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3" activeTab="23"/>
  </bookViews>
  <sheets>
    <sheet name="财务映射表" sheetId="17" state="hidden" r:id="rId1"/>
    <sheet name="运营成本管理看板" sheetId="24" r:id="rId2"/>
    <sheet name="运营成本管理看板 (2)" sheetId="40"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r:id="rId12"/>
    <sheet name="2-2 引出数据_合同数据仓库" sheetId="12" r:id="rId13"/>
    <sheet name="引用修正" sheetId="28" r:id="rId14"/>
    <sheet name="2-3 引出列表" sheetId="27" r:id="rId15"/>
    <sheet name="报销单计算表" sheetId="29"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r:id="rId21"/>
    <sheet name="4-1主要费项费项月累成本使用情况" sheetId="39" r:id="rId22"/>
    <sheet name="物资过程计算表" sheetId="3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2">#N/A</definedName>
    <definedName name="切片器_月份">#N/A</definedName>
    <definedName name="切片器_二级费项">#N/A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<sst xmlns="http://schemas.openxmlformats.org/spreadsheetml/2006/main" count="83010" uniqueCount="18248">
  <si>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</si>
  <si>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</si>
  <si>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</si>
  <si>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</si>
  <si>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</si>
  <si>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</si>
  <si>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</si>
  <si>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</si>
  <si>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</si>
  <si>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</si>
  <si>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</si>
  <si>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</si>
  <si>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</si>
  <si>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</si>
  <si>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</si>
  <si>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</si>
  <si>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</si>
  <si>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</si>
  <si>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</si>
  <si>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</si>
  <si>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</si>
  <si>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</si>
  <si>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</si>
  <si>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</si>
  <si>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</si>
  <si>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</si>
  <si>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</si>
  <si>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</si>
  <si>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</si>
  <si>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</si>
  <si>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</si>
  <si>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</si>
  <si>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</si>
  <si>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</si>
  <si>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</si>
  <si>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</si>
  <si>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</si>
  <si>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</si>
  <si>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</si>
  <si>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</si>
  <si>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</si>
  <si>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</si>
  <si>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</si>
  <si>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</si>
  <si>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</si>
  <si>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</si>
  <si>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</si>
  <si>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</si>
  <si>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</si>
  <si>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</si>
  <si>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</si>
  <si>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</si>
  <si>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</si>
  <si>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</si>
  <si>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</si>
  <si>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</si>
  <si>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</si>
  <si>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</si>
  <si>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</si>
  <si>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</si>
  <si>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</si>
  <si>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</si>
  <si>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</si>
  <si>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</si>
  <si>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</si>
  <si>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</si>
  <si>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</si>
  <si>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</si>
  <si>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</si>
  <si>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</si>
  <si>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</si>
  <si>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</si>
  <si>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</si>
  <si>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</si>
  <si>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</si>
  <si>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</si>
  <si>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</si>
  <si>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</si>
  <si>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</si>
  <si>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</si>
  <si>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</si>
  <si>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</si>
  <si>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</si>
  <si>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</si>
  <si>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</si>
  <si>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</si>
  <si>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</si>
  <si>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</si>
  <si>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</si>
  <si>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</si>
  <si>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</si>
  <si>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</si>
  <si>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</si>
  <si>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</si>
  <si>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</si>
  <si>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</si>
  <si>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</si>
  <si>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</si>
  <si>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</si>
  <si>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</si>
  <si>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</si>
  <si>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</si>
  <si>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</si>
  <si>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</si>
  <si>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</si>
  <si>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</si>
  <si>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</si>
  <si>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</si>
  <si>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</si>
  <si>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</si>
  <si>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</si>
  <si>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</si>
  <si>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</si>
  <si>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</si>
  <si>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</si>
  <si>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</si>
  <si>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</si>
  <si>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</si>
  <si>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</si>
  <si>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</si>
  <si>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</si>
  <si>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</si>
  <si>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</si>
  <si>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</si>
  <si>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</si>
  <si>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</si>
  <si>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</si>
  <si>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</si>
  <si>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</si>
  <si>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</si>
  <si>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</si>
  <si>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</si>
  <si>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</si>
  <si>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</si>
  <si>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</si>
  <si>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</si>
  <si>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</si>
  <si>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</si>
  <si>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</si>
  <si>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</si>
  <si>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</si>
  <si>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</si>
  <si>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</si>
  <si>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</si>
  <si>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</si>
  <si>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</si>
  <si>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</si>
  <si>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</si>
  <si>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</si>
  <si>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</si>
  <si>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</si>
  <si>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</si>
  <si>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</si>
  <si>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</si>
  <si>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</si>
  <si>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</si>
  <si>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</si>
  <si>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</si>
  <si>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</si>
  <si>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</si>
  <si>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</si>
  <si>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</si>
  <si>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</si>
  <si>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</si>
  <si>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</si>
  <si>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</si>
  <si>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</si>
  <si>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</si>
  <si>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</si>
  <si>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</si>
  <si>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</si>
  <si>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</si>
  <si>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</si>
  <si>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</si>
  <si>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</si>
  <si>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</si>
  <si>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</si>
  <si>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</si>
  <si>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</si>
  <si>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</si>
  <si>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</si>
  <si>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</si>
  <si>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</si>
  <si>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</si>
  <si>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</si>
  <si>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</si>
  <si>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</si>
  <si>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</si>
  <si>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</si>
  <si>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</si>
  <si>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</si>
  <si>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</si>
  <si>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</si>
  <si>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</si>
  <si>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</si>
  <si>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</si>
  <si>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</si>
  <si>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</si>
  <si>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</si>
  <si>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</si>
  <si>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</si>
  <si>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</si>
  <si>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</si>
  <si>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</si>
  <si>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</si>
  <si>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</si>
  <si>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</si>
  <si>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</si>
  <si>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</si>
  <si>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</si>
  <si>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</si>
  <si>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</si>
  <si>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</si>
  <si>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</si>
  <si>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</si>
  <si>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</si>
  <si>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</si>
  <si>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</si>
  <si>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</si>
  <si>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</si>
  <si>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</si>
  <si>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</si>
  <si>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</si>
  <si>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</si>
  <si>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</si>
  <si>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</si>
  <si>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</si>
  <si>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</si>
  <si>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</si>
  <si>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</si>
  <si>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</si>
  <si>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</si>
  <si>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</si>
  <si>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</si>
  <si>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</si>
  <si>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</si>
  <si>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</si>
  <si>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</si>
  <si>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</si>
  <si>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</si>
  <si>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</si>
  <si>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</si>
  <si>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</si>
  <si>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</si>
  <si>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</si>
  <si>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</si>
  <si>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</si>
  <si>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</si>
  <si>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</si>
  <si>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</si>
  <si>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</si>
  <si>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</si>
  <si>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</si>
  <si>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</si>
  <si>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</si>
  <si>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</si>
  <si>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</si>
  <si>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</si>
  <si>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</si>
  <si>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</si>
  <si>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</si>
  <si>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</si>
  <si>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</si>
  <si>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</si>
  <si>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</si>
  <si>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</si>
  <si>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</si>
  <si>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</si>
  <si>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</si>
  <si>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</si>
  <si>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</si>
  <si>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</si>
  <si>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</si>
  <si>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</si>
  <si>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</si>
  <si>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</si>
  <si>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</si>
  <si>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</si>
  <si>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</si>
  <si>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</si>
  <si>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</si>
  <si>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</si>
  <si>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</si>
  <si>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</si>
  <si>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</si>
  <si>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</si>
  <si>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</si>
  <si>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</si>
  <si>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</si>
  <si>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</si>
  <si>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</si>
  <si>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</si>
  <si>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</si>
  <si>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</si>
  <si>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</si>
  <si>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</si>
  <si>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</si>
  <si>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</si>
  <si>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</si>
  <si>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</si>
  <si>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</si>
  <si>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</si>
  <si>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</si>
  <si>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</si>
  <si>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</si>
  <si>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</si>
  <si>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</si>
  <si>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</si>
  <si>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</si>
  <si>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</si>
  <si>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</si>
  <si>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</si>
  <si>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</si>
  <si>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</si>
  <si>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</si>
  <si>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</si>
  <si>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</si>
  <si>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</si>
  <si>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</si>
  <si>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</si>
  <si>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</si>
  <si>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</si>
  <si>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</si>
  <si>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</si>
  <si>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</si>
  <si>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</si>
  <si>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</si>
  <si>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</si>
  <si>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</si>
  <si>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</si>
  <si>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</si>
  <si>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</si>
  <si>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</si>
  <si>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</si>
  <si>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</si>
  <si>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</si>
  <si>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</si>
  <si>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</si>
  <si>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</si>
  <si>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</si>
  <si>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</si>
  <si>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</si>
  <si>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</si>
  <si>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</si>
  <si>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</si>
  <si>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</si>
  <si>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</si>
  <si>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</si>
  <si>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</si>
  <si>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</si>
  <si>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</si>
  <si>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</si>
  <si>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</si>
  <si>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</si>
  <si>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</si>
  <si>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</si>
  <si>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</si>
  <si>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</si>
  <si>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</si>
  <si>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</si>
  <si>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</si>
  <si>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</si>
  <si>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</si>
  <si>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</si>
  <si>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</si>
  <si>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</si>
  <si>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</si>
  <si>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</si>
  <si>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</si>
  <si>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</si>
  <si>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</si>
  <si>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</si>
  <si>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</si>
  <si>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</si>
  <si>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</si>
  <si>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</si>
  <si>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</si>
  <si>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</si>
  <si>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</si>
  <si>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</si>
  <si>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</si>
  <si>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</si>
  <si>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</si>
  <si>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</si>
  <si>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</si>
  <si>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</si>
  <si>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</si>
  <si>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</si>
  <si>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</si>
  <si>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</si>
  <si>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</si>
  <si>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</si>
  <si>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</si>
  <si>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</si>
  <si>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</si>
  <si>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</si>
  <si>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</si>
  <si>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</si>
  <si>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</si>
  <si>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</si>
  <si>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</si>
  <si>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</si>
  <si>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</si>
  <si>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</si>
  <si>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</si>
  <si>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</si>
  <si>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</si>
  <si>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</si>
  <si>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</si>
  <si>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</si>
  <si>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</si>
  <si>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</si>
  <si>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</si>
  <si>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</si>
  <si>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</si>
  <si>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</si>
  <si>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</si>
  <si>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</si>
  <si>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</si>
  <si>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</si>
  <si>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</si>
  <si>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</si>
  <si>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</si>
  <si>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</si>
  <si>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</si>
  <si>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</si>
  <si>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</si>
  <si>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</si>
  <si>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</si>
  <si>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</si>
  <si>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</si>
  <si>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</si>
  <si>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</si>
  <si>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</si>
  <si>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</si>
  <si>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</si>
  <si>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</si>
  <si>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</si>
  <si>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</si>
  <si>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</si>
  <si>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</si>
  <si>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</si>
  <si>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</si>
  <si>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</si>
  <si>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</si>
  <si>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</si>
  <si>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</si>
  <si>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</si>
  <si>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</si>
  <si>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</si>
  <si>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</si>
  <si>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</si>
  <si>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</si>
  <si>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</si>
  <si>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</si>
  <si>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</si>
  <si>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</si>
  <si>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</si>
  <si>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</si>
  <si>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</si>
  <si>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</si>
  <si>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</si>
  <si>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</si>
  <si>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</si>
  <si>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</si>
  <si>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</si>
  <si>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</si>
  <si>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</si>
  <si>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</si>
  <si>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</si>
  <si>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</si>
  <si>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</si>
  <si>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</si>
  <si>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</si>
  <si>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</si>
  <si>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</si>
  <si>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</si>
  <si>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</si>
  <si>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</si>
  <si>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</si>
  <si>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</si>
  <si>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</si>
  <si>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</si>
  <si>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</si>
  <si>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</si>
  <si>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</si>
  <si>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</si>
  <si>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</si>
  <si>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</si>
  <si>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</si>
  <si>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</si>
  <si>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</si>
  <si>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</si>
  <si>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</si>
  <si>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</si>
  <si>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</si>
  <si>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</si>
  <si>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</si>
  <si>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</si>
  <si>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</si>
  <si>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</si>
  <si>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</si>
  <si>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</si>
  <si>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</si>
  <si>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</si>
  <si>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</si>
  <si>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</si>
  <si>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</si>
  <si>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</si>
  <si>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</si>
  <si>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</si>
  <si>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</si>
  <si>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</si>
  <si>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</si>
  <si>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</si>
  <si>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</si>
  <si>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</si>
  <si>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</si>
  <si>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</si>
  <si>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</si>
  <si>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</si>
  <si>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</si>
  <si>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</si>
  <si>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</si>
  <si>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</si>
  <si>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</si>
  <si>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</si>
  <si>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</si>
  <si>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</si>
  <si>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</si>
  <si>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</si>
  <si>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</si>
  <si>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</si>
  <si>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</si>
  <si>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</si>
  <si>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</si>
  <si>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</si>
  <si>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</si>
  <si>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</si>
  <si>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</si>
  <si>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</si>
  <si>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</si>
  <si>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</si>
  <si>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</si>
  <si>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</si>
  <si>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</si>
  <si>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</si>
  <si>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</si>
  <si>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</si>
  <si>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</si>
  <si>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</si>
  <si>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</si>
  <si>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</si>
  <si>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</si>
  <si>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</si>
  <si>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</si>
  <si>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</si>
  <si>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</si>
  <si>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</si>
  <si>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</si>
  <si>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</si>
  <si>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</si>
  <si>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</si>
  <si>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</si>
  <si>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</si>
  <si>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</si>
  <si>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</si>
  <si>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</si>
  <si>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</si>
  <si>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</si>
  <si>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</si>
  <si>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</si>
  <si>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</si>
  <si>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</si>
  <si>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</si>
  <si>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</si>
  <si>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</si>
  <si>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</si>
  <si>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</si>
  <si>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</si>
  <si>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</si>
  <si>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</si>
  <si>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</si>
  <si>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</si>
  <si>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</si>
  <si>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</si>
  <si>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</si>
  <si>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</si>
  <si>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</si>
  <si>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</si>
  <si>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</si>
  <si>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</si>
  <si>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</si>
  <si>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</si>
  <si>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</si>
  <si>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</si>
  <si>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</si>
  <si>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</si>
  <si>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</si>
  <si>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</si>
  <si>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</si>
  <si>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</si>
  <si>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</si>
  <si>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</si>
  <si>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</si>
  <si>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</si>
  <si>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</si>
  <si>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</si>
  <si>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</si>
  <si>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</si>
  <si>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</si>
  <si>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</si>
  <si>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</si>
  <si>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</si>
  <si>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</si>
  <si>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</si>
  <si>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</si>
  <si>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</si>
  <si>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</si>
  <si>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</si>
  <si>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</si>
  <si>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</si>
  <si>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</si>
  <si>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</si>
  <si>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</si>
  <si>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</si>
  <si>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</si>
  <si>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</si>
  <si>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</si>
  <si>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</si>
  <si>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</si>
  <si>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</si>
  <si>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</si>
  <si>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</si>
  <si>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</si>
  <si>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</si>
  <si>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</si>
  <si>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</si>
  <si>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</si>
  <si>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</si>
  <si>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</si>
  <si>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</si>
  <si>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</si>
  <si>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</si>
  <si>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</si>
  <si>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</si>
  <si>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</si>
  <si>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</si>
  <si>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</si>
  <si>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</si>
  <si>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</si>
  <si>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</si>
  <si>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</si>
  <si>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</si>
  <si>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</si>
  <si>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</si>
  <si>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</si>
  <si>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</si>
  <si>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</si>
  <si>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</si>
  <si>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</si>
  <si>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</si>
  <si>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</si>
  <si>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</si>
  <si>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</si>
  <si>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</si>
  <si>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</si>
  <si>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</si>
  <si>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</si>
  <si>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</si>
  <si>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</si>
  <si>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</si>
  <si>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</si>
  <si>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</si>
  <si>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</si>
  <si>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</si>
  <si>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</si>
  <si>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</si>
  <si>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</si>
  <si>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</si>
  <si>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</si>
  <si>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</si>
  <si>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</si>
  <si>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</si>
  <si>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</si>
  <si>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</si>
  <si>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</si>
  <si>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</si>
  <si>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</si>
  <si>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</si>
  <si>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</si>
  <si>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</si>
  <si>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</si>
  <si>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</si>
  <si>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</si>
  <si>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</si>
  <si>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</si>
  <si>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</si>
  <si>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</si>
  <si>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</si>
  <si>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</si>
  <si>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</si>
  <si>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</si>
  <si>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</si>
  <si>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</si>
  <si>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</si>
  <si>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</si>
  <si>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</si>
  <si>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</si>
  <si>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</si>
  <si>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</si>
  <si>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</si>
  <si>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</si>
  <si>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WY.SZ.25</t>
  </si>
  <si>
    <t>深圳中海油大厦</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</si>
  <si>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</si>
  <si>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</si>
  <si>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</si>
  <si>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</si>
  <si>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</si>
  <si>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</si>
  <si>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</si>
  <si>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</si>
  <si>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</si>
  <si>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</si>
  <si>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</si>
  <si>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</si>
  <si>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</si>
  <si>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</si>
  <si>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</si>
  <si>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</si>
  <si>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</si>
  <si>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</si>
  <si>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</si>
  <si>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</si>
  <si>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</si>
  <si>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</si>
  <si>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</si>
  <si>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</si>
  <si>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</si>
  <si>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</si>
  <si>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</si>
  <si>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</si>
  <si>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</si>
  <si>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</si>
  <si>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</si>
  <si>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</si>
  <si>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</si>
  <si>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</si>
  <si>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</si>
  <si>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</si>
  <si>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</si>
  <si>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</si>
  <si>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</si>
  <si>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</si>
  <si>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</si>
  <si>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</si>
  <si>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</si>
  <si>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</si>
  <si>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</si>
  <si>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</si>
  <si>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</si>
  <si>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</si>
  <si>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</si>
  <si>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</si>
  <si>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</si>
  <si>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</si>
  <si>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</si>
  <si>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</si>
  <si>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</si>
  <si>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</si>
  <si>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</si>
  <si>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</si>
  <si>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</si>
  <si>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</si>
  <si>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</si>
  <si>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</si>
  <si>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</si>
  <si>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</si>
  <si>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</si>
  <si>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</si>
  <si>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</si>
  <si>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</si>
  <si>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</si>
  <si>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</si>
  <si>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</si>
  <si>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</si>
  <si>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</si>
  <si>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</si>
  <si>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</si>
  <si>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</si>
  <si>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</si>
  <si>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</si>
  <si>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</si>
  <si>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</si>
  <si>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</si>
  <si>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</si>
  <si>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</si>
  <si>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</si>
  <si>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</si>
  <si>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</si>
  <si>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</si>
  <si>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</si>
  <si>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</si>
  <si>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</si>
  <si>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</si>
  <si>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</si>
  <si>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</si>
  <si>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</si>
  <si>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</si>
  <si>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</si>
  <si>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</si>
  <si>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</si>
  <si>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</si>
  <si>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</si>
  <si>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</si>
  <si>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</si>
  <si>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</si>
  <si>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</si>
  <si>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</si>
  <si>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</si>
  <si>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</si>
  <si>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</si>
  <si>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</si>
  <si>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</si>
  <si>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</si>
  <si>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</si>
  <si>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</si>
  <si>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</si>
  <si>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</si>
  <si>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</si>
  <si>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</si>
  <si>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</si>
  <si>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</si>
  <si>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</si>
  <si>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</si>
  <si>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</si>
  <si>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</si>
  <si>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</si>
  <si>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</si>
  <si>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</si>
  <si>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</si>
  <si>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</si>
  <si>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</si>
  <si>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</si>
  <si>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</si>
  <si>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</si>
  <si>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</si>
  <si>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</si>
  <si>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</si>
  <si>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</si>
  <si>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</si>
  <si>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</si>
  <si>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</si>
  <si>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</si>
  <si>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</si>
  <si>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</si>
  <si>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</si>
  <si>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</si>
  <si>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</si>
  <si>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</si>
  <si>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</si>
  <si>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</si>
  <si>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</si>
  <si>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</si>
  <si>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</si>
  <si>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</si>
  <si>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</si>
  <si>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</si>
  <si>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</si>
  <si>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</si>
  <si>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</si>
  <si>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</si>
  <si>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</si>
  <si>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</si>
  <si>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</si>
  <si>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</si>
  <si>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</si>
  <si>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</si>
  <si>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</si>
  <si>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</si>
  <si>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</si>
  <si>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</si>
  <si>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</si>
  <si>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</si>
  <si>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</si>
  <si>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</si>
  <si>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</si>
  <si>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</si>
  <si>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</si>
  <si>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</si>
  <si>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</si>
  <si>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</si>
  <si>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</si>
  <si>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</si>
  <si>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</si>
  <si>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</si>
  <si>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</si>
  <si>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</si>
  <si>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</si>
  <si>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</si>
  <si>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</si>
  <si>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</si>
  <si>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</si>
  <si>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</si>
  <si>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</si>
  <si>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</si>
  <si>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</si>
  <si>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</si>
  <si>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</si>
  <si>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</si>
  <si>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</si>
  <si>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</si>
  <si>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</si>
  <si>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</si>
  <si>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</si>
  <si>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</si>
  <si>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</si>
  <si>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</si>
  <si>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</si>
  <si>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</si>
  <si>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</si>
  <si>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</si>
  <si>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</si>
  <si>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</si>
  <si>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</si>
  <si>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</si>
  <si>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</si>
  <si>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</si>
  <si>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</si>
  <si>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</si>
  <si>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</si>
  <si>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</si>
  <si>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</si>
  <si>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</si>
  <si>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</si>
  <si>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</si>
  <si>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</si>
  <si>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</si>
  <si>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</si>
  <si>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</si>
  <si>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</si>
  <si>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</si>
  <si>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</si>
  <si>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</si>
  <si>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</si>
  <si>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</si>
  <si>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</si>
  <si>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</si>
  <si>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</si>
  <si>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</si>
  <si>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</si>
  <si>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</si>
  <si>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</si>
  <si>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</si>
  <si>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</si>
  <si>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</si>
  <si>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</si>
  <si>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</si>
  <si>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</si>
  <si>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</si>
  <si>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</si>
  <si>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</si>
  <si>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</si>
  <si>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</si>
  <si>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</si>
  <si>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</si>
  <si>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</si>
  <si>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</si>
  <si>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</si>
  <si>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</si>
  <si>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</si>
  <si>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</si>
  <si>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</si>
  <si>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</si>
  <si>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</si>
  <si>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</si>
  <si>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</si>
  <si>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</si>
  <si>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</si>
  <si>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</si>
  <si>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</si>
  <si>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</si>
  <si>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</si>
  <si>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</si>
  <si>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</si>
  <si>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</si>
  <si>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</si>
  <si>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</si>
  <si>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</si>
  <si>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</si>
  <si>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</si>
  <si>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</si>
  <si>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</si>
  <si>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</si>
  <si>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</si>
  <si>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</si>
  <si>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</si>
  <si>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</si>
  <si>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</si>
  <si>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</si>
  <si>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</si>
  <si>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</si>
  <si>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</si>
  <si>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</si>
  <si>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</si>
  <si>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</si>
  <si>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</si>
  <si>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</si>
  <si>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</si>
  <si>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</si>
  <si>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</si>
  <si>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</si>
  <si>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</si>
  <si>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</si>
  <si>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</si>
  <si>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</si>
  <si>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</si>
  <si>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</si>
  <si>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</si>
  <si>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</si>
  <si>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</si>
  <si>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</si>
  <si>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</si>
  <si>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</si>
  <si>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</si>
  <si>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</si>
  <si>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</si>
  <si>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</si>
  <si>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</si>
  <si>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</si>
  <si>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</si>
  <si>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</si>
  <si>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</si>
  <si>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</si>
  <si>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</si>
  <si>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</si>
  <si>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</si>
  <si>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</si>
  <si>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</si>
  <si>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</si>
  <si>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</si>
  <si>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</si>
  <si>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</si>
  <si>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</si>
  <si>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</si>
  <si>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</si>
  <si>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</si>
  <si>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</si>
  <si>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</si>
  <si>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</si>
  <si>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</si>
  <si>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</si>
  <si>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</si>
  <si>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</si>
  <si>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</si>
  <si>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</si>
  <si>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</si>
  <si>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</si>
  <si>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</si>
  <si>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</si>
  <si>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</si>
  <si>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</si>
  <si>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</si>
  <si>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</si>
  <si>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</si>
  <si>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</si>
  <si>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</si>
  <si>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</si>
  <si>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</si>
  <si>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</si>
  <si>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</si>
  <si>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</si>
  <si>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</si>
  <si>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</si>
  <si>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</si>
  <si>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</si>
  <si>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</si>
  <si>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</si>
  <si>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</si>
  <si>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</si>
  <si>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</si>
  <si>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</si>
  <si>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</si>
  <si>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</si>
  <si>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</si>
  <si>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</si>
  <si>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</si>
  <si>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</si>
  <si>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</si>
  <si>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</si>
  <si>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</si>
  <si>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</si>
  <si>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</si>
  <si>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</si>
  <si>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</si>
  <si>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</si>
  <si>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</si>
  <si>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</si>
  <si>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</si>
  <si>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</si>
  <si>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</si>
  <si>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</si>
  <si>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</si>
  <si>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</si>
  <si>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</si>
  <si>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</si>
  <si>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</si>
  <si>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</si>
  <si>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</si>
  <si>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</si>
  <si>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</si>
  <si>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</si>
  <si>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</si>
  <si>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</si>
  <si>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</si>
  <si>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</si>
  <si>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</si>
  <si>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</si>
  <si>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</si>
  <si>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</si>
  <si>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</si>
  <si>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</si>
  <si>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</si>
  <si>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</si>
  <si>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</si>
  <si>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</si>
  <si>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</si>
  <si>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</si>
  <si>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</si>
  <si>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</si>
  <si>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</si>
  <si>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</si>
  <si>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</si>
  <si>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</si>
  <si>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</si>
  <si>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</si>
  <si>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</si>
  <si>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</si>
  <si>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</si>
  <si>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</si>
  <si>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</si>
  <si>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</si>
  <si>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</si>
  <si>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</si>
  <si>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</si>
  <si>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</si>
  <si>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</si>
  <si>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</si>
  <si>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</si>
  <si>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</si>
  <si>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</si>
  <si>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</si>
  <si>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</si>
  <si>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</si>
  <si>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</si>
  <si>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</si>
  <si>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</si>
  <si>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</si>
  <si>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</si>
  <si>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</si>
  <si>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</si>
  <si>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</si>
  <si>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</si>
  <si>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</si>
  <si>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</si>
  <si>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</si>
  <si>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</si>
  <si>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</si>
  <si>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</si>
  <si>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</si>
  <si>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</si>
  <si>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</si>
  <si>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</si>
  <si>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</si>
  <si>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</si>
  <si>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</si>
  <si>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</si>
  <si>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</si>
  <si>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</si>
  <si>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</si>
  <si>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</si>
  <si>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</si>
  <si>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</si>
  <si>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</si>
  <si>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</si>
  <si>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</si>
  <si>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</si>
  <si>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</si>
  <si>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</si>
  <si>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</si>
  <si>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</si>
  <si>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</si>
  <si>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</si>
  <si>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</si>
  <si>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</si>
  <si>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</si>
  <si>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</si>
  <si>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</si>
  <si>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</si>
  <si>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</si>
  <si>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</si>
  <si>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</si>
  <si>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</si>
  <si>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</si>
  <si>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</si>
  <si>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</si>
  <si>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</si>
  <si>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</si>
  <si>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</si>
  <si>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</si>
  <si>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</si>
  <si>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</si>
  <si>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</si>
  <si>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</si>
  <si>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</si>
  <si>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</si>
  <si>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</si>
  <si>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</si>
  <si>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</si>
  <si>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</si>
  <si>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</si>
  <si>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</si>
  <si>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</si>
  <si>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</si>
  <si>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</si>
  <si>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</si>
  <si>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</si>
  <si>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</si>
  <si>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</si>
  <si>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</si>
  <si>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</si>
  <si>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</si>
  <si>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</si>
  <si>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</si>
  <si>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</si>
  <si>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</si>
  <si>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</si>
  <si>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</si>
  <si>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</si>
  <si>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</si>
  <si>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</si>
  <si>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</si>
  <si>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</si>
  <si>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</si>
  <si>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</si>
  <si>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</si>
  <si>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</si>
  <si>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</si>
  <si>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</si>
  <si>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</si>
  <si>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</si>
  <si>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</si>
  <si>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</si>
  <si>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</si>
  <si>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</si>
  <si>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</si>
  <si>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</si>
  <si>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</si>
  <si>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</si>
  <si>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</si>
  <si>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</si>
  <si>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</si>
  <si>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</si>
  <si>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</si>
  <si>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</si>
  <si>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</si>
  <si>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</si>
  <si>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</si>
  <si>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</si>
  <si>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</si>
  <si>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</si>
  <si>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</si>
  <si>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</si>
  <si>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</si>
  <si>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</si>
  <si>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</si>
  <si>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</si>
  <si>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</si>
  <si>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</si>
  <si>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</si>
  <si>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</si>
  <si>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</si>
  <si>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</si>
  <si>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</si>
  <si>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</si>
  <si>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</si>
  <si>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</si>
  <si>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</si>
  <si>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</si>
  <si>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</si>
  <si>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</si>
  <si>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</si>
  <si>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</si>
  <si>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</si>
  <si>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</si>
  <si>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</si>
  <si>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</si>
  <si>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</si>
  <si>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</si>
  <si>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</si>
  <si>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</si>
  <si>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</si>
  <si>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</si>
  <si>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</si>
  <si>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</si>
  <si>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</si>
  <si>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</si>
  <si>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</si>
  <si>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</si>
  <si>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</si>
  <si>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</si>
  <si>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</si>
  <si>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</si>
  <si>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</si>
  <si>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</si>
  <si>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</si>
  <si>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</si>
  <si>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</si>
  <si>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</si>
  <si>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</si>
  <si>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</si>
  <si>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</si>
  <si>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</si>
  <si>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</si>
  <si>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</si>
  <si>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</si>
  <si>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</si>
  <si>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</si>
  <si>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</si>
  <si>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</si>
  <si>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</si>
  <si>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</si>
  <si>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</si>
  <si>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</si>
  <si>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</si>
  <si>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</si>
  <si>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</si>
  <si>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</si>
  <si>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</si>
  <si>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</si>
  <si>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</si>
  <si>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</si>
  <si>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</si>
  <si>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</si>
  <si>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</si>
  <si>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</si>
  <si>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</si>
  <si>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</si>
  <si>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</si>
  <si>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</si>
  <si>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</si>
  <si>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</si>
  <si>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</si>
  <si>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</si>
  <si>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</si>
  <si>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</si>
  <si>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</si>
  <si>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</si>
  <si>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</si>
  <si>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</si>
  <si>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</si>
  <si>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</si>
  <si>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</si>
  <si>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</si>
  <si>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</si>
  <si>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</si>
  <si>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</si>
  <si>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</si>
  <si>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</si>
  <si>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</si>
  <si>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</si>
  <si>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</si>
  <si>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</si>
  <si>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</si>
  <si>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</si>
  <si>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</si>
  <si>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</si>
  <si>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</si>
  <si>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</si>
  <si>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</si>
  <si>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</si>
  <si>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</si>
  <si>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</si>
  <si>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</si>
  <si>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</si>
  <si>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</si>
  <si>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</si>
  <si>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</si>
  <si>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</si>
  <si>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</si>
  <si>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</si>
  <si>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</si>
  <si>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</si>
  <si>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</si>
  <si>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</si>
  <si>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</si>
  <si>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</si>
  <si>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</si>
  <si>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</si>
  <si>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</si>
  <si>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</si>
  <si>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</si>
  <si>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</si>
  <si>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</si>
  <si>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</si>
  <si>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</si>
  <si>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</si>
  <si>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</si>
  <si>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</si>
  <si>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</si>
  <si>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</si>
  <si>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</si>
  <si>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</si>
  <si>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</si>
  <si>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</si>
  <si>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</si>
  <si>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</si>
  <si>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</si>
  <si>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</si>
  <si>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</si>
  <si>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</si>
  <si>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</si>
  <si>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</si>
  <si>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</si>
  <si>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</si>
  <si>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</si>
  <si>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</si>
  <si>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</si>
  <si>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</si>
  <si>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</si>
  <si>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</si>
  <si>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</si>
  <si>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</si>
  <si>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</si>
  <si>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</si>
  <si>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</si>
  <si>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</si>
  <si>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</si>
  <si>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</si>
  <si>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</si>
  <si>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</si>
  <si>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</si>
  <si>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</si>
  <si>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</si>
  <si>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</si>
  <si>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</si>
  <si>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</si>
  <si>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</si>
  <si>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</si>
  <si>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</si>
  <si>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</si>
  <si>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</si>
  <si>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</si>
  <si>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</si>
  <si>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</si>
  <si>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</si>
  <si>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</si>
  <si>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</si>
  <si>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</si>
  <si>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</si>
  <si>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</si>
  <si>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</si>
  <si>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</si>
  <si>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</si>
  <si>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</si>
  <si>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</si>
  <si>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</si>
  <si>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</si>
  <si>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</si>
  <si>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</si>
  <si>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</si>
  <si>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</si>
  <si>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</si>
  <si>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</si>
  <si>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</si>
  <si>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</si>
  <si>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</si>
  <si>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</si>
  <si>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</si>
  <si>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</si>
  <si>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</si>
  <si>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</si>
  <si>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</si>
  <si>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</si>
  <si>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</si>
  <si>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</si>
  <si>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</si>
  <si>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</si>
  <si>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</si>
  <si>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</si>
  <si>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</si>
  <si>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</si>
  <si>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</si>
  <si>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</si>
  <si>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</si>
  <si>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</si>
  <si>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</si>
  <si>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</si>
  <si>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</si>
  <si>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</si>
  <si>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</si>
  <si>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</si>
  <si>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</si>
  <si>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</si>
  <si>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</si>
  <si>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</si>
  <si>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</si>
  <si>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</si>
  <si>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</si>
  <si>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</si>
  <si>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</si>
  <si>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</si>
  <si>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</si>
  <si>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</si>
  <si>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</si>
  <si>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</si>
  <si>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</si>
  <si>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</si>
  <si>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</si>
  <si>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</si>
  <si>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</si>
  <si>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</si>
  <si>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</si>
  <si>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</si>
  <si>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</si>
  <si>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</si>
  <si>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</si>
  <si>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</si>
  <si>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</si>
  <si>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</si>
  <si>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</si>
  <si>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</si>
  <si>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</si>
  <si>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</si>
  <si>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</si>
  <si>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</si>
  <si>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</si>
  <si>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</si>
  <si>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</si>
  <si>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</si>
  <si>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</si>
  <si>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</si>
  <si>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</si>
  <si>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</si>
  <si>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</si>
  <si>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</si>
  <si>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</si>
  <si>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</si>
  <si>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</si>
  <si>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</si>
  <si>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</si>
  <si>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</si>
  <si>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</si>
  <si>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</si>
  <si>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</si>
  <si>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</si>
  <si>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</si>
  <si>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</si>
  <si>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</si>
  <si>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</si>
  <si>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</si>
  <si>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</si>
  <si>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</si>
  <si>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</si>
  <si>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</si>
  <si>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</si>
  <si>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</si>
  <si>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</si>
  <si>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</si>
  <si>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</si>
  <si>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</si>
  <si>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</si>
  <si>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</si>
  <si>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</si>
  <si>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</si>
  <si>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</si>
  <si>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</si>
  <si>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</si>
  <si>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</si>
  <si>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</si>
  <si>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</si>
  <si>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</si>
  <si>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</si>
  <si>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</si>
  <si>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</si>
  <si>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</si>
  <si>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</si>
  <si>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</si>
  <si>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</si>
  <si>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</si>
  <si>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</si>
  <si>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</si>
  <si>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</si>
  <si>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</si>
  <si>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</si>
  <si>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</si>
  <si>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</si>
  <si>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</si>
  <si>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</si>
  <si>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</si>
  <si>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</si>
  <si>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</si>
  <si>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</si>
  <si>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</si>
  <si>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</si>
  <si>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</si>
  <si>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</si>
  <si>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</si>
  <si>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</si>
  <si>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</si>
  <si>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</si>
  <si>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</si>
  <si>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</si>
  <si>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</si>
  <si>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</si>
  <si>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</si>
  <si>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</si>
  <si>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</si>
  <si>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</si>
  <si>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</si>
  <si>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</si>
  <si>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</si>
  <si>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</si>
  <si>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</si>
  <si>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</si>
  <si>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</si>
  <si>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</si>
  <si>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</si>
  <si>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</si>
  <si>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</si>
  <si>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</si>
  <si>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</si>
  <si>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</si>
  <si>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</si>
  <si>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</si>
  <si>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</si>
  <si>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</si>
  <si>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</si>
  <si>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</si>
  <si>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</si>
  <si>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</si>
  <si>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</si>
  <si>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</si>
  <si>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</si>
  <si>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</si>
  <si>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</si>
  <si>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</si>
  <si>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</si>
  <si>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</si>
  <si>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</si>
  <si>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</si>
  <si>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</si>
  <si>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</si>
  <si>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</si>
  <si>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</si>
  <si>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</si>
  <si>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</si>
  <si>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</si>
  <si>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</si>
  <si>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</si>
  <si>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</si>
  <si>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</si>
  <si>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</si>
  <si>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</si>
  <si>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</si>
  <si>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</si>
  <si>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</si>
  <si>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</si>
  <si>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</si>
  <si>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</si>
  <si>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</si>
  <si>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</si>
  <si>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</si>
  <si>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</si>
  <si>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</si>
  <si>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</si>
  <si>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</si>
  <si>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</si>
  <si>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</si>
  <si>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</si>
  <si>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</si>
  <si>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</si>
  <si>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</si>
  <si>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</si>
  <si>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</si>
  <si>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</si>
  <si>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</si>
  <si>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</si>
  <si>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</si>
  <si>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</si>
  <si>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</si>
  <si>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</si>
  <si>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</si>
  <si>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</si>
  <si>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</si>
  <si>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</si>
  <si>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</si>
  <si>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</si>
  <si>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</si>
  <si>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</si>
  <si>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</si>
  <si>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</si>
  <si>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</si>
  <si>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</si>
  <si>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</si>
  <si>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</si>
  <si>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</si>
  <si>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</si>
  <si>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</si>
  <si>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</si>
  <si>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</si>
  <si>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</si>
  <si>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</si>
  <si>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</si>
  <si>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</si>
  <si>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</si>
  <si>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</si>
  <si>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</si>
  <si>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</si>
  <si>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</si>
  <si>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</si>
  <si>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</si>
  <si>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</si>
  <si>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</si>
  <si>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</si>
  <si>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</si>
  <si>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</si>
  <si>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</si>
  <si>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</si>
  <si>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</si>
  <si>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</si>
  <si>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</si>
  <si>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</si>
  <si>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</si>
  <si>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</si>
  <si>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</si>
  <si>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</si>
  <si>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</si>
  <si>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</si>
  <si>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</si>
  <si>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</si>
  <si>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</si>
  <si>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</si>
  <si>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</si>
  <si>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</si>
  <si>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</si>
  <si>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</si>
  <si>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</si>
  <si>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</si>
  <si>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</si>
  <si>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</si>
  <si>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</si>
  <si>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</si>
  <si>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</si>
  <si>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</si>
  <si>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</si>
  <si>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</si>
  <si>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</si>
  <si>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</si>
  <si>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</si>
  <si>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</si>
  <si>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</si>
  <si>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</si>
  <si>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</si>
  <si>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</si>
  <si>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</si>
  <si>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</si>
  <si>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</si>
  <si>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</si>
  <si>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</si>
  <si>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</si>
  <si>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</si>
  <si>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</si>
  <si>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</si>
  <si>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</si>
  <si>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</si>
  <si>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</si>
  <si>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</si>
  <si>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</si>
  <si>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</si>
  <si>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</si>
  <si>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</si>
  <si>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</si>
  <si>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</si>
  <si>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</si>
  <si>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</si>
  <si>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</si>
  <si>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</si>
  <si>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</si>
  <si>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</si>
  <si>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</si>
  <si>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</si>
  <si>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</si>
  <si>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</si>
  <si>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</si>
  <si>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</si>
  <si>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</si>
  <si>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</si>
  <si>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</si>
  <si>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</si>
  <si>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</si>
  <si>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</si>
  <si>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</si>
  <si>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</si>
  <si>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</si>
  <si>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</si>
  <si>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</si>
  <si>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</si>
  <si>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</si>
  <si>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</si>
  <si>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</si>
  <si>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</si>
  <si>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</si>
  <si>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</si>
  <si>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</si>
  <si>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</si>
  <si>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</si>
  <si>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</si>
  <si>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</si>
  <si>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</si>
  <si>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</si>
  <si>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</si>
  <si>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</si>
  <si>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</si>
  <si>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</si>
  <si>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</si>
  <si>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</si>
  <si>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</si>
  <si>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</si>
  <si>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</si>
  <si>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</si>
  <si>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</si>
  <si>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</si>
  <si>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</si>
  <si>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</si>
  <si>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</si>
  <si>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</si>
  <si>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</si>
  <si>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</si>
  <si>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</si>
  <si>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</si>
  <si>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</si>
  <si>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</si>
  <si>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</si>
  <si>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</si>
  <si>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</si>
  <si>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</si>
  <si>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</si>
  <si>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</si>
  <si>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</si>
  <si>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</si>
  <si>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</si>
  <si>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</si>
  <si>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</si>
  <si>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</si>
  <si>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</si>
  <si>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</si>
  <si>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</si>
  <si>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</si>
  <si>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</si>
  <si>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</si>
  <si>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</si>
  <si>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</si>
  <si>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</si>
  <si>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</si>
  <si>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</si>
  <si>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</si>
  <si>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</si>
  <si>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</si>
  <si>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</si>
  <si>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</si>
  <si>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</si>
  <si>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</si>
  <si>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</si>
  <si>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</si>
  <si>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</si>
  <si>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</si>
  <si>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</si>
  <si>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</si>
  <si>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</si>
  <si>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</si>
  <si>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</si>
  <si>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</si>
  <si>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</si>
  <si>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</si>
  <si>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</si>
  <si>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</si>
  <si>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</si>
  <si>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</si>
  <si>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</si>
  <si>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</si>
  <si>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</si>
  <si>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</si>
  <si>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</si>
  <si>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</si>
  <si>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</si>
  <si>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</si>
  <si>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</si>
  <si>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</si>
  <si>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</si>
  <si>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</si>
  <si>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</si>
  <si>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</si>
  <si>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</si>
  <si>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</si>
  <si>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</si>
  <si>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</si>
  <si>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</si>
  <si>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</si>
  <si>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</si>
  <si>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</si>
  <si>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</si>
  <si>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</si>
  <si>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</si>
  <si>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</si>
  <si>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</si>
  <si>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</si>
  <si>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</si>
  <si>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</si>
  <si>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</si>
  <si>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</si>
  <si>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</si>
  <si>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</si>
  <si>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</si>
  <si>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</si>
  <si>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</si>
  <si>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</si>
  <si>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</si>
  <si>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</si>
  <si>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</si>
  <si>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</si>
  <si>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</si>
  <si>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</si>
  <si>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</si>
  <si>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</si>
  <si>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</si>
  <si>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</si>
  <si>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</si>
  <si>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</si>
  <si>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</si>
  <si>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</si>
  <si>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</si>
  <si>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</si>
  <si>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</si>
  <si>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</si>
  <si>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</si>
  <si>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</si>
  <si>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</si>
  <si>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</si>
  <si>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</si>
  <si>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</si>
  <si>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</si>
  <si>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</si>
  <si>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</si>
  <si>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</si>
  <si>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</si>
  <si>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</si>
  <si>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</si>
  <si>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</si>
  <si>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</si>
  <si>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</si>
  <si>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</si>
  <si>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</si>
  <si>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</si>
  <si>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</si>
  <si>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</si>
  <si>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</si>
  <si>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</si>
  <si>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</si>
  <si>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</si>
  <si>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</si>
  <si>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</si>
  <si>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</si>
  <si>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</si>
  <si>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</si>
  <si>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</si>
  <si>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</si>
  <si>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</si>
  <si>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</si>
  <si>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</si>
  <si>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</si>
  <si>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</si>
  <si>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</si>
  <si>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</si>
  <si>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</si>
  <si>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</si>
  <si>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</si>
  <si>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</si>
  <si>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</si>
  <si>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</si>
  <si>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</si>
  <si>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</si>
  <si>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</si>
  <si>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</si>
  <si>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</si>
  <si>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</si>
  <si>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</si>
  <si>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</si>
  <si>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</si>
  <si>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</si>
  <si>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</si>
  <si>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</si>
  <si>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</si>
  <si>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</si>
  <si>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</si>
  <si>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</si>
  <si>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</si>
  <si>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</si>
  <si>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</si>
  <si>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</si>
  <si>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</si>
  <si>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</si>
  <si>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</si>
  <si>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</si>
  <si>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</si>
  <si>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</si>
  <si>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</si>
  <si>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</si>
  <si>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</si>
  <si>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</si>
  <si>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</si>
  <si>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</si>
  <si>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</si>
  <si>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</si>
  <si>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</si>
  <si>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</si>
  <si>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</si>
  <si>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</si>
  <si>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</si>
  <si>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</si>
  <si>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</si>
  <si>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</si>
  <si>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</si>
  <si>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</si>
  <si>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</si>
  <si>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</si>
  <si>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</si>
  <si>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</si>
  <si>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</si>
  <si>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</si>
  <si>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</si>
  <si>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</si>
  <si>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</si>
  <si>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</si>
  <si>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</si>
  <si>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</si>
  <si>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</si>
  <si>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</si>
  <si>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</si>
  <si>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</si>
  <si>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</si>
  <si>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</si>
  <si>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</si>
  <si>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</si>
  <si>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</si>
  <si>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</si>
  <si>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</si>
  <si>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</si>
  <si>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</si>
  <si>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</si>
  <si>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</si>
  <si>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</si>
  <si>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</si>
  <si>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</si>
  <si>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</si>
  <si>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</si>
  <si>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</si>
  <si>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</si>
  <si>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</si>
  <si>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</si>
  <si>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</si>
  <si>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</si>
  <si>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</si>
  <si>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</si>
  <si>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</si>
  <si>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</si>
  <si>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</si>
  <si>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</si>
  <si>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</si>
  <si>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</si>
  <si>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</si>
  <si>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</si>
  <si>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</si>
  <si>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</si>
  <si>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</si>
  <si>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</si>
  <si>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</si>
  <si>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</si>
  <si>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</si>
  <si>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</si>
  <si>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</si>
  <si>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</si>
  <si>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</si>
  <si>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</si>
  <si>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</si>
  <si>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</si>
  <si>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</si>
  <si>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</si>
  <si>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</si>
  <si>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</si>
  <si>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</si>
  <si>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</si>
  <si>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</si>
  <si>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</si>
  <si>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</si>
  <si>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</si>
  <si>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</si>
  <si>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</si>
  <si>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</si>
  <si>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</si>
  <si>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</si>
  <si>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</si>
  <si>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</si>
  <si>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</si>
  <si>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</si>
  <si>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</si>
  <si>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</si>
  <si>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</si>
  <si>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</si>
  <si>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</si>
  <si>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</si>
  <si>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</si>
  <si>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</si>
  <si>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</si>
  <si>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</si>
  <si>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</si>
  <si>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</si>
  <si>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</si>
  <si>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</si>
  <si>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</si>
  <si>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</si>
  <si>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</si>
  <si>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</si>
  <si>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</si>
  <si>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</si>
  <si>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</si>
  <si>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</si>
  <si>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</si>
  <si>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</si>
  <si>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</si>
  <si>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</si>
  <si>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</si>
  <si>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</si>
  <si>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</si>
  <si>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</si>
  <si>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</si>
  <si>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</si>
  <si>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</si>
  <si>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</si>
  <si>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</si>
  <si>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</si>
  <si>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</si>
  <si>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</si>
  <si>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</si>
  <si>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</si>
  <si>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</si>
  <si>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</si>
  <si>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</si>
  <si>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</si>
  <si>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</si>
  <si>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</si>
  <si>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</si>
  <si>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</si>
  <si>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</si>
  <si>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</si>
  <si>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</si>
  <si>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</si>
  <si>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</si>
  <si>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</si>
  <si>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</si>
  <si>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</si>
  <si>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</si>
  <si>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</si>
  <si>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</si>
  <si>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</si>
  <si>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</si>
  <si>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</si>
  <si>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</si>
  <si>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</si>
  <si>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</si>
  <si>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</si>
  <si>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</si>
  <si>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</si>
  <si>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</si>
  <si>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</si>
  <si>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</si>
  <si>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</si>
  <si>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</si>
  <si>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</si>
  <si>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</si>
  <si>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</si>
  <si>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</si>
  <si>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</si>
  <si>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</si>
  <si>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</si>
  <si>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</si>
  <si>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</si>
  <si>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</si>
  <si>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</si>
  <si>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</si>
  <si>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</si>
  <si>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</si>
  <si>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</si>
  <si>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</si>
  <si>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</si>
  <si>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</si>
  <si>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</si>
  <si>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</si>
  <si>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</si>
  <si>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</si>
  <si>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</si>
  <si>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</si>
  <si>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</si>
  <si>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</si>
  <si>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</si>
  <si>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</si>
  <si>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</si>
  <si>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</si>
  <si>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</si>
  <si>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</si>
  <si>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</si>
  <si>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</si>
  <si>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</si>
  <si>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</si>
  <si>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</si>
  <si>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</si>
  <si>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</si>
  <si>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</si>
  <si>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</si>
  <si>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</si>
  <si>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</si>
  <si>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</si>
  <si>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</si>
  <si>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</si>
  <si>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</si>
  <si>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</si>
  <si>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</si>
  <si>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</si>
  <si>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</si>
  <si>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</si>
  <si>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</si>
  <si>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</si>
  <si>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</si>
  <si>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</si>
  <si>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</si>
  <si>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</si>
  <si>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</si>
  <si>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</si>
  <si>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</si>
  <si>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</si>
  <si>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</si>
  <si>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</si>
  <si>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</si>
  <si>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</si>
  <si>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</si>
  <si>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</si>
  <si>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</si>
  <si>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</si>
  <si>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</si>
  <si>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</si>
  <si>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</si>
  <si>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</si>
  <si>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</si>
  <si>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</si>
  <si>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</si>
  <si>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</si>
  <si>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</si>
  <si>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</si>
  <si>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</si>
  <si>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</si>
  <si>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</si>
  <si>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</si>
  <si>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</si>
  <si>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</si>
  <si>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</si>
  <si>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</si>
  <si>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</si>
  <si>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</si>
  <si>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</si>
  <si>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</si>
  <si>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</si>
  <si>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</si>
  <si>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</si>
  <si>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</si>
  <si>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</si>
  <si>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</si>
  <si>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</si>
  <si>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</si>
  <si>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</si>
  <si>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</si>
  <si>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</si>
  <si>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</si>
  <si>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</si>
  <si>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</si>
  <si>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</si>
  <si>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</si>
  <si>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</si>
  <si>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</si>
  <si>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</si>
  <si>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</si>
  <si>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</si>
  <si>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</si>
  <si>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</si>
  <si>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</si>
  <si>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</si>
  <si>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</si>
  <si>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</si>
  <si>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</si>
  <si>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</si>
  <si>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</si>
  <si>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</si>
  <si>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</si>
  <si>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</si>
  <si>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</si>
  <si>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</si>
  <si>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</si>
  <si>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</si>
  <si>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</si>
  <si>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</si>
  <si>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</si>
  <si>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</si>
  <si>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</si>
  <si>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</si>
  <si>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</si>
  <si>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</si>
  <si>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</si>
  <si>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</si>
  <si>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</si>
  <si>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</si>
  <si>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</si>
  <si>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</si>
  <si>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</si>
  <si>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</si>
  <si>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</si>
  <si>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</si>
  <si>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</si>
  <si>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</si>
  <si>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</si>
  <si>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</si>
  <si>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</si>
  <si>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</si>
  <si>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</si>
  <si>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</si>
  <si>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</si>
  <si>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</si>
  <si>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</si>
  <si>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</si>
  <si>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</si>
  <si>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</si>
  <si>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</si>
  <si>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</si>
  <si>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</si>
  <si>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</si>
  <si>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</si>
  <si>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</si>
  <si>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</si>
  <si>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</si>
  <si>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</si>
  <si>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</si>
  <si>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</si>
  <si>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</si>
  <si>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</si>
  <si>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</si>
  <si>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</si>
  <si>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</si>
  <si>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</si>
  <si>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</si>
  <si>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</si>
  <si>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</si>
  <si>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</si>
  <si>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</si>
  <si>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</si>
  <si>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</si>
  <si>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</si>
  <si>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</si>
  <si>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</si>
  <si>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</si>
  <si>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</si>
  <si>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</si>
  <si>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</si>
  <si>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</si>
  <si>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</si>
  <si>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</si>
  <si>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深圳区域公司深圳非住二片区运营中心</t>
  </si>
  <si>
    <t>面积相关信息</t>
  </si>
  <si>
    <t>城市</t>
  </si>
  <si>
    <t>深圳市</t>
  </si>
  <si>
    <t>分类</t>
  </si>
  <si>
    <t>单位</t>
  </si>
  <si>
    <t>创建组织</t>
  </si>
  <si>
    <t>深圳区域公司</t>
  </si>
  <si>
    <t>项目ID</t>
  </si>
  <si>
    <t>总户数</t>
  </si>
  <si>
    <t>项目编码</t>
  </si>
  <si>
    <t>U1015000326</t>
  </si>
  <si>
    <t>车位总数</t>
  </si>
  <si>
    <t>深圳区域公司深圳中海油大厦物业管理服务中心</t>
  </si>
  <si>
    <t>建筑面积</t>
  </si>
  <si>
    <t>项目类型</t>
  </si>
  <si>
    <t>正常期</t>
  </si>
  <si>
    <t>项目来源</t>
  </si>
  <si>
    <t>收费面积</t>
  </si>
  <si>
    <t>项目性质</t>
  </si>
  <si>
    <t>非住</t>
  </si>
  <si>
    <t>业务组织</t>
  </si>
  <si>
    <t>定档</t>
  </si>
  <si>
    <t>接管时间</t>
  </si>
  <si>
    <t>2016-09-01</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</si>
  <si>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</si>
  <si>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</si>
  <si>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</si>
  <si>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</si>
  <si>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</si>
  <si>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</si>
  <si>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</si>
  <si>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</si>
  <si>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</si>
  <si>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</si>
  <si>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</si>
  <si>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</si>
  <si>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</si>
  <si>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</si>
  <si>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</si>
  <si>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</si>
  <si>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</si>
  <si>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</si>
  <si>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</si>
  <si>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</si>
  <si>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</si>
  <si>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</si>
  <si>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</si>
  <si>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</si>
  <si>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</si>
  <si>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</si>
  <si>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</si>
  <si>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</si>
  <si>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</si>
  <si>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</si>
  <si>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</si>
  <si>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</si>
  <si>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</si>
  <si>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</si>
  <si>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</si>
  <si>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</si>
  <si>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</si>
  <si>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</si>
  <si>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</si>
  <si>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</si>
  <si>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</si>
  <si>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</si>
  <si>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</si>
  <si>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</si>
  <si>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</si>
  <si>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</si>
  <si>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</si>
  <si>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</si>
  <si>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</si>
  <si>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</si>
  <si>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</si>
  <si>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</si>
  <si>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</si>
  <si>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</si>
  <si>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</si>
  <si>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</si>
  <si>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</si>
  <si>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</si>
  <si>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</si>
  <si>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</si>
  <si>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</si>
  <si>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</si>
  <si>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</si>
  <si>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</si>
  <si>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</si>
  <si>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</si>
  <si>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</si>
  <si>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</si>
  <si>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</si>
  <si>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</si>
  <si>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</si>
  <si>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</si>
  <si>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</si>
  <si>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</si>
  <si>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</si>
  <si>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</si>
  <si>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</si>
  <si>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</si>
  <si>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</si>
  <si>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</si>
  <si>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</si>
  <si>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</si>
  <si>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</si>
  <si>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</si>
  <si>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</si>
  <si>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</si>
  <si>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</si>
  <si>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</si>
  <si>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</si>
  <si>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</si>
  <si>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</si>
  <si>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</si>
  <si>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</si>
  <si>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</si>
  <si>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</si>
  <si>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</si>
  <si>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</si>
  <si>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</si>
  <si>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</si>
  <si>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</si>
  <si>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</si>
  <si>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</si>
  <si>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</si>
  <si>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</si>
  <si>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</si>
  <si>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</si>
  <si>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</si>
  <si>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</si>
  <si>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</si>
  <si>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</si>
  <si>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</si>
  <si>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</si>
  <si>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</si>
  <si>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</si>
  <si>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</si>
  <si>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</si>
  <si>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</si>
  <si>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</si>
  <si>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</si>
  <si>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</si>
  <si>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</si>
  <si>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</si>
  <si>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</si>
  <si>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</si>
  <si>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</si>
  <si>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</si>
  <si>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</si>
  <si>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</si>
  <si>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</si>
  <si>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</si>
  <si>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</si>
  <si>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</si>
  <si>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</si>
  <si>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</si>
  <si>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</si>
  <si>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</si>
  <si>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</si>
  <si>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</si>
  <si>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</si>
  <si>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</si>
  <si>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</si>
  <si>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</si>
  <si>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</si>
  <si>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</si>
  <si>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</si>
  <si>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</si>
  <si>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</si>
  <si>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</si>
  <si>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</si>
  <si>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</si>
  <si>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</si>
  <si>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</si>
  <si>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</si>
  <si>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</si>
  <si>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</si>
  <si>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</si>
  <si>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</si>
  <si>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</si>
  <si>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</si>
  <si>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</si>
  <si>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</si>
  <si>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</si>
  <si>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</si>
  <si>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</si>
  <si>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</si>
  <si>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</si>
  <si>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</si>
  <si>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</si>
  <si>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</si>
  <si>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</si>
  <si>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</si>
  <si>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</si>
  <si>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</si>
  <si>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</si>
  <si>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</si>
  <si>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</si>
  <si>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</si>
  <si>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</si>
  <si>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</si>
  <si>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</si>
  <si>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</si>
  <si>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</si>
  <si>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</si>
  <si>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</si>
  <si>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</si>
  <si>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</si>
  <si>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</si>
  <si>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</si>
  <si>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</si>
  <si>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</si>
  <si>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</si>
  <si>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</si>
  <si>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</si>
  <si>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</si>
  <si>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</si>
  <si>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</si>
  <si>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</si>
  <si>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</si>
  <si>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</si>
  <si>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</si>
  <si>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</si>
  <si>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</si>
  <si>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</si>
  <si>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</si>
  <si>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</si>
  <si>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</si>
  <si>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</si>
  <si>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</si>
  <si>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</si>
  <si>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</si>
  <si>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</si>
  <si>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</si>
  <si>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</si>
  <si>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</si>
  <si>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</si>
  <si>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</si>
  <si>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</si>
  <si>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</si>
  <si>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</si>
  <si>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</si>
  <si>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</si>
  <si>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</si>
  <si>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</si>
  <si>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</si>
  <si>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</si>
  <si>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</si>
  <si>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</si>
  <si>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</si>
  <si>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</si>
  <si>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</si>
  <si>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</si>
  <si>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</si>
  <si>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</si>
  <si>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</si>
  <si>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</si>
  <si>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</si>
  <si>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</si>
  <si>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</si>
  <si>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</si>
  <si>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</si>
  <si>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</si>
  <si>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</si>
  <si>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</si>
  <si>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</si>
  <si>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</si>
  <si>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</si>
  <si>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</si>
  <si>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</si>
  <si>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</si>
  <si>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</si>
  <si>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</si>
  <si>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</si>
  <si>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</si>
  <si>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</si>
  <si>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</si>
  <si>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</si>
  <si>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</si>
  <si>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</si>
  <si>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</si>
  <si>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</si>
  <si>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</si>
  <si>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</si>
  <si>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</si>
  <si>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</si>
  <si>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</si>
  <si>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</si>
  <si>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</si>
  <si>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</si>
  <si>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</si>
  <si>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</si>
  <si>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</si>
  <si>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</si>
  <si>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</si>
  <si>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</si>
  <si>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</si>
  <si>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</si>
  <si>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</si>
  <si>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</si>
  <si>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</si>
  <si>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</si>
  <si>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</si>
  <si>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</si>
  <si>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</si>
  <si>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</si>
  <si>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</si>
  <si>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</si>
  <si>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</si>
  <si>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</si>
  <si>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</si>
  <si>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</si>
  <si>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</si>
  <si>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</si>
  <si>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</si>
  <si>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</si>
  <si>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</si>
  <si>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</si>
  <si>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</si>
  <si>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</si>
  <si>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</si>
  <si>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</si>
  <si>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</si>
  <si>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</si>
  <si>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</si>
  <si>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</si>
  <si>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</si>
  <si>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</si>
  <si>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</si>
  <si>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</si>
  <si>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</si>
  <si>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</si>
  <si>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</si>
  <si>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</si>
  <si>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</si>
  <si>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</si>
  <si>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</si>
  <si>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</si>
  <si>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</si>
  <si>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</si>
  <si>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</si>
  <si>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</si>
  <si>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</si>
  <si>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</si>
  <si>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</si>
  <si>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</si>
  <si>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</si>
  <si>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</si>
  <si>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</si>
  <si>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</si>
  <si>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</si>
  <si>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</si>
  <si>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</si>
  <si>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</si>
  <si>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</si>
  <si>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</si>
  <si>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</si>
  <si>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</si>
  <si>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</si>
  <si>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</si>
  <si>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</si>
  <si>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</si>
  <si>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</si>
  <si>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</si>
  <si>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</si>
  <si>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</si>
  <si>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</si>
  <si>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</si>
  <si>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</si>
  <si>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</si>
  <si>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</si>
  <si>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</si>
  <si>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</si>
  <si>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</si>
  <si>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</si>
  <si>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</si>
  <si>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</si>
  <si>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</si>
  <si>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</si>
  <si>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</si>
  <si>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</si>
  <si>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</si>
  <si>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</si>
  <si>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</si>
  <si>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</si>
  <si>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</si>
  <si>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</si>
  <si>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</si>
  <si>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</si>
  <si>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</si>
  <si>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</si>
  <si>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</si>
  <si>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</si>
  <si>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</si>
  <si>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</si>
  <si>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</si>
  <si>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</si>
  <si>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</si>
  <si>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</si>
  <si>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</si>
  <si>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</si>
  <si>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</si>
  <si>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</si>
  <si>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</si>
  <si>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</si>
  <si>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</si>
  <si>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</si>
  <si>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</si>
  <si>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</si>
  <si>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</si>
  <si>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</si>
  <si>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</si>
  <si>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</si>
  <si>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</si>
  <si>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</si>
  <si>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</si>
  <si>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</si>
  <si>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</si>
  <si>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</si>
  <si>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</si>
  <si>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</si>
  <si>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</si>
  <si>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</si>
  <si>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</si>
  <si>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</si>
  <si>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</si>
  <si>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</si>
  <si>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</si>
  <si>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ZXFW-Z-2023-0014</t>
  </si>
  <si>
    <t>HJFW-Z-2025-00673</t>
  </si>
  <si>
    <t>人事外包费-报销单</t>
  </si>
  <si>
    <t>清包</t>
  </si>
  <si>
    <t>半包</t>
  </si>
  <si>
    <t>GCFW-Z-2025-03556</t>
  </si>
  <si>
    <t>GCFW-Z-2025-01302</t>
  </si>
  <si>
    <t>GCFW-Z-2025-00841</t>
  </si>
  <si>
    <t>GCFW-Z-2025-01036</t>
  </si>
  <si>
    <t>GCFW-Z-2025-00799</t>
  </si>
  <si>
    <t>GCFW-Z-2025-00434</t>
  </si>
  <si>
    <t>GCFW-Z-2024-6728</t>
  </si>
  <si>
    <t>GCFW-Z-2025-00652</t>
  </si>
  <si>
    <t>HJFW-Z-2025-00774</t>
  </si>
  <si>
    <t>生活垃圾清运外包-报销单</t>
  </si>
  <si>
    <t>HJFW-Z-2025-00508</t>
  </si>
  <si>
    <t>HJFW-Z-2025-00483</t>
  </si>
  <si>
    <t>HJFW-Z-2025-00229</t>
  </si>
  <si>
    <t>HJFW-Z-2025-00662</t>
  </si>
  <si>
    <t>GCFW-Z-2024-10285</t>
  </si>
  <si>
    <t>GCFW-Z-2024-10268</t>
  </si>
  <si>
    <t>GCFW-Z-2025-01987</t>
  </si>
  <si>
    <t>HJFW-Z-2025-01069</t>
  </si>
  <si>
    <t>财产保险费-报销单</t>
  </si>
  <si>
    <t>咨询服务费-报销单</t>
  </si>
  <si>
    <t>1.1.2.9.2.1</t>
  </si>
  <si>
    <t>诉讼费-报销单</t>
  </si>
  <si>
    <t>QTFW-Z-2025-00233</t>
  </si>
  <si>
    <t>GCFW-Z-2025-05419</t>
  </si>
  <si>
    <t>GCFW-Z-2025-05110</t>
  </si>
  <si>
    <t>XHWZ-Z-2025-00032</t>
  </si>
  <si>
    <t>特种设备年检-报销单</t>
  </si>
  <si>
    <t>GCFW-Z-2024-9379</t>
  </si>
  <si>
    <t>GCFW-Z-2025-01731</t>
  </si>
  <si>
    <t>GCFW-Z-2023-0050</t>
  </si>
  <si>
    <t>GCFW-Z-2025-01677</t>
  </si>
  <si>
    <t>AQFW-Z-2025-00319</t>
  </si>
  <si>
    <t>AQFW-Z-2024-1258</t>
  </si>
  <si>
    <t>XHWZ-Z-2025-00054</t>
  </si>
  <si>
    <t>XHWZ-Z-2025-00041</t>
  </si>
  <si>
    <t>XHWZ-Z-2025-00040</t>
  </si>
  <si>
    <t>GCFW-Z-2025-02002</t>
  </si>
  <si>
    <t>水质检测-报销单</t>
  </si>
  <si>
    <t>GCFW-Z-2024-3558</t>
  </si>
  <si>
    <t>GCFW-Z-2024-8904</t>
  </si>
  <si>
    <t>GCFW-Z-2023-2791</t>
  </si>
  <si>
    <t>QTFW-Z-2025-00016</t>
  </si>
  <si>
    <t>GCFW-Z-2025-00315</t>
  </si>
  <si>
    <t>GCFW-Z-2024-10916</t>
  </si>
  <si>
    <t>QTFW-Z-2024-0632</t>
  </si>
  <si>
    <t>GCFW-Z-2025-01744</t>
  </si>
  <si>
    <t>GCFW-Z-2025-01273</t>
  </si>
  <si>
    <t>QTFW-Z-2025-00040</t>
  </si>
  <si>
    <t>GCFW-Z-2025-00804</t>
  </si>
  <si>
    <t>GCFW-Z-2025-01832</t>
  </si>
  <si>
    <t>GCFW-Z-2025-01828</t>
  </si>
  <si>
    <t>GCFW-Z-2025-01816</t>
  </si>
  <si>
    <t>QTFW-Z-2025-00108</t>
  </si>
  <si>
    <t>GCFW-Z-2025-04619</t>
  </si>
  <si>
    <t>GCFW-Z-2025-04362</t>
  </si>
  <si>
    <t>GCFW-Z-2025-02884</t>
  </si>
  <si>
    <t>GCFW-Z-2025-03191</t>
  </si>
  <si>
    <t>社区文化活动-汇总</t>
  </si>
  <si>
    <t>社区文化费用-报销单</t>
  </si>
  <si>
    <t>办公耗材-合计</t>
  </si>
  <si>
    <t>1.5.2.1</t>
  </si>
  <si>
    <t>1.5.2.1.1</t>
  </si>
  <si>
    <t>办公费-报销单</t>
  </si>
  <si>
    <t>1.5.4.1</t>
  </si>
  <si>
    <t>物业管理费-报销单</t>
  </si>
  <si>
    <t>采购订单物料明细表</t>
  </si>
  <si>
    <t>操作时间:2025年07月31日 14时40分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</si>
  <si>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</si>
  <si>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</si>
  <si>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</si>
  <si>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</si>
  <si>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</si>
  <si>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</si>
  <si>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</si>
  <si>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</si>
  <si>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</si>
  <si>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</si>
  <si>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</si>
  <si>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</si>
  <si>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</si>
  <si>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PO250711000280</t>
  </si>
  <si>
    <t>9010110001</t>
  </si>
  <si>
    <t>零星工程</t>
  </si>
  <si>
    <t>服务类/工程服务类/零星工程</t>
  </si>
  <si>
    <t>深圳华瑞风制冷设备工程有限公司</t>
  </si>
  <si>
    <t>2025-06-26 15:21:11.0</t>
  </si>
  <si>
    <t>U金地智慧服务集团公司/UB深圳区域公司/UBR深圳区域公司深圳非住二片区运营中心/UBRB深圳区域公司深圳中海油大厦物业管理服务中心//</t>
  </si>
  <si>
    <t>3660766</t>
  </si>
  <si>
    <t>PO250702000581</t>
  </si>
  <si>
    <t>10010010012</t>
  </si>
  <si>
    <t xml:space="preserve">甲指专用物料编码 </t>
  </si>
  <si>
    <t>虚拟编码类/虚拟/通用编码/虚拟/通用编码</t>
  </si>
  <si>
    <t>甲指专用物料编码</t>
  </si>
  <si>
    <t>广州传航贸易有限公司</t>
  </si>
  <si>
    <t>2025-06-23 21:21:05.0</t>
  </si>
  <si>
    <t>3634283</t>
  </si>
  <si>
    <t>PO250711000278</t>
  </si>
  <si>
    <t>9050300027</t>
  </si>
  <si>
    <t>其他服务</t>
  </si>
  <si>
    <t>服务类/其他服务类/其他服务</t>
  </si>
  <si>
    <t>深圳市佳宜诚科技有限公司</t>
  </si>
  <si>
    <t>2025-06-23 09:05:59.0</t>
  </si>
  <si>
    <t>3660765</t>
  </si>
  <si>
    <t>PO250704000252</t>
  </si>
  <si>
    <t>深圳市子墨装饰设计工程有限公司</t>
  </si>
  <si>
    <t>2025-06-19 10:47:31.0</t>
  </si>
  <si>
    <t>3645259</t>
  </si>
  <si>
    <t>PO250616000215</t>
  </si>
  <si>
    <t>全兴泰（深圳）实业有限公司</t>
  </si>
  <si>
    <t>2025-06-06 17:55:24.0</t>
  </si>
  <si>
    <t>3612687</t>
  </si>
  <si>
    <t>PO250616000214</t>
  </si>
  <si>
    <t>深圳金深拓贸易有限公司</t>
  </si>
  <si>
    <t>3621217</t>
  </si>
  <si>
    <t>PO250616000213</t>
  </si>
  <si>
    <t>深圳弘佳诚照明科技有限公司</t>
  </si>
  <si>
    <t>3612686</t>
  </si>
  <si>
    <t>PO250616000232</t>
  </si>
  <si>
    <t>深圳市裕长丰贸易有限公司</t>
  </si>
  <si>
    <t>3621277</t>
  </si>
  <si>
    <t>PO250616000218</t>
  </si>
  <si>
    <t>海南真吾乡贸易有限公司五指山分公司</t>
  </si>
  <si>
    <t>2025-06-06 16:57:36.0</t>
  </si>
  <si>
    <t>3612690</t>
  </si>
  <si>
    <t>PO250616000211</t>
  </si>
  <si>
    <t>白玉藏品商贸有限责任公司</t>
  </si>
  <si>
    <t>3621215</t>
  </si>
  <si>
    <t>PO250610000098</t>
  </si>
  <si>
    <t>2020100001</t>
  </si>
  <si>
    <t xml:space="preserve">社区文化活动 </t>
  </si>
  <si>
    <t>家居生活/日杂生活/社区文化活动</t>
  </si>
  <si>
    <t>2025-06-04 17:49:48.0</t>
  </si>
  <si>
    <t>3599711</t>
  </si>
  <si>
    <t>PO250603000464</t>
  </si>
  <si>
    <t>2030010303</t>
  </si>
  <si>
    <t>篮球网 国产 12扣，2个/组 比赛专用，产品工艺：一体编织</t>
  </si>
  <si>
    <t>家居生活/家居家具/户外玩具/游乐设施/户外装饰</t>
  </si>
  <si>
    <t>篮球网</t>
  </si>
  <si>
    <t>上海艾丝薇实业有限公司</t>
  </si>
  <si>
    <t>2025-06-03 20:00:37.0</t>
  </si>
  <si>
    <t>3604471</t>
  </si>
  <si>
    <t>PO250528000265</t>
  </si>
  <si>
    <t>AA6648296</t>
  </si>
  <si>
    <t>LONGDAI/龙代 不锈钢水龙头GYJ MJ-B71037插管平三通水龙头(配0.6米冷热管） 1个</t>
  </si>
  <si>
    <t>工程物资/五金辅料/铝合金板/不锈钢板（更新中）</t>
  </si>
  <si>
    <t>震坤行工业超市（上海）有限公司</t>
  </si>
  <si>
    <t>3594222</t>
  </si>
  <si>
    <t>AE8473528</t>
  </si>
  <si>
    <t>PINLEDI/品乐涤 滚筒刷套装 625341 4"滚刷 含额外滚芯×10 1把</t>
  </si>
  <si>
    <t>工程物资/建筑材料/滚筒刷</t>
  </si>
  <si>
    <t>3594225</t>
  </si>
  <si>
    <t>AA0969320</t>
  </si>
  <si>
    <t>TP-LINK/普联 以太网POE供电交换机 TL-SF1005SP 5口百兆 1台</t>
  </si>
  <si>
    <t>办公类/办公设备/网络产品</t>
  </si>
  <si>
    <t>3594217</t>
  </si>
  <si>
    <t>2020030906</t>
  </si>
  <si>
    <t xml:space="preserve">碱性电池 超霸 2号，2粒/组 </t>
  </si>
  <si>
    <t>家居生活/日杂生活/生活日用</t>
  </si>
  <si>
    <t>碱性电池</t>
  </si>
  <si>
    <t>3604477</t>
  </si>
  <si>
    <t>4080210039</t>
  </si>
  <si>
    <t>除锈剂 WD-40 300ML 物理除锈，安全无酸碱腐蚀</t>
  </si>
  <si>
    <t>清洁物资类/清洁耗材/清洁剂</t>
  </si>
  <si>
    <t>除锈剂</t>
  </si>
  <si>
    <t>3604483</t>
  </si>
  <si>
    <t>4030330013</t>
  </si>
  <si>
    <t>胶皮手套 思达睿 ST-LS0006-L L码 黄色，加厚耐磨，橡胶劳保手套，防油洗碗防水橡胶手套，男女通用，家务清洁，橡胶/乳胶/合成橡胶</t>
  </si>
  <si>
    <t>清洁物资类/清洁工具/胶皮手套</t>
  </si>
  <si>
    <t>胶皮手套</t>
  </si>
  <si>
    <t>3604475</t>
  </si>
  <si>
    <t>4080050615</t>
  </si>
  <si>
    <t>垃圾袋 思达睿 平口袋 120CMx140CM，50只/包，双层：4.4丝，克重：60g/个 黑色</t>
  </si>
  <si>
    <t>清洁物资类/清洁耗材/垃圾袋</t>
  </si>
  <si>
    <t>3604482</t>
  </si>
  <si>
    <t>PO250603000462</t>
  </si>
  <si>
    <t>7050080056</t>
  </si>
  <si>
    <t>T5LED灯管 佛山照明 经典系列 220V，16W，4000K中性光，1.2M 每30支/箱</t>
  </si>
  <si>
    <t>工程物资/LED灯具/T5LED灯管</t>
  </si>
  <si>
    <t>T5LED灯管</t>
  </si>
  <si>
    <t>广州市鸿志机电工程有限公司</t>
  </si>
  <si>
    <t>3604468</t>
  </si>
  <si>
    <t>AC6266653</t>
  </si>
  <si>
    <t>ZKH/震坤行 单组份幕墙结构胶 995 白色 590mL 1支</t>
  </si>
  <si>
    <t>工程物资/五金辅料/结构胶</t>
  </si>
  <si>
    <t>3594220</t>
  </si>
  <si>
    <t>AE2252386</t>
  </si>
  <si>
    <t>HIKVISION/海康威视 500m电梯网桥套装(不含安装) DS-3WF0EC-5ACTE/R 1对 1套</t>
  </si>
  <si>
    <t>3594227</t>
  </si>
  <si>
    <t>4080210049</t>
  </si>
  <si>
    <t>去污剂 超宝 DFF014 3.8L/瓶 中性抑菌清洁剂，气味清新，泡沫小，渗透力强</t>
  </si>
  <si>
    <t>去污剂</t>
  </si>
  <si>
    <t>3604474</t>
  </si>
  <si>
    <t>AE1334931</t>
  </si>
  <si>
    <t>SHENGWEI/胜为 USB2.0转RJ45百兆有线网卡接口转换器 UR-301W 白色 1个</t>
  </si>
  <si>
    <t>办公类/办公设备/外设产品</t>
  </si>
  <si>
    <t>3594226</t>
  </si>
  <si>
    <t>4010070068</t>
  </si>
  <si>
    <t>吸水机 超宝 CB80-3 80L，三电机，不锈钢桶，意式马达3000W，商品毛重：18KG 干湿两用</t>
  </si>
  <si>
    <t>清洁物资类/清洁设备/吸尘器/吸水机/吸水吸尘两用机</t>
  </si>
  <si>
    <t>吸水机</t>
  </si>
  <si>
    <t>3604472</t>
  </si>
  <si>
    <t>PO250603000461</t>
  </si>
  <si>
    <t>3080040574</t>
  </si>
  <si>
    <t>KT板 清洁车辆停放处 220x80MM，厚度5MM KT板裱车贴+覆哑膜</t>
  </si>
  <si>
    <t>形象视觉/广告宣传/kt板</t>
  </si>
  <si>
    <t>东莞科驱实业投资有限公司</t>
  </si>
  <si>
    <t>3604464</t>
  </si>
  <si>
    <t>PO250603000465</t>
  </si>
  <si>
    <t>6020020202</t>
  </si>
  <si>
    <t>灭火器 援邦 手提式ABC干粉灭火器MFZ/ABC5 5KG 碳钢瓶体</t>
  </si>
  <si>
    <t>消防安保/消防器材/灭火器</t>
  </si>
  <si>
    <t>浙江援邦消防科技有限公司</t>
  </si>
  <si>
    <t>3604484</t>
  </si>
  <si>
    <t>3080040578</t>
  </si>
  <si>
    <t>KT板 电动车（自行车）停放处 80x80MM，厚度5MM KT板裱车贴+覆哑膜</t>
  </si>
  <si>
    <t>3604465</t>
  </si>
  <si>
    <t>AA3518706</t>
  </si>
  <si>
    <t>XT/鑫涛 滚筒刷 6寸 1把</t>
  </si>
  <si>
    <t>3594223</t>
  </si>
  <si>
    <t>3070014341</t>
  </si>
  <si>
    <t>PVC 请勿吸烟竖 200x280MM，厚度5MM 高密PVC雕刻+UV喷绘</t>
  </si>
  <si>
    <t>形象视觉/标识标牌/亚克力</t>
  </si>
  <si>
    <t>PVC</t>
  </si>
  <si>
    <t>3604463</t>
  </si>
  <si>
    <t>AE3913592</t>
  </si>
  <si>
    <t>YJGH/咏基歌航 面盆龙头 HJDL-008 1个</t>
  </si>
  <si>
    <t>工程物资/五金辅料/水龙头</t>
  </si>
  <si>
    <t>3594221</t>
  </si>
  <si>
    <t>4080210118</t>
  </si>
  <si>
    <t>洗衣粉 雕牌 花香型 508G 功效：去污/去渍，包装形式：袋装</t>
  </si>
  <si>
    <t>洗衣粉</t>
  </si>
  <si>
    <t>3604476</t>
  </si>
  <si>
    <t>PM5252</t>
  </si>
  <si>
    <t>BULL/公牛 排插 GN-B5030-1.8m 1个</t>
  </si>
  <si>
    <t>工程物资/电工物料/排插</t>
  </si>
  <si>
    <t>3594218</t>
  </si>
  <si>
    <t>7050080054</t>
  </si>
  <si>
    <t>T5LED灯管 佛山照明 经典系列 220V，16W，6500K白光，1.2M 每30支/箱</t>
  </si>
  <si>
    <t>3604467</t>
  </si>
  <si>
    <t>AA4215646</t>
  </si>
  <si>
    <t>NIPPON/立邦 绮得丽内墙乳胶漆 白色 白色 22kg 1桶</t>
  </si>
  <si>
    <t>工程物资/油漆/其他油漆</t>
  </si>
  <si>
    <t>3594224</t>
  </si>
  <si>
    <t>4080050630</t>
  </si>
  <si>
    <t>垃圾袋 思达睿 连卷式/点断式 44CMx50CM，50个/卷，2卷/组，双层：1.8丝，克重：3.6g/个 黑色</t>
  </si>
  <si>
    <t>3604480</t>
  </si>
  <si>
    <t>1020080778</t>
  </si>
  <si>
    <t>工牌，胸牌 管家工牌 70x20MM 不锈钢，镭射电镀</t>
  </si>
  <si>
    <t>办公类/办公耗材/文件管理</t>
  </si>
  <si>
    <t>工牌，胸牌</t>
  </si>
  <si>
    <t>3604466</t>
  </si>
  <si>
    <t>PO250603000463</t>
  </si>
  <si>
    <t>6050020061</t>
  </si>
  <si>
    <t>摄像机 海康威视 DS-2SC3Q120MY-TE 镜头焦距4MM，像素200万，支持POE供电 PT球型网络摄像机</t>
  </si>
  <si>
    <t>消防安保/安防设施/摄像机</t>
  </si>
  <si>
    <t>广东乐泽智联有限公司</t>
  </si>
  <si>
    <t>3604469</t>
  </si>
  <si>
    <t>4080050612</t>
  </si>
  <si>
    <t>垃圾袋 思达睿 加厚平口袋 85CMx100CM，50只/包，双层：4.8丝，克重：48g/个 黑色</t>
  </si>
  <si>
    <t>3604481</t>
  </si>
  <si>
    <t>AE6719095</t>
  </si>
  <si>
    <t>SUSHI/苏识 空调挡风板 SS-HYB-006 600×200mm ABS+PVC材质 白色 百叶塑钢款 1个</t>
  </si>
  <si>
    <t>工程物资/空调/空调配件（中央空调维修）</t>
  </si>
  <si>
    <t>3594219</t>
  </si>
  <si>
    <t>2010030455</t>
  </si>
  <si>
    <t>托盘 思达睿 中号，约直径：35.5CM，底盘：31.5CM，高：2CM 钢化塑料托盘，防滑</t>
  </si>
  <si>
    <t>家居生活/厨房卫浴/厨具</t>
  </si>
  <si>
    <t>托盘</t>
  </si>
  <si>
    <t>3604470</t>
  </si>
  <si>
    <t>4080050658</t>
  </si>
  <si>
    <t>垃圾袋 思达睿 平口袋 60CMx70CM，50只/包，双层：2.2丝，克重：8.5g/个 黑色</t>
  </si>
  <si>
    <t>3604479</t>
  </si>
  <si>
    <t>4080210007</t>
  </si>
  <si>
    <t>洗洁精 立白 1.5KG 果蔬清洗，餐洗净，洗洁精，快速去油不伤手</t>
  </si>
  <si>
    <t>洗洁精</t>
  </si>
  <si>
    <t>3604478</t>
  </si>
  <si>
    <t>4080210020</t>
  </si>
  <si>
    <t>除油剂 白云 JB116 3.78L/瓶 强力化油剂，液体颜色：浅黄色透明液体，大容量，清洁分解，气味清新</t>
  </si>
  <si>
    <t>除油剂</t>
  </si>
  <si>
    <t>3604473</t>
  </si>
  <si>
    <t>PO250610000102</t>
  </si>
  <si>
    <t>2025-06-03 20:00:19.0</t>
  </si>
  <si>
    <t>3599713</t>
  </si>
  <si>
    <t>PO250530000004</t>
  </si>
  <si>
    <t>9050090037</t>
  </si>
  <si>
    <t>招聘服务 智联招聘 智聊卡升级版 按个计价 持有产品的账号可享有每日100次畅聊权益，50个在线职位数与超级曝光权益；智联币兑换道具产品享6折优惠</t>
  </si>
  <si>
    <t>服务类/其他服务类/招聘服务</t>
  </si>
  <si>
    <t>招聘服务</t>
  </si>
  <si>
    <t>北京网聘信息技术有限公司深圳分公司</t>
  </si>
  <si>
    <t>2025-05-30 08:48:06.0</t>
  </si>
  <si>
    <t>3594854</t>
  </si>
  <si>
    <t>PO250530000060</t>
  </si>
  <si>
    <t>深圳沁园水处理设备有限公司</t>
  </si>
  <si>
    <t>2025-05-28 14:37:07.0</t>
  </si>
  <si>
    <t>3594921</t>
  </si>
  <si>
    <t>PO250613000264</t>
  </si>
  <si>
    <t>9010080001</t>
  </si>
  <si>
    <t>化粪池清掏</t>
  </si>
  <si>
    <t>服务类/工程服务类/化粪池清掏</t>
  </si>
  <si>
    <t>深圳市沙头市政服务有限公司</t>
  </si>
  <si>
    <t>2025-05-19 16:37:11.0</t>
  </si>
  <si>
    <t>3612163</t>
  </si>
  <si>
    <t>PO250701000233</t>
  </si>
  <si>
    <t>9010180001</t>
  </si>
  <si>
    <t>其他工程服务</t>
  </si>
  <si>
    <t>服务类/工程服务类/其他工程服务</t>
  </si>
  <si>
    <t>环峰（深圳）厨房工程服务有限公司</t>
  </si>
  <si>
    <t>2025-05-15 18:19:53.0</t>
  </si>
  <si>
    <t>3641708</t>
  </si>
  <si>
    <t>PO250516000258</t>
  </si>
  <si>
    <t>深圳市品之生物科技有限公司</t>
  </si>
  <si>
    <t>2025-05-15 14:34:42.0</t>
  </si>
  <si>
    <t>3578390</t>
  </si>
  <si>
    <t>PO250519000082</t>
  </si>
  <si>
    <t>2025-05-14 17:54:00.0</t>
  </si>
  <si>
    <t>3587613</t>
  </si>
  <si>
    <t>PO250519000084</t>
  </si>
  <si>
    <t>3579257</t>
  </si>
  <si>
    <t>PO250519000085</t>
  </si>
  <si>
    <t>3579258</t>
  </si>
  <si>
    <t>PO250520000040</t>
  </si>
  <si>
    <t>3579913</t>
  </si>
  <si>
    <t>PO250520000042</t>
  </si>
  <si>
    <t>2025-05-13 16:39:23.0</t>
  </si>
  <si>
    <t>3588160</t>
  </si>
  <si>
    <t>PO250508000167</t>
  </si>
  <si>
    <t>AE1154800</t>
  </si>
  <si>
    <t>MAWOSI/马沃斯 文件柜锁芯 TZJ-单开款 23×16×46mm 含钥匙×2 不含安装 1把</t>
  </si>
  <si>
    <t>工程物资/五金辅料/锁芯</t>
  </si>
  <si>
    <t>2025-05-08 15:07:12.0</t>
  </si>
  <si>
    <t>3580828</t>
  </si>
  <si>
    <t>AE3749976</t>
  </si>
  <si>
    <t>ZKH/震坤行 高品质硒鼓碳粉盒 ZKH-CC388A易加粉 黑色 适用HP LaserJet P1007/P1008/1106/P1108/Pro M1136/M1213nf/M1216/M126a/M126nw/M128fn/M128fp/M226dn/M202n/M202dw 1个</t>
  </si>
  <si>
    <t>办公类/办公设备/设备耗材</t>
  </si>
  <si>
    <t>3580826</t>
  </si>
  <si>
    <t>PO250508000296</t>
  </si>
  <si>
    <t>3070014207</t>
  </si>
  <si>
    <t>亚克力 人防工程管理流程 580x900MM，厚度10MM 亚克力雕刻，UV喷绘，贴保护膜+卡槽</t>
  </si>
  <si>
    <t>亚克力</t>
  </si>
  <si>
    <t>3571976</t>
  </si>
  <si>
    <t>AC6270642</t>
  </si>
  <si>
    <t>FANJIA/繁佳 加长洗衣机水龙头 GYJ-DN15-4分 135×90mm 1个</t>
  </si>
  <si>
    <t>3580825</t>
  </si>
  <si>
    <t>AE2564176</t>
  </si>
  <si>
    <t>HYSTIC/海斯迪克 HKK-12系列密封胶泥 76×55×17mm 5包 1盒</t>
  </si>
  <si>
    <t>工程物资/五金辅料/密封胶</t>
  </si>
  <si>
    <t>3580827</t>
  </si>
  <si>
    <t>3110010161</t>
  </si>
  <si>
    <t>灭火器消火栓检查记录表 100x70MM/120x80MM 120g胶版纸，四色印刷</t>
  </si>
  <si>
    <t>形象视觉/表格印刷/宣传单/安全类</t>
  </si>
  <si>
    <t>灭火器消火栓检查记录表</t>
  </si>
  <si>
    <t>3571977</t>
  </si>
  <si>
    <t>3070014209</t>
  </si>
  <si>
    <t>亚克力 天台警示 570x250MM，厚度5MM 亚克力雕刻，UV喷绘，贴保护膜</t>
  </si>
  <si>
    <t>3571978</t>
  </si>
  <si>
    <t>3080030420</t>
  </si>
  <si>
    <t>海报 宣传海报 600x900MM PP贴纸，四色印刷</t>
  </si>
  <si>
    <t>形象视觉/广告宣传/海报/宣传单/宣传册</t>
  </si>
  <si>
    <t>海报</t>
  </si>
  <si>
    <t>3571975</t>
  </si>
  <si>
    <t>PO250429000086</t>
  </si>
  <si>
    <t>FR2990</t>
  </si>
  <si>
    <t>M&amp;G/晨光 彩色复印纸 APYVPB01 粉红色 A4 80g 100张装 1包</t>
  </si>
  <si>
    <t>办公类/办公耗材/办公用纸</t>
  </si>
  <si>
    <t>2025-05-07 23:11:04.0</t>
  </si>
  <si>
    <t>3566949</t>
  </si>
  <si>
    <t>PO250507000523</t>
  </si>
  <si>
    <t>2020041565</t>
  </si>
  <si>
    <t xml:space="preserve">咖啡伴侣 维记 奶油球 10ML/粒，40粒/袋，10袋/箱 </t>
  </si>
  <si>
    <t>家居生活/日杂生活/食品饮料酒水</t>
  </si>
  <si>
    <t>咖啡伴侣</t>
  </si>
  <si>
    <t>3580426</t>
  </si>
  <si>
    <t>AE2424095</t>
  </si>
  <si>
    <t>ZKH/震坤行 塑封膜 HBG-SF4071 适合A4文件 220×307mm 厚度为70mic 100张 1盒</t>
  </si>
  <si>
    <t>3566953</t>
  </si>
  <si>
    <t>WR9659</t>
  </si>
  <si>
    <t>ZKH/震坤行 按动中性笔 30202 0.5mm 黑色 12支 1盒</t>
  </si>
  <si>
    <t>办公类/办公耗材/笔类</t>
  </si>
  <si>
    <t>3566948</t>
  </si>
  <si>
    <t>2020010394</t>
  </si>
  <si>
    <t>吸油纸 可伶可俐 60片/包 功效：收缩毛孔，控油，补水</t>
  </si>
  <si>
    <t>家居生活/日杂生活/个人护理</t>
  </si>
  <si>
    <t>吸油纸</t>
  </si>
  <si>
    <t>3580430</t>
  </si>
  <si>
    <t>AJ3611</t>
  </si>
  <si>
    <t>BULL/公牛 单开关接线板 GN-410-3M 1个</t>
  </si>
  <si>
    <t>3566961</t>
  </si>
  <si>
    <t>2020010334</t>
  </si>
  <si>
    <t>毛巾 国产 纯棉方巾 30CMx30CM，50条/包 白色</t>
  </si>
  <si>
    <t>毛巾</t>
  </si>
  <si>
    <t>3580428</t>
  </si>
  <si>
    <t>AE1317011</t>
  </si>
  <si>
    <t>DELI/得力 塑柄螺丝批 DL620108 8件 1套</t>
  </si>
  <si>
    <t>工程物资/手动工具/一字螺丝刀/十字螺丝刀/组合螺丝刀</t>
  </si>
  <si>
    <t>3566959</t>
  </si>
  <si>
    <t>2020010399</t>
  </si>
  <si>
    <t>沐浴露 舒肤佳 纯白清香 1KG 滋润保湿，男女士通用</t>
  </si>
  <si>
    <t>沐浴露</t>
  </si>
  <si>
    <t>3580432</t>
  </si>
  <si>
    <t>3580437</t>
  </si>
  <si>
    <t>2020010407</t>
  </si>
  <si>
    <t>发绳 优家 细绳 100根/盒 黑色</t>
  </si>
  <si>
    <t>发绳</t>
  </si>
  <si>
    <t>3580431</t>
  </si>
  <si>
    <t>2020010459</t>
  </si>
  <si>
    <t>发胶 正彩 YM 200ML/瓶 定型喷雾</t>
  </si>
  <si>
    <t>发胶</t>
  </si>
  <si>
    <t>3580425</t>
  </si>
  <si>
    <t>AC2909789</t>
  </si>
  <si>
    <t>ZKH/震坤行 便利贴 BG76764 76×76mm 400张 混色 1包</t>
  </si>
  <si>
    <t>办公类/办公耗材/本册/便签</t>
  </si>
  <si>
    <t>3566952</t>
  </si>
  <si>
    <t>NA2043</t>
  </si>
  <si>
    <t>DELI/得力 6件套金属柄钟表批 DL3206 1套</t>
  </si>
  <si>
    <t>3566958</t>
  </si>
  <si>
    <t>3580434</t>
  </si>
  <si>
    <t>AC2016599</t>
  </si>
  <si>
    <t>ZKH/震坤行 彩色电脑打印纸 241-3 1/2 3联 二等分 压线 彩色 1000页 1箱</t>
  </si>
  <si>
    <t>3566955</t>
  </si>
  <si>
    <t>2020070573</t>
  </si>
  <si>
    <t xml:space="preserve">创可贴 弘迪 100片装 </t>
  </si>
  <si>
    <t>家居生活/日杂生活/医疗保健</t>
  </si>
  <si>
    <t>创可贴</t>
  </si>
  <si>
    <t>3580427</t>
  </si>
  <si>
    <t>3580433</t>
  </si>
  <si>
    <t>2020070482</t>
  </si>
  <si>
    <t xml:space="preserve">碘伏棉棒 海氏海诺 20支/盒，2盒/组 </t>
  </si>
  <si>
    <t>碘伏棉棒</t>
  </si>
  <si>
    <t>3580429</t>
  </si>
  <si>
    <t>AC8800958</t>
  </si>
  <si>
    <t>LESSO/联塑 PVC存水弯S型(带检查口) De50 排水配件 白色 1只</t>
  </si>
  <si>
    <t>工程物资/管材/PVC排水管管件</t>
  </si>
  <si>
    <t>3566964</t>
  </si>
  <si>
    <t>AC8152814</t>
  </si>
  <si>
    <t>EXPLOIT/开拓 桶装式工业版压胶枪 101692 15" 1把</t>
  </si>
  <si>
    <t>工程物资/手动工具/玻璃胶枪/结构胶枪</t>
  </si>
  <si>
    <t>3566962</t>
  </si>
  <si>
    <t>3580435</t>
  </si>
  <si>
    <t>PO250507000522</t>
  </si>
  <si>
    <t>7050090083</t>
  </si>
  <si>
    <t>T8LED灯管 佛山照明 T8LED微波感应灯管 220V，18W，6500K白光，1200MM 5.8G微波，待机3W，全亮18W，超炫，每25支/箱</t>
  </si>
  <si>
    <t>工程物资/LED灯具/T8LED灯管</t>
  </si>
  <si>
    <t>T8LED灯管</t>
  </si>
  <si>
    <t>3580424</t>
  </si>
  <si>
    <t>AE0551690</t>
  </si>
  <si>
    <t>UGREEN/绿联 拓展坞 90370 Type-C转HDMI 4口USB3.0 五合一多功能 4K 30Hz(极简款) 1个</t>
  </si>
  <si>
    <t>3566950</t>
  </si>
  <si>
    <t>AC8800873</t>
  </si>
  <si>
    <t>LESSO/联塑 PVC排水管I De50×2mm×4m 白色 1根</t>
  </si>
  <si>
    <t>工程物资/管材/PVC排水管</t>
  </si>
  <si>
    <t>3566963</t>
  </si>
  <si>
    <t>AA3498599</t>
  </si>
  <si>
    <t>LESSO/联塑 PVC电线槽(A槽) 24×14mm 2m 白色 1根</t>
  </si>
  <si>
    <t>工程物资/电工物料/变压器</t>
  </si>
  <si>
    <t>3566960</t>
  </si>
  <si>
    <t>AA0305989</t>
  </si>
  <si>
    <t>PRINT-RITE/天威 硒鼓专业装 PR-CE310AR 黑色 适用HP LaserJet Pro CP1025 CP1025NW HP LASERJET PRO M175A M175NW HP TOPSHOT LASERJET PRO M275 1200页 1个</t>
  </si>
  <si>
    <t>3566954</t>
  </si>
  <si>
    <t>AA4608550</t>
  </si>
  <si>
    <t>M&amp;G/晨光 普惠型皮面记事本 APY1AK78 32K 80页 黑色 1本</t>
  </si>
  <si>
    <t>3566956</t>
  </si>
  <si>
    <t>3580436</t>
  </si>
  <si>
    <t>AE3297306</t>
  </si>
  <si>
    <t>DILINGQU/第零区 防火门把手 DLQ-3447 1对</t>
  </si>
  <si>
    <t>工程物资/五金辅料/把手</t>
  </si>
  <si>
    <t>3566965</t>
  </si>
  <si>
    <t>HU9162</t>
  </si>
  <si>
    <t>LOGITECH/罗技 无线鼠标键盘套装 MK275 1套</t>
  </si>
  <si>
    <t>办公类/办公设备/电脑配件</t>
  </si>
  <si>
    <t>3566951</t>
  </si>
  <si>
    <t>AA3239541</t>
  </si>
  <si>
    <t>TP-LINK/普联 POE交换机 TL-SF1009P 9口 1个</t>
  </si>
  <si>
    <t>3566957</t>
  </si>
  <si>
    <t>PO250430000061</t>
  </si>
  <si>
    <t>深圳市一格文仪家具有限公司</t>
  </si>
  <si>
    <t>2025-04-28 10:52:55.0</t>
  </si>
  <si>
    <t>3567396</t>
  </si>
  <si>
    <t>PO250430000076</t>
  </si>
  <si>
    <t>2025-04-28 10:52:42.0</t>
  </si>
  <si>
    <t>3558122</t>
  </si>
  <si>
    <t>PO250425000238</t>
  </si>
  <si>
    <t>2025-04-23 18:57:16.0</t>
  </si>
  <si>
    <t>3565477</t>
  </si>
  <si>
    <t>PO250430000031</t>
  </si>
  <si>
    <t>深圳市南山区壹醇茶馆（个体工商户）</t>
  </si>
  <si>
    <t>3557932</t>
  </si>
  <si>
    <t>PO250425000241</t>
  </si>
  <si>
    <t>深圳市南山区张记开锁王服务中心</t>
  </si>
  <si>
    <t>3556020</t>
  </si>
  <si>
    <t>PO250430000030</t>
  </si>
  <si>
    <t>3557931</t>
  </si>
  <si>
    <t>PO250430000077</t>
  </si>
  <si>
    <t>3567403</t>
  </si>
  <si>
    <t>PO250430000029</t>
  </si>
  <si>
    <t>深圳市好春源贸易有限公司</t>
  </si>
  <si>
    <t>3567351</t>
  </si>
  <si>
    <t>PO250425000237</t>
  </si>
  <si>
    <t>2025-04-21 17:28:29.0</t>
  </si>
  <si>
    <t>3556007</t>
  </si>
  <si>
    <t>PO250421000093</t>
  </si>
  <si>
    <t>2025-04-21 10:11:45.0</t>
  </si>
  <si>
    <t>3562230</t>
  </si>
  <si>
    <t>PO250416000038</t>
  </si>
  <si>
    <t>AA2292034</t>
  </si>
  <si>
    <t>BAOPINFANG/寶品坊 防风防雾防飞溅护目镜 BPF-HMJ01 防刮擦 1副</t>
  </si>
  <si>
    <t>消防安保/常规防疫应急物资（更新中）/护目镜（更新中）</t>
  </si>
  <si>
    <t>3539572</t>
  </si>
  <si>
    <t>GU0343</t>
  </si>
  <si>
    <t>BOSI/波斯 管子台虎钳 BS522101 1# 1台</t>
  </si>
  <si>
    <t>工程物资/手动工具/台虎钳</t>
  </si>
  <si>
    <t>3539557</t>
  </si>
  <si>
    <t>AA7565909</t>
  </si>
  <si>
    <t>ZKH/震坤行 加重型管子钳 HHT-PW12 12" 1把</t>
  </si>
  <si>
    <t>工程物资/手动工具/管钳</t>
  </si>
  <si>
    <t>3539562</t>
  </si>
  <si>
    <t>4030240077</t>
  </si>
  <si>
    <t>水桶 超宝 B-100B 14L 不锈钢提条，带刻度加水桶</t>
  </si>
  <si>
    <t>清洁物资类/清洁工具/水桶</t>
  </si>
  <si>
    <t>水桶</t>
  </si>
  <si>
    <t>3562225</t>
  </si>
  <si>
    <t>3562227</t>
  </si>
  <si>
    <t>AE9000583</t>
  </si>
  <si>
    <t>DELI/得力 2H铅笔 33310 简易包装 10支 1盒</t>
  </si>
  <si>
    <t>3539596</t>
  </si>
  <si>
    <t>AA5134793</t>
  </si>
  <si>
    <t>DELIXI/德力西 CD210系列一位二极一位三极插座10A Q86ZS 暗装 1个</t>
  </si>
  <si>
    <t>3539581</t>
  </si>
  <si>
    <t>AA1819451</t>
  </si>
  <si>
    <t>SAMZHE/山泽 六类网络水晶头 WL-6100 100个 1盒</t>
  </si>
  <si>
    <t>3539552</t>
  </si>
  <si>
    <t>AU5139</t>
  </si>
  <si>
    <t>QIFAN/起帆 铜芯聚氯乙烯绝缘布电线 BV-450/750V-1×2.5 绿 100m 1卷</t>
  </si>
  <si>
    <t>工程物资/电工物料/电线</t>
  </si>
  <si>
    <t>3539569</t>
  </si>
  <si>
    <t>AA2539652</t>
  </si>
  <si>
    <t>SLSY/三乐事业 聚四氟乙烯生料带 0.12mm×19mm×20m 无油高密度 加厚 1卷</t>
  </si>
  <si>
    <t>工程物资/五金辅料/生料带</t>
  </si>
  <si>
    <t>3539564</t>
  </si>
  <si>
    <t>AA3020444</t>
  </si>
  <si>
    <t>ZKH/震坤行 单组份幕墙结构胶 995-G 590mL 灰色 1支</t>
  </si>
  <si>
    <t>3539594</t>
  </si>
  <si>
    <t>FU8006</t>
  </si>
  <si>
    <t>AMICO/埃美柯 169系列黄铜闸阀 Z15W-16T-DN15 内螺纹接口 公称压力16bar 1个</t>
  </si>
  <si>
    <t>工程物资/阀门/闸阀</t>
  </si>
  <si>
    <t>3539566</t>
  </si>
  <si>
    <t>FR2786</t>
  </si>
  <si>
    <t>M&amp;G/晨光 橡胶圈 ASC99334 100g 黄色 1包</t>
  </si>
  <si>
    <t>办公类/办公耗材/其他办公文具</t>
  </si>
  <si>
    <t>3539553</t>
  </si>
  <si>
    <t>AU8685</t>
  </si>
  <si>
    <t>ZKH/震坤行 Tuf-Coton 400g棉纱作业手套 10450 均码 10针 1副</t>
  </si>
  <si>
    <t>消防安保/安全防护装备/防割手套/棉手套（更新中）</t>
  </si>
  <si>
    <t>3539561</t>
  </si>
  <si>
    <t>AC9332442</t>
  </si>
  <si>
    <t>LONGDAI/龙代 洗衣机龙头 GYJ-4分 66×85×90mm 1个</t>
  </si>
  <si>
    <t>3539565</t>
  </si>
  <si>
    <t>GT8934</t>
  </si>
  <si>
    <t>BOSI/波斯 切割器 BS304013 3-30mm 1把</t>
  </si>
  <si>
    <t>工程物资/手动工具/管割刀</t>
  </si>
  <si>
    <t>3539559</t>
  </si>
  <si>
    <t>HQ8449</t>
  </si>
  <si>
    <t>ANQUAN/安全 25kv绝缘手套 S025 橙色 410±15mm 交流电压21750V 1副</t>
  </si>
  <si>
    <t>工程物资/五金辅料/绝缘手套（更新中）</t>
  </si>
  <si>
    <t>3539587</t>
  </si>
  <si>
    <t>AE0653831</t>
  </si>
  <si>
    <t>AMICO/埃美柯 2266系列黄铜球阀 Q11F-16T-DN15 1个</t>
  </si>
  <si>
    <t>工程物资/阀门/浮球阀/球阀</t>
  </si>
  <si>
    <t>3539555</t>
  </si>
  <si>
    <t>NY4779</t>
  </si>
  <si>
    <t>RG/锐阁 304不锈钢管帽 1/2" DN15 BSPT(ZG)螺纹 1只</t>
  </si>
  <si>
    <t>工程物资/管材/金属管管件</t>
  </si>
  <si>
    <t>3539554</t>
  </si>
  <si>
    <t>AE0244205</t>
  </si>
  <si>
    <t>WJZX/五金专选 自锁式尼龙扎带 ZNL6-A4*250 实际尺寸3.45×250mm 白色 1包</t>
  </si>
  <si>
    <t>工程物资/五金辅料/扎带</t>
  </si>
  <si>
    <t>3539599</t>
  </si>
  <si>
    <t>AA6649890</t>
  </si>
  <si>
    <t>HAIER/海尔 智能平板电视 H32E07A 32" 2K 4GB 含底座 不含安装 1台</t>
  </si>
  <si>
    <t>家居生活/厨房卫浴/生活电器</t>
  </si>
  <si>
    <t>3539583</t>
  </si>
  <si>
    <t>AA2017347</t>
  </si>
  <si>
    <t>TP-LINK/普联 六类非屏蔽网络工程线 TL-EC6-305 305m 1箱</t>
  </si>
  <si>
    <t>3539578</t>
  </si>
  <si>
    <t>3562228</t>
  </si>
  <si>
    <t>AA5086437</t>
  </si>
  <si>
    <t>NOYAFA/精明鼠 网络测线巡线仪 NF-801R 60V 1套</t>
  </si>
  <si>
    <t>工程物资/仪器仪表/万能表</t>
  </si>
  <si>
    <t>3539577</t>
  </si>
  <si>
    <t>GE3483</t>
  </si>
  <si>
    <t>CHINT/正泰 ND16系列信号灯 ND16-22DS/4 安装尺寸D22/D25 220V 红 安装直径22mm 红色 1个</t>
  </si>
  <si>
    <t>工程物资/电工物料/配电柜指示灯</t>
  </si>
  <si>
    <t>3539591</t>
  </si>
  <si>
    <t>AA7005888</t>
  </si>
  <si>
    <t>ZKH/震坤行 数显测电笔 HHT-DVT130 12~220V 130mm 1支</t>
  </si>
  <si>
    <t>工程物资/电工物料/试电笔</t>
  </si>
  <si>
    <t>3539585</t>
  </si>
  <si>
    <t>3562226</t>
  </si>
  <si>
    <t>AA1133201</t>
  </si>
  <si>
    <t>HUXIN/沪欣 镀锌可锻铸铁三通 HX-G-GJ01 15mm 4分内丝锻造镀锌国标 锌色 1个</t>
  </si>
  <si>
    <t>工程物资/管材/弯头（更新中）</t>
  </si>
  <si>
    <t>3539567</t>
  </si>
  <si>
    <t>JQ0507</t>
  </si>
  <si>
    <t>DELIXI/德力西 C45系列导轨 C45铁导轨1.0厚 国标1米 1根</t>
  </si>
  <si>
    <t>3539573</t>
  </si>
  <si>
    <t>3562223</t>
  </si>
  <si>
    <t>AA7565908</t>
  </si>
  <si>
    <t>ZKH/震坤行 加重型管子钳 HHT-PW10 10" 1把</t>
  </si>
  <si>
    <t>3539563</t>
  </si>
  <si>
    <t>AA0064671</t>
  </si>
  <si>
    <t>AMICO/埃美柯 099旋翼湿式冷水表 LXS-15E DN15 最大允许读数99999 旋翼式 1个</t>
  </si>
  <si>
    <t>工程物资/五金辅料/水表</t>
  </si>
  <si>
    <t>3539568</t>
  </si>
  <si>
    <t>AA4108094</t>
  </si>
  <si>
    <t>3J 反光警示胶带 588 黑黄斜纹 50mm×50m 1卷</t>
  </si>
  <si>
    <t>工程物资/五金辅料/警示贴/警示胶带</t>
  </si>
  <si>
    <t>3539600</t>
  </si>
  <si>
    <t>AA1118622</t>
  </si>
  <si>
    <t>ANDANDA/安丹达 一次性口罩 103011 蓝色 耳戴式 50只 1盒</t>
  </si>
  <si>
    <t>消防安保/常规防疫应急物资（更新中）/口罩（更新中）</t>
  </si>
  <si>
    <t>3539595</t>
  </si>
  <si>
    <t>ET4060</t>
  </si>
  <si>
    <t>CHINT/正泰 JR36系列热过载继电器 JR36-20 3.2-5A 1个</t>
  </si>
  <si>
    <t>工程物资/电工物料/继电器</t>
  </si>
  <si>
    <t>3539574</t>
  </si>
  <si>
    <t>AC9614737</t>
  </si>
  <si>
    <t>ZKH/震坤行 高档铝合金方管钢锯架 HHT-HS12 12" 1把</t>
  </si>
  <si>
    <t>工程物资/工具配件/钢锯架/锯弓</t>
  </si>
  <si>
    <t>3539560</t>
  </si>
  <si>
    <t>GU0335</t>
  </si>
  <si>
    <t>BOSI/波斯 抹泥刀 BS529206 250×100mm 1把</t>
  </si>
  <si>
    <t>工程物资/手动工具/灰刀/抹泥刀/油灰刀/砖刀/批刀</t>
  </si>
  <si>
    <t>3539580</t>
  </si>
  <si>
    <t>3539598</t>
  </si>
  <si>
    <t>2010060661</t>
  </si>
  <si>
    <t>电热水壶 志高 1.8L/个 双层防烫自动断电</t>
  </si>
  <si>
    <t>电热水壶</t>
  </si>
  <si>
    <t>3562224</t>
  </si>
  <si>
    <t>AE3192209</t>
  </si>
  <si>
    <t>LESSO/联塑 不锈钢编织软管 WP03215 1个</t>
  </si>
  <si>
    <t>工程物资/五金辅料/软管（更新中）</t>
  </si>
  <si>
    <t>3539592</t>
  </si>
  <si>
    <t>UA9335</t>
  </si>
  <si>
    <t>ANQUAN/安全 20kv绝缘靴 ZX020 41码 黑色 适用电压10000V 1双</t>
  </si>
  <si>
    <t>消防安保/安全防护装备/防暴靴</t>
  </si>
  <si>
    <t>3539588</t>
  </si>
  <si>
    <t>3539582</t>
  </si>
  <si>
    <t>3539597</t>
  </si>
  <si>
    <t>PO250421000092</t>
  </si>
  <si>
    <t>3562222</t>
  </si>
  <si>
    <t>CV5974</t>
  </si>
  <si>
    <t>DELIXI/德力西 RT18 圆筒形帽熔断器底座 RT18-32  座 1个</t>
  </si>
  <si>
    <t>工程物资/电工物料/熔断器</t>
  </si>
  <si>
    <t>3539575</t>
  </si>
  <si>
    <t>FR5060</t>
  </si>
  <si>
    <t>QIFAN/起帆 铜芯聚氯乙烯绝缘布电线 BV-450/750V-1×2.5 红色 100m 1卷</t>
  </si>
  <si>
    <t>3539571</t>
  </si>
  <si>
    <t>TY0457</t>
  </si>
  <si>
    <t>QIFAN/起帆 铜芯聚氯乙烯绝缘布电线 BV-450/750V-1×2.5 黄色 100m 1卷</t>
  </si>
  <si>
    <t>3539570</t>
  </si>
  <si>
    <t>MH0990</t>
  </si>
  <si>
    <t>TAXUE/踏雪 12kV绝缘手套 绝缘手套 均码 1双</t>
  </si>
  <si>
    <t>3539586</t>
  </si>
  <si>
    <t>FP6954</t>
  </si>
  <si>
    <t>CHINT/正泰 NXB-63系列小型断路器 NXB-63 3P C32 C型脱扣 额定电流32A 1个</t>
  </si>
  <si>
    <t>工程物资/电工物料/接触器</t>
  </si>
  <si>
    <t>3539576</t>
  </si>
  <si>
    <t>3539593</t>
  </si>
  <si>
    <t>AE4884523</t>
  </si>
  <si>
    <t>DILINGQU/第零区 出风口挡风板 DLQ-6761 塑钢硬板 链条款 450×450mm 1个</t>
  </si>
  <si>
    <t>3539584</t>
  </si>
  <si>
    <t>GE3485</t>
  </si>
  <si>
    <t>CHINT/正泰 ND16系列信号灯 ND16-22DS/4 安装尺寸D22/D25 220V 绿 安装直径22mm 绿色 1个</t>
  </si>
  <si>
    <t>3539590</t>
  </si>
  <si>
    <t>KH1940</t>
  </si>
  <si>
    <t>CHINT/正泰 ND16系列信号灯 ND16-22DS/4 220V 纯白 安装直径22mm 白色 1个</t>
  </si>
  <si>
    <t>3539589</t>
  </si>
  <si>
    <t>AF2858</t>
  </si>
  <si>
    <t>YATO/易尔拓 管子铰板组套（7件） YT-2900 7件 1/4"-1.1/4" 1套</t>
  </si>
  <si>
    <t>工程物资/手动工具/镀锌管手动套丝机</t>
  </si>
  <si>
    <t>3539558</t>
  </si>
  <si>
    <t>4080050616</t>
  </si>
  <si>
    <t>垃圾袋 思达睿 平口袋 70CMx80CM，50只/包，双层：3.4丝，克重：23g/个 黑色</t>
  </si>
  <si>
    <t>3562229</t>
  </si>
  <si>
    <t>3539579</t>
  </si>
  <si>
    <t>AE1273633</t>
  </si>
  <si>
    <t>ELECALL/伊莱科 压力表缓冲管 M20×1.5转4分 304不锈钢材质 1根</t>
  </si>
  <si>
    <t>工程物资/管材/金属管</t>
  </si>
  <si>
    <t>3539556</t>
  </si>
  <si>
    <t>PO250422000143</t>
  </si>
  <si>
    <t>9010160001</t>
  </si>
  <si>
    <t>工程检测/测量</t>
  </si>
  <si>
    <t>服务类/工程服务类/工程检测/测量</t>
  </si>
  <si>
    <t>广州禧腾电子科技有限公司</t>
  </si>
  <si>
    <t>2025-04-08 15:45:39.0</t>
  </si>
  <si>
    <t>3562994</t>
  </si>
  <si>
    <t>PO250704000253</t>
  </si>
  <si>
    <t>深圳政安电气防火检测有限公司</t>
  </si>
  <si>
    <t>2025-04-08 10:12:14.0</t>
  </si>
  <si>
    <t>3635941</t>
  </si>
  <si>
    <t>PO250603000284</t>
  </si>
  <si>
    <t>中乾工程勘察设计（集团）有限公司</t>
  </si>
  <si>
    <t>2025-04-02 15:56:02.0</t>
  </si>
  <si>
    <t>3604167</t>
  </si>
  <si>
    <t>PO250603000281</t>
  </si>
  <si>
    <t>中国建筑西南勘察设计研究院有限公司</t>
  </si>
  <si>
    <t>3595843</t>
  </si>
  <si>
    <t>PO250325000218</t>
  </si>
  <si>
    <t>2025-03-26 17:11:40.0</t>
  </si>
  <si>
    <t>3525107</t>
  </si>
  <si>
    <t>PO250403000106</t>
  </si>
  <si>
    <t>4070020160</t>
  </si>
  <si>
    <t>抽纸 维达 威牌V2002 100抽x3层x5盒/提，10提/箱</t>
  </si>
  <si>
    <t>清洁物资类/清洁纸品/抽纸</t>
  </si>
  <si>
    <t>抽纸</t>
  </si>
  <si>
    <t>2025-03-25 09:47:53.0</t>
  </si>
  <si>
    <t>3531805</t>
  </si>
  <si>
    <t>2030040067</t>
  </si>
  <si>
    <t xml:space="preserve">固体清新剂 国产 空气清新剂固体 3瓶组合（薰衣+柠檬+茉莉） </t>
  </si>
  <si>
    <t>家居生活/家居家具/家庭环境清洁</t>
  </si>
  <si>
    <t>固体清新剂</t>
  </si>
  <si>
    <t>3531803</t>
  </si>
  <si>
    <t>2020020454</t>
  </si>
  <si>
    <t>纸巾 维达 迷你中心抽大卷纸 2层520节x18卷 卫生间大盘纸卫生纸需搭配多康中心抽分配器使用整箱销售</t>
  </si>
  <si>
    <t>家居生活/日杂生活/清洁用具（更新中）</t>
  </si>
  <si>
    <t>纸巾</t>
  </si>
  <si>
    <t>3531802</t>
  </si>
  <si>
    <t>4070100075</t>
  </si>
  <si>
    <t>马桶坐垫纸 维达 1009101 1层，250张/包，20包/箱 一箱装</t>
  </si>
  <si>
    <t>清洁物资类/清洁纸品/马桶坐垫纸</t>
  </si>
  <si>
    <t>3531804</t>
  </si>
  <si>
    <t>PO250321000355</t>
  </si>
  <si>
    <t>2025-03-25 09:47:12.0</t>
  </si>
  <si>
    <t>3513378</t>
  </si>
  <si>
    <t>AC8881414</t>
  </si>
  <si>
    <t>UNI-T/优利德 四合一气体检测仪氧气可燃气体报警器 UT334E Ex/H2S/CO/O2 1台</t>
  </si>
  <si>
    <t>3513391</t>
  </si>
  <si>
    <t>FR1104</t>
  </si>
  <si>
    <t>LOGITECH/罗技 无线鼠标 M185 黑色灰边 1个</t>
  </si>
  <si>
    <t>3513361</t>
  </si>
  <si>
    <t>AE0003375</t>
  </si>
  <si>
    <t>FANJIA/繁佳 磁力锁 LBX-单门暗装 锁体+吸板 拉力280kg 长259mm 宽42mm 厚25mm 1套</t>
  </si>
  <si>
    <t>消防安保/安防设施/道闸及配件</t>
  </si>
  <si>
    <t>3513358</t>
  </si>
  <si>
    <t>PO250325000036</t>
  </si>
  <si>
    <t>4030060099</t>
  </si>
  <si>
    <t>铲刀 白云 AF06303 长度23CM，宽度10CM 加厚钢管柄身，不锈钢合金刀片</t>
  </si>
  <si>
    <t>清洁物资类/清洁工具/铲刀</t>
  </si>
  <si>
    <t>铲刀</t>
  </si>
  <si>
    <t>3514725</t>
  </si>
  <si>
    <t>2020010495</t>
  </si>
  <si>
    <t>毛巾 登进 纤维毛巾 约30CMx70CM 绿色</t>
  </si>
  <si>
    <t>3514727</t>
  </si>
  <si>
    <t>3514728</t>
  </si>
  <si>
    <t>MG8931</t>
  </si>
  <si>
    <t>QIFAN/起帆 RV-450/750V-1×2.5 黄绿双色 100m 1卷 铜芯聚氯乙烯绝缘连接软电线</t>
  </si>
  <si>
    <t>工程物资/电工物料/单芯线</t>
  </si>
  <si>
    <t>3513380</t>
  </si>
  <si>
    <t>AC8353659</t>
  </si>
  <si>
    <t>FANJIA/繁佳 双门磁力锁 XZC-锁体×1+吸板×1 500×49×26mm 拉力280kg 12V 1套</t>
  </si>
  <si>
    <t>工程物资/五金辅料/门锁</t>
  </si>
  <si>
    <t>3513357</t>
  </si>
  <si>
    <t>PO250325000034</t>
  </si>
  <si>
    <t>7120100040</t>
  </si>
  <si>
    <t>外墙乳胶漆涂料 加克立 屋宝耐候外墙乳胶漆HZQ-20 20KG/桶 白色</t>
  </si>
  <si>
    <t>工程物资/油漆/外墙乳胶漆涂料</t>
  </si>
  <si>
    <t>外墙乳胶漆涂料</t>
  </si>
  <si>
    <t>3514717</t>
  </si>
  <si>
    <t>PO250325000035</t>
  </si>
  <si>
    <t>6050020047</t>
  </si>
  <si>
    <t>摄像机 海康威视 DS-2CD3327FWDV3-L 镜头焦距4MM，像素200万，支持POE供电 网络摄像头</t>
  </si>
  <si>
    <t>3514720</t>
  </si>
  <si>
    <t>AA4023737</t>
  </si>
  <si>
    <t>CS/昌盛 PE泡棉双面胶带 HT-08 白色 30mm×3m 1卷</t>
  </si>
  <si>
    <t>工程物资/电工物料/胶带</t>
  </si>
  <si>
    <t>3513389</t>
  </si>
  <si>
    <t>3514732</t>
  </si>
  <si>
    <t>AJ2682</t>
  </si>
  <si>
    <t>QIFAN/起帆 铜芯聚氯乙烯绝缘连接软电线 RV-450/750V-1×2.5 红色 100m 1卷</t>
  </si>
  <si>
    <t>3513381</t>
  </si>
  <si>
    <t>2020031061</t>
  </si>
  <si>
    <t xml:space="preserve">碳性电池 超霸 9V，5粒/盒 </t>
  </si>
  <si>
    <t>碳性电池</t>
  </si>
  <si>
    <t>3514724</t>
  </si>
  <si>
    <t>3514729</t>
  </si>
  <si>
    <t>AA001954</t>
  </si>
  <si>
    <t>QIFAN/起帆 ZB-RV-450/750V-1×2.5 蓝色 100m 1卷 铜芯聚氯乙烯绝缘B级阻燃连接软电线</t>
  </si>
  <si>
    <t>3513379</t>
  </si>
  <si>
    <t>PO250325000037</t>
  </si>
  <si>
    <t>6080050109</t>
  </si>
  <si>
    <t>路桩 国产 固定钢管警示柱 厚度2MM，高度75CM，管径11.4CM，黑黄 黑漆贴黄色高亮反光膜，优质冷轧铁管，配4根螺栓，顶部带环</t>
  </si>
  <si>
    <t>消防安保/道路设施/路桩</t>
  </si>
  <si>
    <t>路桩</t>
  </si>
  <si>
    <t>深圳市致远交通设施有限公司</t>
  </si>
  <si>
    <t>3514734</t>
  </si>
  <si>
    <t>PO250325000033</t>
  </si>
  <si>
    <t>7050060510</t>
  </si>
  <si>
    <t>球泡灯 佛山照明 LED球泡FSL-A60 220V，7W，6500K白光，60x108MM，E27 超炫，每10个/盒</t>
  </si>
  <si>
    <t>工程物资/LED灯具/LED泛光灯/球泡灯/筒灯/探照灯</t>
  </si>
  <si>
    <t>球泡灯</t>
  </si>
  <si>
    <t>3514716</t>
  </si>
  <si>
    <t>HF8068</t>
  </si>
  <si>
    <t>PATTEX/百得 万能胶 PX25U 2.5L 1桶</t>
  </si>
  <si>
    <t>3513392</t>
  </si>
  <si>
    <t>AA5368842</t>
  </si>
  <si>
    <t>ICEY/冰禹 沉头自攻螺丝 BYll-440系列 ST3.5×25 灰磷 1000个 1袋</t>
  </si>
  <si>
    <t>工程物资/五金辅料/螺丝/燕尾螺丝/拉爆螺丝</t>
  </si>
  <si>
    <t>3513393</t>
  </si>
  <si>
    <t>3513387</t>
  </si>
  <si>
    <t>PM5269</t>
  </si>
  <si>
    <t>BULL/公牛 排插 GN-B5440-1.8M 1个</t>
  </si>
  <si>
    <t>3513354</t>
  </si>
  <si>
    <t>AA0077705</t>
  </si>
  <si>
    <t>ELECALL/伊莱科 电缆式浮球开关 EM15-2优质浮球 3m 0.5mm² 1只</t>
  </si>
  <si>
    <t>工程物资/开关插座/转换开关</t>
  </si>
  <si>
    <t>3513366</t>
  </si>
  <si>
    <t>AA0011109</t>
  </si>
  <si>
    <t>SUBMARINE/潜水艇 马桶盖 MG4 适用于同品牌产品 马桶 1个</t>
  </si>
  <si>
    <t>工程物资/五金辅料/花洒</t>
  </si>
  <si>
    <t>3513376</t>
  </si>
  <si>
    <t>AA0446728</t>
  </si>
  <si>
    <t>ELECALL/伊莱科 开关电源 S-60-12 12V 1个</t>
  </si>
  <si>
    <t>工程物资/开关插座/开关电源</t>
  </si>
  <si>
    <t>3513360</t>
  </si>
  <si>
    <t>4080210171</t>
  </si>
  <si>
    <t xml:space="preserve">除垢清洁剂 茶卫士 除垢剂 10g/袋，6袋/盒 </t>
  </si>
  <si>
    <t>除垢清洁剂</t>
  </si>
  <si>
    <t>3514723</t>
  </si>
  <si>
    <t>AA0446731</t>
  </si>
  <si>
    <t>ELECALL/伊莱科 开关电源 S-120-12 12V 1个</t>
  </si>
  <si>
    <t>3513359</t>
  </si>
  <si>
    <t>AA6433851</t>
  </si>
  <si>
    <t>QIANJUMEI/千居美 水性色浆 炭黑色 100g 1瓶</t>
  </si>
  <si>
    <t>清洁物资类/清洁剂（更新中）/稀释剂（更新中）</t>
  </si>
  <si>
    <t>3513372</t>
  </si>
  <si>
    <t>4030070100</t>
  </si>
  <si>
    <t>尘推杆 白云 1.5M 铝合金杆，配合尘推罩使用</t>
  </si>
  <si>
    <t>清洁物资类/清洁工具/尘推</t>
  </si>
  <si>
    <t>尘推杆</t>
  </si>
  <si>
    <t>3514726</t>
  </si>
  <si>
    <t>3514731</t>
  </si>
  <si>
    <t>2020010365</t>
  </si>
  <si>
    <t>牙膏 佳洁士 140g 亮白，多效护理</t>
  </si>
  <si>
    <t>牙膏</t>
  </si>
  <si>
    <t>3514722</t>
  </si>
  <si>
    <t>AE1944527</t>
  </si>
  <si>
    <t>TENDA/腾达 AX3000 5G双频千兆无线路由器 W30E 1个</t>
  </si>
  <si>
    <t>3513385</t>
  </si>
  <si>
    <t>AA0886523</t>
  </si>
  <si>
    <t>ELECALL/伊莱科 铜接线端子 DT-16 16mm² 10只 1包</t>
  </si>
  <si>
    <t>工程物资/工具配件/接线端子</t>
  </si>
  <si>
    <t>3513371</t>
  </si>
  <si>
    <t>AA0896384</t>
  </si>
  <si>
    <t>UGREEN/绿联 USB2.0延长线 10316 公对母 2m 黑色 1根</t>
  </si>
  <si>
    <t>3513356</t>
  </si>
  <si>
    <t>NX2818</t>
  </si>
  <si>
    <t>HP/惠普 有线鼠标 S300 USB 1个</t>
  </si>
  <si>
    <t>3513362</t>
  </si>
  <si>
    <t>3514733</t>
  </si>
  <si>
    <t>AE1370913</t>
  </si>
  <si>
    <t>SLD/索隆达 启动电容器 CBB61 1.5uf 450VAC 1个</t>
  </si>
  <si>
    <t>工程物资/电工物料/电容</t>
  </si>
  <si>
    <t>3513390</t>
  </si>
  <si>
    <t>6050050041</t>
  </si>
  <si>
    <t>监控支架 海康威视 DS-2205ZJ-K 184.6x94x65MM 枪机支架，白色，铝合金</t>
  </si>
  <si>
    <t>消防安保/安防设施/监控配件</t>
  </si>
  <si>
    <t>监控支架</t>
  </si>
  <si>
    <t>3514719</t>
  </si>
  <si>
    <t>2020070513</t>
  </si>
  <si>
    <t>烧烫伤膏 华佗牌 25g/支 用于轻度烫伤</t>
  </si>
  <si>
    <t>烧烫伤膏</t>
  </si>
  <si>
    <t>3514721</t>
  </si>
  <si>
    <t>3513365</t>
  </si>
  <si>
    <t>3514730</t>
  </si>
  <si>
    <t>AA2742031</t>
  </si>
  <si>
    <t>UNI-T/优利德 UT363系列数字风速计测量仪 UT363S 0.40~30m/s 1台</t>
  </si>
  <si>
    <t>3513370</t>
  </si>
  <si>
    <t>AA5158864</t>
  </si>
  <si>
    <t>UGREEN/绿联 4口USB3.0分线器 20485 0.25m 1个</t>
  </si>
  <si>
    <t>3513388</t>
  </si>
  <si>
    <t>6050020040</t>
  </si>
  <si>
    <t>摄像机 海康威视 DS-IPC-B12HV3-IA(PoE) 最高分辨率可达200万像素，镜头焦距4MM 红外阵列筒型网络摄像机</t>
  </si>
  <si>
    <t>3514718</t>
  </si>
  <si>
    <t>AE8422813</t>
  </si>
  <si>
    <t>SUBMARINE/潜水艇 角阀 F204 20mm 螺纹接口 螺纹阀体 0.05~1MPa 金地专用 1个</t>
  </si>
  <si>
    <t>工程物资/阀门/三角阀</t>
  </si>
  <si>
    <t>3513374</t>
  </si>
  <si>
    <t>RN4840</t>
  </si>
  <si>
    <t>KANGMING/康铭 头灯 KM-2850A 1套</t>
  </si>
  <si>
    <t>工程物资/五金辅料/头灯</t>
  </si>
  <si>
    <t>3513368</t>
  </si>
  <si>
    <t>PU5744</t>
  </si>
  <si>
    <t>TP-LINK/普联 16口全千兆简单网管交换机 TL-SG2016D 1个</t>
  </si>
  <si>
    <t>3513363</t>
  </si>
  <si>
    <t>3513382</t>
  </si>
  <si>
    <t>KG7314</t>
  </si>
  <si>
    <t>LOGITECH/罗技 有线键盘 K120 USB 黑色 1个</t>
  </si>
  <si>
    <t>3513355</t>
  </si>
  <si>
    <t>RE5840</t>
  </si>
  <si>
    <t>UGREEN/绿联 HDMI线 10110 10m 1根</t>
  </si>
  <si>
    <t>3513364</t>
  </si>
  <si>
    <t>AA6194624</t>
  </si>
  <si>
    <t>HAINUO/海氏海诺 75%酒精湿巾 180×150mm 单片独立包装 50片 1盒</t>
  </si>
  <si>
    <t>清洁物资类/清洁纸品/湿巾</t>
  </si>
  <si>
    <t>3513384</t>
  </si>
  <si>
    <t>GT7843</t>
  </si>
  <si>
    <t>NANFU/南孚 碱性电池 LR14-2B 2号 2粒装 1包</t>
  </si>
  <si>
    <t>3513383</t>
  </si>
  <si>
    <t>AA0390115</t>
  </si>
  <si>
    <t>QD/强达螺丝 GB846 十字槽沉头自攻螺钉 碳钢 8.8级 镀锌 全牙 粗牙 ST3×16(镀锌) 1个</t>
  </si>
  <si>
    <t>工程物资/五金辅料/螺钉</t>
  </si>
  <si>
    <t>3513375</t>
  </si>
  <si>
    <t>MY4914</t>
  </si>
  <si>
    <t>M&amp;G/晨光 回形针 ABS91697 28mm 银色 200枚 1筒</t>
  </si>
  <si>
    <t>办公类/办公耗材/大头针/回形针/工字钉/图钉</t>
  </si>
  <si>
    <t>3513367</t>
  </si>
  <si>
    <t>AE2664385</t>
  </si>
  <si>
    <t>ZKH/震坤行 挂式白板 HBG-WB08 60×90cm 不含安装 1块</t>
  </si>
  <si>
    <t>办公类/办公设备/办公设备</t>
  </si>
  <si>
    <t>3513386</t>
  </si>
  <si>
    <t>GT7844</t>
  </si>
  <si>
    <t>NANFU/南孚 碱性干电池 LR6/AA 5号 2粒装 聚能环4代 1.5V 1包</t>
  </si>
  <si>
    <t>3513377</t>
  </si>
  <si>
    <t>3513369</t>
  </si>
  <si>
    <t>3513373</t>
  </si>
  <si>
    <t>PO250326000168</t>
  </si>
  <si>
    <t>4070010077</t>
  </si>
  <si>
    <t>擦手纸 金佰利 28620-10 225x203MM，250抽x16包，1箱 SCOTT锁水折叠式擦手纸</t>
  </si>
  <si>
    <t>清洁物资类/清洁纸品/擦手纸</t>
  </si>
  <si>
    <t>2025-03-19 20:51:44.0</t>
  </si>
  <si>
    <t>3515865</t>
  </si>
  <si>
    <t>PO250331000273</t>
  </si>
  <si>
    <t>2010020591</t>
  </si>
  <si>
    <t>滤芯 沁园 平压式颗粒活性炭滤芯（LPP-GAC-20） 20寸 净水器CS3配件</t>
  </si>
  <si>
    <t>家居生活/厨房卫浴/厨卫配件</t>
  </si>
  <si>
    <t>滤芯</t>
  </si>
  <si>
    <t>2025-03-19 14:52:50.0</t>
  </si>
  <si>
    <t>3519128</t>
  </si>
  <si>
    <t>2010020589</t>
  </si>
  <si>
    <t>滤芯 沁园 聚丙烯明杆式快接滤芯 10寸 直饮机RD301配件</t>
  </si>
  <si>
    <t>3519126</t>
  </si>
  <si>
    <t>3519129</t>
  </si>
  <si>
    <t>2010020289</t>
  </si>
  <si>
    <t>其他电器配件 沁园 按键板 开水器QYB-3-15配件，包安装更换</t>
  </si>
  <si>
    <t>其他电器配件</t>
  </si>
  <si>
    <t>3519130</t>
  </si>
  <si>
    <t>2010020372</t>
  </si>
  <si>
    <t>其他电器配件 沁园 直饮机QS-ZRW-L14配件 后置亲水膜滤芯 包安装更换</t>
  </si>
  <si>
    <t>3519127</t>
  </si>
  <si>
    <t>2010020270</t>
  </si>
  <si>
    <t>其他电器配件 沁园 压力泵 直饮机RD301配件，包安装更换</t>
  </si>
  <si>
    <t>3519125</t>
  </si>
  <si>
    <t>PO250331000274</t>
  </si>
  <si>
    <t>2020041270</t>
  </si>
  <si>
    <t xml:space="preserve">瓶装水 百岁山 矿泉水 348ML/瓶，24瓶/箱 </t>
  </si>
  <si>
    <t>瓶装水</t>
  </si>
  <si>
    <t>2025-03-19 13:42:43.0</t>
  </si>
  <si>
    <t>3519131</t>
  </si>
  <si>
    <t>PO250511000020</t>
  </si>
  <si>
    <t>2025-03-18 09:13:48.0</t>
  </si>
  <si>
    <t>3573378</t>
  </si>
  <si>
    <t>PO250325000308</t>
  </si>
  <si>
    <t>4100040149</t>
  </si>
  <si>
    <t>其他地毯地垫 安肯 6350尼龙地毯 4000型四周包边，按米计价 灰色</t>
  </si>
  <si>
    <t>清洁物资类/地垫地毯/其他地毯地垫</t>
  </si>
  <si>
    <t>其他地毯地垫</t>
  </si>
  <si>
    <t>2025-03-17 17:12:49.0</t>
  </si>
  <si>
    <t>3515423</t>
  </si>
  <si>
    <t>PO250331000275</t>
  </si>
  <si>
    <t>2020040001</t>
  </si>
  <si>
    <t xml:space="preserve">茶叶 铁观音 500g </t>
  </si>
  <si>
    <t>茶叶</t>
  </si>
  <si>
    <t>2025-03-17 11:27:55.0</t>
  </si>
  <si>
    <t>3519132</t>
  </si>
  <si>
    <t>PO250331000165</t>
  </si>
  <si>
    <t>9020040001</t>
  </si>
  <si>
    <t>外墙清洗</t>
  </si>
  <si>
    <t>服务类/环境服务类/外墙清洗</t>
  </si>
  <si>
    <t>深圳市感恩清洁服务有限公司</t>
  </si>
  <si>
    <t>2025-03-12 11:04:25.0</t>
  </si>
  <si>
    <t>3528680</t>
  </si>
  <si>
    <t>PO250331000276</t>
  </si>
  <si>
    <t>5040062214</t>
  </si>
  <si>
    <t>绿植 多肉组合-彩虹糖 多肉高2CM，2-3头 盆径8CM瓷盆</t>
  </si>
  <si>
    <t>绿化类/草本花卉/绿植/盆栽/摆株</t>
  </si>
  <si>
    <t>绿植</t>
  </si>
  <si>
    <t>深圳市真诚环保服务有限公司</t>
  </si>
  <si>
    <t>2025-03-11 10:31:48.0</t>
  </si>
  <si>
    <t>3529027</t>
  </si>
  <si>
    <t>PO250511000023</t>
  </si>
  <si>
    <t>2025-03-10 19:03:19.0</t>
  </si>
  <si>
    <t>3573402</t>
  </si>
  <si>
    <t>PO250331000235</t>
  </si>
  <si>
    <t>深圳市博山水泵设备技术开发有限公司</t>
  </si>
  <si>
    <t>2025-03-05 09:46:19.0</t>
  </si>
  <si>
    <t>3528922</t>
  </si>
  <si>
    <t>PO250603000280</t>
  </si>
  <si>
    <t>深圳市富士智能股份有限公司</t>
  </si>
  <si>
    <t>2025-03-04 18:19:12.0</t>
  </si>
  <si>
    <t>3604166</t>
  </si>
  <si>
    <t>PO250317000331</t>
  </si>
  <si>
    <t>10010010002</t>
  </si>
  <si>
    <t xml:space="preserve">淘宝/天猫/京东C端/其他-报销专用物料 </t>
  </si>
  <si>
    <t>淘宝/天猫/京东C端/其他-报销专用物料</t>
  </si>
  <si>
    <t>淘宝/天猫/京东C端/其他-深圳</t>
  </si>
  <si>
    <t>2025-03-03 17:30:36.0</t>
  </si>
  <si>
    <t>3498632</t>
  </si>
  <si>
    <t>PO250317000338</t>
  </si>
  <si>
    <t>2025-02-26 09:05:16.0</t>
  </si>
  <si>
    <t>3507861</t>
  </si>
  <si>
    <t>3507859</t>
  </si>
  <si>
    <t>3507860</t>
  </si>
  <si>
    <t>PO250224000276</t>
  </si>
  <si>
    <t>AE5625579</t>
  </si>
  <si>
    <t>LANRAN/兰冉  2m班台左侧柜+西皮椅(定制款) LR-BT105010 1套</t>
  </si>
  <si>
    <t>家居生活/家居家具/家具</t>
  </si>
  <si>
    <t>2025-02-22 20:49:46.0</t>
  </si>
  <si>
    <t>3482621</t>
  </si>
  <si>
    <t>AE7202959</t>
  </si>
  <si>
    <t>MAWOSI/马沃斯 户外藤编茶几 XM-LBQ-黑色 910×530×400mm 配5mm透明钢化玻璃 1个</t>
  </si>
  <si>
    <t>3482626</t>
  </si>
  <si>
    <t>AE4635149</t>
  </si>
  <si>
    <t>LANRAN/兰冉 茶几 LR-SF1317 1张</t>
  </si>
  <si>
    <t>3482622</t>
  </si>
  <si>
    <t>AE6055065</t>
  </si>
  <si>
    <t>DELI/得力 四层带锁文件柜文件柜收纳储存盒文件框 8854 浅灰色 1个</t>
  </si>
  <si>
    <t>3482640</t>
  </si>
  <si>
    <t>2030031680</t>
  </si>
  <si>
    <t>其他椅子 国产 大班椅 5轮，高1110x宽680MM，座深510MM 黑色牛皮，升降可躺</t>
  </si>
  <si>
    <t>其他椅子</t>
  </si>
  <si>
    <t>3482624</t>
  </si>
  <si>
    <t>2030030499</t>
  </si>
  <si>
    <t>沙发 天赐辰 组合沙发 单人+三人位沙发，单人宽103cm  三人宽198cm 黑色加厚西皮</t>
  </si>
  <si>
    <t>3482628</t>
  </si>
  <si>
    <t>2030031602</t>
  </si>
  <si>
    <t>屏风卡位 国产 单人位办公桌带柜子有屏风 1200x600x1100MM 职员屏风工位</t>
  </si>
  <si>
    <t>屏风卡位</t>
  </si>
  <si>
    <t>3482634</t>
  </si>
  <si>
    <t>2030031714</t>
  </si>
  <si>
    <t>沙发 沙发海绵垫 长150x宽40x高12CM 50D高密度海绵，加厚加硬</t>
  </si>
  <si>
    <t>3482631</t>
  </si>
  <si>
    <t>AA5221211</t>
  </si>
  <si>
    <t>LANRAN/兰冉 胡桃木色1.8米老板桌 LR-BT10404 1张</t>
  </si>
  <si>
    <t>家居生活/宿舍用品（更新中）/床（更新中）</t>
  </si>
  <si>
    <t>3482625</t>
  </si>
  <si>
    <t>2030031728</t>
  </si>
  <si>
    <t>会议桌 洽谈桌椅（1桌3椅） 直径800MM 面材：优质耐磨E0级三聚氰胺板；基材：采用E0级优质板材，密度高；所有板件做到平整 、无脱胶、表面麻点，坑洼优质PVC封边条；技术说明：使用环保材料 ，坚固耐用、防变形及开裂 ，具有防火阻燃、耐高温、抗老化特性，同时具有耐酸碱 、永不 褪色等特性；五金：优质五金</t>
  </si>
  <si>
    <t>3482637</t>
  </si>
  <si>
    <t>AE7202825</t>
  </si>
  <si>
    <t>MAWOSI/马沃斯 户外单人沙发 XM-LBQ-黑色 800×700×700mm 不含软垫 1张</t>
  </si>
  <si>
    <t>3482627</t>
  </si>
  <si>
    <t>2030030520</t>
  </si>
  <si>
    <t>办公椅 国产 午休椅 长127cmx宽50cmx高50cm 优质网布</t>
  </si>
  <si>
    <t>3482633</t>
  </si>
  <si>
    <t>100001560672</t>
  </si>
  <si>
    <t>奈高文件柜办公柜钢制铁皮柜资料柜档案柜储物柜偏三保文件柜</t>
  </si>
  <si>
    <t>3482635</t>
  </si>
  <si>
    <t>AE6851632</t>
  </si>
  <si>
    <t>LANRAN/兰冉 1.2米椭圆形岩板茶几 LR-0605-2 1台</t>
  </si>
  <si>
    <t>3482630</t>
  </si>
  <si>
    <t>3482639</t>
  </si>
  <si>
    <t>2030031739</t>
  </si>
  <si>
    <t>沙发 三人位：2050x820x770MM，单人位：1050x820x770MM 覆面材料：优质净味环保西皮，厚度适中，柔软舒适；框架材质：采用进口极寒落叶松及实木多层板为沙发内部框架，承重性极佳；软层结构：采用高密度回弹海绵并覆盖羽绒填充，坐感更为柔软舒适，包裹感强，为背部及臀部提供充分支撑；蛇形弹簧，增强坐感的舒适度；支撑脚：铁黑色烤漆五金支脚</t>
  </si>
  <si>
    <t>3482623</t>
  </si>
  <si>
    <t>2030031444</t>
  </si>
  <si>
    <t>办公椅 班前椅 常规 黑色PP料背架，单功能底盘，固定型扶手</t>
  </si>
  <si>
    <t>3482638</t>
  </si>
  <si>
    <t>2030030893</t>
  </si>
  <si>
    <t>沙发 国产 1950x800x900MM，黑色 三人位沙发，西皮饰面</t>
  </si>
  <si>
    <t>3482629</t>
  </si>
  <si>
    <t>2030031446</t>
  </si>
  <si>
    <t>办公椅 会议椅 常规 黑色PP料背架，固定腰靠，连体固定扶手</t>
  </si>
  <si>
    <t>3482636</t>
  </si>
  <si>
    <t>1020080563</t>
  </si>
  <si>
    <t xml:space="preserve">文件柜 定制 矮柜 800x400x1050 </t>
  </si>
  <si>
    <t>3482632</t>
  </si>
  <si>
    <t>PO250307000078</t>
  </si>
  <si>
    <t>9020100001</t>
  </si>
  <si>
    <t>服务类/环境服务类/石材养护</t>
  </si>
  <si>
    <t>深圳市博宝源实业有限公司</t>
  </si>
  <si>
    <t>2025-02-19 18:57:37.0</t>
  </si>
  <si>
    <t>3492394</t>
  </si>
  <si>
    <t>PO250218000125</t>
  </si>
  <si>
    <t>2025-02-13 16:42:17.0</t>
  </si>
  <si>
    <t>3469121</t>
  </si>
  <si>
    <t>PO250218000128</t>
  </si>
  <si>
    <t>2010010538</t>
  </si>
  <si>
    <t xml:space="preserve">勺子 国产 304不锈钢咖啡勺 长153x厚1.8MM重20g勺宽30MM </t>
  </si>
  <si>
    <t>家居生活/厨房卫浴/餐具（更新中）</t>
  </si>
  <si>
    <t>勺子</t>
  </si>
  <si>
    <t>2025-02-12 22:58:41.0</t>
  </si>
  <si>
    <t>3471373</t>
  </si>
  <si>
    <t>4030350022</t>
  </si>
  <si>
    <t>玻璃清洁器 科沃斯 W2PRO 类型：自动清洗，避障类型：机械避障 擦窗机器人</t>
  </si>
  <si>
    <t>清洁物资类/清洁工具/玻璃清洁器</t>
  </si>
  <si>
    <t>3471381</t>
  </si>
  <si>
    <t>1020080750</t>
  </si>
  <si>
    <t>工牌，胸牌 易利丰 磁扣款 双面强磁，厚度2MM，50个/包 镀金新党员徽章</t>
  </si>
  <si>
    <t>3471375</t>
  </si>
  <si>
    <t>2020041614</t>
  </si>
  <si>
    <t>水果 国产 赣南脐橙 10斤装 ，果径65-85MM</t>
  </si>
  <si>
    <t>水果</t>
  </si>
  <si>
    <t>3471379</t>
  </si>
  <si>
    <t>2020041175</t>
  </si>
  <si>
    <t>烘焙原料 谷之优品 巧克力粉 200g/包 烘焙蛋糕原料</t>
  </si>
  <si>
    <t>烘焙原料</t>
  </si>
  <si>
    <t>3471376</t>
  </si>
  <si>
    <t>2030020070</t>
  </si>
  <si>
    <t>窗帘配件 咏畅 2.4米 窗帘配件拉珠绳办公窗帘链手动升降转轴支架制头</t>
  </si>
  <si>
    <t>家居生活/家居家具/家纺</t>
  </si>
  <si>
    <t>窗帘配件</t>
  </si>
  <si>
    <t>3471380</t>
  </si>
  <si>
    <t>2020040066</t>
  </si>
  <si>
    <t xml:space="preserve">方糖 餐侣（caless） 咖啡调糖4g*100包咖啡牛奶伴侣冲调糖包 </t>
  </si>
  <si>
    <t>方糖</t>
  </si>
  <si>
    <t>3471377</t>
  </si>
  <si>
    <t>AC3958790</t>
  </si>
  <si>
    <t>ECOVACS/科沃斯 扫地机器人 T10 TURBO 1台</t>
  </si>
  <si>
    <t>3471372</t>
  </si>
  <si>
    <t>4070060086</t>
  </si>
  <si>
    <t>湿巾 亚美嘉 专业无尘清洁布 200片装 亚美嘉单反相机镜头清洁擦镜纸镜片擦拭湿巾大号</t>
  </si>
  <si>
    <t>湿巾</t>
  </si>
  <si>
    <t>3471374</t>
  </si>
  <si>
    <t>AA3765368</t>
  </si>
  <si>
    <t>MENGNIU/蒙牛 特仑苏纯牛奶苗条装 6923644266318 250mL×12盒 1箱</t>
  </si>
  <si>
    <t>形象视觉/礼品定制/米/油（更新中）</t>
  </si>
  <si>
    <t>3471378</t>
  </si>
  <si>
    <t>PO250414000211</t>
  </si>
  <si>
    <t>深圳市杰艺广告有限公司</t>
  </si>
  <si>
    <t>2025-02-12 22:35:32.0</t>
  </si>
  <si>
    <t>3538547</t>
  </si>
  <si>
    <t>PO250511000025</t>
  </si>
  <si>
    <t>深圳市新广行计量校准服务有限公司</t>
  </si>
  <si>
    <t>2025-02-12 11:06:42.0</t>
  </si>
  <si>
    <t>3582811</t>
  </si>
  <si>
    <t>PO250206000078</t>
  </si>
  <si>
    <t>2025-02-10 15:23:05.0</t>
  </si>
  <si>
    <t>3456206</t>
  </si>
  <si>
    <t>AC8369443</t>
  </si>
  <si>
    <t>FANJIA/繁佳 闭门器 LGC-中号无定位-65kg-175×40×62mm 1个</t>
  </si>
  <si>
    <t>工程物资/五金辅料/闭门器</t>
  </si>
  <si>
    <t>3456214</t>
  </si>
  <si>
    <t>AC7849486</t>
  </si>
  <si>
    <t>DELI/得力 直柄麻花钻 DH-MHZ040-W1 4mm 1支</t>
  </si>
  <si>
    <t>工程物资/工具配件/钻头</t>
  </si>
  <si>
    <t>3456222</t>
  </si>
  <si>
    <t>PO250210000175</t>
  </si>
  <si>
    <t>3457642</t>
  </si>
  <si>
    <t>AA1197178</t>
  </si>
  <si>
    <t>SAMZHE/山泽 电话水晶头 DHT350 6P4C 50个 1盒</t>
  </si>
  <si>
    <t>工程物资/五金辅料/水晶头</t>
  </si>
  <si>
    <t>3456216</t>
  </si>
  <si>
    <t>PO250210000176</t>
  </si>
  <si>
    <t>4080210038</t>
  </si>
  <si>
    <t>管道疏通剂 威猛先生 500G/瓶 有效疏通，不伤管道，简单易用，一倒就通</t>
  </si>
  <si>
    <t>管道疏通剂</t>
  </si>
  <si>
    <t>3457643</t>
  </si>
  <si>
    <t>3456229</t>
  </si>
  <si>
    <t>3456219</t>
  </si>
  <si>
    <t>3456231</t>
  </si>
  <si>
    <t>AG3776</t>
  </si>
  <si>
    <t>DOWSIL/陶熙 建筑胶-好适玻璃胶 好适-W 中性硅酮密封胶 白色 1支</t>
  </si>
  <si>
    <t>3456227</t>
  </si>
  <si>
    <t>3456209</t>
  </si>
  <si>
    <t>AA6563275</t>
  </si>
  <si>
    <t>SUSHI/苏识 国旗 00001 3号 192×128cm 1个</t>
  </si>
  <si>
    <t>形象视觉/节庆饰品/国旗/拉旗</t>
  </si>
  <si>
    <t>3456234</t>
  </si>
  <si>
    <t>3456217</t>
  </si>
  <si>
    <t>AA0389993</t>
  </si>
  <si>
    <t>QD/强达螺丝 8.8级发黑十字沉头自攻钉 M6×45 1个</t>
  </si>
  <si>
    <t>3456226</t>
  </si>
  <si>
    <t>AC7849683</t>
  </si>
  <si>
    <t>DELI/得力 直柄麻花钻 DH-MHZ060-W1 6mm 1支</t>
  </si>
  <si>
    <t>3456221</t>
  </si>
  <si>
    <t>AC7870911</t>
  </si>
  <si>
    <t>DELI/得力 直柄麻花钻 DH-MHZ120-W1 12mm 1支</t>
  </si>
  <si>
    <t>3456220</t>
  </si>
  <si>
    <t>AC6584934</t>
  </si>
  <si>
    <t>SHENGWEI/胜为 超五类非屏蔽水晶头 RCB-1100 1盒</t>
  </si>
  <si>
    <t>3456215</t>
  </si>
  <si>
    <t>3456211</t>
  </si>
  <si>
    <t>3456210</t>
  </si>
  <si>
    <t>AE7135331</t>
  </si>
  <si>
    <t>DELI/得力 直柄麻花钻 DH-MHZ030-W1 3mm 1支</t>
  </si>
  <si>
    <t>3456223</t>
  </si>
  <si>
    <t>UM3837</t>
  </si>
  <si>
    <t>DELI/得力 筒式压胶枪1 DL2380 15" 1把</t>
  </si>
  <si>
    <t>3456225</t>
  </si>
  <si>
    <t>3456238</t>
  </si>
  <si>
    <t>3456237</t>
  </si>
  <si>
    <t>3456208</t>
  </si>
  <si>
    <t>AE1228885</t>
  </si>
  <si>
    <t>ZKH/震坤行 超静音塑料手推车 ZKH-300C-DX 台面尺寸900×600mm 额定载重300kg 折叠把手 1台</t>
  </si>
  <si>
    <t>工程物资/车辆/手推车/平板车</t>
  </si>
  <si>
    <t>3456218</t>
  </si>
  <si>
    <t>3456213</t>
  </si>
  <si>
    <t>3456212</t>
  </si>
  <si>
    <t>3456232</t>
  </si>
  <si>
    <t>3456233</t>
  </si>
  <si>
    <t>KE5069</t>
  </si>
  <si>
    <t>ZKH PREMIUM TC棉礼仪手套 YSTC220 均码 TC棉 220g/打 长度22±5mm 1双</t>
  </si>
  <si>
    <t>3456230</t>
  </si>
  <si>
    <t>UF1207</t>
  </si>
  <si>
    <t>PAOLA/保拉 礼仪手套 5959 均码 10副 1包</t>
  </si>
  <si>
    <t>3456235</t>
  </si>
  <si>
    <t>AE0680505</t>
  </si>
  <si>
    <t>ZKH/震坤行 档案盒 HBG-FB55 A4 背宽55mm 蓝色 1个</t>
  </si>
  <si>
    <t>3456207</t>
  </si>
  <si>
    <t>EK3915</t>
  </si>
  <si>
    <t>GC/国产 封箱胶带 透明 60mm×40m 1卷</t>
  </si>
  <si>
    <t>工程物资/电工物料/绝缘胶布/防水胶布</t>
  </si>
  <si>
    <t>3456228</t>
  </si>
  <si>
    <t>AN0607</t>
  </si>
  <si>
    <t>3M 单面透明胶带-经济型 500 18mm×15m 1卷</t>
  </si>
  <si>
    <t>3456224</t>
  </si>
  <si>
    <t>CE6996</t>
  </si>
  <si>
    <t>TF/唐丰 玻璃钢小沿安全帽 玻璃钢安全帽 白色 1顶</t>
  </si>
  <si>
    <t>工程物资/五金辅料/安全带/安全帽（更新中）</t>
  </si>
  <si>
    <t>3456236</t>
  </si>
  <si>
    <t>PO250214000172</t>
  </si>
  <si>
    <t>2025-02-10 15:22:30.0</t>
  </si>
  <si>
    <t>3459855</t>
  </si>
  <si>
    <t>PO250314000161</t>
  </si>
  <si>
    <t>深圳市顺欣搬迁有限公司</t>
  </si>
  <si>
    <t>2025-01-23 14:51:20.0</t>
  </si>
  <si>
    <t>3496860</t>
  </si>
  <si>
    <t>PO250320000286</t>
  </si>
  <si>
    <t>9010030001</t>
  </si>
  <si>
    <t>设备维保/施工</t>
  </si>
  <si>
    <t>服务类/工程服务类/设备维保/施工</t>
  </si>
  <si>
    <t>广东美图机电设备有限公司</t>
  </si>
  <si>
    <t>2025-01-23 14:42:59.0</t>
  </si>
  <si>
    <t>3512294</t>
  </si>
  <si>
    <t>PO250314000162</t>
  </si>
  <si>
    <t>深圳市鑫佳建筑装饰设计工程有限公司</t>
  </si>
  <si>
    <t>2025-01-23 14:40:51.0</t>
  </si>
  <si>
    <t>3505693</t>
  </si>
  <si>
    <t>PO250320000283</t>
  </si>
  <si>
    <t>深圳市小猫信息技术有限公司</t>
  </si>
  <si>
    <t>2025-01-22 11:10:54.0</t>
  </si>
  <si>
    <t>3512292</t>
  </si>
  <si>
    <t>PO250305000372</t>
  </si>
  <si>
    <t>9020120001</t>
  </si>
  <si>
    <t>洗手间深度清洁</t>
  </si>
  <si>
    <t>服务类/环境服务类/洗手间深度清洁</t>
  </si>
  <si>
    <t>深圳市诺雅奇环保科技有限公司</t>
  </si>
  <si>
    <t>2025-01-21 10:21:06.0</t>
  </si>
  <si>
    <t>3489739</t>
  </si>
  <si>
    <t>PO250219000315</t>
  </si>
  <si>
    <t>2025-01-21 10:17:23.0</t>
  </si>
  <si>
    <t>3472728</t>
  </si>
  <si>
    <t>PO250225000213</t>
  </si>
  <si>
    <t>2025-01-20 21:51:06.0</t>
  </si>
  <si>
    <t>3475415</t>
  </si>
  <si>
    <t>4070030110</t>
  </si>
  <si>
    <t>大盘纸 金佰利 舒洁8668 三层，90MMx190M/盘，12盘/箱 免费提供分配器</t>
  </si>
  <si>
    <t>清洁物资类/清洁纸品/大盘纸</t>
  </si>
  <si>
    <t>3475413</t>
  </si>
  <si>
    <t>4080240046</t>
  </si>
  <si>
    <t>空气清新剂 车仆 海洋香味 150ML/瓶 汽车车内除异味空调除臭剂抗菌杀菌喷雾车用</t>
  </si>
  <si>
    <t>清洁物资类/清洁耗材/除味/香氛用品</t>
  </si>
  <si>
    <t>空气清新剂</t>
  </si>
  <si>
    <t>3475414</t>
  </si>
  <si>
    <t>PO250428000233</t>
  </si>
  <si>
    <t>深圳市恒捷达清洁服务有限公司</t>
  </si>
  <si>
    <t>2025-01-20 15:04:52.0</t>
  </si>
  <si>
    <t>3566735</t>
  </si>
  <si>
    <t>PO250217000173</t>
  </si>
  <si>
    <t>2025-01-20 15:03:35.0</t>
  </si>
  <si>
    <t>3468378</t>
  </si>
  <si>
    <t>PO250117000316</t>
  </si>
  <si>
    <t>2025-01-17 23:17:29.0</t>
  </si>
  <si>
    <t>3454203</t>
  </si>
  <si>
    <t>3454204</t>
  </si>
  <si>
    <t>4010120006</t>
  </si>
  <si>
    <t>百洁垫 超宝 20寸，5片/组 红色</t>
  </si>
  <si>
    <t>清洁物资类/清洁设备/清洁设备配件</t>
  </si>
  <si>
    <t>百洁垫</t>
  </si>
  <si>
    <t>3454199</t>
  </si>
  <si>
    <t>3454195</t>
  </si>
  <si>
    <t>PO250117000315</t>
  </si>
  <si>
    <t>3454192</t>
  </si>
  <si>
    <t>3454194</t>
  </si>
  <si>
    <t>3454196</t>
  </si>
  <si>
    <t>3454202</t>
  </si>
  <si>
    <t>3454205</t>
  </si>
  <si>
    <t>3454206</t>
  </si>
  <si>
    <t>2020070473</t>
  </si>
  <si>
    <t>绷带 海氏海诺 8CMx600CM 多用途纱布敷料</t>
  </si>
  <si>
    <t>绷带</t>
  </si>
  <si>
    <t>3454193</t>
  </si>
  <si>
    <t>3454197</t>
  </si>
  <si>
    <t>4080210152</t>
  </si>
  <si>
    <t>地毯水 洁霸 JB-109 高约30CM，直径约16CM，3.78L/桶 中性配方，不伤地毯，挥发快泡沫少去污好，地毯干爽柔软</t>
  </si>
  <si>
    <t>地毯水</t>
  </si>
  <si>
    <t>3454200</t>
  </si>
  <si>
    <t>3454201</t>
  </si>
  <si>
    <t>3454198</t>
  </si>
  <si>
    <t>PO250211000131</t>
  </si>
  <si>
    <t>4070010043</t>
  </si>
  <si>
    <t xml:space="preserve">擦手纸 适高 82280 176.7mx203MM，6卷/箱 </t>
  </si>
  <si>
    <t>2025-01-17 23:01:25.0</t>
  </si>
  <si>
    <t>3465686</t>
  </si>
  <si>
    <t>PO250121000091</t>
  </si>
  <si>
    <t>2010020272</t>
  </si>
  <si>
    <t>其他电器配件 沁园 热水嘴组件 直饮机RD301配件，包安装更换</t>
  </si>
  <si>
    <t>2025-01-17 10:07:01.0</t>
  </si>
  <si>
    <t>3454977</t>
  </si>
  <si>
    <t>3454978</t>
  </si>
  <si>
    <t>3454979</t>
  </si>
  <si>
    <t>PO250305000378</t>
  </si>
  <si>
    <t>9020050001</t>
  </si>
  <si>
    <t>建筑/装修垃圾清运</t>
  </si>
  <si>
    <t>服务类/环境服务类/建筑/装修垃圾清运</t>
  </si>
  <si>
    <t>2025-01-08 22:26:05.0</t>
  </si>
  <si>
    <t>U金地智慧服务集团公司/UV商业物业事业部/UVJ商业事业部粤东二管理中心/UVJA商业事业部深圳中海油大厦物业管理服务中心//</t>
  </si>
  <si>
    <t>3491508</t>
  </si>
  <si>
    <t>PO250511000027</t>
  </si>
  <si>
    <t>深圳小熊视讯科技有限公司</t>
  </si>
  <si>
    <t>2025-01-08 16:00:47.0</t>
  </si>
  <si>
    <t>3573403</t>
  </si>
  <si>
    <t>PO250314000287</t>
  </si>
  <si>
    <t>9020010001</t>
  </si>
  <si>
    <t>保洁外包</t>
  </si>
  <si>
    <t>服务类/环境服务类/保洁外包</t>
  </si>
  <si>
    <t>2025-01-07 21:11:14.0</t>
  </si>
  <si>
    <t>3497184</t>
  </si>
  <si>
    <t>PO250304000404</t>
  </si>
  <si>
    <t>9020070001</t>
  </si>
  <si>
    <t>生活垃圾清运</t>
  </si>
  <si>
    <t>服务类/环境服务类/生活垃圾清运</t>
  </si>
  <si>
    <t>深圳市鹏腾清洁服务有限公司</t>
  </si>
  <si>
    <t>2025-01-07 20:59:17.0</t>
  </si>
  <si>
    <t>3490781</t>
  </si>
  <si>
    <t>PO250320000287</t>
  </si>
  <si>
    <t>9010100001</t>
  </si>
  <si>
    <t>水箱/水池清洁</t>
  </si>
  <si>
    <t>服务类/工程服务类/水箱/水池清洁</t>
  </si>
  <si>
    <t>深圳市南峰水处理服务有限公司</t>
  </si>
  <si>
    <t>2025-01-07 20:59:00.0</t>
  </si>
  <si>
    <t>3512295</t>
  </si>
  <si>
    <t>PO250314000157</t>
  </si>
  <si>
    <t>上海普英特高层设备股份有限公司</t>
  </si>
  <si>
    <t>2025-01-07 20:58:45.0</t>
  </si>
  <si>
    <t>3505689</t>
  </si>
  <si>
    <t>PO250314000342</t>
  </si>
  <si>
    <t>9020030001</t>
  </si>
  <si>
    <t>四害消杀</t>
  </si>
  <si>
    <t>服务类/环境服务类/四害消杀</t>
  </si>
  <si>
    <t>广东绿控环境科技服务有限公司</t>
  </si>
  <si>
    <t>2025-01-03 14:23:04.0</t>
  </si>
  <si>
    <t>3506083</t>
  </si>
  <si>
    <t>PO250103000918</t>
  </si>
  <si>
    <t>2025-01-01 01:12:13.0</t>
  </si>
  <si>
    <t>3436620</t>
  </si>
  <si>
    <t>1010090046</t>
  </si>
  <si>
    <t>投屏器 绿联 4K高清双频连接器 HDMI音视频 适用苹果安卓华为手机电脑接电视显示器投影仪</t>
  </si>
  <si>
    <t>办公类/办公设备/投影及配件</t>
  </si>
  <si>
    <t>投屏器</t>
  </si>
  <si>
    <t>3436618</t>
  </si>
  <si>
    <t>AE0524973</t>
  </si>
  <si>
    <t>HILLPORT/三策 电视机移动支架 1700XU 32~65"落地展示推车 1套</t>
  </si>
  <si>
    <t>办公类/办公设备/音视频设备</t>
  </si>
  <si>
    <t>3436619</t>
  </si>
  <si>
    <t>2010030687</t>
  </si>
  <si>
    <t>杯子 苏泊尔 保温杯 700ML 一盖双饮曜石黑，316不锈钢</t>
  </si>
  <si>
    <t>杯子</t>
  </si>
  <si>
    <t>3436616</t>
  </si>
  <si>
    <t>3436617</t>
  </si>
  <si>
    <t>AC9060873</t>
  </si>
  <si>
    <t>DELI/得力 电话机 13606 黑色 1台</t>
  </si>
  <si>
    <t>3436621</t>
  </si>
  <si>
    <t>PO250108000030</t>
  </si>
  <si>
    <t>3070050782</t>
  </si>
  <si>
    <t>不锈钢 作业提示牌 300x580 不锈钢定制，加印logo</t>
  </si>
  <si>
    <t>形象视觉/标识标牌/不锈钢腐蚀牌</t>
  </si>
  <si>
    <t>不锈钢</t>
  </si>
  <si>
    <t>深圳市泰盛源建筑装饰工程有限公司</t>
  </si>
  <si>
    <t>2025-01-01 01:10:23.0</t>
  </si>
  <si>
    <t>3448919</t>
  </si>
  <si>
    <t>AE4837494</t>
  </si>
  <si>
    <t>FANJIA/繁佳 水箱进水阀 GYJ-总高度31cm水位最高25cm 1个</t>
  </si>
  <si>
    <t>3448920</t>
  </si>
  <si>
    <t>AE1918743</t>
  </si>
  <si>
    <t>FANJIA/繁佳 平开窗防坠绳 XM-LZJ-304不锈钢 绳长330mm 1个</t>
  </si>
  <si>
    <t>3448921</t>
  </si>
  <si>
    <t>4010070079</t>
  </si>
  <si>
    <t xml:space="preserve">吸水机 耐通 NT-V03 15L </t>
  </si>
  <si>
    <t>3448922</t>
  </si>
  <si>
    <t>PO250102001187</t>
  </si>
  <si>
    <t>AE8276165</t>
  </si>
  <si>
    <t>DILINGQU/第零区 超C铜合金防盗门锁芯 DLQ-10180 31×30×18.5mm 银色 超c铜锁芯 通开 配1钥匙 1套</t>
  </si>
  <si>
    <t>2024-12-30 23:58:34.0</t>
  </si>
  <si>
    <t>3442888</t>
  </si>
  <si>
    <t>2020070427</t>
  </si>
  <si>
    <t>药品 恒健 过氧化氢溶液 100ML/瓶 双氧水</t>
  </si>
  <si>
    <t>药品</t>
  </si>
  <si>
    <t>3442876</t>
  </si>
  <si>
    <t>7140110059</t>
  </si>
  <si>
    <t>网络直通头 搞怪猪 RJ45 带屏蔽 直通头模块，网线连接器/网线延长器</t>
  </si>
  <si>
    <t>工程物资/电工物料/网线</t>
  </si>
  <si>
    <t>网络直通头</t>
  </si>
  <si>
    <t>3442871</t>
  </si>
  <si>
    <t>4080150039</t>
  </si>
  <si>
    <t>雨伞袋 国产 长款 71x14CM，500个装 加厚强韧一次性长雨伞套</t>
  </si>
  <si>
    <t>清洁物资类/清洁耗材/雨伞袋（更新中）</t>
  </si>
  <si>
    <t>雨伞袋</t>
  </si>
  <si>
    <t>3442872</t>
  </si>
  <si>
    <t>7010020338</t>
  </si>
  <si>
    <t>组合螺丝刀 eLecaLL 45合1S2精密螺丝刀套装 9003带万向杆，合金钢材质带防静电镊子</t>
  </si>
  <si>
    <t>组合螺丝刀</t>
  </si>
  <si>
    <t>3442887</t>
  </si>
  <si>
    <t>6010210040</t>
  </si>
  <si>
    <t>防毒面具 鸿兴邦安 TZL30 过滤式自救呼吸器 红盒</t>
  </si>
  <si>
    <t>消防安保/消防工具/防毒面具</t>
  </si>
  <si>
    <t>3442875</t>
  </si>
  <si>
    <t>1010100194</t>
  </si>
  <si>
    <t>转接线 绿联 10510 3.5MM转双莲花头音频线一分二，红白2米</t>
  </si>
  <si>
    <t>转接线</t>
  </si>
  <si>
    <t>3442874</t>
  </si>
  <si>
    <t>7131030048</t>
  </si>
  <si>
    <t>锁芯 国产优质 纯铜锁芯 卧室门锁</t>
  </si>
  <si>
    <t>锁芯</t>
  </si>
  <si>
    <t>3442885</t>
  </si>
  <si>
    <t>7050070286</t>
  </si>
  <si>
    <t>射灯 阳光 黑体 30W白光 轨道灯</t>
  </si>
  <si>
    <t>工程物资/LED灯具/LED吸顶灯/射灯/玉米灯/烛形灯</t>
  </si>
  <si>
    <t>射灯</t>
  </si>
  <si>
    <t>3442879</t>
  </si>
  <si>
    <t>AE8556287</t>
  </si>
  <si>
    <t>FANJIA/繁佳 尼龙绳 XM-LWL-直径8mm 长100m 白色 1卷</t>
  </si>
  <si>
    <t>工程物资/五金辅料/尼龙绳</t>
  </si>
  <si>
    <t>3442886</t>
  </si>
  <si>
    <t>7050070329</t>
  </si>
  <si>
    <t>射灯 嵌入式牛眼猫眼LED小射灯 开孔50-60MM，小3W 聚光筒灯大功率天花灯定制，亮银面，暖光</t>
  </si>
  <si>
    <t>3442878</t>
  </si>
  <si>
    <t>UQ6952</t>
  </si>
  <si>
    <t>SCHNEIDER/施耐德电气 面板开关 10A 250V 带保护门二/三极插座 镜瓷白 五孔插座 10A 1个</t>
  </si>
  <si>
    <t>3442882</t>
  </si>
  <si>
    <t>4080150038</t>
  </si>
  <si>
    <t>雨伞袋 国产 短款 34x14CM，500个装 加厚强韧一次性短雨伞套</t>
  </si>
  <si>
    <t>3442873</t>
  </si>
  <si>
    <t>7160120068</t>
  </si>
  <si>
    <t>照明开关 国产 面板开关 86x86MM 暗，明装二位面板开关，阻燃PC材质</t>
  </si>
  <si>
    <t>工程物资/开关插座/照明开关</t>
  </si>
  <si>
    <t>照明开关</t>
  </si>
  <si>
    <t>3442883</t>
  </si>
  <si>
    <t>7140260093</t>
  </si>
  <si>
    <t>排插 太力 纳米强力无痕双面胶 30mmx2m 透明家用车用双面固定爬墙贴随手贴</t>
  </si>
  <si>
    <t>排插</t>
  </si>
  <si>
    <t>3442877</t>
  </si>
  <si>
    <t>7120100020</t>
  </si>
  <si>
    <t>外墙乳胶漆涂料 铂尔牌 5KG 外墙漆底漆工程款白色净味乳胶漆外墙环保涂料</t>
  </si>
  <si>
    <t>3442880</t>
  </si>
  <si>
    <t>7040010607</t>
  </si>
  <si>
    <t>瓷砖钻头 国产 6/8/10/12MM 瓷砖大理石玻化砖开孔器玻璃钻头打孔器</t>
  </si>
  <si>
    <t>瓷砖钻头</t>
  </si>
  <si>
    <t>3442881</t>
  </si>
  <si>
    <t>7160090066</t>
  </si>
  <si>
    <t>开关盖板 国产 暗/明装一位面板开关 86x86MM 阻燃PC材质</t>
  </si>
  <si>
    <t>工程物资/开关插座/开关盖板</t>
  </si>
  <si>
    <t>开关盖板</t>
  </si>
  <si>
    <t>3442884</t>
  </si>
  <si>
    <t>PO250102000452</t>
  </si>
  <si>
    <t>2024-12-30 23:58:23.0</t>
  </si>
  <si>
    <t>3441048</t>
  </si>
  <si>
    <t>3441043</t>
  </si>
  <si>
    <t>3441041</t>
  </si>
  <si>
    <t>3441042</t>
  </si>
  <si>
    <t>3441047</t>
  </si>
  <si>
    <t>2020041566</t>
  </si>
  <si>
    <t xml:space="preserve">奶精 维记 奶油球 10ML/粒，20粒/包 </t>
  </si>
  <si>
    <t>奶精</t>
  </si>
  <si>
    <t>3441044</t>
  </si>
  <si>
    <t>7131150025</t>
  </si>
  <si>
    <t>装饰盖 国产优质 六角螺母螺丝保护盖 16x22xM10，20只/组 保护套，PE塑料，白色/黑色可选，下单需备注颜色，根据螺母螺丝对边宽度选购</t>
  </si>
  <si>
    <t>工程物资/五金辅料/其他五金辅料</t>
  </si>
  <si>
    <t>装饰盖</t>
  </si>
  <si>
    <t>3441049</t>
  </si>
  <si>
    <t>3441045</t>
  </si>
  <si>
    <t>AA2000890</t>
  </si>
  <si>
    <t>MIDEA/美的 微波炉 PM2003 700W 20L 220V 1台</t>
  </si>
  <si>
    <t>3441039</t>
  </si>
  <si>
    <t>4080210241</t>
  </si>
  <si>
    <t xml:space="preserve">冰箱除味剂 五优家家 约50g </t>
  </si>
  <si>
    <t>冰箱除味剂</t>
  </si>
  <si>
    <t>3441038</t>
  </si>
  <si>
    <t>AE2941888</t>
  </si>
  <si>
    <t>PAMUBEAR/帕姆熊 分体式人体红外感应模块开关 MK10 AC220V 1个</t>
  </si>
  <si>
    <t>工程物资/开关插座/红外线（人体）感应开关</t>
  </si>
  <si>
    <t>3441037</t>
  </si>
  <si>
    <t>AC1561572</t>
  </si>
  <si>
    <t>GOSIM/国新 小心台阶标识牌 100×250mm 1块</t>
  </si>
  <si>
    <t>3441040</t>
  </si>
  <si>
    <t>AE3167849</t>
  </si>
  <si>
    <t>LESSO/联塑 PVC-U排水管(A)白色 dn32*2mm*4m 1根</t>
  </si>
  <si>
    <t>3441050</t>
  </si>
  <si>
    <t>2020041635</t>
  </si>
  <si>
    <t>水果 国产 混装水果（草莓+蓝莓+金桔等） 6个/盘</t>
  </si>
  <si>
    <t>3441046</t>
  </si>
  <si>
    <t>PO241227000040</t>
  </si>
  <si>
    <t>FX0977</t>
  </si>
  <si>
    <t>COMIX/齐心 防反光按扣文件袋 C310A A4 透明 10个 1套</t>
  </si>
  <si>
    <t>2024-12-20 10:30:14.0</t>
  </si>
  <si>
    <t>3429290</t>
  </si>
  <si>
    <t>2020041518</t>
  </si>
  <si>
    <t xml:space="preserve">咖啡 雀巢 原味速溶咖啡1+2 15g/条，100条/盒 </t>
  </si>
  <si>
    <t>咖啡</t>
  </si>
  <si>
    <t>3429289</t>
  </si>
  <si>
    <t>PO250314000158</t>
  </si>
  <si>
    <t>9050230025</t>
  </si>
  <si>
    <t>服务类/其他服务类/设备租赁</t>
  </si>
  <si>
    <t>2024-12-18 13:48:50.0</t>
  </si>
  <si>
    <t>3496859</t>
  </si>
  <si>
    <t>PO241223000098</t>
  </si>
  <si>
    <t>2024-12-18 13:47:15.0</t>
  </si>
  <si>
    <t>3419093</t>
  </si>
  <si>
    <t>PO241223000099</t>
  </si>
  <si>
    <t>7130990137</t>
  </si>
  <si>
    <t xml:space="preserve">钥匙坯 国产 中长款35x8.7x2.2 </t>
  </si>
  <si>
    <t>工程物资/五金辅料/U形挂锁/不锈钢挂锁/挂锁</t>
  </si>
  <si>
    <t>钥匙坯</t>
  </si>
  <si>
    <t>2024-12-18 13:47:03.0</t>
  </si>
  <si>
    <t>3427065</t>
  </si>
  <si>
    <t>3427063</t>
  </si>
  <si>
    <t>3427062</t>
  </si>
  <si>
    <t>7130990125</t>
  </si>
  <si>
    <t xml:space="preserve">钥匙坯 国产优质 空白钥匙坯 </t>
  </si>
  <si>
    <t>3427066</t>
  </si>
  <si>
    <t>3427064</t>
  </si>
  <si>
    <t>PO250208000125</t>
  </si>
  <si>
    <t>2024-12-11 21:13:07.0</t>
  </si>
  <si>
    <t>3456931</t>
  </si>
  <si>
    <t>PO241213000310</t>
  </si>
  <si>
    <t>2010020594</t>
  </si>
  <si>
    <t>滤芯 沁园 明杆式炭棒滤芯 10寸 直饮机RD303配件</t>
  </si>
  <si>
    <t>2024-12-11 17:52:14.0</t>
  </si>
  <si>
    <t>3409216</t>
  </si>
  <si>
    <t>3409219</t>
  </si>
  <si>
    <t>2010020269</t>
  </si>
  <si>
    <t>其他电器配件 沁园 面板贴 直饮机RD301配件，包安装更换</t>
  </si>
  <si>
    <t>3409218</t>
  </si>
  <si>
    <t>3409215</t>
  </si>
  <si>
    <t>3409220</t>
  </si>
  <si>
    <t>3409217</t>
  </si>
  <si>
    <t>3409214</t>
  </si>
  <si>
    <t>PO241211000494</t>
  </si>
  <si>
    <t>3070051244</t>
  </si>
  <si>
    <t>不锈钢腐蚀牌 雪糕筒套牌 600x400MM，厚度1.2MM 不锈钢烤漆，UV打印，专色印刷</t>
  </si>
  <si>
    <t>不锈钢腐蚀牌</t>
  </si>
  <si>
    <t>深圳市欢喜创展广告有限公司</t>
  </si>
  <si>
    <t>2024-12-11 17:52:06.0</t>
  </si>
  <si>
    <t>3399381</t>
  </si>
  <si>
    <t>3070013493</t>
  </si>
  <si>
    <t>PVC 国产优质 超透pvcUV打印 30x20CM 标识贴</t>
  </si>
  <si>
    <t>3399382</t>
  </si>
  <si>
    <t>PO241225000187</t>
  </si>
  <si>
    <t>优地科技（无锡）有限公司</t>
  </si>
  <si>
    <t>2024-12-09 12:04:35.0</t>
  </si>
  <si>
    <t>3430544</t>
  </si>
  <si>
    <t>PO250208000124</t>
  </si>
  <si>
    <t>深圳市华圣源实业发展有限公司</t>
  </si>
  <si>
    <t>2024-12-09 12:03:11.0</t>
  </si>
  <si>
    <t>3464608</t>
  </si>
  <si>
    <t>PO250208000127</t>
  </si>
  <si>
    <t>2024-12-06 20:13:44.0</t>
  </si>
  <si>
    <t>3456933</t>
  </si>
  <si>
    <t>PO241211000157</t>
  </si>
  <si>
    <t>AA3251425</t>
  </si>
  <si>
    <t>KWHD/科威弘达 铠装热电偶 WRNK-131 φ5×300mm 1支</t>
  </si>
  <si>
    <t>工程物资/仪器仪表/红外线测温仪</t>
  </si>
  <si>
    <t>深圳市鸿粤实业发展有限公司</t>
  </si>
  <si>
    <t>2024-12-06 10:20:16.0</t>
  </si>
  <si>
    <t>3398681</t>
  </si>
  <si>
    <t>1020010558</t>
  </si>
  <si>
    <t>标贴纸 国产优质 圆形红底白字号码牌（1到10） 直径9CM 不干胶贴纸</t>
  </si>
  <si>
    <t>标贴纸</t>
  </si>
  <si>
    <t>3398669</t>
  </si>
  <si>
    <t>EC5659</t>
  </si>
  <si>
    <t>DELIXI/德力西 JSZ3系列时间继电器 JSZ3F-3 6M AC220V 1个</t>
  </si>
  <si>
    <t>3398675</t>
  </si>
  <si>
    <t>AA4646776</t>
  </si>
  <si>
    <t>LESSO/联塑 S4系列PPR冷水直管 外径dn20×2.3mm×2m 灰色 1.6MPa 1根</t>
  </si>
  <si>
    <t>工程物资/管材/PPR管</t>
  </si>
  <si>
    <t>3398666</t>
  </si>
  <si>
    <t>NE1562</t>
  </si>
  <si>
    <t>SCHNEIDER/施耐德电气 交流接触器 LC1-D50AM7 1个</t>
  </si>
  <si>
    <t>工程物资/电工物料/交流接触器</t>
  </si>
  <si>
    <t>3398671</t>
  </si>
  <si>
    <t>2010020267</t>
  </si>
  <si>
    <t>其他厨房配件 德龙 EMF2.W 全自动奶泡机</t>
  </si>
  <si>
    <t>其他厨房配件</t>
  </si>
  <si>
    <t>3398667</t>
  </si>
  <si>
    <t>FR9732</t>
  </si>
  <si>
    <t>CHINT/正泰 NXBLE-63系列剩余电流动作断路器 NXBLE-63 4P C63 30mA 6kA C型脱扣 额定电流63A 漏电电流30mA 1个</t>
  </si>
  <si>
    <t>3398679</t>
  </si>
  <si>
    <t>NY5182</t>
  </si>
  <si>
    <t>DELIXI/德力西 RT14系列熔断器 RT14(RT18) Φ14X51 体 32A 1个</t>
  </si>
  <si>
    <t>3398677</t>
  </si>
  <si>
    <t>AE1959748</t>
  </si>
  <si>
    <t>CHINT/正泰 辅助触头 F4-11 (改进型) 1个</t>
  </si>
  <si>
    <t>3398670</t>
  </si>
  <si>
    <t>3398683</t>
  </si>
  <si>
    <t>6030070030</t>
  </si>
  <si>
    <t>安全出口指示灯 德力西 LD11-22D 220V,LED指示灯信号灯</t>
  </si>
  <si>
    <t>消防安保/消防设施/消防指示标识</t>
  </si>
  <si>
    <t>安全出口指示灯</t>
  </si>
  <si>
    <t>3398673</t>
  </si>
  <si>
    <t>AU7753</t>
  </si>
  <si>
    <t>SCHNEIDER/施耐德电气 LRD系列热继电器 LRD3357C37-50A 1个</t>
  </si>
  <si>
    <t>3398678</t>
  </si>
  <si>
    <t>AA0220404</t>
  </si>
  <si>
    <t>QD/强达螺丝 4.8级镀锌六角螺母 M8 1个</t>
  </si>
  <si>
    <t>工程物资/五金辅料/螺母</t>
  </si>
  <si>
    <t>3398682</t>
  </si>
  <si>
    <t>AA5478684</t>
  </si>
  <si>
    <t>LESSO/联塑 PPR内螺纹直接头I型 dn20×R3/4" 白色 1只</t>
  </si>
  <si>
    <t>工程物资/管材/PPR管管件</t>
  </si>
  <si>
    <t>3398684</t>
  </si>
  <si>
    <t>CK0985</t>
  </si>
  <si>
    <t>DELIXI/德力西 RT14 圆筒形帽熔断器 RT14(RT18)  2A  Φ14X51 1个</t>
  </si>
  <si>
    <t>3398676</t>
  </si>
  <si>
    <t>AE3303931</t>
  </si>
  <si>
    <t>LESSO/联塑 内螺纹弯头带座(PP-R配件)灰色 dn25×1/2" 1只</t>
  </si>
  <si>
    <t>3398685</t>
  </si>
  <si>
    <t>7160050113</t>
  </si>
  <si>
    <t>按钮开关 标准 86型 不锈钢</t>
  </si>
  <si>
    <t>按钮开关</t>
  </si>
  <si>
    <t>3398674</t>
  </si>
  <si>
    <t>7110320053</t>
  </si>
  <si>
    <t>板材 国产 木工板 1.8Mx90CMx13MM 红色模版</t>
  </si>
  <si>
    <t>工程物资/建筑材料/木材/板材</t>
  </si>
  <si>
    <t>板材</t>
  </si>
  <si>
    <t>3398680</t>
  </si>
  <si>
    <t>3080060184</t>
  </si>
  <si>
    <t>展架 铁门型展架+画面 80x180CM 写真胶片PVC，四角打孔，含架子</t>
  </si>
  <si>
    <t>形象视觉/广告宣传/展架</t>
  </si>
  <si>
    <t>展架</t>
  </si>
  <si>
    <t>3398668</t>
  </si>
  <si>
    <t>7130530106</t>
  </si>
  <si>
    <t>接线端子 国产优质 TC100A-3P 3位100A TB、TC端子排TD接线柱</t>
  </si>
  <si>
    <t>接线端子</t>
  </si>
  <si>
    <t>3398672</t>
  </si>
  <si>
    <t>AE3169776</t>
  </si>
  <si>
    <t>LESSO/联塑 90°弯头(PVC-U给水配件)白色 dn32 1只</t>
  </si>
  <si>
    <t>工程物资/管材/PVC给水管管件</t>
  </si>
  <si>
    <t>3398687</t>
  </si>
  <si>
    <t>AE3304532</t>
  </si>
  <si>
    <t>LESSO/联塑 45°弯头(PP-R配件)白色 dn25 1只</t>
  </si>
  <si>
    <t>3398686</t>
  </si>
  <si>
    <t>PO241205000001</t>
  </si>
  <si>
    <t>2020070450</t>
  </si>
  <si>
    <t>藿香正气 葵花药业 藿香正气水 10MLx8支/盒，3盒/组 解表化湿</t>
  </si>
  <si>
    <t>藿香正气</t>
  </si>
  <si>
    <t>2024-12-05 00:06:50.0</t>
  </si>
  <si>
    <t>3400703</t>
  </si>
  <si>
    <t>PO241202000263</t>
  </si>
  <si>
    <t>AA3749134</t>
  </si>
  <si>
    <t>DELI/得力 复印纸 莱茵河7419 A4 80g 5包装 1箱</t>
  </si>
  <si>
    <t>3387690</t>
  </si>
  <si>
    <t>3387696</t>
  </si>
  <si>
    <t>AA2511786</t>
  </si>
  <si>
    <t>ZKH/震坤行 木柄羊毛刷 ZKH-YMS-4" 1把</t>
  </si>
  <si>
    <t>3387705</t>
  </si>
  <si>
    <t>3400705</t>
  </si>
  <si>
    <t>AA3800562</t>
  </si>
  <si>
    <t>TZG/梯子哥 工程人字双面梯 FCT-2502 工作高度250cm 额定载荷150kg 1架</t>
  </si>
  <si>
    <t>工程物资/手动工具/人字梯/伸缩梯/铝梯</t>
  </si>
  <si>
    <t>3387688</t>
  </si>
  <si>
    <t>AE8566943</t>
  </si>
  <si>
    <t>FANJIA/繁佳 滚筒刷 XM-LBX-8寸 280×195×65mm 1把</t>
  </si>
  <si>
    <t>3387707</t>
  </si>
  <si>
    <t>3387692</t>
  </si>
  <si>
    <t>AE8566938</t>
  </si>
  <si>
    <t>FANJIA/繁佳 滚筒刷 XM-LBX-4寸 240×95×65mm 1把</t>
  </si>
  <si>
    <t>3387706</t>
  </si>
  <si>
    <t>PO241205000003</t>
  </si>
  <si>
    <t>7050080003</t>
  </si>
  <si>
    <t>T5LED灯管 佛山照明 经典系列1.2 1.2M，1.6W 经典，220V，内置双端标准，黄光3000K</t>
  </si>
  <si>
    <t>3400708</t>
  </si>
  <si>
    <t>3387712</t>
  </si>
  <si>
    <t>2010030400</t>
  </si>
  <si>
    <t>水壶 思达睿 550ML/个 拉花壶，不锈钢材质，带刻度</t>
  </si>
  <si>
    <t>水壶</t>
  </si>
  <si>
    <t>3400698</t>
  </si>
  <si>
    <t>3387694</t>
  </si>
  <si>
    <t>PO241205000005</t>
  </si>
  <si>
    <t>3070051233</t>
  </si>
  <si>
    <t>不锈钢腐蚀牌 停车场管理须知标识 600x900MM，厚度1.2MM 不锈钢烤漆，UV打印，专色印刷</t>
  </si>
  <si>
    <t>3400715</t>
  </si>
  <si>
    <t>3070013492</t>
  </si>
  <si>
    <t>PVC 国产优质 磨砂面 10CM宽 地贴标识车贴</t>
  </si>
  <si>
    <t>3400711</t>
  </si>
  <si>
    <t>3387691</t>
  </si>
  <si>
    <t>AA5134788</t>
  </si>
  <si>
    <t>DELIXI/德力西 CD210系列三位双控荧光大板开关 Q863K2 暗装 1个</t>
  </si>
  <si>
    <t>3387703</t>
  </si>
  <si>
    <t>AA4577612</t>
  </si>
  <si>
    <t>SEAGATE/希捷 移动硬盘 STKM4000400 2.5" USB3.0 4TB 黑色 睿翼 兼容MAC 1个</t>
  </si>
  <si>
    <t>3387689</t>
  </si>
  <si>
    <t>AA3800696</t>
  </si>
  <si>
    <t>TZG/梯子哥 工程人字双面梯 GCT-3502 工作高度350cm 额定载荷150kg 1架</t>
  </si>
  <si>
    <t>3387711</t>
  </si>
  <si>
    <t>2010030587</t>
  </si>
  <si>
    <t>杯架 思达睿 23CMx13CMx19CM 白色木把</t>
  </si>
  <si>
    <t>杯架</t>
  </si>
  <si>
    <t>3400699</t>
  </si>
  <si>
    <t>3400700</t>
  </si>
  <si>
    <t>3070050897</t>
  </si>
  <si>
    <t>不锈钢腐蚀牌 值班牌管区标识 300x200MM，厚度1.2MM 不锈钢，不锈钢烤漆，UV打印，专色印刷</t>
  </si>
  <si>
    <t>3400717</t>
  </si>
  <si>
    <t>AA4215626</t>
  </si>
  <si>
    <t>NIPPON/立邦 抗菌防霉内墙乳胶漆 白色 白色 20kg 1桶</t>
  </si>
  <si>
    <t>3387700</t>
  </si>
  <si>
    <t>AA5134785</t>
  </si>
  <si>
    <t>DELIXI/德力西 CD210系列二位双控荧光大板开关 Q862K2 暗装 1个</t>
  </si>
  <si>
    <t>3387702</t>
  </si>
  <si>
    <t>7050080004</t>
  </si>
  <si>
    <t>T5LED灯管 佛山照明 经典系列1.2 1.2M，16W 经典，220V，内置双端标准，白光6500K</t>
  </si>
  <si>
    <t>3400707</t>
  </si>
  <si>
    <t>AA2511784</t>
  </si>
  <si>
    <t>ZKH/震坤行 木柄羊毛刷 ZKH-YMS-2" 1把</t>
  </si>
  <si>
    <t>3387704</t>
  </si>
  <si>
    <t>3387699</t>
  </si>
  <si>
    <t>FA3640</t>
  </si>
  <si>
    <t>NEDFON/绿岛风 旋风管道式换气扇 BPT15-33H55 1台</t>
  </si>
  <si>
    <t>工程物资/五金辅料/壁扇/落地扇/排风扇/电风扇</t>
  </si>
  <si>
    <t>3387701</t>
  </si>
  <si>
    <t>3110010128</t>
  </si>
  <si>
    <t xml:space="preserve">灭火器消火栓检查记录表 国产优质 消火栓/灭火器检查卡 铜版纸，20x12CM </t>
  </si>
  <si>
    <t>3400712</t>
  </si>
  <si>
    <t>3070013512</t>
  </si>
  <si>
    <t>亚克力 天台门牌天台标识 290x120MM，厚度3MM 背面UV打印</t>
  </si>
  <si>
    <t>3400713</t>
  </si>
  <si>
    <t>3387697</t>
  </si>
  <si>
    <t>3400704</t>
  </si>
  <si>
    <t>3387693</t>
  </si>
  <si>
    <t>3070013513</t>
  </si>
  <si>
    <t>亚克力 严禁攀爬/小心坠落/禁止抛物/天台重地闲人免入天台标识 260x160MM，厚度3MM 背面UV打印</t>
  </si>
  <si>
    <t>3400718</t>
  </si>
  <si>
    <t>NA1198</t>
  </si>
  <si>
    <t>EPSON/爱普生 色带架 S015630 黑色 1个</t>
  </si>
  <si>
    <t>3387698</t>
  </si>
  <si>
    <t>1020060342</t>
  </si>
  <si>
    <t xml:space="preserve">名片 国产定制 珠光纸烫金名片 100张/盒 </t>
  </si>
  <si>
    <t>名片</t>
  </si>
  <si>
    <t>3400716</t>
  </si>
  <si>
    <t>NC1648</t>
  </si>
  <si>
    <t>3M PVC电气绝缘胶带-普通型 1500 红色 18mm×10m×0.13mm 1卷</t>
  </si>
  <si>
    <t>3387709</t>
  </si>
  <si>
    <t>3070013519</t>
  </si>
  <si>
    <t>亚克力 垃圾房、地下室、游泳池设备房、工具房等公共区域标签门牌 290x120MM，厚度3MM 亚克力板反面打印，专色烤漆</t>
  </si>
  <si>
    <t>3400719</t>
  </si>
  <si>
    <t>AH2810</t>
  </si>
  <si>
    <t>3M PVC电气绝缘胶带-阻燃型 1712黑色 18mm×20m×0.18mm 1卷</t>
  </si>
  <si>
    <t>3387710</t>
  </si>
  <si>
    <t>2020070488</t>
  </si>
  <si>
    <t>药油 龙虎牌 6ML 驱风，止痒</t>
  </si>
  <si>
    <t>药油</t>
  </si>
  <si>
    <t>3400701</t>
  </si>
  <si>
    <t>PO241205000004</t>
  </si>
  <si>
    <t>6010100097</t>
  </si>
  <si>
    <t>消防铲 援邦 XF-Q-P 白锹头（红木柄） 普通款</t>
  </si>
  <si>
    <t>消防安保/消防工具/消防斧/消防锤/消防铲</t>
  </si>
  <si>
    <t>消防铲</t>
  </si>
  <si>
    <t>3400709</t>
  </si>
  <si>
    <t>NC1667</t>
  </si>
  <si>
    <t>3M PVC电气绝缘胶带-普通型 1500 黄色 18mm×10m×0.13mm 1卷</t>
  </si>
  <si>
    <t>3387708</t>
  </si>
  <si>
    <t>3070051222</t>
  </si>
  <si>
    <t>不锈钢腐蚀牌 施工进行中敬请谅解工程作业提示牌 420x297MM，厚度1MM 不锈钢烤漆立牌，UV打印，专色印刷</t>
  </si>
  <si>
    <t>3400714</t>
  </si>
  <si>
    <t>PO241205000002</t>
  </si>
  <si>
    <t>3400706</t>
  </si>
  <si>
    <t>4080090105</t>
  </si>
  <si>
    <t>给液器 华霖 约21CMx13CM 白色双头</t>
  </si>
  <si>
    <t>清洁物资类/清洁耗材/其它清洁耗材</t>
  </si>
  <si>
    <t>给液器</t>
  </si>
  <si>
    <t>3400702</t>
  </si>
  <si>
    <t>6010190022</t>
  </si>
  <si>
    <t>消防桶 援邦 圆桶 8L，0.4MM 铁质</t>
  </si>
  <si>
    <t>消防安保/消防工具/消防桶</t>
  </si>
  <si>
    <t>消防桶</t>
  </si>
  <si>
    <t>3400710</t>
  </si>
  <si>
    <t>3387695</t>
  </si>
  <si>
    <t>PO241211000159</t>
  </si>
  <si>
    <t>2024-12-05 00:02:02.0</t>
  </si>
  <si>
    <t>3398689</t>
  </si>
  <si>
    <t>PO241212000379</t>
  </si>
  <si>
    <t>4070100051</t>
  </si>
  <si>
    <t>马桶坐垫纸 国产 一次性马桶垫 250片装 一次性马桶垫出差旅行坐垫纸坐厕纸座便纸溶水型坐便器马桶纸马桶垫</t>
  </si>
  <si>
    <t>2024-12-05 00:01:44.0</t>
  </si>
  <si>
    <t>3407865</t>
  </si>
  <si>
    <t>3407864</t>
  </si>
  <si>
    <t>PO241211000168</t>
  </si>
  <si>
    <t>3020040442</t>
  </si>
  <si>
    <t>其他客服服装 乔丹诺 女冬季大衣 深蓝色</t>
  </si>
  <si>
    <t>形象视觉/技能序列服装/技能序列客服服装</t>
  </si>
  <si>
    <t>其他客服服装</t>
  </si>
  <si>
    <t>北京枫叶源服装服饰有限公司</t>
  </si>
  <si>
    <t>2024-12-05 00:01:35.0</t>
  </si>
  <si>
    <t>3398694</t>
  </si>
  <si>
    <t>3020040425</t>
  </si>
  <si>
    <t>其他客服服装 枫叶源 物业、餐饮服务女员工套装（外套+裙子） 均码 20天丝+70聚酯纤维+10氨纶</t>
  </si>
  <si>
    <t>3398693</t>
  </si>
  <si>
    <t>3020040454</t>
  </si>
  <si>
    <t>其他客服服装 枫叶源 会服接待女款连衣裙 XS-XXXL码 百分之68醋酸纤维，百分之24聚酯纤维，百分之8氨纶</t>
  </si>
  <si>
    <t>3398695</t>
  </si>
  <si>
    <t>PO241211000162</t>
  </si>
  <si>
    <t>2024-12-03 11:58:22.0</t>
  </si>
  <si>
    <t>3406142</t>
  </si>
  <si>
    <t>PO241211000401</t>
  </si>
  <si>
    <t>2024-12-03 11:50:58.0</t>
  </si>
  <si>
    <t>3399088</t>
  </si>
  <si>
    <t>PO241211000188</t>
  </si>
  <si>
    <t>3040010127</t>
  </si>
  <si>
    <t>其他安全服装 姿蔓郎 西装外套 XS-XXXL码 百分之60棉，百分之35涤纶，百分之5竹纤维</t>
  </si>
  <si>
    <t>形象视觉/安全作训服/安全作训服</t>
  </si>
  <si>
    <t>其他安全服装</t>
  </si>
  <si>
    <t>北京姿蔓郎服饰有限公司</t>
  </si>
  <si>
    <t>2024-12-02 14:46:45.0</t>
  </si>
  <si>
    <t>3406261</t>
  </si>
  <si>
    <t>3020040445</t>
  </si>
  <si>
    <t>其他客服服装 国产 冬装大衣 尺码165-185CM，单件大衣2-3KG 充物羽绒棉</t>
  </si>
  <si>
    <t>3406260</t>
  </si>
  <si>
    <t>3020030082</t>
  </si>
  <si>
    <t>其他工程服装 姿蔓郎 工程冬款（夹克上衣+长袖T恤+工装裤） XS-XXXL码 耐磨耐洗，吸汗透气，厚料防静电</t>
  </si>
  <si>
    <t>形象视觉/技能序列服装/技能序列工程服装</t>
  </si>
  <si>
    <t>其他工程服装</t>
  </si>
  <si>
    <t>3406258</t>
  </si>
  <si>
    <t>3406259</t>
  </si>
  <si>
    <t>3020040426</t>
  </si>
  <si>
    <t>其他客服服装 姿蔓郎 行政男员工套装（衬衣+西裤） 均码 衬衣：60棉+35涤纶+5竹纤维，裤子：70毛+20涤纶+10天丝</t>
  </si>
  <si>
    <t>3406257</t>
  </si>
  <si>
    <t>PO250208000121</t>
  </si>
  <si>
    <t>9030050001</t>
  </si>
  <si>
    <t>其他安全服务</t>
  </si>
  <si>
    <t>服务类/安全服务类/其他安全服务</t>
  </si>
  <si>
    <t>深圳市华玮信科技有限公司</t>
  </si>
  <si>
    <t>2024-11-27 11:50:53.0</t>
  </si>
  <si>
    <t>3464606</t>
  </si>
  <si>
    <t>PO241128000283</t>
  </si>
  <si>
    <t>2024-11-27 11:49:05.0</t>
  </si>
  <si>
    <t>3386236</t>
  </si>
  <si>
    <t>2010020590</t>
  </si>
  <si>
    <t>滤芯 沁园 超滤插入式干膜（LPC-UFF-20） 20寸 净水器CS3配件</t>
  </si>
  <si>
    <t>3386235</t>
  </si>
  <si>
    <t>2010020592</t>
  </si>
  <si>
    <t>滤芯 沁园 P滤芯（LPP-PP-20） 20寸 净水器CS3配件</t>
  </si>
  <si>
    <t>3386233</t>
  </si>
  <si>
    <t>3386238</t>
  </si>
  <si>
    <t>2010020593</t>
  </si>
  <si>
    <t>滤芯 沁园 汇通RO膜滤芯 100GPD，直径6CM，长25CM 直饮机RD303配件</t>
  </si>
  <si>
    <t>3386234</t>
  </si>
  <si>
    <t>3386237</t>
  </si>
  <si>
    <t>PO241231000176</t>
  </si>
  <si>
    <t>2024-11-22 16:56:58.0</t>
  </si>
  <si>
    <t>3440014</t>
  </si>
  <si>
    <t>PO241119000262</t>
  </si>
  <si>
    <t>2020040079</t>
  </si>
  <si>
    <t>食品 特怡诗 60g/包 草莓冻干夹心巧克力 每大包内有独立包装</t>
  </si>
  <si>
    <t>食品</t>
  </si>
  <si>
    <t>2024-11-18 09:26:33.0</t>
  </si>
  <si>
    <t>3381646</t>
  </si>
  <si>
    <t>3381648</t>
  </si>
  <si>
    <t>3381647</t>
  </si>
  <si>
    <t>3381649</t>
  </si>
  <si>
    <t>PO241120000234</t>
  </si>
  <si>
    <t>2024-11-18 09:25:49.0</t>
  </si>
  <si>
    <t>3374760</t>
  </si>
  <si>
    <t>4090040132</t>
  </si>
  <si>
    <t>香薰精油 斯卡珞 SK56香格里拉 500ML/瓶 香薰精油补充液</t>
  </si>
  <si>
    <t>清洁物资类/清新剂（更新中）/固体香薰/香薰精油（更新中）</t>
  </si>
  <si>
    <t>香薰精油</t>
  </si>
  <si>
    <t>3374759</t>
  </si>
  <si>
    <t>3374761</t>
  </si>
  <si>
    <t>AE5212515</t>
  </si>
  <si>
    <t>EDJD/E代经典 标签色带套装 TZe-231 12mm白底黑字 4支装 适用brother兄弟PT-D210标签机/P700打印机/D450标签纸打印纸18Rz 1套</t>
  </si>
  <si>
    <t>3374762</t>
  </si>
  <si>
    <t>PO241119000276</t>
  </si>
  <si>
    <t>2024-11-18 08:47:47.0</t>
  </si>
  <si>
    <t>3374229</t>
  </si>
  <si>
    <t>3374231</t>
  </si>
  <si>
    <t>3374230</t>
  </si>
  <si>
    <t>2010020276</t>
  </si>
  <si>
    <t>其他电器配件 沁园 进水电磁阀 直饮机RD301配件，包安装更换</t>
  </si>
  <si>
    <t>3374228</t>
  </si>
  <si>
    <t>2010020273</t>
  </si>
  <si>
    <t>其他电器配件 沁园 主控板 直饮机RD301配件，包安装更换</t>
  </si>
  <si>
    <t>3374227</t>
  </si>
  <si>
    <t>PO250314000156</t>
  </si>
  <si>
    <t>同旭（深圳）建设工程有限公司</t>
  </si>
  <si>
    <t>2024-11-12 23:57:24.0</t>
  </si>
  <si>
    <t>3496858</t>
  </si>
  <si>
    <t>PO241114000172</t>
  </si>
  <si>
    <t>2030020078</t>
  </si>
  <si>
    <t>窗帘配件 鑫美 手拉升控制器百叶滑轮 管粗28MM 遮光度：半遮光40%-70%</t>
  </si>
  <si>
    <t>2024-11-12 23:31:18.0</t>
  </si>
  <si>
    <t>3371579</t>
  </si>
  <si>
    <t>NW4108</t>
  </si>
  <si>
    <t>PISEN/品胜 三合一数据线 AP07-1200 1.2m 白色 1根</t>
  </si>
  <si>
    <t>3371573</t>
  </si>
  <si>
    <t>1010060023</t>
  </si>
  <si>
    <t>数码配件 爱克比 ICKB SO8 so8声卡+bari无线话筒1拖2+R1无线耳机1拖2 直播声卡麦克风套装</t>
  </si>
  <si>
    <t>办公类/办公设备/摄影摄像</t>
  </si>
  <si>
    <t>数码配件</t>
  </si>
  <si>
    <t>3371572</t>
  </si>
  <si>
    <t>3080060175</t>
  </si>
  <si>
    <t>展架画面 门型展架画面 80x180CM，厚度1MM 写真胶片PVC，四角打孔，不带架子</t>
  </si>
  <si>
    <t>展架画面</t>
  </si>
  <si>
    <t>3371569</t>
  </si>
  <si>
    <t>AC6562226</t>
  </si>
  <si>
    <t>FANJIA/繁佳 单冷感应水龙头 LZJ-长14.2CM-高12CM 含软管×2+交流电盒子×1+冷热调节阀×1 1个</t>
  </si>
  <si>
    <t>3371576</t>
  </si>
  <si>
    <t>AA0390116</t>
  </si>
  <si>
    <t>QD/强达螺丝 GB846 十字槽沉头自攻螺钉 碳钢 8.8级 镀锌 全牙 粗牙 ST3×20(镀锌) 1个</t>
  </si>
  <si>
    <t>3371582</t>
  </si>
  <si>
    <t>AE1456021</t>
  </si>
  <si>
    <t>FANJIA/繁佳 窗户限位安全锁扣 LZJ-黑色椭圆 长200mm 1个</t>
  </si>
  <si>
    <t>工程物资/五金辅料/挡门器</t>
  </si>
  <si>
    <t>3371578</t>
  </si>
  <si>
    <t>2020030787</t>
  </si>
  <si>
    <t xml:space="preserve">粘毛器 清亮 大号 20CM，5卷纸共420撕 </t>
  </si>
  <si>
    <t>粘毛器</t>
  </si>
  <si>
    <t>3371574</t>
  </si>
  <si>
    <t>7090110012</t>
  </si>
  <si>
    <t>取水阀 国产优质 坐便器马桶水箱配件上水阀进水阀</t>
  </si>
  <si>
    <t>工程物资/阀门/取水阀</t>
  </si>
  <si>
    <t>取水阀</t>
  </si>
  <si>
    <t>3371581</t>
  </si>
  <si>
    <t>7090040053</t>
  </si>
  <si>
    <t>脚踏阀 冲水阀踏板 8号 冲洗阀脚踏板，延时阀脚踩板，配件，脚踏龙头脚踏板</t>
  </si>
  <si>
    <t>工程物资/阀门/冲水阀</t>
  </si>
  <si>
    <t>脚踏阀</t>
  </si>
  <si>
    <t>3371580</t>
  </si>
  <si>
    <t>7120080187</t>
  </si>
  <si>
    <t>其他油漆 玉龙 氟碳漆 20KG/桶 白色底漆</t>
  </si>
  <si>
    <t>其他油漆</t>
  </si>
  <si>
    <t>3371570</t>
  </si>
  <si>
    <t>4080210164</t>
  </si>
  <si>
    <t xml:space="preserve">其他清洁剂 洁而亮 特强清洁乳 500ML/瓶 </t>
  </si>
  <si>
    <t>其他清洁剂</t>
  </si>
  <si>
    <t>3371568</t>
  </si>
  <si>
    <t>AA3746408</t>
  </si>
  <si>
    <t>LANDWELL/兰德华 感应式巡更棒 L-3000EF-2 黑色 充电款 (送15个巡更点+5个人员钮) 1个</t>
  </si>
  <si>
    <t>消防安保/岗亭设备/电子巡更棒</t>
  </si>
  <si>
    <t>3371575</t>
  </si>
  <si>
    <t>7120080188</t>
  </si>
  <si>
    <t>其他油漆 玉龙 氟碳漆 20KG/桶 白色面漆</t>
  </si>
  <si>
    <t>3371571</t>
  </si>
  <si>
    <t>7130540042</t>
  </si>
  <si>
    <t>电源适配器 国产 QZ24-3-72 24V3A，长115×宽75×高65MM，线长620+900MM，DC接口5.5×2.1MM 适用云台球机摄像头</t>
  </si>
  <si>
    <t>工程物资/五金辅料/电源适配器</t>
  </si>
  <si>
    <t>电源适配器</t>
  </si>
  <si>
    <t>3371577</t>
  </si>
  <si>
    <t>PO241112000332</t>
  </si>
  <si>
    <t>AC0366388</t>
  </si>
  <si>
    <t>QIANJUMEI/千居美 醇酸银粉漆 银色 1L 1桶</t>
  </si>
  <si>
    <t>2024-11-12 23:21:23.0</t>
  </si>
  <si>
    <t>3367909</t>
  </si>
  <si>
    <t>3367904</t>
  </si>
  <si>
    <t>KV9025</t>
  </si>
  <si>
    <t>EPSON/爱普生 色带 C13S015634 黑色 1盒</t>
  </si>
  <si>
    <t>3367900</t>
  </si>
  <si>
    <t>AC7273220</t>
  </si>
  <si>
    <t>DELI/得力 莱茵河复印纸 7401 A4 70g 500张/包 1包</t>
  </si>
  <si>
    <t>3367901</t>
  </si>
  <si>
    <t>GT7847</t>
  </si>
  <si>
    <t>NANFU/南孚 碱性电池 LR03/AAA 7号 聚能环4代 两粒装 1包</t>
  </si>
  <si>
    <t>3367903</t>
  </si>
  <si>
    <t>TY9713</t>
  </si>
  <si>
    <t>OK-TOOLS/卡夫威尔 手持砂纸打磨器 YS2966 1件</t>
  </si>
  <si>
    <t>3367915</t>
  </si>
  <si>
    <t>MY6634</t>
  </si>
  <si>
    <t>HT/宏挺 GB15856.4 六角法兰面自钻自攻螺钉 碳钢 镀彩锌 全牙 3001725-5004500300 ST5.5×45 400个 1盒</t>
  </si>
  <si>
    <t>3367913</t>
  </si>
  <si>
    <t>3367902</t>
  </si>
  <si>
    <t>AA1614527</t>
  </si>
  <si>
    <t>LOGITECH/罗技 无线鼠标 M275 黑色 1个</t>
  </si>
  <si>
    <t>3367897</t>
  </si>
  <si>
    <t>CJ1939</t>
  </si>
  <si>
    <t>CHAOBAO/超宝 绿水(抑菌消毒清洁剂) DFF014 3.8L 1瓶</t>
  </si>
  <si>
    <t>清洁物资类/有害生物防治（更新中）/消毒液（更新中）</t>
  </si>
  <si>
    <t>3367919</t>
  </si>
  <si>
    <t>MH1882</t>
  </si>
  <si>
    <t>3M 指示标签纸 683-9CF 12×44mm 9×10页 混色 新老包装更替中 1包</t>
  </si>
  <si>
    <t>3367905</t>
  </si>
  <si>
    <t>3367896</t>
  </si>
  <si>
    <t>AA5850004</t>
  </si>
  <si>
    <t>LONCOOL/蓝固 硅酮结构胶 LG-1000 白色 750g 1支</t>
  </si>
  <si>
    <t>3367912</t>
  </si>
  <si>
    <t>3367910</t>
  </si>
  <si>
    <t>AA4917234</t>
  </si>
  <si>
    <t>HYSTIC/海斯迪克 木柄抹泥刀 HKL-9系列 小号 130×80×55mm 1个</t>
  </si>
  <si>
    <t>工程物资/手动工具/套筒</t>
  </si>
  <si>
    <t>3367911</t>
  </si>
  <si>
    <t>CG9774</t>
  </si>
  <si>
    <t>NIPPON/立邦 专业外墙乳胶漆 EX-707耐候 哑光白 20kg 1桶</t>
  </si>
  <si>
    <t>3367916</t>
  </si>
  <si>
    <t>AA9238773</t>
  </si>
  <si>
    <t>ZKH/震坤行 黑色全静系列双层双护栏手推车(单扶手) PLA150T-T2-HL2-ZKH 台面尺寸720×490mm 额定载重150kg 1台</t>
  </si>
  <si>
    <t>3367895</t>
  </si>
  <si>
    <t>AE0303212</t>
  </si>
  <si>
    <t>HONGQi/红旗仪表 一般压力表 Y-100 0-2.5MPa 1个</t>
  </si>
  <si>
    <t>工程物资/仪器仪表/压力表</t>
  </si>
  <si>
    <t>3367917</t>
  </si>
  <si>
    <t>AE3852813</t>
  </si>
  <si>
    <t>M&amp;G/晨光 记号笔 APMY2218 可加墨 黑色 10支 1盒</t>
  </si>
  <si>
    <t>3367899</t>
  </si>
  <si>
    <t>AA5086439</t>
  </si>
  <si>
    <t>NOYAFA/精明鼠 NF网络测线巡线仪 NF-806R 300m 1套</t>
  </si>
  <si>
    <t>3367906</t>
  </si>
  <si>
    <t>3367918</t>
  </si>
  <si>
    <t>3367894</t>
  </si>
  <si>
    <t>FR2032</t>
  </si>
  <si>
    <t>M&amp;G/晨光 A4PVC拉链袋 ADM94506 A4 颜色随机 1只</t>
  </si>
  <si>
    <t>3367898</t>
  </si>
  <si>
    <t>3367908</t>
  </si>
  <si>
    <t>AE1182</t>
  </si>
  <si>
    <t>GREATWALL/长城 润滑脂 3#通用锂基脂 800g 1支</t>
  </si>
  <si>
    <t>工程物资/五金辅料/润滑油</t>
  </si>
  <si>
    <t>3367907</t>
  </si>
  <si>
    <t>AC9944444</t>
  </si>
  <si>
    <t>WJZX/五金专选 GB15856.1 十字槽盘头自钻自攻螺钉 碳钢 镀锌 全牙 ST4.2×19 1个</t>
  </si>
  <si>
    <t>3367914</t>
  </si>
  <si>
    <t>PO241112000354</t>
  </si>
  <si>
    <t>3080020911</t>
  </si>
  <si>
    <t>车贴 消防栓提示说明管区标识 300x220MM 贴纸，户外写真打印</t>
  </si>
  <si>
    <t>形象视觉/广告宣传/背胶</t>
  </si>
  <si>
    <t>车贴</t>
  </si>
  <si>
    <t>2024-11-12 16:20:43.0</t>
  </si>
  <si>
    <t>3367931</t>
  </si>
  <si>
    <t>PO241111000544</t>
  </si>
  <si>
    <t>AW7797</t>
  </si>
  <si>
    <t>SANO/三和 手摇自动喷漆 40白色 40白色 350mL 1罐</t>
  </si>
  <si>
    <t>3367345</t>
  </si>
  <si>
    <t>3070014076</t>
  </si>
  <si>
    <t>亚克力 洗手间清洁记录标识牌 377x377MM，厚度5MM，纸张为A4大小 UV打印，专色印刷</t>
  </si>
  <si>
    <t>3367929</t>
  </si>
  <si>
    <t>PO241112000352</t>
  </si>
  <si>
    <t>3370195</t>
  </si>
  <si>
    <t>3070013557</t>
  </si>
  <si>
    <t>亚克力 公厕检查扣分明细表洗手间指示牌 规格：500MMx700MM，厚度3MM 反面UV打印</t>
  </si>
  <si>
    <t>3367932</t>
  </si>
  <si>
    <t>3080080147</t>
  </si>
  <si>
    <t xml:space="preserve">横幅 国产优质 红底黄字 700CMx50CM </t>
  </si>
  <si>
    <t>形象视觉/广告宣传/横幅/条幅/旗帜</t>
  </si>
  <si>
    <t>横幅</t>
  </si>
  <si>
    <t>3367930</t>
  </si>
  <si>
    <t>CF7970</t>
  </si>
  <si>
    <t>SANO/三和 手摇自动喷漆 25中黄 25中黄 350mL 1罐</t>
  </si>
  <si>
    <t>3367344</t>
  </si>
  <si>
    <t>PO241112000353</t>
  </si>
  <si>
    <t>6020050083</t>
  </si>
  <si>
    <t>灭火器箱 援邦 干粉灭火器箱 5KGx2，厚0.6MM 铁皮</t>
  </si>
  <si>
    <t>消防安保/消防器材/灭火器箱</t>
  </si>
  <si>
    <t>3370196</t>
  </si>
  <si>
    <t>PO241115000198</t>
  </si>
  <si>
    <t>7160101182</t>
  </si>
  <si>
    <t>空气漏电开关 人民电器 朔料外壳式断路器 RDMI-250L/3310，160A，AC230V</t>
  </si>
  <si>
    <t>工程物资/开关插座/空气开关/空气漏电开关</t>
  </si>
  <si>
    <t>空气漏电开关</t>
  </si>
  <si>
    <t>2024-11-12 16:20:29.0</t>
  </si>
  <si>
    <t>3369982</t>
  </si>
  <si>
    <t>7140190072</t>
  </si>
  <si>
    <t>控制与保护开关 德伦电器 DZ15LD-40 3相，40A，1.1KW-11KW 过载保护</t>
  </si>
  <si>
    <t>工程物资/电工物料/控制器</t>
  </si>
  <si>
    <t>控制与保护开关</t>
  </si>
  <si>
    <t>3369981</t>
  </si>
  <si>
    <t>CY2565</t>
  </si>
  <si>
    <t>DELIXI/德力西 CDK1系列控制与保护开关 CDK1-63 3A 220V 3开3闭 1个</t>
  </si>
  <si>
    <t>3369980</t>
  </si>
  <si>
    <t>AE1485079</t>
  </si>
  <si>
    <t>ZKH/震坤行 常温中粘美纹纸胶带 米白色 0.145mm×20mm×50m 1卷</t>
  </si>
  <si>
    <t>工程物资/建筑材料/美纹纸</t>
  </si>
  <si>
    <t>3369987</t>
  </si>
  <si>
    <t>CH2908</t>
  </si>
  <si>
    <t>YINGPAI/鹰牌 鹰牌水砂纸 YBQ60 230×280mm 60# 100张 1包</t>
  </si>
  <si>
    <t>工程物资/五金辅料/砂纸</t>
  </si>
  <si>
    <t>3369983</t>
  </si>
  <si>
    <t>3070051270</t>
  </si>
  <si>
    <t>不锈钢 指示牌 20x30MM，厚度0.6MM 指示牌</t>
  </si>
  <si>
    <t>3369977</t>
  </si>
  <si>
    <t>AC3015208</t>
  </si>
  <si>
    <t>DONGJUN/东君 应急电源 DJ-04C 含应急电池 应急时间90min 1个</t>
  </si>
  <si>
    <t>3369978</t>
  </si>
  <si>
    <t>10041790552613</t>
  </si>
  <si>
    <t>MS705不锈钢三角锁一字304不锈钢锁电柜门锁 转舌锁 垃圾箱锁 不锈钢三角大钥匙</t>
  </si>
  <si>
    <t>3369984</t>
  </si>
  <si>
    <t>4060250028</t>
  </si>
  <si>
    <t>其他清洁剂 贝净洁 0.5-1kg 2合1石材养护剂结晶液</t>
  </si>
  <si>
    <t>清洁物资类/清洁剂（更新中）/其他清洁剂（更新中）</t>
  </si>
  <si>
    <t>3369986</t>
  </si>
  <si>
    <t>AE8102581</t>
  </si>
  <si>
    <t>FANJIA/繁佳 卫生间执手门锁 XM-ZZW-孔距140mm 不通开 50大单舌 配钥匙×3 适用门厚35-45mm 1个</t>
  </si>
  <si>
    <t>3369985</t>
  </si>
  <si>
    <t>AC9686263</t>
  </si>
  <si>
    <t>ZKH/震坤行 油灰刀 HHT-PK10 1" 1把</t>
  </si>
  <si>
    <t>3369976</t>
  </si>
  <si>
    <t>2010010586</t>
  </si>
  <si>
    <t>勺子 国产 加厚款 每包50支 一次性勺子</t>
  </si>
  <si>
    <t>3369979</t>
  </si>
  <si>
    <t>PO241111000538</t>
  </si>
  <si>
    <t>2024-11-11 19:29:07.0</t>
  </si>
  <si>
    <t>3367331</t>
  </si>
  <si>
    <t>3367336</t>
  </si>
  <si>
    <t>PO241111000537</t>
  </si>
  <si>
    <t>7110200063</t>
  </si>
  <si>
    <t xml:space="preserve">腻子粉 国产 内墙腻子粉 20KG/包 </t>
  </si>
  <si>
    <t>工程物资/建筑材料/腻子粉</t>
  </si>
  <si>
    <t>腻子粉</t>
  </si>
  <si>
    <t>3367327</t>
  </si>
  <si>
    <t>4080050640</t>
  </si>
  <si>
    <t>垃圾袋 思达睿 平口袋 85CMx100CM，50只/包，双层：3丝，克重：23g/个 黑色</t>
  </si>
  <si>
    <t>3367338</t>
  </si>
  <si>
    <t>PO241111000539</t>
  </si>
  <si>
    <t>3359439</t>
  </si>
  <si>
    <t>4010080005</t>
  </si>
  <si>
    <t>地毯清洗机 白云洁霸 BF521 额定功率：1001W-2000W，动力类型：电动，商品毛重：50KG 多功能刷地机，起蜡晶面单擦机，手推式刷地机，适用场景：房产物业，物流仓储，航空航天，用途：清洗，抛光，去污</t>
  </si>
  <si>
    <t>清洁物资类/清洁设备/地毯清洗机</t>
  </si>
  <si>
    <t>3367332</t>
  </si>
  <si>
    <t>PO241111000541</t>
  </si>
  <si>
    <t>3070013494</t>
  </si>
  <si>
    <t>PVC 国产优质 防水不干胶贴纸 30x18CM 标识贴</t>
  </si>
  <si>
    <t>3367342</t>
  </si>
  <si>
    <t>4080210097</t>
  </si>
  <si>
    <t>洗石水 超宝 DFF015 3.8L/瓶 主要成份：盐酸、硫酸等复合酸、缓蚀剂</t>
  </si>
  <si>
    <t>洗石水</t>
  </si>
  <si>
    <t>3367328</t>
  </si>
  <si>
    <t>3367341</t>
  </si>
  <si>
    <t>3367335</t>
  </si>
  <si>
    <t>4030150054</t>
  </si>
  <si>
    <t xml:space="preserve">鸡毛掸子 格易美 约56CM </t>
  </si>
  <si>
    <t>清洁物资类/清洁工具/清洗刷</t>
  </si>
  <si>
    <t>鸡毛掸子</t>
  </si>
  <si>
    <t>3367330</t>
  </si>
  <si>
    <t>3367340</t>
  </si>
  <si>
    <t>PO241111000540</t>
  </si>
  <si>
    <t>3359442</t>
  </si>
  <si>
    <t>4080090063</t>
  </si>
  <si>
    <t>百洁布 3M 96# 20片/盒 蓝色</t>
  </si>
  <si>
    <t>百洁布</t>
  </si>
  <si>
    <t>3367337</t>
  </si>
  <si>
    <t>3367329</t>
  </si>
  <si>
    <t>3367334</t>
  </si>
  <si>
    <t>3367339</t>
  </si>
  <si>
    <t>3359438</t>
  </si>
  <si>
    <t>3367333</t>
  </si>
  <si>
    <t>6050020116</t>
  </si>
  <si>
    <t>摄像机 海康威视 DS-2FA1202-DL-H/B 额定输出功率12V2A，线长800MM 电源适配器（国内标配）</t>
  </si>
  <si>
    <t>3359440</t>
  </si>
  <si>
    <t>3359441</t>
  </si>
  <si>
    <t>PO241119000148</t>
  </si>
  <si>
    <t>2024-11-11 19:19:42.0</t>
  </si>
  <si>
    <t>3381472</t>
  </si>
  <si>
    <t>PO241118000454</t>
  </si>
  <si>
    <t>4070050234</t>
  </si>
  <si>
    <t>卷纸 多康 迷你中心抽大卷纸 2层520节x18卷 卫生间大盘纸卫生纸需搭配多康中心抽分配器使用整箱销售</t>
  </si>
  <si>
    <t>清洁物资类/清洁纸品/卷纸</t>
  </si>
  <si>
    <t>卷纸</t>
  </si>
  <si>
    <t>2024-11-11 17:53:16.0</t>
  </si>
  <si>
    <t>3381112</t>
  </si>
  <si>
    <t>3381115</t>
  </si>
  <si>
    <t>3381113</t>
  </si>
  <si>
    <t>4080240032</t>
  </si>
  <si>
    <t>空气清新剂 白云 JB-120 3.78L/桶，4桶/箱 商品毛重：15KG</t>
  </si>
  <si>
    <t>3381114</t>
  </si>
  <si>
    <t>PO241115000194</t>
  </si>
  <si>
    <t>3080060176</t>
  </si>
  <si>
    <t>展架 X展架+画面 180x80CM X展架+PVC画面</t>
  </si>
  <si>
    <t>2024-11-11 14:35:29.0</t>
  </si>
  <si>
    <t>3369963</t>
  </si>
  <si>
    <t>AC1472155</t>
  </si>
  <si>
    <t>LONGDAI/龙代 开关电源GYJ S-480-48 / 48V 10A 480W 240×122×63mm 1个</t>
  </si>
  <si>
    <t>3369973</t>
  </si>
  <si>
    <t>4080210256</t>
  </si>
  <si>
    <t xml:space="preserve">消毒液 健百氏 强力消毒粉 约400g/瓶，20瓶/箱 </t>
  </si>
  <si>
    <t>消毒液</t>
  </si>
  <si>
    <t>3369961</t>
  </si>
  <si>
    <t>3080060159</t>
  </si>
  <si>
    <t>展架画面 门型展架画面 80x180CM 写真胶片PVC，四角打孔，不带架子</t>
  </si>
  <si>
    <t>3369962</t>
  </si>
  <si>
    <t>3369972</t>
  </si>
  <si>
    <t>3369971</t>
  </si>
  <si>
    <t>7080260038</t>
  </si>
  <si>
    <t xml:space="preserve">镀锌方管 30x30x3MM，6M/根 </t>
  </si>
  <si>
    <t>镀锌方管</t>
  </si>
  <si>
    <t>3369968</t>
  </si>
  <si>
    <t>2010040295</t>
  </si>
  <si>
    <t>冰箱 海尔 BCD-535WGHSSEDS9 产品重量85KG，电压220V，产品尺寸908x647x1775MM，冷藏室容积339L，总容积535L 对开门，一级能效变频风冷无霜</t>
  </si>
  <si>
    <t>家居生活/厨房卫浴/厨卫大电</t>
  </si>
  <si>
    <t>3369964</t>
  </si>
  <si>
    <t>2010010576</t>
  </si>
  <si>
    <t xml:space="preserve">杯垫 茶花 杯托 常规 </t>
  </si>
  <si>
    <t>杯垫</t>
  </si>
  <si>
    <t>3369969</t>
  </si>
  <si>
    <t>7110310107</t>
  </si>
  <si>
    <t xml:space="preserve">钢管 正大 镀锌钢管 DN20，壁厚2.75MM，6M/根 </t>
  </si>
  <si>
    <t>工程物资/建筑材料/金属材料</t>
  </si>
  <si>
    <t>钢管</t>
  </si>
  <si>
    <t>3369965</t>
  </si>
  <si>
    <t>7130660044</t>
  </si>
  <si>
    <t>马桶刷 好媳妇 HK-5704 45x13CM 白色，创意马桶刷</t>
  </si>
  <si>
    <t>工程物资/五金辅料/马桶刷/马桶吸（更新中）</t>
  </si>
  <si>
    <t>马桶刷</t>
  </si>
  <si>
    <t>3369974</t>
  </si>
  <si>
    <t>7080260041</t>
  </si>
  <si>
    <t xml:space="preserve">镀锌方管 60x60x4.5MM，6M/根 </t>
  </si>
  <si>
    <t>3369967</t>
  </si>
  <si>
    <t>3369970</t>
  </si>
  <si>
    <t>7080260039</t>
  </si>
  <si>
    <t xml:space="preserve">镀锌方管 40x40x4MM，6M/根 </t>
  </si>
  <si>
    <t>3369966</t>
  </si>
  <si>
    <t>PO241106000305</t>
  </si>
  <si>
    <t>AC8188678</t>
  </si>
  <si>
    <t>ZKH/震坤行 PVC警示胶带PE管芯 黄黑色 30mm×33m 1卷</t>
  </si>
  <si>
    <t>2024-11-05 00:09:29.0</t>
  </si>
  <si>
    <t>3364286</t>
  </si>
  <si>
    <t>4100030047</t>
  </si>
  <si>
    <t>地毯 国产 一次性红地毯 50M/卷，宽度1M，厚度1MM，拉绒 【金喜服务】</t>
  </si>
  <si>
    <t>清洁物资类/地垫地毯/地毯</t>
  </si>
  <si>
    <t>地毯</t>
  </si>
  <si>
    <t>3364290</t>
  </si>
  <si>
    <t>7131150024</t>
  </si>
  <si>
    <t>装饰盖 国产优质 六角螺母螺丝保护盖 14x15xM8，20只/组 保护套，PE塑料，白色/黑色可选，下单需备注颜色，根据螺母螺丝对边宽度选购</t>
  </si>
  <si>
    <t>3364283</t>
  </si>
  <si>
    <t>3364288</t>
  </si>
  <si>
    <t>3080021224</t>
  </si>
  <si>
    <t>车贴 玻璃门防撞条提示 100x10CM 黑胶车贴亚膜</t>
  </si>
  <si>
    <t>3364285</t>
  </si>
  <si>
    <t>7130750009</t>
  </si>
  <si>
    <t xml:space="preserve">皮带 日本三星 B-102 </t>
  </si>
  <si>
    <t>工程物资/五金辅料/皮带</t>
  </si>
  <si>
    <t>皮带</t>
  </si>
  <si>
    <t>3364281</t>
  </si>
  <si>
    <t>3364275</t>
  </si>
  <si>
    <t>3364280</t>
  </si>
  <si>
    <t>3364279</t>
  </si>
  <si>
    <t>1020080761</t>
  </si>
  <si>
    <t>工牌，胸牌 国产 磁扣款党徽胸章 22.5MMx24MMx2MM，10个/件 双面强磁</t>
  </si>
  <si>
    <t>3364278</t>
  </si>
  <si>
    <t>2020041341</t>
  </si>
  <si>
    <t>咖啡 辛鹿 咖啡豆 500g/袋 炭烧风味</t>
  </si>
  <si>
    <t>3364277</t>
  </si>
  <si>
    <t>7130740135</t>
  </si>
  <si>
    <t xml:space="preserve">配电箱 正泰 JXF-5040/14 500x400x140MM，1.2MM厚 </t>
  </si>
  <si>
    <t>工程物资/五金辅料/配电箱</t>
  </si>
  <si>
    <t>配电箱</t>
  </si>
  <si>
    <t>3364287</t>
  </si>
  <si>
    <t>3364282</t>
  </si>
  <si>
    <t>3364291</t>
  </si>
  <si>
    <t>7130500070</t>
  </si>
  <si>
    <t xml:space="preserve">防雨布 A款专用 防雨罩 </t>
  </si>
  <si>
    <t>工程物资/五金辅料/彩条布</t>
  </si>
  <si>
    <t>防雨布</t>
  </si>
  <si>
    <t>3364276</t>
  </si>
  <si>
    <t>AE2729080</t>
  </si>
  <si>
    <t>MIWHD KG-F路灯光控控制器 KG-F 1个</t>
  </si>
  <si>
    <t>3364289</t>
  </si>
  <si>
    <t>7131150026</t>
  </si>
  <si>
    <t>装饰盖 国产优质 六角螺母螺丝保护盖 17x20xM10，20只/组 保护套，PE塑料，白色/黑色可选，下单需备注颜色，根据螺母螺丝对边宽度选购</t>
  </si>
  <si>
    <t>3364284</t>
  </si>
  <si>
    <t>PO241125000323</t>
  </si>
  <si>
    <t>深圳市神州动力数码有限公司</t>
  </si>
  <si>
    <t>2024-11-05 00:08:46.0</t>
  </si>
  <si>
    <t>3376716</t>
  </si>
  <si>
    <t>PO241108000102</t>
  </si>
  <si>
    <t>2024-11-04 11:25:36.0</t>
  </si>
  <si>
    <t>3365694</t>
  </si>
  <si>
    <t>PO241112000427</t>
  </si>
  <si>
    <t>2024-11-04 11:25:25.0</t>
  </si>
  <si>
    <t>3368050</t>
  </si>
  <si>
    <t>PO241125000324</t>
  </si>
  <si>
    <t>深圳建安建筑装饰集团有限公司</t>
  </si>
  <si>
    <t>2024-11-01 17:32:20.0</t>
  </si>
  <si>
    <t>3376717</t>
  </si>
  <si>
    <t>PO241205000273</t>
  </si>
  <si>
    <t>9010120001</t>
  </si>
  <si>
    <t>装饰装修</t>
  </si>
  <si>
    <t>服务类/工程服务类/装饰装修</t>
  </si>
  <si>
    <t>深圳迪轩文化科技有限公司</t>
  </si>
  <si>
    <t>2024-10-30 11:03:15.0</t>
  </si>
  <si>
    <t>3401102</t>
  </si>
  <si>
    <t>PO241105000390</t>
  </si>
  <si>
    <t>4010120068</t>
  </si>
  <si>
    <t>扫雪机配件 天能 12V6.5AH电瓶 150x65x95MM 匹配原机使用</t>
  </si>
  <si>
    <t>扫雪机配件</t>
  </si>
  <si>
    <t>2024-10-28 09:14:09.0</t>
  </si>
  <si>
    <t>3363634</t>
  </si>
  <si>
    <t>7100010116</t>
  </si>
  <si>
    <t>电动车配件 晨强 智能6灯II代 新智能充电器 -</t>
  </si>
  <si>
    <t>工程物资/车辆/电动车</t>
  </si>
  <si>
    <t>电动车配件</t>
  </si>
  <si>
    <t>3363633</t>
  </si>
  <si>
    <t>PO241028000066</t>
  </si>
  <si>
    <t>AE0540756</t>
  </si>
  <si>
    <t>FANJIA/繁佳 白沙子 HCF-40-80目(灭烟白沙) 重量50kg 1包</t>
  </si>
  <si>
    <t>2024-10-23 17:27:30.0</t>
  </si>
  <si>
    <t>3338499</t>
  </si>
  <si>
    <t>7080150009</t>
  </si>
  <si>
    <t>地漏 方形单用 10CM 不锈钢防臭方形圆形地漏洗衣机深水封防虫地漏芯</t>
  </si>
  <si>
    <t>工程物资/管材/地漏（更新中）</t>
  </si>
  <si>
    <t>地漏</t>
  </si>
  <si>
    <t>3338504</t>
  </si>
  <si>
    <t>3338506</t>
  </si>
  <si>
    <t>7150020010</t>
  </si>
  <si>
    <t xml:space="preserve">挡风板 国产优质 空调挡风板 30x120CM </t>
  </si>
  <si>
    <t>挡风板</t>
  </si>
  <si>
    <t>3338505</t>
  </si>
  <si>
    <t>6010200010</t>
  </si>
  <si>
    <t xml:space="preserve">消防演习烟雾弹 汇铭 白色/橙色 </t>
  </si>
  <si>
    <t>消防安保/消防工具/消防演习烟雾弹</t>
  </si>
  <si>
    <t>消防演习烟雾弹</t>
  </si>
  <si>
    <t>3338503</t>
  </si>
  <si>
    <t>3338501</t>
  </si>
  <si>
    <t>AA4108092</t>
  </si>
  <si>
    <t>3J 反光警示胶带 588 黑黄斜纹 40mm×50m 1卷</t>
  </si>
  <si>
    <t>3338497</t>
  </si>
  <si>
    <t>AE3324092</t>
  </si>
  <si>
    <t>LESSO/联塑 PVC电线管(A管) dn20 白色 1.8mm×4m 1根</t>
  </si>
  <si>
    <t>工程物资/管材/PVC线管/线槽</t>
  </si>
  <si>
    <t>3338502</t>
  </si>
  <si>
    <t>6050080037</t>
  </si>
  <si>
    <t>门铃 定制 1响铃+1感应器 欢迎光临感应器进门定制语音分体感应门铃迎宾疫情防控提示器</t>
  </si>
  <si>
    <t>消防安保/安防设施/门禁</t>
  </si>
  <si>
    <t>门铃</t>
  </si>
  <si>
    <t>3338507</t>
  </si>
  <si>
    <t>3338500</t>
  </si>
  <si>
    <t>1010100096</t>
  </si>
  <si>
    <t xml:space="preserve">充电宝 品胜 20000毫安时，银色 </t>
  </si>
  <si>
    <t>充电宝</t>
  </si>
  <si>
    <t>3338498</t>
  </si>
  <si>
    <t>PO241113000059</t>
  </si>
  <si>
    <t>AW7069</t>
  </si>
  <si>
    <t>GREATWALL/长城 柴油机油 CI-4-15W-40 16kg 1桶</t>
  </si>
  <si>
    <t>工程物资/五金辅料/机油/汽油/柴油</t>
  </si>
  <si>
    <t>2024-10-23 17:27:09.0</t>
  </si>
  <si>
    <t>3370577</t>
  </si>
  <si>
    <t>PO241021000562</t>
  </si>
  <si>
    <t>3070014092</t>
  </si>
  <si>
    <t>亚克力 卫生间标识洗手间指示牌 5x13CM，厚度3MM 亚克力丝印</t>
  </si>
  <si>
    <t>2024-10-21 22:02:21.0</t>
  </si>
  <si>
    <t>3346758</t>
  </si>
  <si>
    <t>3346754</t>
  </si>
  <si>
    <t>3346755</t>
  </si>
  <si>
    <t>3070013514</t>
  </si>
  <si>
    <t>pvc裱写真 电动车充电管理公告栏 700x500MM 车贴裱5MMPVC板</t>
  </si>
  <si>
    <t>pvc裱写真</t>
  </si>
  <si>
    <t>3346759</t>
  </si>
  <si>
    <t>PO241021000561</t>
  </si>
  <si>
    <t>4030240102</t>
  </si>
  <si>
    <t xml:space="preserve">拖把桶 思达睿 大容量+52口径，约15L </t>
  </si>
  <si>
    <t>拖把桶</t>
  </si>
  <si>
    <t>3346736</t>
  </si>
  <si>
    <t>3346734</t>
  </si>
  <si>
    <t>3080030269</t>
  </si>
  <si>
    <t xml:space="preserve">海报 国产优质 高清印刷 60x90CM </t>
  </si>
  <si>
    <t>3346753</t>
  </si>
  <si>
    <t>3346744</t>
  </si>
  <si>
    <t>2020030984</t>
  </si>
  <si>
    <t xml:space="preserve">镜子 和荣轩 落地镜 40CMx150CM </t>
  </si>
  <si>
    <t>镜子</t>
  </si>
  <si>
    <t>3346735</t>
  </si>
  <si>
    <t>3070050853</t>
  </si>
  <si>
    <t>不锈钢腐蚀牌 推、拉 100x100MM，厚度2.5MM 纯不锈钢，不锈钢腐蚀填色</t>
  </si>
  <si>
    <t>3346748</t>
  </si>
  <si>
    <t>3346737</t>
  </si>
  <si>
    <t>3070014084</t>
  </si>
  <si>
    <t>亚克力 扶梯乘坐安全须知标识 300x500MM，厚度5MM UV打印，专色印刷</t>
  </si>
  <si>
    <t>3346749</t>
  </si>
  <si>
    <t>3346740</t>
  </si>
  <si>
    <t>3346739</t>
  </si>
  <si>
    <t>3346738</t>
  </si>
  <si>
    <t>2020070465</t>
  </si>
  <si>
    <t xml:space="preserve">体温计 广发 电子测温 测量范围：35度-42度 </t>
  </si>
  <si>
    <t>体温计</t>
  </si>
  <si>
    <t>3346729</t>
  </si>
  <si>
    <t>3346728</t>
  </si>
  <si>
    <t>3346745</t>
  </si>
  <si>
    <t>4080050620</t>
  </si>
  <si>
    <t>垃圾袋 思达睿 平口袋 70CMx80CM，50只/包，双层：3.4丝，克重：23g/个 蓝色</t>
  </si>
  <si>
    <t>3346742</t>
  </si>
  <si>
    <t>3346743</t>
  </si>
  <si>
    <t>3346732</t>
  </si>
  <si>
    <t>3080020914</t>
  </si>
  <si>
    <t>车贴 当心触电供配电系统标识 13x10CM 不干胶</t>
  </si>
  <si>
    <t>3346752</t>
  </si>
  <si>
    <t>3070014082</t>
  </si>
  <si>
    <t>亚克力 消防疏散平面图管区标识 500x700MM，厚度5MM 背面UV打印</t>
  </si>
  <si>
    <t>3346750</t>
  </si>
  <si>
    <t>3346730</t>
  </si>
  <si>
    <t>4080050683</t>
  </si>
  <si>
    <t>垃圾袋 思达睿 平口垃圾袋 70CMx80CM，50只/包，双层：3.4丝，克重：23g/个 绿色</t>
  </si>
  <si>
    <t>3346741</t>
  </si>
  <si>
    <t>3346746</t>
  </si>
  <si>
    <t>3346757</t>
  </si>
  <si>
    <t>3070013531</t>
  </si>
  <si>
    <t>亚克力 门牌管区标识 235x90MM，3MM 亚克力，背面UV打印</t>
  </si>
  <si>
    <t>3346747</t>
  </si>
  <si>
    <t>3070013554</t>
  </si>
  <si>
    <t>亚克力 男女卫生间标识（入口及门上）洗手间指示牌 150x300MM，厚度3MM 背面UV打印</t>
  </si>
  <si>
    <t>3346751</t>
  </si>
  <si>
    <t>3080020907</t>
  </si>
  <si>
    <t>车贴 推、拉 100x100MM 透明车贴过哑膜</t>
  </si>
  <si>
    <t>3346756</t>
  </si>
  <si>
    <t>2020010461</t>
  </si>
  <si>
    <t xml:space="preserve">洗发水 维特丝 茶颂 500ML </t>
  </si>
  <si>
    <t>洗发水</t>
  </si>
  <si>
    <t>3346731</t>
  </si>
  <si>
    <t>2020070535</t>
  </si>
  <si>
    <t xml:space="preserve">烧烫伤膏 同仁堂 喷雾剂 20ML/盒 </t>
  </si>
  <si>
    <t>3346733</t>
  </si>
  <si>
    <t>PO241030000328</t>
  </si>
  <si>
    <t>2024-10-21 21:49:03.0</t>
  </si>
  <si>
    <t>3352174</t>
  </si>
  <si>
    <t>4070030108</t>
  </si>
  <si>
    <t>大盘纸 维达 1004904 2层，180x134MM，520抽/卷，18卷/箱 中心抽取式卫生纸，一箱装【高档】</t>
  </si>
  <si>
    <t>3352176</t>
  </si>
  <si>
    <t>4090020095</t>
  </si>
  <si>
    <t xml:space="preserve">空气清新剂 国产 液体空气清新剂 3.78L </t>
  </si>
  <si>
    <t>清洁物资类/清新剂（更新中）/空气清新剂（更新中）</t>
  </si>
  <si>
    <t>3352175</t>
  </si>
  <si>
    <t>PO241029000132</t>
  </si>
  <si>
    <t>2024-10-21 21:44:46.0</t>
  </si>
  <si>
    <t>3351112</t>
  </si>
  <si>
    <t>PO241024000411</t>
  </si>
  <si>
    <t>2010020295</t>
  </si>
  <si>
    <t>其他电器配件 沁园 模块式PP棉 12寸 开水器QJ-UF-05A配件，包安装更换</t>
  </si>
  <si>
    <t>2024-10-21 21:44:36.0</t>
  </si>
  <si>
    <t>3349372</t>
  </si>
  <si>
    <t>3349377</t>
  </si>
  <si>
    <t>2010020297</t>
  </si>
  <si>
    <t>其他电器配件 沁园 模块式碳棒 12寸 开水器QJ-UF-05A配件，包安装更换</t>
  </si>
  <si>
    <t>3349371</t>
  </si>
  <si>
    <t>3349373</t>
  </si>
  <si>
    <t>3349375</t>
  </si>
  <si>
    <t>3349370</t>
  </si>
  <si>
    <t>3349369</t>
  </si>
  <si>
    <t>3349379</t>
  </si>
  <si>
    <t>3349378</t>
  </si>
  <si>
    <t>3349376</t>
  </si>
  <si>
    <t>3349374</t>
  </si>
  <si>
    <t>3349368</t>
  </si>
  <si>
    <t>2010020296</t>
  </si>
  <si>
    <t>其他电器配件 沁园 模块式颗粒活性炭 12寸 开水器QJ-UF-05A配件，包安装更换</t>
  </si>
  <si>
    <t>3349380</t>
  </si>
  <si>
    <t>PO241016000095</t>
  </si>
  <si>
    <t>2024-10-15 15:08:13.0</t>
  </si>
  <si>
    <t>3342621</t>
  </si>
  <si>
    <t>3342618</t>
  </si>
  <si>
    <t>3342622</t>
  </si>
  <si>
    <t>3342619</t>
  </si>
  <si>
    <t>3342617</t>
  </si>
  <si>
    <t>3342620</t>
  </si>
  <si>
    <t>PO241014000011</t>
  </si>
  <si>
    <t>AC8350324</t>
  </si>
  <si>
    <t>FANJIA/繁佳 折叠小推车 XZC-88×58cm 载重300kg 1台</t>
  </si>
  <si>
    <t>2024-10-15 08:55:22.0</t>
  </si>
  <si>
    <t>3340853</t>
  </si>
  <si>
    <t>PO241015000011</t>
  </si>
  <si>
    <t>6080110050</t>
  </si>
  <si>
    <t>反光贴 援邦 警示反光贴 30米 红白色</t>
  </si>
  <si>
    <t>消防安保/道路设施/反光带</t>
  </si>
  <si>
    <t>反光贴</t>
  </si>
  <si>
    <t>3330431</t>
  </si>
  <si>
    <t>TY0431</t>
  </si>
  <si>
    <t>SANDISK/闪迪 U盘 CZ50 32G USB2.0 CZ50酷刃 黑红 1个</t>
  </si>
  <si>
    <t>3340856</t>
  </si>
  <si>
    <t>3340854</t>
  </si>
  <si>
    <t>3340852</t>
  </si>
  <si>
    <t>3340850</t>
  </si>
  <si>
    <t>AA2066160</t>
  </si>
  <si>
    <t>HYSTIC/海斯迪克 HKW-344系列亚克力双面展示桌牌 210×297mm 水晶抽拉竖款 1个</t>
  </si>
  <si>
    <t>形象视觉/标识标牌/A字牌</t>
  </si>
  <si>
    <t>3340851</t>
  </si>
  <si>
    <t>PO241015000010</t>
  </si>
  <si>
    <t>7050070147</t>
  </si>
  <si>
    <t>射灯 佛山照明 灵凡系列 6w 天花灯75220V6W65K白光24白色3C</t>
  </si>
  <si>
    <t>3330429</t>
  </si>
  <si>
    <t>3340857</t>
  </si>
  <si>
    <t>6030050274</t>
  </si>
  <si>
    <t>其他消防系统配件 援邦 XF-SMJ 消防毛巾/白毛巾</t>
  </si>
  <si>
    <t>消防安保/消防设施/消防系统配件</t>
  </si>
  <si>
    <t>其他消防系统配件</t>
  </si>
  <si>
    <t>3330430</t>
  </si>
  <si>
    <t>3340861</t>
  </si>
  <si>
    <t>3340858</t>
  </si>
  <si>
    <t>NC6443</t>
  </si>
  <si>
    <t>COMIX/齐心 胶水 B2671 50mL 透明 1瓶</t>
  </si>
  <si>
    <t>3340859</t>
  </si>
  <si>
    <t>GT9545</t>
  </si>
  <si>
    <t>BOSI/波斯 高档胶柄活动扳手 BS360912 12"/300mm 1把</t>
  </si>
  <si>
    <t>工程物资/手动工具/活动扳手/开口扳手/链条扳手</t>
  </si>
  <si>
    <t>3340863</t>
  </si>
  <si>
    <t>3340860</t>
  </si>
  <si>
    <t>AA4902811</t>
  </si>
  <si>
    <t>ZKH/震坤行 安全警示胶带 TP00314833 黄色+黑色 0.13mm×48mm×33m 1卷</t>
  </si>
  <si>
    <t>3340855</t>
  </si>
  <si>
    <t>AE1876106</t>
  </si>
  <si>
    <t>BULL/公牛 移动电缆卷线盘 GN-8030 30米 4位10A五孔 1个</t>
  </si>
  <si>
    <t>工程物资/五金辅料/拖线盘</t>
  </si>
  <si>
    <t>3340864</t>
  </si>
  <si>
    <t>AE6066986</t>
  </si>
  <si>
    <t>FANJIA/繁佳 防盗门大70通开锁芯 XM-XZC-铜芯 长70×宽31.7×厚15.8mm 配1把钥匙 1把</t>
  </si>
  <si>
    <t>3340862</t>
  </si>
  <si>
    <t>PO241016000102</t>
  </si>
  <si>
    <t>952860</t>
  </si>
  <si>
    <t>景田 百岁山 饮用天然矿泉水 348ml*24瓶整箱装</t>
  </si>
  <si>
    <t>2024-10-15 08:53:55.0</t>
  </si>
  <si>
    <t>3331468</t>
  </si>
  <si>
    <t>PO241016000101</t>
  </si>
  <si>
    <t>2024-10-15 08:53:30.0</t>
  </si>
  <si>
    <t>3342627</t>
  </si>
  <si>
    <t>PO241028000359</t>
  </si>
  <si>
    <t>广州市互诺计算机科技有限公司</t>
  </si>
  <si>
    <t>2024-09-29 16:03:28.0</t>
  </si>
  <si>
    <t>3350831</t>
  </si>
  <si>
    <t>PO241006000020</t>
  </si>
  <si>
    <t>AA1038426</t>
  </si>
  <si>
    <t>3J PVC警示胶带 582 黑黄 60mm×33m 1卷</t>
  </si>
  <si>
    <t>2024-09-28 23:09:37.0</t>
  </si>
  <si>
    <t>3314562</t>
  </si>
  <si>
    <t>7131150031</t>
  </si>
  <si>
    <t>其他挂架/支柱 华阳园林 树木支撑架 绿色钢管树木支撑架长度2.5M，直径4.8CM，钢管壁厚1.2MM 支撑架x4根+铁杯套x4个+配件紧固螺丝x1套</t>
  </si>
  <si>
    <t>其他挂架/支柱</t>
  </si>
  <si>
    <t>3314561</t>
  </si>
  <si>
    <t>3070014355</t>
  </si>
  <si>
    <t>亚克力 大堂公告栏 1000x800MM，厚度10MM 亚克力雕刻，UV喷绘，贴保护膜+卡槽</t>
  </si>
  <si>
    <t>3314559</t>
  </si>
  <si>
    <t>2020040070</t>
  </si>
  <si>
    <t xml:space="preserve">柠檬（青/黄） 新鲜柠檬水果 </t>
  </si>
  <si>
    <t>柠檬（青/黄）</t>
  </si>
  <si>
    <t>3314555</t>
  </si>
  <si>
    <t>AA3801033</t>
  </si>
  <si>
    <t>NIPPON/立邦 内墙乳胶漆 NEW MAX时时丽幻彩 国标B01深灰色 20kg 1桶</t>
  </si>
  <si>
    <t>工程物资/油漆/内墙乳胶漆涂料</t>
  </si>
  <si>
    <t>3314564</t>
  </si>
  <si>
    <t>FR2985</t>
  </si>
  <si>
    <t>M&amp;G/晨光 A4透明写字板 ADM95181 A4 透蓝 1块</t>
  </si>
  <si>
    <t>3314565</t>
  </si>
  <si>
    <t>TW9173</t>
  </si>
  <si>
    <t>JIREN/吉人 醇酸磁漆 白色醇酸磁漆 白色 CZ03-1 13kg 1桶</t>
  </si>
  <si>
    <t>工程物资/油漆/醇酸磁漆/防锈漆</t>
  </si>
  <si>
    <t>3314563</t>
  </si>
  <si>
    <t>3314553</t>
  </si>
  <si>
    <t>3314552</t>
  </si>
  <si>
    <t>7130670048</t>
  </si>
  <si>
    <t>小便斗 定制 陶瓷尿斗墙排 尺寸290x260x高500MM 男士</t>
  </si>
  <si>
    <t>工程物资/五金辅料/马桶水箱（更新中）</t>
  </si>
  <si>
    <t>小便斗</t>
  </si>
  <si>
    <t>3314558</t>
  </si>
  <si>
    <t>3314554</t>
  </si>
  <si>
    <t>3314566</t>
  </si>
  <si>
    <t>AC3257631</t>
  </si>
  <si>
    <t>LONGDAI/龙代 长条凳 长150×宽40×高45cm 1个</t>
  </si>
  <si>
    <t>3314557</t>
  </si>
  <si>
    <t>6080040102</t>
  </si>
  <si>
    <t>减速带 国产 减速带专用安装钉 M10×100MM 平尾减速带钢钉，适用于沥青路面</t>
  </si>
  <si>
    <t>消防安保/道路设施/减速带</t>
  </si>
  <si>
    <t>3314556</t>
  </si>
  <si>
    <t>7130140011</t>
  </si>
  <si>
    <t>井盖提钩 国产 污水井盖钩子 柄长130MM，8MM粗 铁制</t>
  </si>
  <si>
    <t>工程物资/五金辅料/井盖提钩</t>
  </si>
  <si>
    <t>井盖提钩</t>
  </si>
  <si>
    <t>3314560</t>
  </si>
  <si>
    <t>AC3254998</t>
  </si>
  <si>
    <t>SHARE/西野 物业暗装门禁开关 SH-K1-Q 常开复位型 1只</t>
  </si>
  <si>
    <t>3314567</t>
  </si>
  <si>
    <t>PO241125000329</t>
  </si>
  <si>
    <t>北京美联洁工程技术有限公司</t>
  </si>
  <si>
    <t>2024-09-27 12:22:41.0</t>
  </si>
  <si>
    <t>3376719</t>
  </si>
  <si>
    <t>PO241125000327</t>
  </si>
  <si>
    <t>2024-09-23 11:46:59.0</t>
  </si>
  <si>
    <t>3376718</t>
  </si>
  <si>
    <t>PO240924000086</t>
  </si>
  <si>
    <t>4080210104</t>
  </si>
  <si>
    <t>除锈剂 白云 JB-115 3.78L/桶 酸性除锈清洁剂，外观：红色透明液体，快速清除锈迹</t>
  </si>
  <si>
    <t>2024-09-20 14:55:51.0</t>
  </si>
  <si>
    <t>3309386</t>
  </si>
  <si>
    <t>3309394</t>
  </si>
  <si>
    <t>AE1599238</t>
  </si>
  <si>
    <t>SAFEWARE/安赛瑞 黄胶地毯胶带 2I00345 0.05mm×50mm×20m 1卷</t>
  </si>
  <si>
    <t>3309384</t>
  </si>
  <si>
    <t>AA9633075</t>
  </si>
  <si>
    <t>JUHUA/巨化 制冷剂 R22 10kg 1瓶</t>
  </si>
  <si>
    <t>工程物资/空调/空调安装辅料</t>
  </si>
  <si>
    <t>3309385</t>
  </si>
  <si>
    <t>AE3996743</t>
  </si>
  <si>
    <t>FGO 防水锤水泵用铸铁消声止回阀 HC41X-16Q-DN100 1个</t>
  </si>
  <si>
    <t>工程物资/阀门/止回阀</t>
  </si>
  <si>
    <t>3309383</t>
  </si>
  <si>
    <t>3309390</t>
  </si>
  <si>
    <t>100007422039</t>
  </si>
  <si>
    <t>sinloy/辛鹿 意式拼配 香醇浓郁低酸 阿拉比卡咖啡豆500g</t>
  </si>
  <si>
    <t>3309393</t>
  </si>
  <si>
    <t>1010100136</t>
  </si>
  <si>
    <t>HDMI线 裕合联 4K光纤款2.0版 60HZ，长30米 3D视频线工程装修连接线</t>
  </si>
  <si>
    <t>HDMI线</t>
  </si>
  <si>
    <t>3309388</t>
  </si>
  <si>
    <t>3309392</t>
  </si>
  <si>
    <t>AA0138309</t>
  </si>
  <si>
    <t>QD/强达螺丝 GB22795(TG) 膨胀螺栓 不锈钢304 A2-70 本色 M8×120 1个</t>
  </si>
  <si>
    <t>工程物资/五金辅料/膨胀螺栓/六角螺栓</t>
  </si>
  <si>
    <t>3309389</t>
  </si>
  <si>
    <t>2350225</t>
  </si>
  <si>
    <t>AUCS软白板墙贴200*90cm可擦写儿童宝宝涂鸦画板贴办公培训自粘贴 RBB2090</t>
  </si>
  <si>
    <t>3309387</t>
  </si>
  <si>
    <t>3309382</t>
  </si>
  <si>
    <t>4060150025</t>
  </si>
  <si>
    <t>去污粉 健百氏 一箱20瓶</t>
  </si>
  <si>
    <t>清洁物资类/清洁剂（更新中）/去污粉/去污剂（更新中）</t>
  </si>
  <si>
    <t>去污粉</t>
  </si>
  <si>
    <t>3309395</t>
  </si>
  <si>
    <t>100008499513</t>
  </si>
  <si>
    <t>空消 KONGXIAO 苍蝇药灭蝇王杀蝇饵剂诱饵家用养殖场专用户外大面积驱除苍蝇神器 杀蝇饵剂 1瓶</t>
  </si>
  <si>
    <t>清洁物资类/有害生物防治（更新中）/捕蝇笼（更新中）</t>
  </si>
  <si>
    <t>3309391</t>
  </si>
  <si>
    <t>PO240924000418</t>
  </si>
  <si>
    <t>2010060680</t>
  </si>
  <si>
    <t>筋膜枪 中性 额定功率30W 黑色</t>
  </si>
  <si>
    <t>筋膜枪</t>
  </si>
  <si>
    <t>2024-09-20 14:55:36.0</t>
  </si>
  <si>
    <t>3310120</t>
  </si>
  <si>
    <t>2020010499</t>
  </si>
  <si>
    <t>毛巾 天赐 C09006 34x76CM 超细纤维，蓝色</t>
  </si>
  <si>
    <t>3310117</t>
  </si>
  <si>
    <t>2020050240</t>
  </si>
  <si>
    <t>双肩包 定制 保洁家政背包 大号 可印LOGO</t>
  </si>
  <si>
    <t>家居生活/日杂生活/收纳用品</t>
  </si>
  <si>
    <t>双肩包</t>
  </si>
  <si>
    <t>3310119</t>
  </si>
  <si>
    <t>2010030642</t>
  </si>
  <si>
    <t>水壶 国产优质 扎壶 2L PC+玻璃材质</t>
  </si>
  <si>
    <t>3310118</t>
  </si>
  <si>
    <t>PO240923000480</t>
  </si>
  <si>
    <t>AA5898134</t>
  </si>
  <si>
    <t>DELIXI/德力西 DZ47sLES系列漏电保护断路器 DZ47sLES 上进线 1P+N(N极直通) C型 20A 1台</t>
  </si>
  <si>
    <t>2024-09-19 19:08:21.0</t>
  </si>
  <si>
    <t>3299050</t>
  </si>
  <si>
    <t>7140370036</t>
  </si>
  <si>
    <t xml:space="preserve">电容 宁波立新 BKMJ电熔 480V，50hz </t>
  </si>
  <si>
    <t>电容</t>
  </si>
  <si>
    <t>3299049</t>
  </si>
  <si>
    <t>PO240918000370</t>
  </si>
  <si>
    <t>2020010364</t>
  </si>
  <si>
    <t>牙膏 黑人牙膏 225g 清新口气</t>
  </si>
  <si>
    <t>2024-09-18 23:49:24.0</t>
  </si>
  <si>
    <t>3305799</t>
  </si>
  <si>
    <t>PO240909000308</t>
  </si>
  <si>
    <t>AC1349123</t>
  </si>
  <si>
    <t>DELI/得力 双面胶 33602 5cm×3m×1mm 透明 1卷</t>
  </si>
  <si>
    <t>3300712</t>
  </si>
  <si>
    <t>AE4180986</t>
  </si>
  <si>
    <t>MINGGU/鸣固 礼仪白手套 百分百纯棉 均码 12双 1包</t>
  </si>
  <si>
    <t>形象视觉/其他服装/配饰/其他配饰</t>
  </si>
  <si>
    <t>3300711</t>
  </si>
  <si>
    <t>CM3010</t>
  </si>
  <si>
    <t>PHILIPS/飞利浦 T5 LED一体化支架灯 BN058C LED11/NW L1200 13W/4000K/1.2m/1100lm 1支</t>
  </si>
  <si>
    <t>工程物资/LED灯具/T5LED灯架</t>
  </si>
  <si>
    <t>3300726</t>
  </si>
  <si>
    <t>PO240918000373</t>
  </si>
  <si>
    <t>1020080662</t>
  </si>
  <si>
    <t>工牌绳 工牌挂绳 15MMx900MM 涤纶材质</t>
  </si>
  <si>
    <t>工牌绳</t>
  </si>
  <si>
    <t>3305828</t>
  </si>
  <si>
    <t>3300730</t>
  </si>
  <si>
    <t>PO240918000371</t>
  </si>
  <si>
    <t>7050110013</t>
  </si>
  <si>
    <t>T8LED灯架 佛山照明 T8单管防爆支架LED 1.2M，18W 白光</t>
  </si>
  <si>
    <t>工程物资/LED灯具/T8LED灯架</t>
  </si>
  <si>
    <t>T8LED灯架</t>
  </si>
  <si>
    <t>3305813</t>
  </si>
  <si>
    <t>AA8904466</t>
  </si>
  <si>
    <t>MIDEA/美的 遥控落地式电风扇 FS40-13GR 扇叶直径40cm 风量54m³/min 220V 60W 1台</t>
  </si>
  <si>
    <t>3300716</t>
  </si>
  <si>
    <t>3300723</t>
  </si>
  <si>
    <t>QA1656</t>
  </si>
  <si>
    <t>USIGN/远生 带刻度板夹 US-2061 A4 蓝色/黑色 颜色随机 1个</t>
  </si>
  <si>
    <t>3300718</t>
  </si>
  <si>
    <t>3070014080</t>
  </si>
  <si>
    <t xml:space="preserve">亚克力 定制桌签 21x12CM，厚度3MM </t>
  </si>
  <si>
    <t>3305821</t>
  </si>
  <si>
    <t>4030200019</t>
  </si>
  <si>
    <t>拾物夹/垃圾夹 超宝 c-300A 长度100CM 环卫卫生钳，铝合金杆，橡胶弹性夹头</t>
  </si>
  <si>
    <t>清洁物资类/清洁工具/拾物夹</t>
  </si>
  <si>
    <t>拾物夹/垃圾夹</t>
  </si>
  <si>
    <t>3305797</t>
  </si>
  <si>
    <t>4030160133</t>
  </si>
  <si>
    <t>扫把 中性 大竹扫把 葵骨，长约1.8M 注意：只供深圳市</t>
  </si>
  <si>
    <t>清洁物资类/清洁工具/扫把/竹扫大</t>
  </si>
  <si>
    <t>3305806</t>
  </si>
  <si>
    <t>3305816</t>
  </si>
  <si>
    <t>3300720</t>
  </si>
  <si>
    <t>AE2949168</t>
  </si>
  <si>
    <t>ZKH/震坤行 白板笔 BG009 2mm 黑色 12支 1盒</t>
  </si>
  <si>
    <t>3300710</t>
  </si>
  <si>
    <t>3305809</t>
  </si>
  <si>
    <t>3305829</t>
  </si>
  <si>
    <t>3305811</t>
  </si>
  <si>
    <t>3305820</t>
  </si>
  <si>
    <t>3070014069</t>
  </si>
  <si>
    <t>亚克力 请刷卡进入 100x100MM，厚度3MM UV打印，专色印刷</t>
  </si>
  <si>
    <t>3305817</t>
  </si>
  <si>
    <t>3300721</t>
  </si>
  <si>
    <t>3305824</t>
  </si>
  <si>
    <t>3305818</t>
  </si>
  <si>
    <t>AA2420383</t>
  </si>
  <si>
    <t>HYSTIC/海斯迪克 HK-539系列平板车手推车 201不锈钢 台面尺寸900×600mm 载重400kg 1台</t>
  </si>
  <si>
    <t>3300715</t>
  </si>
  <si>
    <t>AA0019116</t>
  </si>
  <si>
    <t>SUBMARINE/潜水艇 配件-马桶盖 MG1 1个</t>
  </si>
  <si>
    <t>3300705</t>
  </si>
  <si>
    <t>2020070452</t>
  </si>
  <si>
    <t>烧烫伤膏 思达睿 15g/支 皮肤外用</t>
  </si>
  <si>
    <t>3305802</t>
  </si>
  <si>
    <t>3070051226</t>
  </si>
  <si>
    <t>不锈钢腐蚀牌 服务接待牌 300x90MM，厚度1.2MM 不锈钢腐蚀填色</t>
  </si>
  <si>
    <t>3305826</t>
  </si>
  <si>
    <t>AE2579176</t>
  </si>
  <si>
    <t>PHILIPS/飞利浦 LED筒灯 DN200 G3 LED6 840 6W D125 CN 1个</t>
  </si>
  <si>
    <t>3300727</t>
  </si>
  <si>
    <t>3300724</t>
  </si>
  <si>
    <t>3305822</t>
  </si>
  <si>
    <t>AA4551161</t>
  </si>
  <si>
    <t>DONGCHENG/东成 充电式无刷起子电钻 DCJZ23-10E 包含两电一充12V/2Ah 1把</t>
  </si>
  <si>
    <t>工程物资/电动工具/电锤/手电钻/冲击钻/水钻</t>
  </si>
  <si>
    <t>3300708</t>
  </si>
  <si>
    <t>3305819</t>
  </si>
  <si>
    <t>3305812</t>
  </si>
  <si>
    <t>MX5341</t>
  </si>
  <si>
    <t>M&amp;G/晨光 钢制切纸刀 ASSN2205 A4 1个</t>
  </si>
  <si>
    <t>办公类/办公耗材/装订/封装机</t>
  </si>
  <si>
    <t>3300707</t>
  </si>
  <si>
    <t>3300713</t>
  </si>
  <si>
    <t>7130610008</t>
  </si>
  <si>
    <t>干燥剂 泡泡精灵 9支/盒 除湿剂，主要成分：氯化钙，适用场景：厨房橱柜，浴室厕所</t>
  </si>
  <si>
    <t>工程物资/五金辅料/干燥剂</t>
  </si>
  <si>
    <t>干燥剂</t>
  </si>
  <si>
    <t>3305803</t>
  </si>
  <si>
    <t>3300719</t>
  </si>
  <si>
    <t>3300714</t>
  </si>
  <si>
    <t>3305810</t>
  </si>
  <si>
    <t>3070013503</t>
  </si>
  <si>
    <t>亚克力 总经理办公室、财务室等办公室门牌 150x150MM，厚度3MM 亚克力背面打印</t>
  </si>
  <si>
    <t>3305825</t>
  </si>
  <si>
    <t>AC6577790</t>
  </si>
  <si>
    <t>KINGSTON/金士顿 TF(Micro SD)存储卡 SDCG3/256GB 170MB/s 1个</t>
  </si>
  <si>
    <t>3300706</t>
  </si>
  <si>
    <t>3300722</t>
  </si>
  <si>
    <t>3305827</t>
  </si>
  <si>
    <t>3305823</t>
  </si>
  <si>
    <t>4030290136</t>
  </si>
  <si>
    <t>拖把 美丽雅 HC062412 拖把头宽32.1CM-40CM 免手洗旋风拧水拖把，材质：PP，金属管，纤维布</t>
  </si>
  <si>
    <t>清洁物资类/清洁工具/拖把</t>
  </si>
  <si>
    <t>3305804</t>
  </si>
  <si>
    <t>3305800</t>
  </si>
  <si>
    <t>TY0452</t>
  </si>
  <si>
    <t>QIFAN/起帆 铜芯聚氯乙烯绝缘布电线 BV-450/750V-1×2.5 蓝色 100m 1卷</t>
  </si>
  <si>
    <t>3300725</t>
  </si>
  <si>
    <t>PO240918000372</t>
  </si>
  <si>
    <t>6020020203</t>
  </si>
  <si>
    <t>灭火器 援邦 推车式ABC干粉灭火器MFTZ/ABC35 35KG 碳钢瓶体</t>
  </si>
  <si>
    <t>3305814</t>
  </si>
  <si>
    <t>3300731</t>
  </si>
  <si>
    <t>AE2579185</t>
  </si>
  <si>
    <t>PHILIPS/飞利浦 LED筒灯 DN200 G3 LED12 840 13W D150 CN 1个</t>
  </si>
  <si>
    <t>3300728</t>
  </si>
  <si>
    <t>3300717</t>
  </si>
  <si>
    <t>3300709</t>
  </si>
  <si>
    <t>2020010496</t>
  </si>
  <si>
    <t>毛巾 登进 纤维毛巾 约30CMx70CM 咖色</t>
  </si>
  <si>
    <t>3305807</t>
  </si>
  <si>
    <t>2020030905</t>
  </si>
  <si>
    <t xml:space="preserve">碱性电池 金霸王 9V，2粒/组 </t>
  </si>
  <si>
    <t>3305805</t>
  </si>
  <si>
    <t>3305798</t>
  </si>
  <si>
    <t>6020020205</t>
  </si>
  <si>
    <t>灭火器 援邦 手提式二氧化碳灭火器MT3 3KG 碳钢瓶体</t>
  </si>
  <si>
    <t>3305815</t>
  </si>
  <si>
    <t>3305801</t>
  </si>
  <si>
    <t>3300729</t>
  </si>
  <si>
    <t>3305808</t>
  </si>
  <si>
    <t>PO240927000139</t>
  </si>
  <si>
    <t>7131030052</t>
  </si>
  <si>
    <t>锁芯 国产优质 木门锁头 银色 防盗锁芯</t>
  </si>
  <si>
    <t>2024-09-18 23:48:39.0</t>
  </si>
  <si>
    <t>3322203</t>
  </si>
  <si>
    <t>7080110909</t>
  </si>
  <si>
    <t xml:space="preserve">过滤器 国产优质 袋式F7 定制（387x592x250） </t>
  </si>
  <si>
    <t>工程物资/管材/其他管材配件（更新中）</t>
  </si>
  <si>
    <t>过滤器</t>
  </si>
  <si>
    <t>3322200</t>
  </si>
  <si>
    <t>10042326945710</t>
  </si>
  <si>
    <t>光冠小便斗感应器电源盒16306T-NA220V转DC3V变压器电源适配器 变压器3V(一个)</t>
  </si>
  <si>
    <t>3322202</t>
  </si>
  <si>
    <t>GW0672</t>
  </si>
  <si>
    <t>CHUNGHWA/中华牌 120红蓝铅笔 120 红蓝 50支/盒 1盒</t>
  </si>
  <si>
    <t>3322197</t>
  </si>
  <si>
    <t>7130580012</t>
  </si>
  <si>
    <t xml:space="preserve">紧线器 304#不锈钢 M10 </t>
  </si>
  <si>
    <t>工程物资/五金辅料/钢丝绳</t>
  </si>
  <si>
    <t>紧线器</t>
  </si>
  <si>
    <t>3322193</t>
  </si>
  <si>
    <t>7130740082</t>
  </si>
  <si>
    <t>温控箱 国产 两回路 220V 电加热温度控制箱</t>
  </si>
  <si>
    <t>温控箱</t>
  </si>
  <si>
    <t>3322194</t>
  </si>
  <si>
    <t>AE3924951</t>
  </si>
  <si>
    <t>AGENTS MICKEY/米奇特工 防盗门锁芯 75偏32.5+42.5 长75mm 1个</t>
  </si>
  <si>
    <t>3322206</t>
  </si>
  <si>
    <t>AA4489768</t>
  </si>
  <si>
    <t>ICEY/冰禹 BYll-262系列脚轮 6" 重型万向轮 载重280kg 安装高度180mm 1个</t>
  </si>
  <si>
    <t>工程物资/电工物料/脚轮</t>
  </si>
  <si>
    <t>3322192</t>
  </si>
  <si>
    <t>4030150040</t>
  </si>
  <si>
    <t>清洗刷 刷头135×5mm，全长235mm 镀铜钢丝刀刷刀型钢丝刷刀形清缝刷工业除锈清洁工具</t>
  </si>
  <si>
    <t>清洗刷</t>
  </si>
  <si>
    <t>3322191</t>
  </si>
  <si>
    <t>AA9011894</t>
  </si>
  <si>
    <t>WAIR/美维尔 初效板式铝框折叠料 595×595×46mm G4 1个</t>
  </si>
  <si>
    <t>3322201</t>
  </si>
  <si>
    <t>AA8906706</t>
  </si>
  <si>
    <t>ELECALL/伊莱科 黄腊管 φ10mm 每根900mm 50根 1包</t>
  </si>
  <si>
    <t>3322205</t>
  </si>
  <si>
    <t>3322196</t>
  </si>
  <si>
    <t>7100010106</t>
  </si>
  <si>
    <t>电动车配件 超威 三轮车电瓶6-DZM-60 60V，32AH 铅酸电池</t>
  </si>
  <si>
    <t>3322190</t>
  </si>
  <si>
    <t>AE4947390</t>
  </si>
  <si>
    <t>LONGDAI/龙代 开关电源 S-54-18(small) 110×78×36mm 18V 3A 1个</t>
  </si>
  <si>
    <t>3322199</t>
  </si>
  <si>
    <t>KV8992</t>
  </si>
  <si>
    <t>EPSON/爱普生 墨水 002系列T03X1 黑色 1盒</t>
  </si>
  <si>
    <t>3322198</t>
  </si>
  <si>
    <t>3322195</t>
  </si>
  <si>
    <t>AE0170112</t>
  </si>
  <si>
    <t>FANJIA/繁佳 厨具礼品套装 LBX-七件套 201不锈钢 含漏勺+粉扒+汤勺+饭勺+锅铲+煎铲+架子 架子尺寸15.5×43cm 1套</t>
  </si>
  <si>
    <t>3322204</t>
  </si>
  <si>
    <t>PO240927000140</t>
  </si>
  <si>
    <t>2024-09-18 23:47:51.0</t>
  </si>
  <si>
    <t>3312400</t>
  </si>
  <si>
    <t>4070030077</t>
  </si>
  <si>
    <t>大盘纸 维达多康 1004203 双层，12卷/箱，170米/卷</t>
  </si>
  <si>
    <t>3312401</t>
  </si>
  <si>
    <t>PO240925000178</t>
  </si>
  <si>
    <t>2024-09-18 23:47:41.0</t>
  </si>
  <si>
    <t>3320250</t>
  </si>
  <si>
    <t>PO241125000331</t>
  </si>
  <si>
    <t>深圳华筑科技建设集团有限公司</t>
  </si>
  <si>
    <t>2024-09-18 23:47:15.0</t>
  </si>
  <si>
    <t>3376721</t>
  </si>
  <si>
    <t>2024-09-18 23:47:03.0</t>
  </si>
  <si>
    <t>3376720</t>
  </si>
  <si>
    <t>PO240923000500</t>
  </si>
  <si>
    <t>2024-09-11 09:57:20.0</t>
  </si>
  <si>
    <t>3299137</t>
  </si>
  <si>
    <t>PO241028000360</t>
  </si>
  <si>
    <t>深圳市国网电气工程有限公司</t>
  </si>
  <si>
    <t>2024-09-10 17:17:12.0</t>
  </si>
  <si>
    <t>3339160</t>
  </si>
  <si>
    <t>PO240923000502</t>
  </si>
  <si>
    <t>2024-09-10 15:37:33.0</t>
  </si>
  <si>
    <t>3299138</t>
  </si>
  <si>
    <t>PO240910000320</t>
  </si>
  <si>
    <t>6040020013</t>
  </si>
  <si>
    <t>对讲机 海能达 TD500 数字模拟信号 配1电1充</t>
  </si>
  <si>
    <t>消防安保/安防通讯/对讲机</t>
  </si>
  <si>
    <t>深圳市信腾通讯设备有限公司</t>
  </si>
  <si>
    <t>2024-09-10 15:37:04.0</t>
  </si>
  <si>
    <t>3291575</t>
  </si>
  <si>
    <t>PO240902000029</t>
  </si>
  <si>
    <t>AE3168001</t>
  </si>
  <si>
    <t>LESSO/联塑 管帽PVC-U排水配件白色 dn160 1只</t>
  </si>
  <si>
    <t>2024-09-03 20:05:02.0</t>
  </si>
  <si>
    <t>3229647</t>
  </si>
  <si>
    <t>AC8800890</t>
  </si>
  <si>
    <t>LESSO/联塑 PVC排水90°弯头 De160 排水配件 白色 1只</t>
  </si>
  <si>
    <t>3229649</t>
  </si>
  <si>
    <t>AE3167896</t>
  </si>
  <si>
    <t>LESSO/联塑 PVC-U排水管(B)白色 dn160*4mm*2m 1根</t>
  </si>
  <si>
    <t>3229650</t>
  </si>
  <si>
    <t>AC6968088</t>
  </si>
  <si>
    <t>DOROSIN/多乐信 除湿机  DK-90 除湿量90L/d  APP智能远程8L大水箱 1台</t>
  </si>
  <si>
    <t>3229646</t>
  </si>
  <si>
    <t>AC8800900</t>
  </si>
  <si>
    <t>LESSO/联塑 PVC排水45°弯头 De160 排水配件 白色 1只</t>
  </si>
  <si>
    <t>3229648</t>
  </si>
  <si>
    <t>PO241125000325</t>
  </si>
  <si>
    <t>深圳市立辉安防科技有限责任公司</t>
  </si>
  <si>
    <t>2024-09-03 19:45:04.0</t>
  </si>
  <si>
    <t>3384217</t>
  </si>
  <si>
    <t>PO240920000297</t>
  </si>
  <si>
    <t>深圳市艾特文化传媒有限公司</t>
  </si>
  <si>
    <t>2024-08-21 15:54:26.0</t>
  </si>
  <si>
    <t>3307462</t>
  </si>
  <si>
    <t>PO240920000290</t>
  </si>
  <si>
    <t>深圳市福田区华益机电修理店</t>
  </si>
  <si>
    <t>2024-08-15 09:32:53.0</t>
  </si>
  <si>
    <t>3297556</t>
  </si>
  <si>
    <t>PO241017000383</t>
  </si>
  <si>
    <t>2024-08-15 09:32:34.0</t>
  </si>
  <si>
    <t>3333033</t>
  </si>
  <si>
    <t>PO240814000317</t>
  </si>
  <si>
    <t>6030050236</t>
  </si>
  <si>
    <t xml:space="preserve">控制模块 康普 8-1375055-6 6类 </t>
  </si>
  <si>
    <t>控制模块</t>
  </si>
  <si>
    <t>2024-08-13 23:14:47.0</t>
  </si>
  <si>
    <t>3213339</t>
  </si>
  <si>
    <t>PO240819000142</t>
  </si>
  <si>
    <t>6030070132</t>
  </si>
  <si>
    <t xml:space="preserve">消防指示标识 汇铭 深圳市新版标识：消防车道 PVC磨砂贴纸30x40 </t>
  </si>
  <si>
    <t>消防指示标识</t>
  </si>
  <si>
    <t>2024-08-13 23:14:39.0</t>
  </si>
  <si>
    <t>3214895</t>
  </si>
  <si>
    <t>7131020157</t>
  </si>
  <si>
    <t>门锁 宏达牌 单元门锁H206 96x80MM，锁体与副锁体间距≤5MM 四芯线电控锁</t>
  </si>
  <si>
    <t>门锁</t>
  </si>
  <si>
    <t>3214902</t>
  </si>
  <si>
    <t>3214898</t>
  </si>
  <si>
    <t>3214890</t>
  </si>
  <si>
    <t>3214897</t>
  </si>
  <si>
    <t>7090020014</t>
  </si>
  <si>
    <t>阀芯 国产优质 定制脚踏大便式冲水阀芯 6号 手按卧式蹲便器冲洗阀配件，脚踩立式延时阀心</t>
  </si>
  <si>
    <t>工程物资/阀门/阀芯</t>
  </si>
  <si>
    <t>阀芯</t>
  </si>
  <si>
    <t>3214903</t>
  </si>
  <si>
    <t>3214892</t>
  </si>
  <si>
    <t>3214906</t>
  </si>
  <si>
    <t>3214893</t>
  </si>
  <si>
    <t>4080210169</t>
  </si>
  <si>
    <t xml:space="preserve">洗手液 威露士 泡沫款 约5L/桶 </t>
  </si>
  <si>
    <t>洗手液</t>
  </si>
  <si>
    <t>3214908</t>
  </si>
  <si>
    <t>3214894</t>
  </si>
  <si>
    <t>3214905</t>
  </si>
  <si>
    <t>7040280017</t>
  </si>
  <si>
    <t>其他工程工具配件 国产 刮耙（彩色陶粒配套工具） 304不锈钢和铁手柄180CM 金喜服务</t>
  </si>
  <si>
    <t>工程物资/工具配件/其他工具配件</t>
  </si>
  <si>
    <t>其他工程工具配件</t>
  </si>
  <si>
    <t>3214904</t>
  </si>
  <si>
    <t>AE2493112</t>
  </si>
  <si>
    <t>LAVAZZA/拉瓦萨 意式特浓咖啡豆 8000070021341 1kg 1包</t>
  </si>
  <si>
    <t>3214899</t>
  </si>
  <si>
    <t>7131010008</t>
  </si>
  <si>
    <t xml:space="preserve">抽屉锁 小博士 带杆 NO228/15mm </t>
  </si>
  <si>
    <t>工程物资/五金辅料/抽屉锁/通锁/信箱锁</t>
  </si>
  <si>
    <t>抽屉锁</t>
  </si>
  <si>
    <t>3214900</t>
  </si>
  <si>
    <t>3214907</t>
  </si>
  <si>
    <t>1020080775</t>
  </si>
  <si>
    <t>桌牌台牌 前台桌面立牌 450x300MM 亚克力材质</t>
  </si>
  <si>
    <t>桌牌台牌</t>
  </si>
  <si>
    <t>3214891</t>
  </si>
  <si>
    <t>7140410016</t>
  </si>
  <si>
    <t>电机 九洲普惠 YY631-2 电压：220V，功率：180V，转速：2800r/min 铸铁材质</t>
  </si>
  <si>
    <t>工程物资/电工物料/电机</t>
  </si>
  <si>
    <t>电机</t>
  </si>
  <si>
    <t>3214896</t>
  </si>
  <si>
    <t>7131030050</t>
  </si>
  <si>
    <t>锁芯 国产优质 飞机锁</t>
  </si>
  <si>
    <t>3214901</t>
  </si>
  <si>
    <t>AA3335411</t>
  </si>
  <si>
    <t>NESTLE/雀巢 宝路薄荷糖(单粒) 6917878043227 1.5g×500粒 1包</t>
  </si>
  <si>
    <t>3214909</t>
  </si>
  <si>
    <t>PO240813000011</t>
  </si>
  <si>
    <t>2020040721</t>
  </si>
  <si>
    <t>饮料 王老吉 绿盒凉茶 250MLx24盒</t>
  </si>
  <si>
    <t>饮料</t>
  </si>
  <si>
    <t>2024-08-12 10:22:51.0</t>
  </si>
  <si>
    <t>3221759</t>
  </si>
  <si>
    <t>2020070439</t>
  </si>
  <si>
    <t xml:space="preserve">藿香正气 云南白药 藿香正气水 10ML/支，10支/盒 </t>
  </si>
  <si>
    <t>3221758</t>
  </si>
  <si>
    <t>AA4593702</t>
  </si>
  <si>
    <t>DP/久量 迷你小风扇 7631 绿色 1个</t>
  </si>
  <si>
    <t>工程物资/电工物料/灯座</t>
  </si>
  <si>
    <t>3221757</t>
  </si>
  <si>
    <t>PO240814000054</t>
  </si>
  <si>
    <t>4030160156</t>
  </si>
  <si>
    <t>扫把 欣宇 黑布金枝 长约170CM，5把/捆 草扫把</t>
  </si>
  <si>
    <t>2024-08-09 08:51:05.0</t>
  </si>
  <si>
    <t>3212871</t>
  </si>
  <si>
    <t>3212857</t>
  </si>
  <si>
    <t>AA4158021</t>
  </si>
  <si>
    <t>KYT/康雅特 电位器 WXD3-13-2W-4.7k 1个</t>
  </si>
  <si>
    <t>3212863</t>
  </si>
  <si>
    <t>2010020136</t>
  </si>
  <si>
    <t>夹子 拜杰 多功能取碗器 长16.5cm 碗夹防烫夹取盘夹开瓶器微波炉万能取盘夹</t>
  </si>
  <si>
    <t>夹子</t>
  </si>
  <si>
    <t>3212855</t>
  </si>
  <si>
    <t>3212865</t>
  </si>
  <si>
    <t>3212864</t>
  </si>
  <si>
    <t>3212858</t>
  </si>
  <si>
    <t>3212867</t>
  </si>
  <si>
    <t>3212866</t>
  </si>
  <si>
    <t>3212859</t>
  </si>
  <si>
    <t>3212862</t>
  </si>
  <si>
    <t>7080110910</t>
  </si>
  <si>
    <t xml:space="preserve">其他管材配件 不锈钢压力表弯管 4分 </t>
  </si>
  <si>
    <t>其他管材配件</t>
  </si>
  <si>
    <t>3212869</t>
  </si>
  <si>
    <t>AE0536959</t>
  </si>
  <si>
    <t>FANJIA/繁佳 停车场收费牌 XM-LZJ-铝板 宽1m 高1m 1块</t>
  </si>
  <si>
    <t>3212856</t>
  </si>
  <si>
    <t>3212861</t>
  </si>
  <si>
    <t>2020041495</t>
  </si>
  <si>
    <t>咖啡 雀巢 速溶咖啡 1.8g/包，100包/盒 醇品，烘焙程度：中度烘培</t>
  </si>
  <si>
    <t>3212860</t>
  </si>
  <si>
    <t>2030020067</t>
  </si>
  <si>
    <t>百叶窗帘 美尔耐 6002 铝合金百叶窗帘遮光升降办公室卫生间厕所浴室洗手间免打孔拉绳款加密防水遮阳帘哑光尊贵银</t>
  </si>
  <si>
    <t>百叶窗帘</t>
  </si>
  <si>
    <t>3212870</t>
  </si>
  <si>
    <t>3212868</t>
  </si>
  <si>
    <t>PO240819000264</t>
  </si>
  <si>
    <t>7130110235</t>
  </si>
  <si>
    <t>电风扇 美的 AC360-20A 514x336x950MM，水箱容量35L，3档风力 空调扇制冷风机工业电冷风扇</t>
  </si>
  <si>
    <t>电风扇</t>
  </si>
  <si>
    <t>2024-08-07 16:33:57.0</t>
  </si>
  <si>
    <t>3224913</t>
  </si>
  <si>
    <t>1010100190</t>
  </si>
  <si>
    <t>多功能数据线 国产 插头三孔 一米长</t>
  </si>
  <si>
    <t>多功能数据线</t>
  </si>
  <si>
    <t>3224915</t>
  </si>
  <si>
    <t>6080020199</t>
  </si>
  <si>
    <t>雪糕筒 国产 橡胶反光方锥（带耳朵，含金地物业LOGO） 3KG，70x35x35CM，黑黄/红白可选 多字体可选择</t>
  </si>
  <si>
    <t>消防安保/道路设施/雪糕筒</t>
  </si>
  <si>
    <t>3224914</t>
  </si>
  <si>
    <t>PO240819000144</t>
  </si>
  <si>
    <t>2024-08-06 11:48:19.0</t>
  </si>
  <si>
    <t>3224710</t>
  </si>
  <si>
    <t>PO240816000157</t>
  </si>
  <si>
    <t>2024-08-06 11:46:18.0</t>
  </si>
  <si>
    <t>3214205</t>
  </si>
  <si>
    <t>4090020008</t>
  </si>
  <si>
    <t>空气清新剂 维达 VS911 12支/小箱 花香味,75ml/支</t>
  </si>
  <si>
    <t>3214206</t>
  </si>
  <si>
    <t>3214204</t>
  </si>
  <si>
    <t>PO241017000379</t>
  </si>
  <si>
    <t>深圳市德勤建工集团有限公司</t>
  </si>
  <si>
    <t>2024-08-06 02:13:17.0</t>
  </si>
  <si>
    <t>3333030</t>
  </si>
  <si>
    <t>PO240801000380</t>
  </si>
  <si>
    <t>CX9902</t>
  </si>
  <si>
    <t>BULL/公牛 明装底盒 H2 1个</t>
  </si>
  <si>
    <t>2024-08-05 14:49:31.0</t>
  </si>
  <si>
    <t>3207018</t>
  </si>
  <si>
    <t>AE0244208</t>
  </si>
  <si>
    <t>WJZX/五金专选 自锁式尼龙扎带 ZNL6-A8*400 实际尺寸7.6×400mm 白色 1包</t>
  </si>
  <si>
    <t>3207009</t>
  </si>
  <si>
    <t>PO240805000255</t>
  </si>
  <si>
    <t>3208535</t>
  </si>
  <si>
    <t>PO240805000258</t>
  </si>
  <si>
    <t>3070014075</t>
  </si>
  <si>
    <t>亚克力 指引标识横版 60CMx40CM，厚度5MM 亚克力UV打印</t>
  </si>
  <si>
    <t>3197764</t>
  </si>
  <si>
    <t>3197765</t>
  </si>
  <si>
    <t>AE6842682</t>
  </si>
  <si>
    <t>KEGOO/科固 卫生间洗手盆下水管防面盆臭 K5017 1支</t>
  </si>
  <si>
    <t>工程物资/管材/其他水管/管件</t>
  </si>
  <si>
    <t>3207015</t>
  </si>
  <si>
    <t>3208529</t>
  </si>
  <si>
    <t>AA4903550</t>
  </si>
  <si>
    <t>LIGHTS 碘伏消毒液 P-02-A 60mL 1瓶</t>
  </si>
  <si>
    <t>3206985</t>
  </si>
  <si>
    <t>JP4741</t>
  </si>
  <si>
    <t>PARADISE/天堂 分体式雨衣套装(带反光条） N211-7AX 3XL 藏青色 1套</t>
  </si>
  <si>
    <t>工程物资/五金辅料/雨衣（更新中）</t>
  </si>
  <si>
    <t>3206993</t>
  </si>
  <si>
    <t>JP4738</t>
  </si>
  <si>
    <t>PARADISE/天堂 分体式雨衣套装(带反光条） N211-7AX L 藏青色 1套</t>
  </si>
  <si>
    <t>3206996</t>
  </si>
  <si>
    <t>3208521</t>
  </si>
  <si>
    <t>3208517</t>
  </si>
  <si>
    <t>2020010340</t>
  </si>
  <si>
    <t>毛巾 登进 30CMx70CM 蓝色，纤维</t>
  </si>
  <si>
    <t>3208530</t>
  </si>
  <si>
    <t>3208531</t>
  </si>
  <si>
    <t>3207016</t>
  </si>
  <si>
    <t>3070014088</t>
  </si>
  <si>
    <t>亚克力 物业管理处收费标准公示牌 450x624MM，厚度5+3MM 亚克力夹写真喷绘</t>
  </si>
  <si>
    <t>3197767</t>
  </si>
  <si>
    <t>3208519</t>
  </si>
  <si>
    <t>AE5906013</t>
  </si>
  <si>
    <t>FANJIA/繁佳 施工围挡 XM-LZJ-工作进行中 单片尺寸590×990mm 黄色 1套</t>
  </si>
  <si>
    <t>3206987</t>
  </si>
  <si>
    <t>PO240805000257</t>
  </si>
  <si>
    <t>7050020053</t>
  </si>
  <si>
    <t>LED灯盘 佛山照明 面板灯 600x1200，72W 6500K</t>
  </si>
  <si>
    <t>工程物资/LED灯具/LED灯盘</t>
  </si>
  <si>
    <t>LED灯盘</t>
  </si>
  <si>
    <t>3208543</t>
  </si>
  <si>
    <t>3208537</t>
  </si>
  <si>
    <t>3207005</t>
  </si>
  <si>
    <t>AA3203174</t>
  </si>
  <si>
    <t>LIMN/亮净 厨房去重油剂 6925911501641 氧漂抗菌配方 1L 1瓶</t>
  </si>
  <si>
    <t>3207020</t>
  </si>
  <si>
    <t>CF2734</t>
  </si>
  <si>
    <t>HUILI/回力 男款黑色中筒雨靴 807 43码 1双</t>
  </si>
  <si>
    <t>3206990</t>
  </si>
  <si>
    <t>3208538</t>
  </si>
  <si>
    <t>AA3518704</t>
  </si>
  <si>
    <t>XT/鑫涛 滚筒刷 小100mm 1把</t>
  </si>
  <si>
    <t>3207004</t>
  </si>
  <si>
    <t>3206983</t>
  </si>
  <si>
    <t>3208526</t>
  </si>
  <si>
    <t>7050020027</t>
  </si>
  <si>
    <t>LED灯盘 佛山照明 直发光面板灯42W865K 面径595x595,开孔585x585白光</t>
  </si>
  <si>
    <t>3208541</t>
  </si>
  <si>
    <t>3208522</t>
  </si>
  <si>
    <t>CE6997</t>
  </si>
  <si>
    <t>HUILI/回力 男款黑色中筒雨靴 807 42码 1双</t>
  </si>
  <si>
    <t>3206991</t>
  </si>
  <si>
    <t>AA2541141</t>
  </si>
  <si>
    <t>ELECALL/伊莱科 户外不锈钢配电箱 300×400×180mm 201不锈钢 1个</t>
  </si>
  <si>
    <t>3207001</t>
  </si>
  <si>
    <t>AA6938554</t>
  </si>
  <si>
    <t>LONGDAI/龙代 黄铜大弯立柱水龙头GYJ MJ-75010(配0.6进水管) 1个</t>
  </si>
  <si>
    <t>3207006</t>
  </si>
  <si>
    <t>HC5044</t>
  </si>
  <si>
    <t>SUPFIRE/神火 USB直充手电筒（含电池充电线） A5 3W 标配:手电+灰电池+USB线+A5专用吊盒 1套</t>
  </si>
  <si>
    <t>消防安保/消防工具/手电</t>
  </si>
  <si>
    <t>3207012</t>
  </si>
  <si>
    <t>2020070574</t>
  </si>
  <si>
    <t xml:space="preserve">创可贴 弘迪 防水型 100片装 </t>
  </si>
  <si>
    <t>3208525</t>
  </si>
  <si>
    <t>3206984</t>
  </si>
  <si>
    <t>3207002</t>
  </si>
  <si>
    <t>3208542</t>
  </si>
  <si>
    <t>3208518</t>
  </si>
  <si>
    <t>2020070492</t>
  </si>
  <si>
    <t xml:space="preserve">酒精棉球 颐和瑞达 医用脱脂棉球 50g/包，10包/组 </t>
  </si>
  <si>
    <t>酒精棉球</t>
  </si>
  <si>
    <t>3208523</t>
  </si>
  <si>
    <t>2020070455</t>
  </si>
  <si>
    <t>气雾剂 云南白药 85g+30g 使用方法：外用</t>
  </si>
  <si>
    <t>气雾剂</t>
  </si>
  <si>
    <t>3208524</t>
  </si>
  <si>
    <t>CF2733</t>
  </si>
  <si>
    <t>HUILI/回力 男款黑色中筒雨靴 807 44码 1双</t>
  </si>
  <si>
    <t>3206989</t>
  </si>
  <si>
    <t>AA5086433</t>
  </si>
  <si>
    <t>NOYAFA/精明鼠 网络测线巡线仪 NF-858C POE模式 1套</t>
  </si>
  <si>
    <t>工程物资/仪器仪表/寻线仪</t>
  </si>
  <si>
    <t>3206999</t>
  </si>
  <si>
    <t>3207017</t>
  </si>
  <si>
    <t>PM5258</t>
  </si>
  <si>
    <t>BULL/公牛 排插 GN-B5060-1.8M 1个</t>
  </si>
  <si>
    <t>3207000</t>
  </si>
  <si>
    <t>3206986</t>
  </si>
  <si>
    <t>3208528</t>
  </si>
  <si>
    <t>FQ0017</t>
  </si>
  <si>
    <t>GC/国产 牛筋灰斗(白灰桶) 350 Φ30×20.6cm 1个</t>
  </si>
  <si>
    <t>清洁物资类/清洁工具/喷壶</t>
  </si>
  <si>
    <t>3207008</t>
  </si>
  <si>
    <t>3207010</t>
  </si>
  <si>
    <t>AA3198412</t>
  </si>
  <si>
    <t>JZ/金钻 通用型切割片(黑片) 107×1.2×16 1片</t>
  </si>
  <si>
    <t>工程物资/工具配件/金属切割片/木材切割片/石材切割片</t>
  </si>
  <si>
    <t>3207011</t>
  </si>
  <si>
    <t>JP4739</t>
  </si>
  <si>
    <t>PARADISE/天堂 分体式雨衣套装(带反光条） N211-7AX XL 藏青色 1套</t>
  </si>
  <si>
    <t>3206995</t>
  </si>
  <si>
    <t>3206997</t>
  </si>
  <si>
    <t>3206982</t>
  </si>
  <si>
    <t>3207007</t>
  </si>
  <si>
    <t>3207022</t>
  </si>
  <si>
    <t>3207014</t>
  </si>
  <si>
    <t>3206998</t>
  </si>
  <si>
    <t>AA3758135</t>
  </si>
  <si>
    <t>HUILI/回力 男款黑色中筒雨靴 807 45码 筒高约29cm 1双</t>
  </si>
  <si>
    <t>工程物资/五金辅料/雨鞋（更新中）</t>
  </si>
  <si>
    <t>3206988</t>
  </si>
  <si>
    <t>CE6998</t>
  </si>
  <si>
    <t>HUILI/回力 男款黑色中筒雨靴 807 41码 1双</t>
  </si>
  <si>
    <t>3206992</t>
  </si>
  <si>
    <t>TR2234</t>
  </si>
  <si>
    <t>JIREN/吉人 高级醇酸调和漆 高级艳绿醇酸调和漆 G03艳绿一类  13kg 1桶</t>
  </si>
  <si>
    <t>3207013</t>
  </si>
  <si>
    <t>3207003</t>
  </si>
  <si>
    <t>3208534</t>
  </si>
  <si>
    <t>AE6160759</t>
  </si>
  <si>
    <t>BYQJ/白云清洁 尘推配件支架 AF01005-1 90cm 1个</t>
  </si>
  <si>
    <t>3207019</t>
  </si>
  <si>
    <t>PO240805000256</t>
  </si>
  <si>
    <t>6050050040</t>
  </si>
  <si>
    <t>监控支架 海康威视 DS-1618ZJ 110x145x190.5MM 球机壁装支架，白色，铝合金</t>
  </si>
  <si>
    <t>3208539</t>
  </si>
  <si>
    <t>2020070553</t>
  </si>
  <si>
    <t>医用棉签 皇冠 960支装 脱脂棉材质</t>
  </si>
  <si>
    <t>医用棉签</t>
  </si>
  <si>
    <t>3208520</t>
  </si>
  <si>
    <t>3208536</t>
  </si>
  <si>
    <t>JP4740</t>
  </si>
  <si>
    <t>PARADISE/天堂 分体式雨衣套装(带反光条） N211-7AX 2XL 藏青色 1套</t>
  </si>
  <si>
    <t>3206994</t>
  </si>
  <si>
    <t>3207021</t>
  </si>
  <si>
    <t>4030290143</t>
  </si>
  <si>
    <t xml:space="preserve">拖把 美丽雅 海绵拖把 约38CM </t>
  </si>
  <si>
    <t>3208527</t>
  </si>
  <si>
    <t>PO240805000254</t>
  </si>
  <si>
    <t>6010110085</t>
  </si>
  <si>
    <t>消防水带 援邦 8-65-25 含接扣，铁丝喉箍双重安装，不含水枪 有3C认证</t>
  </si>
  <si>
    <t>消防安保/消防工具/消防水带</t>
  </si>
  <si>
    <t>3208516</t>
  </si>
  <si>
    <t>3208533</t>
  </si>
  <si>
    <t>3197763</t>
  </si>
  <si>
    <t>3197766</t>
  </si>
  <si>
    <t>7050070145</t>
  </si>
  <si>
    <t>LED吸顶灯 佛山照明 12w FSL吸顶灯φ230 220V12W65K全白10*1</t>
  </si>
  <si>
    <t>LED吸顶灯</t>
  </si>
  <si>
    <t>3208540</t>
  </si>
  <si>
    <t>4080210059</t>
  </si>
  <si>
    <t>洗手液 威露士/walch 倍护滋润抑菌 525ML 功效：清洁、水润、抑菌</t>
  </si>
  <si>
    <t>3208532</t>
  </si>
  <si>
    <t>PO240815000031</t>
  </si>
  <si>
    <t>2024-08-05 12:14:19.0</t>
  </si>
  <si>
    <t>3213441</t>
  </si>
  <si>
    <t>PO240815000095</t>
  </si>
  <si>
    <t>2024-08-05 12:12:47.0</t>
  </si>
  <si>
    <t>3223209</t>
  </si>
  <si>
    <t>PO240815000094</t>
  </si>
  <si>
    <t>2024-08-05 12:12:26.0</t>
  </si>
  <si>
    <t>3213587</t>
  </si>
  <si>
    <t>3213586</t>
  </si>
  <si>
    <t>3213584</t>
  </si>
  <si>
    <t>3213588</t>
  </si>
  <si>
    <t>3213590</t>
  </si>
  <si>
    <t>3213589</t>
  </si>
  <si>
    <t>3213585</t>
  </si>
  <si>
    <t>PO240920000288</t>
  </si>
  <si>
    <t>2024-07-29 13:44:06.0</t>
  </si>
  <si>
    <t>3307459</t>
  </si>
  <si>
    <t>PO240726000022</t>
  </si>
  <si>
    <t>AC2341920</t>
  </si>
  <si>
    <t>LESSO/联塑 PVC线管三通 20mm 白色 1个</t>
  </si>
  <si>
    <t>工程物资/管材/PVC线管/线槽配件</t>
  </si>
  <si>
    <t>2024-07-26 15:24:14.0</t>
  </si>
  <si>
    <t>3192628</t>
  </si>
  <si>
    <t>AE0244200</t>
  </si>
  <si>
    <t>WJZX/五金专选 自锁式尼龙扎带 ZNL6-A4*350 实际尺寸3.45×350mm 白色 1包</t>
  </si>
  <si>
    <t>3192624</t>
  </si>
  <si>
    <t>ET4818</t>
  </si>
  <si>
    <t>CHINT/正泰 KG316T系列时控开关 KG316T 3A 16开16关 AC220V 1min~168h 16开16关 1个</t>
  </si>
  <si>
    <t>3192635</t>
  </si>
  <si>
    <t>XE4232</t>
  </si>
  <si>
    <t>LESSO/联塑 鞍型管卡(PVC-U给水配件) dn20 适用DN20 白色 1个</t>
  </si>
  <si>
    <t>工程物资/五金辅料/管箍/管卡</t>
  </si>
  <si>
    <t>3192627</t>
  </si>
  <si>
    <t>AA2330707</t>
  </si>
  <si>
    <t>ICEY/冰禹 ZHyl-15系列绿色塑料膨胀胶塞 M6 1000个 1包</t>
  </si>
  <si>
    <t>3192625</t>
  </si>
  <si>
    <t>AJ2636</t>
  </si>
  <si>
    <t>QIFAN/起帆 铜芯聚氯乙烯绝缘布电线 BV-450/750V-1×1.5 红色 100m 1卷</t>
  </si>
  <si>
    <t>3192634</t>
  </si>
  <si>
    <t>AU5037</t>
  </si>
  <si>
    <t>QIFAN/起帆 铜芯聚氯乙烯绝缘布电线 BV-450/750V-1×1.5 蓝色 100m 1卷</t>
  </si>
  <si>
    <t>3192633</t>
  </si>
  <si>
    <t>AA2216265</t>
  </si>
  <si>
    <t>JINGGONG/劲功 加硬十字沉头自攻螺丝 ST4×25 900个 1盒</t>
  </si>
  <si>
    <t>3192626</t>
  </si>
  <si>
    <t>AA5134758</t>
  </si>
  <si>
    <t>DELIXI/德力西 CD130系列一位二极一位三极插座10A(新) T86ZS/X 明装 1个</t>
  </si>
  <si>
    <t>3192631</t>
  </si>
  <si>
    <t>AC2341895</t>
  </si>
  <si>
    <t>LESSO/联塑 PVC线管直通（套筒） 25mm 白色 1个</t>
  </si>
  <si>
    <t>3192629</t>
  </si>
  <si>
    <t>AE3324152</t>
  </si>
  <si>
    <t>LESSO/联塑 PVC电线管(B管) dn20 白色 1.1mm×1.9m 1根</t>
  </si>
  <si>
    <t>3192630</t>
  </si>
  <si>
    <t>AU5038</t>
  </si>
  <si>
    <t>QIFAN/起帆 铜芯聚氯乙烯绝缘布电线 BV-450/750V-1×1.5 黄色 100m 1卷</t>
  </si>
  <si>
    <t>3192632</t>
  </si>
  <si>
    <t>PO241017000376</t>
  </si>
  <si>
    <t>2024-07-25 09:51:31.0</t>
  </si>
  <si>
    <t>3333017</t>
  </si>
  <si>
    <t>PO240816000267</t>
  </si>
  <si>
    <t>景嘉科技（深圳）有限公司</t>
  </si>
  <si>
    <t>2024-07-22 09:36:01.0</t>
  </si>
  <si>
    <t>3224168</t>
  </si>
  <si>
    <t>PO240719000336</t>
  </si>
  <si>
    <t>2024-07-18 18:02:06.0</t>
  </si>
  <si>
    <t>3150111</t>
  </si>
  <si>
    <t>5127317</t>
  </si>
  <si>
    <t>拜杰（Baijie）304不锈钢多功能食品夹 取物夹子食物夹蛋糕夹牛排夹烧烤馒头面包糕点夹烘焙夹子 LY-132</t>
  </si>
  <si>
    <t>3150110</t>
  </si>
  <si>
    <t>AE6221666</t>
  </si>
  <si>
    <t>FANJIA/繁佳 抽屉拉手 XM-LBX-黑色 长74×宽39×高7mm 工装款免打孔 1个</t>
  </si>
  <si>
    <t>3150117</t>
  </si>
  <si>
    <t>7110210052</t>
  </si>
  <si>
    <t>集成吊顶 国产 铝扣板 600×600MM×厚0.7MM 亚光白蜂窝</t>
  </si>
  <si>
    <t>工程物资/建筑材料/吊顶材料</t>
  </si>
  <si>
    <t>集成吊顶</t>
  </si>
  <si>
    <t>3150116</t>
  </si>
  <si>
    <t>7131000018</t>
  </si>
  <si>
    <t xml:space="preserve">插销 国产优质 不锈钢插销 4寸 </t>
  </si>
  <si>
    <t>工程物资/五金辅料/插销</t>
  </si>
  <si>
    <t>插销</t>
  </si>
  <si>
    <t>3150118</t>
  </si>
  <si>
    <t>3150112</t>
  </si>
  <si>
    <t>7080120371</t>
  </si>
  <si>
    <t>下水管 潜水艇 不锈钢下水管 适用管径32MM尺寸下水器 不锈钢下水管</t>
  </si>
  <si>
    <t>工程物资/管材/进水管/排水管/下水管（更新中）</t>
  </si>
  <si>
    <t>下水管</t>
  </si>
  <si>
    <t>3150113</t>
  </si>
  <si>
    <t>7020220190</t>
  </si>
  <si>
    <t xml:space="preserve">抽水泵 功率：550瓦，口径：1.5寸，电压：220V，流量：8m³/h，扬程8m </t>
  </si>
  <si>
    <t>工程物资/电动工具/潜水泵/污水泵/自吸泵</t>
  </si>
  <si>
    <t>抽水泵</t>
  </si>
  <si>
    <t>3150115</t>
  </si>
  <si>
    <t>3150114</t>
  </si>
  <si>
    <t>100007247071</t>
  </si>
  <si>
    <t>魅祥 木柄拖把 加长木杆棉线拖把圆头蓝白线绳老式拖把</t>
  </si>
  <si>
    <t>3150119</t>
  </si>
  <si>
    <t>PO240723000196</t>
  </si>
  <si>
    <t>6030050055</t>
  </si>
  <si>
    <t>主板 国产 翼闸摆闸主板 驱动板/人行通道闸闸机接线板/防撞无刷主板控制器定制</t>
  </si>
  <si>
    <t>主板</t>
  </si>
  <si>
    <t>2024-07-18 18:01:55.0</t>
  </si>
  <si>
    <t>3201368</t>
  </si>
  <si>
    <t>7131000028</t>
  </si>
  <si>
    <t xml:space="preserve">插销 国产优质 304不锈钢 4寸 </t>
  </si>
  <si>
    <t>3201370</t>
  </si>
  <si>
    <t>7131020156</t>
  </si>
  <si>
    <t>门锁 国产 125型 50轴承三舌锁体</t>
  </si>
  <si>
    <t>3201366</t>
  </si>
  <si>
    <t>7090040054</t>
  </si>
  <si>
    <t>脚踏阀 利都 铜制卧式脚踏阀 DN25 卫生间用</t>
  </si>
  <si>
    <t>3201369</t>
  </si>
  <si>
    <t>3201367</t>
  </si>
  <si>
    <t>3201373</t>
  </si>
  <si>
    <t>7130560112</t>
  </si>
  <si>
    <t>密封圈 国产 厕所卫生间冲水管出水管密封圈 内径44MM 蹲厕胶垫</t>
  </si>
  <si>
    <t>工程物资/五金辅料/垫片/垫圈</t>
  </si>
  <si>
    <t>密封圈</t>
  </si>
  <si>
    <t>3201371</t>
  </si>
  <si>
    <t>3201364</t>
  </si>
  <si>
    <t>3201362</t>
  </si>
  <si>
    <t>3201365</t>
  </si>
  <si>
    <t>3201372</t>
  </si>
  <si>
    <t>1020140038</t>
  </si>
  <si>
    <t>切纸刀 得力 8014 320MMx260MM 裁纸刀</t>
  </si>
  <si>
    <t>切纸刀</t>
  </si>
  <si>
    <t>3201363</t>
  </si>
  <si>
    <t>PO240717000324</t>
  </si>
  <si>
    <t>AE1939861</t>
  </si>
  <si>
    <t>H3C/华三 非网管企业级网络POE交换机 S5G-P 5口 千兆 桌面型网线分流器 1个</t>
  </si>
  <si>
    <t>2024-07-17 17:15:18.0</t>
  </si>
  <si>
    <t>3129158</t>
  </si>
  <si>
    <t>3129161</t>
  </si>
  <si>
    <t>3129164</t>
  </si>
  <si>
    <t>3129160</t>
  </si>
  <si>
    <t>3129157</t>
  </si>
  <si>
    <t>3129163</t>
  </si>
  <si>
    <t>AE4298838</t>
  </si>
  <si>
    <t>DELI/得力 绿光干电激光笔 DL552012 1个</t>
  </si>
  <si>
    <t>3129154</t>
  </si>
  <si>
    <t>AA8948454</t>
  </si>
  <si>
    <t>QIANJUMEI/千居美 伍陆染醇酸调和漆 HD9300 B04 银灰色 15kg 1桶</t>
  </si>
  <si>
    <t>工程物资/油漆/调和漆</t>
  </si>
  <si>
    <t>3129156</t>
  </si>
  <si>
    <t>3129159</t>
  </si>
  <si>
    <t>3129165</t>
  </si>
  <si>
    <t>AE5443779</t>
  </si>
  <si>
    <t>FLY.GLOBE/飞球 办公桌抽屉锁 FQ-A04 叶片锁芯 3.9×2.2×1.8cm 银色 1个</t>
  </si>
  <si>
    <t>3129162</t>
  </si>
  <si>
    <t>3129155</t>
  </si>
  <si>
    <t>PO240722000189</t>
  </si>
  <si>
    <t>2024-07-16 10:24:43.0</t>
  </si>
  <si>
    <t>3190451</t>
  </si>
  <si>
    <t>3190452</t>
  </si>
  <si>
    <t>PO240717000265</t>
  </si>
  <si>
    <t>4100030039</t>
  </si>
  <si>
    <t>地毯 国产 双条纹坑毯 粗丝，厚8MM左右，2Mx15M 大红、暗红、灰色</t>
  </si>
  <si>
    <t>2024-07-16 10:22:04.0</t>
  </si>
  <si>
    <t>3129055</t>
  </si>
  <si>
    <t>PO240709000458</t>
  </si>
  <si>
    <t>2024-07-15 21:00:21.0</t>
  </si>
  <si>
    <t>3133189</t>
  </si>
  <si>
    <t>3133198</t>
  </si>
  <si>
    <t>3133213</t>
  </si>
  <si>
    <t>AE3324121</t>
  </si>
  <si>
    <t>LESSO/联塑 PVC电线槽(A槽) 39mm×19mm×2m 白色 2m 1根</t>
  </si>
  <si>
    <t>3133214</t>
  </si>
  <si>
    <t>3133215</t>
  </si>
  <si>
    <t>3133197</t>
  </si>
  <si>
    <t>PO240715000379</t>
  </si>
  <si>
    <t>3136789</t>
  </si>
  <si>
    <t>NA1288</t>
  </si>
  <si>
    <t>SHARP/夏普 墨粉 MX-238CT 低容黑色 1个</t>
  </si>
  <si>
    <t>3133188</t>
  </si>
  <si>
    <t>3136779</t>
  </si>
  <si>
    <t>3136790</t>
  </si>
  <si>
    <t>3136786</t>
  </si>
  <si>
    <t>3136782</t>
  </si>
  <si>
    <t>PO240715000381</t>
  </si>
  <si>
    <t>3136798</t>
  </si>
  <si>
    <t>3136799</t>
  </si>
  <si>
    <t>2010030710</t>
  </si>
  <si>
    <t>一次性纸杯 加印LOGO 9盎司 环保大豆油墨印刷，278g原木浆食品级淋膜纸</t>
  </si>
  <si>
    <t>一次性纸杯</t>
  </si>
  <si>
    <t>3136795</t>
  </si>
  <si>
    <t>3133200</t>
  </si>
  <si>
    <t>AE2424107</t>
  </si>
  <si>
    <t>ZKH/震坤行 按动中性笔 30202 0.5mm 红色 12支 1盒</t>
  </si>
  <si>
    <t>3133187</t>
  </si>
  <si>
    <t>3133208</t>
  </si>
  <si>
    <t>AA4691922</t>
  </si>
  <si>
    <t>HYSTIC/海斯迪克 加厚空调铜管扎带 HK-543系列 白色 0.2mm×60mm×11m 1卷</t>
  </si>
  <si>
    <t>3133206</t>
  </si>
  <si>
    <t>2020070484</t>
  </si>
  <si>
    <t xml:space="preserve">敷贴 海氏海诺 透气款 6CMx7CM，80片/盒 </t>
  </si>
  <si>
    <t>敷贴</t>
  </si>
  <si>
    <t>3136775</t>
  </si>
  <si>
    <t>FR2770</t>
  </si>
  <si>
    <t>M&amp;G/晨光 12#防伪订书钉 ABS92725 24/6 1000枚 1盒</t>
  </si>
  <si>
    <t>办公类/办公耗材/订书机/订书针</t>
  </si>
  <si>
    <t>3133205</t>
  </si>
  <si>
    <t>3133190</t>
  </si>
  <si>
    <t>3133218</t>
  </si>
  <si>
    <t>PO240715000378</t>
  </si>
  <si>
    <t>6080060028</t>
  </si>
  <si>
    <t>铁马 国产优质 铁马护栏 1x1.5M 黄黑</t>
  </si>
  <si>
    <t>消防安保/道路设施/铁马</t>
  </si>
  <si>
    <t>3136774</t>
  </si>
  <si>
    <t>FR2295</t>
  </si>
  <si>
    <t>M&amp;G/晨光 大号美工刀 ASS91360 18mm 银色 1把</t>
  </si>
  <si>
    <t>3133194</t>
  </si>
  <si>
    <t>AC9051931</t>
  </si>
  <si>
    <t>ZKH/震坤行 彩色长尾夹 HBG25484 25mm 彩色 1筒</t>
  </si>
  <si>
    <t>办公类/办公耗材/长尾票夹/票夹</t>
  </si>
  <si>
    <t>3133192</t>
  </si>
  <si>
    <t>3136777</t>
  </si>
  <si>
    <t>AC9000930</t>
  </si>
  <si>
    <t>MAIRUIO/麦锐欧 牛津布反光连体雨衣 均码 藏青色 1件</t>
  </si>
  <si>
    <t>3133219</t>
  </si>
  <si>
    <t>PO240715000380</t>
  </si>
  <si>
    <t>3136794</t>
  </si>
  <si>
    <t>3133199</t>
  </si>
  <si>
    <t>7130570018</t>
  </si>
  <si>
    <t xml:space="preserve">反光膜 国产优质 80CMx60CM </t>
  </si>
  <si>
    <t>工程物资/五金辅料/反光膜</t>
  </si>
  <si>
    <t>反光膜</t>
  </si>
  <si>
    <t>3136797</t>
  </si>
  <si>
    <t>3133211</t>
  </si>
  <si>
    <t>FV7365</t>
  </si>
  <si>
    <t>DELI/得力 皮面笔记本 7912 32K 120页 黑色 1本</t>
  </si>
  <si>
    <t>3133191</t>
  </si>
  <si>
    <t>3136783</t>
  </si>
  <si>
    <t>3136784</t>
  </si>
  <si>
    <t>3133196</t>
  </si>
  <si>
    <t>FW1225</t>
  </si>
  <si>
    <t>DELI/得力 大号办公剪刀 6034 160mm 颜色随机 1把</t>
  </si>
  <si>
    <t>工程物资/手动工具/剪刀</t>
  </si>
  <si>
    <t>3133202</t>
  </si>
  <si>
    <t>3136776</t>
  </si>
  <si>
    <t>3136785</t>
  </si>
  <si>
    <t>3133216</t>
  </si>
  <si>
    <t>3133193</t>
  </si>
  <si>
    <t>AA5134782</t>
  </si>
  <si>
    <t>DELIXI/德力西 CD210系列一位双控荧光大板开关 Q86K2 暗装 1个</t>
  </si>
  <si>
    <t>3133209</t>
  </si>
  <si>
    <t>3136781</t>
  </si>
  <si>
    <t>3136787</t>
  </si>
  <si>
    <t>3136788</t>
  </si>
  <si>
    <t>3133203</t>
  </si>
  <si>
    <t>PU5512</t>
  </si>
  <si>
    <t>TP-LINK/普联 双频无线企业VPN路由器 TL-WVR1200G 企业级AC1200 1个</t>
  </si>
  <si>
    <t>3133210</t>
  </si>
  <si>
    <t>3133195</t>
  </si>
  <si>
    <t>3136793</t>
  </si>
  <si>
    <t>3136792</t>
  </si>
  <si>
    <t>3133212</t>
  </si>
  <si>
    <t>3136796</t>
  </si>
  <si>
    <t>3136780</t>
  </si>
  <si>
    <t>3136791</t>
  </si>
  <si>
    <t>3133207</t>
  </si>
  <si>
    <t>3133201</t>
  </si>
  <si>
    <t>CF0301</t>
  </si>
  <si>
    <t>NIPPON/立邦 净味120二合一内墙乳胶漆 白色 哑光白 18L 1桶</t>
  </si>
  <si>
    <t>3133217</t>
  </si>
  <si>
    <t>3136778</t>
  </si>
  <si>
    <t>VV1544</t>
  </si>
  <si>
    <t>DELI/得力 棉纸双面胶带 30403 24mm×10yd 白色 1卷</t>
  </si>
  <si>
    <t>3133204</t>
  </si>
  <si>
    <t>PO240809000169</t>
  </si>
  <si>
    <t>2024-07-15 11:36:08.0</t>
  </si>
  <si>
    <t>3210942</t>
  </si>
  <si>
    <t>PO240715000274</t>
  </si>
  <si>
    <t>2024-07-11 18:50:39.0</t>
  </si>
  <si>
    <t>3127633</t>
  </si>
  <si>
    <t>3040010126</t>
  </si>
  <si>
    <t>其他安全服装 姿蔓郎 行政冬款长袖衬衣+裤子 XS-XXXL码 长袖衬衣：百分之80棉，百分之15涤纶，百分之5竹纤维，西裤：百分之80毛，百分之10涤纶，百分之10桑蚕</t>
  </si>
  <si>
    <t>3127632</t>
  </si>
  <si>
    <t>3040010125</t>
  </si>
  <si>
    <t>其他安全服装 姿蔓郎 长袖衬衣+西裤（簿款） XS-XXXL 百分之60棉，百分之35涤纶，百分之5竹纤维</t>
  </si>
  <si>
    <t>3127631</t>
  </si>
  <si>
    <t>PO240716000129</t>
  </si>
  <si>
    <t>2024-07-09 17:56:28.0</t>
  </si>
  <si>
    <t>3128146</t>
  </si>
  <si>
    <t>3128145</t>
  </si>
  <si>
    <t>3128147</t>
  </si>
  <si>
    <t>PO240711000465</t>
  </si>
  <si>
    <t>2024-07-09 17:55:18.0</t>
  </si>
  <si>
    <t>3125830</t>
  </si>
  <si>
    <t>PO240724000152</t>
  </si>
  <si>
    <t>2010020601</t>
  </si>
  <si>
    <t>滤芯 本源 STR-500K2商用智能净水直饮一体机滤芯 第一级：前置复合滤芯；第二级：200G，RO膜；第三级：聚丙烯活性炭滤芯</t>
  </si>
  <si>
    <t>深圳市新四通颖科技有限公司</t>
  </si>
  <si>
    <t>2024-07-09 10:05:10.0</t>
  </si>
  <si>
    <t>3201937</t>
  </si>
  <si>
    <t>PO240715000275</t>
  </si>
  <si>
    <t>2024-07-08 18:28:23.0</t>
  </si>
  <si>
    <t>3127634</t>
  </si>
  <si>
    <t>PO240716000061</t>
  </si>
  <si>
    <t>2020040028</t>
  </si>
  <si>
    <t xml:space="preserve">矿泉水 百岁山 饮用天然矿泉水348ml*24瓶 </t>
  </si>
  <si>
    <t>矿泉水</t>
  </si>
  <si>
    <t>2024-07-08 18:15:45.0</t>
  </si>
  <si>
    <t>3128014</t>
  </si>
  <si>
    <t>PO240715000280</t>
  </si>
  <si>
    <t>6086983</t>
  </si>
  <si>
    <t>灵蛇（LINGSHE）鼠标垫 800*300*3超大加厚鼠标垫 精密锁边 可水洗P520火烈鸟 礼盒装</t>
  </si>
  <si>
    <t>2024-07-07 22:53:47.0</t>
  </si>
  <si>
    <t>3127637</t>
  </si>
  <si>
    <t>3080070115</t>
  </si>
  <si>
    <t>护栏 国产优质 不锈钢礼宾杆 1.2米+黑色绒绳挂绳 银白</t>
  </si>
  <si>
    <t>形象视觉/广告宣传/护栏（更新中）</t>
  </si>
  <si>
    <t>护栏</t>
  </si>
  <si>
    <t>3127638</t>
  </si>
  <si>
    <t>3080080238</t>
  </si>
  <si>
    <t>施工围挡 折叠式围栏 580x1100MM 镀锌型材，加印LOGO定制</t>
  </si>
  <si>
    <t>施工围挡</t>
  </si>
  <si>
    <t>3127640</t>
  </si>
  <si>
    <t>3070020131</t>
  </si>
  <si>
    <t>A字牌 国产 禁止通行、正在维修、注意安全、小心地滑 290x450x600MM 塑料通用款</t>
  </si>
  <si>
    <t>A字牌</t>
  </si>
  <si>
    <t>3127639</t>
  </si>
  <si>
    <t>PO240809000168</t>
  </si>
  <si>
    <t>2024-07-04 21:00:01.0</t>
  </si>
  <si>
    <t>3210941</t>
  </si>
  <si>
    <t>PO240628000075</t>
  </si>
  <si>
    <t>3070010164</t>
  </si>
  <si>
    <t>亚克力 初芒 220X170mm UV亚克力 消防标识（A级项目）</t>
  </si>
  <si>
    <t>2024-06-20 16:45:18.0</t>
  </si>
  <si>
    <t>3105578</t>
  </si>
  <si>
    <t>3334748</t>
  </si>
  <si>
    <t>飞利浦 PHILIPS 55英寸全面屏4K超高清HDR网络智能液晶平板电视机 55PUF7294/T3 (配底座)</t>
  </si>
  <si>
    <t>办公类/办公设备/办公电器</t>
  </si>
  <si>
    <t>3105592</t>
  </si>
  <si>
    <t>100008132181</t>
  </si>
  <si>
    <t>虎顿（HOTUN）打气筒自行车家用小型高压气筒车电动电瓶车篮球通用气管子充气筒DQT320-JY</t>
  </si>
  <si>
    <t>3105580</t>
  </si>
  <si>
    <t>6010140013</t>
  </si>
  <si>
    <t>消防战斗服 杰尔曼 97款 消防战斗服</t>
  </si>
  <si>
    <t>消防安保/消防工具/消防服装</t>
  </si>
  <si>
    <t>消防战斗服</t>
  </si>
  <si>
    <t>3105587</t>
  </si>
  <si>
    <t>3070011417</t>
  </si>
  <si>
    <t>pvc裱写真 国产定制 5mmpvc雕刻，uv喷绘，贴保护膜 220*170 消防标识B</t>
  </si>
  <si>
    <t>3105573</t>
  </si>
  <si>
    <t>1010010068</t>
  </si>
  <si>
    <t>打印机 惠普 HP280NW 不超过年打印10万张前提下，任意打，超出部分黑白0.08分/张，彩色0.2/张。耗材维修配件人工发票全包 租赁A4彩色多功能激光一体机</t>
  </si>
  <si>
    <t>打印机</t>
  </si>
  <si>
    <t>3105585</t>
  </si>
  <si>
    <t>AA1037119</t>
  </si>
  <si>
    <t>JINANXING/锦安行 橡胶减速带 JCH-R04100-可定制 1米</t>
  </si>
  <si>
    <t>3105582</t>
  </si>
  <si>
    <t>1010090043</t>
  </si>
  <si>
    <t>投屏器 胜为 DHU003AB USB一键投屏 投影仪无线投屏器</t>
  </si>
  <si>
    <t>3105589</t>
  </si>
  <si>
    <t>2010020217</t>
  </si>
  <si>
    <t xml:space="preserve">搅棒 国产 一次性咖啡搅拌棒木质咖啡调棒AMY7401 500支，14CM </t>
  </si>
  <si>
    <t>搅棒</t>
  </si>
  <si>
    <t>3105595</t>
  </si>
  <si>
    <t>AE2299817</t>
  </si>
  <si>
    <t>PHILIPS/飞利浦 LED筒灯 DN200 G3 LED15 840 16W D175 CN 1个</t>
  </si>
  <si>
    <t>3105571</t>
  </si>
  <si>
    <t>3080020835</t>
  </si>
  <si>
    <t>车贴 220x170mm 消防标识,高清车贴</t>
  </si>
  <si>
    <t>3105576</t>
  </si>
  <si>
    <t>3090090025</t>
  </si>
  <si>
    <t xml:space="preserve">拉旗 国产优质 定制海油3号旗,1920*1200mm </t>
  </si>
  <si>
    <t>拉旗</t>
  </si>
  <si>
    <t>3105588</t>
  </si>
  <si>
    <t>3080050410</t>
  </si>
  <si>
    <t>雪弗板 220x170mm 消防标识,高清车贴雪弗板</t>
  </si>
  <si>
    <t>形象视觉/广告宣传/雪弗板</t>
  </si>
  <si>
    <t>雪弗板</t>
  </si>
  <si>
    <t>3105577</t>
  </si>
  <si>
    <t>3105594</t>
  </si>
  <si>
    <t>AA4042373</t>
  </si>
  <si>
    <t>GC/国产 变压器 12V 200W 1个</t>
  </si>
  <si>
    <t>3105583</t>
  </si>
  <si>
    <t>7130880056</t>
  </si>
  <si>
    <t>亚克力板 220x170mm 消防标识,UV亚克力</t>
  </si>
  <si>
    <t>工程物资/五金辅料/亚克力板</t>
  </si>
  <si>
    <t>亚克力板</t>
  </si>
  <si>
    <t>3105574</t>
  </si>
  <si>
    <t>3070012510</t>
  </si>
  <si>
    <t>亚克力 5mm亚克力雕刻，uv喷绘，贴保护膜 220*170 消防标识A</t>
  </si>
  <si>
    <t>3105575</t>
  </si>
  <si>
    <t>7080120037</t>
  </si>
  <si>
    <t>排水管 联塑 PVC排水管  50*1.8 内径50mm 4米/根</t>
  </si>
  <si>
    <t>排水管</t>
  </si>
  <si>
    <t>3105584</t>
  </si>
  <si>
    <t>3070010016</t>
  </si>
  <si>
    <t>亚克力 华讯 220X170mm UV亚克力 消防标识（A级项目）</t>
  </si>
  <si>
    <t>3105572</t>
  </si>
  <si>
    <t>3040010034</t>
  </si>
  <si>
    <t>安全作训服迷彩服 安保训练 160-185 07迷彩服</t>
  </si>
  <si>
    <t>安全作训服迷彩服</t>
  </si>
  <si>
    <t>3105586</t>
  </si>
  <si>
    <t>TG9950</t>
  </si>
  <si>
    <t>CHINT/正泰 RT36系列刀型触头熔断器 RT36-1(NT1) 250A 1个</t>
  </si>
  <si>
    <t>3105590</t>
  </si>
  <si>
    <t>100003715518</t>
  </si>
  <si>
    <t>得力(deli)90*120cm白板 实心纤维板芯 磁性办公教学白板悬挂式写字板黑板白板33468/33370</t>
  </si>
  <si>
    <t>3105581</t>
  </si>
  <si>
    <t>3070010333</t>
  </si>
  <si>
    <t>亚克力 国产定制 5mm高密pvc雕刻+uv喷绘 220*170 消防标识</t>
  </si>
  <si>
    <t>3105579</t>
  </si>
  <si>
    <t>2010060565</t>
  </si>
  <si>
    <t>电视 创维 65G22 Pro 65英寸，4K 全面屏智能语音护眼液晶平板电视机</t>
  </si>
  <si>
    <t>电视</t>
  </si>
  <si>
    <t>3105591</t>
  </si>
  <si>
    <t>7050060171</t>
  </si>
  <si>
    <t xml:space="preserve">筒灯 佛山 80开孔 </t>
  </si>
  <si>
    <t>筒灯</t>
  </si>
  <si>
    <t>3105596</t>
  </si>
  <si>
    <t>4030070078</t>
  </si>
  <si>
    <t>尘推 60cm 棉纱线单段7cm；不锈钢杆130cm</t>
  </si>
  <si>
    <t>3105593</t>
  </si>
  <si>
    <t>PO240626000228</t>
  </si>
  <si>
    <t>2024-06-20 15:52:40.0</t>
  </si>
  <si>
    <t>3114530</t>
  </si>
  <si>
    <t>PO240620000369</t>
  </si>
  <si>
    <t>7110060109</t>
  </si>
  <si>
    <t xml:space="preserve">砖头 国产 红砖 200x100x40MM </t>
  </si>
  <si>
    <t>工程物资/建筑材料/砖瓦材料</t>
  </si>
  <si>
    <t>砖头</t>
  </si>
  <si>
    <t>2024-06-20 15:52:18.0</t>
  </si>
  <si>
    <t>3110826</t>
  </si>
  <si>
    <t>7110080028</t>
  </si>
  <si>
    <t xml:space="preserve">河沙 国产 中粗沙 1吨，按吨计价 </t>
  </si>
  <si>
    <t>工程物资/建筑材料/河沙</t>
  </si>
  <si>
    <t>河沙</t>
  </si>
  <si>
    <t>3110828</t>
  </si>
  <si>
    <t>7110010056</t>
  </si>
  <si>
    <t>黑水泥 海螺 325 50KG 袋装</t>
  </si>
  <si>
    <t>工程物资/建筑材料/水泥</t>
  </si>
  <si>
    <t>黑水泥</t>
  </si>
  <si>
    <t>3110827</t>
  </si>
  <si>
    <t>7110290005</t>
  </si>
  <si>
    <t xml:space="preserve">堵漏王 国产 金汤水不漏 5KG/包 </t>
  </si>
  <si>
    <t>工程物资/建筑材料/堵漏王</t>
  </si>
  <si>
    <t>堵漏王</t>
  </si>
  <si>
    <t>3110825</t>
  </si>
  <si>
    <t>PO240627000235</t>
  </si>
  <si>
    <t>100015460770</t>
  </si>
  <si>
    <t>鸣固 消防荧光安全出口夜光地贴 疏散标识方向指示牌 夜光防水耐磨警示地贴 QT-7安全出口</t>
  </si>
  <si>
    <t>消防安保/消防设施/消防应急灯</t>
  </si>
  <si>
    <t>2024-06-20 15:31:49.0</t>
  </si>
  <si>
    <t>3105183</t>
  </si>
  <si>
    <t>3302706</t>
  </si>
  <si>
    <t>中华 Chung Hwa 铅笔 120 0.4mm (红蓝) 50支/盒 (大包装)</t>
  </si>
  <si>
    <t>3105186</t>
  </si>
  <si>
    <t>3070050201</t>
  </si>
  <si>
    <t>不锈钢腐蚀牌 浩盛 烟蒂柱 不锈钢,LOGO、辅助图形采用喷漆工艺，专色印刷。 220*850mm</t>
  </si>
  <si>
    <t>3105182</t>
  </si>
  <si>
    <t>AA2300357</t>
  </si>
  <si>
    <t>HYSTIC/海斯迪克 HK-78系列亚克力标识牌 消火栓 300×125mm 1个</t>
  </si>
  <si>
    <t>3105184</t>
  </si>
  <si>
    <t>2010060553</t>
  </si>
  <si>
    <t>遥控器 润普 视频会议摄像头摄像机遥控器 适用于RP-V3-1080</t>
  </si>
  <si>
    <t>遥控器</t>
  </si>
  <si>
    <t>3105192</t>
  </si>
  <si>
    <t>AA1396359</t>
  </si>
  <si>
    <t>DELI/得力 筒式压胶枪 DL2380 15" 1把</t>
  </si>
  <si>
    <t>3105200</t>
  </si>
  <si>
    <t>3090090093</t>
  </si>
  <si>
    <t>国旗 国产 3号国旗 192x128CM</t>
  </si>
  <si>
    <t>国旗</t>
  </si>
  <si>
    <t>3105199</t>
  </si>
  <si>
    <t>7130970037</t>
  </si>
  <si>
    <t>水龙头 全铜 整体高度220mm 进水管+适配九牧全铜洗脸盆水龙头冷热双孔面盆厨房水龙头卫生间双用开关</t>
  </si>
  <si>
    <t>水龙头</t>
  </si>
  <si>
    <t>3105193</t>
  </si>
  <si>
    <t>3105185</t>
  </si>
  <si>
    <t>AA5850013</t>
  </si>
  <si>
    <t>LONCOOL/蓝固 硅酮结构胶 LG-8000 灰色 590mL/750g 1支</t>
  </si>
  <si>
    <t>3105201</t>
  </si>
  <si>
    <t>1010100196</t>
  </si>
  <si>
    <t>HDMI矩阵切换器 迈拓维矩（MT-viki） MT-HD0404WF 4进4出 无缝带拼接</t>
  </si>
  <si>
    <t>HDMI矩阵切换器</t>
  </si>
  <si>
    <t>3105195</t>
  </si>
  <si>
    <t>100005286228</t>
  </si>
  <si>
    <t>户外战儿 经典裁判金属哨子户外体育运动篮球足球比赛训练金属 口哨</t>
  </si>
  <si>
    <t>3105190</t>
  </si>
  <si>
    <t>100022722920</t>
  </si>
  <si>
    <t>齐心(Comix) 笔筒/笔架 收纳桌面多功能三层 84*84*102 黑EB702</t>
  </si>
  <si>
    <t>3105187</t>
  </si>
  <si>
    <t>1010060011</t>
  </si>
  <si>
    <t>数码配件 绿联 桌面手机支架</t>
  </si>
  <si>
    <t>3105198</t>
  </si>
  <si>
    <t>3105197</t>
  </si>
  <si>
    <t>1020060024</t>
  </si>
  <si>
    <t xml:space="preserve">工牌卡套 初芒 60X90mm 有机塑料 </t>
  </si>
  <si>
    <t>工牌卡套</t>
  </si>
  <si>
    <t>3105196</t>
  </si>
  <si>
    <t>7130430001</t>
  </si>
  <si>
    <t>门吸 国产 304不锈钢 玻璃门档</t>
  </si>
  <si>
    <t>工程物资/五金辅料/门吸</t>
  </si>
  <si>
    <t>门吸</t>
  </si>
  <si>
    <t>3105194</t>
  </si>
  <si>
    <t>3080080129</t>
  </si>
  <si>
    <t>袖标 220×80mm 袖标绒布+发泡字</t>
  </si>
  <si>
    <t>袖标</t>
  </si>
  <si>
    <t>3105188</t>
  </si>
  <si>
    <t>100005303370</t>
  </si>
  <si>
    <t>极度空间 钥匙盘钥匙扣钥匙环 钥匙牌钥匙链钥匙圈 可标记收纳用品手提钥匙管理盘 红色28位+标记牌</t>
  </si>
  <si>
    <t>形象视觉/礼品定制/礼品盒</t>
  </si>
  <si>
    <t>3105191</t>
  </si>
  <si>
    <t>100013710118</t>
  </si>
  <si>
    <t>卉营（HUIYING）粉笔 白色 长度70mm 每盒约35支 /盒 可定制</t>
  </si>
  <si>
    <t>3105189</t>
  </si>
  <si>
    <t>PO240626000178</t>
  </si>
  <si>
    <t>3080030042</t>
  </si>
  <si>
    <t xml:space="preserve">喷绘 定制 普通喷绘布 厚度32S/含打孔 </t>
  </si>
  <si>
    <t>喷绘</t>
  </si>
  <si>
    <t>深圳柒贰肆快印技术有限公司</t>
  </si>
  <si>
    <t>2024-06-20 14:21:02.0</t>
  </si>
  <si>
    <t>3114461</t>
  </si>
  <si>
    <t>1020080134</t>
  </si>
  <si>
    <t>文件夹板 无线胶装A4书脊（厚度大于2CM）</t>
  </si>
  <si>
    <t>文件夹板</t>
  </si>
  <si>
    <t>3114463</t>
  </si>
  <si>
    <t>100009152725</t>
  </si>
  <si>
    <t>顺富美  会议牌台签木质三角牌亚克力个性台 公司办公室总经理职位名字名牌 评委广告座位席桌面展示牌</t>
  </si>
  <si>
    <t>3114462</t>
  </si>
  <si>
    <t>3114460</t>
  </si>
  <si>
    <t>1020130008</t>
  </si>
  <si>
    <t>复印纸 黑白打印复印A4单面</t>
  </si>
  <si>
    <t>复印纸</t>
  </si>
  <si>
    <t>3114464</t>
  </si>
  <si>
    <t>PO240628000195</t>
  </si>
  <si>
    <t>2024-06-18 16:54:17.0</t>
  </si>
  <si>
    <t>3105863</t>
  </si>
  <si>
    <t>3105857</t>
  </si>
  <si>
    <t>3105859</t>
  </si>
  <si>
    <t>2010020298</t>
  </si>
  <si>
    <t>其他电器配件 沁园 模块式超滤膜 12寸 开水器QJ-UF-05A配件，包安装更换</t>
  </si>
  <si>
    <t>3105862</t>
  </si>
  <si>
    <t>2010020299</t>
  </si>
  <si>
    <t>其他电器配件 沁园 模块式后置活性炭 12寸 开水器QJ-UF-05A配件，包安装更换</t>
  </si>
  <si>
    <t>3105861</t>
  </si>
  <si>
    <t>3105864</t>
  </si>
  <si>
    <t>2010020300</t>
  </si>
  <si>
    <t>其他电器配件 沁园 管线 开水器QJ-UF-05A配件，包安装更换</t>
  </si>
  <si>
    <t>3105860</t>
  </si>
  <si>
    <t>3105858</t>
  </si>
  <si>
    <t>PO240627000211</t>
  </si>
  <si>
    <t>2024-06-18 00:04:53.0</t>
  </si>
  <si>
    <t>3105114</t>
  </si>
  <si>
    <t>PO240627000214</t>
  </si>
  <si>
    <t>2024-06-17 23:59:03.0</t>
  </si>
  <si>
    <t>3115227</t>
  </si>
  <si>
    <t>3115228</t>
  </si>
  <si>
    <t>PO240617000452</t>
  </si>
  <si>
    <t>2024-06-17 23:48:25.0</t>
  </si>
  <si>
    <t>3069153</t>
  </si>
  <si>
    <t>3069158</t>
  </si>
  <si>
    <t>PO240617000457</t>
  </si>
  <si>
    <t>3069170</t>
  </si>
  <si>
    <t>PO240611000222</t>
  </si>
  <si>
    <t>AA2541142</t>
  </si>
  <si>
    <t>ELECALL/伊莱科 户外不锈钢配电箱 400×500×180mm 201不锈钢 1个</t>
  </si>
  <si>
    <t>3055680</t>
  </si>
  <si>
    <t>PO240617000456</t>
  </si>
  <si>
    <t>3069165</t>
  </si>
  <si>
    <t>AA2169436</t>
  </si>
  <si>
    <t>BOSCH/博世 锂电无刷电锤 GBH 180-LI 含5Ah两电一充 1台</t>
  </si>
  <si>
    <t>3055670</t>
  </si>
  <si>
    <t>3055675</t>
  </si>
  <si>
    <t>3055656</t>
  </si>
  <si>
    <t>GW0656</t>
  </si>
  <si>
    <t>CHUNGHWA/中华牌 6151铅笔(经典红黑抽条) 6151-HB HB 12支/盒 1盒</t>
  </si>
  <si>
    <t>3055661</t>
  </si>
  <si>
    <t>AA5490070</t>
  </si>
  <si>
    <t>M&amp;G/晨光 白板 ADB98355 900×1200mm 1块</t>
  </si>
  <si>
    <t>3055648</t>
  </si>
  <si>
    <t>4080230017</t>
  </si>
  <si>
    <t>电蚊香 雷达 电蚊香液2瓶112晚+1器/盒 无线加热器，无香，每晚8小时，有效期2年</t>
  </si>
  <si>
    <t>清洁物资类/清洁耗材/生物防治用品</t>
  </si>
  <si>
    <t>电蚊香</t>
  </si>
  <si>
    <t>3069151</t>
  </si>
  <si>
    <t>3055660</t>
  </si>
  <si>
    <t>AG3770</t>
  </si>
  <si>
    <t>DOWSIL/陶熙 建筑胶-好适玻璃胶 好适-C 半透明色 300mL 1支</t>
  </si>
  <si>
    <t>3055669</t>
  </si>
  <si>
    <t>3055655</t>
  </si>
  <si>
    <t>4080230039</t>
  </si>
  <si>
    <t>电蚊拍 思达睿 充电式</t>
  </si>
  <si>
    <t>电蚊拍</t>
  </si>
  <si>
    <t>3069152</t>
  </si>
  <si>
    <t>3069155</t>
  </si>
  <si>
    <t>3069159</t>
  </si>
  <si>
    <t>AE5711285</t>
  </si>
  <si>
    <t>ZKH/震坤行 两门玻璃文件柜 850×390×1800mm 1台</t>
  </si>
  <si>
    <t>3055657</t>
  </si>
  <si>
    <t>3069167</t>
  </si>
  <si>
    <t>AA4581564</t>
  </si>
  <si>
    <t>HYSTIC/海斯迪克 HKW-213系列塑料膨胀管绿色胶塞 M6×25.5 1000个 1包</t>
  </si>
  <si>
    <t>工程物资/五金辅料/胶塞</t>
  </si>
  <si>
    <t>3055668</t>
  </si>
  <si>
    <t>FR2003</t>
  </si>
  <si>
    <t>M&amp;G/晨光 12#订书机 ABS91639 30页 黑色 1台</t>
  </si>
  <si>
    <t>3055664</t>
  </si>
  <si>
    <t>3055652</t>
  </si>
  <si>
    <t>FQ2267</t>
  </si>
  <si>
    <t>DELI/得力 白板擦 7834 125×50×25mm 1只</t>
  </si>
  <si>
    <t>3055649</t>
  </si>
  <si>
    <t>3069154</t>
  </si>
  <si>
    <t>AE0009147</t>
  </si>
  <si>
    <t>SHARE/西野 Q6系列四线人体红外感应开关 XYGY04X(SH-RT-X6(4)) 带消防 有零线 1只</t>
  </si>
  <si>
    <t>工程物资/开关插座/声光控延时开关</t>
  </si>
  <si>
    <t>3055671</t>
  </si>
  <si>
    <t>3055677</t>
  </si>
  <si>
    <t>3055676</t>
  </si>
  <si>
    <t>AE5711292</t>
  </si>
  <si>
    <t>ZKH/震坤行 四门文件柜 850×390×1800mm 1台</t>
  </si>
  <si>
    <t>3055659</t>
  </si>
  <si>
    <t>PO240617000454</t>
  </si>
  <si>
    <t>7150040034</t>
  </si>
  <si>
    <t>空调安装辅料 美的 加长铜管 3匹 （含安装）</t>
  </si>
  <si>
    <t>深圳市鹏云电器有限公司</t>
  </si>
  <si>
    <t>3069162</t>
  </si>
  <si>
    <t>3055679</t>
  </si>
  <si>
    <t>3055651</t>
  </si>
  <si>
    <t>AE5707628</t>
  </si>
  <si>
    <t>ZKH/震坤行 浅蓝色加厚塑料凳 8366浅蓝色 385×385×465mm 1张</t>
  </si>
  <si>
    <t>3055658</t>
  </si>
  <si>
    <t>GT8911</t>
  </si>
  <si>
    <t>BOSI/波斯 航空剪（铬钒钢）-直剪 BS273101 10"/250mm 1把</t>
  </si>
  <si>
    <t>3055683</t>
  </si>
  <si>
    <t>3055686</t>
  </si>
  <si>
    <t>3055650</t>
  </si>
  <si>
    <t>3069166</t>
  </si>
  <si>
    <t>FW1312</t>
  </si>
  <si>
    <t>DELI/得力 彩色长尾票夹 8556ES 15mm 混色 60只 1筒</t>
  </si>
  <si>
    <t>3055662</t>
  </si>
  <si>
    <t>AF6627</t>
  </si>
  <si>
    <t>BOSCH/博世 双头十字批头专业级 2608521039 PH2×65mm 1包</t>
  </si>
  <si>
    <t>3055672</t>
  </si>
  <si>
    <t>3055674</t>
  </si>
  <si>
    <t>3055666</t>
  </si>
  <si>
    <t>AA9369288</t>
  </si>
  <si>
    <t>ZKH/震坤行 不锈钢剪刀 HHT-SS210 整体长度195mm 1把</t>
  </si>
  <si>
    <t>3055667</t>
  </si>
  <si>
    <t>3055678</t>
  </si>
  <si>
    <t>3055654</t>
  </si>
  <si>
    <t>7150040032</t>
  </si>
  <si>
    <t>空调安装辅料 美的 加长铜管 1-1.5匹 （含安装）</t>
  </si>
  <si>
    <t>3069161</t>
  </si>
  <si>
    <t>3055685</t>
  </si>
  <si>
    <t>PO240617000451</t>
  </si>
  <si>
    <t>6060120050</t>
  </si>
  <si>
    <t>防洪沙袋 援邦 加厚帆布抽绳款 30CMx70CM 不含沙</t>
  </si>
  <si>
    <t>消防安保/安全防护装备/防洪沙袋</t>
  </si>
  <si>
    <t>3069150</t>
  </si>
  <si>
    <t>3069168</t>
  </si>
  <si>
    <t>CP5223</t>
  </si>
  <si>
    <t>ANYMETRE/美德时 温湿度计 TH101B 1台</t>
  </si>
  <si>
    <t>3055684</t>
  </si>
  <si>
    <t>FV9498</t>
  </si>
  <si>
    <t>DELI/得力 修正带 8110 5mm×8m 颜色随机 1只</t>
  </si>
  <si>
    <t>3055665</t>
  </si>
  <si>
    <t>PO240617000455</t>
  </si>
  <si>
    <t>3069163</t>
  </si>
  <si>
    <t>AA4401918</t>
  </si>
  <si>
    <t>DELI/得力 激光水平仪 DL332302 2线 1台</t>
  </si>
  <si>
    <t>工程物资/仪器仪表/水平仪</t>
  </si>
  <si>
    <t>3055647</t>
  </si>
  <si>
    <t>3069156</t>
  </si>
  <si>
    <t>3055682</t>
  </si>
  <si>
    <t>3080020908</t>
  </si>
  <si>
    <t>背胶 垃圾入桶 300x210MM 背胶贴画</t>
  </si>
  <si>
    <t>背胶</t>
  </si>
  <si>
    <t>3069169</t>
  </si>
  <si>
    <t>PO240617000453</t>
  </si>
  <si>
    <t>3069160</t>
  </si>
  <si>
    <t>AC9614734</t>
  </si>
  <si>
    <t>ZKH/震坤行 双金属锯条 HHT-HSSHB1224 12" 24T 1根</t>
  </si>
  <si>
    <t>工程物资/工具配件/钢锯条</t>
  </si>
  <si>
    <t>3055681</t>
  </si>
  <si>
    <t>3069157</t>
  </si>
  <si>
    <t>3055653</t>
  </si>
  <si>
    <t>3055673</t>
  </si>
  <si>
    <t>3069164</t>
  </si>
  <si>
    <t>3055663</t>
  </si>
  <si>
    <t>PO240626000129</t>
  </si>
  <si>
    <t>2024-06-17 11:49:29.0</t>
  </si>
  <si>
    <t>3104106</t>
  </si>
  <si>
    <t>PO240722000312</t>
  </si>
  <si>
    <t>深圳市天福消防工程有限公司</t>
  </si>
  <si>
    <t>2024-06-16 11:18:05.0</t>
  </si>
  <si>
    <t>3200670</t>
  </si>
  <si>
    <t>PO240809000166</t>
  </si>
  <si>
    <t>2024-06-16 11:17:10.0</t>
  </si>
  <si>
    <t>3210940</t>
  </si>
  <si>
    <t>PO240730000154</t>
  </si>
  <si>
    <t>2024-06-16 11:01:18.0</t>
  </si>
  <si>
    <t>3194925</t>
  </si>
  <si>
    <t>PO240920000283</t>
  </si>
  <si>
    <t>深圳市百分比装饰设计工程有限公司</t>
  </si>
  <si>
    <t>2024-06-11 08:42:40.0</t>
  </si>
  <si>
    <t>3307457</t>
  </si>
  <si>
    <t>PO240604000174</t>
  </si>
  <si>
    <t>4080090052</t>
  </si>
  <si>
    <t xml:space="preserve">雨伞袋 思达睿 单个伞袋厚度：3丝 约13CMx70CM，100只/包 </t>
  </si>
  <si>
    <t>2024-06-04 11:18:40.0</t>
  </si>
  <si>
    <t>3062044</t>
  </si>
  <si>
    <t>PO240604000175</t>
  </si>
  <si>
    <t>6010030017</t>
  </si>
  <si>
    <t>担架 爱德 消防救援担架 承重400斤 铝合金</t>
  </si>
  <si>
    <t>消防安保/消防工具/担架</t>
  </si>
  <si>
    <t>担架</t>
  </si>
  <si>
    <t>3062049</t>
  </si>
  <si>
    <t>3062043</t>
  </si>
  <si>
    <t>2020070533</t>
  </si>
  <si>
    <t>拐杖 思达睿 适用1.3M-1.5M，2个/对 加厚不锈钢</t>
  </si>
  <si>
    <t>拐杖</t>
  </si>
  <si>
    <t>3062046</t>
  </si>
  <si>
    <t>PO240603000328</t>
  </si>
  <si>
    <t>AC4004722</t>
  </si>
  <si>
    <t>DHS/红双喜 赛顶白色一星40mm+乒乓球 CD40C 10只 1盒</t>
  </si>
  <si>
    <t>3052582</t>
  </si>
  <si>
    <t>4080090053</t>
  </si>
  <si>
    <t xml:space="preserve">雨伞袋 思达睿 单个伞袋厚度：3丝 约13CMx40CM，100只/包 </t>
  </si>
  <si>
    <t>3062045</t>
  </si>
  <si>
    <t>3062047</t>
  </si>
  <si>
    <t>6010040033</t>
  </si>
  <si>
    <t xml:space="preserve">灭火毯 世豪 玻纤袋装 1.5x1.5M </t>
  </si>
  <si>
    <t>消防安保/消防工具/防火毯/灭火毯/消防毯</t>
  </si>
  <si>
    <t>灭火毯</t>
  </si>
  <si>
    <t>3062048</t>
  </si>
  <si>
    <t>PO240813000272</t>
  </si>
  <si>
    <t>2024-06-03 19:02:15.0</t>
  </si>
  <si>
    <t>3222127</t>
  </si>
  <si>
    <t>PO240920000284</t>
  </si>
  <si>
    <t>深圳市金灿消防装饰工程有限公司</t>
  </si>
  <si>
    <t>2024-06-03 19:01:59.0</t>
  </si>
  <si>
    <t>3307458</t>
  </si>
  <si>
    <t>PO240722000315</t>
  </si>
  <si>
    <t>2024-06-03 14:45:56.0</t>
  </si>
  <si>
    <t>3190617</t>
  </si>
  <si>
    <t>PO240711000492</t>
  </si>
  <si>
    <t>2024-05-31 09:38:16.0</t>
  </si>
  <si>
    <t>3125848</t>
  </si>
  <si>
    <t>PO240711000491</t>
  </si>
  <si>
    <t>2024-05-31 09:37:52.0</t>
  </si>
  <si>
    <t>3125847</t>
  </si>
  <si>
    <t>PO240711000483</t>
  </si>
  <si>
    <t>9020150001</t>
  </si>
  <si>
    <t>白蚁/蛇虫防治</t>
  </si>
  <si>
    <t>服务类/环境服务类/白蚁/蛇虫防治</t>
  </si>
  <si>
    <t>2024-05-31 09:36:56.0</t>
  </si>
  <si>
    <t>3125843</t>
  </si>
  <si>
    <t>PO240711000485</t>
  </si>
  <si>
    <t>深圳市升达尔卫生服务有限公司</t>
  </si>
  <si>
    <t>2024-05-31 09:36:08.0</t>
  </si>
  <si>
    <t>3125844</t>
  </si>
  <si>
    <t>PO240626000328</t>
  </si>
  <si>
    <t>7130320060</t>
  </si>
  <si>
    <t>绝缘板 双安 40KV,800mm×1000mm 树脂材料</t>
  </si>
  <si>
    <t>工程物资/五金辅料/绝缘垫</t>
  </si>
  <si>
    <t>绝缘板</t>
  </si>
  <si>
    <t>2024-05-29 14:05:22.0</t>
  </si>
  <si>
    <t>3104685</t>
  </si>
  <si>
    <t>4030160002</t>
  </si>
  <si>
    <t xml:space="preserve">扫把 蓝天美雅 扫把扫帚清洁工具 </t>
  </si>
  <si>
    <t>3104674</t>
  </si>
  <si>
    <t>2020040111</t>
  </si>
  <si>
    <t xml:space="preserve">速溶咖啡 雀巢 醇品速溶黑咖啡无蔗糖瓶装200g 200g </t>
  </si>
  <si>
    <t>速溶咖啡</t>
  </si>
  <si>
    <t>3104667</t>
  </si>
  <si>
    <t>2020040096</t>
  </si>
  <si>
    <t xml:space="preserve">速溶咖啡 雀巢 500g </t>
  </si>
  <si>
    <t>3104666</t>
  </si>
  <si>
    <t>7140250001</t>
  </si>
  <si>
    <t xml:space="preserve">插座防水罩 公牛 通用86型防水开关面板盒 防水盒F03B </t>
  </si>
  <si>
    <t>工程物资/电工物料/插座防水罩</t>
  </si>
  <si>
    <t>插座防水罩</t>
  </si>
  <si>
    <t>3104688</t>
  </si>
  <si>
    <t>6030050005</t>
  </si>
  <si>
    <t>消防广播喇叭 3w 壁挂</t>
  </si>
  <si>
    <t>消防广播喇叭</t>
  </si>
  <si>
    <t>3104681</t>
  </si>
  <si>
    <t>7130320013</t>
  </si>
  <si>
    <t xml:space="preserve">绝缘垫 国产 6Kv1m*1m*3mm </t>
  </si>
  <si>
    <t>3104673</t>
  </si>
  <si>
    <t>3104684</t>
  </si>
  <si>
    <t>7130550076</t>
  </si>
  <si>
    <t>电源线 金龙羽 BVR 1.5m² 100m</t>
  </si>
  <si>
    <t>工程物资/五金辅料/电源线</t>
  </si>
  <si>
    <t>电源线</t>
  </si>
  <si>
    <t>3104683</t>
  </si>
  <si>
    <t>7130020009</t>
  </si>
  <si>
    <t xml:space="preserve">闭门器 国产优质 GMT/TS68 EN2-4 </t>
  </si>
  <si>
    <t>闭门器</t>
  </si>
  <si>
    <t>3104670</t>
  </si>
  <si>
    <t>7130320058</t>
  </si>
  <si>
    <t xml:space="preserve">绝缘板 双安 20KV,910mm×910mm </t>
  </si>
  <si>
    <t>3104686</t>
  </si>
  <si>
    <t>6010200004</t>
  </si>
  <si>
    <t xml:space="preserve">消防演习烟雾弹 伟记 白烟黄烟黑烟 </t>
  </si>
  <si>
    <t>3104678</t>
  </si>
  <si>
    <t>100003848007</t>
  </si>
  <si>
    <t>尚岛宜家 背心手提式垃圾袋 300只 中号加厚50*65cm*10卷 黑色 大分类垃圾袋 家用办公分类垃圾桶袋</t>
  </si>
  <si>
    <t>3104668</t>
  </si>
  <si>
    <t>7130320059</t>
  </si>
  <si>
    <t xml:space="preserve">绝缘板 双安 20KV,920mm×920mm </t>
  </si>
  <si>
    <t>3104687</t>
  </si>
  <si>
    <t>6050080006</t>
  </si>
  <si>
    <t>门禁电源 定制三种电压</t>
  </si>
  <si>
    <t>门禁电源</t>
  </si>
  <si>
    <t>3104689</t>
  </si>
  <si>
    <t>4060250019</t>
  </si>
  <si>
    <t>其他清洁剂 蓝星 100g 烟灰清洁剂</t>
  </si>
  <si>
    <t>3104664</t>
  </si>
  <si>
    <t>4050030004</t>
  </si>
  <si>
    <t>石材护理 1L 亮净清洁剂</t>
  </si>
  <si>
    <t>清洁物资类/翻新护理/石材护理</t>
  </si>
  <si>
    <t>石材护理</t>
  </si>
  <si>
    <t>3104677</t>
  </si>
  <si>
    <t>4030070028</t>
  </si>
  <si>
    <t>尘推 常规24寸 尘推架</t>
  </si>
  <si>
    <t>3104676</t>
  </si>
  <si>
    <t>2010010748</t>
  </si>
  <si>
    <t>保温壶 迪迪仕 气压式 2.2L 本色</t>
  </si>
  <si>
    <t>保温壶</t>
  </si>
  <si>
    <t>3104679</t>
  </si>
  <si>
    <t>7345225</t>
  </si>
  <si>
    <t>易存货架家用置物架展示架超市仓库房仓储藏铁架子办公磨砂黑150*46*183五层</t>
  </si>
  <si>
    <t>3104671</t>
  </si>
  <si>
    <t>100023038426</t>
  </si>
  <si>
    <t>OKSJ 充电器头三合一华为手机快充多口多功能 苹果Type-c安卓一拖三OP小米三星USB通用4.5V5A22.5w数据线套装</t>
  </si>
  <si>
    <t>3104669</t>
  </si>
  <si>
    <t>7050060207</t>
  </si>
  <si>
    <t>筒灯 佛山照明 MQ4-LED12 12w 4寸,LED钻石三代筒灯,20*1,黄光3000K</t>
  </si>
  <si>
    <t>3104682</t>
  </si>
  <si>
    <t>2010020019</t>
  </si>
  <si>
    <t xml:space="preserve">夹子 美厨 304不锈钢，水果夹 24cm </t>
  </si>
  <si>
    <t>3104663</t>
  </si>
  <si>
    <t>1020020010</t>
  </si>
  <si>
    <t xml:space="preserve">激光笔 得力 DL552001 </t>
  </si>
  <si>
    <t>激光笔</t>
  </si>
  <si>
    <t>3104665</t>
  </si>
  <si>
    <t>7130320012</t>
  </si>
  <si>
    <t xml:space="preserve">绝缘垫 国产 10Kv,1m*1m*5mm </t>
  </si>
  <si>
    <t>3104672</t>
  </si>
  <si>
    <t>2010020342</t>
  </si>
  <si>
    <t>夹子 国产优质 面包夹 33CM 不锈钢</t>
  </si>
  <si>
    <t>3104675</t>
  </si>
  <si>
    <t>3104680</t>
  </si>
  <si>
    <t>AA2775793</t>
  </si>
  <si>
    <t>LONGDAI/龙代 集成吊顶吸顶嵌入式平板灯 LED 600×600mm 48W 1个</t>
  </si>
  <si>
    <t>3104662</t>
  </si>
  <si>
    <t>PO240802000221</t>
  </si>
  <si>
    <t>杭州华电华源环境工程有限公司</t>
  </si>
  <si>
    <t>2024-05-23 09:39:42.0</t>
  </si>
  <si>
    <t>3207453</t>
  </si>
  <si>
    <t>PO240809000167</t>
  </si>
  <si>
    <t>2024-05-17 15:10:33.0</t>
  </si>
  <si>
    <t>3220437</t>
  </si>
  <si>
    <t>PO240527000194</t>
  </si>
  <si>
    <t>2024-05-13 14:02:10.0</t>
  </si>
  <si>
    <t>3039132</t>
  </si>
  <si>
    <t>PO240527000202</t>
  </si>
  <si>
    <t>4060170157</t>
  </si>
  <si>
    <t>洗手液 威露士 青柠盈润 5L 泡沫洗手液</t>
  </si>
  <si>
    <t>清洁物资类/清洁剂（更新中）/洗手液（更新中）</t>
  </si>
  <si>
    <t>2024-05-11 08:56:35.0</t>
  </si>
  <si>
    <t>3039154</t>
  </si>
  <si>
    <t>3039159</t>
  </si>
  <si>
    <t>7130110023</t>
  </si>
  <si>
    <t>壁扇 国产优质 16寸 长城16寸璧扇 型号：</t>
  </si>
  <si>
    <t>壁扇</t>
  </si>
  <si>
    <t>3039157</t>
  </si>
  <si>
    <t>7130110021</t>
  </si>
  <si>
    <t>壁扇 志高/其他国产品牌 拉线款 20寸 可调风量风向</t>
  </si>
  <si>
    <t>3039158</t>
  </si>
  <si>
    <t>3039156</t>
  </si>
  <si>
    <t>100007597079</t>
  </si>
  <si>
    <t>餐侣星巴克同款黄糖咖啡调糖4g*100袋 咖啡牛奶伴侣冲调糖包 烘焙甜味辅料</t>
  </si>
  <si>
    <t>3039155</t>
  </si>
  <si>
    <t>PO240527000198</t>
  </si>
  <si>
    <t>7050070382</t>
  </si>
  <si>
    <t>平板灯 雷博 PL-0789扣款 功率88W，长120X宽30CM 白光，嵌入式弹簧卡扣，高亮进口灯芯</t>
  </si>
  <si>
    <t>平板灯</t>
  </si>
  <si>
    <t>2024-05-11 08:56:26.0</t>
  </si>
  <si>
    <t>3039134</t>
  </si>
  <si>
    <t>2304689</t>
  </si>
  <si>
    <t>绿联USB3.0分线器 高速4口拓展坞 USB集线器HUB扩展坞 笔记本电脑一拖四多接口转换器转接头延长线1.5米30221</t>
  </si>
  <si>
    <t>工程物资/开关插座/插座</t>
  </si>
  <si>
    <t>3039137</t>
  </si>
  <si>
    <t>7050060217</t>
  </si>
  <si>
    <t>筒灯 佛山照明 MQ4-LED12 12w 4寸,LED钻石三代筒灯,20*1,白光6500K</t>
  </si>
  <si>
    <t>3039141</t>
  </si>
  <si>
    <t>3400795</t>
  </si>
  <si>
    <t>SIMELO（施美乐）精钢玻璃内胆保温壶 大容量保温暖壶 印象京都热水瓶 保温瓶 开水瓶 3.2L（亮光）</t>
  </si>
  <si>
    <t>3039138</t>
  </si>
  <si>
    <t>100015024914</t>
  </si>
  <si>
    <t>JEKO 日式塑料整理收纳筐中号 4只装 玩具办公室文件收纳筐 浴室置物架 衣柜收纳 宿舍神器 桌面收纳篮 白色</t>
  </si>
  <si>
    <t>3039139</t>
  </si>
  <si>
    <t>100002408530</t>
  </si>
  <si>
    <t>绿联USB3.0分线器 高速4口拓展坞 HUB集线器 USB扩展坞适用笔记本电脑一拖多接口转换器转接头延长线 0.15米</t>
  </si>
  <si>
    <t>3039136</t>
  </si>
  <si>
    <t>1010100025</t>
  </si>
  <si>
    <t>HDMI转VGA转换器 国产优质 一拖三转接头</t>
  </si>
  <si>
    <t>HDMI转VGA转换器</t>
  </si>
  <si>
    <t>3039135</t>
  </si>
  <si>
    <t>7040140024</t>
  </si>
  <si>
    <t xml:space="preserve">金属切割片 国产 金刚石锯片 </t>
  </si>
  <si>
    <t>金属切割片</t>
  </si>
  <si>
    <t>3039133</t>
  </si>
  <si>
    <t>7040140005</t>
  </si>
  <si>
    <t xml:space="preserve">木材切割片 东成 40齿 4寸 </t>
  </si>
  <si>
    <t>木材切割片</t>
  </si>
  <si>
    <t>3039142</t>
  </si>
  <si>
    <t>1010130050</t>
  </si>
  <si>
    <t>话筒帽 国产优质 5号 1.5CMx3.5CMx4.5CM 黑色鹅颈式会议话筒套</t>
  </si>
  <si>
    <t>话筒帽</t>
  </si>
  <si>
    <t>3039140</t>
  </si>
  <si>
    <t>PO240527000150</t>
  </si>
  <si>
    <t>2024-05-10 16:35:10.0</t>
  </si>
  <si>
    <t>3048155</t>
  </si>
  <si>
    <t>PO240527000185</t>
  </si>
  <si>
    <t>2024-05-09 23:37:51.0</t>
  </si>
  <si>
    <t>3048202</t>
  </si>
  <si>
    <t>3048201</t>
  </si>
  <si>
    <t>PO240527000112</t>
  </si>
  <si>
    <t>2024-05-09 23:37:12.0</t>
  </si>
  <si>
    <t>3048061</t>
  </si>
  <si>
    <t>PO240527000188</t>
  </si>
  <si>
    <t>2024-05-09 23:37:03.0</t>
  </si>
  <si>
    <t>3039050</t>
  </si>
  <si>
    <t>PO240711000476</t>
  </si>
  <si>
    <t>2024-05-09 10:21:06.0</t>
  </si>
  <si>
    <t>3135256</t>
  </si>
  <si>
    <t>PO240711000471</t>
  </si>
  <si>
    <t>2024-05-09 10:19:52.0</t>
  </si>
  <si>
    <t>3135248</t>
  </si>
  <si>
    <t>PO240508000455</t>
  </si>
  <si>
    <t>9050010006</t>
  </si>
  <si>
    <t>保险服务 中国大地财产保险股份有限公司营业部 非整年公责险及财产一切险 以项目总保费金额下单</t>
  </si>
  <si>
    <t>服务类/其他服务类/财产保险</t>
  </si>
  <si>
    <t>保险服务</t>
  </si>
  <si>
    <t>中国大地财产保险股份有限公司营业部</t>
  </si>
  <si>
    <t>2024-05-08 17:09:50.0</t>
  </si>
  <si>
    <t>U金地智慧服务集团公司/UV商业物业事业部/UVP商业事业部上海管理中心/UVPJ商业事业部上海中海油大厦物业管理服务中心//</t>
  </si>
  <si>
    <t>3028877</t>
  </si>
  <si>
    <t>PO240527000184</t>
  </si>
  <si>
    <t>西藏初源水业有限责任公司</t>
  </si>
  <si>
    <t>2024-05-08 16:45:29.0</t>
  </si>
  <si>
    <t>3048200</t>
  </si>
  <si>
    <t>PO240527000262</t>
  </si>
  <si>
    <t>2024-05-08 16:45:14.0</t>
  </si>
  <si>
    <t>3048277</t>
  </si>
  <si>
    <t>PO240730000156</t>
  </si>
  <si>
    <t>2024-05-07 15:38:44.0</t>
  </si>
  <si>
    <t>3194926</t>
  </si>
  <si>
    <t>PO240711000478</t>
  </si>
  <si>
    <t>2024-05-07 15:38:34.0</t>
  </si>
  <si>
    <t>3125841</t>
  </si>
  <si>
    <t>PO240522000281</t>
  </si>
  <si>
    <t>2024-05-07 15:38:12.0</t>
  </si>
  <si>
    <t>3046645</t>
  </si>
  <si>
    <t>PO240428000235</t>
  </si>
  <si>
    <t>2024-05-07 14:34:10.0</t>
  </si>
  <si>
    <t>3015094</t>
  </si>
  <si>
    <t>AE5472105</t>
  </si>
  <si>
    <t>CNMF/谋福 一次性加厚PE手套 一次性PE手套 100只装 1包</t>
  </si>
  <si>
    <t>3015091</t>
  </si>
  <si>
    <t>AA2919314</t>
  </si>
  <si>
    <t>XINGONG/星工 高空作业防坠落双绳双背五点式安全带 XGD-2 橘色 1根</t>
  </si>
  <si>
    <t>3015106</t>
  </si>
  <si>
    <t>AE4594343</t>
  </si>
  <si>
    <t>FANJIA/繁佳 卫生间叠门合页 XM-LBX-69×67mm 不分左右 1副</t>
  </si>
  <si>
    <t>工程物资/五金辅料/门合页/不锈钢合页</t>
  </si>
  <si>
    <t>3015100</t>
  </si>
  <si>
    <t>NR6904</t>
  </si>
  <si>
    <t>DELI/得力 中性笔 S02 黑色 0.7mm 12支/盒 1盒</t>
  </si>
  <si>
    <t>3015093</t>
  </si>
  <si>
    <t>3015092</t>
  </si>
  <si>
    <t>ER9086</t>
  </si>
  <si>
    <t>BULL/公牛 排插 GN-B7060-3M 新国标 1个</t>
  </si>
  <si>
    <t>3015090</t>
  </si>
  <si>
    <t>3015107</t>
  </si>
  <si>
    <t>AC8350442</t>
  </si>
  <si>
    <t>FANJIA/繁佳 房门锁芯 LWL-锁×1+钥匙×3 70×29mm 1套</t>
  </si>
  <si>
    <t>3015101</t>
  </si>
  <si>
    <t>AC5042661</t>
  </si>
  <si>
    <t>CTT/成天泰 ZC-BVR-450/750V-1×2.5 红色 100m 1卷 铜芯聚氯乙烯绝缘C级阻燃布电线</t>
  </si>
  <si>
    <t>工程物资/电工物料/BV塑铜线</t>
  </si>
  <si>
    <t>3015104</t>
  </si>
  <si>
    <t>3015099</t>
  </si>
  <si>
    <t>3015105</t>
  </si>
  <si>
    <t>AE0277166</t>
  </si>
  <si>
    <t>LEISE/雷摄 充电宝 LS-ZJSX02 20000mAh 自带四线+手机支架 1个</t>
  </si>
  <si>
    <t>3015089</t>
  </si>
  <si>
    <t>AC5042836</t>
  </si>
  <si>
    <t>CTT/成天泰 ZC-BVR-450/750V-1×2.5 蓝色 100m 1卷 铜芯聚氯乙烯绝缘C级阻燃布电线</t>
  </si>
  <si>
    <t>3015103</t>
  </si>
  <si>
    <t>AA1038416</t>
  </si>
  <si>
    <t>3J PVC警示胶带 582 黑黄 50mm×33m 1卷</t>
  </si>
  <si>
    <t>3015095</t>
  </si>
  <si>
    <t>3015097</t>
  </si>
  <si>
    <t>AC5043009</t>
  </si>
  <si>
    <t>CTT/成天泰 ZC-BVR-450/750V-1×2.5 黄绿双色 100m 1卷 铜芯聚氯乙烯绝缘C级阻燃布电线</t>
  </si>
  <si>
    <t>3015102</t>
  </si>
  <si>
    <t>3015096</t>
  </si>
  <si>
    <t>3015098</t>
  </si>
  <si>
    <t>PO240522000324</t>
  </si>
  <si>
    <t>2024-05-07 14:34:01.0</t>
  </si>
  <si>
    <t>3046707</t>
  </si>
  <si>
    <t>PO240506000230</t>
  </si>
  <si>
    <t>2024-05-06 14:26:08.0</t>
  </si>
  <si>
    <t>3017570</t>
  </si>
  <si>
    <t>PO240506000227</t>
  </si>
  <si>
    <t>2020030910</t>
  </si>
  <si>
    <t xml:space="preserve">碱性电池 超霸 7号，8粒/组 </t>
  </si>
  <si>
    <t>3017560</t>
  </si>
  <si>
    <t>3017564</t>
  </si>
  <si>
    <t>PO240506000229</t>
  </si>
  <si>
    <t>4080050609</t>
  </si>
  <si>
    <t>垃圾袋 思达睿 平口袋 60CMx70CM，50只/包，双层：2.6丝，克重：10g/个 黑色</t>
  </si>
  <si>
    <t>3017567</t>
  </si>
  <si>
    <t>PO240506000228</t>
  </si>
  <si>
    <t>3017565</t>
  </si>
  <si>
    <t>4080210105</t>
  </si>
  <si>
    <t>漂白水 白云 JB-134 3.78L/桶，4桶/箱 外观：淡黄色透明液体，产品特点：杀菌消毒、清洁除渍、适用于白色及不褪色织物等清洁除菌</t>
  </si>
  <si>
    <t>漂白水</t>
  </si>
  <si>
    <t>3017561</t>
  </si>
  <si>
    <t>3017566</t>
  </si>
  <si>
    <t>3017562</t>
  </si>
  <si>
    <t>3017563</t>
  </si>
  <si>
    <t>3017568</t>
  </si>
  <si>
    <t>3017569</t>
  </si>
  <si>
    <t>PO240425000296</t>
  </si>
  <si>
    <t>7150010043</t>
  </si>
  <si>
    <t>挂壁式空调 美的 KFR-72GW/G1-3 冷暖变频3匹挂机（3级能效） 含钢架、打孔及高空作业、机器自带原装铜管3米</t>
  </si>
  <si>
    <t>工程物资/空调/挂壁式空调</t>
  </si>
  <si>
    <t>2024-04-25 17:42:13.0</t>
  </si>
  <si>
    <t>3022873</t>
  </si>
  <si>
    <t>7150010037</t>
  </si>
  <si>
    <t>挂壁式空调 美的 KFR-35GW/G2-1 冷暖变频1.5匹挂机（1级能效） 含钢架、打孔及高空作业、机器自带原装铜管3米</t>
  </si>
  <si>
    <t>3022874</t>
  </si>
  <si>
    <t>7150040033</t>
  </si>
  <si>
    <t xml:space="preserve">空调安装辅料 美的 加长铜管2匹 2匹 </t>
  </si>
  <si>
    <t>3022875</t>
  </si>
  <si>
    <t>PO240425000267</t>
  </si>
  <si>
    <t>9030010001</t>
  </si>
  <si>
    <t>秩序外包</t>
  </si>
  <si>
    <t>服务类/安全服务类/秩序外包</t>
  </si>
  <si>
    <t>上海沪杰保安服务有限公司</t>
  </si>
  <si>
    <t>2024-04-25 16:48:31.0</t>
  </si>
  <si>
    <t>3013354</t>
  </si>
  <si>
    <t>PO240425000266</t>
  </si>
  <si>
    <t>3013353</t>
  </si>
  <si>
    <t>PO240425000265</t>
  </si>
  <si>
    <t>3013352</t>
  </si>
  <si>
    <t>PO240423000039</t>
  </si>
  <si>
    <t>2024-04-17 01:34:29.0</t>
  </si>
  <si>
    <t>3011772</t>
  </si>
  <si>
    <t>3011773</t>
  </si>
  <si>
    <t>3011774</t>
  </si>
  <si>
    <t>PO240423000052</t>
  </si>
  <si>
    <t>100003474184</t>
  </si>
  <si>
    <t>FOOJO 隔热膜窗户防晒玻璃膜单向透视隐私玻璃贴纸家用阳台遮光防晒窗户贴膜 蓝色0.9*2米</t>
  </si>
  <si>
    <t>形象视觉/节庆饰品/剪纸/窗花/玻璃贴</t>
  </si>
  <si>
    <t>2024-04-17 01:24:00.0</t>
  </si>
  <si>
    <t>3021170</t>
  </si>
  <si>
    <t>2030030078</t>
  </si>
  <si>
    <t>屏风卡位 K-510 1200*600*750 办公位</t>
  </si>
  <si>
    <t>3021180</t>
  </si>
  <si>
    <t>7050070164</t>
  </si>
  <si>
    <t>射灯 飞利浦 8.5W 白光</t>
  </si>
  <si>
    <t>3021172</t>
  </si>
  <si>
    <t>AA3577831</t>
  </si>
  <si>
    <t>PHILIPS/飞利浦 LED超薄筒灯 DN200B G2 LED15/18W 3000K D175 1450lm 开孔尺寸170~180mm 1个</t>
  </si>
  <si>
    <t>3021173</t>
  </si>
  <si>
    <t>3021175</t>
  </si>
  <si>
    <t>3021182</t>
  </si>
  <si>
    <t>1289514</t>
  </si>
  <si>
    <t>佛山照明（FSL）集成吊顶灯led吸顶灯平板灯面板灯厨房灯铝扣板厨卫灯300*600白光24W</t>
  </si>
  <si>
    <t>3021171</t>
  </si>
  <si>
    <t>7160120029</t>
  </si>
  <si>
    <t xml:space="preserve">照明开关 公牛 86型暗装式 五孔插座 </t>
  </si>
  <si>
    <t>3021165</t>
  </si>
  <si>
    <t>AA8899836</t>
  </si>
  <si>
    <t>FEILNY/菲洛妮亚 遮光隔热升降防水防晒拉珠卷帘 2*2.7m 灰色 1个</t>
  </si>
  <si>
    <t>3021174</t>
  </si>
  <si>
    <t>3021167</t>
  </si>
  <si>
    <t>7090040041</t>
  </si>
  <si>
    <t xml:space="preserve">脚踏阀 国产 脚踏阀 </t>
  </si>
  <si>
    <t>3021164</t>
  </si>
  <si>
    <t>AA4035731</t>
  </si>
  <si>
    <t>XINGONG/星工 纯棉礼仪手套 XGS-P5 均码 白色 12付 1包</t>
  </si>
  <si>
    <t>3021166</t>
  </si>
  <si>
    <t>7010220009</t>
  </si>
  <si>
    <t xml:space="preserve">抹泥刀 国产优质 方 不锈钢光板 </t>
  </si>
  <si>
    <t>抹泥刀</t>
  </si>
  <si>
    <t>3021176</t>
  </si>
  <si>
    <t>7130710008</t>
  </si>
  <si>
    <t>尼龙绳 国产 直径10mm,长50米 尼龙丙纶</t>
  </si>
  <si>
    <t>尼龙绳</t>
  </si>
  <si>
    <t>3021178</t>
  </si>
  <si>
    <t>7130510011</t>
  </si>
  <si>
    <t xml:space="preserve">地板 国产 CF-280全钢防静电pvc-防火阻燃 钢板尺寸：600*600mm，35国标 </t>
  </si>
  <si>
    <t>工程物资/五金辅料/瓷砖/大理石/地板（更新中）</t>
  </si>
  <si>
    <t>地板</t>
  </si>
  <si>
    <t>3021168</t>
  </si>
  <si>
    <t>3021179</t>
  </si>
  <si>
    <t>7130700059</t>
  </si>
  <si>
    <t xml:space="preserve">板材 国产 JD3200 1200x600 </t>
  </si>
  <si>
    <t>工程物资/五金辅料/木材/板材（更新中）</t>
  </si>
  <si>
    <t>3021169</t>
  </si>
  <si>
    <t>7130410012</t>
  </si>
  <si>
    <t xml:space="preserve">地弹簧 国产优质 H220B </t>
  </si>
  <si>
    <t>工程物资/五金辅料/地弹簧</t>
  </si>
  <si>
    <t>地弹簧</t>
  </si>
  <si>
    <t>3021177</t>
  </si>
  <si>
    <t>100002167626</t>
  </si>
  <si>
    <t>宜百利空调挡风板 防直吹空调挡板通用1-3匹全尺寸壁挂式空调档风板格力美的奥克斯配件底挂多孔睿智白5728</t>
  </si>
  <si>
    <t>3021181</t>
  </si>
  <si>
    <t>PO240417000340</t>
  </si>
  <si>
    <t>2024-04-16 13:57:06.0</t>
  </si>
  <si>
    <t>3008816</t>
  </si>
  <si>
    <t>PO240612000169</t>
  </si>
  <si>
    <t>深圳市天腾环保清洁服务有限公司</t>
  </si>
  <si>
    <t>2024-04-15 09:01:24.0</t>
  </si>
  <si>
    <t>3056352</t>
  </si>
  <si>
    <t>PO240711000484</t>
  </si>
  <si>
    <t>2024-04-11 15:48:28.0</t>
  </si>
  <si>
    <t>3135260</t>
  </si>
  <si>
    <t>PO240408000273</t>
  </si>
  <si>
    <t>2024-04-08 14:33:42.0</t>
  </si>
  <si>
    <t>3001205</t>
  </si>
  <si>
    <t>7130140013</t>
  </si>
  <si>
    <t>井盖提钩 国产 柄长1M，10MM粗 不锈钢</t>
  </si>
  <si>
    <t>3001206</t>
  </si>
  <si>
    <t>3001204</t>
  </si>
  <si>
    <t>PO240428000304</t>
  </si>
  <si>
    <t>上海市长宁区生活垃圾综合管理中心（上海市长宁区市容管理局会计服务中心）</t>
  </si>
  <si>
    <t>2024-04-07 20:21:18.0</t>
  </si>
  <si>
    <t>3015227</t>
  </si>
  <si>
    <t>PO240417000328</t>
  </si>
  <si>
    <t>5171888</t>
  </si>
  <si>
    <t>神火（supfire）AB3 18650 神火强光手电筒专用充电锂电池尖头 3.7V-4.2V</t>
  </si>
  <si>
    <t>工程物资/五金辅料/手电筒</t>
  </si>
  <si>
    <t>2024-04-07 12:09:30.0</t>
  </si>
  <si>
    <t>2999309</t>
  </si>
  <si>
    <t>2999314</t>
  </si>
  <si>
    <t>100012724784</t>
  </si>
  <si>
    <t>拜杰 自粘门窗密封条 窗户防盗门门缝门底防水防风防撞保暖隔音条 棕色6米D型 2个装</t>
  </si>
  <si>
    <t>2999312</t>
  </si>
  <si>
    <t>2999306</t>
  </si>
  <si>
    <t>RN4816</t>
  </si>
  <si>
    <t>KANGMING/康铭 手电筒 KM-H02 1套</t>
  </si>
  <si>
    <t>2999307</t>
  </si>
  <si>
    <t>2999308</t>
  </si>
  <si>
    <t>100013534022</t>
  </si>
  <si>
    <t>维达(Vinda) 湿巾 杀菌洁肤卫生湿巾10包*10片独立装(量贩装) 细菌杀灭率99.9% 便携健康出行</t>
  </si>
  <si>
    <t>2999313</t>
  </si>
  <si>
    <t>2999311</t>
  </si>
  <si>
    <t>7080150001</t>
  </si>
  <si>
    <t xml:space="preserve">地漏 国产 100*100mm 不锈钢 </t>
  </si>
  <si>
    <t>2999310</t>
  </si>
  <si>
    <t>PO240417000318</t>
  </si>
  <si>
    <t>2024-04-07 11:55:08.0</t>
  </si>
  <si>
    <t>3008666</t>
  </si>
  <si>
    <t>3008665</t>
  </si>
  <si>
    <t>3008664</t>
  </si>
  <si>
    <t>PO240416000310</t>
  </si>
  <si>
    <t>2024-04-07 11:52:22.0</t>
  </si>
  <si>
    <t>3007809</t>
  </si>
  <si>
    <t>PO240417000339</t>
  </si>
  <si>
    <t>深圳洁臣士清洁系统有限公司</t>
  </si>
  <si>
    <t>2024-04-07 11:51:55.0</t>
  </si>
  <si>
    <t>3008811</t>
  </si>
  <si>
    <t>3008815</t>
  </si>
  <si>
    <t>3008810</t>
  </si>
  <si>
    <t>3008813</t>
  </si>
  <si>
    <t>3008812</t>
  </si>
  <si>
    <t>3008814</t>
  </si>
  <si>
    <t>PO240418000039</t>
  </si>
  <si>
    <t>2024-04-07 11:51:29.0</t>
  </si>
  <si>
    <t>2999450</t>
  </si>
  <si>
    <t>PO240329000031</t>
  </si>
  <si>
    <t>2024-04-01 10:14:31.0</t>
  </si>
  <si>
    <t>2972737</t>
  </si>
  <si>
    <t>PO240401000193</t>
  </si>
  <si>
    <t>4030040003</t>
  </si>
  <si>
    <t>厕所泵/马桶吸 真居 MTCZ001 长58CM 不锈钢加长手柄，硅胶软吸盘</t>
  </si>
  <si>
    <t>清洁物资类/清洁工具/厕所泵</t>
  </si>
  <si>
    <t>厕所泵/马桶吸</t>
  </si>
  <si>
    <t>2974799</t>
  </si>
  <si>
    <t>2972730</t>
  </si>
  <si>
    <t>FW6138</t>
  </si>
  <si>
    <t>NIPPON/立邦 金装净味5合1内墙乳胶漆 金装净味5合1 哑光白 18L 1桶</t>
  </si>
  <si>
    <t>2972734</t>
  </si>
  <si>
    <t>AA3727739</t>
  </si>
  <si>
    <t>DELI/得力 强力剪 DL2613 195mm 1把</t>
  </si>
  <si>
    <t>2972732</t>
  </si>
  <si>
    <t>FW1759</t>
  </si>
  <si>
    <t>DELI/得力 鼠标垫 3691 黑色 1块</t>
  </si>
  <si>
    <t>2972717</t>
  </si>
  <si>
    <t>2020070556</t>
  </si>
  <si>
    <t xml:space="preserve">医用棉签 思达睿 500支/盒 </t>
  </si>
  <si>
    <t>2974793</t>
  </si>
  <si>
    <t>2972726</t>
  </si>
  <si>
    <t>AA3253555</t>
  </si>
  <si>
    <t>DELI/得力 棉纸双面胶带 30400 10y×9mm 白色 1卷</t>
  </si>
  <si>
    <t>2972718</t>
  </si>
  <si>
    <t>2020030903</t>
  </si>
  <si>
    <t xml:space="preserve">碱性电池 南孚 1号，2节/组 </t>
  </si>
  <si>
    <t>2974795</t>
  </si>
  <si>
    <t>AA2278533</t>
  </si>
  <si>
    <t>ICEY/冰禹 ZHll-66系列中长毛滚筒刷 8" 1个</t>
  </si>
  <si>
    <t>2972748</t>
  </si>
  <si>
    <t>NG0557</t>
  </si>
  <si>
    <t>SANDISK/闪迪 U盘 SDCZ48-128G-Z35 128G USB3.0 至尊高速 黑色 1个</t>
  </si>
  <si>
    <t>2972738</t>
  </si>
  <si>
    <t>2972746</t>
  </si>
  <si>
    <t>2974798</t>
  </si>
  <si>
    <t>2972723</t>
  </si>
  <si>
    <t>2020070507</t>
  </si>
  <si>
    <t xml:space="preserve">酒精棉球 欧洁 2只/袋，10袋/盒 </t>
  </si>
  <si>
    <t>2974792</t>
  </si>
  <si>
    <t>AE1767263</t>
  </si>
  <si>
    <t>FANJIA/繁佳 不锈钢下水器 TZJ-110x98mm 1个</t>
  </si>
  <si>
    <t>2972749</t>
  </si>
  <si>
    <t>2972747</t>
  </si>
  <si>
    <t>2020070564</t>
  </si>
  <si>
    <t xml:space="preserve">碘伏棉棒 思达睿 酒精棉棒 100根 </t>
  </si>
  <si>
    <t>2974786</t>
  </si>
  <si>
    <t>PO240401000195</t>
  </si>
  <si>
    <t>2984191</t>
  </si>
  <si>
    <t>AA6437287</t>
  </si>
  <si>
    <t>ZKH/震坤行 特小型高耐磨钢卷尺 HHT-TM0725 7.5m×25mm 1把</t>
  </si>
  <si>
    <t>工程物资/手动工具/钢尺/铁尺/角尺/卷尺/皮尺</t>
  </si>
  <si>
    <t>2972733</t>
  </si>
  <si>
    <t>2974790</t>
  </si>
  <si>
    <t>7050020024</t>
  </si>
  <si>
    <t>LED灯盘 佛山照明 600x600铝扣式,6500K白光,42W</t>
  </si>
  <si>
    <t>2984192</t>
  </si>
  <si>
    <t>AA8807110</t>
  </si>
  <si>
    <t>XT/鑫涛 塑料刮板 180mm 1个</t>
  </si>
  <si>
    <t>工程物资/手动工具/泥工刮板</t>
  </si>
  <si>
    <t>2972735</t>
  </si>
  <si>
    <t>AE2561590</t>
  </si>
  <si>
    <t>QD/强达螺丝 厂标蝴蝶型飞机膨胀配彩锌钉 M8×50 1套</t>
  </si>
  <si>
    <t>2972742</t>
  </si>
  <si>
    <t>2972725</t>
  </si>
  <si>
    <t>AE2547393</t>
  </si>
  <si>
    <t>HUAIFENG/淮风 不锈钢五金门把手推拉式 HFBXGMBS-001 推式 80×300×1.2mm 1个</t>
  </si>
  <si>
    <t>2972739</t>
  </si>
  <si>
    <t>2972731</t>
  </si>
  <si>
    <t>2974797</t>
  </si>
  <si>
    <t>PM5090</t>
  </si>
  <si>
    <t>KINARY/金得利 文件盒 F38 蓝色 1个</t>
  </si>
  <si>
    <t>2972728</t>
  </si>
  <si>
    <t>2972727</t>
  </si>
  <si>
    <t>FP6803</t>
  </si>
  <si>
    <t>CHINT/正泰 NXB-63系列小型断路器 NXB-63 2P C20 C型脱扣 额定电流20A 1个</t>
  </si>
  <si>
    <t>2972743</t>
  </si>
  <si>
    <t>AA1012307</t>
  </si>
  <si>
    <t>3J PVC警示胶带 582 黑黄色 48mm×33m 1卷</t>
  </si>
  <si>
    <t>2972719</t>
  </si>
  <si>
    <t>AX6097</t>
  </si>
  <si>
    <t>ZKH/震坤行 白色尼龙手套 蓝边 40g/双 1副</t>
  </si>
  <si>
    <t>2972724</t>
  </si>
  <si>
    <t>2974791</t>
  </si>
  <si>
    <t>2972745</t>
  </si>
  <si>
    <t>JC6531</t>
  </si>
  <si>
    <t>TP-LINK/普联 无线网卡 TL-WN725N 免驱版 USB接口 1个</t>
  </si>
  <si>
    <t>2972729</t>
  </si>
  <si>
    <t>2020030907</t>
  </si>
  <si>
    <t xml:space="preserve">碱性电池 金霸王 5号，2粒/组 </t>
  </si>
  <si>
    <t>2974787</t>
  </si>
  <si>
    <t>AA3030380</t>
  </si>
  <si>
    <t>PAOLA/保拉 反光衣 5966 均码 绿色 1件</t>
  </si>
  <si>
    <t>消防安保/安全防护装备/反光衣</t>
  </si>
  <si>
    <t>2972750</t>
  </si>
  <si>
    <t>AA0896356</t>
  </si>
  <si>
    <t>UGREEN/绿联 百兆有线网卡转换器 30304 USB2.0转RJ45 1个</t>
  </si>
  <si>
    <t>2972736</t>
  </si>
  <si>
    <t>2972744</t>
  </si>
  <si>
    <t>2972721</t>
  </si>
  <si>
    <t>AE2547394</t>
  </si>
  <si>
    <t>HUAIFENG/淮风 不锈钢五金门把手推拉式 HFBXGMBS-002 80×300×1.2mm 1个</t>
  </si>
  <si>
    <t>2972740</t>
  </si>
  <si>
    <t>2974789</t>
  </si>
  <si>
    <t>4100010199</t>
  </si>
  <si>
    <t>地垫 国产 订做电梯毯（无损耗） 按平方米计价 红、绿、灰，定制双条纹片材</t>
  </si>
  <si>
    <t>清洁物资类/地垫地毯/地垫</t>
  </si>
  <si>
    <t>地垫</t>
  </si>
  <si>
    <t>2974794</t>
  </si>
  <si>
    <t>PO240401000196</t>
  </si>
  <si>
    <t>2984193</t>
  </si>
  <si>
    <t>AA2967802</t>
  </si>
  <si>
    <t>SHANGKE/上柯 暗盒修复器 C3032 86型经济款 10套 1包</t>
  </si>
  <si>
    <t>2972741</t>
  </si>
  <si>
    <t>PO240401000194</t>
  </si>
  <si>
    <t>6080110057</t>
  </si>
  <si>
    <t>广角镜 国产 室外圆形反光镜 室外直径80CM PC镜背材质，ABS外壳含支架</t>
  </si>
  <si>
    <t>广角镜</t>
  </si>
  <si>
    <t>2974800</t>
  </si>
  <si>
    <t>2972720</t>
  </si>
  <si>
    <t>4080230012</t>
  </si>
  <si>
    <t>花露水 六神 花香型 180ML/瓶 止痒，便捷喷雾</t>
  </si>
  <si>
    <t>花露水</t>
  </si>
  <si>
    <t>2974788</t>
  </si>
  <si>
    <t>AC8810026</t>
  </si>
  <si>
    <t>DELI/得力 钢卷尺 DL280519 5m 1把</t>
  </si>
  <si>
    <t>2972722</t>
  </si>
  <si>
    <t>2974796</t>
  </si>
  <si>
    <t>PO240711000480</t>
  </si>
  <si>
    <t>深圳市优赛特生物科技有限公司</t>
  </si>
  <si>
    <t>2024-03-29 17:21:19.0</t>
  </si>
  <si>
    <t>3125842</t>
  </si>
  <si>
    <t>PO240711000481</t>
  </si>
  <si>
    <t>深圳市天安电气消防安全检测有限公司</t>
  </si>
  <si>
    <t>2024-03-28 10:24:29.0</t>
  </si>
  <si>
    <t>3135258</t>
  </si>
  <si>
    <t>PO240711000474</t>
  </si>
  <si>
    <t>2024-03-28 10:23:07.0</t>
  </si>
  <si>
    <t>3125833</t>
  </si>
  <si>
    <t>PO240711000482</t>
  </si>
  <si>
    <t>2024-03-25 08:45:36.0</t>
  </si>
  <si>
    <t>3135259</t>
  </si>
  <si>
    <t>PO240809000165</t>
  </si>
  <si>
    <t>深圳云豹办公文化科技有限公司</t>
  </si>
  <si>
    <t>2024-03-21 09:29:07.0</t>
  </si>
  <si>
    <t>3220436</t>
  </si>
  <si>
    <t>PO240321000169</t>
  </si>
  <si>
    <t>2024-03-19 14:57:18.0</t>
  </si>
  <si>
    <t>2956980</t>
  </si>
  <si>
    <t>100001077905</t>
  </si>
  <si>
    <t>TaTanice 礼品袋 生日礼物包装袋牛皮纸袋礼盒袋商务手提袋男孩女孩 竖款牛皮袋5个装</t>
  </si>
  <si>
    <t>2956982</t>
  </si>
  <si>
    <t>4060250148</t>
  </si>
  <si>
    <t>其他清洁剂 国产优质 漂白粉 20瓶/箱 消毒粉</t>
  </si>
  <si>
    <t>2956981</t>
  </si>
  <si>
    <t>7130220059</t>
  </si>
  <si>
    <t>白手套 JOHA ZY48 10双 礼仪手套加厚棉汗布，涤纶带扣三筋</t>
  </si>
  <si>
    <t>工程物资/五金辅料/胶手套/劳保手套（更新中）</t>
  </si>
  <si>
    <t>白手套</t>
  </si>
  <si>
    <t>2956977</t>
  </si>
  <si>
    <t>100012565236</t>
  </si>
  <si>
    <t>金惟他运动户外健身纯净葡萄糖 成人葡萄糖粉 快速补充能量低血糖 260g盒装</t>
  </si>
  <si>
    <t>2956979</t>
  </si>
  <si>
    <t>100014744318</t>
  </si>
  <si>
    <t>臻邦 热水袋充电式女暖手宝敷肚子可爱毛绒注水防爆暖宝宝电热宝暖水袋</t>
  </si>
  <si>
    <t>2956983</t>
  </si>
  <si>
    <t>2956978</t>
  </si>
  <si>
    <t>PO240321000167</t>
  </si>
  <si>
    <t>3080020433</t>
  </si>
  <si>
    <t>背胶 采用PP背胶喷绘 800*950mm根据实际情况调整尺寸 地贴</t>
  </si>
  <si>
    <t>2024-03-19 14:57:15.0</t>
  </si>
  <si>
    <t>2967117</t>
  </si>
  <si>
    <t>4100010006</t>
  </si>
  <si>
    <t xml:space="preserve">防滑地垫 国产 防滑垫PVC地垫塑料防水门垫 PVC1200mm宽，5mm厚，应需求按米裁剪，颜色可多选 </t>
  </si>
  <si>
    <t>防滑地垫</t>
  </si>
  <si>
    <t>2967114</t>
  </si>
  <si>
    <t>100007926976</t>
  </si>
  <si>
    <t>清野の木 抽屉式收纳盒【30L三个装】衣柜收纳柜收纳箱内衣收纳 简易床头柜零食玩具整理箱储物箱</t>
  </si>
  <si>
    <t>2967118</t>
  </si>
  <si>
    <t>100005745908</t>
  </si>
  <si>
    <t>悟印像【极米坚果小米当贝】投影仪支架投影仪吊架40-60cm壁挂投影机吊架子伸缩 WT413极米H3S/Z6X坚果J10G9</t>
  </si>
  <si>
    <t>2967119</t>
  </si>
  <si>
    <t>7130400013</t>
  </si>
  <si>
    <t>挡门器 国产 高</t>
  </si>
  <si>
    <t>挡门器</t>
  </si>
  <si>
    <t>2967115</t>
  </si>
  <si>
    <t>AA5317687</t>
  </si>
  <si>
    <t>FGO 100X系列球墨铸铁遥控浮球阀 100X-16Q-DN50 法兰连接接口 公称压力PN16 1个</t>
  </si>
  <si>
    <t>2967116</t>
  </si>
  <si>
    <t>7020220022</t>
  </si>
  <si>
    <t>潜水泵 上海人民 QDX15-18-1.5 1.5Kw2201V2寸 应急水泵</t>
  </si>
  <si>
    <t>潜水泵</t>
  </si>
  <si>
    <t>2967120</t>
  </si>
  <si>
    <t>2967113</t>
  </si>
  <si>
    <t>PO240318000058</t>
  </si>
  <si>
    <t>2024-03-18 09:32:29.0</t>
  </si>
  <si>
    <t>2965222</t>
  </si>
  <si>
    <t>PO240315000180</t>
  </si>
  <si>
    <t>AA2233486</t>
  </si>
  <si>
    <t>UHOO/优和 强力证件卡套夹扣 6702 146×77mm 白色 48个 1盒</t>
  </si>
  <si>
    <t>2964823</t>
  </si>
  <si>
    <t>2965221</t>
  </si>
  <si>
    <t>PO240318000057</t>
  </si>
  <si>
    <t>2020030914</t>
  </si>
  <si>
    <t>暖宝宝 为伴 9.5CMx12CM，50贴/盒 自发热暖贴</t>
  </si>
  <si>
    <t>暖宝宝</t>
  </si>
  <si>
    <t>2965219</t>
  </si>
  <si>
    <t>2965220</t>
  </si>
  <si>
    <t>PO240318000059</t>
  </si>
  <si>
    <t>7150010035</t>
  </si>
  <si>
    <t>挂壁式空调 美的 KFR-50GW/G2-3 冷暖变频2匹挂机（3级能效） 含钢架、打孔及高空作业、机器自带原装铜管3米</t>
  </si>
  <si>
    <t>2955193</t>
  </si>
  <si>
    <t>PO240326000279</t>
  </si>
  <si>
    <t>2024-03-18 09:27:18.0</t>
  </si>
  <si>
    <t>2969437</t>
  </si>
  <si>
    <t>PO240322000178</t>
  </si>
  <si>
    <t>2024-03-15 10:37:27.0</t>
  </si>
  <si>
    <t>2957498</t>
  </si>
  <si>
    <t>PO240322000226</t>
  </si>
  <si>
    <t>2024-03-14 21:12:06.0</t>
  </si>
  <si>
    <t>2957582</t>
  </si>
  <si>
    <t>2957581</t>
  </si>
  <si>
    <t>2957583</t>
  </si>
  <si>
    <t>PO240315000186</t>
  </si>
  <si>
    <t>2020041016</t>
  </si>
  <si>
    <t xml:space="preserve">生鲜食品 </t>
  </si>
  <si>
    <t>生鲜食品</t>
  </si>
  <si>
    <t>2024-03-14 15:39:59.0</t>
  </si>
  <si>
    <t>2964855</t>
  </si>
  <si>
    <t>PO240314000103</t>
  </si>
  <si>
    <t>AE5208589</t>
  </si>
  <si>
    <t>FSL/佛山照明 直发光面板灯 220V55W865K 600*600 V白光 集成吊顶 1个</t>
  </si>
  <si>
    <t>2024-03-14 15:39:49.0</t>
  </si>
  <si>
    <t>2964266</t>
  </si>
  <si>
    <t>PO240313000406</t>
  </si>
  <si>
    <t>2024-03-14 15:39:42.0</t>
  </si>
  <si>
    <t>2963952</t>
  </si>
  <si>
    <t>2963954</t>
  </si>
  <si>
    <t>AA6247537</t>
  </si>
  <si>
    <t>BOSCH/博世 充电式手电钻套装 GSR120-Li双电+小旋风 电池规格12V 1套</t>
  </si>
  <si>
    <t>2963953</t>
  </si>
  <si>
    <t>2963951</t>
  </si>
  <si>
    <t>PO240522000170</t>
  </si>
  <si>
    <t>徐州市防雷设施检测有限公司深圳分公司</t>
  </si>
  <si>
    <t>2024-03-13 11:55:55.0</t>
  </si>
  <si>
    <t>3046495</t>
  </si>
  <si>
    <t>PO240522000172</t>
  </si>
  <si>
    <t>2024-03-11 10:17:47.0</t>
  </si>
  <si>
    <t>3046496</t>
  </si>
  <si>
    <t>PO240408000096</t>
  </si>
  <si>
    <t>2024-03-08 17:43:22.0</t>
  </si>
  <si>
    <t>2991068</t>
  </si>
  <si>
    <t>PO240522000169</t>
  </si>
  <si>
    <t>9050080001</t>
  </si>
  <si>
    <t xml:space="preserve">企业文化活动 </t>
  </si>
  <si>
    <t>服务类/其他服务类/企业文化活动</t>
  </si>
  <si>
    <t>企业文化活动</t>
  </si>
  <si>
    <t>2024-03-05 17:33:36.0</t>
  </si>
  <si>
    <t>3037300</t>
  </si>
  <si>
    <t>PO240522000175</t>
  </si>
  <si>
    <t>2024-03-04 11:48:19.0</t>
  </si>
  <si>
    <t>3046498</t>
  </si>
  <si>
    <t>PO240229000094</t>
  </si>
  <si>
    <t>2024-02-29 11:27:43.0</t>
  </si>
  <si>
    <t>2945609</t>
  </si>
  <si>
    <t>PO240229000095</t>
  </si>
  <si>
    <t>2945612</t>
  </si>
  <si>
    <t>2945610</t>
  </si>
  <si>
    <t>PO240228000184</t>
  </si>
  <si>
    <t>UE9888</t>
  </si>
  <si>
    <t>PAOLA/保拉 劳保手套 5953 均码 1包</t>
  </si>
  <si>
    <t>2945227</t>
  </si>
  <si>
    <t>2945226</t>
  </si>
  <si>
    <t>2945613</t>
  </si>
  <si>
    <t>AE0073526</t>
  </si>
  <si>
    <t>ZKH/震坤行 高品质硒鼓碳粉盒 ZKH-CE278A/CRG128 黑色 适用HP LaserJet P1560/1566/P1567/P1568等 1个</t>
  </si>
  <si>
    <t>2945228</t>
  </si>
  <si>
    <t>2945611</t>
  </si>
  <si>
    <t>PO240229000096</t>
  </si>
  <si>
    <t>7050090006</t>
  </si>
  <si>
    <t>T8LED灯管 佛山照明 炫丽系列 18W 1.2M，双端，白光6500K</t>
  </si>
  <si>
    <t>2945614</t>
  </si>
  <si>
    <t>PO240227000277</t>
  </si>
  <si>
    <t>2024-02-29 10:51:50.0</t>
  </si>
  <si>
    <t>2934353</t>
  </si>
  <si>
    <t>PM5086</t>
  </si>
  <si>
    <t>KINARY/金得利 文件盒 F18 蓝色 1个</t>
  </si>
  <si>
    <t>2934347</t>
  </si>
  <si>
    <t>2934344</t>
  </si>
  <si>
    <t>2934348</t>
  </si>
  <si>
    <t>PO240229000062</t>
  </si>
  <si>
    <t>2935172</t>
  </si>
  <si>
    <t>CY9134</t>
  </si>
  <si>
    <t>DELIXI/德力西 LAY5S-ZS指示灯 LAY5s-ZS AC 220V 白(指示灯) 1个</t>
  </si>
  <si>
    <t>2934352</t>
  </si>
  <si>
    <t>FV8834</t>
  </si>
  <si>
    <t>DELI/得力 PVC证件工作牌 5758 100×82×0.28mm 透明 10只 1包</t>
  </si>
  <si>
    <t>2934341</t>
  </si>
  <si>
    <t>AX8019</t>
  </si>
  <si>
    <t>SAFEWARE/安赛瑞 A字告示牌(小心地滑) 14000 300*630mm PVC材质 1个</t>
  </si>
  <si>
    <t>2934336</t>
  </si>
  <si>
    <t>NH4262</t>
  </si>
  <si>
    <t>TRODAT/卓达 手动中文日期章 1020 字高5mm 1个</t>
  </si>
  <si>
    <t>办公类/办公耗材/印台/印泥/印油/印章盒</t>
  </si>
  <si>
    <t>2934342</t>
  </si>
  <si>
    <t>2934339</t>
  </si>
  <si>
    <t>2934337</t>
  </si>
  <si>
    <t>2934345</t>
  </si>
  <si>
    <t>NH1595</t>
  </si>
  <si>
    <t>GONGZI/工字 快干清洁印泥 584 φ104mm 红色 1个</t>
  </si>
  <si>
    <t>2934343</t>
  </si>
  <si>
    <t>FV9515</t>
  </si>
  <si>
    <t>DELI/得力 修正带 8153 5mm×30m 颜色随机 1只</t>
  </si>
  <si>
    <t>办公类/办公耗材/学生文具</t>
  </si>
  <si>
    <t>2934346</t>
  </si>
  <si>
    <t>PO240229000061</t>
  </si>
  <si>
    <t>2020041511</t>
  </si>
  <si>
    <t>糖 太古 454g，100粒/盒 烹饪建议：红烧，煲汤，方糖</t>
  </si>
  <si>
    <t>糖</t>
  </si>
  <si>
    <t>2935168</t>
  </si>
  <si>
    <t>2934338</t>
  </si>
  <si>
    <t>AA4485424</t>
  </si>
  <si>
    <t>HYSTIC/海斯迪克 gnjz-1023系列加厚透明防撞条 L型 10mm×10mm×1m PVC 1根</t>
  </si>
  <si>
    <t>2934349</t>
  </si>
  <si>
    <t>2020070560</t>
  </si>
  <si>
    <t xml:space="preserve">其他药品 思达睿 碘伏棉棒50根+创可贴50片 </t>
  </si>
  <si>
    <t>其他药品</t>
  </si>
  <si>
    <t>2935169</t>
  </si>
  <si>
    <t>2935167</t>
  </si>
  <si>
    <t>AA4860390</t>
  </si>
  <si>
    <t>M&amp;G/晨光 经典T01中性台笔 AGPY3901 0.5mm 黑色 1支</t>
  </si>
  <si>
    <t>2934340</t>
  </si>
  <si>
    <t>FV7779</t>
  </si>
  <si>
    <t>DELI/得力 EVA泡棉胶带 30416 5y×36mm 白色 1袋</t>
  </si>
  <si>
    <t>2934350</t>
  </si>
  <si>
    <t>2020010398</t>
  </si>
  <si>
    <t>洗发水 高缇雅 500ML 功效：去屑，控油，防脱</t>
  </si>
  <si>
    <t>2935170</t>
  </si>
  <si>
    <t>2935171</t>
  </si>
  <si>
    <t>2934351</t>
  </si>
  <si>
    <t>PO240222000232</t>
  </si>
  <si>
    <t>6030050275</t>
  </si>
  <si>
    <t>防火泥 援邦 DR-A3-CD02 2KG/袋 袋装</t>
  </si>
  <si>
    <t>防火泥</t>
  </si>
  <si>
    <t>2024-02-22 18:07:37.0</t>
  </si>
  <si>
    <t>2942841</t>
  </si>
  <si>
    <t>PO240221000224</t>
  </si>
  <si>
    <t>PM5260</t>
  </si>
  <si>
    <t>BULL/公牛 排插 GN-B5063-1.8M 1个</t>
  </si>
  <si>
    <t>2942201</t>
  </si>
  <si>
    <t>AE2579193</t>
  </si>
  <si>
    <t>PHILIPS/飞利浦 LED筒灯 DN200 G3 LED20 840 20W D200 CN 1个</t>
  </si>
  <si>
    <t>2942203</t>
  </si>
  <si>
    <t>AC8967386</t>
  </si>
  <si>
    <t>NB 电视支架 AVA1500-60-1P 适用32-70" 1个</t>
  </si>
  <si>
    <t>2942198</t>
  </si>
  <si>
    <t>AA3524377</t>
  </si>
  <si>
    <t>QXSIGN/标识牌专家 折叠式不锈钢A字金属告示牌 QSC207A 正在维修 1个</t>
  </si>
  <si>
    <t>2942199</t>
  </si>
  <si>
    <t>2942202</t>
  </si>
  <si>
    <t>EJ6821</t>
  </si>
  <si>
    <t>CHINT/正泰 NXM系列塑壳断路器 NXM-125S/3300 100A 分段能力25kA 热磁脱扣器 板前接线 1个</t>
  </si>
  <si>
    <t>2942200</t>
  </si>
  <si>
    <t>PO240227000099</t>
  </si>
  <si>
    <t>7120080009</t>
  </si>
  <si>
    <t xml:space="preserve">其他油漆 双虎 磁漆黑色 13kg </t>
  </si>
  <si>
    <t>2024-02-21 13:18:38.0</t>
  </si>
  <si>
    <t>2933930</t>
  </si>
  <si>
    <t>PO240226000118</t>
  </si>
  <si>
    <t>7130970017</t>
  </si>
  <si>
    <t xml:space="preserve">水龙头 TOTO 感应洗脸盆水龙头 </t>
  </si>
  <si>
    <t>2024-02-21 09:35:48.0</t>
  </si>
  <si>
    <t>2944025</t>
  </si>
  <si>
    <t>7131020017</t>
  </si>
  <si>
    <t xml:space="preserve">门锁 国产优质 不锈钢执手锁锁芯锁套 铝合金门 </t>
  </si>
  <si>
    <t>2944027</t>
  </si>
  <si>
    <t>7131020029</t>
  </si>
  <si>
    <t xml:space="preserve">门锁 国产优质 平推式带报警 双门65cm双边防火门锁 </t>
  </si>
  <si>
    <t>2944026</t>
  </si>
  <si>
    <t>PO240218000040</t>
  </si>
  <si>
    <t>3110010127</t>
  </si>
  <si>
    <t>交接班记录本 国产优质 印刷品 100页/本 带封面</t>
  </si>
  <si>
    <t>交接班记录本</t>
  </si>
  <si>
    <t>2024-02-18 15:22:11.0</t>
  </si>
  <si>
    <t>2931206</t>
  </si>
  <si>
    <t>PO240218000041</t>
  </si>
  <si>
    <t>2931207</t>
  </si>
  <si>
    <t>PO240315000054</t>
  </si>
  <si>
    <t>2024-01-26 13:54:22.0</t>
  </si>
  <si>
    <t>2964624</t>
  </si>
  <si>
    <t>PO240129000197</t>
  </si>
  <si>
    <t>AA1429790</t>
  </si>
  <si>
    <t>EDJD/E代经典 标签机色带 e-TZe-231 适用兄弟标签机色带/12mm白底黑字/TZe-231 1个</t>
  </si>
  <si>
    <t>2024-01-25 10:57:19.0</t>
  </si>
  <si>
    <t>2930022</t>
  </si>
  <si>
    <t>100012455176</t>
  </si>
  <si>
    <t>舒蔻酒店大堂不锈钢垃圾桶带烟灰缸宾馆立式烟灰桶电梯口走廊吸灰桶烟灰柱灭烟桶 方形【不锈钢】</t>
  </si>
  <si>
    <t>2930023</t>
  </si>
  <si>
    <t>AA4914391</t>
  </si>
  <si>
    <t>BROTHER/兄弟 标签打印机 PT-E115B 适用3.5～12mm宽TZe色带 打印精度180dpi 打印速度20mm/s 标配 不含电源电池 1台</t>
  </si>
  <si>
    <t>2930025</t>
  </si>
  <si>
    <t>FX1529</t>
  </si>
  <si>
    <t>COMIX/齐心 11孔易分类五色A4索引纸 IX901 A4 混色 1套</t>
  </si>
  <si>
    <t>2930024</t>
  </si>
  <si>
    <t>PO240129000196</t>
  </si>
  <si>
    <t>2024-01-25 10:56:53.0</t>
  </si>
  <si>
    <t>2930021</t>
  </si>
  <si>
    <t>PO240124000210</t>
  </si>
  <si>
    <t>AA3224879</t>
  </si>
  <si>
    <t>LAOA/老A 绿黑色手提单肩工具包 LA212818 13" 1个</t>
  </si>
  <si>
    <t>工程物资/工具配件/工具箱/工具包</t>
  </si>
  <si>
    <t>2024-01-25 10:56:32.0</t>
  </si>
  <si>
    <t>2918985</t>
  </si>
  <si>
    <t>AA0440008</t>
  </si>
  <si>
    <t>PHILIPS/飞利浦 经济型LED灯带驱动 120W 24VDC 1只</t>
  </si>
  <si>
    <t>工程物资/LED灯具/灯带</t>
  </si>
  <si>
    <t>2918988</t>
  </si>
  <si>
    <t>AE0524318</t>
  </si>
  <si>
    <t>SINGFUN/先锋 电热油汀取暖器 CY99LL-13 800W/1.2kW/2.2kW  适用20~30m² 3档 13片 1台</t>
  </si>
  <si>
    <t>2918991</t>
  </si>
  <si>
    <t>AA0018869</t>
  </si>
  <si>
    <t>SUBMARINE/潜水艇 起泡器 QP-2 1个</t>
  </si>
  <si>
    <t>2918986</t>
  </si>
  <si>
    <t>2918984</t>
  </si>
  <si>
    <t>2918989</t>
  </si>
  <si>
    <t>AC9136128</t>
  </si>
  <si>
    <t>ANGELPOWER/安捷宝 电线快接件 PCT212 一进一出 50只 1包</t>
  </si>
  <si>
    <t>2918987</t>
  </si>
  <si>
    <t>2918990</t>
  </si>
  <si>
    <t>PO240131000030</t>
  </si>
  <si>
    <t>7130320053</t>
  </si>
  <si>
    <t>绝缘板 沈飞 国标 600x600阻燃 架空抗静电地板</t>
  </si>
  <si>
    <t>2024-01-24 19:11:42.0</t>
  </si>
  <si>
    <t>2940060</t>
  </si>
  <si>
    <t>100008437221</t>
  </si>
  <si>
    <t>倍思 三合一数据线5A/6A快充66W/40W支持苹果Type-c安卓手机充电器线iPhone13/12/11小米华为一拖三充电线黑</t>
  </si>
  <si>
    <t>2940071</t>
  </si>
  <si>
    <t>7090040038</t>
  </si>
  <si>
    <t>冲水阀 金字塔牌 1寸 JZT-L03 手柄式冲水阀</t>
  </si>
  <si>
    <t>冲水阀</t>
  </si>
  <si>
    <t>2940059</t>
  </si>
  <si>
    <t>4110110001</t>
  </si>
  <si>
    <t xml:space="preserve">蟑螂药 </t>
  </si>
  <si>
    <t>清洁物资类/有害生物防治（更新中）/蟑螂屋/蟑螂药（更新中）</t>
  </si>
  <si>
    <t>蟑螂药</t>
  </si>
  <si>
    <t>2940076</t>
  </si>
  <si>
    <t>7130320004</t>
  </si>
  <si>
    <t>绝缘板 国产 5mm厚，1.2*2.4m张 环氧树脂板</t>
  </si>
  <si>
    <t>2940061</t>
  </si>
  <si>
    <t>2940057</t>
  </si>
  <si>
    <t>AA0127195</t>
  </si>
  <si>
    <t>PEOPLE/人民电器 BK系列控制变压器 BK-300VA 380 220/24V 22V 1只</t>
  </si>
  <si>
    <t>2940077</t>
  </si>
  <si>
    <t>7130320010</t>
  </si>
  <si>
    <t xml:space="preserve">绝缘板 中宝 10KV绝缘橡胶垫绝缘地毯 绝缘橡胶尺寸：1000*10000mm，5mm厚，10KV绝缘地垫 </t>
  </si>
  <si>
    <t>2940062</t>
  </si>
  <si>
    <t>2940073</t>
  </si>
  <si>
    <t>2940066</t>
  </si>
  <si>
    <t>7050020008</t>
  </si>
  <si>
    <t>LED灯盘 国产优质 集成平板灯 300*300 12W</t>
  </si>
  <si>
    <t>2940069</t>
  </si>
  <si>
    <t>7130320014</t>
  </si>
  <si>
    <t>绝缘板 国产 5mm厚,1.2*2.4m张 环氧树脂板</t>
  </si>
  <si>
    <t>2940063</t>
  </si>
  <si>
    <t>7050060173</t>
  </si>
  <si>
    <t>筒灯 佛山 12w开孔90 装饰筒灯</t>
  </si>
  <si>
    <t>2940070</t>
  </si>
  <si>
    <t>1010020151</t>
  </si>
  <si>
    <t xml:space="preserve">色带 XW300YMCKO 证件卡打印机彩色带 证件卡打印机彩色带 </t>
  </si>
  <si>
    <t>色带</t>
  </si>
  <si>
    <t>2940074</t>
  </si>
  <si>
    <t>7090040021</t>
  </si>
  <si>
    <t xml:space="preserve">脚踏阀 九牧王 1寸 </t>
  </si>
  <si>
    <t>2940079</t>
  </si>
  <si>
    <t>7130040020</t>
  </si>
  <si>
    <t>电磁阀 国产 AN612/100B 6V 小便斗感应器</t>
  </si>
  <si>
    <t>工程物资/五金辅料/电磁阀</t>
  </si>
  <si>
    <t>电磁阀</t>
  </si>
  <si>
    <t>2940082</t>
  </si>
  <si>
    <t>7130540006</t>
  </si>
  <si>
    <t xml:space="preserve">电源适配器 国产优质 感应小便池电源 6V </t>
  </si>
  <si>
    <t>2940081</t>
  </si>
  <si>
    <t>100002497538</t>
  </si>
  <si>
    <t>良工（lengon）转换器插座一转三多孔电源转换插头多功能扩展转换器无线插排插线板板竖插分接器墙壁排插</t>
  </si>
  <si>
    <t>2940072</t>
  </si>
  <si>
    <t>2940068</t>
  </si>
  <si>
    <t>AA3480883</t>
  </si>
  <si>
    <t>LANGQI/朗祺 推杆锁 LQ02-B100 100cm 1个</t>
  </si>
  <si>
    <t>2940067</t>
  </si>
  <si>
    <t>AM1868</t>
  </si>
  <si>
    <t>PHILIPS/飞利浦 T8 LED灯管（经济型） 1200mm 18W 865 HO 2100lm 6500K白光  220V 单端接线 1个</t>
  </si>
  <si>
    <t>2940065</t>
  </si>
  <si>
    <t>7090070001</t>
  </si>
  <si>
    <t>给水管阀门 九牧王 套装 水箱配件 马桶水箱进水阀</t>
  </si>
  <si>
    <t>工程物资/阀门/给水管阀门</t>
  </si>
  <si>
    <t>给水管阀门</t>
  </si>
  <si>
    <t>2940083</t>
  </si>
  <si>
    <t>2940058</t>
  </si>
  <si>
    <t>1596394</t>
  </si>
  <si>
    <t>清风（APP）湿巾 EDI纯水系列 80片家庭装 不含酒精 （新老包装交替发货）</t>
  </si>
  <si>
    <t>2940080</t>
  </si>
  <si>
    <t>7020220067</t>
  </si>
  <si>
    <t>污水泵 380v定制5.5KW-7.5KW, 污水泵控制箱</t>
  </si>
  <si>
    <t>污水泵</t>
  </si>
  <si>
    <t>2940078</t>
  </si>
  <si>
    <t>7130320017</t>
  </si>
  <si>
    <t xml:space="preserve">绝缘板 国产优质 5mm厚，1.2*2.4m/张 </t>
  </si>
  <si>
    <t>2940064</t>
  </si>
  <si>
    <t>2940075</t>
  </si>
  <si>
    <t>PO240315000047</t>
  </si>
  <si>
    <t>2024-01-24 14:06:10.0</t>
  </si>
  <si>
    <t>2954683</t>
  </si>
  <si>
    <t>PO240129000195</t>
  </si>
  <si>
    <t>7050080017</t>
  </si>
  <si>
    <t xml:space="preserve">T5LED灯管 国产优质 14W（白光） T5 </t>
  </si>
  <si>
    <t>2024-01-22 11:30:03.0</t>
  </si>
  <si>
    <t>2929919</t>
  </si>
  <si>
    <t>100000153062</t>
  </si>
  <si>
    <t>绿联Type-C转VGA转换器线USB-C转接头扩展坞通用苹果MacBook笔记本电脑iPadPro配件华为手机分线器投屏拓展坞</t>
  </si>
  <si>
    <t>办公类/办公设备/台式电脑/一体机/主机/笔记本</t>
  </si>
  <si>
    <t>2929918</t>
  </si>
  <si>
    <t>2929916</t>
  </si>
  <si>
    <t>2030020014</t>
  </si>
  <si>
    <t>毛毯 国产优质 羊绒 披肩毛毯</t>
  </si>
  <si>
    <t>毛毯</t>
  </si>
  <si>
    <t>2929917</t>
  </si>
  <si>
    <t>PO240129000193</t>
  </si>
  <si>
    <t>6090010005</t>
  </si>
  <si>
    <t xml:space="preserve">保安岗台 1.5x1.8x2.7米 </t>
  </si>
  <si>
    <t>消防安保/岗亭设备/保安岗台</t>
  </si>
  <si>
    <t>2024-01-22 11:29:54.0</t>
  </si>
  <si>
    <t>2929912</t>
  </si>
  <si>
    <t>AA4353696</t>
  </si>
  <si>
    <t>HONYAR/鸿雁 透明防水盒防溅盒 86HSTFZ/T 1个</t>
  </si>
  <si>
    <t>2929915</t>
  </si>
  <si>
    <t>7050060232</t>
  </si>
  <si>
    <t>筒灯 三雄极光 LED，金典 7W，6000K白光，4寸，产品尺寸Ф135MMx100MM 明装，白色</t>
  </si>
  <si>
    <t>2929908</t>
  </si>
  <si>
    <t>2020041186</t>
  </si>
  <si>
    <t>茶包 立顿 茉莉花茶 2gx25包/盒</t>
  </si>
  <si>
    <t>茶包</t>
  </si>
  <si>
    <t>2929911</t>
  </si>
  <si>
    <t>UV8447</t>
  </si>
  <si>
    <t>UGREEN/绿联 HDMI线 10112 20m 1根</t>
  </si>
  <si>
    <t>2929913</t>
  </si>
  <si>
    <t>2010020428</t>
  </si>
  <si>
    <t>搅棒 思达睿 100支/包 双孔咖啡棒</t>
  </si>
  <si>
    <t>2929909</t>
  </si>
  <si>
    <t>2020040985</t>
  </si>
  <si>
    <t>速溶咖啡 雀巢 雀巢咖啡1+2原味双豆拼配条装即溶咖啡 450g/盒</t>
  </si>
  <si>
    <t>2929910</t>
  </si>
  <si>
    <t>CP3999</t>
  </si>
  <si>
    <t>BOSCH/博世 圆柄五坑2系电锤钻头 2608576965 18x340 1支</t>
  </si>
  <si>
    <t>2929914</t>
  </si>
  <si>
    <t>PO240304000277</t>
  </si>
  <si>
    <t>9010170001</t>
  </si>
  <si>
    <t>工程咨询</t>
  </si>
  <si>
    <t>服务类/工程服务类/工程咨询</t>
  </si>
  <si>
    <t>2024-01-22 10:44:14.0</t>
  </si>
  <si>
    <t>2948089</t>
  </si>
  <si>
    <t>PO240315000038</t>
  </si>
  <si>
    <t>2024-01-15 08:42:17.0</t>
  </si>
  <si>
    <t>2964609</t>
  </si>
  <si>
    <t>PO240202000071</t>
  </si>
  <si>
    <t>2024-01-14 15:34:11.0</t>
  </si>
  <si>
    <t>2930580</t>
  </si>
  <si>
    <t>PO240111000435</t>
  </si>
  <si>
    <t>2024-01-11 15:56:34.0</t>
  </si>
  <si>
    <t>2921164</t>
  </si>
  <si>
    <t>PO240315000066</t>
  </si>
  <si>
    <t>2024-01-11 14:55:50.0</t>
  </si>
  <si>
    <t>2964630</t>
  </si>
  <si>
    <t>PO240111000324</t>
  </si>
  <si>
    <t>2024-01-11 13:44:41.0</t>
  </si>
  <si>
    <t>2910822</t>
  </si>
  <si>
    <t>PO240105000320</t>
  </si>
  <si>
    <t>CJ5737</t>
  </si>
  <si>
    <t>HUILI/回力 黑色高筒雨靴 838 40码 1双</t>
  </si>
  <si>
    <t>2903148</t>
  </si>
  <si>
    <t>2903161</t>
  </si>
  <si>
    <t>2903174</t>
  </si>
  <si>
    <t>PO240111000325</t>
  </si>
  <si>
    <t>7050070176</t>
  </si>
  <si>
    <t>LED吸顶灯 风云榜 55W明装面板灯 300x1200 白光白色</t>
  </si>
  <si>
    <t>2910835</t>
  </si>
  <si>
    <t>7050100003</t>
  </si>
  <si>
    <t>T5LED灯架 佛山照明 炫丽一体化无影支架LED 1.2M 16w,白光6500K公母插,20x1</t>
  </si>
  <si>
    <t>T5LED灯架</t>
  </si>
  <si>
    <t>2910837</t>
  </si>
  <si>
    <t>4080230046</t>
  </si>
  <si>
    <t>电蚊拍 超威 灯拍两用+底座+充电线/套 电池类型：锂电池，是否可充电：可充电，电池可拆卸：不可拆卸</t>
  </si>
  <si>
    <t>2910828</t>
  </si>
  <si>
    <t>AC6416</t>
  </si>
  <si>
    <t>BULL/公牛 10A单相三极插头 GNT-10 250V 1个</t>
  </si>
  <si>
    <t>2903164</t>
  </si>
  <si>
    <t>AF1427</t>
  </si>
  <si>
    <t>TAJIMA/田岛 美工刀620 1101-0017 22mmJ型刃 附2片银刃备用刀片(LB62H) 1把</t>
  </si>
  <si>
    <t>2903144</t>
  </si>
  <si>
    <t>2010060659</t>
  </si>
  <si>
    <t>蒸汽熨斗 松下 家用1300W 天蓝色，大面积蒸汽</t>
  </si>
  <si>
    <t>蒸汽熨斗</t>
  </si>
  <si>
    <t>2910823</t>
  </si>
  <si>
    <t>CM3474</t>
  </si>
  <si>
    <t>SUPFIRE/神火 头灯(含电池充电器) HL33 功率10W 光通量1100lm 1套</t>
  </si>
  <si>
    <t>2903152</t>
  </si>
  <si>
    <t>2903150</t>
  </si>
  <si>
    <t>AA4836109</t>
  </si>
  <si>
    <t>RUIFANG/瑞芳 不锈钢补芯 6分×4分 G3/4"×G1/2" 1个</t>
  </si>
  <si>
    <t>2903147</t>
  </si>
  <si>
    <t>FR2495</t>
  </si>
  <si>
    <t>M&amp;G/晨光 彩色回形针 ABS91698 28mm 彩色 160个 1筒</t>
  </si>
  <si>
    <t>2903173</t>
  </si>
  <si>
    <t>AA6447313</t>
  </si>
  <si>
    <t>JOMOO/九牧 快开单冷角阀 74077-339/1C-1 1个</t>
  </si>
  <si>
    <t>2903160</t>
  </si>
  <si>
    <t>7160010181</t>
  </si>
  <si>
    <t>插座 佛山照明 F32-1023 10A二三极插座 白色</t>
  </si>
  <si>
    <t>插座</t>
  </si>
  <si>
    <t>2910831</t>
  </si>
  <si>
    <t>7160120070</t>
  </si>
  <si>
    <t>照明开关 佛山照明 F32-10K1/2 10A一位双控开关 白色</t>
  </si>
  <si>
    <t>2910832</t>
  </si>
  <si>
    <t>PO240111000323</t>
  </si>
  <si>
    <t>2910818</t>
  </si>
  <si>
    <t>2910836</t>
  </si>
  <si>
    <t>2910825</t>
  </si>
  <si>
    <t>4080210090</t>
  </si>
  <si>
    <t>其他清洁剂 滴露 松木清香 1.8L/桶 消毒液，杀菌除螨，对氯间二甲苯酚（含量4.3%-5.3%）</t>
  </si>
  <si>
    <t>2910827</t>
  </si>
  <si>
    <t>2910820</t>
  </si>
  <si>
    <t>2903169</t>
  </si>
  <si>
    <t>AC8522939</t>
  </si>
  <si>
    <t>ICEY/冰禹 BYly-89系列转舌锁 20mm单开型 1个</t>
  </si>
  <si>
    <t>2903157</t>
  </si>
  <si>
    <t>AE2301317</t>
  </si>
  <si>
    <t>JZSB/京洲实邦 一次性便携式雨衣 JZSB-YY001 蓝色 1个</t>
  </si>
  <si>
    <t>2903151</t>
  </si>
  <si>
    <t>2910826</t>
  </si>
  <si>
    <t>EA2025</t>
  </si>
  <si>
    <t>DELIXI/德力西 绝缘胶布 PVC电气胶带 0.15mm*17mm*20米 黑色 1卷</t>
  </si>
  <si>
    <t>2903163</t>
  </si>
  <si>
    <t>2910821</t>
  </si>
  <si>
    <t>PO240111000326</t>
  </si>
  <si>
    <t>2910840</t>
  </si>
  <si>
    <t>2903154</t>
  </si>
  <si>
    <t>2903140</t>
  </si>
  <si>
    <t>2903167</t>
  </si>
  <si>
    <t>AC6257557</t>
  </si>
  <si>
    <t>FANJIA/繁佳 带锁水龙头 GYJ-4分 DN15 1个</t>
  </si>
  <si>
    <t>2903159</t>
  </si>
  <si>
    <t>HN7577</t>
  </si>
  <si>
    <t>AIWIN Xtrflex cut 防切割手套 (五级) 10330 9号 HDPE 5级 黑色丁腈 1双</t>
  </si>
  <si>
    <t>2903149</t>
  </si>
  <si>
    <t>AE4501057</t>
  </si>
  <si>
    <t>PISEN/品胜 充电线三合一数据线快充 LH-AP05-1800 1.8m 黑色 100W/66W 苹果/Type-C/安卓 iPhone14/13华为小米手机 1根</t>
  </si>
  <si>
    <t>2903170</t>
  </si>
  <si>
    <t>AE0680501</t>
  </si>
  <si>
    <t>ZKH/震坤行 资料册 HBG-DB60 A4 60页 蓝色 1本</t>
  </si>
  <si>
    <t>2903142</t>
  </si>
  <si>
    <t>AA3281427</t>
  </si>
  <si>
    <t>DELI/得力 省力型日式钢丝钳 DL100108 8" 1把</t>
  </si>
  <si>
    <t>工程物资/手动工具/断线钳/钢丝钳</t>
  </si>
  <si>
    <t>2903146</t>
  </si>
  <si>
    <t>7160120073</t>
  </si>
  <si>
    <t>照明开关 佛山照明 F32-10K3/1 10A三位单控开关 白色</t>
  </si>
  <si>
    <t>2910834</t>
  </si>
  <si>
    <t>2903141</t>
  </si>
  <si>
    <t>AA2728779</t>
  </si>
  <si>
    <t>KANKUN 瞬干胶 502 透明 20g 1瓶</t>
  </si>
  <si>
    <t>2903172</t>
  </si>
  <si>
    <t>AA0307016</t>
  </si>
  <si>
    <t>QD/强达螺丝 三组合内膨胀螺栓 M8×10×80 1个</t>
  </si>
  <si>
    <t>2903156</t>
  </si>
  <si>
    <t>2903168</t>
  </si>
  <si>
    <t>2910819</t>
  </si>
  <si>
    <t>2910830</t>
  </si>
  <si>
    <t>AC3870021</t>
  </si>
  <si>
    <t>DELI/得力 双面透明胶带 33625 15mm×3m×1mm 2卷 1盒</t>
  </si>
  <si>
    <t>2903166</t>
  </si>
  <si>
    <t>2903171</t>
  </si>
  <si>
    <t>2903165</t>
  </si>
  <si>
    <t>2903155</t>
  </si>
  <si>
    <t>2910829</t>
  </si>
  <si>
    <t>7050040097</t>
  </si>
  <si>
    <t>灯带 佛山照明 裸板 低压24V，10W/M，3000K黄光，尺寸8MMx1.5MM，LED颗数120x2835 按米计价</t>
  </si>
  <si>
    <t>灯带</t>
  </si>
  <si>
    <t>2910839</t>
  </si>
  <si>
    <t>2903143</t>
  </si>
  <si>
    <t>2903162</t>
  </si>
  <si>
    <t>AA3909693</t>
  </si>
  <si>
    <t>PEARLK/派尔科 云石胶 透明 透明 0.7L 1组</t>
  </si>
  <si>
    <t>2903158</t>
  </si>
  <si>
    <t>2903145</t>
  </si>
  <si>
    <t>7160120071</t>
  </si>
  <si>
    <t>照明开关 佛山照明 F32-10K2/1 10A二位单控开关 白色</t>
  </si>
  <si>
    <t>2910833</t>
  </si>
  <si>
    <t>2910824</t>
  </si>
  <si>
    <t>2903153</t>
  </si>
  <si>
    <t>2903175</t>
  </si>
  <si>
    <t>2910838</t>
  </si>
  <si>
    <t>PO240115000323</t>
  </si>
  <si>
    <t>2024-01-11 13:44:01.0</t>
  </si>
  <si>
    <t>2923492</t>
  </si>
  <si>
    <t>PO240117000079</t>
  </si>
  <si>
    <t>4070100043</t>
  </si>
  <si>
    <t xml:space="preserve">马桶坐垫纸 维达多康 1009101 250抽/包20包/箱 </t>
  </si>
  <si>
    <t>2024-01-11 13:42:53.0</t>
  </si>
  <si>
    <t>2925431</t>
  </si>
  <si>
    <t>2925429</t>
  </si>
  <si>
    <t>2925430</t>
  </si>
  <si>
    <t>PO240327000225</t>
  </si>
  <si>
    <t>2024-01-10 07:45:33.0</t>
  </si>
  <si>
    <t>2980379</t>
  </si>
  <si>
    <t>PO240111000532</t>
  </si>
  <si>
    <t>深圳市福香宗醇茶叶有限公司</t>
  </si>
  <si>
    <t>2024-01-10 07:43:23.0</t>
  </si>
  <si>
    <t>2911111</t>
  </si>
  <si>
    <t>PO240202000068</t>
  </si>
  <si>
    <t>上海卿丽保洁服务有限公司</t>
  </si>
  <si>
    <t>2024-01-09 16:53:39.0</t>
  </si>
  <si>
    <t>2930579</t>
  </si>
  <si>
    <t>PO240315000041</t>
  </si>
  <si>
    <t>2024-01-02 11:18:08.0</t>
  </si>
  <si>
    <t>2954674</t>
  </si>
  <si>
    <t>PO240315000040</t>
  </si>
  <si>
    <t>2024-01-02 08:06:08.0</t>
  </si>
  <si>
    <t>2964610</t>
  </si>
  <si>
    <t>PO231229000202</t>
  </si>
  <si>
    <t>淘宝/天猫/京东C端/其他-商业事业部</t>
  </si>
  <si>
    <t>2023-12-27 09:09:18.0</t>
  </si>
  <si>
    <t>2888175</t>
  </si>
  <si>
    <t>2888174</t>
  </si>
  <si>
    <t>PO231229000026</t>
  </si>
  <si>
    <t>7020130059</t>
  </si>
  <si>
    <t>研磨机 阿玛菲 咖啡豆研磨机A80 230x400x600MM，电压220V，功率420W 红色</t>
  </si>
  <si>
    <t>工程物资/电动工具/角磨机</t>
  </si>
  <si>
    <t>研磨机</t>
  </si>
  <si>
    <t>2023-12-26 17:09:14.0</t>
  </si>
  <si>
    <t>2877369</t>
  </si>
  <si>
    <t>2010060713</t>
  </si>
  <si>
    <t>咖啡机 EXPOPAR ONYX双头 60x70x55CM 黑色，PID控制双头全自动电控意式咖啡机，质保一年</t>
  </si>
  <si>
    <t>咖啡机</t>
  </si>
  <si>
    <t>2877366</t>
  </si>
  <si>
    <t>2877367</t>
  </si>
  <si>
    <t>AE2154196</t>
  </si>
  <si>
    <t>CHOSEAL/秋叶原 100m复合光纤HDMI线Q8511 Q8511 1条</t>
  </si>
  <si>
    <t>2877368</t>
  </si>
  <si>
    <t>PO231229000022</t>
  </si>
  <si>
    <t>2010060715</t>
  </si>
  <si>
    <t>咖啡机 奇诺提 咖啡拉花机CINOARTPRO-CT2 405x260x377MM，功率60W 白色全新三代</t>
  </si>
  <si>
    <t>2023-12-26 16:04:22.0</t>
  </si>
  <si>
    <t>2877362</t>
  </si>
  <si>
    <t>PO231229000170</t>
  </si>
  <si>
    <t>2023-12-26 14:25:49.0</t>
  </si>
  <si>
    <t>2888129</t>
  </si>
  <si>
    <t>2010020371</t>
  </si>
  <si>
    <t>其他电器配件 沁园 直饮机QS-ZRW-L14配件 12寸模块式100加仑RO膜 包安装更换</t>
  </si>
  <si>
    <t>2888131</t>
  </si>
  <si>
    <t>2010020294</t>
  </si>
  <si>
    <t>其他电器配件 沁园 不锈钢滤筒组件 20寸 净水器CS5配件，包安装更换</t>
  </si>
  <si>
    <t>2888130</t>
  </si>
  <si>
    <t>2888132</t>
  </si>
  <si>
    <t>PO231229000236</t>
  </si>
  <si>
    <t>2023-12-24 10:22:59.0</t>
  </si>
  <si>
    <t>2888207</t>
  </si>
  <si>
    <t>2888211</t>
  </si>
  <si>
    <t>2888212</t>
  </si>
  <si>
    <t>2888209</t>
  </si>
  <si>
    <t>2888210</t>
  </si>
  <si>
    <t>100015415846</t>
  </si>
  <si>
    <t>迪茵桌布升级款软玻璃PVC餐桌垫茶几垫防水防烫胶垫透明水晶板定制 透明1.5厚定制链接单拍不发货</t>
  </si>
  <si>
    <t>2888208</t>
  </si>
  <si>
    <t>PO231229000237</t>
  </si>
  <si>
    <t>2023-12-24 10:22:52.0</t>
  </si>
  <si>
    <t>2877894</t>
  </si>
  <si>
    <t>2877893</t>
  </si>
  <si>
    <t>PO240131000019</t>
  </si>
  <si>
    <t>上海卫洁虫害防制有限公司</t>
  </si>
  <si>
    <t>2023-12-23 16:53:15.0</t>
  </si>
  <si>
    <t>2940051</t>
  </si>
  <si>
    <t>PO240522000173</t>
  </si>
  <si>
    <t>深圳市金地楼宇科技有限公司</t>
  </si>
  <si>
    <t>2023-12-20 12:18:23.0</t>
  </si>
  <si>
    <t>3046497</t>
  </si>
  <si>
    <t>PO240117000354</t>
  </si>
  <si>
    <t>2023-12-20 12:17:46.0</t>
  </si>
  <si>
    <t>2925796</t>
  </si>
  <si>
    <t>PO240117000331</t>
  </si>
  <si>
    <t>2023-12-19 11:28:50.0</t>
  </si>
  <si>
    <t>2915815</t>
  </si>
  <si>
    <t>PO240117000336</t>
  </si>
  <si>
    <t>2023-12-18 11:40:32.0</t>
  </si>
  <si>
    <t>2925762</t>
  </si>
  <si>
    <t>PO240117000341</t>
  </si>
  <si>
    <t>2023-12-18 10:46:42.0</t>
  </si>
  <si>
    <t>2925769</t>
  </si>
  <si>
    <t>PO231215000308</t>
  </si>
  <si>
    <t>2023-12-14 11:22:05.0</t>
  </si>
  <si>
    <t>2870537</t>
  </si>
  <si>
    <t>PO231221000080</t>
  </si>
  <si>
    <t>2023-12-14 11:21:55.0</t>
  </si>
  <si>
    <t>2883631</t>
  </si>
  <si>
    <t>2883630</t>
  </si>
  <si>
    <t>2883629</t>
  </si>
  <si>
    <t>PO231214000187</t>
  </si>
  <si>
    <t>2023-12-14 10:47:57.0</t>
  </si>
  <si>
    <t>2837391</t>
  </si>
  <si>
    <t>2020070613</t>
  </si>
  <si>
    <t xml:space="preserve">体温计 可孚 无汞水银 约1CMx11.8CM </t>
  </si>
  <si>
    <t>2837393</t>
  </si>
  <si>
    <t>2020031069</t>
  </si>
  <si>
    <t xml:space="preserve">茶包袋 中性 纯棉过滤袋 约15CMX20CM，10个/组 </t>
  </si>
  <si>
    <t>茶包袋</t>
  </si>
  <si>
    <t>2837392</t>
  </si>
  <si>
    <t>4040030051</t>
  </si>
  <si>
    <t>小垃圾桶 环美 HM-129U 约29CMx117CM 户外烟灰柱，烤漆黑色，可固定底座</t>
  </si>
  <si>
    <t>清洁物资类/垃圾桶/垃圾篓/小垃圾桶</t>
  </si>
  <si>
    <t>小垃圾桶</t>
  </si>
  <si>
    <t>2837390</t>
  </si>
  <si>
    <t>PO231218000272</t>
  </si>
  <si>
    <t>2023-12-14 10:05:43.0</t>
  </si>
  <si>
    <t>2871350</t>
  </si>
  <si>
    <t>7050060221</t>
  </si>
  <si>
    <t xml:space="preserve">探照灯 达祥之光 达祥之光的小杆路灯50w </t>
  </si>
  <si>
    <t>探照灯</t>
  </si>
  <si>
    <t>2871348</t>
  </si>
  <si>
    <t>AA2193861</t>
  </si>
  <si>
    <t>CNMF/谋福 火灾逃生湿毛巾 9629 30×30cm 1个</t>
  </si>
  <si>
    <t>2871347</t>
  </si>
  <si>
    <t>2030040020</t>
  </si>
  <si>
    <t>固体清新剂 雅彩洁 冰箱除味剂 500ml 冰箱除臭微波炉去异味喷雾多功能除菌清洗剂清新剂</t>
  </si>
  <si>
    <t>2871351</t>
  </si>
  <si>
    <t>2010010212</t>
  </si>
  <si>
    <t xml:space="preserve">保温壶 九阳 B19LF2B家用保温水壶 1.9L黑色 </t>
  </si>
  <si>
    <t>2871349</t>
  </si>
  <si>
    <t>2020020212</t>
  </si>
  <si>
    <t>垃圾桶 五月花 PP+不锈钢+PETWYH-GB11212L 手按脚踏双用垃圾桶</t>
  </si>
  <si>
    <t>垃圾桶</t>
  </si>
  <si>
    <t>2871345</t>
  </si>
  <si>
    <t>2871346</t>
  </si>
  <si>
    <t>PO231225000358</t>
  </si>
  <si>
    <t>2010050186</t>
  </si>
  <si>
    <t xml:space="preserve">开水器 自然来 ZRL-G30(K) 60L黑色 </t>
  </si>
  <si>
    <t>家居生活/厨房卫浴/商用电器</t>
  </si>
  <si>
    <t>开水器</t>
  </si>
  <si>
    <t>2023-12-13 17:48:44.0</t>
  </si>
  <si>
    <t>2875712</t>
  </si>
  <si>
    <t xml:space="preserve">滤芯 沁园 直饮机RD301配件 10寸聚丙烯明杆式快接滤芯 </t>
  </si>
  <si>
    <t>2875711</t>
  </si>
  <si>
    <t xml:space="preserve">滤芯 沁园 RD301 100GPD汇通RO膜滤芯 </t>
  </si>
  <si>
    <t>2875716</t>
  </si>
  <si>
    <t xml:space="preserve">滤芯 沁园 CS3 20寸P滤芯(LPP） </t>
  </si>
  <si>
    <t>2875715</t>
  </si>
  <si>
    <t xml:space="preserve">滤芯 沁园 CS3 20寸平压式颗粒活性炭滤芯(LPP） </t>
  </si>
  <si>
    <t>2875714</t>
  </si>
  <si>
    <t xml:space="preserve">滤芯 沁园 RD301 10寸明杆式炭棒滤芯 </t>
  </si>
  <si>
    <t>2875717</t>
  </si>
  <si>
    <t xml:space="preserve">滤芯 沁园 CS3 20寸超滤插入式 </t>
  </si>
  <si>
    <t>2875713</t>
  </si>
  <si>
    <t>PO240117000367</t>
  </si>
  <si>
    <t>2023-12-12 16:30:56.0</t>
  </si>
  <si>
    <t>2925827</t>
  </si>
  <si>
    <t>PO231207000357</t>
  </si>
  <si>
    <t>2023-12-12 14:30:37.0</t>
  </si>
  <si>
    <t>2831983</t>
  </si>
  <si>
    <t>AC9931782</t>
  </si>
  <si>
    <t>APPLE/苹果 iPad充电线 MM0A3FE/A 1m USB-C转闪电连接线 1根</t>
  </si>
  <si>
    <t>2831988</t>
  </si>
  <si>
    <t>2831990</t>
  </si>
  <si>
    <t>AE2802926</t>
  </si>
  <si>
    <t>HTHX/航天航兴 球墨铸铁遥控浮球阀 100X-16Q-DN100 1台</t>
  </si>
  <si>
    <t>2831985</t>
  </si>
  <si>
    <t>AE2153876</t>
  </si>
  <si>
    <t>CHOSEAL/秋叶原 50m复合光纤HDMI线Q8511 Q8511 1条</t>
  </si>
  <si>
    <t>2831984</t>
  </si>
  <si>
    <t>AE2299622</t>
  </si>
  <si>
    <t>DHS/红双喜 室内标准小彩虹乒乓球桌 T2828 1张</t>
  </si>
  <si>
    <t>2831987</t>
  </si>
  <si>
    <t>AE3505552</t>
  </si>
  <si>
    <t>LFANG/凌防 吸烟探测报警器套装(独立款) LF-SA005 含报警器×1+遥控器×1+电源×1 1套</t>
  </si>
  <si>
    <t>2831989</t>
  </si>
  <si>
    <t>2831986</t>
  </si>
  <si>
    <t>PO231209000059</t>
  </si>
  <si>
    <t>4030160129</t>
  </si>
  <si>
    <t>扫把 白云 AF01205A 簸箕950g，扫把350g，黑色 防风簸箕扫把套装，防风变形设计，贴和地面，卡扣收纳，一体式扫把，弹性刷毛</t>
  </si>
  <si>
    <t>2023-12-09 14:51:41.0</t>
  </si>
  <si>
    <t>2843252</t>
  </si>
  <si>
    <t>PO231213000183</t>
  </si>
  <si>
    <t>2020050290</t>
  </si>
  <si>
    <t>纸巾盒 国产优质 咖啡色皮革 25.5x13.5x9.5CM 定制</t>
  </si>
  <si>
    <t>纸巾盒</t>
  </si>
  <si>
    <t>2023-12-05 18:05:11.0</t>
  </si>
  <si>
    <t>2836235</t>
  </si>
  <si>
    <t>PO231215000204</t>
  </si>
  <si>
    <t>7050090029</t>
  </si>
  <si>
    <t xml:space="preserve">T8LED灯管 佛山 16W1.2米 T8LED长1.2米16W </t>
  </si>
  <si>
    <t>2023-12-05 15:47:59.0</t>
  </si>
  <si>
    <t>2880274</t>
  </si>
  <si>
    <t>7050070120</t>
  </si>
  <si>
    <t xml:space="preserve">平板灯 LED （60*60） </t>
  </si>
  <si>
    <t>2880272</t>
  </si>
  <si>
    <t>2880275</t>
  </si>
  <si>
    <t>7050080021</t>
  </si>
  <si>
    <t>T5LED灯管 国产优质 36W 1.2米 日光色6500K</t>
  </si>
  <si>
    <t>2880273</t>
  </si>
  <si>
    <t>7050070154</t>
  </si>
  <si>
    <t xml:space="preserve">平板灯 鸿粤 铝材银框600*600【48W】豪华型-60W </t>
  </si>
  <si>
    <t>2880276</t>
  </si>
  <si>
    <t>PO231205000240</t>
  </si>
  <si>
    <t>2023-12-05 14:28:39.0</t>
  </si>
  <si>
    <t>2829384</t>
  </si>
  <si>
    <t>PO231205000238</t>
  </si>
  <si>
    <t>3070080174</t>
  </si>
  <si>
    <t>铝板 停车场收费提示标识 画面1200x800MM 铝板+反光膜</t>
  </si>
  <si>
    <t>形象视觉/标识标牌/铝板</t>
  </si>
  <si>
    <t>铝板</t>
  </si>
  <si>
    <t>2819870</t>
  </si>
  <si>
    <t>2819866</t>
  </si>
  <si>
    <t>PO231205000243</t>
  </si>
  <si>
    <t>1010100198</t>
  </si>
  <si>
    <t xml:space="preserve">硬盘 雷克沙 NS100移动硬盘 SSD固态硬盘，SATA3.0接口，2.5英寸，512G </t>
  </si>
  <si>
    <t>硬盘</t>
  </si>
  <si>
    <t>2819879</t>
  </si>
  <si>
    <t>PO231130000281</t>
  </si>
  <si>
    <t>2817182</t>
  </si>
  <si>
    <t>QK0727</t>
  </si>
  <si>
    <t>DELI/得力 可加墨白板笔 S502 黑色 10支 1盒</t>
  </si>
  <si>
    <t>2817191</t>
  </si>
  <si>
    <t>4030070104</t>
  </si>
  <si>
    <t>尘推布 超宝 C-004 90CM×16CM 黄面白纱，优质棉拖头</t>
  </si>
  <si>
    <t>尘推布</t>
  </si>
  <si>
    <t>2829385</t>
  </si>
  <si>
    <t>3070050874</t>
  </si>
  <si>
    <t>不锈钢腐蚀牌 车行导向停车场标识 2000x270MM，厚度70MM 不锈钢，镀锌板，不锈钢电镀玫瑰金色，镀锌板镂空灯箱，UV打印，专色印刷</t>
  </si>
  <si>
    <t>2819865</t>
  </si>
  <si>
    <t>PO231205000241</t>
  </si>
  <si>
    <t>2829393</t>
  </si>
  <si>
    <t>2829389</t>
  </si>
  <si>
    <t>PO231205000244</t>
  </si>
  <si>
    <t>2829395</t>
  </si>
  <si>
    <t>PM5251</t>
  </si>
  <si>
    <t>BULL/公牛 排插 GN-B50A0-3M 1个</t>
  </si>
  <si>
    <t>2817200</t>
  </si>
  <si>
    <t>2817178</t>
  </si>
  <si>
    <t>2829383</t>
  </si>
  <si>
    <t>3070013543</t>
  </si>
  <si>
    <t>亚克力 扶梯乘坐安全须知扶梯标识 300x500MM UV打印，专色印刷</t>
  </si>
  <si>
    <t>2819862</t>
  </si>
  <si>
    <t>3070013490</t>
  </si>
  <si>
    <t>亚克力 国产优质 指引标识横版 60CMx40CM 亚克力UV打印</t>
  </si>
  <si>
    <t>2819867</t>
  </si>
  <si>
    <t>AA2330708</t>
  </si>
  <si>
    <t>ICEY/冰禹 ZHyl-15系列绿色塑料膨胀胶塞 M8 1000个 1包</t>
  </si>
  <si>
    <t>2817185</t>
  </si>
  <si>
    <t>3070013516</t>
  </si>
  <si>
    <t>pvc裱写真 电动车停放管理规定，公共区域行为提示类标识 宽60CM/长75CM 室外写真打印过PVC板</t>
  </si>
  <si>
    <t>2819868</t>
  </si>
  <si>
    <t>2819869</t>
  </si>
  <si>
    <t>AA6578049</t>
  </si>
  <si>
    <t>SVAVO/瑞沃 喷香机补充液 清新剂 法国香 300mL 1瓶</t>
  </si>
  <si>
    <t>2817189</t>
  </si>
  <si>
    <t>2817181</t>
  </si>
  <si>
    <t>2829392</t>
  </si>
  <si>
    <t>AC9565907</t>
  </si>
  <si>
    <t>SIMAA/西玛 会计凭证 FM152B 299×212mm 25套 封面封底+包角 1包</t>
  </si>
  <si>
    <t>办公类/办公耗材/凭证/单据</t>
  </si>
  <si>
    <t>2817175</t>
  </si>
  <si>
    <t>2817173</t>
  </si>
  <si>
    <t>2817180</t>
  </si>
  <si>
    <t>4030070102</t>
  </si>
  <si>
    <t>尘推杆 超宝 C-011-1 长约1.25M 不锈钢金属夹扣，搭配尘推布使用</t>
  </si>
  <si>
    <t>2829386</t>
  </si>
  <si>
    <t>AF4647</t>
  </si>
  <si>
    <t>HONEYWELL/霍尼韦尔 TRIPPER系列低帮安全鞋 SP2010513 39码 绝缘 1双</t>
  </si>
  <si>
    <t>工程物资/五金辅料/绝缘鞋（更新中）</t>
  </si>
  <si>
    <t>2817197</t>
  </si>
  <si>
    <t>2819875</t>
  </si>
  <si>
    <t>3070050878</t>
  </si>
  <si>
    <t>不锈钢腐蚀牌 专用车位标识 300x100MM，厚度1.2MM 不锈钢烤漆贴面标识牌，UV打印，专色印刷</t>
  </si>
  <si>
    <t>2819872</t>
  </si>
  <si>
    <t>AC8800889</t>
  </si>
  <si>
    <t>LESSO/联塑 PVC排水90°弯头 De110 排水配件 白色 1只</t>
  </si>
  <si>
    <t>2817184</t>
  </si>
  <si>
    <t>7050110014</t>
  </si>
  <si>
    <t>T8LED灯架 佛山照明 T8一体化支架 1.2M 白光,16W</t>
  </si>
  <si>
    <t>2829391</t>
  </si>
  <si>
    <t>AA3244512</t>
  </si>
  <si>
    <t>SAMZHE/山泽 HDMI线 20SH8 2m 黑色 2.0版 4K数字高清线 3D视频线数据线 18Gbps 投影仪电脑电视机机顶盒连接线 1根</t>
  </si>
  <si>
    <t>2817170</t>
  </si>
  <si>
    <t>AF4650</t>
  </si>
  <si>
    <t>HONEYWELL/霍尼韦尔 TRIPPER系列低帮安全鞋 SP2010513 42码 绝缘 1双</t>
  </si>
  <si>
    <t>2817194</t>
  </si>
  <si>
    <t>2817188</t>
  </si>
  <si>
    <t>2817177</t>
  </si>
  <si>
    <t>7020180081</t>
  </si>
  <si>
    <t>疏通机 大力 GQ-4 管道直径：2-10CM 一炮通管道疏通器，气动型，不伤管道，安全简单</t>
  </si>
  <si>
    <t>工程物资/电动工具/疏通机</t>
  </si>
  <si>
    <t>疏通机</t>
  </si>
  <si>
    <t>2829381</t>
  </si>
  <si>
    <t>3070013507</t>
  </si>
  <si>
    <t>亚克力 物业管理处收费标准公示牌 450x624MM 亚克力夹写真喷绘</t>
  </si>
  <si>
    <t>2819863</t>
  </si>
  <si>
    <t>AA5317692</t>
  </si>
  <si>
    <t>FGO 100X系列球墨铸铁遥控浮球阀 100X-16Q-DN150 法兰连接接口 公称压力PN16 1个</t>
  </si>
  <si>
    <t>2817183</t>
  </si>
  <si>
    <t>AF4651</t>
  </si>
  <si>
    <t>HONEYWELL/霍尼韦尔 TRIPPER系列低帮安全鞋 SP2010513 43码 绝缘 1双</t>
  </si>
  <si>
    <t>2817193</t>
  </si>
  <si>
    <t>7050080037</t>
  </si>
  <si>
    <t>T5LED灯管 三雄极光 丽致T5一体化灯PAK410110 14W，1M 865白光</t>
  </si>
  <si>
    <t>2829390</t>
  </si>
  <si>
    <t>4080090062</t>
  </si>
  <si>
    <t>百洁布 3M G6215 9.5CMx6.5CMx3CM 海绵</t>
  </si>
  <si>
    <t>2829387</t>
  </si>
  <si>
    <t>2829394</t>
  </si>
  <si>
    <t>2819876</t>
  </si>
  <si>
    <t>AE0648714</t>
  </si>
  <si>
    <t>ZKH/震坤行 美工刀 HBG-MGD18B 18mm 1把</t>
  </si>
  <si>
    <t>2817171</t>
  </si>
  <si>
    <t>AF4649</t>
  </si>
  <si>
    <t>HONEYWELL/霍尼韦尔 TRIPPER系列低帮安全鞋 SP2010513 41码 绝缘 1双</t>
  </si>
  <si>
    <t>2817195</t>
  </si>
  <si>
    <t>AA3930313</t>
  </si>
  <si>
    <t>BEFON/得印 彩色钥匙牌 9831 24个 1盒</t>
  </si>
  <si>
    <t>2817198</t>
  </si>
  <si>
    <t>PO231205000242</t>
  </si>
  <si>
    <t>2819878</t>
  </si>
  <si>
    <t>2817187</t>
  </si>
  <si>
    <t>AF4648</t>
  </si>
  <si>
    <t>HONEYWELL/霍尼韦尔 TRIPPER系列低帮安全鞋 SP2010513 40码 绝缘 1双</t>
  </si>
  <si>
    <t>2817196</t>
  </si>
  <si>
    <t>2817186</t>
  </si>
  <si>
    <t>2817190</t>
  </si>
  <si>
    <t>3070013923</t>
  </si>
  <si>
    <t>背景墙 欢喜 亚克力文化墙 240CMx120CMx0.8CM 含15个亚克力卡槽</t>
  </si>
  <si>
    <t>背景墙</t>
  </si>
  <si>
    <t>2819871</t>
  </si>
  <si>
    <t>2819873</t>
  </si>
  <si>
    <t>AE2336865</t>
  </si>
  <si>
    <t>LESSO/联塑 Ⅰ型网管PVC软管 dn25X30 50m 透明 1卷</t>
  </si>
  <si>
    <t>2817192</t>
  </si>
  <si>
    <t>AC5326412</t>
  </si>
  <si>
    <t>M&amp;G/晨光 MG-2135桌面型计算器 ADG98198 12位 1个</t>
  </si>
  <si>
    <t>2817179</t>
  </si>
  <si>
    <t>2829388</t>
  </si>
  <si>
    <t>PO231205000239</t>
  </si>
  <si>
    <t>2020040068</t>
  </si>
  <si>
    <t>矿泉水 景田 348MLx24</t>
  </si>
  <si>
    <t>景田（深圳）食品饮料集团有限公司</t>
  </si>
  <si>
    <t>2819877</t>
  </si>
  <si>
    <t>2829382</t>
  </si>
  <si>
    <t>AA8649296</t>
  </si>
  <si>
    <t>DELI/得力 固体胶 7102 21g 1支</t>
  </si>
  <si>
    <t>2817176</t>
  </si>
  <si>
    <t>PM5271</t>
  </si>
  <si>
    <t>BULL/公牛 排插 GN-B5440-5M 1个</t>
  </si>
  <si>
    <t>2817199</t>
  </si>
  <si>
    <t>2829397</t>
  </si>
  <si>
    <t>2817172</t>
  </si>
  <si>
    <t>3070013544</t>
  </si>
  <si>
    <t>亚克力 特种设备使用标志设备房工程专用栏 800x1200MM，厚度3MM 背面UV打印</t>
  </si>
  <si>
    <t>2819864</t>
  </si>
  <si>
    <t>2819874</t>
  </si>
  <si>
    <t>2829396</t>
  </si>
  <si>
    <t>2817174</t>
  </si>
  <si>
    <t>PO240117000351</t>
  </si>
  <si>
    <t>2023-11-29 17:26:54.0</t>
  </si>
  <si>
    <t>2915838</t>
  </si>
  <si>
    <t>PO240108000339</t>
  </si>
  <si>
    <t>卓马（深圳）搬迁吊装有限公司</t>
  </si>
  <si>
    <t>2023-11-16 14:51:20.0</t>
  </si>
  <si>
    <t>2904919</t>
  </si>
  <si>
    <t>PO231117000272</t>
  </si>
  <si>
    <t>2023-11-16 12:13:15.0</t>
  </si>
  <si>
    <t>2810675</t>
  </si>
  <si>
    <t>PO231116000158</t>
  </si>
  <si>
    <t>6100072</t>
  </si>
  <si>
    <t>风帆(sail)汽车少维护电瓶蓄电池(不含电解液)6-QA-150SAIL12V货车卡车大巴叉车发电机组 以旧换新上门安装</t>
  </si>
  <si>
    <t>消防安保/消防器材/UPS蓄电池（更新中）</t>
  </si>
  <si>
    <t>2023-11-13 14:30:48.0</t>
  </si>
  <si>
    <t>2799644</t>
  </si>
  <si>
    <t>2799641</t>
  </si>
  <si>
    <t>100004769317</t>
  </si>
  <si>
    <t>小米 米家喷墨打印机 大容量连供彩色无线多功能一体机（打印 手机复印 扫描 Wifi 微信 远程打印 作业 ）</t>
  </si>
  <si>
    <t>2799638</t>
  </si>
  <si>
    <t>2799645</t>
  </si>
  <si>
    <t>2799639</t>
  </si>
  <si>
    <t>2799643</t>
  </si>
  <si>
    <t>4090040129</t>
  </si>
  <si>
    <t>香薰精油 FEBREZE 柠檬草香 370ML 天然香氛</t>
  </si>
  <si>
    <t>2799640</t>
  </si>
  <si>
    <t>102046</t>
  </si>
  <si>
    <t>晨光 M＆G 中性笔 K-35 0.5mm (黑色) 12支/盒 (替芯：G-5)</t>
  </si>
  <si>
    <t>2799642</t>
  </si>
  <si>
    <t>PO231110000375</t>
  </si>
  <si>
    <t>100012098606</t>
  </si>
  <si>
    <t>蓓安适创可贴 创口贴透气防水防磨脚贴弹力创口贴 50个/盒</t>
  </si>
  <si>
    <t>2023-11-09 15:15:56.0</t>
  </si>
  <si>
    <t>2806162</t>
  </si>
  <si>
    <t>2806163</t>
  </si>
  <si>
    <t>4070060119</t>
  </si>
  <si>
    <t>湿巾 海氏海诺 75%酒精湿巾大号 18x15CMx50片 一次性消毒酒精棉片，单片独立包装</t>
  </si>
  <si>
    <t>2806161</t>
  </si>
  <si>
    <t>2806165</t>
  </si>
  <si>
    <t>2806160</t>
  </si>
  <si>
    <t>2806159</t>
  </si>
  <si>
    <t>209029</t>
  </si>
  <si>
    <t>惠普 HP 硒鼓 CC388A 88A （黑色）</t>
  </si>
  <si>
    <t>2806164</t>
  </si>
  <si>
    <t>PO240117000344</t>
  </si>
  <si>
    <t>2023-11-08 11:12:24.0</t>
  </si>
  <si>
    <t>2925773</t>
  </si>
  <si>
    <t>PO240202000020</t>
  </si>
  <si>
    <t>2023-11-07 10:01:29.0</t>
  </si>
  <si>
    <t>2930531</t>
  </si>
  <si>
    <t>PO231106000073</t>
  </si>
  <si>
    <t>2023-11-06 10:15:24.0</t>
  </si>
  <si>
    <t>2792764</t>
  </si>
  <si>
    <t>PO231106000068</t>
  </si>
  <si>
    <t>6050020048</t>
  </si>
  <si>
    <t>摄像机 海康威视 DS-2CD3525FV3-IT（国内标配） 镜头焦距2MM，像素200万，支持POE供电 红外迷你半球型网络摄像机</t>
  </si>
  <si>
    <t>2801746</t>
  </si>
  <si>
    <t>PO231106000066</t>
  </si>
  <si>
    <t>4030030070</t>
  </si>
  <si>
    <t>玻璃刮 白云 AF05002 双节1.2M+35CM玻璃刮+35CM涂水器 玻璃清洁套装</t>
  </si>
  <si>
    <t>清洁物资类/清洁工具/玻璃刮</t>
  </si>
  <si>
    <t>玻璃刮</t>
  </si>
  <si>
    <t>2801734</t>
  </si>
  <si>
    <t>PO231106000071</t>
  </si>
  <si>
    <t>6080020201</t>
  </si>
  <si>
    <t>警示柱 国产 警示柱链条 3米/根，红白 警示柱配件，塑料材质</t>
  </si>
  <si>
    <t>警示柱</t>
  </si>
  <si>
    <t>2801751</t>
  </si>
  <si>
    <t>4030200017</t>
  </si>
  <si>
    <t>拾物夹/垃圾夹 伏达 长度80CM 铝合金，环卫垃圾钳</t>
  </si>
  <si>
    <t>2801736</t>
  </si>
  <si>
    <t>2801742</t>
  </si>
  <si>
    <t>PO231106000067</t>
  </si>
  <si>
    <t>2801744</t>
  </si>
  <si>
    <t>4030140116</t>
  </si>
  <si>
    <t>刷子 国产 长度1.2M，宽度23CM 木柄地刷，浓密毛刷，牢固耐用</t>
  </si>
  <si>
    <t>清洁物资类/清洁工具/刷子</t>
  </si>
  <si>
    <t>刷子</t>
  </si>
  <si>
    <t>2801735</t>
  </si>
  <si>
    <t>2801745</t>
  </si>
  <si>
    <t>4030240099</t>
  </si>
  <si>
    <t>水桶 思达睿 带盖 150L 白色</t>
  </si>
  <si>
    <t>2801737</t>
  </si>
  <si>
    <t>4030290138</t>
  </si>
  <si>
    <t>拖把 得力 19501 尘推头尺寸27CM，长1M-1.3M，杆直径约2.5CM 对折挤水胶棉拖把，PVA胶棉头，伸缩杆</t>
  </si>
  <si>
    <t>2801731</t>
  </si>
  <si>
    <t>4030020027</t>
  </si>
  <si>
    <t>玻璃擦 白云 AF06218A 宽度45CM 涂水器毛头，棉头，固定粘畔，条纹花色，棉头包边。</t>
  </si>
  <si>
    <t>清洁物资类/清洁工具/玻璃擦</t>
  </si>
  <si>
    <t>玻璃擦</t>
  </si>
  <si>
    <t>2801732</t>
  </si>
  <si>
    <t>PO231106000072</t>
  </si>
  <si>
    <t>2792760</t>
  </si>
  <si>
    <t>2801730</t>
  </si>
  <si>
    <t>2801741</t>
  </si>
  <si>
    <t>6050020043</t>
  </si>
  <si>
    <t>摄像机 海康威视 DS-2CD3T27EWDV3-L 最高分辨率可达1920x1080@25fps，在该分辨率下可输出实时图像，镜头焦距2.8MM 臻全彩摄像机</t>
  </si>
  <si>
    <t>2801748</t>
  </si>
  <si>
    <t>PO231106000064</t>
  </si>
  <si>
    <t>2801728</t>
  </si>
  <si>
    <t>4080050613</t>
  </si>
  <si>
    <t>垃圾袋 思达睿 平口袋 90CMx100CM，50只/包，双层：4.6丝，克重：37g/个 黑色</t>
  </si>
  <si>
    <t>2792762</t>
  </si>
  <si>
    <t>3070013572</t>
  </si>
  <si>
    <t xml:space="preserve">亚克力 上墙制度及内容 600x900MM </t>
  </si>
  <si>
    <t>2801727</t>
  </si>
  <si>
    <t>2792759</t>
  </si>
  <si>
    <t>PO231106000070</t>
  </si>
  <si>
    <t>2801750</t>
  </si>
  <si>
    <t>6040030025</t>
  </si>
  <si>
    <t>对讲机耳机 海能达 EHM04 适用于J机型TD560</t>
  </si>
  <si>
    <t>消防安保/安防通讯/对讲机辅件</t>
  </si>
  <si>
    <t>对讲机耳机</t>
  </si>
  <si>
    <t>2801743</t>
  </si>
  <si>
    <t>PO231106000065</t>
  </si>
  <si>
    <t>2801729</t>
  </si>
  <si>
    <t>2801738</t>
  </si>
  <si>
    <t>2801740</t>
  </si>
  <si>
    <t>2792761</t>
  </si>
  <si>
    <t>3070050907</t>
  </si>
  <si>
    <t>不锈钢腐蚀牌 男女卫生间标识（入口及门上）洗手间指示牌 150x300MM，厚度1.2MM 纯不锈钢，不锈钢腐蚀填色</t>
  </si>
  <si>
    <t>2801726</t>
  </si>
  <si>
    <t>6050020053</t>
  </si>
  <si>
    <t>摄像机 海康威视 DS-2CD3726FWDA3/F-IZS 镜头焦距2.7-12MM，像素200万 智能变焦半球型网络摄像机</t>
  </si>
  <si>
    <t>2801747</t>
  </si>
  <si>
    <t>2792763</t>
  </si>
  <si>
    <t>4080210032</t>
  </si>
  <si>
    <t>除胶剂 保赐利 450ML 轻松去胶，不伤车漆，车居两用，一瓶解决残胶问题</t>
  </si>
  <si>
    <t>除胶剂</t>
  </si>
  <si>
    <t>2801739</t>
  </si>
  <si>
    <t>PO231106000069</t>
  </si>
  <si>
    <t>2801749</t>
  </si>
  <si>
    <t>4030220047</t>
  </si>
  <si>
    <t>水刮 超宝 C-036 刮长55CM，杆长125CM 塑料海绵推水刮，地面刮水器，除水器，海绵刮子，强耐磨，轻松刮除地面积水、污渍，千湿两用，刮水刮灰尘垃圾</t>
  </si>
  <si>
    <t>清洁物资类/清洁工具/水刮</t>
  </si>
  <si>
    <t>水刮</t>
  </si>
  <si>
    <t>2801733</t>
  </si>
  <si>
    <t>PO240117000322</t>
  </si>
  <si>
    <t>2023-11-06 07:55:04.0</t>
  </si>
  <si>
    <t>2925736</t>
  </si>
  <si>
    <t>PO240117000330</t>
  </si>
  <si>
    <t>2023-11-06 07:54:45.0</t>
  </si>
  <si>
    <t>2925745</t>
  </si>
  <si>
    <t>PO231109000065</t>
  </si>
  <si>
    <t>1010020216</t>
  </si>
  <si>
    <t>硒鼓 惠普 CP1025nw 黑色</t>
  </si>
  <si>
    <t>硒鼓</t>
  </si>
  <si>
    <t>2023-11-03 19:51:29.0</t>
  </si>
  <si>
    <t>2795524</t>
  </si>
  <si>
    <t>2795528</t>
  </si>
  <si>
    <t>7505691</t>
  </si>
  <si>
    <t>风帆(sail)汽车免维护电瓶蓄电池6-QW-165(同180G51) 12V货车轻卡重卡叉车工程发电机组不收旧电瓶送货上门</t>
  </si>
  <si>
    <t>2795527</t>
  </si>
  <si>
    <t>7090030023</t>
  </si>
  <si>
    <t xml:space="preserve">蝶阀 国产 DN65材质碳钢 </t>
  </si>
  <si>
    <t>工程物资/阀门/蝶阀</t>
  </si>
  <si>
    <t>蝶阀</t>
  </si>
  <si>
    <t>2795526</t>
  </si>
  <si>
    <t>1020020002</t>
  </si>
  <si>
    <t xml:space="preserve">铅笔 友爱 2B铅笔 6支/盒 </t>
  </si>
  <si>
    <t>铅笔</t>
  </si>
  <si>
    <t>2795529</t>
  </si>
  <si>
    <t>AA3550015</t>
  </si>
  <si>
    <t>M&amp;G/突破 突破PDU插排机房/8位10A 07TG200104 5孔8位 2m 1条</t>
  </si>
  <si>
    <t>2795525</t>
  </si>
  <si>
    <t>PO231031000219</t>
  </si>
  <si>
    <t>AA3524310</t>
  </si>
  <si>
    <t>LESSO/联塑 阻燃绝缘PVC电工波纹管 dn25 外径尺寸25mm 50m 1条</t>
  </si>
  <si>
    <t>2023-11-02 13:55:24.0</t>
  </si>
  <si>
    <t>2788535</t>
  </si>
  <si>
    <t>PM5256</t>
  </si>
  <si>
    <t>BULL/公牛 排插 GN-B5043-1.8M 1个</t>
  </si>
  <si>
    <t>2788534</t>
  </si>
  <si>
    <t>AA4055543</t>
  </si>
  <si>
    <t>ICEY/冰禹 BYll-21系列不锈钢挂钩 6排钩 1个</t>
  </si>
  <si>
    <t>工程物资/五金辅料/挂钩</t>
  </si>
  <si>
    <t>2788544</t>
  </si>
  <si>
    <t>2788540</t>
  </si>
  <si>
    <t>2788541</t>
  </si>
  <si>
    <t>2788533</t>
  </si>
  <si>
    <t>2788543</t>
  </si>
  <si>
    <t>AA9027742</t>
  </si>
  <si>
    <t>ZKH/震坤行 特小型高耐磨钢卷尺 HHT-TM1025 10m×25mm 1把</t>
  </si>
  <si>
    <t>2788539</t>
  </si>
  <si>
    <t>AE0649356</t>
  </si>
  <si>
    <t>SHENGWEI/胜为 24AWG非屏蔽超五类网线305米 CLC-5305A 灰色 305m 1箱</t>
  </si>
  <si>
    <t>2788537</t>
  </si>
  <si>
    <t>2788536</t>
  </si>
  <si>
    <t>AA4273631</t>
  </si>
  <si>
    <t>H3C/华三 交换机 S1218F-HPWR 16口 1台</t>
  </si>
  <si>
    <t>2788538</t>
  </si>
  <si>
    <t>AA2828424</t>
  </si>
  <si>
    <t>NANFU/南孚 碱性电池 LR6-6B 5号 6粒装 聚能环三代 1包</t>
  </si>
  <si>
    <t>2788542</t>
  </si>
  <si>
    <t>2788545</t>
  </si>
  <si>
    <t>PO231128000067</t>
  </si>
  <si>
    <t>深圳泓达机电工程有限公司</t>
  </si>
  <si>
    <t>2023-10-31 08:26:54.0</t>
  </si>
  <si>
    <t>2824483</t>
  </si>
  <si>
    <t>PO231025000012</t>
  </si>
  <si>
    <t>2023-10-25 09:08:34.0</t>
  </si>
  <si>
    <t>2785088</t>
  </si>
  <si>
    <t>3080040377</t>
  </si>
  <si>
    <t xml:space="preserve">kt板 国产优质 展架 176x76CM </t>
  </si>
  <si>
    <t>kt板</t>
  </si>
  <si>
    <t>2785090</t>
  </si>
  <si>
    <t>3080030268</t>
  </si>
  <si>
    <t>喷绘 国产优质 优质灯布 590CMx210CM 幕布</t>
  </si>
  <si>
    <t>2785091</t>
  </si>
  <si>
    <t>3070050904</t>
  </si>
  <si>
    <t>不锈钢腐蚀牌 施工进行中敬请谅解工程作业提示牌 420x297MM 不锈钢烤漆立牌，UV打印，专色印刷</t>
  </si>
  <si>
    <t>2785089</t>
  </si>
  <si>
    <t>PO231110000091</t>
  </si>
  <si>
    <t>7110080021</t>
  </si>
  <si>
    <t xml:space="preserve">河沙 粗沙 25KG/包 </t>
  </si>
  <si>
    <t>汇铭消防科技集团有限公司</t>
  </si>
  <si>
    <t>2023-10-20 12:41:48.0</t>
  </si>
  <si>
    <t>2805658</t>
  </si>
  <si>
    <t>PO231024000316</t>
  </si>
  <si>
    <t>深圳市益创远电气有限公司</t>
  </si>
  <si>
    <t>2023-10-20 12:12:47.0</t>
  </si>
  <si>
    <t>2785066</t>
  </si>
  <si>
    <t>PO231027000145</t>
  </si>
  <si>
    <t>2023-10-19 17:12:50.0</t>
  </si>
  <si>
    <t>2786712</t>
  </si>
  <si>
    <t>PO231024000272</t>
  </si>
  <si>
    <t>2023-10-19 17:12:42.0</t>
  </si>
  <si>
    <t>2776303</t>
  </si>
  <si>
    <t>PO231027000152</t>
  </si>
  <si>
    <t>100003275536</t>
  </si>
  <si>
    <t>梅府茗家茶叶绿茶罐装通版手提袋（0099） 赠品勿拍</t>
  </si>
  <si>
    <t>2023-10-19 15:59:44.0</t>
  </si>
  <si>
    <t>2786726</t>
  </si>
  <si>
    <t>7050060364</t>
  </si>
  <si>
    <t>筒灯 飞利浦 开孔尺寸φ175MM 18W，4000K LED</t>
  </si>
  <si>
    <t>2786723</t>
  </si>
  <si>
    <t>2010010193</t>
  </si>
  <si>
    <t xml:space="preserve">玻璃杯 国产 透明双层玻璃 350ML </t>
  </si>
  <si>
    <t>玻璃杯</t>
  </si>
  <si>
    <t>2786725</t>
  </si>
  <si>
    <t>7040010101</t>
  </si>
  <si>
    <t xml:space="preserve">麻花钻头 国产优质 含钴 2 </t>
  </si>
  <si>
    <t>麻花钻头</t>
  </si>
  <si>
    <t>2786729</t>
  </si>
  <si>
    <t>1010020076</t>
  </si>
  <si>
    <t xml:space="preserve">硒鼓 天威 CC388A 惠普P1108硒鼓适用HPM126aP1106M1136P1008M1213nfm128fp/fnm202n </t>
  </si>
  <si>
    <t>2786728</t>
  </si>
  <si>
    <t>4060280017</t>
  </si>
  <si>
    <t xml:space="preserve">除油剂 洁而亮 多功能清洁乳油污清洁剂瓷砖厨房除垢去污洁而亮去污乳（柠檬） 500ML </t>
  </si>
  <si>
    <t>清洁物资类/清洁剂（更新中）/除油剂/化油剂（更新中）</t>
  </si>
  <si>
    <t>2786727</t>
  </si>
  <si>
    <t>2010010552</t>
  </si>
  <si>
    <t>保温壶 国产 2000ML 不锈钢304，保温24小时</t>
  </si>
  <si>
    <t>2786724</t>
  </si>
  <si>
    <t>PO231027000163</t>
  </si>
  <si>
    <t>100011363318</t>
  </si>
  <si>
    <t>振德（ZHENDE） 医用胶带 家用PE胶带 日常使用透气PE胶带  1.25cm*914cm 1卷</t>
  </si>
  <si>
    <t>2023-10-19 15:59:18.0</t>
  </si>
  <si>
    <t>2778007</t>
  </si>
  <si>
    <t>7131020128</t>
  </si>
  <si>
    <t>门锁 金捍力 消防推杆锁 智能门禁配件</t>
  </si>
  <si>
    <t>2777998</t>
  </si>
  <si>
    <t>2010020374</t>
  </si>
  <si>
    <t>托盘垫 雅臣仕 带笔槽水杯垫+糖果盒 12x24CM</t>
  </si>
  <si>
    <t>托盘垫</t>
  </si>
  <si>
    <t>2778001</t>
  </si>
  <si>
    <t>AA3434622</t>
  </si>
  <si>
    <t>PHILIPS/飞利浦 T8灯管(飞东) TL-D 36W 33-640 长1.2m 4100K 暖白 整件优惠装 1支</t>
  </si>
  <si>
    <t>2777999</t>
  </si>
  <si>
    <t>2020040081</t>
  </si>
  <si>
    <t>咖啡伴侣 维记 奶精球 400mLx2包（10mLx80颗） 咖啡奶油球，植脂淡奶</t>
  </si>
  <si>
    <t>2778003</t>
  </si>
  <si>
    <t>7080120479</t>
  </si>
  <si>
    <t>线管 联塑 PVC线管（B管） DN20x1.4MMx3.8M 白色</t>
  </si>
  <si>
    <t>线管</t>
  </si>
  <si>
    <t>2778000</t>
  </si>
  <si>
    <t>1212521</t>
  </si>
  <si>
    <t>得力(deli)3级保密个人家用碎纸机（单次6张 15L 持续5分钟  可碎卡）33103</t>
  </si>
  <si>
    <t>2778006</t>
  </si>
  <si>
    <t>7080110916</t>
  </si>
  <si>
    <t>过滤器 碧涞 PP棉活性炭超滤膜反渗透RO膜 三级过滤，三桶滤芯</t>
  </si>
  <si>
    <t>2778005</t>
  </si>
  <si>
    <t>AA2247356</t>
  </si>
  <si>
    <t>SMART SENSOR/希玛仪表 AR+系列红外测温仪系列手持测温枪 AR872D+ -50~1150℃ 1对</t>
  </si>
  <si>
    <t>2778004</t>
  </si>
  <si>
    <t>2778002</t>
  </si>
  <si>
    <t>2020030069</t>
  </si>
  <si>
    <t xml:space="preserve">吹风机 国产优质 1500-1800W </t>
  </si>
  <si>
    <t>吹风机</t>
  </si>
  <si>
    <t>2777997</t>
  </si>
  <si>
    <t>PO231017000409</t>
  </si>
  <si>
    <t>2023-10-17 18:45:15.0</t>
  </si>
  <si>
    <t>2781557</t>
  </si>
  <si>
    <t>PO231009000319</t>
  </si>
  <si>
    <t>2756798</t>
  </si>
  <si>
    <t>PO231017000407</t>
  </si>
  <si>
    <t>1020060314</t>
  </si>
  <si>
    <t>工牌卡套 金属卡套 外壳58MMx98MM，内卡54MMx86MM</t>
  </si>
  <si>
    <t>2773067</t>
  </si>
  <si>
    <t>PO231017000412</t>
  </si>
  <si>
    <t>2773074</t>
  </si>
  <si>
    <t>2756800</t>
  </si>
  <si>
    <t>PO231017000411</t>
  </si>
  <si>
    <t>6010250011</t>
  </si>
  <si>
    <t>荧光指挥棒 国安 手持 不含电池</t>
  </si>
  <si>
    <t>消防安保/消防工具/荧光指挥棒</t>
  </si>
  <si>
    <t>荧光指挥棒</t>
  </si>
  <si>
    <t>2773071</t>
  </si>
  <si>
    <t>2756801</t>
  </si>
  <si>
    <t>PO231017000410</t>
  </si>
  <si>
    <t>7160120001</t>
  </si>
  <si>
    <t>照明开关 佛山照明 F4-K1/1 单控一位</t>
  </si>
  <si>
    <t>2781560</t>
  </si>
  <si>
    <t>7160120007</t>
  </si>
  <si>
    <t>照明开关 佛山照明 F4-K2/2 双控二位</t>
  </si>
  <si>
    <t>2781559</t>
  </si>
  <si>
    <t>6060120046</t>
  </si>
  <si>
    <t>防洪沙袋 汇铭 防汛专用沙袋拉链款 30CMx70CM，加厚帆布 不含沙</t>
  </si>
  <si>
    <t>2773072</t>
  </si>
  <si>
    <t>AE1228886</t>
  </si>
  <si>
    <t>ZKH/震坤行 中静音塑料手推车 ZKH-300Z-DX 台面尺寸900×600mm 额定载重300kg 折叠把手 1台</t>
  </si>
  <si>
    <t>2756797</t>
  </si>
  <si>
    <t>2756803</t>
  </si>
  <si>
    <t>2773063</t>
  </si>
  <si>
    <t>7160010003</t>
  </si>
  <si>
    <t>插座 佛山照明 F4-1023 10A 五孔插座,二三极插座</t>
  </si>
  <si>
    <t>2781558</t>
  </si>
  <si>
    <t>2773068</t>
  </si>
  <si>
    <t>2756799</t>
  </si>
  <si>
    <t>2773065</t>
  </si>
  <si>
    <t>PU5513</t>
  </si>
  <si>
    <t>TP-LINK/普联 双频无线企业VPN路由器 TL-WAR1200L 1个</t>
  </si>
  <si>
    <t>2756802</t>
  </si>
  <si>
    <t>2773069</t>
  </si>
  <si>
    <t>PO231017000408</t>
  </si>
  <si>
    <t>2773070</t>
  </si>
  <si>
    <t>2773064</t>
  </si>
  <si>
    <t>AA2106331</t>
  </si>
  <si>
    <t>DP/久量 LED强光手电筒 7049B 红色 1个</t>
  </si>
  <si>
    <t>2756796</t>
  </si>
  <si>
    <t>4070100020</t>
  </si>
  <si>
    <t xml:space="preserve">马桶坐垫纸 TORK/多康 1009101 425x360MM，250张x20包，1箱 </t>
  </si>
  <si>
    <t>2773073</t>
  </si>
  <si>
    <t>3080010026</t>
  </si>
  <si>
    <t>易拉宝 垃圾分类公共区域标签门牌 80x200 带支架</t>
  </si>
  <si>
    <t>形象视觉/广告宣传/易拉宝</t>
  </si>
  <si>
    <t>2773066</t>
  </si>
  <si>
    <t>2773062</t>
  </si>
  <si>
    <t>PO231128000083</t>
  </si>
  <si>
    <t>2023-10-10 14:10:47.0</t>
  </si>
  <si>
    <t>2824542</t>
  </si>
  <si>
    <t>PO230928000226</t>
  </si>
  <si>
    <t>2023-09-28 17:49:32.0</t>
  </si>
  <si>
    <t>2752082</t>
  </si>
  <si>
    <t>PO230928000225</t>
  </si>
  <si>
    <t>4080210066</t>
  </si>
  <si>
    <t>水泥清洗剂 国产 500ML 清洁水泥，渗透溶解，主要成份：工业盐酸、表面活性剂、去离子水</t>
  </si>
  <si>
    <t>水泥清洗剂</t>
  </si>
  <si>
    <t>2752068</t>
  </si>
  <si>
    <t>4080210101</t>
  </si>
  <si>
    <t>地板清洁剂 碧丽珠 花香型 300ML 木地板护理精油，功效：护理保养、增亮</t>
  </si>
  <si>
    <t>地板清洁剂</t>
  </si>
  <si>
    <t>2752065</t>
  </si>
  <si>
    <t>4080210055</t>
  </si>
  <si>
    <t>多功能泡沫清洗剂 得力 DL492650 650ML 去污除污渍，高泡配方，除垢上光</t>
  </si>
  <si>
    <t>多功能泡沫清洗剂</t>
  </si>
  <si>
    <t>2752061</t>
  </si>
  <si>
    <t>2752071</t>
  </si>
  <si>
    <t>2752059</t>
  </si>
  <si>
    <t>2752079</t>
  </si>
  <si>
    <t>4080230030</t>
  </si>
  <si>
    <t>蟑螂药 国产 3g/包，10包/盒 低毒，残杀威含量：2%，适用场景：客厅，餐厅</t>
  </si>
  <si>
    <t>2752057</t>
  </si>
  <si>
    <t>2752074</t>
  </si>
  <si>
    <t>4080210076</t>
  </si>
  <si>
    <t>真皮清洗剂 保赐利 B-2519 500ML 高效快速清洁真皮及人造皮革</t>
  </si>
  <si>
    <t>真皮清洗剂</t>
  </si>
  <si>
    <t>2752067</t>
  </si>
  <si>
    <t>4030140128</t>
  </si>
  <si>
    <t>刷子 白云 AF06035 28CMx14.5CMx10CM 管道扫尘埃扫，简约设计，方便易用，清洁不留死角</t>
  </si>
  <si>
    <t>2752076</t>
  </si>
  <si>
    <t>2752066</t>
  </si>
  <si>
    <t>4080210053</t>
  </si>
  <si>
    <t>其他清洁剂 童贝恩 500ML/瓶 办公桌桌子笔迹书桌油墨擦除剂去污</t>
  </si>
  <si>
    <t>2752064</t>
  </si>
  <si>
    <t>4080210062</t>
  </si>
  <si>
    <t>管道疏通剂 净佰俐 无香型 500G/瓶 形态：粉状，酸碱度：弱碱性，主要成分：碱性溶解剂</t>
  </si>
  <si>
    <t>2752073</t>
  </si>
  <si>
    <t>2752054</t>
  </si>
  <si>
    <t>4080210068</t>
  </si>
  <si>
    <t>玻璃清洁剂 威猛先生 清新香型 500G/瓶 镜面车窗清洁，去污防尘</t>
  </si>
  <si>
    <t>玻璃清洁剂</t>
  </si>
  <si>
    <t>2752069</t>
  </si>
  <si>
    <t>4080210063</t>
  </si>
  <si>
    <t>洗衣机槽清洁剂 家安 有香型 125G/包，4包/组 洗衣机槽，除菌去污、气味清新</t>
  </si>
  <si>
    <t>洗衣机槽清洁剂</t>
  </si>
  <si>
    <t>2752063</t>
  </si>
  <si>
    <t>2752053</t>
  </si>
  <si>
    <t>2752055</t>
  </si>
  <si>
    <t>4080090057</t>
  </si>
  <si>
    <t>伞袋架 国产 约49CMx39CMx76CM 材质：铁，不锈钢，表面处理：烤漆，尺寸均以实物为准</t>
  </si>
  <si>
    <t>伞袋架</t>
  </si>
  <si>
    <t>2752052</t>
  </si>
  <si>
    <t>2752080</t>
  </si>
  <si>
    <t>2752077</t>
  </si>
  <si>
    <t>4030060101</t>
  </si>
  <si>
    <t>铲刀 白云 AF06305 宽度4CM 塑料，铲除地面粘粘污渍，可更换刀片</t>
  </si>
  <si>
    <t>2752062</t>
  </si>
  <si>
    <t>4080210054</t>
  </si>
  <si>
    <t>白板清洁剂 得力 7869 100ML/瓶 产品成分：水、异丙醇</t>
  </si>
  <si>
    <t>白板清洁剂</t>
  </si>
  <si>
    <t>2752072</t>
  </si>
  <si>
    <t>2752060</t>
  </si>
  <si>
    <t>2752078</t>
  </si>
  <si>
    <t>2752081</t>
  </si>
  <si>
    <t>4030140123</t>
  </si>
  <si>
    <t>刷子 卫洋 WYS-112 毛刷宽24CM，带柄总长约126CM 长柄棕丝地刷，木质手柄，螺纹接口</t>
  </si>
  <si>
    <t>2752070</t>
  </si>
  <si>
    <t>4080230049</t>
  </si>
  <si>
    <t>粘鼠板 国产 约30CMx21CM，含胶水25G 大尺寸，纸板厚实，摆放位置：厨房，注：产品尺寸为手工测量，存在微小误差，请以实物为准。</t>
  </si>
  <si>
    <t>粘鼠板</t>
  </si>
  <si>
    <t>2752056</t>
  </si>
  <si>
    <t>4080210095</t>
  </si>
  <si>
    <t>除垢清洁剂 绿伞 无香型 900Gx4/组 水垢清除液特点：无磷、无需加热、方便清洁</t>
  </si>
  <si>
    <t>2752058</t>
  </si>
  <si>
    <t>4080210131</t>
  </si>
  <si>
    <t>除锈剂 保赐利 B-1165 400ML/瓶 包装形式：压力罐装</t>
  </si>
  <si>
    <t>2752075</t>
  </si>
  <si>
    <t>PO230927000140</t>
  </si>
  <si>
    <t>2030031662</t>
  </si>
  <si>
    <t>会议桌 国产 F552 3200MMx1380MMx750MM 实木</t>
  </si>
  <si>
    <t>2023-09-25 11:34:23.0</t>
  </si>
  <si>
    <t>2751206</t>
  </si>
  <si>
    <t>PO231012000226</t>
  </si>
  <si>
    <t>2023-09-21 17:09:37.0</t>
  </si>
  <si>
    <t>2759825</t>
  </si>
  <si>
    <t>PO231128000087</t>
  </si>
  <si>
    <t>2023-09-21 15:54:40.0</t>
  </si>
  <si>
    <t>2815590</t>
  </si>
  <si>
    <t>PO240116000058</t>
  </si>
  <si>
    <t>深圳市千禧晨文化传播有限公司</t>
  </si>
  <si>
    <t>2023-09-21 15:53:32.0</t>
  </si>
  <si>
    <t>2914118</t>
  </si>
  <si>
    <t>PO231208000281</t>
  </si>
  <si>
    <t>9030030001</t>
  </si>
  <si>
    <t>第三方安全检查</t>
  </si>
  <si>
    <t>服务类/安全服务类/第三方安全检查</t>
  </si>
  <si>
    <t>深圳市南山区应急产业协会</t>
  </si>
  <si>
    <t>2023-09-20 18:22:34.0</t>
  </si>
  <si>
    <t>2832905</t>
  </si>
  <si>
    <t>PO231110000280</t>
  </si>
  <si>
    <t>2023-09-18 10:28:25.0</t>
  </si>
  <si>
    <t>2805975</t>
  </si>
  <si>
    <t>PO230913000356</t>
  </si>
  <si>
    <t>2023-09-14 11:04:23.0</t>
  </si>
  <si>
    <t>2742619</t>
  </si>
  <si>
    <t>PO230913000304</t>
  </si>
  <si>
    <t>2010050005</t>
  </si>
  <si>
    <t>开水器 沁园 QJ-UF-05A 包安装</t>
  </si>
  <si>
    <t>2023-09-13 16:58:53.0</t>
  </si>
  <si>
    <t>2742470</t>
  </si>
  <si>
    <t>PO230911000091</t>
  </si>
  <si>
    <t>AE3507764</t>
  </si>
  <si>
    <t>LANRAN/兰冉 908A黑色(带头枕脚踏)滑轮椅 LR-YZ201301 1张</t>
  </si>
  <si>
    <t>2740545</t>
  </si>
  <si>
    <t>AE3508281</t>
  </si>
  <si>
    <t>LANRAN/兰冉 30款L型单人位办公桌 LR-8/21-01 1张</t>
  </si>
  <si>
    <t>2740544</t>
  </si>
  <si>
    <t>PO230911000097</t>
  </si>
  <si>
    <t>2023-09-13 11:01:45.0</t>
  </si>
  <si>
    <t>2740550</t>
  </si>
  <si>
    <t>PO230915000103</t>
  </si>
  <si>
    <t>7130550078</t>
  </si>
  <si>
    <t>电源线 金龙羽 BVR 4.0m² 100m，绿色、黄色、红色、蓝色、黑色、黄绿色</t>
  </si>
  <si>
    <t>2023-09-07 11:53:15.0</t>
  </si>
  <si>
    <t>2732808</t>
  </si>
  <si>
    <t>PO230918000188</t>
  </si>
  <si>
    <t>2010050029</t>
  </si>
  <si>
    <t>遥控器 ZMT-J301 12V接收器+1个黑色遥控器</t>
  </si>
  <si>
    <t>2733526</t>
  </si>
  <si>
    <t>4060180031</t>
  </si>
  <si>
    <t xml:space="preserve">洗衣液 蓝月亮 3KG </t>
  </si>
  <si>
    <t>清洁物资类/清洁剂（更新中）/洗衣粉（更新中）</t>
  </si>
  <si>
    <t>洗衣液</t>
  </si>
  <si>
    <t>2732806</t>
  </si>
  <si>
    <t>PO230920000192</t>
  </si>
  <si>
    <t>2010060686</t>
  </si>
  <si>
    <t>蒸汽熨斗 飞利浦 GC626/38 双杆带烫衣板 立式增压别烫机，蒸汽挂烫机</t>
  </si>
  <si>
    <t>2745866</t>
  </si>
  <si>
    <t>7080120277</t>
  </si>
  <si>
    <t>线管 联塑 PVC 6分 2.8m/根</t>
  </si>
  <si>
    <t>2732807</t>
  </si>
  <si>
    <t>1010130058</t>
  </si>
  <si>
    <t>其他音视频设备 可思未来 KS-D-H13 4K视频播放器标配 USB播放多媒体展厅播放器</t>
  </si>
  <si>
    <t>其他音视频设备</t>
  </si>
  <si>
    <t>2745865</t>
  </si>
  <si>
    <t>2020020085</t>
  </si>
  <si>
    <t>垃圾桶 四分类垃圾桶 不锈钢 垃圾分类</t>
  </si>
  <si>
    <t>2733527</t>
  </si>
  <si>
    <t>2733528</t>
  </si>
  <si>
    <t>3210870</t>
  </si>
  <si>
    <t>晨光 M＆G 易擦白板笔D10 AWMY2202 2.0mm (黑色) 10支/盒</t>
  </si>
  <si>
    <t>2733523</t>
  </si>
  <si>
    <t>4030260001</t>
  </si>
  <si>
    <t xml:space="preserve">拖布池 40Cm </t>
  </si>
  <si>
    <t>清洁物资类/清洁工具/拖布池（更新中）</t>
  </si>
  <si>
    <t>拖布池</t>
  </si>
  <si>
    <t>2733524</t>
  </si>
  <si>
    <t>1010080077</t>
  </si>
  <si>
    <t>平板电脑 Redmi 4G+128GB，10.6英寸，2K屏，90Hz高刷 银色</t>
  </si>
  <si>
    <t>平板电脑</t>
  </si>
  <si>
    <t>2745864</t>
  </si>
  <si>
    <t>2010060687</t>
  </si>
  <si>
    <t>蒸汽熨斗 飞利浦 DST8041/88 智能温控平熨挂烫二合一</t>
  </si>
  <si>
    <t>2745867</t>
  </si>
  <si>
    <t>7070020002</t>
  </si>
  <si>
    <t xml:space="preserve">钠灯 飞利浦 金卤灯400W，220V </t>
  </si>
  <si>
    <t>工程物资/白炽灯具/钠灯</t>
  </si>
  <si>
    <t>钠灯</t>
  </si>
  <si>
    <t>2733525</t>
  </si>
  <si>
    <t>PO230925000245</t>
  </si>
  <si>
    <t>7020110045</t>
  </si>
  <si>
    <t>防爆轴流风机 甲寅 固定式4-4单相 中速，220V 大功率工业强力吹风轴流风机</t>
  </si>
  <si>
    <t>工程物资/电动工具/吹风机/鼓风机</t>
  </si>
  <si>
    <t>防爆轴流风机</t>
  </si>
  <si>
    <t>2738383</t>
  </si>
  <si>
    <t>PO230920000208</t>
  </si>
  <si>
    <t>2735187</t>
  </si>
  <si>
    <t>1010020217</t>
  </si>
  <si>
    <t>色带 兄弟牌 Tze-Z231 白底黑字，12MM宽 原装</t>
  </si>
  <si>
    <t>2732809</t>
  </si>
  <si>
    <t>PO230918000185</t>
  </si>
  <si>
    <t>2020050010</t>
  </si>
  <si>
    <t xml:space="preserve">收纳箱 国产优质 35L </t>
  </si>
  <si>
    <t>收纳箱</t>
  </si>
  <si>
    <t>2023-09-06 08:57:28.0</t>
  </si>
  <si>
    <t>2733521</t>
  </si>
  <si>
    <t>PO230920000189</t>
  </si>
  <si>
    <t>2735170</t>
  </si>
  <si>
    <t>5041781</t>
  </si>
  <si>
    <t>心家宜 衣架落地 衣帽架挂衣架实木落地圆盘衣架子 卧室客厅挂衣架欧式创意衣帽挂架 咖啡色98105C</t>
  </si>
  <si>
    <t>2733517</t>
  </si>
  <si>
    <t>1020020031</t>
  </si>
  <si>
    <t>激光笔 得力 2802无线演示翻页器课件笔 红光，黑色 PPT投影笔激光翻页笔</t>
  </si>
  <si>
    <t>2733519</t>
  </si>
  <si>
    <t>7050090032</t>
  </si>
  <si>
    <t xml:space="preserve">T8LED灯管 国产优质 灭蚊灯管紫灯 33cm </t>
  </si>
  <si>
    <t>2733520</t>
  </si>
  <si>
    <t>7080120462</t>
  </si>
  <si>
    <t>线管 国产 黄腊管 管内直径20MM 绝缘套</t>
  </si>
  <si>
    <t>2733518</t>
  </si>
  <si>
    <t>NP8470</t>
  </si>
  <si>
    <t>CITYLONG/禧天龙 收纳箱 X-6083 731×533×445mm 容积110L 透明 1个</t>
  </si>
  <si>
    <t>清洁物资类/清洁工具/收纳工具</t>
  </si>
  <si>
    <t>2733522</t>
  </si>
  <si>
    <t>PO230925000247</t>
  </si>
  <si>
    <t>6050020105</t>
  </si>
  <si>
    <t>摄像机 萤石 C6c 2K+AI 400万像素无极巡航版+256G监控专用卡</t>
  </si>
  <si>
    <t>2023-09-04 11:14:14.0</t>
  </si>
  <si>
    <t>2738386</t>
  </si>
  <si>
    <t>PO230901000106</t>
  </si>
  <si>
    <t>2023-09-01 12:12:39.0</t>
  </si>
  <si>
    <t>2700654</t>
  </si>
  <si>
    <t>2700653</t>
  </si>
  <si>
    <t>PO230829000314</t>
  </si>
  <si>
    <t>2023-08-31 15:27:37.0</t>
  </si>
  <si>
    <t>2689526</t>
  </si>
  <si>
    <t>2689518</t>
  </si>
  <si>
    <t>AA2445239</t>
  </si>
  <si>
    <t>JINGGONG/劲功 加硬沉头十字钻尾螺丝 M4.2×16 1500个 1盒</t>
  </si>
  <si>
    <t>2689517</t>
  </si>
  <si>
    <t>PO230831000187</t>
  </si>
  <si>
    <t>2020070059</t>
  </si>
  <si>
    <t xml:space="preserve">创可贴 蓓安适创可贴 创口贴透气防水防磨脚贴弹力创口贴 50个/盒 </t>
  </si>
  <si>
    <t>2700301</t>
  </si>
  <si>
    <t>PO230831000188</t>
  </si>
  <si>
    <t>1010020273</t>
  </si>
  <si>
    <t>硒鼓 惠普 p1566 2500页 大容量硒鼓</t>
  </si>
  <si>
    <t>2693504</t>
  </si>
  <si>
    <t>PO230831000190</t>
  </si>
  <si>
    <t>7130440122</t>
  </si>
  <si>
    <t xml:space="preserve">扎带 凡客 8x400MM </t>
  </si>
  <si>
    <t>扎带</t>
  </si>
  <si>
    <t>2693524</t>
  </si>
  <si>
    <t>PO230831000189</t>
  </si>
  <si>
    <t>2693508</t>
  </si>
  <si>
    <t>2693527</t>
  </si>
  <si>
    <t>PO230831000184</t>
  </si>
  <si>
    <t>2700288</t>
  </si>
  <si>
    <t>AA4561101</t>
  </si>
  <si>
    <t>WINNER/稳健 医用棉签 A1通用型灭菌级 50支/袋 1袋</t>
  </si>
  <si>
    <t>清洁物资类/清新剂（更新中）/花露水/香水（更新中）</t>
  </si>
  <si>
    <t>2689506</t>
  </si>
  <si>
    <t>2700289</t>
  </si>
  <si>
    <t>2700290</t>
  </si>
  <si>
    <t>PO230831000181</t>
  </si>
  <si>
    <t>2693502</t>
  </si>
  <si>
    <t>PO230831000185</t>
  </si>
  <si>
    <t>3070013488</t>
  </si>
  <si>
    <t>亚克力 国产优质 定制桌签 21x12CM 亚克力材质</t>
  </si>
  <si>
    <t>2700294</t>
  </si>
  <si>
    <t>MY6671</t>
  </si>
  <si>
    <t>HT/宏挺 十字槽沉头钻尾自攻螺钉 1022A 镀白锌 全牙 ST4.2×25 1盒</t>
  </si>
  <si>
    <t>2689516</t>
  </si>
  <si>
    <t>2291748</t>
  </si>
  <si>
    <t>罗技（Logitech）MK275 键鼠套装 无线键鼠套装 办公键鼠套装 全尺寸 黑蓝色 带无线2.4G接收器</t>
  </si>
  <si>
    <t>2693528</t>
  </si>
  <si>
    <t>2020030094</t>
  </si>
  <si>
    <t xml:space="preserve">电池 南孚 道闸遥控电池 12V27A </t>
  </si>
  <si>
    <t>电池</t>
  </si>
  <si>
    <t>2693520</t>
  </si>
  <si>
    <t>7050090043</t>
  </si>
  <si>
    <t>T8LED灯管 佛山照明 T8 8W,0.6米 日光色6500K</t>
  </si>
  <si>
    <t>2693518</t>
  </si>
  <si>
    <t>2693521</t>
  </si>
  <si>
    <t>FP6959</t>
  </si>
  <si>
    <t>CHINT/正泰 NXB-63系列小型断路器 NXB-63 1P C20 C型脱扣 额定电流20A 1个</t>
  </si>
  <si>
    <t>2689524</t>
  </si>
  <si>
    <t>1010100023</t>
  </si>
  <si>
    <t xml:space="preserve">HDMI转VGA转换器 一拖三转接头 一拖三转接头 </t>
  </si>
  <si>
    <t>2700302</t>
  </si>
  <si>
    <t>AA9555871</t>
  </si>
  <si>
    <t>YJ/翌嘉 黑色高款标准底盘吧台椅 YJ-BTY-109 椅面升降高度600~800mm 总升降高度800~1000mm 底盘385mm 1张</t>
  </si>
  <si>
    <t>2689528</t>
  </si>
  <si>
    <t>7120150004</t>
  </si>
  <si>
    <t xml:space="preserve">AB胶 日月星 A胶40G+B胶40G </t>
  </si>
  <si>
    <t>工程物资/油漆/AB胶</t>
  </si>
  <si>
    <t>AB胶</t>
  </si>
  <si>
    <t>2693513</t>
  </si>
  <si>
    <t>7130040005</t>
  </si>
  <si>
    <t>电磁阀 适用箭牌 小冲感应电磁阀,大冲膜片,小冲膜片</t>
  </si>
  <si>
    <t>2693515</t>
  </si>
  <si>
    <t>2700287</t>
  </si>
  <si>
    <t>2693503</t>
  </si>
  <si>
    <t>7130010057</t>
  </si>
  <si>
    <t>把手 国产优质 马桶盖把手 配件</t>
  </si>
  <si>
    <t>把手</t>
  </si>
  <si>
    <t>2700299</t>
  </si>
  <si>
    <t>2693512</t>
  </si>
  <si>
    <t>2689507</t>
  </si>
  <si>
    <t>6080020022</t>
  </si>
  <si>
    <t>警示柱 国产优质 PE柔性橡胶 1.2米 反光锥不倒翁隔离路桩交通设施停车桩</t>
  </si>
  <si>
    <t>2693509</t>
  </si>
  <si>
    <t>2693506</t>
  </si>
  <si>
    <t>2693501</t>
  </si>
  <si>
    <t>PO230831000180</t>
  </si>
  <si>
    <t>2693499</t>
  </si>
  <si>
    <t>7130350010</t>
  </si>
  <si>
    <t>滑轮 国产优质 8寸（静音） 小推车万向轮</t>
  </si>
  <si>
    <t>工程物资/五金辅料/滑轮</t>
  </si>
  <si>
    <t>滑轮</t>
  </si>
  <si>
    <t>2693519</t>
  </si>
  <si>
    <t>AC3982647</t>
  </si>
  <si>
    <t>ICEY/冰禹 PH2十字防滑强磁批头组套 BYll-1283系列 S2钢7PC 25~150mm 1套</t>
  </si>
  <si>
    <t>工程物资/工具配件/批头</t>
  </si>
  <si>
    <t>2689514</t>
  </si>
  <si>
    <t>7131010026</t>
  </si>
  <si>
    <t>抽屉锁 小博士 138-22 抽屉锁带杆</t>
  </si>
  <si>
    <t>2693511</t>
  </si>
  <si>
    <t>PO230831000183</t>
  </si>
  <si>
    <t>2700286</t>
  </si>
  <si>
    <t>7130040008</t>
  </si>
  <si>
    <t>电磁阀 TOTO 小便斗感应器</t>
  </si>
  <si>
    <t>2693517</t>
  </si>
  <si>
    <t>AA3810165</t>
  </si>
  <si>
    <t>PINCI/品瓷 水龙头起泡器 PINCI-QPQ 21mm 1个</t>
  </si>
  <si>
    <t>2689508</t>
  </si>
  <si>
    <t>GV2535</t>
  </si>
  <si>
    <t>DONGCHENG/东成 磁性批头套筒 32170900005 10×65mm 1盒</t>
  </si>
  <si>
    <t>2689511</t>
  </si>
  <si>
    <t>GV2533</t>
  </si>
  <si>
    <t>DONGCHENG/东成 磁性批头套筒 32170900003 8×65mm 1盒</t>
  </si>
  <si>
    <t>2689513</t>
  </si>
  <si>
    <t>7050070158</t>
  </si>
  <si>
    <t>LED吸顶灯 国产优质 600*600 【48W】豪华型-60W 铝材银框平板吊顶灯</t>
  </si>
  <si>
    <t>2700300</t>
  </si>
  <si>
    <t>2020030014</t>
  </si>
  <si>
    <t xml:space="preserve">电池 南孚 5# </t>
  </si>
  <si>
    <t>2693523</t>
  </si>
  <si>
    <t>7130970081</t>
  </si>
  <si>
    <t xml:space="preserve">水龙头 科勒 自动感应,K-18055T冷热款 </t>
  </si>
  <si>
    <t>2693525</t>
  </si>
  <si>
    <t>MY6675</t>
  </si>
  <si>
    <t>HT/宏挺 十字槽沉头钻尾自攻螺钉 1022A 镀白锌 全牙 ST4.2×50 1盒</t>
  </si>
  <si>
    <t>2689515</t>
  </si>
  <si>
    <t>2693507</t>
  </si>
  <si>
    <t>2689521</t>
  </si>
  <si>
    <t>PO230831000186</t>
  </si>
  <si>
    <t>6020020178</t>
  </si>
  <si>
    <t>灭火器 汇铭/利生 悬挂式干粉灭火器 4KG 有3C认证</t>
  </si>
  <si>
    <t>2700296</t>
  </si>
  <si>
    <t>2693510</t>
  </si>
  <si>
    <t>AE1944512</t>
  </si>
  <si>
    <t>TENDA/腾达 PoE供电器 POE15F 1个</t>
  </si>
  <si>
    <t>2689519</t>
  </si>
  <si>
    <t>2689505</t>
  </si>
  <si>
    <t>3070013551</t>
  </si>
  <si>
    <t>亚克力 设备运行中/设备已关闭工程作业提示牌 120x200MM，厚度3MM UV打印，专色印刷</t>
  </si>
  <si>
    <t>2700291</t>
  </si>
  <si>
    <t>2693500</t>
  </si>
  <si>
    <t>PM5262</t>
  </si>
  <si>
    <t>BULL/公牛 排插 GN-B5080-5M 8位5孔 10A 1个</t>
  </si>
  <si>
    <t>2689527</t>
  </si>
  <si>
    <t>AA4980858</t>
  </si>
  <si>
    <t>ICEY/冰禹 十字沉头钻尾螺丝钉 BYll-500系列 ST4.2×19 不锈钢410 DIN7504P 本色 200个 1袋</t>
  </si>
  <si>
    <t>2689509</t>
  </si>
  <si>
    <t>PO230831000182</t>
  </si>
  <si>
    <t>7150040035</t>
  </si>
  <si>
    <t xml:space="preserve">空调安装辅料 美的 加长铜管5匹 5匹 </t>
  </si>
  <si>
    <t>2700285</t>
  </si>
  <si>
    <t>3080020917</t>
  </si>
  <si>
    <t>背胶 蹲位标识洗手间标识 尺寸280x50MM 户外透明膜打印</t>
  </si>
  <si>
    <t>2700292</t>
  </si>
  <si>
    <t>2700293</t>
  </si>
  <si>
    <t>PO230831000191</t>
  </si>
  <si>
    <t>1020020100</t>
  </si>
  <si>
    <t>记号笔 晨光 XPMV7403 12支/盒 黑色</t>
  </si>
  <si>
    <t>记号笔</t>
  </si>
  <si>
    <t>2693529</t>
  </si>
  <si>
    <t>FP6714</t>
  </si>
  <si>
    <t>CHINT/正泰 NXB-63系列小型断路器 NXB-63 1P C40 C型脱扣 额定电流40A 1个</t>
  </si>
  <si>
    <t>2689522</t>
  </si>
  <si>
    <t>7150050023</t>
  </si>
  <si>
    <t>立柜式空调 美的 RFD-120LW/BSDN8Y-PA401(B3)A 冷暖变频5匹柜机（3级能效） 含钢架、打孔及高空作业、机器自带原装铜管4米</t>
  </si>
  <si>
    <t>工程物资/空调/立柜式空调</t>
  </si>
  <si>
    <t>2700284</t>
  </si>
  <si>
    <t>2700298</t>
  </si>
  <si>
    <t>AA2728772</t>
  </si>
  <si>
    <t>KANKUN 中性硅酮耐候密封胶 793 瓷白色 300mL 1支</t>
  </si>
  <si>
    <t>2689520</t>
  </si>
  <si>
    <t>2020040097</t>
  </si>
  <si>
    <t>牛奶 蒙牛 250ML*16 纯牛奶</t>
  </si>
  <si>
    <t>牛奶</t>
  </si>
  <si>
    <t>2693526</t>
  </si>
  <si>
    <t>GV2531</t>
  </si>
  <si>
    <t>DONGCHENG/东成 磁性批头套筒 32170900001 6×65mm 1盒</t>
  </si>
  <si>
    <t>2689512</t>
  </si>
  <si>
    <t>PO230831000192</t>
  </si>
  <si>
    <t>2700303</t>
  </si>
  <si>
    <t>7130540005</t>
  </si>
  <si>
    <t xml:space="preserve">电源适配器 国产优质 洗手盆感应器电源 6V </t>
  </si>
  <si>
    <t>2700297</t>
  </si>
  <si>
    <t>3080040379</t>
  </si>
  <si>
    <t>kt板 制度牌上墙制度及内容 600x900MM 室内写真打印裱KT板</t>
  </si>
  <si>
    <t>2700295</t>
  </si>
  <si>
    <t>7130670010</t>
  </si>
  <si>
    <t xml:space="preserve">马桶盖 国产优质 </t>
  </si>
  <si>
    <t>马桶盖</t>
  </si>
  <si>
    <t>2693516</t>
  </si>
  <si>
    <t>FP6726</t>
  </si>
  <si>
    <t>CHINT/正泰 NXB-63系列小型断路器 NXB-63 1P C25 C型脱扣 额定电流25A 1个</t>
  </si>
  <si>
    <t>2689523</t>
  </si>
  <si>
    <t>GV2537</t>
  </si>
  <si>
    <t>DONGCHENG/东成 磁性批头套筒 TY-FJ-PT（12×65） 12×65mm 1盒</t>
  </si>
  <si>
    <t>2689510</t>
  </si>
  <si>
    <t>2693505</t>
  </si>
  <si>
    <t>FP6707</t>
  </si>
  <si>
    <t>CHINT/正泰 NXB-63系列小型断路器 NXB-63 1P C16 C型脱扣 额定电流16A 1个</t>
  </si>
  <si>
    <t>2689525</t>
  </si>
  <si>
    <t>7130670007</t>
  </si>
  <si>
    <t xml:space="preserve">马桶水箱 americanstandard美标 长35.5cm宽17.7cm </t>
  </si>
  <si>
    <t>马桶水箱</t>
  </si>
  <si>
    <t>2693514</t>
  </si>
  <si>
    <t>7110200025</t>
  </si>
  <si>
    <t xml:space="preserve">腻子粉 丽邦 内墙腻子粉 20KG </t>
  </si>
  <si>
    <t>2693522</t>
  </si>
  <si>
    <t>PO231113000227</t>
  </si>
  <si>
    <t>2023-08-21 19:03:53.0</t>
  </si>
  <si>
    <t>2797598</t>
  </si>
  <si>
    <t>PO230818000193</t>
  </si>
  <si>
    <t>2023-08-18 18:13:15.0</t>
  </si>
  <si>
    <t>2679110</t>
  </si>
  <si>
    <t>PO231030000108</t>
  </si>
  <si>
    <t>2023-08-17 15:44:31.0</t>
  </si>
  <si>
    <t>2778619</t>
  </si>
  <si>
    <t>PO230828000127</t>
  </si>
  <si>
    <t>2023-08-17 10:46:11.0</t>
  </si>
  <si>
    <t>2688762</t>
  </si>
  <si>
    <t>PO230815000221</t>
  </si>
  <si>
    <t>7050070367</t>
  </si>
  <si>
    <t>紫外线灯 北京双悦 T830 灯管长度910MM 含镇流器</t>
  </si>
  <si>
    <t>紫外线灯</t>
  </si>
  <si>
    <t>深圳市圣恺阀业技术发展有限公司</t>
  </si>
  <si>
    <t>2023-08-14 18:09:41.0</t>
  </si>
  <si>
    <t>2677951</t>
  </si>
  <si>
    <t>PO231027000192</t>
  </si>
  <si>
    <t>2023-08-14 16:50:44.0</t>
  </si>
  <si>
    <t>2778038</t>
  </si>
  <si>
    <t>PO230816000102</t>
  </si>
  <si>
    <t>2023-08-14 11:01:17.0</t>
  </si>
  <si>
    <t>2685350</t>
  </si>
  <si>
    <t>PO231027000191</t>
  </si>
  <si>
    <t>2023-08-10 09:35:46.0</t>
  </si>
  <si>
    <t>2778037</t>
  </si>
  <si>
    <t>PO230810000061</t>
  </si>
  <si>
    <t>9050300099</t>
  </si>
  <si>
    <t>灭火器充装 胜捷 干粉灭火器充装 按公斤计价 深圳市内</t>
  </si>
  <si>
    <t>灭火器充装</t>
  </si>
  <si>
    <t>2023-08-10 09:33:42.0</t>
  </si>
  <si>
    <t>2682987</t>
  </si>
  <si>
    <t>PO230816000104</t>
  </si>
  <si>
    <t>1010130055</t>
  </si>
  <si>
    <t>音响功放 山头林村 MP1010U（ 带USB接口） 350W功率 DSPPA迪士普公共广播合并式定压前置级分区蓝，大功率纯后级功放</t>
  </si>
  <si>
    <t>音响功放</t>
  </si>
  <si>
    <t>2023-08-10 09:33:33.0</t>
  </si>
  <si>
    <t>2685351</t>
  </si>
  <si>
    <t>PO230817000079</t>
  </si>
  <si>
    <t>2678495</t>
  </si>
  <si>
    <t>PO230817000077</t>
  </si>
  <si>
    <t>7140190060</t>
  </si>
  <si>
    <t>控制与保护开关 ABB i-bus SA/S12.16.2.1 12回路 标准开关驱动器</t>
  </si>
  <si>
    <t>2685551</t>
  </si>
  <si>
    <t>PO230815000037</t>
  </si>
  <si>
    <t>1010110018</t>
  </si>
  <si>
    <t xml:space="preserve">路由器 国产 无线 </t>
  </si>
  <si>
    <t>路由器</t>
  </si>
  <si>
    <t>2684754</t>
  </si>
  <si>
    <t>PO230816000105</t>
  </si>
  <si>
    <t>2023-08-10 09:33:19.0</t>
  </si>
  <si>
    <t>2685352</t>
  </si>
  <si>
    <t>PO230815000015</t>
  </si>
  <si>
    <t>1010110171</t>
  </si>
  <si>
    <t>网络交换机 华三 Mini-S1224F 24口千兆交换机+2千兆光纤口 非网管企业级网络交换机</t>
  </si>
  <si>
    <t>网络交换机</t>
  </si>
  <si>
    <t>2684724</t>
  </si>
  <si>
    <t>7131020014</t>
  </si>
  <si>
    <t xml:space="preserve">门锁 国产优质 单门双面玻璃门锁 玻璃门锁 </t>
  </si>
  <si>
    <t>2684725</t>
  </si>
  <si>
    <t>2020030834</t>
  </si>
  <si>
    <t>甲醛检测仪 艾科思 EX+CO+H2S+O2四合一气体检测仪</t>
  </si>
  <si>
    <t>甲醛检测仪</t>
  </si>
  <si>
    <t>2685353</t>
  </si>
  <si>
    <t>100027341206</t>
  </si>
  <si>
    <t>晶华（JH）Type-C分线器 USB3.0+2.0拓展坞HUB集线器扩展电脑笔记本转接头一拖四接口转换器延长线 黑色 N613</t>
  </si>
  <si>
    <t>2684726</t>
  </si>
  <si>
    <t>PO230918000121</t>
  </si>
  <si>
    <t>2023-08-09 10:41:17.0</t>
  </si>
  <si>
    <t>2733423</t>
  </si>
  <si>
    <t>PO230807000113</t>
  </si>
  <si>
    <t>2023-08-07 10:14:41.0</t>
  </si>
  <si>
    <t>2680867</t>
  </si>
  <si>
    <t>2680869</t>
  </si>
  <si>
    <t>2680866</t>
  </si>
  <si>
    <t>2680868</t>
  </si>
  <si>
    <t>PO230727000234</t>
  </si>
  <si>
    <t>2023-07-28 10:51:52.0</t>
  </si>
  <si>
    <t>2666734</t>
  </si>
  <si>
    <t>PO230802000253</t>
  </si>
  <si>
    <t>4060180130</t>
  </si>
  <si>
    <t xml:space="preserve">洗衣粉 雕牌 508g/袋 </t>
  </si>
  <si>
    <t>深圳市创洁隆贸易发展商行</t>
  </si>
  <si>
    <t>2023-07-26 09:06:26.0</t>
  </si>
  <si>
    <t>2671915</t>
  </si>
  <si>
    <t>4080120168</t>
  </si>
  <si>
    <t>毛巾 百花 1120 35x75CM 三色</t>
  </si>
  <si>
    <t>清洁物资类/清洁耗材/方巾/毛巾（更新中）</t>
  </si>
  <si>
    <t>2671914</t>
  </si>
  <si>
    <t>PO230804000270</t>
  </si>
  <si>
    <t>AA2017348</t>
  </si>
  <si>
    <t>TP-LINK/普联 超五类非屏蔽千兆网线 TL-EC5e-305A 305m 1箱</t>
  </si>
  <si>
    <t>2023-07-25 10:09:56.0</t>
  </si>
  <si>
    <t>2680260</t>
  </si>
  <si>
    <t>2680273</t>
  </si>
  <si>
    <t>2680265</t>
  </si>
  <si>
    <t>2020020768</t>
  </si>
  <si>
    <t>一次性手套 惠寻 300只/盒 PE料</t>
  </si>
  <si>
    <t>一次性手套</t>
  </si>
  <si>
    <t>2680264</t>
  </si>
  <si>
    <t>1010110013</t>
  </si>
  <si>
    <t>网络交换机 海康威视 5口POE千兆 交换机 0505SP-E</t>
  </si>
  <si>
    <t>2680261</t>
  </si>
  <si>
    <t>100022384592</t>
  </si>
  <si>
    <t>康宝（Canbo）毛巾保洁柜 小型 家用/商用 台式保洁加热衣物酒店美容院保温柜 MPR15B-2 企业采购</t>
  </si>
  <si>
    <t>2680272</t>
  </si>
  <si>
    <t>1010110008</t>
  </si>
  <si>
    <t xml:space="preserve">无线网桥 国产 5G无线网桥 千兆无线网桥,CPE室外大功率公里5.8Gwifi </t>
  </si>
  <si>
    <t>无线网桥</t>
  </si>
  <si>
    <t>2680259</t>
  </si>
  <si>
    <t>2680270</t>
  </si>
  <si>
    <t>5702282</t>
  </si>
  <si>
    <t>爱国者（aigo）128GB Type-C USB3.1 手机U盘 U350  双接口手机电脑两用</t>
  </si>
  <si>
    <t>2680257</t>
  </si>
  <si>
    <t>7130740001</t>
  </si>
  <si>
    <t xml:space="preserve">配电箱 展业 家用配电箱 4-6位 </t>
  </si>
  <si>
    <t>2680263</t>
  </si>
  <si>
    <t>1010020199</t>
  </si>
  <si>
    <t>色带 爱普生 LQ-790K 含芯 原装黑色色带架</t>
  </si>
  <si>
    <t>2680268</t>
  </si>
  <si>
    <t>AA1940975</t>
  </si>
  <si>
    <t>DELI/得力 双面透明胶带 33601 30mm×3m×1mm 透明 1卷</t>
  </si>
  <si>
    <t>2680267</t>
  </si>
  <si>
    <t>1010110107</t>
  </si>
  <si>
    <t>机顶盒 小米 小米盒子4S智能网络电视机顶盒 wifi双频H.265硬解 安卓网络盒子高清网络播放器HDR无线投屏白色</t>
  </si>
  <si>
    <t>机顶盒</t>
  </si>
  <si>
    <t>2680266</t>
  </si>
  <si>
    <t>1010100080</t>
  </si>
  <si>
    <t>多功能数据线 品胜 3A快充版 1.2米 充电线66w超级快充6A苹果快充电器线安卓type-c多功能一拖三车载平板华为【三头同充/省时便携】</t>
  </si>
  <si>
    <t>2680271</t>
  </si>
  <si>
    <t>AA4304568</t>
  </si>
  <si>
    <t>BOSCH/博世 工业多功能充电式电锤 GBH18V-26 含2块6Ah电池1个充电器 1台</t>
  </si>
  <si>
    <t>2680258</t>
  </si>
  <si>
    <t>1010130005</t>
  </si>
  <si>
    <t>录音笔 科大讯飞 H1 32G 智能录音笔</t>
  </si>
  <si>
    <t>录音笔</t>
  </si>
  <si>
    <t>2680269</t>
  </si>
  <si>
    <t>1010110045</t>
  </si>
  <si>
    <t xml:space="preserve">网络交换机 TP-LinK TL-SG1016DT 16口全千兆交换机非网管T系列企业级交换器 </t>
  </si>
  <si>
    <t>2680262</t>
  </si>
  <si>
    <t>PO230725000090</t>
  </si>
  <si>
    <t>7140260018</t>
  </si>
  <si>
    <t xml:space="preserve">排插 公牛 6位1开 3米 </t>
  </si>
  <si>
    <t>2023-07-25 10:09:43.0</t>
  </si>
  <si>
    <t>2658846</t>
  </si>
  <si>
    <t>2658843</t>
  </si>
  <si>
    <t>PO230725000085</t>
  </si>
  <si>
    <t>2665476</t>
  </si>
  <si>
    <t>2658853</t>
  </si>
  <si>
    <t>PO230725000087</t>
  </si>
  <si>
    <t>2665480</t>
  </si>
  <si>
    <t>PO230725000092</t>
  </si>
  <si>
    <t>2665492</t>
  </si>
  <si>
    <t>3070050914</t>
  </si>
  <si>
    <t>不锈钢腐蚀牌 小心台阶洗手间标识 20CMx9CM 不锈钢</t>
  </si>
  <si>
    <t>2665487</t>
  </si>
  <si>
    <t>PO230725000095</t>
  </si>
  <si>
    <t>2020040077</t>
  </si>
  <si>
    <t>咖啡豆 拉瓦萨（LAVAZZA）GRAN,ESPRESSO 1kg 意式特浓,咖啡豆</t>
  </si>
  <si>
    <t>咖啡豆</t>
  </si>
  <si>
    <t>2658857</t>
  </si>
  <si>
    <t>2010010029</t>
  </si>
  <si>
    <t xml:space="preserve">保温壶 乐扣乐扣 1.2L不锈钢银色 </t>
  </si>
  <si>
    <t>2658858</t>
  </si>
  <si>
    <t>7140260053</t>
  </si>
  <si>
    <t>排插 公牛 3位 1.8米 1开</t>
  </si>
  <si>
    <t>2658845</t>
  </si>
  <si>
    <t>7130550077</t>
  </si>
  <si>
    <t>电源线 金龙羽 BVR 2.5m² 100m，绿色、黄色、红色、蓝色、黑色、黄绿色</t>
  </si>
  <si>
    <t>2658851</t>
  </si>
  <si>
    <t>PO230725000093</t>
  </si>
  <si>
    <t>2020010066</t>
  </si>
  <si>
    <t xml:space="preserve">沐浴露 舒肤佳 纯白清香滋润型 1KG </t>
  </si>
  <si>
    <t>2658855</t>
  </si>
  <si>
    <t>2658854</t>
  </si>
  <si>
    <t>3070013524</t>
  </si>
  <si>
    <t>亚克力 车岗人员公示标识 240x160MM 透明亚克力UV打印+盒子，专色印刷</t>
  </si>
  <si>
    <t>2665491</t>
  </si>
  <si>
    <t>2658859</t>
  </si>
  <si>
    <t>PO230725000088</t>
  </si>
  <si>
    <t>2665481</t>
  </si>
  <si>
    <t>PO230725000086</t>
  </si>
  <si>
    <t>1010100076</t>
  </si>
  <si>
    <t xml:space="preserve">硬盘 海康威视 监控专用 6TB </t>
  </si>
  <si>
    <t>2665479</t>
  </si>
  <si>
    <t>2658852</t>
  </si>
  <si>
    <t>2010020286</t>
  </si>
  <si>
    <t>其他电器配件 沁园 浮球组件 开水器QYB-3-15配件，包安装更换</t>
  </si>
  <si>
    <t>2665482</t>
  </si>
  <si>
    <t>2665483</t>
  </si>
  <si>
    <t>6070070262</t>
  </si>
  <si>
    <t xml:space="preserve">手套 礼仪三筋白手套 </t>
  </si>
  <si>
    <t>消防安保/常规防疫应急物资（更新中）/医用手套（更新中）</t>
  </si>
  <si>
    <t>手套</t>
  </si>
  <si>
    <t>2658842</t>
  </si>
  <si>
    <t>3070050889</t>
  </si>
  <si>
    <t>不锈钢腐蚀牌 区域位置导向（挂牌式）管区标识 500x700MM 不锈钢电镀玫瑰金色，UV打印，专色印刷</t>
  </si>
  <si>
    <t>2665490</t>
  </si>
  <si>
    <t>1020010560</t>
  </si>
  <si>
    <t>标签纸 欢喜 圆形 35MM 亚银标签纸</t>
  </si>
  <si>
    <t>标签纸</t>
  </si>
  <si>
    <t>2665488</t>
  </si>
  <si>
    <t>7140330033</t>
  </si>
  <si>
    <t xml:space="preserve">绝缘胶布 美迅 宽度18CM，厚度0.19MM，长度10m </t>
  </si>
  <si>
    <t>绝缘胶布</t>
  </si>
  <si>
    <t>2658850</t>
  </si>
  <si>
    <t>3090090024</t>
  </si>
  <si>
    <t xml:space="preserve">国旗 国产优质 1920*1200mm </t>
  </si>
  <si>
    <t>2658841</t>
  </si>
  <si>
    <t>2665477</t>
  </si>
  <si>
    <t>7150040056</t>
  </si>
  <si>
    <t xml:space="preserve">雪种 巨化 R32制冷剂 10KG </t>
  </si>
  <si>
    <t>雪种</t>
  </si>
  <si>
    <t>2658847</t>
  </si>
  <si>
    <t>7130970038</t>
  </si>
  <si>
    <t>水龙头 DN15、不锈钢 尖嘴洗衣机水龙头</t>
  </si>
  <si>
    <t>2658849</t>
  </si>
  <si>
    <t>PO230725000091</t>
  </si>
  <si>
    <t>2665485</t>
  </si>
  <si>
    <t>2665486</t>
  </si>
  <si>
    <t>PO230725000089</t>
  </si>
  <si>
    <t>4030290128</t>
  </si>
  <si>
    <t>拖把 好媳妇 海绵拖 长132CM，宽38CM，高8CM 免手洗干湿两用，拖把杆不锈钢</t>
  </si>
  <si>
    <t>2658840</t>
  </si>
  <si>
    <t>PO230725000094</t>
  </si>
  <si>
    <t>2658856</t>
  </si>
  <si>
    <t>7130050026</t>
  </si>
  <si>
    <t>安全帽 国产优质 可印字</t>
  </si>
  <si>
    <t>安全帽</t>
  </si>
  <si>
    <t>2658848</t>
  </si>
  <si>
    <t>4070010078</t>
  </si>
  <si>
    <t>擦手纸 维达多康 1003205 单层，200张/包，20包/箱</t>
  </si>
  <si>
    <t>2665478</t>
  </si>
  <si>
    <t>3070013530</t>
  </si>
  <si>
    <t>亚克力 区域位置导向（挂牌式）管区标识 500x700MM，厚度3MM 亚克力，背面UV打印</t>
  </si>
  <si>
    <t>2665489</t>
  </si>
  <si>
    <t>2010020268</t>
  </si>
  <si>
    <t>其他电器配件 沁园 按键板 直饮机RD301配件，包安装更换</t>
  </si>
  <si>
    <t>2665484</t>
  </si>
  <si>
    <t>7140220044</t>
  </si>
  <si>
    <t>单相电表 深宝 15-60A 带检验</t>
  </si>
  <si>
    <t>工程物资/电工物料/单相电表/三相电表</t>
  </si>
  <si>
    <t>单相电表</t>
  </si>
  <si>
    <t>2658844</t>
  </si>
  <si>
    <t>PO230724000341</t>
  </si>
  <si>
    <t>6020020167</t>
  </si>
  <si>
    <t>灭火器 汇铭/利生 手提式ABC干粉灭火器MFZ/ABC4 4KG 有3C认证</t>
  </si>
  <si>
    <t>2023-07-24 21:21:40.0</t>
  </si>
  <si>
    <t>2658713</t>
  </si>
  <si>
    <t>PO230721000216</t>
  </si>
  <si>
    <t>2023-07-21 15:14:57.0</t>
  </si>
  <si>
    <t>2657828</t>
  </si>
  <si>
    <t>PO230719000039</t>
  </si>
  <si>
    <t>2023-07-19 09:07:43.0</t>
  </si>
  <si>
    <t>2656594</t>
  </si>
  <si>
    <t>2656591</t>
  </si>
  <si>
    <t>2656593</t>
  </si>
  <si>
    <t>2656592</t>
  </si>
  <si>
    <t>PO231027000185</t>
  </si>
  <si>
    <t>2023-07-17 10:19:16.0</t>
  </si>
  <si>
    <t>2778031</t>
  </si>
  <si>
    <t>PO231027000190</t>
  </si>
  <si>
    <t>2023-07-13 10:56:22.0</t>
  </si>
  <si>
    <t>2778036</t>
  </si>
  <si>
    <t>PO231027000194</t>
  </si>
  <si>
    <t>2023-07-13 10:43:50.0</t>
  </si>
  <si>
    <t>2778039</t>
  </si>
  <si>
    <t>PO230721000056</t>
  </si>
  <si>
    <t>7130110001</t>
  </si>
  <si>
    <t>电风扇 国产优质 网罩直径600mm 230w 工业落地扇</t>
  </si>
  <si>
    <t>2023-07-11 09:06:22.0</t>
  </si>
  <si>
    <t>2657439</t>
  </si>
  <si>
    <t>PO230720000095</t>
  </si>
  <si>
    <t>2657051</t>
  </si>
  <si>
    <t>2657440</t>
  </si>
  <si>
    <t>PO230720000096</t>
  </si>
  <si>
    <t>4080030039</t>
  </si>
  <si>
    <t xml:space="preserve">刀片 锴达 美工刀片 10片/盒 </t>
  </si>
  <si>
    <t>清洁物资类/清洁耗材/刀片（更新中）</t>
  </si>
  <si>
    <t>刀片</t>
  </si>
  <si>
    <t>2657055</t>
  </si>
  <si>
    <t>4060250185</t>
  </si>
  <si>
    <t>其他清洁剂 茶卫士 清洗侵泡型茶垢清洁剂 10gx6袋/盒</t>
  </si>
  <si>
    <t>2657049</t>
  </si>
  <si>
    <t>1010020168</t>
  </si>
  <si>
    <t>硒鼓 惠普 ce310a 原装126a硒鼓</t>
  </si>
  <si>
    <t>2657053</t>
  </si>
  <si>
    <t>1020080743</t>
  </si>
  <si>
    <t xml:space="preserve">档案盒 晨光 ADM929Z9 A4，55MM蓝色粘扣，10只/盒 </t>
  </si>
  <si>
    <t>档案盒</t>
  </si>
  <si>
    <t>2657052</t>
  </si>
  <si>
    <t>7140110026</t>
  </si>
  <si>
    <t xml:space="preserve">网线 康普 6类1427071-6 </t>
  </si>
  <si>
    <t>网线</t>
  </si>
  <si>
    <t>2657056</t>
  </si>
  <si>
    <t>7160020017</t>
  </si>
  <si>
    <t>感应开关 国产优质 多功能感应开关 TCL ENG03TC</t>
  </si>
  <si>
    <t>工程物资/开关插座/触摸开关/浮球开关/感应开关</t>
  </si>
  <si>
    <t>感应开关</t>
  </si>
  <si>
    <t>2657050</t>
  </si>
  <si>
    <t>6010220010</t>
  </si>
  <si>
    <t>正压式呼吸器 宇安 TZL30</t>
  </si>
  <si>
    <t>消防安保/消防工具/正压式呼吸器</t>
  </si>
  <si>
    <t>2657438</t>
  </si>
  <si>
    <t>385881</t>
  </si>
  <si>
    <t>得力(deli)25K100张商务活页笔记本子文具 工作记事本皮面本办公用品 黑色3151</t>
  </si>
  <si>
    <t>2657054</t>
  </si>
  <si>
    <t>PO230721000057</t>
  </si>
  <si>
    <t>1010100191</t>
  </si>
  <si>
    <t>转接线 绿联 蓝80167 大三芯二芯6.5/6.35卡农线带屏蔽，100米/卷</t>
  </si>
  <si>
    <t>2023-07-10 17:21:53.0</t>
  </si>
  <si>
    <t>2657441</t>
  </si>
  <si>
    <t>PO230720000093</t>
  </si>
  <si>
    <t>7130990315</t>
  </si>
  <si>
    <t>锁扣 1米双钩 60x120MM 承重1吨，吊环内环索具</t>
  </si>
  <si>
    <t>锁扣</t>
  </si>
  <si>
    <t>2023-07-10 17:21:19.0</t>
  </si>
  <si>
    <t>2663604</t>
  </si>
  <si>
    <t>7080111245</t>
  </si>
  <si>
    <t>接头 秋叶原 QD2003B卡侬公 4个/套</t>
  </si>
  <si>
    <t>接头</t>
  </si>
  <si>
    <t>2663603</t>
  </si>
  <si>
    <t>7080111246</t>
  </si>
  <si>
    <t>接头 秋叶原 QD2002B卡侬母 4个/套</t>
  </si>
  <si>
    <t>2663602</t>
  </si>
  <si>
    <t>1010020280</t>
  </si>
  <si>
    <t>理线带 透明款大号 40根/盒 适用6-10MM线</t>
  </si>
  <si>
    <t>理线带</t>
  </si>
  <si>
    <t>2663606</t>
  </si>
  <si>
    <t>7131100096</t>
  </si>
  <si>
    <t>不锈钢板 Q235钢板 直角三角形10x550MM，圆直径150MM，厚度5MM</t>
  </si>
  <si>
    <t>不锈钢板</t>
  </si>
  <si>
    <t>2663605</t>
  </si>
  <si>
    <t>2020060015</t>
  </si>
  <si>
    <t>大堂报刊架海报书籍 世界一流示范企业后勤服务标准化手册 上中下三册/套</t>
  </si>
  <si>
    <t>家居生活/日杂生活/图书</t>
  </si>
  <si>
    <t>大堂报刊架海报书籍</t>
  </si>
  <si>
    <t>2663601</t>
  </si>
  <si>
    <t>2663600</t>
  </si>
  <si>
    <t>PO230720000115</t>
  </si>
  <si>
    <t>7050030008</t>
  </si>
  <si>
    <t xml:space="preserve">LED投光灯 国产优质 户外广场探照灯 200W </t>
  </si>
  <si>
    <t>工程物资/LED灯具/LED投光灯</t>
  </si>
  <si>
    <t>LED投光灯</t>
  </si>
  <si>
    <t>2663648</t>
  </si>
  <si>
    <t>7130350052</t>
  </si>
  <si>
    <t>滑轮 上海辰诺 3寸低重心刹车 承重200KG</t>
  </si>
  <si>
    <t>2663607</t>
  </si>
  <si>
    <t>PO230718000103</t>
  </si>
  <si>
    <t>2023-07-04 10:53:34.0</t>
  </si>
  <si>
    <t>2662475</t>
  </si>
  <si>
    <t>2662476</t>
  </si>
  <si>
    <t>PO230704000091</t>
  </si>
  <si>
    <t>2030050128</t>
  </si>
  <si>
    <t xml:space="preserve">生活用品 黑人牌 黑人牙膏225g+独立包装牙刷 </t>
  </si>
  <si>
    <t>家居生活/家居家具/饰品</t>
  </si>
  <si>
    <t>生活用品</t>
  </si>
  <si>
    <t>2023-07-04 10:05:44.0</t>
  </si>
  <si>
    <t>2637083</t>
  </si>
  <si>
    <t>PO230704000090</t>
  </si>
  <si>
    <t>2637075</t>
  </si>
  <si>
    <t>2020050263</t>
  </si>
  <si>
    <t>洗手液盒 国产优质 自动感应泡沫洗手液盒 1000ML 皂液盒</t>
  </si>
  <si>
    <t>洗手液盒</t>
  </si>
  <si>
    <t>2637093</t>
  </si>
  <si>
    <t>2637091</t>
  </si>
  <si>
    <t>PO230704000093</t>
  </si>
  <si>
    <t>2644083</t>
  </si>
  <si>
    <t>PO230704000089</t>
  </si>
  <si>
    <t>2637069</t>
  </si>
  <si>
    <t>1010100143</t>
  </si>
  <si>
    <t xml:space="preserve">平板保护套 毕亚兹 苹果新iPad保护套 9.7英寸 </t>
  </si>
  <si>
    <t>平板保护套</t>
  </si>
  <si>
    <t>2637090</t>
  </si>
  <si>
    <t>PO230704000094</t>
  </si>
  <si>
    <t>7130780002</t>
  </si>
  <si>
    <t xml:space="preserve">纱手套 佳南 800G 红边加厚 </t>
  </si>
  <si>
    <t>工程物资/五金辅料/纱手套</t>
  </si>
  <si>
    <t>纱手套</t>
  </si>
  <si>
    <t>2637098</t>
  </si>
  <si>
    <t>3090020005</t>
  </si>
  <si>
    <t xml:space="preserve">隔热膜 国产优质 灰银 1x10m </t>
  </si>
  <si>
    <t>隔热膜</t>
  </si>
  <si>
    <t>2637096</t>
  </si>
  <si>
    <t>2637103</t>
  </si>
  <si>
    <t>2637105</t>
  </si>
  <si>
    <t>2644084</t>
  </si>
  <si>
    <t>2644082</t>
  </si>
  <si>
    <t>1010100075</t>
  </si>
  <si>
    <t xml:space="preserve">充电宝 品胜 充电宝10000毫安时 【自带四线丨三输入四输出】 </t>
  </si>
  <si>
    <t>2637089</t>
  </si>
  <si>
    <t>4080190040</t>
  </si>
  <si>
    <t>皂液器、洗手液分配器 国产优质 钛白双头 免打孔 洗手盒器挂件沐浴盒</t>
  </si>
  <si>
    <t>清洁物资类/清洁耗材/皂液器（更新中）</t>
  </si>
  <si>
    <t>皂液器、洗手液分配器</t>
  </si>
  <si>
    <t>2637087</t>
  </si>
  <si>
    <t>2637085</t>
  </si>
  <si>
    <t>2644085</t>
  </si>
  <si>
    <t>2010020284</t>
  </si>
  <si>
    <t>其他电器配件 沁园 主控板 开水器QYB-3-15配件，包安装更换</t>
  </si>
  <si>
    <t>2637072</t>
  </si>
  <si>
    <t>7130790026</t>
  </si>
  <si>
    <t xml:space="preserve">砂纸 国产优质 320号 </t>
  </si>
  <si>
    <t>砂纸</t>
  </si>
  <si>
    <t>2637080</t>
  </si>
  <si>
    <t>2644081</t>
  </si>
  <si>
    <t>7140260051</t>
  </si>
  <si>
    <t>排插 公牛 4位 1.8米 分开开关</t>
  </si>
  <si>
    <t>2637088</t>
  </si>
  <si>
    <t>PO230704000088</t>
  </si>
  <si>
    <t>2637064</t>
  </si>
  <si>
    <t>4060250031</t>
  </si>
  <si>
    <t>其他清洁剂 洁而亮 500ml 油污清洁剂</t>
  </si>
  <si>
    <t>2637094</t>
  </si>
  <si>
    <t>7090120005</t>
  </si>
  <si>
    <t xml:space="preserve">三角阀 金字塔 4分 角阀 </t>
  </si>
  <si>
    <t>三角阀</t>
  </si>
  <si>
    <t>2637081</t>
  </si>
  <si>
    <t>2637076</t>
  </si>
  <si>
    <t>1175870</t>
  </si>
  <si>
    <t>国产 复印纸 A5 80g 500张/包</t>
  </si>
  <si>
    <t>2637104</t>
  </si>
  <si>
    <t>2010020271</t>
  </si>
  <si>
    <t>其他电器配件 沁园 加热体组件 直饮机RD301配件，包安装更换</t>
  </si>
  <si>
    <t>2637070</t>
  </si>
  <si>
    <t>7110160078</t>
  </si>
  <si>
    <t xml:space="preserve">毛刷 小山羊 羊毛刷 3寸 </t>
  </si>
  <si>
    <t>工程物资/建筑材料/毛刷</t>
  </si>
  <si>
    <t>毛刷</t>
  </si>
  <si>
    <t>2637077</t>
  </si>
  <si>
    <t>2637086</t>
  </si>
  <si>
    <t>2010020279</t>
  </si>
  <si>
    <t>其他电器配件 沁园 面贴保护膜 直饮机RD301配件，包安装更换</t>
  </si>
  <si>
    <t>2637068</t>
  </si>
  <si>
    <t>2020040076</t>
  </si>
  <si>
    <t>方糖 国产优质 4g*100包 咖啡牛奶伴侣冲调糖包</t>
  </si>
  <si>
    <t>2637102</t>
  </si>
  <si>
    <t>PO230704000092</t>
  </si>
  <si>
    <t>2644079</t>
  </si>
  <si>
    <t>2010020292</t>
  </si>
  <si>
    <t>其他电器配件 沁园 不锈钢水龙头 开水器QYB-3-15配件，包安装更换</t>
  </si>
  <si>
    <t>2637073</t>
  </si>
  <si>
    <t>4060070017</t>
  </si>
  <si>
    <t xml:space="preserve">除胶剂 骏威 450ml </t>
  </si>
  <si>
    <t>清洁物资类/清洁剂（更新中）/除胶剂（更新中）</t>
  </si>
  <si>
    <t>2637092</t>
  </si>
  <si>
    <t>2644080</t>
  </si>
  <si>
    <t>2637082</t>
  </si>
  <si>
    <t>7140360036</t>
  </si>
  <si>
    <t>试电笔 罗宾汉 接触式试电笔 150-250V 家用进口多功能电工测试笔验电笔</t>
  </si>
  <si>
    <t>试电笔</t>
  </si>
  <si>
    <t>2637079</t>
  </si>
  <si>
    <t>2637063</t>
  </si>
  <si>
    <t>7130990054</t>
  </si>
  <si>
    <t xml:space="preserve">磁力锁 国产优质 单开门280公斤12V电磁锁 </t>
  </si>
  <si>
    <t>磁力锁</t>
  </si>
  <si>
    <t>2637097</t>
  </si>
  <si>
    <t>7020080026</t>
  </si>
  <si>
    <t xml:space="preserve">手电钻 博世 双电版12V锂电手电钻电动螺丝刀 家用多功能充电式电钻 </t>
  </si>
  <si>
    <t>手电钻</t>
  </si>
  <si>
    <t>2637095</t>
  </si>
  <si>
    <t>2637071</t>
  </si>
  <si>
    <t>7050060363</t>
  </si>
  <si>
    <t>筒灯 飞利浦 开孔尺寸φ155MM 10.5W，4000K LED</t>
  </si>
  <si>
    <t>2637078</t>
  </si>
  <si>
    <t>7110020003</t>
  </si>
  <si>
    <t xml:space="preserve">大理石胶 国产优质 1L </t>
  </si>
  <si>
    <t>工程物资/建筑材料/大理石胶</t>
  </si>
  <si>
    <t>大理石胶</t>
  </si>
  <si>
    <t>2637099</t>
  </si>
  <si>
    <t>2010020274</t>
  </si>
  <si>
    <t>其他电器配件 沁园 电源 直饮机RD301配件，包安装更换</t>
  </si>
  <si>
    <t>2637074</t>
  </si>
  <si>
    <t>2637065</t>
  </si>
  <si>
    <t>7050060241</t>
  </si>
  <si>
    <t xml:space="preserve">球泡灯 公牛 9W 6500K </t>
  </si>
  <si>
    <t>2637100</t>
  </si>
  <si>
    <t>2010010209</t>
  </si>
  <si>
    <t xml:space="preserve">勺子 国产优质 小勺精致咖啡勺不锈钢 D款短柄勺 </t>
  </si>
  <si>
    <t>2637101</t>
  </si>
  <si>
    <t>2020030026</t>
  </si>
  <si>
    <t xml:space="preserve">电池 南孚 5号 </t>
  </si>
  <si>
    <t>2637084</t>
  </si>
  <si>
    <t>2637067</t>
  </si>
  <si>
    <t>2637066</t>
  </si>
  <si>
    <t>PO230706000164</t>
  </si>
  <si>
    <t>4080100111</t>
  </si>
  <si>
    <t>百洁布 思高3M 96号 15x10CM，一片装</t>
  </si>
  <si>
    <t>清洁物资类/清洁耗材/百洁布（更新中）</t>
  </si>
  <si>
    <t>2023-07-04 10:03:08.0</t>
  </si>
  <si>
    <t>2639136</t>
  </si>
  <si>
    <t>PO230705000461</t>
  </si>
  <si>
    <t>4030290027</t>
  </si>
  <si>
    <t>拖把 洁丽来 313# 拖布头</t>
  </si>
  <si>
    <t>2638761</t>
  </si>
  <si>
    <t>7130220106</t>
  </si>
  <si>
    <t>胶手套 金莺 美的534 45CM 加长加厚</t>
  </si>
  <si>
    <t>胶手套</t>
  </si>
  <si>
    <t>2638760</t>
  </si>
  <si>
    <t>4060280029</t>
  </si>
  <si>
    <t>除油剂 亮净 LJ-1658 1L/瓶 除油剂喷雾</t>
  </si>
  <si>
    <t>2638762</t>
  </si>
  <si>
    <t>4080050604</t>
  </si>
  <si>
    <t xml:space="preserve">垃圾袋 王子 全新料加厚平口 50x50CM </t>
  </si>
  <si>
    <t>2638763</t>
  </si>
  <si>
    <t>4080050602</t>
  </si>
  <si>
    <t>垃圾袋 王子 新料 60x70CM，1000个/包 加厚平口</t>
  </si>
  <si>
    <t>2638759</t>
  </si>
  <si>
    <t>PO230717000248</t>
  </si>
  <si>
    <t>宁波邻家网络科技有限公司</t>
  </si>
  <si>
    <t>2023-07-04 09:46:42.0</t>
  </si>
  <si>
    <t>2662188</t>
  </si>
  <si>
    <t>PO230626000319</t>
  </si>
  <si>
    <t>2020070428</t>
  </si>
  <si>
    <t>药品 芙美松 糠酸莫米松乳膏 10g/支</t>
  </si>
  <si>
    <t>2023-06-19 17:30:00.0</t>
  </si>
  <si>
    <t>2632238</t>
  </si>
  <si>
    <t>2030040097</t>
  </si>
  <si>
    <t xml:space="preserve">洁厕液 超宝 3.8L </t>
  </si>
  <si>
    <t>洁厕液</t>
  </si>
  <si>
    <t>2632241</t>
  </si>
  <si>
    <t>1010110076</t>
  </si>
  <si>
    <t xml:space="preserve">网络交换机 TP-Link 8口千兆交换机,企业级交换器,TL-SG1008M </t>
  </si>
  <si>
    <t>2632247</t>
  </si>
  <si>
    <t>PO230629000084</t>
  </si>
  <si>
    <t>2030031623</t>
  </si>
  <si>
    <t>办公桌 乘胜 X-Win电动升降桌胡桃木色+黑腿 长1000MMx宽600MMx高750MM</t>
  </si>
  <si>
    <t>办公桌</t>
  </si>
  <si>
    <t>2641249</t>
  </si>
  <si>
    <t>7030010073</t>
  </si>
  <si>
    <t>分贝仪 日本三量 SM400 测量范围30-130db 加充电套装</t>
  </si>
  <si>
    <t>分贝仪</t>
  </si>
  <si>
    <t>2632239</t>
  </si>
  <si>
    <t>PO230626000340</t>
  </si>
  <si>
    <t>7130840009</t>
  </si>
  <si>
    <t xml:space="preserve">铁链 国产 304不锈钢链条,2mm </t>
  </si>
  <si>
    <t>工程物资/五金辅料/铁链</t>
  </si>
  <si>
    <t>铁链</t>
  </si>
  <si>
    <t>2629297</t>
  </si>
  <si>
    <t>7150040099</t>
  </si>
  <si>
    <t>波纹管 DN150 长250CM，内径150CM，法兰直径265CM 304波纹管金属软管拉杆伸缩膨胀节，不锈钢波纹补偿器</t>
  </si>
  <si>
    <t>波纹管</t>
  </si>
  <si>
    <t>2632245</t>
  </si>
  <si>
    <t>1020040002</t>
  </si>
  <si>
    <t xml:space="preserve">订书针 得力订书钉 N0:10-1M16页 </t>
  </si>
  <si>
    <t>订书针</t>
  </si>
  <si>
    <t>2629296</t>
  </si>
  <si>
    <t>7130950038</t>
  </si>
  <si>
    <t xml:space="preserve">软管 KBG DN25 </t>
  </si>
  <si>
    <t>软管</t>
  </si>
  <si>
    <t>2632243</t>
  </si>
  <si>
    <t>2632242</t>
  </si>
  <si>
    <t>2641250</t>
  </si>
  <si>
    <t>7150020001</t>
  </si>
  <si>
    <t xml:space="preserve">挡风板 国产优质 正方形中央空调挡风板 45CMx45CM </t>
  </si>
  <si>
    <t>2632237</t>
  </si>
  <si>
    <t>7090060030</t>
  </si>
  <si>
    <t xml:space="preserve">止回阀 埃美柯 H41XT-16 DN80mm </t>
  </si>
  <si>
    <t>止回阀</t>
  </si>
  <si>
    <t>2632244</t>
  </si>
  <si>
    <t>4480664</t>
  </si>
  <si>
    <t>黑旋风 杀虫剂喷雾蟑螂药家用灭蟑螂苍蝇蚊子原味气雾剂700ml</t>
  </si>
  <si>
    <t>清洁物资类/有害生物防治（更新中）/综合杀虫剂（更新中）</t>
  </si>
  <si>
    <t>2632240</t>
  </si>
  <si>
    <t>1010100186</t>
  </si>
  <si>
    <t>充电器 博世 GAL18V-40 18V 锂电池充电器，快充65分钟</t>
  </si>
  <si>
    <t>充电器</t>
  </si>
  <si>
    <t>2632246</t>
  </si>
  <si>
    <t>PO230714000070</t>
  </si>
  <si>
    <t>广州市埃威姆电子科技有限公司</t>
  </si>
  <si>
    <t>2023-06-19 11:58:25.0</t>
  </si>
  <si>
    <t>2654687</t>
  </si>
  <si>
    <t>PO230828000205</t>
  </si>
  <si>
    <t>2023-06-16 18:39:45.0</t>
  </si>
  <si>
    <t>2688822</t>
  </si>
  <si>
    <t>PO230824000015</t>
  </si>
  <si>
    <t>2023-06-15 22:30:57.0</t>
  </si>
  <si>
    <t>2690496</t>
  </si>
  <si>
    <t>PO230824000012</t>
  </si>
  <si>
    <t>2023-06-14 17:29:45.0</t>
  </si>
  <si>
    <t>2687513</t>
  </si>
  <si>
    <t>PO231027000189</t>
  </si>
  <si>
    <t>2023-06-14 10:14:08.0</t>
  </si>
  <si>
    <t>2786777</t>
  </si>
  <si>
    <t>PO230824000016</t>
  </si>
  <si>
    <t>2023-06-14 10:02:05.0</t>
  </si>
  <si>
    <t>2690497</t>
  </si>
  <si>
    <t>PO230609000255</t>
  </si>
  <si>
    <t>3070050902</t>
  </si>
  <si>
    <t>不锈钢腐蚀牌 高压断路器设备铭牌 170x96MM，厚度1MM 不锈钢烤漆，UV打印，专色印刷</t>
  </si>
  <si>
    <t>2023-06-09 17:47:16.0</t>
  </si>
  <si>
    <t>2620281</t>
  </si>
  <si>
    <t>PO230609000254</t>
  </si>
  <si>
    <t>6050040026</t>
  </si>
  <si>
    <t xml:space="preserve">彩色监控镜头球机 海康威视 DS-3T46FWDA3-IS(4MM)400W万POE </t>
  </si>
  <si>
    <t>消防安保/安防设施/监控镜头</t>
  </si>
  <si>
    <t>彩色监控镜头球机</t>
  </si>
  <si>
    <t>2612693</t>
  </si>
  <si>
    <t>6050040027</t>
  </si>
  <si>
    <t xml:space="preserve">彩色监控镜头枪机 海康威视 DS-3T46FWDA3-IS(6MM)400W万POE </t>
  </si>
  <si>
    <t>彩色监控镜头枪机</t>
  </si>
  <si>
    <t>2612696</t>
  </si>
  <si>
    <t>2612697</t>
  </si>
  <si>
    <t>6050050009</t>
  </si>
  <si>
    <t xml:space="preserve">监控支架 海康威视 枪机监控支架200mm </t>
  </si>
  <si>
    <t>2612695</t>
  </si>
  <si>
    <t>2612691</t>
  </si>
  <si>
    <t>PO230609000258</t>
  </si>
  <si>
    <t>7120080015</t>
  </si>
  <si>
    <t xml:space="preserve">其他油漆 国产优质 银色/灰色 </t>
  </si>
  <si>
    <t>2612701</t>
  </si>
  <si>
    <t>7130990116</t>
  </si>
  <si>
    <t xml:space="preserve">挂锁 百合 40MM </t>
  </si>
  <si>
    <t>挂锁</t>
  </si>
  <si>
    <t>2612688</t>
  </si>
  <si>
    <t>2612694</t>
  </si>
  <si>
    <t>2620282</t>
  </si>
  <si>
    <t>2620280</t>
  </si>
  <si>
    <t>7130470091</t>
  </si>
  <si>
    <t xml:space="preserve">保温棉 国产优质 初效空气过滤棉 10mm厚66*114 </t>
  </si>
  <si>
    <t>工程物资/五金辅料/保温棉</t>
  </si>
  <si>
    <t>保温棉</t>
  </si>
  <si>
    <t>2612702</t>
  </si>
  <si>
    <t>6050040059</t>
  </si>
  <si>
    <t>监控镜头 海康威视 3347WDV3-L摄像头 400W像素，4MM，265格式 高清，POE供电</t>
  </si>
  <si>
    <t>监控镜头</t>
  </si>
  <si>
    <t>2612699</t>
  </si>
  <si>
    <t>1010100142</t>
  </si>
  <si>
    <t xml:space="preserve">USB分线器 绿联 高速4口拓展坞 延长线1.5米 </t>
  </si>
  <si>
    <t>USB分线器</t>
  </si>
  <si>
    <t>2612698</t>
  </si>
  <si>
    <t>7130040012</t>
  </si>
  <si>
    <t>电磁阀 Homeglen 小便池感应器,全铜电磁阀,直流*1</t>
  </si>
  <si>
    <t>2612689</t>
  </si>
  <si>
    <t>PO230609000256</t>
  </si>
  <si>
    <t>1010100176</t>
  </si>
  <si>
    <t>HDMI线 飞利浦 SWL6118E/93 18Gbps，3米/条 2.0版4K高清线</t>
  </si>
  <si>
    <t>2620283</t>
  </si>
  <si>
    <t>6010070007</t>
  </si>
  <si>
    <t xml:space="preserve">手电 国产优质 x60强光手电筒 </t>
  </si>
  <si>
    <t>手电</t>
  </si>
  <si>
    <t>2612703</t>
  </si>
  <si>
    <t>7080110575</t>
  </si>
  <si>
    <t xml:space="preserve">过滤器 国产优质 袋式F7 387MMx592MMx250MM </t>
  </si>
  <si>
    <t>2612692</t>
  </si>
  <si>
    <t>3080020910</t>
  </si>
  <si>
    <t>车贴 请随手关灯管区标识 90x25MM 贴纸，户外写真打印</t>
  </si>
  <si>
    <t>2620279</t>
  </si>
  <si>
    <t>PO230609000257</t>
  </si>
  <si>
    <t>7050110015</t>
  </si>
  <si>
    <t>T8LED灯架 佛山照明 三防灯 1.2M单管（含1x24W灯管）</t>
  </si>
  <si>
    <t>2612700</t>
  </si>
  <si>
    <t>2612690</t>
  </si>
  <si>
    <t>PO230609000253</t>
  </si>
  <si>
    <t>2612687</t>
  </si>
  <si>
    <t>PO230629000089</t>
  </si>
  <si>
    <t>7050070364</t>
  </si>
  <si>
    <t xml:space="preserve">平板灯 郁朗 LED集成吊顶灯 68W，600x1200MM，白框 </t>
  </si>
  <si>
    <t>2023-06-09 17:47:07.0</t>
  </si>
  <si>
    <t>2641264</t>
  </si>
  <si>
    <t>PO230626000326</t>
  </si>
  <si>
    <t>2632257</t>
  </si>
  <si>
    <t>7130540003</t>
  </si>
  <si>
    <t xml:space="preserve">电源适配器 国产 12V5A </t>
  </si>
  <si>
    <t>2632264</t>
  </si>
  <si>
    <t>6030050281</t>
  </si>
  <si>
    <t>烟感器 奥博斯 ABS-Q02ABS-Q02 2.5米配置消防烟枪四合一</t>
  </si>
  <si>
    <t>烟感器</t>
  </si>
  <si>
    <t>2641263</t>
  </si>
  <si>
    <t>PO230626000345</t>
  </si>
  <si>
    <t>100009232687</t>
  </si>
  <si>
    <t>海康威视 DS-2CD3146FWD-IS网络半球摄像机400万红外夜视摄像头插卡式家用监控一体机音频录音监视器 商用K</t>
  </si>
  <si>
    <t>2629300</t>
  </si>
  <si>
    <t>2641265</t>
  </si>
  <si>
    <t>4090040069</t>
  </si>
  <si>
    <t>香薰精油 Freshtime 香格里拉香薰精油补充液 500ml 五星级酒店香薰空气清新剂大容量家用室内持久卫生间卧室除味</t>
  </si>
  <si>
    <t>2632267</t>
  </si>
  <si>
    <t>2632259</t>
  </si>
  <si>
    <t>2632256</t>
  </si>
  <si>
    <t>7030070011</t>
  </si>
  <si>
    <t>压力表 国产优质 380V 10VA 0-40mpA100MM</t>
  </si>
  <si>
    <t>压力表</t>
  </si>
  <si>
    <t>2632262</t>
  </si>
  <si>
    <t>2632266</t>
  </si>
  <si>
    <t>7010420048</t>
  </si>
  <si>
    <t>千斤顶 沪工 二代省力型 2吨千斤顶+扳手</t>
  </si>
  <si>
    <t>工程物资/手动工具/千斤顶</t>
  </si>
  <si>
    <t>千斤顶</t>
  </si>
  <si>
    <t>2632258</t>
  </si>
  <si>
    <t>7160010048</t>
  </si>
  <si>
    <t>插座 公牛 10A 五孔</t>
  </si>
  <si>
    <t>2632263</t>
  </si>
  <si>
    <t>4030240002</t>
  </si>
  <si>
    <t xml:space="preserve">水桶 国产 15L塑料圆形水桶 </t>
  </si>
  <si>
    <t>2632255</t>
  </si>
  <si>
    <t>7130970042</t>
  </si>
  <si>
    <t xml:space="preserve">水龙头 TOTO DK307AS </t>
  </si>
  <si>
    <t>2632261</t>
  </si>
  <si>
    <t>5030100161</t>
  </si>
  <si>
    <t>杀虫剂 安速 杀虫杀蝇饵剂 2个/盒</t>
  </si>
  <si>
    <t>绿化类/农药化肥/杀虫剂</t>
  </si>
  <si>
    <t>2632268</t>
  </si>
  <si>
    <t>4070090050</t>
  </si>
  <si>
    <t xml:space="preserve">置物架 海立 76680 18.9CM×9.3CM×3CM </t>
  </si>
  <si>
    <t>清洁物资类/清洁纸品/置物架</t>
  </si>
  <si>
    <t>置物架</t>
  </si>
  <si>
    <t>2632269</t>
  </si>
  <si>
    <t>1020020080</t>
  </si>
  <si>
    <t xml:space="preserve">白板笔 得力 6817 黑/蓝/红10支/盒 </t>
  </si>
  <si>
    <t>白板笔</t>
  </si>
  <si>
    <t>2632260</t>
  </si>
  <si>
    <t>1020060212</t>
  </si>
  <si>
    <t xml:space="preserve">双面胶 永利 33601 黄胶 </t>
  </si>
  <si>
    <t>双面胶</t>
  </si>
  <si>
    <t>2632265</t>
  </si>
  <si>
    <t>PO230609000249</t>
  </si>
  <si>
    <t>7010360004</t>
  </si>
  <si>
    <t xml:space="preserve">打气筒 得力 DL880005 </t>
  </si>
  <si>
    <t>工程物资/手动工具/打气筒</t>
  </si>
  <si>
    <t>打气筒</t>
  </si>
  <si>
    <t>2023-06-09 17:46:39.0</t>
  </si>
  <si>
    <t>2612684</t>
  </si>
  <si>
    <t>PO230609000251</t>
  </si>
  <si>
    <t>2620274</t>
  </si>
  <si>
    <t>PO230609000247</t>
  </si>
  <si>
    <t>2620269</t>
  </si>
  <si>
    <t>PO230609000252</t>
  </si>
  <si>
    <t>7130110014</t>
  </si>
  <si>
    <t xml:space="preserve">落地扇 奥克斯 FS1613 工业风扇 </t>
  </si>
  <si>
    <t>落地扇</t>
  </si>
  <si>
    <t>2620276</t>
  </si>
  <si>
    <t>PO230609000248</t>
  </si>
  <si>
    <t>2620270</t>
  </si>
  <si>
    <t>2612679</t>
  </si>
  <si>
    <t>2612682</t>
  </si>
  <si>
    <t>2620277</t>
  </si>
  <si>
    <t>2612683</t>
  </si>
  <si>
    <t>2010020287</t>
  </si>
  <si>
    <t>其他电器配件 沁园 温度传感器 开水器QYB-3-15配件，包安装更换</t>
  </si>
  <si>
    <t>2620271</t>
  </si>
  <si>
    <t>PO230609000250</t>
  </si>
  <si>
    <t>2612686</t>
  </si>
  <si>
    <t>2620278</t>
  </si>
  <si>
    <t>2620275</t>
  </si>
  <si>
    <t>2010020039</t>
  </si>
  <si>
    <t>托盘垫 圆形A款 30厘米 烫金杯垫</t>
  </si>
  <si>
    <t>2612681</t>
  </si>
  <si>
    <t>2612680</t>
  </si>
  <si>
    <t>2620272</t>
  </si>
  <si>
    <t>1020130088</t>
  </si>
  <si>
    <t>电脑打印纸 国产 241-3 80列，三等分，3联，1000页/箱 彩色</t>
  </si>
  <si>
    <t>电脑打印纸</t>
  </si>
  <si>
    <t>2612685</t>
  </si>
  <si>
    <t>2620273</t>
  </si>
  <si>
    <t>PO230619000170</t>
  </si>
  <si>
    <t>4060180147</t>
  </si>
  <si>
    <t xml:space="preserve">洗衣粉 雕牌 500g/包 </t>
  </si>
  <si>
    <t>2023-06-09 17:45:56.0</t>
  </si>
  <si>
    <t>2616792</t>
  </si>
  <si>
    <t>4080050603</t>
  </si>
  <si>
    <t>垃圾袋 王子 新料 110x140CM，300个/包 加厚平口</t>
  </si>
  <si>
    <t>2616799</t>
  </si>
  <si>
    <t>4030110029</t>
  </si>
  <si>
    <t>垃圾铲 国产 凯凯1415 大号 高级灰，不锈钢</t>
  </si>
  <si>
    <t>清洁物资类/清洁工具/垃圾铲</t>
  </si>
  <si>
    <t>垃圾铲</t>
  </si>
  <si>
    <t>2616797</t>
  </si>
  <si>
    <t>2616791</t>
  </si>
  <si>
    <t>2616798</t>
  </si>
  <si>
    <t>4080100098</t>
  </si>
  <si>
    <t>百洁布 腾达 10x15CM 含砂绿色</t>
  </si>
  <si>
    <t>2616796</t>
  </si>
  <si>
    <t>2616794</t>
  </si>
  <si>
    <t>2020020787</t>
  </si>
  <si>
    <t>拖布 洁丽来 313# 长30CM，宽15CM 加长加厚棉线</t>
  </si>
  <si>
    <t>拖布</t>
  </si>
  <si>
    <t>2616795</t>
  </si>
  <si>
    <t>2616793</t>
  </si>
  <si>
    <t>4080050601</t>
  </si>
  <si>
    <t>垃圾袋 王子 新料 80x90CM 加厚平口</t>
  </si>
  <si>
    <t>2616800</t>
  </si>
  <si>
    <t>PO230609000245</t>
  </si>
  <si>
    <t>4030030052</t>
  </si>
  <si>
    <t>玻璃刮 国产优质 刮条 105CM 硅胶</t>
  </si>
  <si>
    <t>2023-06-09 17:45:32.0</t>
  </si>
  <si>
    <t>2620268</t>
  </si>
  <si>
    <t>PO230609000241</t>
  </si>
  <si>
    <t>2620261</t>
  </si>
  <si>
    <t>PO230609000244</t>
  </si>
  <si>
    <t>3080060132</t>
  </si>
  <si>
    <t>展架 国产优质 铝合金展架 200CMx80CM 包设计、包画面</t>
  </si>
  <si>
    <t>2620266</t>
  </si>
  <si>
    <t>2620258</t>
  </si>
  <si>
    <t>PO230609000242</t>
  </si>
  <si>
    <t>2620262</t>
  </si>
  <si>
    <t>3070050879</t>
  </si>
  <si>
    <t>不锈钢腐蚀牌 VIP停车位标识 300x100MM 不锈钢烤漆贴面标识牌，UV印刷，专色印刷，金色部分电镀玫瑰金色</t>
  </si>
  <si>
    <t>2620267</t>
  </si>
  <si>
    <t>2620260</t>
  </si>
  <si>
    <t>2620265</t>
  </si>
  <si>
    <t>PO230609000243</t>
  </si>
  <si>
    <t>7130060029</t>
  </si>
  <si>
    <t>警示胶带 国产优质 5CMx25米 反光贴深黄色</t>
  </si>
  <si>
    <t>警示胶带</t>
  </si>
  <si>
    <t>2620263</t>
  </si>
  <si>
    <t>2620259</t>
  </si>
  <si>
    <t>2620264</t>
  </si>
  <si>
    <t>PO230609000210</t>
  </si>
  <si>
    <t>3070013515</t>
  </si>
  <si>
    <t>亚克力 告示栏，公共区域行为提示类标识 700x500MM 带卡槽</t>
  </si>
  <si>
    <t>2023-06-09 17:11:08.0</t>
  </si>
  <si>
    <t>2612617</t>
  </si>
  <si>
    <t>PO230609000209</t>
  </si>
  <si>
    <t>1020060226</t>
  </si>
  <si>
    <t>双面胶 得力 30400 9MM，10y，32卷/袋</t>
  </si>
  <si>
    <t>2612616</t>
  </si>
  <si>
    <t>3080020916</t>
  </si>
  <si>
    <t>车贴 小心地滑洗手间指示牌 63CMx63CM 室外写真打印</t>
  </si>
  <si>
    <t>2612619</t>
  </si>
  <si>
    <t>2612621</t>
  </si>
  <si>
    <t>3070013491</t>
  </si>
  <si>
    <t>PVC 国产优质 磨砂带荧光 10CM宽 地贴标识车贴</t>
  </si>
  <si>
    <t>2612618</t>
  </si>
  <si>
    <t>2612620</t>
  </si>
  <si>
    <t>PO230629000149</t>
  </si>
  <si>
    <t>2023-06-09 17:10:12.0</t>
  </si>
  <si>
    <t>2634682</t>
  </si>
  <si>
    <t>2634683</t>
  </si>
  <si>
    <t>PO230629000153</t>
  </si>
  <si>
    <t>6070090015</t>
  </si>
  <si>
    <t xml:space="preserve">医用酒精 国产 碘伏消毒液 100ML </t>
  </si>
  <si>
    <t>消防安保/常规防疫应急物资（更新中）/医用酒精（更新中）</t>
  </si>
  <si>
    <t>医用酒精</t>
  </si>
  <si>
    <t>2634687</t>
  </si>
  <si>
    <t>2634684</t>
  </si>
  <si>
    <t>4110040008</t>
  </si>
  <si>
    <t>电蚊香液 超威 薄荷香型 6瓶1器 330晚</t>
  </si>
  <si>
    <t>清洁物资类/有害生物防治（更新中）/电蚊香液（更新中）</t>
  </si>
  <si>
    <t>电蚊香液</t>
  </si>
  <si>
    <t>2634688</t>
  </si>
  <si>
    <t>PO230630000042</t>
  </si>
  <si>
    <t>7150010054</t>
  </si>
  <si>
    <t>挂壁式空调 先科 Kf -35定频 1.5P，小型单冷 五级能效</t>
  </si>
  <si>
    <t>2023-06-07 10:30:59.0</t>
  </si>
  <si>
    <t>2635262</t>
  </si>
  <si>
    <t>PO230626000363</t>
  </si>
  <si>
    <t>4010090014</t>
  </si>
  <si>
    <t>洗地机 洁臣士 A55手推式 机重150KG</t>
  </si>
  <si>
    <t>清洁物资类/清洁设备/洗地机</t>
  </si>
  <si>
    <t>洗地机</t>
  </si>
  <si>
    <t>2023-06-02 14:44:24.0</t>
  </si>
  <si>
    <t>2632350</t>
  </si>
  <si>
    <t>PO230602000084</t>
  </si>
  <si>
    <t>2023-06-02 10:32:06.0</t>
  </si>
  <si>
    <t>2598437</t>
  </si>
  <si>
    <t>PO230602000083</t>
  </si>
  <si>
    <t>2020030013</t>
  </si>
  <si>
    <t xml:space="preserve">电池 南孚 7# </t>
  </si>
  <si>
    <t>2598432</t>
  </si>
  <si>
    <t>PO230602000085</t>
  </si>
  <si>
    <t>2606447</t>
  </si>
  <si>
    <t>1020060327</t>
  </si>
  <si>
    <t xml:space="preserve">钥匙牌 国俊众搏 金属钥匙盘混色 50个/桶 </t>
  </si>
  <si>
    <t>钥匙牌</t>
  </si>
  <si>
    <t>2598433</t>
  </si>
  <si>
    <t>2598438</t>
  </si>
  <si>
    <t>2598436</t>
  </si>
  <si>
    <t>2598434</t>
  </si>
  <si>
    <t>2598435</t>
  </si>
  <si>
    <t>PO230824000011</t>
  </si>
  <si>
    <t>2023-06-01 16:48:33.0</t>
  </si>
  <si>
    <t>2690494</t>
  </si>
  <si>
    <t>PO230625000003</t>
  </si>
  <si>
    <t>2023-06-01 09:11:53.0</t>
  </si>
  <si>
    <t>2630568</t>
  </si>
  <si>
    <t>PO230630000046</t>
  </si>
  <si>
    <t>2023-06-01 09:10:38.0</t>
  </si>
  <si>
    <t>2635265</t>
  </si>
  <si>
    <t>PO230711000379</t>
  </si>
  <si>
    <t>2023-05-31 16:43:01.0</t>
  </si>
  <si>
    <t>2652952</t>
  </si>
  <si>
    <t>PO230630000045</t>
  </si>
  <si>
    <t>2023-05-31 16:39:24.0</t>
  </si>
  <si>
    <t>2635264</t>
  </si>
  <si>
    <t>PO230824000010</t>
  </si>
  <si>
    <t>深圳市诚亦铭机电设备有限公司</t>
  </si>
  <si>
    <t>2023-05-31 16:36:00.0</t>
  </si>
  <si>
    <t>2687512</t>
  </si>
  <si>
    <t>PO230701000027</t>
  </si>
  <si>
    <t>2023-05-29 07:49:53.0</t>
  </si>
  <si>
    <t>2642646</t>
  </si>
  <si>
    <t>PO230711000380</t>
  </si>
  <si>
    <t>2023-05-29 07:49:33.0</t>
  </si>
  <si>
    <t>2649565</t>
  </si>
  <si>
    <t>PO230824000014</t>
  </si>
  <si>
    <t>电管家能源管理（上海）有限公司</t>
  </si>
  <si>
    <t>2023-05-29 07:49:10.0</t>
  </si>
  <si>
    <t>2687514</t>
  </si>
  <si>
    <t>PO230522000353</t>
  </si>
  <si>
    <t>1144169</t>
  </si>
  <si>
    <t>晨光 M＆G Eplus彩色长尾夹 ABS92738 50mm 12个/筒</t>
  </si>
  <si>
    <t>上海晨光科力普办公用品有限公司</t>
  </si>
  <si>
    <t>2023-05-25 20:09:27.0</t>
  </si>
  <si>
    <t>2593841</t>
  </si>
  <si>
    <t>3113138</t>
  </si>
  <si>
    <t>豪艺 塑封膜 A4 70mic （7丝）  100张/包</t>
  </si>
  <si>
    <t>绿化类/绿化工具及辅材/薄膜（更新中）</t>
  </si>
  <si>
    <t>2593844</t>
  </si>
  <si>
    <t>201037</t>
  </si>
  <si>
    <t>科力普 COLIPU 复印纸 CFY003 2星 A4 70g  500张/包 5包/箱</t>
  </si>
  <si>
    <t>2593843</t>
  </si>
  <si>
    <t>114008</t>
  </si>
  <si>
    <t>金得利 KINARY 基本色文件盒 F28 A4 50mm （蓝色） 48个/箱</t>
  </si>
  <si>
    <t>2593842</t>
  </si>
  <si>
    <t>1142238</t>
  </si>
  <si>
    <t>优玛仕U-mach塑封膜A3310*430mm60mic（6丝）100张/包</t>
  </si>
  <si>
    <t>2593845</t>
  </si>
  <si>
    <t>PO230717000078</t>
  </si>
  <si>
    <t>2023-05-25 17:11:19.0</t>
  </si>
  <si>
    <t>2655285</t>
  </si>
  <si>
    <t>PO231027000188</t>
  </si>
  <si>
    <t>2023-05-25 17:10:27.0</t>
  </si>
  <si>
    <t>2778035</t>
  </si>
  <si>
    <t>PO230611000027</t>
  </si>
  <si>
    <t>2023-05-18 08:12:19.0</t>
  </si>
  <si>
    <t>2620515</t>
  </si>
  <si>
    <t>PO230704000141</t>
  </si>
  <si>
    <t>2030031614</t>
  </si>
  <si>
    <t>陈列柜 国产 烤漆玻璃贵金属展示柜 5层，1000x500x1800MM</t>
  </si>
  <si>
    <t>陈列柜</t>
  </si>
  <si>
    <t>2023-05-17 14:42:28.0</t>
  </si>
  <si>
    <t>2637229</t>
  </si>
  <si>
    <t>PO230517000179</t>
  </si>
  <si>
    <t>7080110172</t>
  </si>
  <si>
    <t>线槽 联塑 4分 PVC线槽</t>
  </si>
  <si>
    <t>线槽</t>
  </si>
  <si>
    <t>2023-05-17 11:57:38.0</t>
  </si>
  <si>
    <t>2600015</t>
  </si>
  <si>
    <t>PO230517000176</t>
  </si>
  <si>
    <t>7140160060</t>
  </si>
  <si>
    <t>继电器 正泰 NR2-93 37A-50A 热继电器</t>
  </si>
  <si>
    <t>继电器</t>
  </si>
  <si>
    <t>2591381</t>
  </si>
  <si>
    <t>2020030081</t>
  </si>
  <si>
    <t xml:space="preserve">电池 南孚 9V </t>
  </si>
  <si>
    <t>2591397</t>
  </si>
  <si>
    <t>2591393</t>
  </si>
  <si>
    <t>PO230517000177</t>
  </si>
  <si>
    <t>7130670009</t>
  </si>
  <si>
    <t>马桶水箱盖 国产优质 CW188B 马桶水箱盖</t>
  </si>
  <si>
    <t>马桶水箱盖</t>
  </si>
  <si>
    <t>2591398</t>
  </si>
  <si>
    <t>7130340006</t>
  </si>
  <si>
    <t>绝缘鞋 国产优质 35KV 长筒</t>
  </si>
  <si>
    <t>绝缘鞋</t>
  </si>
  <si>
    <t>2600010</t>
  </si>
  <si>
    <t>7080030129</t>
  </si>
  <si>
    <t>弯头 联塑 PPR 4分*1/2 内牙弯头</t>
  </si>
  <si>
    <t>弯头</t>
  </si>
  <si>
    <t>2600022</t>
  </si>
  <si>
    <t>2600025</t>
  </si>
  <si>
    <t>7090040016</t>
  </si>
  <si>
    <t xml:space="preserve">冲水阀 TOTO 脚踏冲水闸阀 </t>
  </si>
  <si>
    <t>2591392</t>
  </si>
  <si>
    <t>PO230517000175</t>
  </si>
  <si>
    <t>2600004</t>
  </si>
  <si>
    <t>7130530049</t>
  </si>
  <si>
    <t xml:space="preserve">水晶头 康普 6类网络水晶头 </t>
  </si>
  <si>
    <t>水晶头</t>
  </si>
  <si>
    <t>2591383</t>
  </si>
  <si>
    <t>2591394</t>
  </si>
  <si>
    <t>7010110033</t>
  </si>
  <si>
    <t xml:space="preserve">斜口钳 世达 70201A 6寸 </t>
  </si>
  <si>
    <t>工程物资/手动工具/尖嘴钳/平嘴钳/老虎钳/斜口钳</t>
  </si>
  <si>
    <t>斜口钳</t>
  </si>
  <si>
    <t>2591382</t>
  </si>
  <si>
    <t>7130420049</t>
  </si>
  <si>
    <t>不锈钢合页 国产优质 Y518中弯 不锈钢液压缓冲</t>
  </si>
  <si>
    <t>不锈钢合页</t>
  </si>
  <si>
    <t>2591396</t>
  </si>
  <si>
    <t>7090110011</t>
  </si>
  <si>
    <t>取水阀 国产优质 明装双开冷热水阀双控淋浴花洒混水阀</t>
  </si>
  <si>
    <t>2591389</t>
  </si>
  <si>
    <t>2600026</t>
  </si>
  <si>
    <t>7130650033</t>
  </si>
  <si>
    <t>铝塑板 国产优质 宽1220MMx长2444MMx厚3MM 白色</t>
  </si>
  <si>
    <t>工程物资/五金辅料/铝塑板</t>
  </si>
  <si>
    <t>铝塑板</t>
  </si>
  <si>
    <t>2600005</t>
  </si>
  <si>
    <t>2600008</t>
  </si>
  <si>
    <t>PO230517000178</t>
  </si>
  <si>
    <t>T5LED灯管 佛山照明 经典系列1.2 1.2m 汾江,220V,内置双端标准,白光6500K</t>
  </si>
  <si>
    <t>2600009</t>
  </si>
  <si>
    <t>7080030413</t>
  </si>
  <si>
    <t xml:space="preserve">弯头 联塑 线管弯头 4分 </t>
  </si>
  <si>
    <t>2591390</t>
  </si>
  <si>
    <t>7130510111</t>
  </si>
  <si>
    <t xml:space="preserve">地板 国产优质 塑木地板 实心红木色 </t>
  </si>
  <si>
    <t>2591387</t>
  </si>
  <si>
    <t>2600013</t>
  </si>
  <si>
    <t>7080030131</t>
  </si>
  <si>
    <t>弯头 联塑 PPR弯头 4分 90度</t>
  </si>
  <si>
    <t>2600024</t>
  </si>
  <si>
    <t>7010220011</t>
  </si>
  <si>
    <t xml:space="preserve">油灰刀 国产优质 4寸 </t>
  </si>
  <si>
    <t>油灰刀</t>
  </si>
  <si>
    <t>2591388</t>
  </si>
  <si>
    <t>7120090024</t>
  </si>
  <si>
    <t xml:space="preserve">内墙乳胶漆涂料 立邦 内墙乳胶漆涂料 18L </t>
  </si>
  <si>
    <t>内墙乳胶漆涂料</t>
  </si>
  <si>
    <t>2591395</t>
  </si>
  <si>
    <t>7120120016</t>
  </si>
  <si>
    <t>调色粉 国产 氧化铁颜料定制 1斤 黄色乳胶漆调色粉</t>
  </si>
  <si>
    <t>工程物资/油漆/色浆</t>
  </si>
  <si>
    <t>调色粉</t>
  </si>
  <si>
    <t>2600018</t>
  </si>
  <si>
    <t>7140220146</t>
  </si>
  <si>
    <t xml:space="preserve">单相电表 正泰 10-40A电表+漏保40A+电表箱DDS666 </t>
  </si>
  <si>
    <t>2600007</t>
  </si>
  <si>
    <t>7080030128</t>
  </si>
  <si>
    <t>弯头 联塑 PPR 6分*1/2 内牙弯头</t>
  </si>
  <si>
    <t>2600014</t>
  </si>
  <si>
    <t>7080110567</t>
  </si>
  <si>
    <t xml:space="preserve">线槽 联塑 PVC 4分 </t>
  </si>
  <si>
    <t>2591376</t>
  </si>
  <si>
    <t>7130790004</t>
  </si>
  <si>
    <t xml:space="preserve">砂纸 国产优质 320号 砂纸 </t>
  </si>
  <si>
    <t>2600012</t>
  </si>
  <si>
    <t>7120060036</t>
  </si>
  <si>
    <t xml:space="preserve">手喷漆 派乐士 绿色 400ML </t>
  </si>
  <si>
    <t>工程物资/油漆/手喷漆</t>
  </si>
  <si>
    <t>手喷漆</t>
  </si>
  <si>
    <t>2591384</t>
  </si>
  <si>
    <t>4080040001</t>
  </si>
  <si>
    <t>钢丝棉垫 百亮 1号,320G 片装 钢丝棉</t>
  </si>
  <si>
    <t>清洁物资类/清洁耗材/钢丝棉垫（更新中）</t>
  </si>
  <si>
    <t>钢丝棉垫</t>
  </si>
  <si>
    <t>2600011</t>
  </si>
  <si>
    <t>7130370365</t>
  </si>
  <si>
    <t>螺丝 国产优质 3.5x50MM200G 干壁钉子螺丝钉螺纹钉十字自攻螺丝纤维板钉</t>
  </si>
  <si>
    <t>螺丝</t>
  </si>
  <si>
    <t>2591377</t>
  </si>
  <si>
    <t>7130620096</t>
  </si>
  <si>
    <t xml:space="preserve">管卡 DN20 </t>
  </si>
  <si>
    <t>管卡</t>
  </si>
  <si>
    <t>2600021</t>
  </si>
  <si>
    <t>7120090025</t>
  </si>
  <si>
    <t xml:space="preserve">内墙乳胶漆涂料 多乐士 内墙乳胶漆涂料 5L </t>
  </si>
  <si>
    <t>2591386</t>
  </si>
  <si>
    <t>7130740093</t>
  </si>
  <si>
    <t>配电箱 德力西 强电配电箱 12回路 空气开关箱</t>
  </si>
  <si>
    <t>2600006</t>
  </si>
  <si>
    <t>7080111080</t>
  </si>
  <si>
    <t>其他管材配件 压力表缓冲管 M20，4分 304不锈钢镀彩冷凝管</t>
  </si>
  <si>
    <t>2600020</t>
  </si>
  <si>
    <t>2600027</t>
  </si>
  <si>
    <t>7080050049</t>
  </si>
  <si>
    <t xml:space="preserve">三通、分水器 联塑 PPR 63mm </t>
  </si>
  <si>
    <t>工程物资/管材/三通（更新中）</t>
  </si>
  <si>
    <t>三通、分水器</t>
  </si>
  <si>
    <t>2600023</t>
  </si>
  <si>
    <t>4030230070</t>
  </si>
  <si>
    <t>水管 联塑 PPR 4分 4m/条</t>
  </si>
  <si>
    <t>清洁物资类/清洁工具/水管</t>
  </si>
  <si>
    <t>水管</t>
  </si>
  <si>
    <t>2591391</t>
  </si>
  <si>
    <t>7130310028</t>
  </si>
  <si>
    <t>502胶水 国产优质 16G 502胶水</t>
  </si>
  <si>
    <t>工程物资/五金辅料/万能胶/502胶水</t>
  </si>
  <si>
    <t>502胶水</t>
  </si>
  <si>
    <t>2591385</t>
  </si>
  <si>
    <t>7110260001</t>
  </si>
  <si>
    <t>原子灰 1卡2.5kg,固化剂配套</t>
  </si>
  <si>
    <t>工程物资/建筑材料/原子灰</t>
  </si>
  <si>
    <t>原子灰</t>
  </si>
  <si>
    <t>2600019</t>
  </si>
  <si>
    <t>7130530097</t>
  </si>
  <si>
    <t xml:space="preserve">水晶头 康普 六类网络水晶头 </t>
  </si>
  <si>
    <t>2591379</t>
  </si>
  <si>
    <t>7010320136</t>
  </si>
  <si>
    <t xml:space="preserve">卷尺 世达 91314A凯隆系列 5m×19mm </t>
  </si>
  <si>
    <t>卷尺</t>
  </si>
  <si>
    <t>2591375</t>
  </si>
  <si>
    <t>7140110027</t>
  </si>
  <si>
    <t xml:space="preserve">网线 康普 六类网线1427071-6 </t>
  </si>
  <si>
    <t>2591380</t>
  </si>
  <si>
    <t>7130690002</t>
  </si>
  <si>
    <t xml:space="preserve">明装底盒 公牛 开关插座86型明装线盒底线盒H2明盒底座布线盒家用接线盒底盒 接线盒底盒 </t>
  </si>
  <si>
    <t>工程物资/五金辅料/明装底盒（更新中）</t>
  </si>
  <si>
    <t>明装底盒</t>
  </si>
  <si>
    <t>2600016</t>
  </si>
  <si>
    <t>7120180006</t>
  </si>
  <si>
    <t xml:space="preserve">油漆1卡 电视塔 1卡 脂胶深黄色 </t>
  </si>
  <si>
    <t>工程物资/油漆/银粉漆</t>
  </si>
  <si>
    <t>油漆1卡</t>
  </si>
  <si>
    <t>2600029</t>
  </si>
  <si>
    <t>7130240015</t>
  </si>
  <si>
    <t xml:space="preserve">玻璃胶 国产优质 透明 310ml </t>
  </si>
  <si>
    <t>工程物资/五金辅料/玻璃胶</t>
  </si>
  <si>
    <t>玻璃胶</t>
  </si>
  <si>
    <t>2600028</t>
  </si>
  <si>
    <t>7110160017</t>
  </si>
  <si>
    <t xml:space="preserve">毛刷 小山羊 3寸 </t>
  </si>
  <si>
    <t>2600017</t>
  </si>
  <si>
    <t>PO230517000174</t>
  </si>
  <si>
    <t>1020100024</t>
  </si>
  <si>
    <t>印台 得力 9863 82MM透明圆形 红色，快干印台印泥</t>
  </si>
  <si>
    <t>印台</t>
  </si>
  <si>
    <t>2600003</t>
  </si>
  <si>
    <t>2591378</t>
  </si>
  <si>
    <t>PO230517000169</t>
  </si>
  <si>
    <t>2023-05-17 11:57:26.0</t>
  </si>
  <si>
    <t>2589998</t>
  </si>
  <si>
    <t>PO230517000171</t>
  </si>
  <si>
    <t>2591370</t>
  </si>
  <si>
    <t>PO230517000172</t>
  </si>
  <si>
    <t>4080120017</t>
  </si>
  <si>
    <t>毛巾 地面消毒毛巾,超细纤维,330×700mm,白色 白色</t>
  </si>
  <si>
    <t>2591372</t>
  </si>
  <si>
    <t>PO230517000170</t>
  </si>
  <si>
    <t>2030040099</t>
  </si>
  <si>
    <t>除味剂 KUMBAZZ 中性 600ML/瓶 下水道除臭剂</t>
  </si>
  <si>
    <t>除味剂</t>
  </si>
  <si>
    <t>2600001</t>
  </si>
  <si>
    <t>2590000</t>
  </si>
  <si>
    <t>2591373</t>
  </si>
  <si>
    <t>PO230517000173</t>
  </si>
  <si>
    <t>2591374</t>
  </si>
  <si>
    <t>2020020784</t>
  </si>
  <si>
    <t>垃圾桶 南 GPX-110U 380x758MM 纯色不锈钢</t>
  </si>
  <si>
    <t>2600002</t>
  </si>
  <si>
    <t>2591371</t>
  </si>
  <si>
    <t>2589999</t>
  </si>
  <si>
    <t>4030300068</t>
  </si>
  <si>
    <t>围裙 国产优质 H035 110x80CM 防水围裙</t>
  </si>
  <si>
    <t>清洁物资类/清洁工具/围裙</t>
  </si>
  <si>
    <t>围裙</t>
  </si>
  <si>
    <t>2591369</t>
  </si>
  <si>
    <t>PO230517000079</t>
  </si>
  <si>
    <t>2020070056</t>
  </si>
  <si>
    <t xml:space="preserve">药品 云南白药 外用活血散瘀消肿止痛跌打损伤风湿麻木筋骨及关节疼痛肌肉酸痛冻伤 50ml </t>
  </si>
  <si>
    <t>2023-05-17 10:05:04.0</t>
  </si>
  <si>
    <t>2589828</t>
  </si>
  <si>
    <t>PO230517000081</t>
  </si>
  <si>
    <t>6060120003</t>
  </si>
  <si>
    <t xml:space="preserve">防洪沙袋 国产优质 加厚帆布抽绳款25*70cm </t>
  </si>
  <si>
    <t>2589833</t>
  </si>
  <si>
    <t>PO230517000078</t>
  </si>
  <si>
    <t>2589823</t>
  </si>
  <si>
    <t>6020020140</t>
  </si>
  <si>
    <t xml:space="preserve">灭火器 桂安 干粉灭火器手提式ABC灭火器 5KG </t>
  </si>
  <si>
    <t>2589824</t>
  </si>
  <si>
    <t>2589826</t>
  </si>
  <si>
    <t>PO230517000080</t>
  </si>
  <si>
    <t>3080020909</t>
  </si>
  <si>
    <t>车贴 禁止停车停车场标识 900x700MM 雪糕筒封皮</t>
  </si>
  <si>
    <t>2589831</t>
  </si>
  <si>
    <t>2020070058</t>
  </si>
  <si>
    <t xml:space="preserve">藿香正气水 云南白药 ,云丰 10ml*10支 </t>
  </si>
  <si>
    <t>藿香正气水</t>
  </si>
  <si>
    <t>2589832</t>
  </si>
  <si>
    <t>2020070341</t>
  </si>
  <si>
    <t xml:space="preserve">烧烫伤膏 国产优质 湿润烧伤膏 20gx1支 </t>
  </si>
  <si>
    <t>2589827</t>
  </si>
  <si>
    <t>7010090019</t>
  </si>
  <si>
    <t xml:space="preserve">断线钳 捷科 BC-600 断线钳钢筋剪大力剪钢丝钳子电缆剪线钳24寸600MM </t>
  </si>
  <si>
    <t>断线钳</t>
  </si>
  <si>
    <t>2589825</t>
  </si>
  <si>
    <t>2589829</t>
  </si>
  <si>
    <t>2589830</t>
  </si>
  <si>
    <t>PO230517000077</t>
  </si>
  <si>
    <t>3070013534</t>
  </si>
  <si>
    <t>亚克力 物业工作人员岗位公告栏管区标识 1200x800MM，厚度3MM 亚克力，背面UV打印，专色印刷</t>
  </si>
  <si>
    <t>2023-05-17 10:04:55.0</t>
  </si>
  <si>
    <t>2589822</t>
  </si>
  <si>
    <t>PO230517000075</t>
  </si>
  <si>
    <t>1020060360</t>
  </si>
  <si>
    <t>固体胶 得力 7102 21g/支，12支/盒 高粘度PVA</t>
  </si>
  <si>
    <t>固体胶</t>
  </si>
  <si>
    <t>2589818</t>
  </si>
  <si>
    <t>2589821</t>
  </si>
  <si>
    <t>PO230517000076</t>
  </si>
  <si>
    <t>7010190025</t>
  </si>
  <si>
    <t xml:space="preserve">剪刀 得力 黑色6027 175mm中号不锈钢剪刀 </t>
  </si>
  <si>
    <t>剪刀</t>
  </si>
  <si>
    <t>2589819</t>
  </si>
  <si>
    <t>2589820</t>
  </si>
  <si>
    <t>PO230517000061</t>
  </si>
  <si>
    <t>2023-05-17 10:03:25.0</t>
  </si>
  <si>
    <t>2591054</t>
  </si>
  <si>
    <t>PO230517000067</t>
  </si>
  <si>
    <t>2589806</t>
  </si>
  <si>
    <t>PO230517000068</t>
  </si>
  <si>
    <t>2020010299</t>
  </si>
  <si>
    <t xml:space="preserve">洗发水 清扬 洗发水女 750ML </t>
  </si>
  <si>
    <t>深圳市惠高洁智能清洁科技有限公司</t>
  </si>
  <si>
    <t>2589810</t>
  </si>
  <si>
    <t>2589807</t>
  </si>
  <si>
    <t>2589803</t>
  </si>
  <si>
    <t>PO230517000072</t>
  </si>
  <si>
    <t>2589815</t>
  </si>
  <si>
    <t>PO230517000065</t>
  </si>
  <si>
    <t>2591060</t>
  </si>
  <si>
    <t>PO230517000066</t>
  </si>
  <si>
    <t>7130510160</t>
  </si>
  <si>
    <t>地板 国产优质 实木 长60x宽30x高12CM 胡桃色</t>
  </si>
  <si>
    <t>2591062</t>
  </si>
  <si>
    <t>2010020087</t>
  </si>
  <si>
    <t>夹子 国产优质 小号2-3.5CM 桌布固定卡扣一套4个</t>
  </si>
  <si>
    <t>2589804</t>
  </si>
  <si>
    <t>2020010300</t>
  </si>
  <si>
    <t xml:space="preserve">洗发水 清扬 洗发水男 750ML </t>
  </si>
  <si>
    <t>2589809</t>
  </si>
  <si>
    <t>PO230517000062</t>
  </si>
  <si>
    <t>2020030820</t>
  </si>
  <si>
    <t xml:space="preserve">暖手宝 国产 暖手充电两用 1000毫安 </t>
  </si>
  <si>
    <t>2591057</t>
  </si>
  <si>
    <t>2589805</t>
  </si>
  <si>
    <t>PO230517000073</t>
  </si>
  <si>
    <t>2020030017</t>
  </si>
  <si>
    <t xml:space="preserve">防撞条 国产优质 电梯用橡胶防护角1米 </t>
  </si>
  <si>
    <t>防撞条</t>
  </si>
  <si>
    <t>2591065</t>
  </si>
  <si>
    <t>2591064</t>
  </si>
  <si>
    <t>2591063</t>
  </si>
  <si>
    <t>PO230517000069</t>
  </si>
  <si>
    <t>1020060359</t>
  </si>
  <si>
    <t>装订夹 金得利 2孔封闭式OS1079 50套/盒，80MM 彩色，活页装订扣</t>
  </si>
  <si>
    <t>装订夹</t>
  </si>
  <si>
    <t>2589811</t>
  </si>
  <si>
    <t>2591055</t>
  </si>
  <si>
    <t>PO230517000063</t>
  </si>
  <si>
    <t>1020020101</t>
  </si>
  <si>
    <t>油漆笔 国产优质 老红木家具修色笔 14.5CM 补漆笔</t>
  </si>
  <si>
    <t>油漆笔</t>
  </si>
  <si>
    <t>2591058</t>
  </si>
  <si>
    <t>PO230517000064</t>
  </si>
  <si>
    <t>2591059</t>
  </si>
  <si>
    <t>PO230517000071</t>
  </si>
  <si>
    <t>2589813</t>
  </si>
  <si>
    <t>2589808</t>
  </si>
  <si>
    <t>1020060315</t>
  </si>
  <si>
    <t>名片 90MMx54MM 纸质</t>
  </si>
  <si>
    <t>2589814</t>
  </si>
  <si>
    <t>PO230517000070</t>
  </si>
  <si>
    <t>2589812</t>
  </si>
  <si>
    <t>2589802</t>
  </si>
  <si>
    <t>4060250183</t>
  </si>
  <si>
    <t>其他清洁剂 科盟 眼镜宝清洗液 150ML/支 无香型</t>
  </si>
  <si>
    <t>2591061</t>
  </si>
  <si>
    <t>暖手宝</t>
  </si>
  <si>
    <t>1020020102</t>
  </si>
  <si>
    <t>激光笔 惠斯特 303 常亮开关，醒目绿光 大功率</t>
  </si>
  <si>
    <t>2591053</t>
  </si>
  <si>
    <t>2020070419</t>
  </si>
  <si>
    <t>药品 水仙 清凉风油精 6ML</t>
  </si>
  <si>
    <t>2591056</t>
  </si>
  <si>
    <t>PO230526000082</t>
  </si>
  <si>
    <t>7030180001</t>
  </si>
  <si>
    <t>测温纸 波仕欧 NSW-10A 25-75°，一片装</t>
  </si>
  <si>
    <t>工程物资/仪器仪表/其他仪器仪表</t>
  </si>
  <si>
    <t>测温纸</t>
  </si>
  <si>
    <t>2023-05-16 17:02:26.0</t>
  </si>
  <si>
    <t>2603916</t>
  </si>
  <si>
    <t>7030180002</t>
  </si>
  <si>
    <t>测温纸 波仕欧 NSWA-75 150片/张</t>
  </si>
  <si>
    <t>2603917</t>
  </si>
  <si>
    <t>2603915</t>
  </si>
  <si>
    <t>PO230614000089</t>
  </si>
  <si>
    <t>2023-05-16 16:37:54.0</t>
  </si>
  <si>
    <t>2621821</t>
  </si>
  <si>
    <t>PO240117000319</t>
  </si>
  <si>
    <t>2023-05-12 16:27:23.0</t>
  </si>
  <si>
    <t>2915809</t>
  </si>
  <si>
    <t>PO230616000124</t>
  </si>
  <si>
    <t>2023-05-12 16:26:07.0</t>
  </si>
  <si>
    <t>2623276</t>
  </si>
  <si>
    <t>PO230619000156</t>
  </si>
  <si>
    <t>深圳华一检验有限公司</t>
  </si>
  <si>
    <t>2023-05-10 11:50:54.0</t>
  </si>
  <si>
    <t>2616716</t>
  </si>
  <si>
    <t>PO230816000055</t>
  </si>
  <si>
    <t>2023-05-08 20:05:23.0</t>
  </si>
  <si>
    <t>2685267</t>
  </si>
  <si>
    <t>PO230430000011</t>
  </si>
  <si>
    <t>3050050006</t>
  </si>
  <si>
    <t xml:space="preserve">商业工程夏装短袖 暄暄 短袖导电纤维/防静电涤棉纱卡 灰蓝 </t>
  </si>
  <si>
    <t>形象视觉/商业服装/商业工程服装</t>
  </si>
  <si>
    <t>商业工程夏装短袖</t>
  </si>
  <si>
    <t>深圳市暄暄服装有限公司</t>
  </si>
  <si>
    <t>2023-04-30 18:31:39.0</t>
  </si>
  <si>
    <t>2582868</t>
  </si>
  <si>
    <t>3050050007</t>
  </si>
  <si>
    <t xml:space="preserve">商业工程夏装夏裤 暄暄 夏裤导电纤维/防静电涤棉纱卡 深蓝 </t>
  </si>
  <si>
    <t>商业工程夏装夏裤</t>
  </si>
  <si>
    <t>2582867</t>
  </si>
  <si>
    <t>PO230620000339</t>
  </si>
  <si>
    <t>2023-04-26 12:25:24.0</t>
  </si>
  <si>
    <t>2618102</t>
  </si>
  <si>
    <t>PO230614000091</t>
  </si>
  <si>
    <t>2023-04-21 19:02:42.0</t>
  </si>
  <si>
    <t>2614339</t>
  </si>
  <si>
    <t>PO230417000037</t>
  </si>
  <si>
    <t>2023-04-17 09:29:29.0</t>
  </si>
  <si>
    <t>2568192</t>
  </si>
  <si>
    <t>PO230428000014</t>
  </si>
  <si>
    <t>2023-04-17 09:25:36.0</t>
  </si>
  <si>
    <t>2573179</t>
  </si>
  <si>
    <t>PO230421000186</t>
  </si>
  <si>
    <t>2023-04-14 13:21:17.0</t>
  </si>
  <si>
    <t>2570490</t>
  </si>
  <si>
    <t>PO230423000170</t>
  </si>
  <si>
    <t>2023-04-12 14:54:00.0</t>
  </si>
  <si>
    <t>2580021</t>
  </si>
  <si>
    <t>PO230417000143</t>
  </si>
  <si>
    <t>116103</t>
  </si>
  <si>
    <t>晨光 M＆G 彩色资料册 AWT90939 A4 60页 （红色、蓝色、黄色、绿色、白色） （颜色随机）</t>
  </si>
  <si>
    <t>2023-04-10 08:45:45.0</t>
  </si>
  <si>
    <t>2557327</t>
  </si>
  <si>
    <t>PO230407000292</t>
  </si>
  <si>
    <t>2023-04-07 14:41:57.0</t>
  </si>
  <si>
    <t>2562073</t>
  </si>
  <si>
    <t>PO230407000291</t>
  </si>
  <si>
    <t>6010220011</t>
  </si>
  <si>
    <t xml:space="preserve">正压式呼吸器 宇安 </t>
  </si>
  <si>
    <t>2562071</t>
  </si>
  <si>
    <t>2562072</t>
  </si>
  <si>
    <t>2562074</t>
  </si>
  <si>
    <t>PO230407000290</t>
  </si>
  <si>
    <t>2562069</t>
  </si>
  <si>
    <t>1020060358</t>
  </si>
  <si>
    <t>双面胶 得力 30416 36MMx5Yx2.5MM，12卷/袋 白色</t>
  </si>
  <si>
    <t>2562070</t>
  </si>
  <si>
    <t>PO230407000285</t>
  </si>
  <si>
    <t>2023-04-07 14:41:32.0</t>
  </si>
  <si>
    <t>2562040</t>
  </si>
  <si>
    <t>PO230407000287</t>
  </si>
  <si>
    <t>2562056</t>
  </si>
  <si>
    <t>PO230407000289</t>
  </si>
  <si>
    <t>7080060151</t>
  </si>
  <si>
    <t>直通 国产优质 直径32直接(材质304不锈钢) 不锈钢直接</t>
  </si>
  <si>
    <t>工程物资/管材/直通（更新中）</t>
  </si>
  <si>
    <t>直通</t>
  </si>
  <si>
    <t>2562059</t>
  </si>
  <si>
    <t>7080110175</t>
  </si>
  <si>
    <t>给水活接头 联塑 PVC给水 50mm 接头</t>
  </si>
  <si>
    <t>给水活接头</t>
  </si>
  <si>
    <t>2562065</t>
  </si>
  <si>
    <t>7131030051</t>
  </si>
  <si>
    <t>锁芯 国产优质 矮柜大头锁</t>
  </si>
  <si>
    <t>2562046</t>
  </si>
  <si>
    <t>PO230407000288</t>
  </si>
  <si>
    <t>7050060212</t>
  </si>
  <si>
    <t>筒灯 佛山照明 MQ8-LED24 24w 8寸,LED钻石三代筒灯,20*1,白光6500K</t>
  </si>
  <si>
    <t>2562057</t>
  </si>
  <si>
    <t>7140160214</t>
  </si>
  <si>
    <t xml:space="preserve">继电器 台湾嘉阳 时间继电器AH2-N AC220V，0-10S </t>
  </si>
  <si>
    <t>2562062</t>
  </si>
  <si>
    <t>7120010045</t>
  </si>
  <si>
    <t>地坪漆 国产优质 16KG 自流平水泥地板漆环保绿色哑光亮光油漆家用室内外家用防水耐磨厂房水泥直涂地面漆</t>
  </si>
  <si>
    <t>工程物资/油漆/地坪漆</t>
  </si>
  <si>
    <t>地坪漆</t>
  </si>
  <si>
    <t>2562045</t>
  </si>
  <si>
    <t>7131010055</t>
  </si>
  <si>
    <t xml:space="preserve">配电柜锁 MS818配电箱锁 面径：141x33MM，开孔：135x26.5MM </t>
  </si>
  <si>
    <t>配电柜锁</t>
  </si>
  <si>
    <t>2562047</t>
  </si>
  <si>
    <t>7080030421</t>
  </si>
  <si>
    <t xml:space="preserve">弯头 联塑 PVC给水 50MM </t>
  </si>
  <si>
    <t>2562035</t>
  </si>
  <si>
    <t>2562048</t>
  </si>
  <si>
    <t>2562052</t>
  </si>
  <si>
    <t>1010010081</t>
  </si>
  <si>
    <t xml:space="preserve">电机 九州 轴流风机电机 </t>
  </si>
  <si>
    <t>2562063</t>
  </si>
  <si>
    <t>7131020057</t>
  </si>
  <si>
    <t xml:space="preserve">门锁 鹰兰仕 904 玻璃门锁 </t>
  </si>
  <si>
    <t>2562041</t>
  </si>
  <si>
    <t>7130990123</t>
  </si>
  <si>
    <t>磁力锁 国产优质 280公斤12V 电磁锁一卡通单开门</t>
  </si>
  <si>
    <t>2562044</t>
  </si>
  <si>
    <t>6050080015</t>
  </si>
  <si>
    <t xml:space="preserve">门禁 国产优质 3号单门木门（外开+需加L支架） </t>
  </si>
  <si>
    <t>2562042</t>
  </si>
  <si>
    <t>PO230407000284</t>
  </si>
  <si>
    <t>2010020366</t>
  </si>
  <si>
    <t>其他厨房配件 TOTO 124BE主机盒 感应水龙头配件DLE112113，电磁阀主板基板电源</t>
  </si>
  <si>
    <t>2562031</t>
  </si>
  <si>
    <t>2562066</t>
  </si>
  <si>
    <t>2562039</t>
  </si>
  <si>
    <t>7131150032</t>
  </si>
  <si>
    <t xml:space="preserve">其他五金辅料 国产优质 防潮板+塑料配件小便器尿斗挡板 400x900CM </t>
  </si>
  <si>
    <t>其他五金辅料</t>
  </si>
  <si>
    <t>2562030</t>
  </si>
  <si>
    <t>6050050005</t>
  </si>
  <si>
    <t xml:space="preserve">监控支架 国产优质 270-300mm </t>
  </si>
  <si>
    <t>2562064</t>
  </si>
  <si>
    <t>7080060013</t>
  </si>
  <si>
    <t>直通 联塑 63mm*32mm PVC给水</t>
  </si>
  <si>
    <t>2562060</t>
  </si>
  <si>
    <t>6050040011</t>
  </si>
  <si>
    <t xml:space="preserve">彩色监控镜头半球 国产优质 网络红外半球摄像机 </t>
  </si>
  <si>
    <t>彩色监控镜头半球</t>
  </si>
  <si>
    <t>2562061</t>
  </si>
  <si>
    <t>7130540036</t>
  </si>
  <si>
    <t>电源适配器 TP-LINK 路由器电源适配器 5V，0.6A 通用小口1米线长</t>
  </si>
  <si>
    <t>2562032</t>
  </si>
  <si>
    <t>3070013529</t>
  </si>
  <si>
    <t>亚克力 消防疏散平面图管区标识 500x700MM 亚克力，背面UV打印</t>
  </si>
  <si>
    <t>2562055</t>
  </si>
  <si>
    <t>7140250005</t>
  </si>
  <si>
    <t xml:space="preserve">插座防水罩 公牛 F03B 通用86型防水开关面板盒 </t>
  </si>
  <si>
    <t>2562037</t>
  </si>
  <si>
    <t>7130440119</t>
  </si>
  <si>
    <t xml:space="preserve">扎带 凡客 8x250MM </t>
  </si>
  <si>
    <t>2562036</t>
  </si>
  <si>
    <t>2562054</t>
  </si>
  <si>
    <t>2562053</t>
  </si>
  <si>
    <t>7130230015</t>
  </si>
  <si>
    <t xml:space="preserve">PVC胶水 联塑 PVC给水胶水 500ML </t>
  </si>
  <si>
    <t>工程物资/五金辅料/PVC胶水</t>
  </si>
  <si>
    <t>PVC胶水</t>
  </si>
  <si>
    <t>2562034</t>
  </si>
  <si>
    <t>2562068</t>
  </si>
  <si>
    <t>7160080019</t>
  </si>
  <si>
    <t>开关电源 国产优质 F-12V-400W 电流33.3A 工程亮化防雨专用</t>
  </si>
  <si>
    <t>开关电源</t>
  </si>
  <si>
    <t>2562043</t>
  </si>
  <si>
    <t>2562058</t>
  </si>
  <si>
    <t>7080110177</t>
  </si>
  <si>
    <t xml:space="preserve">线槽 国产优质 5cm PVC地线槽2M/条 </t>
  </si>
  <si>
    <t>2562038</t>
  </si>
  <si>
    <t>PO230407000286</t>
  </si>
  <si>
    <t>2562049</t>
  </si>
  <si>
    <t>7130180002</t>
  </si>
  <si>
    <t xml:space="preserve">花洒 国产优质 增压花洒淋浴喷头 </t>
  </si>
  <si>
    <t>花洒</t>
  </si>
  <si>
    <t>2562067</t>
  </si>
  <si>
    <t>7130260035</t>
  </si>
  <si>
    <t>发泡胶 千居美 高密度型 900g/瓶 发泡剂</t>
  </si>
  <si>
    <t>工程物资/五金辅料/发泡胶</t>
  </si>
  <si>
    <t>发泡胶</t>
  </si>
  <si>
    <t>2562051</t>
  </si>
  <si>
    <t>7080120279</t>
  </si>
  <si>
    <t xml:space="preserve">排水管 联塑 PVC排水 50MMx4M长 </t>
  </si>
  <si>
    <t>2562033</t>
  </si>
  <si>
    <t>2562050</t>
  </si>
  <si>
    <t>PO230406000461</t>
  </si>
  <si>
    <t>1010020198</t>
  </si>
  <si>
    <t>墨盒 夏普 MX-238CT 适用AR-2048/2348-SV/DV/NV/2648NV/3148NV机型 黑色</t>
  </si>
  <si>
    <t>墨盒</t>
  </si>
  <si>
    <t>2023-04-06 17:35:23.0</t>
  </si>
  <si>
    <t>2560958</t>
  </si>
  <si>
    <t>PO230406000462</t>
  </si>
  <si>
    <t>2560960</t>
  </si>
  <si>
    <t>1020010566</t>
  </si>
  <si>
    <t>便签纸 晨光 YD-932 1200张/包，76x102MM 多色便利贴</t>
  </si>
  <si>
    <t>便签纸</t>
  </si>
  <si>
    <t>2560959</t>
  </si>
  <si>
    <t>1020080742</t>
  </si>
  <si>
    <t>文件柜 国产优质 五层双门 850x390x1800MM 灰白色</t>
  </si>
  <si>
    <t>2560957</t>
  </si>
  <si>
    <t>2560961</t>
  </si>
  <si>
    <t>PO230406000460</t>
  </si>
  <si>
    <t>2023-04-06 17:35:06.0</t>
  </si>
  <si>
    <t>2550881</t>
  </si>
  <si>
    <t>2550879</t>
  </si>
  <si>
    <t>2550882</t>
  </si>
  <si>
    <t>2550880</t>
  </si>
  <si>
    <t>2010020283</t>
  </si>
  <si>
    <t>其他电器配件 沁园 龙头硅胶垫 开水器QYB-3-15配件，包安装更换</t>
  </si>
  <si>
    <t>2550883</t>
  </si>
  <si>
    <t>PO230406000181</t>
  </si>
  <si>
    <t>4060180006</t>
  </si>
  <si>
    <t xml:space="preserve">洗衣粉 雕牌 508克 </t>
  </si>
  <si>
    <t>2023-04-06 11:43:17.0</t>
  </si>
  <si>
    <t>2550248</t>
  </si>
  <si>
    <t>PO230406000178</t>
  </si>
  <si>
    <t>2550240</t>
  </si>
  <si>
    <t>PO230406000179</t>
  </si>
  <si>
    <t>4010010017</t>
  </si>
  <si>
    <t>高压水枪 博赫尔 IPX5 2200W+220V 灰色</t>
  </si>
  <si>
    <t>清洁物资类/清洁设备/高压水枪</t>
  </si>
  <si>
    <t>2550243</t>
  </si>
  <si>
    <t>6020010030</t>
  </si>
  <si>
    <t xml:space="preserve">UPS蓄电池 超威 12V 6-EVF-100A </t>
  </si>
  <si>
    <t>UPS蓄电池</t>
  </si>
  <si>
    <t>2550242</t>
  </si>
  <si>
    <t>2550239</t>
  </si>
  <si>
    <t>PO230406000183</t>
  </si>
  <si>
    <t>4110100006</t>
  </si>
  <si>
    <t xml:space="preserve">消毒液 威露士 家用消毒液1.6Lx2杀菌率99.999% </t>
  </si>
  <si>
    <t>2560454</t>
  </si>
  <si>
    <t>4060250151</t>
  </si>
  <si>
    <t>其他清洁剂 白云 JB116 3.78L/桶 强力化油剂</t>
  </si>
  <si>
    <t>2550245</t>
  </si>
  <si>
    <t>2550241</t>
  </si>
  <si>
    <t>PO230406000180</t>
  </si>
  <si>
    <t>2550244</t>
  </si>
  <si>
    <t>4030240069</t>
  </si>
  <si>
    <t xml:space="preserve">水桶 国产优质 18L </t>
  </si>
  <si>
    <t>2550247</t>
  </si>
  <si>
    <t>4030110024</t>
  </si>
  <si>
    <t>垃圾铲 国产优质 宽约26CM 灰色</t>
  </si>
  <si>
    <t>2550249</t>
  </si>
  <si>
    <t>4030160035</t>
  </si>
  <si>
    <t>扫把 2.8m,加厚加长 户外工厂扫马路扫葵骨扫长扫街竹扫把庭院加厚加长大把马路扫印尼葵骨</t>
  </si>
  <si>
    <t>2560453</t>
  </si>
  <si>
    <t>PO230406000182</t>
  </si>
  <si>
    <t>7130570051</t>
  </si>
  <si>
    <t>电梯按键保护膜 国产优质 A3尺寸 过塑膜</t>
  </si>
  <si>
    <t>电梯按键保护膜</t>
  </si>
  <si>
    <t>2560452</t>
  </si>
  <si>
    <t>PO230406000035</t>
  </si>
  <si>
    <t>2023-04-06 09:12:41.0</t>
  </si>
  <si>
    <t>2550013</t>
  </si>
  <si>
    <t>PO230406000037</t>
  </si>
  <si>
    <t>2560053</t>
  </si>
  <si>
    <t>PO230406000034</t>
  </si>
  <si>
    <t>2010020365</t>
  </si>
  <si>
    <t>裱花嘴 三能 SN7141 18齿 银色</t>
  </si>
  <si>
    <t>裱花嘴</t>
  </si>
  <si>
    <t>2550009</t>
  </si>
  <si>
    <t>2550015</t>
  </si>
  <si>
    <t>PO230406000033</t>
  </si>
  <si>
    <t>1020020099</t>
  </si>
  <si>
    <t>铅笔 得力 S908 50只 六角笔杆原木HB铅笔</t>
  </si>
  <si>
    <t>2550004</t>
  </si>
  <si>
    <t>2550005</t>
  </si>
  <si>
    <t>4080120162</t>
  </si>
  <si>
    <t xml:space="preserve">毛巾 智骋 大号麂皮擦车巾 30x40CM，2条/份 </t>
  </si>
  <si>
    <t>2550006</t>
  </si>
  <si>
    <t>2550012</t>
  </si>
  <si>
    <t>2550017</t>
  </si>
  <si>
    <t>PO230406000036</t>
  </si>
  <si>
    <t>2550019</t>
  </si>
  <si>
    <t>2010010756</t>
  </si>
  <si>
    <t>食品包装袋 国产优质 小兔形状饼干袋 100枚/包 自封袋</t>
  </si>
  <si>
    <t>食品包装袋</t>
  </si>
  <si>
    <t>2550008</t>
  </si>
  <si>
    <t>PO230406000039</t>
  </si>
  <si>
    <t>3070050913</t>
  </si>
  <si>
    <t>不锈钢腐蚀牌 工具间标识洗手间标识 厚度1MM 不锈钢</t>
  </si>
  <si>
    <t>2550020</t>
  </si>
  <si>
    <t>2020010302</t>
  </si>
  <si>
    <t xml:space="preserve">牙膏 黑人牌 180g </t>
  </si>
  <si>
    <t>2550018</t>
  </si>
  <si>
    <t>PO230406000041</t>
  </si>
  <si>
    <t>2560059</t>
  </si>
  <si>
    <t>PO230406000038</t>
  </si>
  <si>
    <t>2020041168</t>
  </si>
  <si>
    <t>烘焙原料 国产 柠檬香精 500g/瓶 食品用添加剂</t>
  </si>
  <si>
    <t>2560054</t>
  </si>
  <si>
    <t>2010010757</t>
  </si>
  <si>
    <t>餐盒 猴大福 蛋糕包装长盒 长19CM，宽7CM，高6.5CM，100份/批 烘焙包装</t>
  </si>
  <si>
    <t>餐盒</t>
  </si>
  <si>
    <t>2550007</t>
  </si>
  <si>
    <t>2560060</t>
  </si>
  <si>
    <t>2560058</t>
  </si>
  <si>
    <t>2550016</t>
  </si>
  <si>
    <t>2560052</t>
  </si>
  <si>
    <t>2550010</t>
  </si>
  <si>
    <t>100016706146</t>
  </si>
  <si>
    <t>罗技（Logitech）K580 键盘 无线蓝牙键盘 办公键盘 便携超薄键盘 笔记本键盘 平板键盘 星空灰</t>
  </si>
  <si>
    <t>2560056</t>
  </si>
  <si>
    <t>1010020266</t>
  </si>
  <si>
    <t>理线带 绿联 背胶尼龙粘扣电源线扎线带 5米/卷 黑色，带魔术贴</t>
  </si>
  <si>
    <t>2560055</t>
  </si>
  <si>
    <t>2560057</t>
  </si>
  <si>
    <t>2020040110</t>
  </si>
  <si>
    <t xml:space="preserve">糖果 雀巢 宝路薄荷味糖 750g </t>
  </si>
  <si>
    <t>糖果</t>
  </si>
  <si>
    <t>2550011</t>
  </si>
  <si>
    <t>2550014</t>
  </si>
  <si>
    <t>PO230406000040</t>
  </si>
  <si>
    <t>2550021</t>
  </si>
  <si>
    <t>PO230404000359</t>
  </si>
  <si>
    <t>1010080050</t>
  </si>
  <si>
    <t>笔记本电脑 联想 ThinkBook14+ CPU：i5-12500H，内存：16GBDDR4，硬盘：512GSSD，集成显卡 14英寸，银色</t>
  </si>
  <si>
    <t>笔记本电脑</t>
  </si>
  <si>
    <t>2023-04-04 15:51:39.0</t>
  </si>
  <si>
    <t>2539419</t>
  </si>
  <si>
    <t>1010080058</t>
  </si>
  <si>
    <t>台式电脑（主机+显示器） 联想 M437 主板：H470，CPU:I5-10500（3.1G6核），内存：8G8G-DDR42666，硬盘：1T+256GSSD，集成显卡 包含23.8寸显示器和无线网卡、USB键鼠</t>
  </si>
  <si>
    <t>台式电脑（主机+显示器）</t>
  </si>
  <si>
    <t>2539420</t>
  </si>
  <si>
    <t>PO230328000055</t>
  </si>
  <si>
    <t>2023-03-28 10:17:33.0</t>
  </si>
  <si>
    <t>2543766</t>
  </si>
  <si>
    <t>2543765</t>
  </si>
  <si>
    <t>2543768</t>
  </si>
  <si>
    <t>2543767</t>
  </si>
  <si>
    <t>PO230427000183</t>
  </si>
  <si>
    <t>2023-03-23 16:19:58.0</t>
  </si>
  <si>
    <t>2573011</t>
  </si>
  <si>
    <t>PO230324000267</t>
  </si>
  <si>
    <t>2023-03-21 14:23:40.0</t>
  </si>
  <si>
    <t>2542006</t>
  </si>
  <si>
    <t>PO230321000067</t>
  </si>
  <si>
    <t>2023-03-21 09:12:58.0</t>
  </si>
  <si>
    <t>2528046</t>
  </si>
  <si>
    <t>PO230330000056</t>
  </si>
  <si>
    <t>2010060588</t>
  </si>
  <si>
    <t>电视 创维 SKY46SJSD-001 宽1668MM，高1031MM，厚360MM</t>
  </si>
  <si>
    <t>2023-03-21 09:12:43.0</t>
  </si>
  <si>
    <t>2535683</t>
  </si>
  <si>
    <t>7140410013</t>
  </si>
  <si>
    <t>电机 东荣智能 DR-30 300KG 卷闸卷帘门电机</t>
  </si>
  <si>
    <t>2535684</t>
  </si>
  <si>
    <t>PO230321000065</t>
  </si>
  <si>
    <t>2023-03-21 09:12:05.0</t>
  </si>
  <si>
    <t>2528043</t>
  </si>
  <si>
    <t>2528044</t>
  </si>
  <si>
    <t>2528045</t>
  </si>
  <si>
    <t>2528042</t>
  </si>
  <si>
    <t>PO230321000063</t>
  </si>
  <si>
    <t>2023-03-21 09:11:43.0</t>
  </si>
  <si>
    <t>2518741</t>
  </si>
  <si>
    <t>PO230320000096</t>
  </si>
  <si>
    <t>177061</t>
  </si>
  <si>
    <t>得力 deli 防水型证件卡 5758 横式 (透明) 10个/包</t>
  </si>
  <si>
    <t>2527358</t>
  </si>
  <si>
    <t>PO230317000098</t>
  </si>
  <si>
    <t>1h1055</t>
  </si>
  <si>
    <t>晨光M＆G牛皮纸档案盒APYRF18LA420mm新旧款替换</t>
  </si>
  <si>
    <t>2023-03-17 17:34:25.0</t>
  </si>
  <si>
    <t>2516783</t>
  </si>
  <si>
    <t>2516795</t>
  </si>
  <si>
    <t>1146642</t>
  </si>
  <si>
    <t>晨光M＆GEplus筒装黑色长尾夹ABS9273525mm48个/筒48筒/箱</t>
  </si>
  <si>
    <t>2516787</t>
  </si>
  <si>
    <t>1036636</t>
  </si>
  <si>
    <t>手牌 SDI 办公事务型剪刀 NO.0840C 171mm （黑色） 12把/盒</t>
  </si>
  <si>
    <t>2516796</t>
  </si>
  <si>
    <t>1051296</t>
  </si>
  <si>
    <t>晨光M＆G3#PVC筒装彩色回形针ABS9169828mm160枚/筒</t>
  </si>
  <si>
    <t>2516788</t>
  </si>
  <si>
    <t>157086</t>
  </si>
  <si>
    <t>晨光 M＆G 优事贴PET十分条自粘指示贴 YS-22 AS26OA0102 48*12mm*10 （混色） 20张/条 10条/包</t>
  </si>
  <si>
    <t>2516785</t>
  </si>
  <si>
    <t>1033851</t>
  </si>
  <si>
    <t>晨光 M＆G 拔帽中性笔 Q7 0.5mm (黑色) 12支/盒 (替芯：MG6102)(大包装)</t>
  </si>
  <si>
    <t>2516781</t>
  </si>
  <si>
    <t>1051806</t>
  </si>
  <si>
    <t>晨光 M＆G 透明胶带 AJD97320 12mm*30Y  12卷/筒</t>
  </si>
  <si>
    <t>2516790</t>
  </si>
  <si>
    <t>156095</t>
  </si>
  <si>
    <t>晨光 M＆G 优事贴多彩自粘便条纸 YS-10 AS33D10110 3”*3” 76*76mm （黄色、绿色、蓝色、粉红） 100页/本 20本/盒</t>
  </si>
  <si>
    <t>2516784</t>
  </si>
  <si>
    <t>3016781</t>
  </si>
  <si>
    <t>晨光 M＆G 12号订书机 ABS92722A 20页 （黑色） （适配#24/6、26/6针）</t>
  </si>
  <si>
    <t>2516791</t>
  </si>
  <si>
    <t>1146641</t>
  </si>
  <si>
    <t>晨光M＆GEplus筒装黑色长尾夹ABS9273432mm24个/筒48筒/箱</t>
  </si>
  <si>
    <t>2516786</t>
  </si>
  <si>
    <t>1036556</t>
  </si>
  <si>
    <t>晨光M＆G加厚牛皮纸档案袋APYRA61000A4250G20个/包</t>
  </si>
  <si>
    <t>2516793</t>
  </si>
  <si>
    <t>1146644</t>
  </si>
  <si>
    <t>晨光M＆GEplus筒装黑色长尾夹ABS9273715mm60个/筒60筒/箱</t>
  </si>
  <si>
    <t>2516789</t>
  </si>
  <si>
    <t>3485950</t>
  </si>
  <si>
    <t>晨光 M＆G 大容量修正带 ACT55308 5mm*12m  6个装</t>
  </si>
  <si>
    <t>2516794</t>
  </si>
  <si>
    <t>102192</t>
  </si>
  <si>
    <t>晨光 M＆G 拔帽中性笔 Q7 0.5mm (红色) 12支/盒 (替芯：MG6102)</t>
  </si>
  <si>
    <t>2516782</t>
  </si>
  <si>
    <t>1048329</t>
  </si>
  <si>
    <t>晨光 M＆G 统一订书针 ABS92616 #24/6  1000枚/盒</t>
  </si>
  <si>
    <t>2516792</t>
  </si>
  <si>
    <t>PO230809000163</t>
  </si>
  <si>
    <t>北京依利特物业服务有限公司</t>
  </si>
  <si>
    <t>2023-03-14 16:45:20.0</t>
  </si>
  <si>
    <t>U金地智慧服务集团公司/UV商业物业事业部/UVP商业物业事业部上海管理中心/UVPJ商业物业事业部上海中海油大厦物业管理服务中心//</t>
  </si>
  <si>
    <t>2675696</t>
  </si>
  <si>
    <t>PO230406000054</t>
  </si>
  <si>
    <t>2023-03-09 10:30:56.0</t>
  </si>
  <si>
    <t>U金地智慧服务集团公司/UV商业物业事业部/UVJ商业物业事业部粤东二管理中心/UVJA商业物业事业部深圳中海油大厦物业管理服务中心//</t>
  </si>
  <si>
    <t>2560089</t>
  </si>
  <si>
    <t>PO230403000483</t>
  </si>
  <si>
    <t>2023-03-09 10:19:55.0</t>
  </si>
  <si>
    <t>2548645</t>
  </si>
  <si>
    <t>PO230303000188</t>
  </si>
  <si>
    <t>2023-03-03 12:51:14.0</t>
  </si>
  <si>
    <t>U金地智慧服务集团公司/UV商业物业事业部/UVK商业物业事业部粤东二管理中心/UVKAA商业物业事业部深圳中海油大厦物业管理服务中心//</t>
  </si>
  <si>
    <t>2499024</t>
  </si>
  <si>
    <t>PO230302000222</t>
  </si>
  <si>
    <t>7160020033</t>
  </si>
  <si>
    <t>浮球开关 国产优质 4分 加厚丰塔黄铜可调式浮球阀水池水塔水箱液面水位控制阀门</t>
  </si>
  <si>
    <t>浮球开关</t>
  </si>
  <si>
    <t>2023-03-02 15:14:10.0</t>
  </si>
  <si>
    <t>2508239</t>
  </si>
  <si>
    <t>PO230302000221</t>
  </si>
  <si>
    <t>2508227</t>
  </si>
  <si>
    <t>7130970041</t>
  </si>
  <si>
    <t>水龙头 国产优质 4分 冷热水龙头</t>
  </si>
  <si>
    <t>2508235</t>
  </si>
  <si>
    <t>2508236</t>
  </si>
  <si>
    <t>7080120370</t>
  </si>
  <si>
    <t>下水管 潜水艇 塑料防臭下水管SQ-1 适用管径32MM ABS塑料，面盆洗手池防臭S弯</t>
  </si>
  <si>
    <t>2508238</t>
  </si>
  <si>
    <t>2508240</t>
  </si>
  <si>
    <t>7130710018</t>
  </si>
  <si>
    <t xml:space="preserve">尼龙绳 国产优质 12MMx20米 </t>
  </si>
  <si>
    <t>2508232</t>
  </si>
  <si>
    <t>7080120078</t>
  </si>
  <si>
    <t>排水管 联塑 50mm*4M长 PVC排水</t>
  </si>
  <si>
    <t>2508228</t>
  </si>
  <si>
    <t>7140190007</t>
  </si>
  <si>
    <t xml:space="preserve">控制器 上海人民 CPS-32C(KBO) 控制器与保护开关 </t>
  </si>
  <si>
    <t>控制器</t>
  </si>
  <si>
    <t>2508233</t>
  </si>
  <si>
    <t>7130020010</t>
  </si>
  <si>
    <t xml:space="preserve">闭门器 闭门器 英国 britOn </t>
  </si>
  <si>
    <t>2508231</t>
  </si>
  <si>
    <t>7130600001</t>
  </si>
  <si>
    <t>挂钩 国产优质 304不锈钢 免打孔拖把架 挂钩</t>
  </si>
  <si>
    <t>挂钩</t>
  </si>
  <si>
    <t>2508237</t>
  </si>
  <si>
    <t>7130960018</t>
  </si>
  <si>
    <t xml:space="preserve">水表 埃美柯 4分 </t>
  </si>
  <si>
    <t>水表</t>
  </si>
  <si>
    <t>2508226</t>
  </si>
  <si>
    <t>7130990124</t>
  </si>
  <si>
    <t>磁力锁 国产优质 280公斤12V 电磁锁一卡通双开门</t>
  </si>
  <si>
    <t>2508234</t>
  </si>
  <si>
    <t>4030230012</t>
  </si>
  <si>
    <t xml:space="preserve">水管 联塑 6分 PVC线管2.8m/根 </t>
  </si>
  <si>
    <t>2508230</t>
  </si>
  <si>
    <t>7080120453</t>
  </si>
  <si>
    <t xml:space="preserve">排水管 国产 小便池防臭下水管 </t>
  </si>
  <si>
    <t>2508229</t>
  </si>
  <si>
    <t>PO230302000220</t>
  </si>
  <si>
    <t>2023-03-02 15:13:49.0</t>
  </si>
  <si>
    <t>2498360</t>
  </si>
  <si>
    <t>2498361</t>
  </si>
  <si>
    <t>6010060012</t>
  </si>
  <si>
    <t>扩音器 手持喇叭喊话器518, 录音扩音器</t>
  </si>
  <si>
    <t>消防安保/消防工具/扩音器</t>
  </si>
  <si>
    <t>扩音器</t>
  </si>
  <si>
    <t>2498357</t>
  </si>
  <si>
    <t>2498359</t>
  </si>
  <si>
    <t>2498358</t>
  </si>
  <si>
    <t>PO230302000219</t>
  </si>
  <si>
    <t>2498356</t>
  </si>
  <si>
    <t>PO230301000380</t>
  </si>
  <si>
    <t>2023-03-01 19:14:39.0</t>
  </si>
  <si>
    <t>2507625</t>
  </si>
  <si>
    <t>2507623</t>
  </si>
  <si>
    <t>PO230301000378</t>
  </si>
  <si>
    <t>2497855</t>
  </si>
  <si>
    <t>PO230301000379</t>
  </si>
  <si>
    <t>2497856</t>
  </si>
  <si>
    <t>PO230301000377</t>
  </si>
  <si>
    <t>2497854</t>
  </si>
  <si>
    <t>2010030261</t>
  </si>
  <si>
    <t xml:space="preserve">烟灰缸 国产优质 约15x15CM </t>
  </si>
  <si>
    <t>烟灰缸</t>
  </si>
  <si>
    <t>2497852</t>
  </si>
  <si>
    <t>6060040002</t>
  </si>
  <si>
    <t xml:space="preserve">网兜 国产优质 篮球网加粗比赛投篮网篮框网兜 红蓝白(单个装) </t>
  </si>
  <si>
    <t>消防安保/安全防护装备/防暴钢叉</t>
  </si>
  <si>
    <t>网兜</t>
  </si>
  <si>
    <t>2497858</t>
  </si>
  <si>
    <t>2507627</t>
  </si>
  <si>
    <t>2497853</t>
  </si>
  <si>
    <t>PO230301000376</t>
  </si>
  <si>
    <t>2497851</t>
  </si>
  <si>
    <t>2507624</t>
  </si>
  <si>
    <t>1010100024</t>
  </si>
  <si>
    <t xml:space="preserve">HDMI转VGA转换器 绿联 HDMI转VGA线转换器高清转接头适配器 </t>
  </si>
  <si>
    <t>2497857</t>
  </si>
  <si>
    <t>2507626</t>
  </si>
  <si>
    <t>PO230301000337</t>
  </si>
  <si>
    <t>2023-03-01 17:34:46.0</t>
  </si>
  <si>
    <t>2497811</t>
  </si>
  <si>
    <t>4080050570</t>
  </si>
  <si>
    <t>垃圾袋 国产优质 中号，加大加厚 80CMx90CM 黑色，PO料，18克/个，1000个/袋</t>
  </si>
  <si>
    <t>2497815</t>
  </si>
  <si>
    <t>4080050569</t>
  </si>
  <si>
    <t>垃圾袋 国产优质 中号，加大加厚 60CMx70CM 黑色，PO料，7克/个，100个/卷，3000个/袋</t>
  </si>
  <si>
    <t>2497814</t>
  </si>
  <si>
    <t>PO230301000338</t>
  </si>
  <si>
    <t>2020030681</t>
  </si>
  <si>
    <t xml:space="preserve">电池 超威 3-EVF 200A </t>
  </si>
  <si>
    <t>2507527</t>
  </si>
  <si>
    <t>PO230301000336</t>
  </si>
  <si>
    <t>2497806</t>
  </si>
  <si>
    <t>4080050573</t>
  </si>
  <si>
    <t>垃圾袋 国产优质 小号 45CMx50CM 黑色，PO料，3克/个，100个/卷，5000个/袋</t>
  </si>
  <si>
    <t>2497813</t>
  </si>
  <si>
    <t>2497812</t>
  </si>
  <si>
    <t>2507528</t>
  </si>
  <si>
    <t>4080050578</t>
  </si>
  <si>
    <t>垃圾袋 国产优质 大号 120x130CM 楼层垃圾收纳大桶</t>
  </si>
  <si>
    <t>2497816</t>
  </si>
  <si>
    <t>2497809</t>
  </si>
  <si>
    <t>4030290112</t>
  </si>
  <si>
    <t>拖把 国产优质 拖把杆 50支/扎 各色，木质</t>
  </si>
  <si>
    <t>2497810</t>
  </si>
  <si>
    <t>2497807</t>
  </si>
  <si>
    <t>2497808</t>
  </si>
  <si>
    <t>PO230316000030</t>
  </si>
  <si>
    <t>3090130126</t>
  </si>
  <si>
    <t xml:space="preserve">鲜花 都爱花 玫瑰花束 1枝/束 </t>
  </si>
  <si>
    <t>形象视觉/节庆饰品/其他饰品</t>
  </si>
  <si>
    <t>鲜花</t>
  </si>
  <si>
    <t>2023-03-01 09:20:58.0</t>
  </si>
  <si>
    <t>2515920</t>
  </si>
  <si>
    <t>PO230403000288</t>
  </si>
  <si>
    <t>2023-02-27 15:17:48.0</t>
  </si>
  <si>
    <t>2548198</t>
  </si>
  <si>
    <t>PO230421000099</t>
  </si>
  <si>
    <t>2023-02-24 08:52:16.0</t>
  </si>
  <si>
    <t>2570348</t>
  </si>
  <si>
    <t>PO230403000175</t>
  </si>
  <si>
    <t>2023-02-21 10:14:54.0</t>
  </si>
  <si>
    <t>2547895</t>
  </si>
  <si>
    <t>PO230525000099</t>
  </si>
  <si>
    <t>2023-02-17 15:06:01.0</t>
  </si>
  <si>
    <t>U金地智慧服务集团公司/UV商业物业事业部/UVM商业物业事业部上海管理中心/UVMK商业物业事业部上海中海油大厦物业管理服务中心//</t>
  </si>
  <si>
    <t>2603465</t>
  </si>
  <si>
    <t>PO230215000324</t>
  </si>
  <si>
    <t>7110070006</t>
  </si>
  <si>
    <t xml:space="preserve">滚筒 椰树 4寸 </t>
  </si>
  <si>
    <t>工程物资/建筑材料/滚筒</t>
  </si>
  <si>
    <t>滚筒</t>
  </si>
  <si>
    <t>2023-02-15 18:05:35.0</t>
  </si>
  <si>
    <t>2501412</t>
  </si>
  <si>
    <t>2501413</t>
  </si>
  <si>
    <t>7131030021</t>
  </si>
  <si>
    <t xml:space="preserve">锁芯 国产优质 飞机锁  德将（DEJIANG） </t>
  </si>
  <si>
    <t>2501415</t>
  </si>
  <si>
    <t>2501410</t>
  </si>
  <si>
    <t>2501417</t>
  </si>
  <si>
    <t>2501409</t>
  </si>
  <si>
    <t>PO230215000323</t>
  </si>
  <si>
    <t>2501408</t>
  </si>
  <si>
    <t>2501406</t>
  </si>
  <si>
    <t>4060250146</t>
  </si>
  <si>
    <t xml:space="preserve">其他清洁剂 茶卫士 茶渍除垢剂 10g/袋，30袋/盒 </t>
  </si>
  <si>
    <t>2501401</t>
  </si>
  <si>
    <t>2501405</t>
  </si>
  <si>
    <t>2501418</t>
  </si>
  <si>
    <t>2501416</t>
  </si>
  <si>
    <t>2501407</t>
  </si>
  <si>
    <t>7140370005</t>
  </si>
  <si>
    <t xml:space="preserve">电容 国产优质 电容CBB61 1.5uF </t>
  </si>
  <si>
    <t>2501414</t>
  </si>
  <si>
    <t>4080120150</t>
  </si>
  <si>
    <t>毛巾 国产优质 35x75CM 绿色</t>
  </si>
  <si>
    <t>2501404</t>
  </si>
  <si>
    <t>2501403</t>
  </si>
  <si>
    <t>2501411</t>
  </si>
  <si>
    <t>2501402</t>
  </si>
  <si>
    <t>PO230410000381</t>
  </si>
  <si>
    <t>2023-02-15 14:05:11.0</t>
  </si>
  <si>
    <t>2564021</t>
  </si>
  <si>
    <t>PO230417000090</t>
  </si>
  <si>
    <t>2023-02-15 14:04:53.0</t>
  </si>
  <si>
    <t>2557168</t>
  </si>
  <si>
    <t>PO230213000368</t>
  </si>
  <si>
    <t>2023-02-13 16:41:48.0</t>
  </si>
  <si>
    <t>2489777</t>
  </si>
  <si>
    <t>PO230213000370</t>
  </si>
  <si>
    <t>2490165</t>
  </si>
  <si>
    <t>2490169</t>
  </si>
  <si>
    <t>7010310110</t>
  </si>
  <si>
    <t>人字梯 新光 8级 2.0M 加厚</t>
  </si>
  <si>
    <t>2490173</t>
  </si>
  <si>
    <t>2489776</t>
  </si>
  <si>
    <t>7110170026</t>
  </si>
  <si>
    <t xml:space="preserve">滚筒刷 椰树 4寸 </t>
  </si>
  <si>
    <t>滚筒刷</t>
  </si>
  <si>
    <t>2490166</t>
  </si>
  <si>
    <t>2490168</t>
  </si>
  <si>
    <t>2490167</t>
  </si>
  <si>
    <t>4020050025</t>
  </si>
  <si>
    <t>手推式洗地机吸水胶条 国产优质 洗地机吸水胶条 水刮</t>
  </si>
  <si>
    <t>清洁物资类/清洁设备配件（更新中）/洗地机配件（更新中）</t>
  </si>
  <si>
    <t>手推式洗地机吸水胶条</t>
  </si>
  <si>
    <t>2490185</t>
  </si>
  <si>
    <t>2490180</t>
  </si>
  <si>
    <t>2490162</t>
  </si>
  <si>
    <t>2490164</t>
  </si>
  <si>
    <t>4030210018</t>
  </si>
  <si>
    <t>收纳工具 国产优质 磁性白板收纳盒 白色 自吸式带磁性</t>
  </si>
  <si>
    <t>收纳工具</t>
  </si>
  <si>
    <t>2490182</t>
  </si>
  <si>
    <t>2490178</t>
  </si>
  <si>
    <t>2490163</t>
  </si>
  <si>
    <t>2490183</t>
  </si>
  <si>
    <t>2490175</t>
  </si>
  <si>
    <t>7100040033</t>
  </si>
  <si>
    <t xml:space="preserve">平板车 国产优质 搬运宝BYB-5600 承重600斤 </t>
  </si>
  <si>
    <t>2490172</t>
  </si>
  <si>
    <t>2490174</t>
  </si>
  <si>
    <t>2489775</t>
  </si>
  <si>
    <t>2490181</t>
  </si>
  <si>
    <t>2490177</t>
  </si>
  <si>
    <t>7140300025</t>
  </si>
  <si>
    <t>灯架 飞利浦 LED支架灯带接头 13W，4000K，长1.2米</t>
  </si>
  <si>
    <t>灯架</t>
  </si>
  <si>
    <t>2490171</t>
  </si>
  <si>
    <t>2490176</t>
  </si>
  <si>
    <t>7131010028</t>
  </si>
  <si>
    <t>信箱锁 国产优质 D18.5xL30 信箱锁</t>
  </si>
  <si>
    <t>信箱锁</t>
  </si>
  <si>
    <t>2490170</t>
  </si>
  <si>
    <t>PO230213000369</t>
  </si>
  <si>
    <t>2489778</t>
  </si>
  <si>
    <t>2490179</t>
  </si>
  <si>
    <t>3080090011</t>
  </si>
  <si>
    <t>帐篷 劳博士 LABORSLBS845 重型自动架蓝3*3+四围布 应急救援帐篷</t>
  </si>
  <si>
    <t>形象视觉/广告宣传/帐篷</t>
  </si>
  <si>
    <t>帐篷</t>
  </si>
  <si>
    <t>2490184</t>
  </si>
  <si>
    <t>PO230410000389</t>
  </si>
  <si>
    <t>2023-02-13 15:32:40.0</t>
  </si>
  <si>
    <t>2564047</t>
  </si>
  <si>
    <t>PO230306000213</t>
  </si>
  <si>
    <t>2023-02-12 16:57:13.0</t>
  </si>
  <si>
    <t>2510574</t>
  </si>
  <si>
    <t>PO230417000097</t>
  </si>
  <si>
    <t>2023-02-09 10:33:30.0</t>
  </si>
  <si>
    <t>2557176</t>
  </si>
  <si>
    <t>PO230422000005</t>
  </si>
  <si>
    <t>2023-02-07 16:47:50.0</t>
  </si>
  <si>
    <t>2559573</t>
  </si>
  <si>
    <t>PO230213000296</t>
  </si>
  <si>
    <t>2023-02-07 12:20:11.0</t>
  </si>
  <si>
    <t>2479918</t>
  </si>
  <si>
    <t>PO230411000116</t>
  </si>
  <si>
    <t>2023-01-31 11:02:28.0</t>
  </si>
  <si>
    <t>2553992</t>
  </si>
  <si>
    <t>PO230213000171</t>
  </si>
  <si>
    <t>1010040051</t>
  </si>
  <si>
    <t>鼠标垫 镭拓 GTS碳素树脂鼠标垫 象牙白</t>
  </si>
  <si>
    <t>鼠标垫</t>
  </si>
  <si>
    <t>2023-01-16 10:03:34.0</t>
  </si>
  <si>
    <t>2479651</t>
  </si>
  <si>
    <t>1020060275</t>
  </si>
  <si>
    <t xml:space="preserve">透明胶 国产优质 封箱胶带 透明 </t>
  </si>
  <si>
    <t>透明胶</t>
  </si>
  <si>
    <t>2479646</t>
  </si>
  <si>
    <t>6010030015</t>
  </si>
  <si>
    <t>担架 者也 多功能可折叠急救救生消防担架 二折加厚不锈钢（135公斤） 蓝色</t>
  </si>
  <si>
    <t>2479650</t>
  </si>
  <si>
    <t>2010020362</t>
  </si>
  <si>
    <t>夹子 国产优质 透明防滑夹 大号3.5</t>
  </si>
  <si>
    <t>2479662</t>
  </si>
  <si>
    <t>1041131</t>
  </si>
  <si>
    <t>凯斯特 商务仿皮笔记本 KST153-25K 25K （黑色） 150页/本</t>
  </si>
  <si>
    <t>2479654</t>
  </si>
  <si>
    <t>2479647</t>
  </si>
  <si>
    <t>1010040013</t>
  </si>
  <si>
    <t>鼠标 罗技 M330 无线鼠标 黑色</t>
  </si>
  <si>
    <t>鼠标</t>
  </si>
  <si>
    <t>2479645</t>
  </si>
  <si>
    <t>1020020023</t>
  </si>
  <si>
    <t>白板笔 得力 33176 7黑2蓝1红 白板笔套装</t>
  </si>
  <si>
    <t>2479665</t>
  </si>
  <si>
    <t>7090050411</t>
  </si>
  <si>
    <t>液位控制器 国产优质 三线探头 2米长</t>
  </si>
  <si>
    <t>液位控制器</t>
  </si>
  <si>
    <t>2479658</t>
  </si>
  <si>
    <t>6070020024</t>
  </si>
  <si>
    <t>口罩 海氏海诺 一次性无菌三层 蓝色 灭菌口罩，独立包装</t>
  </si>
  <si>
    <t>口罩</t>
  </si>
  <si>
    <t>2479652</t>
  </si>
  <si>
    <t>7140200215</t>
  </si>
  <si>
    <t>熔断器 浙江茗熔 RT16-00(NT00) 63A，500V/100kA</t>
  </si>
  <si>
    <t>熔断器</t>
  </si>
  <si>
    <t>2479657</t>
  </si>
  <si>
    <t>7050020022</t>
  </si>
  <si>
    <t>LED灯盘 佛山照明 300*600铝扣式,6500K白光</t>
  </si>
  <si>
    <t>2479656</t>
  </si>
  <si>
    <t>FQ2264</t>
  </si>
  <si>
    <t>DELI/得力 白板擦 7810 105×45×35mm 1只</t>
  </si>
  <si>
    <t>2479664</t>
  </si>
  <si>
    <t>1020130033</t>
  </si>
  <si>
    <t xml:space="preserve">复印纸 得力 珊瑚海,A4 80g,加厚双面打印纸,500张/包 </t>
  </si>
  <si>
    <t>2479655</t>
  </si>
  <si>
    <t>7160020035</t>
  </si>
  <si>
    <t>感应开关 TCL ENG03TCL 多功能感应开关，罗格朗三线制红外线人体感应开关</t>
  </si>
  <si>
    <t>2479648</t>
  </si>
  <si>
    <t>7140160215</t>
  </si>
  <si>
    <t>继电器 台湾松菱 C61F-GP 电压220V/AC</t>
  </si>
  <si>
    <t>2479659</t>
  </si>
  <si>
    <t>7050100004</t>
  </si>
  <si>
    <t>T5LED灯架 佛山照明 汾江全塑LED 1.2m T5无影支架,14w,黄光3000K</t>
  </si>
  <si>
    <t>2479660</t>
  </si>
  <si>
    <t>2479653</t>
  </si>
  <si>
    <t>PO230222000092</t>
  </si>
  <si>
    <t>2010020363</t>
  </si>
  <si>
    <t>餐车 国产优质 大号不锈钢木色酒水车带抽屉（整装款） 60x35x75CM</t>
  </si>
  <si>
    <t>餐车</t>
  </si>
  <si>
    <t>2494171</t>
  </si>
  <si>
    <t>2479649</t>
  </si>
  <si>
    <t>1010130020</t>
  </si>
  <si>
    <t>录音笔 科大讯飞 SR101 8G+5G云储存 中英文实时星空灰</t>
  </si>
  <si>
    <t>2479663</t>
  </si>
  <si>
    <t>4080130135</t>
  </si>
  <si>
    <t>魔力擦 达福芮 纳米海绵擦魔力擦 50片/箱 白色</t>
  </si>
  <si>
    <t>清洁物资类/清洁耗材/抹布/万用抹布（更新中）</t>
  </si>
  <si>
    <t>魔力擦</t>
  </si>
  <si>
    <t>2479661</t>
  </si>
  <si>
    <t>1152867</t>
  </si>
  <si>
    <t>晨光M＆G厚层订书针ABS9262950页#24/8500枚/盒10盒/包</t>
  </si>
  <si>
    <t>2479642</t>
  </si>
  <si>
    <t>100005222562</t>
  </si>
  <si>
    <t>千帆（YIDU SAILS）塑封膜A4 7C高透塑封纸复印纸过胶膜 过塑纸过胶纸照片过塑膜a4 220x305mmx7丝 100张</t>
  </si>
  <si>
    <t>2479643</t>
  </si>
  <si>
    <t>2479644</t>
  </si>
  <si>
    <t>PO230112000209</t>
  </si>
  <si>
    <t>2023-01-12 22:33:37.0</t>
  </si>
  <si>
    <t>2471730</t>
  </si>
  <si>
    <t>2471729</t>
  </si>
  <si>
    <t>PO230112000207</t>
  </si>
  <si>
    <t>2471726</t>
  </si>
  <si>
    <t>PO230112000208</t>
  </si>
  <si>
    <t>2471727</t>
  </si>
  <si>
    <t>2471728</t>
  </si>
  <si>
    <t>PO230210000038</t>
  </si>
  <si>
    <t xml:space="preserve">矿泉水 景田 348ML*24 </t>
  </si>
  <si>
    <t>2023-01-12 15:58:36.0</t>
  </si>
  <si>
    <t>2487977</t>
  </si>
  <si>
    <t>PO230427000153</t>
  </si>
  <si>
    <t>2023-01-05 08:57:30.0</t>
  </si>
  <si>
    <t>2582125</t>
  </si>
  <si>
    <t>PO230324000249</t>
  </si>
  <si>
    <t>2023-01-02 19:14:03.0</t>
  </si>
  <si>
    <t>2541987</t>
  </si>
  <si>
    <t>PO221229000027</t>
  </si>
  <si>
    <t>2020070408</t>
  </si>
  <si>
    <t>药品 奥德中科 抗原检测试剂盒 25人份/盒</t>
  </si>
  <si>
    <t>2022-12-28 10:10:58.0</t>
  </si>
  <si>
    <t>2433326</t>
  </si>
  <si>
    <t>2433327</t>
  </si>
  <si>
    <t>PO230411000112</t>
  </si>
  <si>
    <t>2022-12-24 11:22:57.0</t>
  </si>
  <si>
    <t>2553991</t>
  </si>
  <si>
    <t>PO230207000380</t>
  </si>
  <si>
    <t>2022-12-24 11:22:40.0</t>
  </si>
  <si>
    <t>2485880</t>
  </si>
  <si>
    <t>PO230324000250</t>
  </si>
  <si>
    <t>2022-12-24 11:22:02.0</t>
  </si>
  <si>
    <t>2541988</t>
  </si>
  <si>
    <t>PO221229000143</t>
  </si>
  <si>
    <t>2040020087</t>
  </si>
  <si>
    <t>棉被 北山狼 成人加宽通用款 2.5KG，尺寸230x100CM 加厚防寒</t>
  </si>
  <si>
    <t>家居生活/宿舍用品（更新中）/床单被罩（更新中）</t>
  </si>
  <si>
    <t>棉被</t>
  </si>
  <si>
    <t>2022-12-23 16:35:21.0</t>
  </si>
  <si>
    <t>2442837</t>
  </si>
  <si>
    <t>PO221228000231</t>
  </si>
  <si>
    <t>1020010557</t>
  </si>
  <si>
    <t>证书 TouchFish 大12K荣誉证书 10本装，附20张内芯 绒面烫金颁奖奖状证书外壳</t>
  </si>
  <si>
    <t>证书</t>
  </si>
  <si>
    <t>2022-12-19 12:04:30.0</t>
  </si>
  <si>
    <t>2432888</t>
  </si>
  <si>
    <t>2020030777</t>
  </si>
  <si>
    <t xml:space="preserve">体重秤 飞科 FH7008 33.7CM </t>
  </si>
  <si>
    <t>体重秤</t>
  </si>
  <si>
    <t>2432889</t>
  </si>
  <si>
    <t>2010060453</t>
  </si>
  <si>
    <t>电磁炉 美的 C22-RT22E01 2200W 火锅炉汉森面板，电磁灶，智能定时，旋风防堵风机，家用大功率</t>
  </si>
  <si>
    <t>电磁炉</t>
  </si>
  <si>
    <t>2432892</t>
  </si>
  <si>
    <t>2010060546</t>
  </si>
  <si>
    <t>压力锅 九阳 VF501 4.5L 绿色，含烘焙礼盒+50片油纸盘</t>
  </si>
  <si>
    <t>压力锅</t>
  </si>
  <si>
    <t>2432891</t>
  </si>
  <si>
    <t>2010060550</t>
  </si>
  <si>
    <t>养生壶 苏泊尔 SW-15YT01 孔雀绿</t>
  </si>
  <si>
    <t>养生壶</t>
  </si>
  <si>
    <t>2432890</t>
  </si>
  <si>
    <t>2040020081</t>
  </si>
  <si>
    <t>棉被 南极人 立体边 5斤，150x200CM 灰色</t>
  </si>
  <si>
    <t>2432893</t>
  </si>
  <si>
    <t>PO221229000025</t>
  </si>
  <si>
    <t>2020070407</t>
  </si>
  <si>
    <t>药品 仁和湖南 西替利嗪 14g/盒</t>
  </si>
  <si>
    <t>2022-12-16 16:56:11.0</t>
  </si>
  <si>
    <t>2442725</t>
  </si>
  <si>
    <t>2020070409</t>
  </si>
  <si>
    <t>药品 广东逸舒长 氯雷他定片 8片/盒</t>
  </si>
  <si>
    <t>2442721</t>
  </si>
  <si>
    <t>100014138554</t>
  </si>
  <si>
    <t>斯科赛斯 防护N95口罩 1片/包 （企业专享 不零售 100包起发）</t>
  </si>
  <si>
    <t>2442720</t>
  </si>
  <si>
    <t>3080090042</t>
  </si>
  <si>
    <t>帐篷 国产优质 小型临时隔离帐篷 150x150x190CM 蓝色</t>
  </si>
  <si>
    <t>2442727</t>
  </si>
  <si>
    <t>2020070352</t>
  </si>
  <si>
    <t>药品 仁和 藿香正气胶囊 每粒0.3克装，12粒/板，2板/盒</t>
  </si>
  <si>
    <t>2442723</t>
  </si>
  <si>
    <t>2442728</t>
  </si>
  <si>
    <t>6070080045</t>
  </si>
  <si>
    <t xml:space="preserve">医用防护服 稳健 一次性使用隔离衣 130x140CM，1件/袋 </t>
  </si>
  <si>
    <t>消防安保/常规防疫应急物资（更新中）/医用防护服（更新中）</t>
  </si>
  <si>
    <t>医用防护服</t>
  </si>
  <si>
    <t>2442726</t>
  </si>
  <si>
    <t>2020070406</t>
  </si>
  <si>
    <t>药品 石家庄 连花清瘟胶囊 36粒/盒</t>
  </si>
  <si>
    <t>2442724</t>
  </si>
  <si>
    <t>6070040027</t>
  </si>
  <si>
    <t xml:space="preserve">防护面罩 国产 医用隔离罩 </t>
  </si>
  <si>
    <t>消防安保/常规防疫应急物资（更新中）/防护面罩（更新中）</t>
  </si>
  <si>
    <t>防护面罩</t>
  </si>
  <si>
    <t>2442729</t>
  </si>
  <si>
    <t>2020070405</t>
  </si>
  <si>
    <t>药品 太极 通宣理肺丸 7g/袋，9袋/盒</t>
  </si>
  <si>
    <t>2442722</t>
  </si>
  <si>
    <t>PO230303000481</t>
  </si>
  <si>
    <t>深圳市加鸿智能科技有限公司</t>
  </si>
  <si>
    <t>2022-12-13 09:00:08.0</t>
  </si>
  <si>
    <t>2509450</t>
  </si>
  <si>
    <t>PO230104000250</t>
  </si>
  <si>
    <t>2022-12-12 17:51:58.0</t>
  </si>
  <si>
    <t>2444309</t>
  </si>
  <si>
    <t>PO230323000305</t>
  </si>
  <si>
    <t>2022-12-12 17:51:17.0</t>
  </si>
  <si>
    <t>2541374</t>
  </si>
  <si>
    <t>PO221228000178</t>
  </si>
  <si>
    <t>7160060034</t>
  </si>
  <si>
    <t xml:space="preserve">带漏电保护开关 施耐德 4P160A </t>
  </si>
  <si>
    <t>工程物资/开关插座/带漏电保护开关</t>
  </si>
  <si>
    <t>带漏电保护开关</t>
  </si>
  <si>
    <t>2022-12-12 09:14:22.0</t>
  </si>
  <si>
    <t>2432743</t>
  </si>
  <si>
    <t>PO221209000229</t>
  </si>
  <si>
    <t>2022-12-09 19:38:35.0</t>
  </si>
  <si>
    <t>2384507</t>
  </si>
  <si>
    <t>2384506</t>
  </si>
  <si>
    <t>4070020042</t>
  </si>
  <si>
    <t>抽纸 维达 V2239 三层，195x133MM，130抽/包，60包/箱 14g/㎡</t>
  </si>
  <si>
    <t>2384505</t>
  </si>
  <si>
    <t>2384508</t>
  </si>
  <si>
    <t>PO221227000177</t>
  </si>
  <si>
    <t>2022-12-09 14:32:00.0</t>
  </si>
  <si>
    <t>2431496</t>
  </si>
  <si>
    <t>3080021111</t>
  </si>
  <si>
    <t>车贴 国产优质 3M车贴 845CMx158CM 包设计</t>
  </si>
  <si>
    <t>2431499</t>
  </si>
  <si>
    <t>2431494</t>
  </si>
  <si>
    <t>2431497</t>
  </si>
  <si>
    <t>7130880100</t>
  </si>
  <si>
    <t>亚克力板 国产优质 244CMx120CMx0.8CM 透明</t>
  </si>
  <si>
    <t>2431495</t>
  </si>
  <si>
    <t>1020010561</t>
  </si>
  <si>
    <t>标贴纸 欢喜 透明底黑字 12x8CM，2张/组 闸机标识</t>
  </si>
  <si>
    <t>2431498</t>
  </si>
  <si>
    <t>PO221228000143</t>
  </si>
  <si>
    <t>7160110017</t>
  </si>
  <si>
    <t>门禁开关 Gastongerin 86型 出入开门按钮开关</t>
  </si>
  <si>
    <t>工程物资/开关插座/门禁开关</t>
  </si>
  <si>
    <t>门禁开关</t>
  </si>
  <si>
    <t>2022-12-05 18:35:52.0</t>
  </si>
  <si>
    <t>2432697</t>
  </si>
  <si>
    <t>2432708</t>
  </si>
  <si>
    <t>2432706</t>
  </si>
  <si>
    <t>PO221228000167</t>
  </si>
  <si>
    <t>7130930031</t>
  </si>
  <si>
    <t xml:space="preserve">机油 国产 柴油机油 散装 </t>
  </si>
  <si>
    <t>机油</t>
  </si>
  <si>
    <t>2442465</t>
  </si>
  <si>
    <t>1045391</t>
  </si>
  <si>
    <t>科力普 COLIPU 电脑打印纸 241-3 80列 三等分 3联 带压线 （彩色） 1000页/箱</t>
  </si>
  <si>
    <t>2432704</t>
  </si>
  <si>
    <t>2432705</t>
  </si>
  <si>
    <t>2432703</t>
  </si>
  <si>
    <t>2010060010</t>
  </si>
  <si>
    <t xml:space="preserve">咖啡机 德龙  ECAM22.110.SB全自动 </t>
  </si>
  <si>
    <t>2432701</t>
  </si>
  <si>
    <t>7150040101</t>
  </si>
  <si>
    <t xml:space="preserve">波纹管 国产优质 不锈钢波纹 长20CM </t>
  </si>
  <si>
    <t>2432698</t>
  </si>
  <si>
    <t>2432699</t>
  </si>
  <si>
    <t>2432709</t>
  </si>
  <si>
    <t>6010060042</t>
  </si>
  <si>
    <t>扩音器 得胜 E300W 黑色（无线+有线） 小蜜蜂扩音器</t>
  </si>
  <si>
    <t>2432696</t>
  </si>
  <si>
    <t>3070013920</t>
  </si>
  <si>
    <t>亚克力 国产优质 亚克力立牌 A3，横竖可调，加重弧形盘 黑色</t>
  </si>
  <si>
    <t>2432702</t>
  </si>
  <si>
    <t>2432700</t>
  </si>
  <si>
    <t>201001</t>
  </si>
  <si>
    <t>达伯埃 Double A 复印纸 A4 80g 500张/包 5包/箱</t>
  </si>
  <si>
    <t>2432707</t>
  </si>
  <si>
    <t>PO221209000127</t>
  </si>
  <si>
    <t>9020190001</t>
  </si>
  <si>
    <t>其他环境服务</t>
  </si>
  <si>
    <t>服务类/环境服务类/其他环境服务</t>
  </si>
  <si>
    <t>2022-12-02 15:34:35.0</t>
  </si>
  <si>
    <t>2375490</t>
  </si>
  <si>
    <t>PO221227000218</t>
  </si>
  <si>
    <t>7010220062</t>
  </si>
  <si>
    <t xml:space="preserve">抹泥刀 工途 加厚 5寸，12.5CM </t>
  </si>
  <si>
    <t>2022-12-02 15:33:44.0</t>
  </si>
  <si>
    <t>2441423</t>
  </si>
  <si>
    <t>4080130087</t>
  </si>
  <si>
    <t>抹布 妙洁 绵柔洗碗布 8片装 吸水清洁去油污纤维巾厨房擦桌子地玻璃杯不掉毛干净</t>
  </si>
  <si>
    <t>抹布</t>
  </si>
  <si>
    <t>2441443</t>
  </si>
  <si>
    <t>1010100167</t>
  </si>
  <si>
    <t>USB充电头 苹果 USB-C 20W 手机充电器插头，快速充电头</t>
  </si>
  <si>
    <t>USB充电头</t>
  </si>
  <si>
    <t>2441437</t>
  </si>
  <si>
    <t>2030031585</t>
  </si>
  <si>
    <t xml:space="preserve">其他椅子 潇赫 休息椅 双层长200CMx宽35CMx高45CM </t>
  </si>
  <si>
    <t>2441429</t>
  </si>
  <si>
    <t>1020080505</t>
  </si>
  <si>
    <t xml:space="preserve">文件袋 三木 单页文件套E310 A4，透明，20个/袋 </t>
  </si>
  <si>
    <t>文件袋</t>
  </si>
  <si>
    <t>2441441</t>
  </si>
  <si>
    <t>1010020055</t>
  </si>
  <si>
    <t xml:space="preserve">墨盒 爱普生 002 墨水瓶T03X180-002（黑色） </t>
  </si>
  <si>
    <t>2441442</t>
  </si>
  <si>
    <t>2010010750</t>
  </si>
  <si>
    <t>桶 海斯迪克 HKCL-199 22CM 黑色带手提款加厚水泥桶</t>
  </si>
  <si>
    <t>2441424</t>
  </si>
  <si>
    <t>PO221213000166</t>
  </si>
  <si>
    <t>2020070401</t>
  </si>
  <si>
    <t>药品 乐普 抗原检测试剂盒 5份/盒</t>
  </si>
  <si>
    <t>2378585</t>
  </si>
  <si>
    <t>2441433</t>
  </si>
  <si>
    <t>4030240073</t>
  </si>
  <si>
    <t xml:space="preserve">水桶 SPSAUCE 大号折叠 15L </t>
  </si>
  <si>
    <t>2441447</t>
  </si>
  <si>
    <t>7130560093</t>
  </si>
  <si>
    <t xml:space="preserve">垫片 国产优质 DN65 76x122x3MM </t>
  </si>
  <si>
    <t>垫片</t>
  </si>
  <si>
    <t>2441421</t>
  </si>
  <si>
    <t>2441434</t>
  </si>
  <si>
    <t>7130560095</t>
  </si>
  <si>
    <t xml:space="preserve">垫片 国产优质 DN100 108x155xMM </t>
  </si>
  <si>
    <t>2441419</t>
  </si>
  <si>
    <t>7130560092</t>
  </si>
  <si>
    <t xml:space="preserve">垫片 国产优质 DN50 57x98x3MM </t>
  </si>
  <si>
    <t>2441422</t>
  </si>
  <si>
    <t>2010010749</t>
  </si>
  <si>
    <t>保温壶 天喜 316不锈钢 2.0L 本色</t>
  </si>
  <si>
    <t>2441432</t>
  </si>
  <si>
    <t>7131020138</t>
  </si>
  <si>
    <t>门锁 爱美斯 H款501 不锈钢</t>
  </si>
  <si>
    <t>2441425</t>
  </si>
  <si>
    <t>7130170026</t>
  </si>
  <si>
    <t>角铁 国产优质 3米 30x30x5MM 304不锈钢</t>
  </si>
  <si>
    <t>工程物资/五金辅料/角铁（更新中）</t>
  </si>
  <si>
    <t>角铁</t>
  </si>
  <si>
    <t>2441417</t>
  </si>
  <si>
    <t>2020020766</t>
  </si>
  <si>
    <t xml:space="preserve">扫把簸箕套装 康溢 KY-83822 2件套 </t>
  </si>
  <si>
    <t>扫把簸箕套装</t>
  </si>
  <si>
    <t>2441440</t>
  </si>
  <si>
    <t>7160010176</t>
  </si>
  <si>
    <t>插座 兰德华 L-3000EF 智能电子巡更系统通讯座</t>
  </si>
  <si>
    <t>2441428</t>
  </si>
  <si>
    <t>2020020767</t>
  </si>
  <si>
    <t>桌布 国产优质 聚酯纤维 210x58x75CM 绿色</t>
  </si>
  <si>
    <t>桌布</t>
  </si>
  <si>
    <t>2441435</t>
  </si>
  <si>
    <t>2020041128</t>
  </si>
  <si>
    <t xml:space="preserve">奶茶 阿华田 可可粉 1.38KG/罐 </t>
  </si>
  <si>
    <t>奶茶</t>
  </si>
  <si>
    <t>2441430</t>
  </si>
  <si>
    <t>6090020018</t>
  </si>
  <si>
    <t xml:space="preserve">电子巡更钮 兰德华 L3000EF 直径52MM </t>
  </si>
  <si>
    <t>电子巡更钮</t>
  </si>
  <si>
    <t>2441426</t>
  </si>
  <si>
    <t>7130560096</t>
  </si>
  <si>
    <t xml:space="preserve">垫片 国产优质 DN125 133x182x3MM </t>
  </si>
  <si>
    <t>2441418</t>
  </si>
  <si>
    <t>1036478</t>
  </si>
  <si>
    <t>晨光M＆G透明胶带AJD9732318mm*30Y8卷/筒</t>
  </si>
  <si>
    <t>2441445</t>
  </si>
  <si>
    <t>4020050031</t>
  </si>
  <si>
    <t>洗地机硬刷盘 克力威 CD17 17寸 175型多功能刷地机通用地刷</t>
  </si>
  <si>
    <t>洗地机硬刷盘</t>
  </si>
  <si>
    <t>2441444</t>
  </si>
  <si>
    <t>1010100166</t>
  </si>
  <si>
    <t>充电器 品胜 LP-E6N 两电一充套装</t>
  </si>
  <si>
    <t>2441438</t>
  </si>
  <si>
    <t>1010100168</t>
  </si>
  <si>
    <t>多功能充电线 苹果 USB-C 1米 雷霆3转</t>
  </si>
  <si>
    <t>多功能充电线</t>
  </si>
  <si>
    <t>2441436</t>
  </si>
  <si>
    <t>4030030067</t>
  </si>
  <si>
    <t>玻璃刮 益美得 CB064 45CM 铝合金玻璃刮</t>
  </si>
  <si>
    <t>2441448</t>
  </si>
  <si>
    <t>4030240074</t>
  </si>
  <si>
    <t>水桶 家恒宝 15L，40CM长 白色</t>
  </si>
  <si>
    <t>2441415</t>
  </si>
  <si>
    <t>1020070003</t>
  </si>
  <si>
    <t>起钉器 得印 9632 12#蓝色 高效便捷</t>
  </si>
  <si>
    <t>办公类/办公耗材/起钉器/打孔机</t>
  </si>
  <si>
    <t>起钉器</t>
  </si>
  <si>
    <t>2441439</t>
  </si>
  <si>
    <t>4110100055</t>
  </si>
  <si>
    <t xml:space="preserve">消毒液 滴畅 75%酒精喷雾 500ML </t>
  </si>
  <si>
    <t>2441446</t>
  </si>
  <si>
    <t>7130560094</t>
  </si>
  <si>
    <t xml:space="preserve">垫片 国产优质 DN80 89x135x3MM </t>
  </si>
  <si>
    <t>2441420</t>
  </si>
  <si>
    <t>6090020001</t>
  </si>
  <si>
    <t xml:space="preserve">电子巡更棒 兰德华 L-3000EF </t>
  </si>
  <si>
    <t>电子巡更棒</t>
  </si>
  <si>
    <t>2441427</t>
  </si>
  <si>
    <t>1010020227</t>
  </si>
  <si>
    <t>理线带 一绳 CT0001 猫眼50条装 绑线带</t>
  </si>
  <si>
    <t>2441416</t>
  </si>
  <si>
    <t>2441431</t>
  </si>
  <si>
    <t>2441449</t>
  </si>
  <si>
    <t>PO221202000299</t>
  </si>
  <si>
    <t>4060230001</t>
  </si>
  <si>
    <t>绿水 超宝 3.78L 超宝112绿水</t>
  </si>
  <si>
    <t>清洁物资类/清洁剂（更新中）/绿水（更新中）</t>
  </si>
  <si>
    <t>绿水</t>
  </si>
  <si>
    <t>2022-12-02 15:25:18.0</t>
  </si>
  <si>
    <t>2368082</t>
  </si>
  <si>
    <t>PO221202000292</t>
  </si>
  <si>
    <t>7050080033</t>
  </si>
  <si>
    <t xml:space="preserve">T5LED灯管 佛山照明 经典系列1.2 1.2M，汾江,220V,内置双端标准，白光6500K </t>
  </si>
  <si>
    <t>2359279</t>
  </si>
  <si>
    <t>PO221202000304</t>
  </si>
  <si>
    <t>4110040002</t>
  </si>
  <si>
    <t xml:space="preserve">电蚊香液 榄菊无香型4瓶/盒 </t>
  </si>
  <si>
    <t>2368084</t>
  </si>
  <si>
    <t>PO221202000297</t>
  </si>
  <si>
    <t>2359303</t>
  </si>
  <si>
    <t>PO221202000291</t>
  </si>
  <si>
    <t>2368079</t>
  </si>
  <si>
    <t>PO221202000296</t>
  </si>
  <si>
    <t>2359291</t>
  </si>
  <si>
    <t>PO221202000302</t>
  </si>
  <si>
    <t>2359309</t>
  </si>
  <si>
    <t>PO221202000303</t>
  </si>
  <si>
    <t>6010140039</t>
  </si>
  <si>
    <t>消防战斗服 忠铭/聚安隆 14款,3C认证 整套5件套 灭火消防战斗服</t>
  </si>
  <si>
    <t>2359312</t>
  </si>
  <si>
    <t>2359310</t>
  </si>
  <si>
    <t>PO221202000295</t>
  </si>
  <si>
    <t>深圳市南山区沁园净水机专卖店</t>
  </si>
  <si>
    <t>2359286</t>
  </si>
  <si>
    <t>4080120013</t>
  </si>
  <si>
    <t>毛巾 百花清洁专用巾 三色大毛巾</t>
  </si>
  <si>
    <t>2368087</t>
  </si>
  <si>
    <t>PO221202000300</t>
  </si>
  <si>
    <t>6020020133</t>
  </si>
  <si>
    <t xml:space="preserve">灭火器 勤俭 悬挂式干粉灭火器 4kg包安装 </t>
  </si>
  <si>
    <t>2359304</t>
  </si>
  <si>
    <t>PO221202000301</t>
  </si>
  <si>
    <t>2359305</t>
  </si>
  <si>
    <t>PO221202000290</t>
  </si>
  <si>
    <t>2368070</t>
  </si>
  <si>
    <t>PO221202000288</t>
  </si>
  <si>
    <t>7130530050</t>
  </si>
  <si>
    <t xml:space="preserve">水晶头 山泽 6类网络水晶头 </t>
  </si>
  <si>
    <t>2368065</t>
  </si>
  <si>
    <t>2368086</t>
  </si>
  <si>
    <t>4080120148</t>
  </si>
  <si>
    <t>毛巾 谋福 消防湿毛巾9629 火灾逃生湿毛巾</t>
  </si>
  <si>
    <t>2359301</t>
  </si>
  <si>
    <t>7130220043</t>
  </si>
  <si>
    <t xml:space="preserve">胶手套 工农 S、M、X </t>
  </si>
  <si>
    <t>2368094</t>
  </si>
  <si>
    <t>2010010659</t>
  </si>
  <si>
    <t>一次性纸杯 国产优质 定制 加印LOGO</t>
  </si>
  <si>
    <t>2359295</t>
  </si>
  <si>
    <t>2010060007</t>
  </si>
  <si>
    <t>饮水机 沁园 QS-ZRW-L14 直饮机</t>
  </si>
  <si>
    <t>2359289</t>
  </si>
  <si>
    <t>7010150017</t>
  </si>
  <si>
    <t>压线钳 得力 DL2468 4P/6P/8P 三用网络钳水晶段子压接钳压线钳网线钳剥线钳</t>
  </si>
  <si>
    <t>工程物资/手动工具/压线钳</t>
  </si>
  <si>
    <t>压线钳</t>
  </si>
  <si>
    <t>2368063</t>
  </si>
  <si>
    <t>2020070057</t>
  </si>
  <si>
    <t>棉签 宜洁Y-9898 200支装</t>
  </si>
  <si>
    <t>棉签</t>
  </si>
  <si>
    <t>2368085</t>
  </si>
  <si>
    <t>2359292</t>
  </si>
  <si>
    <t>4080100003</t>
  </si>
  <si>
    <t xml:space="preserve">百洁布 3M 思高96# </t>
  </si>
  <si>
    <t>2368088</t>
  </si>
  <si>
    <t>2359284</t>
  </si>
  <si>
    <t>PO221202000289</t>
  </si>
  <si>
    <t>2368069</t>
  </si>
  <si>
    <t>6050090012</t>
  </si>
  <si>
    <t>报警器 AC220V*DN5V 独立款-A80 烟雾报警器</t>
  </si>
  <si>
    <t>消防安保/安防设施/报警器</t>
  </si>
  <si>
    <t>报警器</t>
  </si>
  <si>
    <t>2368080</t>
  </si>
  <si>
    <t>7110200006</t>
  </si>
  <si>
    <t xml:space="preserve">腻子粉 漆之友 20kg 内墙腻子粉 </t>
  </si>
  <si>
    <t>2368075</t>
  </si>
  <si>
    <t>4080050041</t>
  </si>
  <si>
    <t xml:space="preserve">垃圾袋 王子 60*70 新料 </t>
  </si>
  <si>
    <t>2368090</t>
  </si>
  <si>
    <t>2359290</t>
  </si>
  <si>
    <t>2359298</t>
  </si>
  <si>
    <t>PO221202000293</t>
  </si>
  <si>
    <t>7130370346</t>
  </si>
  <si>
    <t xml:space="preserve">拉爆螺丝 国产优质 10*80MM </t>
  </si>
  <si>
    <t>拉爆螺丝</t>
  </si>
  <si>
    <t>2359281</t>
  </si>
  <si>
    <t>7090020002</t>
  </si>
  <si>
    <t xml:space="preserve">阀芯 国产优质 脚踏阀芯 </t>
  </si>
  <si>
    <t>2368078</t>
  </si>
  <si>
    <t>2368064</t>
  </si>
  <si>
    <t>2368073</t>
  </si>
  <si>
    <t>7010220010</t>
  </si>
  <si>
    <t xml:space="preserve">灰刀 国产优质 长25CM 泥工批刀 </t>
  </si>
  <si>
    <t>灰刀</t>
  </si>
  <si>
    <t>2368072</t>
  </si>
  <si>
    <t>7130990045</t>
  </si>
  <si>
    <t xml:space="preserve">挂锁 金点原子 防盗锁 </t>
  </si>
  <si>
    <t>2368077</t>
  </si>
  <si>
    <t>4080050039</t>
  </si>
  <si>
    <t xml:space="preserve">垃圾袋 王子 45*50 新料 </t>
  </si>
  <si>
    <t>2368093</t>
  </si>
  <si>
    <t>2359306</t>
  </si>
  <si>
    <t>PO221202000294</t>
  </si>
  <si>
    <t>2359283</t>
  </si>
  <si>
    <t>7080120454</t>
  </si>
  <si>
    <t>线管 国产优质 黄腊管 管径8MM，1米/条 白底红条</t>
  </si>
  <si>
    <t>2359302</t>
  </si>
  <si>
    <t>7050070214</t>
  </si>
  <si>
    <t>LED吸顶灯 国产优质 8w 感应吸顶灯楼道LED人体声控消防应急声控</t>
  </si>
  <si>
    <t>2368068</t>
  </si>
  <si>
    <t>6010200002</t>
  </si>
  <si>
    <t xml:space="preserve">消防演习烟雾弹 白烟,黄烟,黑烟 </t>
  </si>
  <si>
    <t>2359311</t>
  </si>
  <si>
    <t>2359293</t>
  </si>
  <si>
    <t>2359280</t>
  </si>
  <si>
    <t>4030070027</t>
  </si>
  <si>
    <t xml:space="preserve">尘推布 白云 36寸 </t>
  </si>
  <si>
    <t>2368095</t>
  </si>
  <si>
    <t>2359294</t>
  </si>
  <si>
    <t>7110200007</t>
  </si>
  <si>
    <t xml:space="preserve">腻子粉 漆之友 20kg 外墙腻子粉 </t>
  </si>
  <si>
    <t>2368076</t>
  </si>
  <si>
    <t>4060020110</t>
  </si>
  <si>
    <t>洗洁精 深特 2kg 柠檬</t>
  </si>
  <si>
    <t>清洁物资类/清洁剂（更新中）/洗洁精（更新中）</t>
  </si>
  <si>
    <t>2368083</t>
  </si>
  <si>
    <t>PO221202000305</t>
  </si>
  <si>
    <t>3050030530</t>
  </si>
  <si>
    <t>商业管理服大衣男管家呢大衣 藏青 3XL 羊毛70%涤纶35%</t>
  </si>
  <si>
    <t>形象视觉/商业服装/商业管家服装</t>
  </si>
  <si>
    <t>商业管理服大衣男管家呢大衣</t>
  </si>
  <si>
    <t>广州为高服饰有限公司</t>
  </si>
  <si>
    <t>2368096</t>
  </si>
  <si>
    <t>4080050042</t>
  </si>
  <si>
    <t xml:space="preserve">垃圾袋 110*140（240L） </t>
  </si>
  <si>
    <t>2368091</t>
  </si>
  <si>
    <t>2359307</t>
  </si>
  <si>
    <t>3070013567</t>
  </si>
  <si>
    <t>pvc裱写真 公厕管理制度洗手间标识 400MMx600MM，厚度3MM 户外写真贴PVC板</t>
  </si>
  <si>
    <t>2359308</t>
  </si>
  <si>
    <t>2359288</t>
  </si>
  <si>
    <t>2359297</t>
  </si>
  <si>
    <t>2368066</t>
  </si>
  <si>
    <t>2359285</t>
  </si>
  <si>
    <t>2359287</t>
  </si>
  <si>
    <t>2368089</t>
  </si>
  <si>
    <t>2368067</t>
  </si>
  <si>
    <t>6030070028</t>
  </si>
  <si>
    <t xml:space="preserve">消防指示标识 敏华 双面正向 安全出口指示牌 </t>
  </si>
  <si>
    <t>2368071</t>
  </si>
  <si>
    <t>7120090005</t>
  </si>
  <si>
    <t xml:space="preserve">内墙乳胶漆涂料 立邦 18L </t>
  </si>
  <si>
    <t>2368074</t>
  </si>
  <si>
    <t>4080050040</t>
  </si>
  <si>
    <t xml:space="preserve">垃圾袋 王子 80*90 新料 </t>
  </si>
  <si>
    <t>2368092</t>
  </si>
  <si>
    <t>3070013496</t>
  </si>
  <si>
    <t>PVC 国产优质 不干胶磨砂面 92x7CM 标识贴</t>
  </si>
  <si>
    <t>2359299</t>
  </si>
  <si>
    <t>2359300</t>
  </si>
  <si>
    <t>PO221202000298</t>
  </si>
  <si>
    <t>2368081</t>
  </si>
  <si>
    <t>2359296</t>
  </si>
  <si>
    <t>2359282</t>
  </si>
  <si>
    <t>PO230103000011</t>
  </si>
  <si>
    <t>深圳市旭日环境科技有限公司</t>
  </si>
  <si>
    <t>2022-12-02 15:18:48.0</t>
  </si>
  <si>
    <t>UVJ商业事业部粤东二管理中心/UVJA商业事业部深圳中海油大厦物业管理服务中心/UVKAAA商业物业事业部中海油大厦物业管理服务中心综合部-失效///</t>
  </si>
  <si>
    <t>2443622</t>
  </si>
  <si>
    <t>PO221227000278</t>
  </si>
  <si>
    <t>7130570052</t>
  </si>
  <si>
    <t>电梯按键保护膜 国产优质 A4尺寸 过塑膜</t>
  </si>
  <si>
    <t>2022-12-02 14:55:52.0</t>
  </si>
  <si>
    <t>2441644</t>
  </si>
  <si>
    <t>2441643</t>
  </si>
  <si>
    <t>PO221229000032</t>
  </si>
  <si>
    <t>1010110167</t>
  </si>
  <si>
    <t>独立显卡 华硕 三屏台式机电脑显卡 2GB，高清4K</t>
  </si>
  <si>
    <t>独立显卡</t>
  </si>
  <si>
    <t>2022-12-02 11:18:03.0</t>
  </si>
  <si>
    <t>2433335</t>
  </si>
  <si>
    <t>47218518425</t>
  </si>
  <si>
    <t>志高（CHIGO）开水器商用全自动电热水机开水桶开水机办公室学校饮水机不锈钢工厂烧水炉 70L/H 带过滤款6KW/380V 志高（CHIGO）</t>
  </si>
  <si>
    <t>志高（CHIGO）开水器商用全自动电热水机开水桶开水机办公室学校饮水机不锈钢工厂烧水炉 70L/H 带过滤款6KW/380V</t>
  </si>
  <si>
    <t>2433340</t>
  </si>
  <si>
    <t>7020200038</t>
  </si>
  <si>
    <t>热熔器 欧莱德 PDRPEPB20-60 电子恒温热熔器</t>
  </si>
  <si>
    <t>工程物资/电动工具/热熔器</t>
  </si>
  <si>
    <t>热熔器</t>
  </si>
  <si>
    <t>2433338</t>
  </si>
  <si>
    <t>7130210037</t>
  </si>
  <si>
    <t xml:space="preserve">生料带 合艺 26MMx0.1MMx25M，20米/卷 </t>
  </si>
  <si>
    <t>生料带</t>
  </si>
  <si>
    <t>2433334</t>
  </si>
  <si>
    <t>2433336</t>
  </si>
  <si>
    <t>2010060564</t>
  </si>
  <si>
    <t>开水器 志高 H-70L/H 30L 配套底座</t>
  </si>
  <si>
    <t>2433339</t>
  </si>
  <si>
    <t>2020030776</t>
  </si>
  <si>
    <t xml:space="preserve">吹风机 康夫 KF-3130 2200W </t>
  </si>
  <si>
    <t>2433337</t>
  </si>
  <si>
    <t>7130130245</t>
  </si>
  <si>
    <t>地漏盖 国产优质 白色豆苗款 地漏防臭器</t>
  </si>
  <si>
    <t>工程物资/五金辅料/井盖/排水沟盖板</t>
  </si>
  <si>
    <t>地漏盖</t>
  </si>
  <si>
    <t>2433332</t>
  </si>
  <si>
    <t>3080090041</t>
  </si>
  <si>
    <t>帐篷 国产 消防逃生屋 8x6x2.5M，带鼓风机2台，绳子8根，烟雾机1台 充气消防演习帐篷</t>
  </si>
  <si>
    <t>2433333</t>
  </si>
  <si>
    <t>PO230103000222</t>
  </si>
  <si>
    <t>2022-12-01 08:49:28.0</t>
  </si>
  <si>
    <t>2434551</t>
  </si>
  <si>
    <t>PO221130000068</t>
  </si>
  <si>
    <t>2022-11-29 17:05:03.0</t>
  </si>
  <si>
    <t>2357111</t>
  </si>
  <si>
    <t>PO221128000180</t>
  </si>
  <si>
    <t>1010080021</t>
  </si>
  <si>
    <t xml:space="preserve">台式电脑（主机+显示器） 联想 启天M437 I5-10500/8G/1T+256G/SSD/3年保/23.8吋显示器 </t>
  </si>
  <si>
    <t>2022-11-28 11:32:30.0</t>
  </si>
  <si>
    <t>2354705</t>
  </si>
  <si>
    <t>PO221128000079</t>
  </si>
  <si>
    <t>1010080048</t>
  </si>
  <si>
    <t>笔记本电脑 华为 MateBook14s 14.2英寸，16+512G，12代酷睿标压i5 深空灰</t>
  </si>
  <si>
    <t>深圳市邮讯通电子发展有限公司</t>
  </si>
  <si>
    <t>2022-11-28 10:12:24.0</t>
  </si>
  <si>
    <t>2361765</t>
  </si>
  <si>
    <t>PO221123000230</t>
  </si>
  <si>
    <t>4100040130</t>
  </si>
  <si>
    <t>其他地毯地垫 雅俊 防滑垫三条形 按平方米计价 EVA骨架+毯面</t>
  </si>
  <si>
    <t>2022-11-21 10:43:26.0</t>
  </si>
  <si>
    <t>2348373</t>
  </si>
  <si>
    <t>2020060008</t>
  </si>
  <si>
    <t>大堂报刊架海报书籍 国产优质 《也许你该找个人聊聊》 16开 正版书籍</t>
  </si>
  <si>
    <t>2348374</t>
  </si>
  <si>
    <t>2348371</t>
  </si>
  <si>
    <t>3100050104</t>
  </si>
  <si>
    <t xml:space="preserve">其他礼品 黑樱花 好运将至圆形金属书签礼盒装 42MMx42MM </t>
  </si>
  <si>
    <t>形象视觉/礼品定制/其他礼品</t>
  </si>
  <si>
    <t>其他礼品</t>
  </si>
  <si>
    <t>2348377</t>
  </si>
  <si>
    <t>2010060548</t>
  </si>
  <si>
    <t>电饭锅 美的 FB50M205 5L 大容量</t>
  </si>
  <si>
    <t>电饭锅</t>
  </si>
  <si>
    <t>2348366</t>
  </si>
  <si>
    <t>2348361</t>
  </si>
  <si>
    <t>2348360</t>
  </si>
  <si>
    <t>2020010308</t>
  </si>
  <si>
    <t>牙刷 欧乐B D100 含1个刷头 成人电动牙刷</t>
  </si>
  <si>
    <t>牙刷</t>
  </si>
  <si>
    <t>2348362</t>
  </si>
  <si>
    <t>3100030017</t>
  </si>
  <si>
    <t xml:space="preserve">奖牌 国产优质 定制个人金箔奖牌 20CMx25CM </t>
  </si>
  <si>
    <t>形象视觉/礼品定制/奖杯</t>
  </si>
  <si>
    <t>奖牌</t>
  </si>
  <si>
    <t>2348368</t>
  </si>
  <si>
    <t>2040030016</t>
  </si>
  <si>
    <t xml:space="preserve">枕头 国产优质 卡通U型枕随机款 30CMx30CM </t>
  </si>
  <si>
    <t>家居生活/宿舍用品（更新中）/枕头（更新中）</t>
  </si>
  <si>
    <t>枕头</t>
  </si>
  <si>
    <t>2348375</t>
  </si>
  <si>
    <t>7050070344</t>
  </si>
  <si>
    <t>射灯 光顿照明 GD-219 7W，6000K白光 LED天花灯</t>
  </si>
  <si>
    <t>2348370</t>
  </si>
  <si>
    <t>3100050088</t>
  </si>
  <si>
    <t>其他礼品 大疆 DJI OM 4 SE 磁吸手机云台</t>
  </si>
  <si>
    <t>2348369</t>
  </si>
  <si>
    <t>2348365</t>
  </si>
  <si>
    <t>2010030267</t>
  </si>
  <si>
    <t>铁锅 苏泊尔 EC30JC01 562x357x175MM 304不锈钢</t>
  </si>
  <si>
    <t>铁锅</t>
  </si>
  <si>
    <t>2348364</t>
  </si>
  <si>
    <t>2348357</t>
  </si>
  <si>
    <t>1010030059</t>
  </si>
  <si>
    <t>白板 碧墨轩 1个白板+1笔+1笔夹 19.52x4.5CM 手持小白板</t>
  </si>
  <si>
    <t>白板</t>
  </si>
  <si>
    <t>2348372</t>
  </si>
  <si>
    <t>3100010042</t>
  </si>
  <si>
    <t>礼品袋 零号公馆 梅花小号双层小福袋 10CMx12CM 手工刺绣锦囊</t>
  </si>
  <si>
    <t>礼品袋</t>
  </si>
  <si>
    <t>2348356</t>
  </si>
  <si>
    <t>2010060549</t>
  </si>
  <si>
    <t>料理机 苏泊尔 JR05-300 含1副刀头 玻璃杯体</t>
  </si>
  <si>
    <t>料理机</t>
  </si>
  <si>
    <t>2348363</t>
  </si>
  <si>
    <t>2348359</t>
  </si>
  <si>
    <t>3100050105</t>
  </si>
  <si>
    <t xml:space="preserve">其他礼品 国产优质 柿柿如意陶瓷罐礼盒装 7.5CMx7.5CM，2个装 </t>
  </si>
  <si>
    <t>2348376</t>
  </si>
  <si>
    <t>2010060551</t>
  </si>
  <si>
    <t>蒸汽熨斗 苏泊尔 GT70AX-12 浅灰色+浅蓝</t>
  </si>
  <si>
    <t>2348358</t>
  </si>
  <si>
    <t>2348367</t>
  </si>
  <si>
    <t>PO221119000025</t>
  </si>
  <si>
    <t>4070010090</t>
  </si>
  <si>
    <t xml:space="preserve">擦手纸 维达多康 1003205 20包/箱200张/包 </t>
  </si>
  <si>
    <t>2022-11-17 15:12:15.0</t>
  </si>
  <si>
    <t>2345270</t>
  </si>
  <si>
    <t>2345272</t>
  </si>
  <si>
    <t xml:space="preserve">大盘纸 维达多康 1004203 12卷/箱170米/卷 </t>
  </si>
  <si>
    <t>2345271</t>
  </si>
  <si>
    <t>PO221116000147</t>
  </si>
  <si>
    <t>3050050009</t>
  </si>
  <si>
    <t xml:space="preserve">商业工程冬装冬裤 暄暄 冬裤导电纤维/防静电涤棉纱卡 深蓝 </t>
  </si>
  <si>
    <t>商业工程冬装冬裤</t>
  </si>
  <si>
    <t>2022-11-16 14:58:18.0</t>
  </si>
  <si>
    <t>2343591</t>
  </si>
  <si>
    <t>3050050008</t>
  </si>
  <si>
    <t xml:space="preserve">商业工程冬装长袖 暄暄 长袖导电纤维/防静电涤棉纱卡 灰蓝 </t>
  </si>
  <si>
    <t>商业工程冬装长袖</t>
  </si>
  <si>
    <t>2343592</t>
  </si>
  <si>
    <t>PO221114000351</t>
  </si>
  <si>
    <t>100011649082</t>
  </si>
  <si>
    <t>地球卫士户外垃圾桶240L商用加厚新国标上海环卫垃圾桶带 工业小区物业饭店酒店240升户外垃圾桶黑色</t>
  </si>
  <si>
    <t>2022-11-10 17:04:33.0</t>
  </si>
  <si>
    <t>2334515</t>
  </si>
  <si>
    <t>2334508</t>
  </si>
  <si>
    <t>4060040038</t>
  </si>
  <si>
    <t xml:space="preserve">空调清洗剂 卡洁尔 KJR-010 4KG/桶 </t>
  </si>
  <si>
    <t>清洁物资类/清洁剂（更新中）/空调清洗剂（更新中）</t>
  </si>
  <si>
    <t>空调清洗剂</t>
  </si>
  <si>
    <t>2334494</t>
  </si>
  <si>
    <t>PO221116000118</t>
  </si>
  <si>
    <t>1010130048</t>
  </si>
  <si>
    <t>话筒 山水 SK02-2 一拖二 双话筒</t>
  </si>
  <si>
    <t>话筒</t>
  </si>
  <si>
    <t>2343553</t>
  </si>
  <si>
    <t>2020070394</t>
  </si>
  <si>
    <t xml:space="preserve">药品 安多福 伤口创面消毒液 20ML/瓶 </t>
  </si>
  <si>
    <t>2334499</t>
  </si>
  <si>
    <t>4030060093</t>
  </si>
  <si>
    <t>铲刀 优麦达 YMD053 清洁铲刀</t>
  </si>
  <si>
    <t>2334516</t>
  </si>
  <si>
    <t>2020070393</t>
  </si>
  <si>
    <t xml:space="preserve">药品 999 皮炎平复方醋酸地塞米松乳膏 20g/支 </t>
  </si>
  <si>
    <t>2334501</t>
  </si>
  <si>
    <t>2020070215</t>
  </si>
  <si>
    <t>药油 敬修堂 跌打万花油 25ML</t>
  </si>
  <si>
    <t>2334502</t>
  </si>
  <si>
    <t>2020070357</t>
  </si>
  <si>
    <t>药品 龙虎 风油精 9ML</t>
  </si>
  <si>
    <t>2334503</t>
  </si>
  <si>
    <t>7130950094</t>
  </si>
  <si>
    <t xml:space="preserve">软管 国产优质 加厚PVC软管 6分，内径20MM，100米/卷，壁厚3MM </t>
  </si>
  <si>
    <t>2334513</t>
  </si>
  <si>
    <t>4110030013</t>
  </si>
  <si>
    <t>粘鼠板 达豪 超强力老鼠贴 10张 家用捕鼠神器加大加厚鼠板一窝端</t>
  </si>
  <si>
    <t>清洁物资类/有害生物防治（更新中）/粘鼠板（更新中）</t>
  </si>
  <si>
    <t>2334510</t>
  </si>
  <si>
    <t>2020030771</t>
  </si>
  <si>
    <t xml:space="preserve">眼镜布 MINCITY 麂皮绒眼镜布 10片/盒 </t>
  </si>
  <si>
    <t>眼镜布</t>
  </si>
  <si>
    <t>2334500</t>
  </si>
  <si>
    <t>2020010306</t>
  </si>
  <si>
    <t>牙刷 佳洁士 中软毛 独立包装</t>
  </si>
  <si>
    <t>2334514</t>
  </si>
  <si>
    <t>2334509</t>
  </si>
  <si>
    <t>2020070392</t>
  </si>
  <si>
    <t>医用棉签 海氏海诺 医用碘伏消毒液棉棒 100支/盒 碘伏棉棒</t>
  </si>
  <si>
    <t>2334504</t>
  </si>
  <si>
    <t>2334496</t>
  </si>
  <si>
    <t>7020080195</t>
  </si>
  <si>
    <t xml:space="preserve">电锤 博世 GBH180-LI 18V，双电电锤（5.0A）+角磨机裸机+冲击钻裸机 </t>
  </si>
  <si>
    <t>电锤</t>
  </si>
  <si>
    <t>2334495</t>
  </si>
  <si>
    <t>2334492</t>
  </si>
  <si>
    <t>2334506</t>
  </si>
  <si>
    <t>7131080045</t>
  </si>
  <si>
    <t>雨鞋 回力 女士款HXL813 高筒天蓝 雨靴</t>
  </si>
  <si>
    <t>雨鞋</t>
  </si>
  <si>
    <t>2334512</t>
  </si>
  <si>
    <t>7131080046</t>
  </si>
  <si>
    <t>雨鞋 回力 男士款HXL807 中筒黑色 雨靴</t>
  </si>
  <si>
    <t>2334511</t>
  </si>
  <si>
    <t>7130210015</t>
  </si>
  <si>
    <t xml:space="preserve">生料带 裕津（HSPA） 20m*15mm </t>
  </si>
  <si>
    <t>2334491</t>
  </si>
  <si>
    <t>1020060313</t>
  </si>
  <si>
    <t xml:space="preserve">双面胶 国产优质 泡棉双面胶带 30MMx4.5M </t>
  </si>
  <si>
    <t>2334493</t>
  </si>
  <si>
    <t>2334507</t>
  </si>
  <si>
    <t>2334505</t>
  </si>
  <si>
    <t>100004034907</t>
  </si>
  <si>
    <t>稳健（Winner） 医用纱布片 包扎护理无菌款纱布片7.5*7.5cm 5片/袋 12袋/盒</t>
  </si>
  <si>
    <t>2334498</t>
  </si>
  <si>
    <t>2020070176</t>
  </si>
  <si>
    <t>医用胶带 振德 无纺布胶带 1.25CMx914CMx1卷 医用胶布家用日常使用透气亲肤</t>
  </si>
  <si>
    <t>医用胶带</t>
  </si>
  <si>
    <t>2334497</t>
  </si>
  <si>
    <t>PO221110000156</t>
  </si>
  <si>
    <t>2022-11-10 14:22:08.0</t>
  </si>
  <si>
    <t>2340509</t>
  </si>
  <si>
    <t>2340512</t>
  </si>
  <si>
    <t>2340513</t>
  </si>
  <si>
    <t>2340506</t>
  </si>
  <si>
    <t>2340514</t>
  </si>
  <si>
    <t>2340510</t>
  </si>
  <si>
    <t>2340508</t>
  </si>
  <si>
    <t>2340507</t>
  </si>
  <si>
    <t>2340511</t>
  </si>
  <si>
    <t>PO221110000152</t>
  </si>
  <si>
    <t>2022-11-10 14:21:21.0</t>
  </si>
  <si>
    <t>2332243</t>
  </si>
  <si>
    <t>PO221110000143</t>
  </si>
  <si>
    <t>4110110021</t>
  </si>
  <si>
    <t xml:space="preserve">蟑螂药 德国拜耳 进口杀蟑胶饵 5g </t>
  </si>
  <si>
    <t>2340478</t>
  </si>
  <si>
    <t>PO221110000139</t>
  </si>
  <si>
    <t>7160060002</t>
  </si>
  <si>
    <t xml:space="preserve">带漏电保护开关 上海人民 CPS-12C(KBO) </t>
  </si>
  <si>
    <t>2340463</t>
  </si>
  <si>
    <t>PO221110000155</t>
  </si>
  <si>
    <t>2010020037</t>
  </si>
  <si>
    <t>茶水桶过滤网 20个16*13cm纯棉纱布袋过滤隔渣茶包袋 茶叶过滤包</t>
  </si>
  <si>
    <t>茶水桶过滤网</t>
  </si>
  <si>
    <t>2340491</t>
  </si>
  <si>
    <t>PO221110000140</t>
  </si>
  <si>
    <t>2340469</t>
  </si>
  <si>
    <t>2340504</t>
  </si>
  <si>
    <t>PO221110000142</t>
  </si>
  <si>
    <t>2340472</t>
  </si>
  <si>
    <t>2340493</t>
  </si>
  <si>
    <t>PO221110000150</t>
  </si>
  <si>
    <t>2332239</t>
  </si>
  <si>
    <t>PO221110000145</t>
  </si>
  <si>
    <t>2332236</t>
  </si>
  <si>
    <t>PO221110000137</t>
  </si>
  <si>
    <t>7160010165</t>
  </si>
  <si>
    <t xml:space="preserve">插座 罗格朗 三孔插座 16A </t>
  </si>
  <si>
    <t>2340455</t>
  </si>
  <si>
    <t>PO221110000151</t>
  </si>
  <si>
    <t>4030290081</t>
  </si>
  <si>
    <t>拖把 好媳妇 30906# 不锈钢 不锈钢</t>
  </si>
  <si>
    <t>2332241</t>
  </si>
  <si>
    <t>PO221110000153</t>
  </si>
  <si>
    <t>2340484</t>
  </si>
  <si>
    <t>PO221110000147</t>
  </si>
  <si>
    <t>2340480</t>
  </si>
  <si>
    <t>2340500</t>
  </si>
  <si>
    <t>2340468</t>
  </si>
  <si>
    <t>7050060242</t>
  </si>
  <si>
    <t>防爆灯 龙代 单端LED灯管T8 30W,1.2M 6500K</t>
  </si>
  <si>
    <t>防爆灯</t>
  </si>
  <si>
    <t>2340465</t>
  </si>
  <si>
    <t>PO221110000141</t>
  </si>
  <si>
    <t>2340470</t>
  </si>
  <si>
    <t>PO221110000149</t>
  </si>
  <si>
    <t>2332238</t>
  </si>
  <si>
    <t>2340467</t>
  </si>
  <si>
    <t>PO221110000148</t>
  </si>
  <si>
    <t>2340482</t>
  </si>
  <si>
    <t>7130060008</t>
  </si>
  <si>
    <t>警示胶带 国产优质 黄黑色地标线 宽5cm 长20m/卷</t>
  </si>
  <si>
    <t>2340471</t>
  </si>
  <si>
    <t>2340505</t>
  </si>
  <si>
    <t>7130350022</t>
  </si>
  <si>
    <t>滑轮 国产优质 5寸大号平板车轮定向*重型 平板车轮子</t>
  </si>
  <si>
    <t>2340475</t>
  </si>
  <si>
    <t>PO221110000154</t>
  </si>
  <si>
    <t>7140200214</t>
  </si>
  <si>
    <t xml:space="preserve">熔断器 国产优质 低压熔断器MRO 125A </t>
  </si>
  <si>
    <t>2340489</t>
  </si>
  <si>
    <t>2340462</t>
  </si>
  <si>
    <t>PO221110000146</t>
  </si>
  <si>
    <t>2332237</t>
  </si>
  <si>
    <t>2340464</t>
  </si>
  <si>
    <t>4110100008</t>
  </si>
  <si>
    <t>消毒液 健之素 碘伏消毒液皮肤创面伤口消毒 碘酊无酒精500ml 碘伏消毒液</t>
  </si>
  <si>
    <t>2340476</t>
  </si>
  <si>
    <t>2340488</t>
  </si>
  <si>
    <t>2340459</t>
  </si>
  <si>
    <t>4050030005</t>
  </si>
  <si>
    <t>石材护理 白云牌3.8L 洗石水</t>
  </si>
  <si>
    <t>2340499</t>
  </si>
  <si>
    <t>7130690005</t>
  </si>
  <si>
    <t>明装底盒 联塑 开关插座86型明装线盒底线盒H2明盒底座布线盒家用</t>
  </si>
  <si>
    <t>2340458</t>
  </si>
  <si>
    <t>PO221110000138</t>
  </si>
  <si>
    <t>2020010275</t>
  </si>
  <si>
    <t>针线盒 巨进 一次性针线包 100个 防水牛皮纸包装</t>
  </si>
  <si>
    <t>针线盒</t>
  </si>
  <si>
    <t>2340456</t>
  </si>
  <si>
    <t>2340495</t>
  </si>
  <si>
    <t>4030160026</t>
  </si>
  <si>
    <t xml:space="preserve">扫把 大号不锈钢杆高级灰 </t>
  </si>
  <si>
    <t>2340494</t>
  </si>
  <si>
    <t>7150040013</t>
  </si>
  <si>
    <t>空调安装辅料 国产优质 空调粘胶带 胶带3mm厚,30mm宽 10米/卷</t>
  </si>
  <si>
    <t>2340477</t>
  </si>
  <si>
    <t>4030170017</t>
  </si>
  <si>
    <t>伸缩杆 白云 豪华型 白云 尘推杆</t>
  </si>
  <si>
    <t>清洁物资类/清洁工具/伸缩杆</t>
  </si>
  <si>
    <t>伸缩杆</t>
  </si>
  <si>
    <t>2340496</t>
  </si>
  <si>
    <t>2332240</t>
  </si>
  <si>
    <t>2332242</t>
  </si>
  <si>
    <t>2340497</t>
  </si>
  <si>
    <t>2340502</t>
  </si>
  <si>
    <t>2340487</t>
  </si>
  <si>
    <t>2340485</t>
  </si>
  <si>
    <t>2340473</t>
  </si>
  <si>
    <t>2340492</t>
  </si>
  <si>
    <t>4030070029</t>
  </si>
  <si>
    <t>尘推 常规36寸 尘推架</t>
  </si>
  <si>
    <t>2340498</t>
  </si>
  <si>
    <t>2340481</t>
  </si>
  <si>
    <t>2340503</t>
  </si>
  <si>
    <t>7150040057</t>
  </si>
  <si>
    <t xml:space="preserve">雪种 金典 R22 13.6KG </t>
  </si>
  <si>
    <t>2340461</t>
  </si>
  <si>
    <t>2340483</t>
  </si>
  <si>
    <t>2340457</t>
  </si>
  <si>
    <t>2340501</t>
  </si>
  <si>
    <t>2340466</t>
  </si>
  <si>
    <t>2340474</t>
  </si>
  <si>
    <t>PO221110000144</t>
  </si>
  <si>
    <t>2340479</t>
  </si>
  <si>
    <t>2340460</t>
  </si>
  <si>
    <t>2340490</t>
  </si>
  <si>
    <t>2340486</t>
  </si>
  <si>
    <t>PO221117000094</t>
  </si>
  <si>
    <t>7120070049</t>
  </si>
  <si>
    <t>水性漆 KYUMI 水性木器漆 500ML 油膏专用</t>
  </si>
  <si>
    <t>工程物资/油漆/水性漆</t>
  </si>
  <si>
    <t>水性漆</t>
  </si>
  <si>
    <t>2022-11-10 11:03:35.0</t>
  </si>
  <si>
    <t>2336079</t>
  </si>
  <si>
    <t>7090050393</t>
  </si>
  <si>
    <t>液位浮球阀开关 国产优质 科技硅胶型 DN15 简易式不锈钢材质</t>
  </si>
  <si>
    <t>液位浮球阀开关</t>
  </si>
  <si>
    <t>2336093</t>
  </si>
  <si>
    <t>7110200054</t>
  </si>
  <si>
    <t>墙面修补膏 贵爵 多功能修补膏 60ML，12色 配毛笔</t>
  </si>
  <si>
    <t>墙面修补膏</t>
  </si>
  <si>
    <t>2336080</t>
  </si>
  <si>
    <t>2336083</t>
  </si>
  <si>
    <t>2336096</t>
  </si>
  <si>
    <t>7090080019</t>
  </si>
  <si>
    <t xml:space="preserve">混合阀 联塑 双内牙过桥弯 DN15 </t>
  </si>
  <si>
    <t>工程物资/阀门/混合阀</t>
  </si>
  <si>
    <t>混合阀</t>
  </si>
  <si>
    <t>2336071</t>
  </si>
  <si>
    <t>2336088</t>
  </si>
  <si>
    <t>7130370581</t>
  </si>
  <si>
    <t xml:space="preserve">自攻螺丝 固万基 50只/盒 </t>
  </si>
  <si>
    <t>自攻螺丝</t>
  </si>
  <si>
    <t>2336073</t>
  </si>
  <si>
    <t>2010010718</t>
  </si>
  <si>
    <t>勺子 美斯尼 佛手茶勺 长12CM 檀木</t>
  </si>
  <si>
    <t>2336099</t>
  </si>
  <si>
    <t>7080050533</t>
  </si>
  <si>
    <t xml:space="preserve">三通、分水器 联塑 PPR内丝三通 DN20 </t>
  </si>
  <si>
    <t>2336097</t>
  </si>
  <si>
    <t>7160010173</t>
  </si>
  <si>
    <t xml:space="preserve">网络面板 康普 86型 双孔 </t>
  </si>
  <si>
    <t>网络面板</t>
  </si>
  <si>
    <t>2336076</t>
  </si>
  <si>
    <t>7030070098</t>
  </si>
  <si>
    <t xml:space="preserve">压力表 信仪 Y061025MP DN15 </t>
  </si>
  <si>
    <t>2336095</t>
  </si>
  <si>
    <t>2010050090</t>
  </si>
  <si>
    <t>电子秤 凯丰 厨房克称电池款 2KG/0.1g 家用高精度小称，食物称重，烘焙专用</t>
  </si>
  <si>
    <t>电子秤</t>
  </si>
  <si>
    <t>2336100</t>
  </si>
  <si>
    <t>7030070097</t>
  </si>
  <si>
    <t xml:space="preserve">压力表 伊莱科 YN-100 DN15 </t>
  </si>
  <si>
    <t>2336094</t>
  </si>
  <si>
    <t>1010110162</t>
  </si>
  <si>
    <t xml:space="preserve">网络交换机 水星 SG105M 5口千兆交换机 </t>
  </si>
  <si>
    <t>2336074</t>
  </si>
  <si>
    <t>7110110063</t>
  </si>
  <si>
    <t xml:space="preserve">胶水 海豚牌 15g/瓶 </t>
  </si>
  <si>
    <t>工程物资/建筑材料/建筑用胶</t>
  </si>
  <si>
    <t>胶水</t>
  </si>
  <si>
    <t>2336081</t>
  </si>
  <si>
    <t>2336075</t>
  </si>
  <si>
    <t>7130700080</t>
  </si>
  <si>
    <t xml:space="preserve">板材 国产优质 平整纤维板 1米x1.5米 </t>
  </si>
  <si>
    <t>2336089</t>
  </si>
  <si>
    <t>7120060098</t>
  </si>
  <si>
    <t xml:space="preserve">手喷漆 三和 （光油）浅新亮光 450ML </t>
  </si>
  <si>
    <t>2336078</t>
  </si>
  <si>
    <t>7010190061</t>
  </si>
  <si>
    <t xml:space="preserve">剪刀 高德斯 PPR剪刀 20-32MM </t>
  </si>
  <si>
    <t>2336087</t>
  </si>
  <si>
    <t>7110260003</t>
  </si>
  <si>
    <t xml:space="preserve">原子灰 威克纳 原木色 1.5KG/桶 </t>
  </si>
  <si>
    <t>2336084</t>
  </si>
  <si>
    <t>7130700079</t>
  </si>
  <si>
    <t xml:space="preserve">木材 国产优质 填充松木粉 250G/袋 </t>
  </si>
  <si>
    <t>木材</t>
  </si>
  <si>
    <t>2336082</t>
  </si>
  <si>
    <t>2336086</t>
  </si>
  <si>
    <t>2336077</t>
  </si>
  <si>
    <t>7080111120</t>
  </si>
  <si>
    <t xml:space="preserve">斜三通 联塑 PPR DN20 </t>
  </si>
  <si>
    <t>斜三通</t>
  </si>
  <si>
    <t>2336072</t>
  </si>
  <si>
    <t>7080030723</t>
  </si>
  <si>
    <t xml:space="preserve">弯头 联塑 PPR弯头 DN20，135度 </t>
  </si>
  <si>
    <t>2336098</t>
  </si>
  <si>
    <t>7080111121</t>
  </si>
  <si>
    <t xml:space="preserve">对丝接头 莱尔诗丹 镀锌 DN15 </t>
  </si>
  <si>
    <t>对丝接头</t>
  </si>
  <si>
    <t>2336092</t>
  </si>
  <si>
    <t>1020060345</t>
  </si>
  <si>
    <t xml:space="preserve">美工刀 锴达 18MM </t>
  </si>
  <si>
    <t>美工刀</t>
  </si>
  <si>
    <t>2336085</t>
  </si>
  <si>
    <t>2336090</t>
  </si>
  <si>
    <t>7090050094</t>
  </si>
  <si>
    <t>球阀 埃美柯 DN15mm 铜球阀</t>
  </si>
  <si>
    <t>球阀</t>
  </si>
  <si>
    <t>2336091</t>
  </si>
  <si>
    <t>PO221117000056</t>
  </si>
  <si>
    <t>7080120470</t>
  </si>
  <si>
    <t xml:space="preserve">排水管 联塑 PPR管 DN20，4米/条 </t>
  </si>
  <si>
    <t>2022-11-10 10:09:15.0</t>
  </si>
  <si>
    <t>2335953</t>
  </si>
  <si>
    <t>2335950</t>
  </si>
  <si>
    <t>7160010172</t>
  </si>
  <si>
    <t>插座 国产优质 LA53 220V，16A 防爆大型一插三孔插座（空调）</t>
  </si>
  <si>
    <t>2335956</t>
  </si>
  <si>
    <t>2335960</t>
  </si>
  <si>
    <t>2040040163</t>
  </si>
  <si>
    <t>储物柜 科曼 AED自动体外除颤器立柜 尺寸145CMx35CMx18CM AED立式储存柜</t>
  </si>
  <si>
    <t>家居生活/宿舍用品（更新中）/衣柜（更新中）</t>
  </si>
  <si>
    <t>储物柜</t>
  </si>
  <si>
    <t>2335951</t>
  </si>
  <si>
    <t>1020020027</t>
  </si>
  <si>
    <t xml:space="preserve">签字笔 晨光 M＆G,中性笔,K-35 0.5mm(黑色) </t>
  </si>
  <si>
    <t>签字笔</t>
  </si>
  <si>
    <t>2335961</t>
  </si>
  <si>
    <t>2335957</t>
  </si>
  <si>
    <t>7160010171</t>
  </si>
  <si>
    <t>插座 国产优质 LA53 220V，10A 防爆大型一插五孔插座</t>
  </si>
  <si>
    <t>2335955</t>
  </si>
  <si>
    <t>2335958</t>
  </si>
  <si>
    <t>2335962</t>
  </si>
  <si>
    <t>2335952</t>
  </si>
  <si>
    <t>1036408</t>
  </si>
  <si>
    <t>晨光 M＆G 快劳夹 ADM94746A A4 2寸 （黑色）</t>
  </si>
  <si>
    <t>2335959</t>
  </si>
  <si>
    <t>7080030721</t>
  </si>
  <si>
    <t xml:space="preserve">弯头 联塑 PPR弯头 DN20 </t>
  </si>
  <si>
    <t>2335954</t>
  </si>
  <si>
    <t>PO230109000225</t>
  </si>
  <si>
    <t>2022-11-01 11:58:05.0</t>
  </si>
  <si>
    <t>2470529</t>
  </si>
  <si>
    <t>PO221205000231</t>
  </si>
  <si>
    <t>2022-10-27 15:32:07.0</t>
  </si>
  <si>
    <t>2369555</t>
  </si>
  <si>
    <t>PO221205000233</t>
  </si>
  <si>
    <t>2369557</t>
  </si>
  <si>
    <t>PO221205000234</t>
  </si>
  <si>
    <t>2369558</t>
  </si>
  <si>
    <t>PO221024000276</t>
  </si>
  <si>
    <t>107134</t>
  </si>
  <si>
    <t>晨光 M＆G 荧光笔 MF5301 （橘色） 12支/盒</t>
  </si>
  <si>
    <t>2022-10-26 22:55:09.0</t>
  </si>
  <si>
    <t>2320940</t>
  </si>
  <si>
    <t>1036483</t>
  </si>
  <si>
    <t>晨光M＆G棉纸双面胶带AJD9734912mm*10Y2卷/袋</t>
  </si>
  <si>
    <t>2320946</t>
  </si>
  <si>
    <t>2320947</t>
  </si>
  <si>
    <t>3016775</t>
  </si>
  <si>
    <t>晨光M＆G棉纸双面胶胶带AJD973949mm*10y1卷/袋</t>
  </si>
  <si>
    <t>2320945</t>
  </si>
  <si>
    <t>1050301</t>
  </si>
  <si>
    <t>晨光M＆G普透封箱胶带AJD9732848mm*60y6卷/筒（单卷售）</t>
  </si>
  <si>
    <t>2320944</t>
  </si>
  <si>
    <t>1051293</t>
  </si>
  <si>
    <t>晨光 M＆G 3#PVC筒装镀镍回形针 ABS91697 28mm （银色） 200枚/筒</t>
  </si>
  <si>
    <t>2320948</t>
  </si>
  <si>
    <t>2320942</t>
  </si>
  <si>
    <t>2320938</t>
  </si>
  <si>
    <t>3230760</t>
  </si>
  <si>
    <t>天威 PRINT-RITE 商用装粉盒 PR-CF230A TRHGDJBPSYJ 1600页 （黑色） 粉盒*1</t>
  </si>
  <si>
    <t>2320943</t>
  </si>
  <si>
    <t>107133</t>
  </si>
  <si>
    <t>晨光 M＆G 荧光笔 MF5301 （粉红） 12支/盒</t>
  </si>
  <si>
    <t>2320941</t>
  </si>
  <si>
    <t>156105</t>
  </si>
  <si>
    <t>晨光 M＆G 优事贴四分条自粘便条纸 YS-13 AS33A40110 76*19mm*4 （黄色、绿色、蓝色、粉红） 100页/条 4条/包</t>
  </si>
  <si>
    <t>2320939</t>
  </si>
  <si>
    <t>PO221205000235</t>
  </si>
  <si>
    <t>深圳市中深建装饰设计工程有限公司</t>
  </si>
  <si>
    <t>2022-10-26 15:49:45.0</t>
  </si>
  <si>
    <t>2369559</t>
  </si>
  <si>
    <t>2369560</t>
  </si>
  <si>
    <t>PO221205000243</t>
  </si>
  <si>
    <t>2022-10-26 15:49:19.0</t>
  </si>
  <si>
    <t>2370862</t>
  </si>
  <si>
    <t>2370861</t>
  </si>
  <si>
    <t>PO221028000037</t>
  </si>
  <si>
    <t>2022-10-26 15:06:28.0</t>
  </si>
  <si>
    <t>2323032</t>
  </si>
  <si>
    <t>2323043</t>
  </si>
  <si>
    <t>7010020268</t>
  </si>
  <si>
    <t xml:space="preserve">十字螺丝刀 世达 62302A系列 0×75mm </t>
  </si>
  <si>
    <t>十字螺丝刀</t>
  </si>
  <si>
    <t>2323030</t>
  </si>
  <si>
    <t>7010020257</t>
  </si>
  <si>
    <t xml:space="preserve">一字螺丝刀 世达 62202A系列 3.2×75mm </t>
  </si>
  <si>
    <t>一字螺丝刀</t>
  </si>
  <si>
    <t>2323031</t>
  </si>
  <si>
    <t>7020130057</t>
  </si>
  <si>
    <t>角磨机 泉友 QY-6100B 两电一充，20V，4.0A</t>
  </si>
  <si>
    <t>2323029</t>
  </si>
  <si>
    <t>7010170183</t>
  </si>
  <si>
    <t>手锤 得力 DL442500 500g 木柄钳工锤</t>
  </si>
  <si>
    <t>工程物资/手动工具/手锤/铁锤/胶皮锤</t>
  </si>
  <si>
    <t>手锤</t>
  </si>
  <si>
    <t>2323033</t>
  </si>
  <si>
    <t>1020060276</t>
  </si>
  <si>
    <t>美工刀 得力 裁纸刀 大号 黑刃自锁美工刀</t>
  </si>
  <si>
    <t>2323041</t>
  </si>
  <si>
    <t>2323034</t>
  </si>
  <si>
    <t>7050060387</t>
  </si>
  <si>
    <t>LED投光灯 上海亚明 透明款 1000W</t>
  </si>
  <si>
    <t>2323035</t>
  </si>
  <si>
    <t>2323036</t>
  </si>
  <si>
    <t>2323042</t>
  </si>
  <si>
    <t>100010107721</t>
  </si>
  <si>
    <t>东芝(TOSHIBA) 2TB 移动硬盘 V10系列 USB3.2 2.5英寸 黛绿 兼容Mac 轻薄便携 密码保护 轻松备份 高速传输</t>
  </si>
  <si>
    <t>2323039</t>
  </si>
  <si>
    <t>4030260018</t>
  </si>
  <si>
    <t>拖布池 国产优质 加厚304不锈钢 45x40x75CM</t>
  </si>
  <si>
    <t>2323044</t>
  </si>
  <si>
    <t>2040040154</t>
  </si>
  <si>
    <t>十二门更衣柜 国产优质 带锁灰白套12门 1000x400x1188MM</t>
  </si>
  <si>
    <t>十二门更衣柜</t>
  </si>
  <si>
    <t>2323028</t>
  </si>
  <si>
    <t>2323038</t>
  </si>
  <si>
    <t>7130510146</t>
  </si>
  <si>
    <t>地板 国产优质 台阶踏板 长30x宽20x高11.8CM 胡桃色</t>
  </si>
  <si>
    <t>2323040</t>
  </si>
  <si>
    <t>PO221020000254</t>
  </si>
  <si>
    <t>1010070035</t>
  </si>
  <si>
    <t>手机 荣耀 70 12GB+256GB 墨玉青</t>
  </si>
  <si>
    <t>办公类/办公设备/手机通讯</t>
  </si>
  <si>
    <t>手机</t>
  </si>
  <si>
    <t>2022-10-20 17:33:34.0</t>
  </si>
  <si>
    <t>2309228</t>
  </si>
  <si>
    <t>PO221020000044</t>
  </si>
  <si>
    <t>2022-10-20 09:43:56.0</t>
  </si>
  <si>
    <t>2299840</t>
  </si>
  <si>
    <t>PO221020000047</t>
  </si>
  <si>
    <t>2308856</t>
  </si>
  <si>
    <t>PO221020000045</t>
  </si>
  <si>
    <t>2299841</t>
  </si>
  <si>
    <t>PO221020000046</t>
  </si>
  <si>
    <t>2020020089</t>
  </si>
  <si>
    <t>垃圾桶 20L,黄色,脚踏式, 医疗垃圾桶</t>
  </si>
  <si>
    <t>2308855</t>
  </si>
  <si>
    <t>PO221024000376</t>
  </si>
  <si>
    <t>6070020018</t>
  </si>
  <si>
    <t>口罩 1件600个 N95口罩</t>
  </si>
  <si>
    <t>2022-10-19 14:21:14.0</t>
  </si>
  <si>
    <t>2312394</t>
  </si>
  <si>
    <t>2040010108</t>
  </si>
  <si>
    <t>床垫 国产优质 120x200x10CM</t>
  </si>
  <si>
    <t>床垫</t>
  </si>
  <si>
    <t>2312385</t>
  </si>
  <si>
    <t>2040040155</t>
  </si>
  <si>
    <t>晾衣架 华峰 双层 长2.43米 加强承重300斤</t>
  </si>
  <si>
    <t>晾衣架</t>
  </si>
  <si>
    <t>2312391</t>
  </si>
  <si>
    <t>4060180027</t>
  </si>
  <si>
    <t>洗衣液 蓝月亮 1kg 薰衣草洁净</t>
  </si>
  <si>
    <t>2312389</t>
  </si>
  <si>
    <t>2030020071</t>
  </si>
  <si>
    <t>毛毯 雅丽雅 120CMx180CM</t>
  </si>
  <si>
    <t>2312384</t>
  </si>
  <si>
    <t>4030240070</t>
  </si>
  <si>
    <t>水桶 国产优质 加厚 100L 大白桶</t>
  </si>
  <si>
    <t>2312387</t>
  </si>
  <si>
    <t>6070040010</t>
  </si>
  <si>
    <t>防护面罩 蓝色,医用,隔离面罩,透明面屏,1个 隔离面罩</t>
  </si>
  <si>
    <t>2312392</t>
  </si>
  <si>
    <t>4060120071</t>
  </si>
  <si>
    <t>肥皂 舒肤佳 柠檬味 100g</t>
  </si>
  <si>
    <t>清洁物资类/清洁剂（更新中）/肥皂（更新中）</t>
  </si>
  <si>
    <t>肥皂</t>
  </si>
  <si>
    <t>2312386</t>
  </si>
  <si>
    <t>2312393</t>
  </si>
  <si>
    <t>4080120140</t>
  </si>
  <si>
    <t xml:space="preserve">毛巾 洁丽雅 70x34CM </t>
  </si>
  <si>
    <t>2312388</t>
  </si>
  <si>
    <t>2040010018</t>
  </si>
  <si>
    <t xml:space="preserve">铁架床 国产 加厚 120*180cm加厚木板 </t>
  </si>
  <si>
    <t>铁架床</t>
  </si>
  <si>
    <t>2312383</t>
  </si>
  <si>
    <t>2312390</t>
  </si>
  <si>
    <t>PO221016000038</t>
  </si>
  <si>
    <t>2022-10-16 15:33:39.0</t>
  </si>
  <si>
    <t>2306705</t>
  </si>
  <si>
    <t>PO221016000032</t>
  </si>
  <si>
    <t>4080150004</t>
  </si>
  <si>
    <t>雨伞袋 国产优质 3丝中厚长款伞套 70x13cm 600个/包</t>
  </si>
  <si>
    <t>2306694</t>
  </si>
  <si>
    <t>PO221016000045</t>
  </si>
  <si>
    <t>2297932</t>
  </si>
  <si>
    <t>PO221016000034</t>
  </si>
  <si>
    <t>2297916</t>
  </si>
  <si>
    <t>PO221016000037</t>
  </si>
  <si>
    <t>2306699</t>
  </si>
  <si>
    <t>PO221016000042</t>
  </si>
  <si>
    <t>4080010017</t>
  </si>
  <si>
    <t xml:space="preserve">胶皮手套 丁睛 一次性乳胶手套 50双/1盒 </t>
  </si>
  <si>
    <t>清洁物资类/清洁耗材/胶皮手套（更新中）</t>
  </si>
  <si>
    <t>2297930</t>
  </si>
  <si>
    <t>PO221016000044</t>
  </si>
  <si>
    <t>2306714</t>
  </si>
  <si>
    <t>2306706</t>
  </si>
  <si>
    <t>PO221016000035</t>
  </si>
  <si>
    <t>1010100026</t>
  </si>
  <si>
    <t xml:space="preserve">U盘 金士顿（Kingston） DTKN,金属外壳 64GB,USB,3.2,Gen </t>
  </si>
  <si>
    <t>U盘</t>
  </si>
  <si>
    <t>2297917</t>
  </si>
  <si>
    <t>2297915</t>
  </si>
  <si>
    <t>2297920</t>
  </si>
  <si>
    <t>PO221016000039</t>
  </si>
  <si>
    <t>2297925</t>
  </si>
  <si>
    <t>2306697</t>
  </si>
  <si>
    <t>2306700</t>
  </si>
  <si>
    <t>PO221016000041</t>
  </si>
  <si>
    <t>2297928</t>
  </si>
  <si>
    <t>2306715</t>
  </si>
  <si>
    <t>PO221016000031</t>
  </si>
  <si>
    <t>2306690</t>
  </si>
  <si>
    <t>2297933</t>
  </si>
  <si>
    <t>PO221016000043</t>
  </si>
  <si>
    <t>2306709</t>
  </si>
  <si>
    <t>7050060365</t>
  </si>
  <si>
    <t>筒灯 飞利浦 开孔尺寸φ115MM 9W，4000K LED</t>
  </si>
  <si>
    <t>2306712</t>
  </si>
  <si>
    <t>2306711</t>
  </si>
  <si>
    <t>4080150005</t>
  </si>
  <si>
    <t>雨伞袋 国产优质 3丝中厚短款伞套 43x13cm 600个/包</t>
  </si>
  <si>
    <t>2306693</t>
  </si>
  <si>
    <t>2297919</t>
  </si>
  <si>
    <t>2297918</t>
  </si>
  <si>
    <t>PO221016000036</t>
  </si>
  <si>
    <t>广东美鸿卫生用品有限公司</t>
  </si>
  <si>
    <t>2297923</t>
  </si>
  <si>
    <t>2297931</t>
  </si>
  <si>
    <t>2297934</t>
  </si>
  <si>
    <t>2306698</t>
  </si>
  <si>
    <t>2297921</t>
  </si>
  <si>
    <t>2306689</t>
  </si>
  <si>
    <t>2306696</t>
  </si>
  <si>
    <t>2306710</t>
  </si>
  <si>
    <t>2297926</t>
  </si>
  <si>
    <t>4060150018</t>
  </si>
  <si>
    <t>去污剂 茶卫士 茶垢清洁剂袋装10g*30袋 茶渍除垢剂</t>
  </si>
  <si>
    <t>2306702</t>
  </si>
  <si>
    <t>4030170016</t>
  </si>
  <si>
    <t>伸缩杆 313# 拖把杆</t>
  </si>
  <si>
    <t>2306701</t>
  </si>
  <si>
    <t>2306704</t>
  </si>
  <si>
    <t>2306707</t>
  </si>
  <si>
    <t>2297922</t>
  </si>
  <si>
    <t>2306695</t>
  </si>
  <si>
    <t>2297924</t>
  </si>
  <si>
    <t>2030040039</t>
  </si>
  <si>
    <t>洁厕液 超宝 3.78L 超宝洁厕液</t>
  </si>
  <si>
    <t>2306691</t>
  </si>
  <si>
    <t>2306713</t>
  </si>
  <si>
    <t>2306708</t>
  </si>
  <si>
    <t>2297929</t>
  </si>
  <si>
    <t>PO221016000033</t>
  </si>
  <si>
    <t>2297914</t>
  </si>
  <si>
    <t>2306692</t>
  </si>
  <si>
    <t>2020010011</t>
  </si>
  <si>
    <t xml:space="preserve">牙膏 黑人牌 </t>
  </si>
  <si>
    <t>2306703</t>
  </si>
  <si>
    <t>PO221016000040</t>
  </si>
  <si>
    <t>2297927</t>
  </si>
  <si>
    <t>PO221019000155</t>
  </si>
  <si>
    <t>2022-10-10 19:55:34.0</t>
  </si>
  <si>
    <t>2299563</t>
  </si>
  <si>
    <t>2299591</t>
  </si>
  <si>
    <t>2299579</t>
  </si>
  <si>
    <t>2020070361</t>
  </si>
  <si>
    <t xml:space="preserve">体温计 嘉医 水银体温计细款 5只/盒 </t>
  </si>
  <si>
    <t>2299584</t>
  </si>
  <si>
    <t>7010040094</t>
  </si>
  <si>
    <t xml:space="preserve">内六角扳手 世达 09107A 铬钒钢加长9件套 </t>
  </si>
  <si>
    <t>工程物资/手动工具/梅花扳手/内六角扳手</t>
  </si>
  <si>
    <t>内六角扳手</t>
  </si>
  <si>
    <t>2299571</t>
  </si>
  <si>
    <t>1010020190</t>
  </si>
  <si>
    <t>硒鼓 惠普 CF360A-508A/X 原装硒鼓</t>
  </si>
  <si>
    <t>2299587</t>
  </si>
  <si>
    <t>2299580</t>
  </si>
  <si>
    <t>1020080676</t>
  </si>
  <si>
    <t>文件夹 齐心 EA63 10个装 蓝色</t>
  </si>
  <si>
    <t>文件夹</t>
  </si>
  <si>
    <t>2299588</t>
  </si>
  <si>
    <t>2299578</t>
  </si>
  <si>
    <t>7010110121</t>
  </si>
  <si>
    <t xml:space="preserve">尖嘴钳 世达 70101A 6英寸 </t>
  </si>
  <si>
    <t>尖嘴钳</t>
  </si>
  <si>
    <t>2299568</t>
  </si>
  <si>
    <t>1010110128</t>
  </si>
  <si>
    <t>网络交换机 新华三（H3C） S5560S-28P-SI 24口千兆 核心网络交换机</t>
  </si>
  <si>
    <t>2299573</t>
  </si>
  <si>
    <t>PO221128000163</t>
  </si>
  <si>
    <t>2022-10-01 17:33:11.0</t>
  </si>
  <si>
    <t>2362204</t>
  </si>
  <si>
    <t>PO230214000245</t>
  </si>
  <si>
    <t>9010060001</t>
  </si>
  <si>
    <t>智能化工程</t>
  </si>
  <si>
    <t>服务类/工程服务类/智能化工程</t>
  </si>
  <si>
    <t>博锐尚格科技股份有限公司</t>
  </si>
  <si>
    <t>2022-09-20 15:33:13.0</t>
  </si>
  <si>
    <t>2500698</t>
  </si>
  <si>
    <t>PO221207000131</t>
  </si>
  <si>
    <t>2022-09-20 15:33:07.0</t>
  </si>
  <si>
    <t>2373235</t>
  </si>
  <si>
    <t>PO221004000011</t>
  </si>
  <si>
    <t>2022-09-20 14:45:23.0</t>
  </si>
  <si>
    <t>2288856</t>
  </si>
  <si>
    <t>PO221004000009</t>
  </si>
  <si>
    <t>2288830</t>
  </si>
  <si>
    <t>4030230155</t>
  </si>
  <si>
    <t xml:space="preserve">水管 国产优质 塑胶水管 19MM </t>
  </si>
  <si>
    <t>2288828</t>
  </si>
  <si>
    <t>2288827</t>
  </si>
  <si>
    <t>7040050063</t>
  </si>
  <si>
    <t xml:space="preserve">电焊条 国产优质 2.5MM 100根/包 </t>
  </si>
  <si>
    <t>工程物资/工具配件/电焊条</t>
  </si>
  <si>
    <t>电焊条</t>
  </si>
  <si>
    <t>2288857</t>
  </si>
  <si>
    <t>7160050107</t>
  </si>
  <si>
    <t>按钮开关 SW-10 一位单控，220V 防爆开关</t>
  </si>
  <si>
    <t>2288850</t>
  </si>
  <si>
    <t>2288832</t>
  </si>
  <si>
    <t>2288833</t>
  </si>
  <si>
    <t>7030110022</t>
  </si>
  <si>
    <t>红外线测温仪 福禄克 TI400 高温650度 红外热成像仪工业红外测温仪，2年维保</t>
  </si>
  <si>
    <t>红外线测温仪</t>
  </si>
  <si>
    <t>2288849</t>
  </si>
  <si>
    <t>2288835</t>
  </si>
  <si>
    <t>1010020167</t>
  </si>
  <si>
    <t xml:space="preserve">墨水 爱普生 002墨水T03X1 4只装（1黑3彩） </t>
  </si>
  <si>
    <t>墨水</t>
  </si>
  <si>
    <t>2288834</t>
  </si>
  <si>
    <t>6050040065</t>
  </si>
  <si>
    <t xml:space="preserve">彩色监控镜头枪机 萤石 CS-BC1摄像头 200万像素 </t>
  </si>
  <si>
    <t>2288866</t>
  </si>
  <si>
    <t>2288862</t>
  </si>
  <si>
    <t>7131020090</t>
  </si>
  <si>
    <t xml:space="preserve">门锁 国产 不锈钢锁牌 3寸 </t>
  </si>
  <si>
    <t>2288848</t>
  </si>
  <si>
    <t>6080040092</t>
  </si>
  <si>
    <t>减速带 国产优质 橡胶减速带 10CMx100CM 黄色</t>
  </si>
  <si>
    <t>2288853</t>
  </si>
  <si>
    <t>7160010170</t>
  </si>
  <si>
    <t xml:space="preserve">插座 正泰 86型明装五孔插座 10A </t>
  </si>
  <si>
    <t>2288851</t>
  </si>
  <si>
    <t>2010060525</t>
  </si>
  <si>
    <t xml:space="preserve">烘干机 美的 MH70VZ10 7KG </t>
  </si>
  <si>
    <t>烘干机</t>
  </si>
  <si>
    <t>2288859</t>
  </si>
  <si>
    <t>7140350031</t>
  </si>
  <si>
    <t>铝箔胶带 国产优质 玻纤铝箔胶带 5CM，23米/卷 空调扎带</t>
  </si>
  <si>
    <t>工程物资/电工物料/铝箔胶带</t>
  </si>
  <si>
    <t>铝箔胶带</t>
  </si>
  <si>
    <t>2288836</t>
  </si>
  <si>
    <t>6010220017</t>
  </si>
  <si>
    <t>正压式呼吸器 国产优质 碳纤维正压呼吸器 6.8L 3C认证</t>
  </si>
  <si>
    <t>2288829</t>
  </si>
  <si>
    <t>7130710036</t>
  </si>
  <si>
    <t xml:space="preserve">尼龙绳 国产 8股 100米/卷 </t>
  </si>
  <si>
    <t>2288861</t>
  </si>
  <si>
    <t>7100040103</t>
  </si>
  <si>
    <t>手推车 思影 Z06 投影仪推车</t>
  </si>
  <si>
    <t>手推车</t>
  </si>
  <si>
    <t>2288854</t>
  </si>
  <si>
    <t>4060180142</t>
  </si>
  <si>
    <t>洗衣液 蓝月亮 薰衣草香 1KG 婴儿宝宝</t>
  </si>
  <si>
    <t>2288863</t>
  </si>
  <si>
    <t>2288864</t>
  </si>
  <si>
    <t>2288865</t>
  </si>
  <si>
    <t>1020060171</t>
  </si>
  <si>
    <t xml:space="preserve">装订夹 得力 软塑装订夹,5548,80mm（彩色）,50付/盒 50付/盒 </t>
  </si>
  <si>
    <t>2288831</t>
  </si>
  <si>
    <t>7130350016</t>
  </si>
  <si>
    <t>滑轮 海斯迪克 8寸（静音） 小推车万向轮</t>
  </si>
  <si>
    <t>2288855</t>
  </si>
  <si>
    <t>7130950007</t>
  </si>
  <si>
    <t>软管 欧宝斯 60cm 不锈钢</t>
  </si>
  <si>
    <t>2288858</t>
  </si>
  <si>
    <t>7160050108</t>
  </si>
  <si>
    <t>按钮开关 SW-10 二位单控，220V 防爆开关</t>
  </si>
  <si>
    <t>2288852</t>
  </si>
  <si>
    <t>2030020069</t>
  </si>
  <si>
    <t>毛毯 雅丽 1.2Mx1.8M 花色</t>
  </si>
  <si>
    <t>2288860</t>
  </si>
  <si>
    <t>PO221004000010</t>
  </si>
  <si>
    <t>2022-09-19 18:16:14.0</t>
  </si>
  <si>
    <t>2288841</t>
  </si>
  <si>
    <t>2288844</t>
  </si>
  <si>
    <t>1010020215</t>
  </si>
  <si>
    <t>硒鼓 惠普 CP1025nw 彩色</t>
  </si>
  <si>
    <t>2288843</t>
  </si>
  <si>
    <t>7130530076</t>
  </si>
  <si>
    <t>水晶头 国产 100个/盒 水晶头</t>
  </si>
  <si>
    <t>2288837</t>
  </si>
  <si>
    <t>2288839</t>
  </si>
  <si>
    <t>1020040027</t>
  </si>
  <si>
    <t>订书机 得力 轻便型厚层订书机0416 50页 银色</t>
  </si>
  <si>
    <t>订书机</t>
  </si>
  <si>
    <t>2288847</t>
  </si>
  <si>
    <t>2288845</t>
  </si>
  <si>
    <t xml:space="preserve">墨盒 夏普 MX-238CT </t>
  </si>
  <si>
    <t>2288840</t>
  </si>
  <si>
    <t>FW1169</t>
  </si>
  <si>
    <t>DELI/得力 桌面计算器 2136 白色 1台</t>
  </si>
  <si>
    <t>2288838</t>
  </si>
  <si>
    <t>2010020330</t>
  </si>
  <si>
    <t>夹子 晨光 ABS92639 145MM 山形夹</t>
  </si>
  <si>
    <t>2288846</t>
  </si>
  <si>
    <t>2288842</t>
  </si>
  <si>
    <t>PO220919000099</t>
  </si>
  <si>
    <t>2040040065</t>
  </si>
  <si>
    <t xml:space="preserve">晾衣架 雅家乐 </t>
  </si>
  <si>
    <t>2022-09-19 14:41:30.0</t>
  </si>
  <si>
    <t>2280612</t>
  </si>
  <si>
    <t>2280613</t>
  </si>
  <si>
    <t>2010010189</t>
  </si>
  <si>
    <t xml:space="preserve">盆 美玥 大号塑料洗脸盆 </t>
  </si>
  <si>
    <t>2280611</t>
  </si>
  <si>
    <t>PO220919000098</t>
  </si>
  <si>
    <t>6020020154</t>
  </si>
  <si>
    <t xml:space="preserve">灭火器 欧伦泰 手提式干粉灭火器 合金钢3KG </t>
  </si>
  <si>
    <t>2280610</t>
  </si>
  <si>
    <t>PO220916000195</t>
  </si>
  <si>
    <t>1010090030</t>
  </si>
  <si>
    <t>投影仪 光峰 L306ACF 屏幕比例：16:9，范围：±15度，支持色彩数目：10.7亿色</t>
  </si>
  <si>
    <t>投影仪</t>
  </si>
  <si>
    <t>2022-09-14 17:41:21.0</t>
  </si>
  <si>
    <t>U金地智慧服务集团公司/UV商业物业事业部/UVK商业物业事业部粤东二管理中心/UVKAA商业物业事业部深圳中海油大厦物业管理服务中心/UVKAAA商业物业事业部中海油大厦物业管理服务中心综合部/</t>
  </si>
  <si>
    <t>2270272</t>
  </si>
  <si>
    <t>PO220927000217</t>
  </si>
  <si>
    <t>2022-09-13 08:54:55.0</t>
  </si>
  <si>
    <t>2285946</t>
  </si>
  <si>
    <t>PO220927000226</t>
  </si>
  <si>
    <t>2022-09-13 08:45:53.0</t>
  </si>
  <si>
    <t>2276668</t>
  </si>
  <si>
    <t>PO220901000901</t>
  </si>
  <si>
    <t>2022-09-01 17:22:50.0</t>
  </si>
  <si>
    <t>2261150</t>
  </si>
  <si>
    <t>2261152</t>
  </si>
  <si>
    <t>PO220909000088</t>
  </si>
  <si>
    <t>2266058</t>
  </si>
  <si>
    <t>7160010011</t>
  </si>
  <si>
    <t>插座 公牛 五孔 10A 五孔插座</t>
  </si>
  <si>
    <t>2261148</t>
  </si>
  <si>
    <t>PO220901000903</t>
  </si>
  <si>
    <t>2252118</t>
  </si>
  <si>
    <t>2266057</t>
  </si>
  <si>
    <t>PO220901000902</t>
  </si>
  <si>
    <t>7130930015</t>
  </si>
  <si>
    <t xml:space="preserve">柴油 0号柴油 </t>
  </si>
  <si>
    <t>柴油</t>
  </si>
  <si>
    <t>2261154</t>
  </si>
  <si>
    <t>PO220901000898</t>
  </si>
  <si>
    <t>2252115</t>
  </si>
  <si>
    <t>PO220909000222</t>
  </si>
  <si>
    <t>1010100031</t>
  </si>
  <si>
    <t>硬盘 西部数据 SSD,SATA sata480G 固态硬盘</t>
  </si>
  <si>
    <t>2257368</t>
  </si>
  <si>
    <t>7130020031</t>
  </si>
  <si>
    <t>闭门器 必腾 S8000—F不定位 英格索兰安朗杰进口</t>
  </si>
  <si>
    <t>2261155</t>
  </si>
  <si>
    <t>2261149</t>
  </si>
  <si>
    <t>PO220901000904</t>
  </si>
  <si>
    <t>2252119</t>
  </si>
  <si>
    <t>PO220901000899</t>
  </si>
  <si>
    <t>7140370037</t>
  </si>
  <si>
    <t xml:space="preserve">电容 FRAKO LKT30-440-DP K18-0518 </t>
  </si>
  <si>
    <t>2261146</t>
  </si>
  <si>
    <t>2261151</t>
  </si>
  <si>
    <t>2010060515</t>
  </si>
  <si>
    <t>抽湿机 格力 除湿器CF3.8BDE 工业除湿机</t>
  </si>
  <si>
    <t>抽湿机</t>
  </si>
  <si>
    <t>2252121</t>
  </si>
  <si>
    <t>2010060516</t>
  </si>
  <si>
    <t>抽湿机 奥克斯 KDY10-01W 除湿机</t>
  </si>
  <si>
    <t>2252120</t>
  </si>
  <si>
    <t>PO220901000900</t>
  </si>
  <si>
    <t>2261147</t>
  </si>
  <si>
    <t>2252122</t>
  </si>
  <si>
    <t>2252117</t>
  </si>
  <si>
    <t>7140110007</t>
  </si>
  <si>
    <t xml:space="preserve">网线 康普 6类网线 305米/一箱 </t>
  </si>
  <si>
    <t>2261156</t>
  </si>
  <si>
    <t>PO220901000897</t>
  </si>
  <si>
    <t>2252114</t>
  </si>
  <si>
    <t>4060170026</t>
  </si>
  <si>
    <t>洗手液 威露士 免洗洗手液含75度酒精乙醇 250ml 洗手液</t>
  </si>
  <si>
    <t>2261153</t>
  </si>
  <si>
    <t>2040040145</t>
  </si>
  <si>
    <t xml:space="preserve">更衣柜 国产优质 存储柜 900MMx420x1800x0.6MM </t>
  </si>
  <si>
    <t>2252116</t>
  </si>
  <si>
    <t>4100010126</t>
  </si>
  <si>
    <t>防滑地垫 3M 防滑地毯 180CMx120CM 灰色</t>
  </si>
  <si>
    <t>2252123</t>
  </si>
  <si>
    <t>PO220901000713</t>
  </si>
  <si>
    <t>2022-09-01 14:21:06.0</t>
  </si>
  <si>
    <t>2260607</t>
  </si>
  <si>
    <t>2260599</t>
  </si>
  <si>
    <t>2260603</t>
  </si>
  <si>
    <t>2260595</t>
  </si>
  <si>
    <t>2260608</t>
  </si>
  <si>
    <t>2260601</t>
  </si>
  <si>
    <t>2260605</t>
  </si>
  <si>
    <t>2260598</t>
  </si>
  <si>
    <t>2260604</t>
  </si>
  <si>
    <t>2010020290</t>
  </si>
  <si>
    <t>其他电器配件 沁园 温控器（突跳） 开水器QYB-3-15配件，包安装更换</t>
  </si>
  <si>
    <t>2260597</t>
  </si>
  <si>
    <t>2260600</t>
  </si>
  <si>
    <t>2260606</t>
  </si>
  <si>
    <t>2260602</t>
  </si>
  <si>
    <t>2260596</t>
  </si>
  <si>
    <t>PO220825000207</t>
  </si>
  <si>
    <t>2022-08-30 15:20:30.0</t>
  </si>
  <si>
    <t>2234453</t>
  </si>
  <si>
    <t>1047647</t>
  </si>
  <si>
    <t>优玛仕 U-mach 塑封膜 A4 220*310mm 70mic（7丝）  100张/包</t>
  </si>
  <si>
    <t>2234451</t>
  </si>
  <si>
    <t>2234452</t>
  </si>
  <si>
    <t>PO220829000260</t>
  </si>
  <si>
    <t>2020010009</t>
  </si>
  <si>
    <t>洗发水 清扬 750ML 洗发水男</t>
  </si>
  <si>
    <t>2022-08-29 17:22:40.0</t>
  </si>
  <si>
    <t>2236378</t>
  </si>
  <si>
    <t>2236385</t>
  </si>
  <si>
    <t>7130660012</t>
  </si>
  <si>
    <t>马桶刷 常规 马桶清洁刷</t>
  </si>
  <si>
    <t>2236382</t>
  </si>
  <si>
    <t>2236383</t>
  </si>
  <si>
    <t>2020010007</t>
  </si>
  <si>
    <t>洗发水 清扬 750ML 洗发水女</t>
  </si>
  <si>
    <t>2236380</t>
  </si>
  <si>
    <t>PO220829000261</t>
  </si>
  <si>
    <t>4110100030</t>
  </si>
  <si>
    <t>消毒液 威露士 家用消毒液 1L 杀菌率99.9999%</t>
  </si>
  <si>
    <t>2236388</t>
  </si>
  <si>
    <t>2236384</t>
  </si>
  <si>
    <t>2236387</t>
  </si>
  <si>
    <t>2236386</t>
  </si>
  <si>
    <t>2236379</t>
  </si>
  <si>
    <t>PO220829000258</t>
  </si>
  <si>
    <t>2246136</t>
  </si>
  <si>
    <t>2020010010</t>
  </si>
  <si>
    <t xml:space="preserve">沐浴露 舒肤佳1L </t>
  </si>
  <si>
    <t>2236381</t>
  </si>
  <si>
    <t>PO220829000259</t>
  </si>
  <si>
    <t>2246138</t>
  </si>
  <si>
    <t>2246137</t>
  </si>
  <si>
    <t>2246135</t>
  </si>
  <si>
    <t>PO220921000107</t>
  </si>
  <si>
    <t>2022-08-25 10:41:39.0</t>
  </si>
  <si>
    <t>2282186</t>
  </si>
  <si>
    <t>PO220808000251</t>
  </si>
  <si>
    <t>2022-08-08 17:51:35.0</t>
  </si>
  <si>
    <t>2223668</t>
  </si>
  <si>
    <t>PO220808000257</t>
  </si>
  <si>
    <t>7050020029</t>
  </si>
  <si>
    <t xml:space="preserve">LED灯盘 雷士照明 6000K 尺寸60*30cm,白光 </t>
  </si>
  <si>
    <t>2213673</t>
  </si>
  <si>
    <t>PO220808000253</t>
  </si>
  <si>
    <t>2213668</t>
  </si>
  <si>
    <t>PO220808000247</t>
  </si>
  <si>
    <t>2223643</t>
  </si>
  <si>
    <t>PO220808000250</t>
  </si>
  <si>
    <t>2223657</t>
  </si>
  <si>
    <t>PO220808000246</t>
  </si>
  <si>
    <t>1010020023</t>
  </si>
  <si>
    <t>墨盒 夏普 MX-315CT 墨粉</t>
  </si>
  <si>
    <t>2223641</t>
  </si>
  <si>
    <t>4060220019</t>
  </si>
  <si>
    <t>纯碱 工业级纯碱</t>
  </si>
  <si>
    <t>清洁物资类/清洁剂（更新中）/烧碱（更新中）</t>
  </si>
  <si>
    <t>纯碱</t>
  </si>
  <si>
    <t>2223640</t>
  </si>
  <si>
    <t>PO220808000252</t>
  </si>
  <si>
    <t>7020160036</t>
  </si>
  <si>
    <t>切割机配件 国产优质 切割机底板 280x300 多功能木工裁板，便携式装修专用，免打孔底板</t>
  </si>
  <si>
    <t>工程物资/电动工具/切割机</t>
  </si>
  <si>
    <t>切割机配件</t>
  </si>
  <si>
    <t>2213662</t>
  </si>
  <si>
    <t>PO220808000260</t>
  </si>
  <si>
    <t>2223680</t>
  </si>
  <si>
    <t>PO220808000248</t>
  </si>
  <si>
    <t>2223647</t>
  </si>
  <si>
    <t>7010030270</t>
  </si>
  <si>
    <t xml:space="preserve">活动扳手 欧帝斯 多功能水槽扳手 16合1 </t>
  </si>
  <si>
    <t>活动扳手</t>
  </si>
  <si>
    <t>2213663</t>
  </si>
  <si>
    <t>2213667</t>
  </si>
  <si>
    <t>PO220808000256</t>
  </si>
  <si>
    <t>2213672</t>
  </si>
  <si>
    <t>2223656</t>
  </si>
  <si>
    <t>3070013489</t>
  </si>
  <si>
    <t xml:space="preserve">亚克力 国产优质 停车位吊牌亚克力带插槽 500x200MM </t>
  </si>
  <si>
    <t>2213669</t>
  </si>
  <si>
    <t>2223664</t>
  </si>
  <si>
    <t>PO220808000244</t>
  </si>
  <si>
    <t>2213660</t>
  </si>
  <si>
    <t>6030070023</t>
  </si>
  <si>
    <t>安全出口指示灯 江苏双科 AD56-22DS(AC/DC220V LED指示灯</t>
  </si>
  <si>
    <t>2223646</t>
  </si>
  <si>
    <t>PO220808000261</t>
  </si>
  <si>
    <t>2223684</t>
  </si>
  <si>
    <t>2223652</t>
  </si>
  <si>
    <t>PO220808000259</t>
  </si>
  <si>
    <t>2223677</t>
  </si>
  <si>
    <t>2223669</t>
  </si>
  <si>
    <t>2223666</t>
  </si>
  <si>
    <t>2223645</t>
  </si>
  <si>
    <t>2223649</t>
  </si>
  <si>
    <t>1010050013</t>
  </si>
  <si>
    <t>电脑风扇 国产优质 半导体制冷小风扇6015 12V 电脑电源散热风扇</t>
  </si>
  <si>
    <t>办公类/办公设备/电脑组件</t>
  </si>
  <si>
    <t>电脑风扇</t>
  </si>
  <si>
    <t>2223681</t>
  </si>
  <si>
    <t>2223663</t>
  </si>
  <si>
    <t>2020030210</t>
  </si>
  <si>
    <t xml:space="preserve">电池 南孚 2号 单个价 </t>
  </si>
  <si>
    <t>2213659</t>
  </si>
  <si>
    <t>7040060001</t>
  </si>
  <si>
    <t>焊锡丝 国产优质 0.5毫米/250克 90311</t>
  </si>
  <si>
    <t>工程物资/工具配件/焊锡膏/焊锡丝</t>
  </si>
  <si>
    <t>焊锡丝</t>
  </si>
  <si>
    <t>2223648</t>
  </si>
  <si>
    <t>2223667</t>
  </si>
  <si>
    <t>4030220005</t>
  </si>
  <si>
    <t xml:space="preserve">水刮 洁丽来 白云 75CM钢板 </t>
  </si>
  <si>
    <t>2223659</t>
  </si>
  <si>
    <t>2223674</t>
  </si>
  <si>
    <t>2223662</t>
  </si>
  <si>
    <t>2223665</t>
  </si>
  <si>
    <t>2223658</t>
  </si>
  <si>
    <t>2223678</t>
  </si>
  <si>
    <t>7130290074</t>
  </si>
  <si>
    <t>收边条 国产优质 铝合金L型香槟色 30MMx30MM 包边条</t>
  </si>
  <si>
    <t>工程物资/五金辅料/密封条</t>
  </si>
  <si>
    <t>收边条</t>
  </si>
  <si>
    <t>2223679</t>
  </si>
  <si>
    <t>2223650</t>
  </si>
  <si>
    <t>2213675</t>
  </si>
  <si>
    <t>2213666</t>
  </si>
  <si>
    <t>PO220808000249</t>
  </si>
  <si>
    <t>2223655</t>
  </si>
  <si>
    <t>PO220808000255</t>
  </si>
  <si>
    <t>深圳市福香宗醇茶叶有限公司（失效）</t>
  </si>
  <si>
    <t>2213671</t>
  </si>
  <si>
    <t>7130370572</t>
  </si>
  <si>
    <t xml:space="preserve">螺丝 国产优质 减速带专用螺丝 12x120MM </t>
  </si>
  <si>
    <t>2223644</t>
  </si>
  <si>
    <t>2223642</t>
  </si>
  <si>
    <t>PO220808000258</t>
  </si>
  <si>
    <t>2223671</t>
  </si>
  <si>
    <t>2213676</t>
  </si>
  <si>
    <t>7020160035</t>
  </si>
  <si>
    <t xml:space="preserve">切割机配件 国产优质 瓷砖倒角器 45度斜角 </t>
  </si>
  <si>
    <t>2213664</t>
  </si>
  <si>
    <t>2213674</t>
  </si>
  <si>
    <t>PO220808000254</t>
  </si>
  <si>
    <t>抽纸 维达 V2239 60包/箱 195*133mm,三层,130抽/包,抽纸</t>
  </si>
  <si>
    <t>2213670</t>
  </si>
  <si>
    <t>2223660</t>
  </si>
  <si>
    <t>PO220808000243</t>
  </si>
  <si>
    <t>2223639</t>
  </si>
  <si>
    <t>2223673</t>
  </si>
  <si>
    <t>PO220808000245</t>
  </si>
  <si>
    <t>2213661</t>
  </si>
  <si>
    <t>2223651</t>
  </si>
  <si>
    <t>2223661</t>
  </si>
  <si>
    <t>1010040011</t>
  </si>
  <si>
    <t xml:space="preserve">键鼠套装 罗技 MK275 带无线2.4G接收器 </t>
  </si>
  <si>
    <t>键鼠套装</t>
  </si>
  <si>
    <t>2213658</t>
  </si>
  <si>
    <t>2223682</t>
  </si>
  <si>
    <t>1020130035</t>
  </si>
  <si>
    <t xml:space="preserve">电脑打印纸 晨光 241-3,80列,三等分,3联,带压线（彩色） 1000页/箱 </t>
  </si>
  <si>
    <t>2223676</t>
  </si>
  <si>
    <t>PO220808000242</t>
  </si>
  <si>
    <t>2223638</t>
  </si>
  <si>
    <t>2223683</t>
  </si>
  <si>
    <t>1020090007</t>
  </si>
  <si>
    <t xml:space="preserve">笔筒 晨光 M＆G,组合金属笔筒 ABT98405,（黑色） </t>
  </si>
  <si>
    <t>笔筒</t>
  </si>
  <si>
    <t>2223675</t>
  </si>
  <si>
    <t>2223670</t>
  </si>
  <si>
    <t>2223654</t>
  </si>
  <si>
    <t>7040010578</t>
  </si>
  <si>
    <t>钻头套装 国产优质 一体成型螺旋机用丝锥M3-M10 6个/组 复合丝锥</t>
  </si>
  <si>
    <t>钻头套装</t>
  </si>
  <si>
    <t>2213665</t>
  </si>
  <si>
    <t>2223672</t>
  </si>
  <si>
    <t>2223653</t>
  </si>
  <si>
    <t>PO220805000001</t>
  </si>
  <si>
    <t>2030031535</t>
  </si>
  <si>
    <t xml:space="preserve">办公桌 国产优质 实木 长1.4米x高1.6米 </t>
  </si>
  <si>
    <t>2022-08-05 08:37:11.0</t>
  </si>
  <si>
    <t>2222027</t>
  </si>
  <si>
    <t>2030031534</t>
  </si>
  <si>
    <t xml:space="preserve">办公椅 国产优质 铝合金 高1130MM，宽700MM，长580MM </t>
  </si>
  <si>
    <t>2222029</t>
  </si>
  <si>
    <t>2030031536</t>
  </si>
  <si>
    <t xml:space="preserve">屏风卡位 国产优质 铝合金办公折叠屏风 2x1米 </t>
  </si>
  <si>
    <t>2222028</t>
  </si>
  <si>
    <t>2040040148</t>
  </si>
  <si>
    <t>储物柜 国产优质 整体加厚，加厚板材 40CMx35CMx50CM 白绿色</t>
  </si>
  <si>
    <t>2222030</t>
  </si>
  <si>
    <t>PO220803000064</t>
  </si>
  <si>
    <t>7130290070</t>
  </si>
  <si>
    <t>密封圈 国产优质 109-35氟胶合金 静环外径50MM 机械密封</t>
  </si>
  <si>
    <t>2022-08-03 11:02:04.0</t>
  </si>
  <si>
    <t>2210903</t>
  </si>
  <si>
    <t>PO220803000069</t>
  </si>
  <si>
    <t>2220798</t>
  </si>
  <si>
    <t>2040040147</t>
  </si>
  <si>
    <t xml:space="preserve">储物柜 ABS 塑料柜带夹层 尺寸465x320x420MM </t>
  </si>
  <si>
    <t>2220795</t>
  </si>
  <si>
    <t>1010040048</t>
  </si>
  <si>
    <t>鼠标 惠普 M10 有线鼠标</t>
  </si>
  <si>
    <t>2220792</t>
  </si>
  <si>
    <t>PO220803000066</t>
  </si>
  <si>
    <t>2220775</t>
  </si>
  <si>
    <t>PO220803000067</t>
  </si>
  <si>
    <t>2210906</t>
  </si>
  <si>
    <t>2210902</t>
  </si>
  <si>
    <t>2220794</t>
  </si>
  <si>
    <t>PO220803000065</t>
  </si>
  <si>
    <t>2020070342</t>
  </si>
  <si>
    <t xml:space="preserve">药品 国产优质 葡萄糖 袋装420克 </t>
  </si>
  <si>
    <t>2220772</t>
  </si>
  <si>
    <t>PO220803000068</t>
  </si>
  <si>
    <t>6060120019</t>
  </si>
  <si>
    <t>防洪沙袋 国产优质 加厚帆布抽绳款25x70CM 防汛沙袋</t>
  </si>
  <si>
    <t>2210914</t>
  </si>
  <si>
    <t>2210911</t>
  </si>
  <si>
    <t>7020080191</t>
  </si>
  <si>
    <t xml:space="preserve">手电钻 BOSCH/博世 锂电充电式GSR180-LI 含2电1充 </t>
  </si>
  <si>
    <t>2220778</t>
  </si>
  <si>
    <t>2210912</t>
  </si>
  <si>
    <t>7160100344</t>
  </si>
  <si>
    <t xml:space="preserve">空气开关 施耐德 2Px16A </t>
  </si>
  <si>
    <t>空气开关</t>
  </si>
  <si>
    <t>2210913</t>
  </si>
  <si>
    <t>2210910</t>
  </si>
  <si>
    <t>2220777</t>
  </si>
  <si>
    <t>6030060029</t>
  </si>
  <si>
    <t xml:space="preserve">消防应急灯 明装敏华 双头N-ZFZD-E5W1388 </t>
  </si>
  <si>
    <t>2210909</t>
  </si>
  <si>
    <t>2220789</t>
  </si>
  <si>
    <t>2220776</t>
  </si>
  <si>
    <t>2220786</t>
  </si>
  <si>
    <t>2220774</t>
  </si>
  <si>
    <t>2020070343</t>
  </si>
  <si>
    <t xml:space="preserve">医用棉球 国产优质 医用脱脂棉花球 500g </t>
  </si>
  <si>
    <t>医用棉球</t>
  </si>
  <si>
    <t>2220771</t>
  </si>
  <si>
    <t>4130010019</t>
  </si>
  <si>
    <t>救生衣 谋福 CNMF738 工作救生衣</t>
  </si>
  <si>
    <t>清洁物资类/泳池救生用品（更新中）/救生板/救生圈/救生衣（更新中）</t>
  </si>
  <si>
    <t>救生衣</t>
  </si>
  <si>
    <t>2220791</t>
  </si>
  <si>
    <t>2220773</t>
  </si>
  <si>
    <t>2210907</t>
  </si>
  <si>
    <t>7130290071</t>
  </si>
  <si>
    <t>密封圈 广一 GD50-17 水泵机械密封圈</t>
  </si>
  <si>
    <t>2220782</t>
  </si>
  <si>
    <t>7140040164</t>
  </si>
  <si>
    <t xml:space="preserve">电缆线 国产优质 7芯电缆线 1x70㎡ </t>
  </si>
  <si>
    <t>工程物资/电工物料/电缆线</t>
  </si>
  <si>
    <t>电缆线</t>
  </si>
  <si>
    <t>2220784</t>
  </si>
  <si>
    <t>2210908</t>
  </si>
  <si>
    <t>2210905</t>
  </si>
  <si>
    <t>2220790</t>
  </si>
  <si>
    <t>2220779</t>
  </si>
  <si>
    <t>2220787</t>
  </si>
  <si>
    <t>7130290072</t>
  </si>
  <si>
    <t>密封圈 广一 GD65-19 水泵机械密封圈</t>
  </si>
  <si>
    <t>2220781</t>
  </si>
  <si>
    <t>PO220803000063</t>
  </si>
  <si>
    <t>6060070022</t>
  </si>
  <si>
    <t>防暴背心 海姆立克 训练急救背心成人款 加婴儿海姆立克模型</t>
  </si>
  <si>
    <t>消防安保/安全防护装备/防暴背心</t>
  </si>
  <si>
    <t>防暴背心</t>
  </si>
  <si>
    <t>2210900</t>
  </si>
  <si>
    <t>2220796</t>
  </si>
  <si>
    <t>2220799</t>
  </si>
  <si>
    <t>2210904</t>
  </si>
  <si>
    <t>4100030014</t>
  </si>
  <si>
    <t xml:space="preserve">塑胶地毯 国产优质 宽200CMx长100CM </t>
  </si>
  <si>
    <t>塑胶地毯</t>
  </si>
  <si>
    <t>2210901</t>
  </si>
  <si>
    <t>7130600088</t>
  </si>
  <si>
    <t>挂钩 国产优质 U型 胶粘挂钩</t>
  </si>
  <si>
    <t>2220800</t>
  </si>
  <si>
    <t>2220793</t>
  </si>
  <si>
    <t>2220788</t>
  </si>
  <si>
    <t>7130290073</t>
  </si>
  <si>
    <t>密封圈 广一 GD25-15 水泵机械密封圈</t>
  </si>
  <si>
    <t>2220780</t>
  </si>
  <si>
    <t>7040260019</t>
  </si>
  <si>
    <t>压线鼻子 国产优质 DT-70MM2 铜线鼻子</t>
  </si>
  <si>
    <t>压线鼻子</t>
  </si>
  <si>
    <t>2220783</t>
  </si>
  <si>
    <t>PO220803000070</t>
  </si>
  <si>
    <t>1010010157</t>
  </si>
  <si>
    <t xml:space="preserve">打印机 爱普生 LQ-300KH </t>
  </si>
  <si>
    <t>2220801</t>
  </si>
  <si>
    <t>6030050227</t>
  </si>
  <si>
    <t>温感器 国产优质 DS18b20 1米引线（进口芯片） 温度探头</t>
  </si>
  <si>
    <t>温感器</t>
  </si>
  <si>
    <t>2220785</t>
  </si>
  <si>
    <t>2220797</t>
  </si>
  <si>
    <t>PO220725000163</t>
  </si>
  <si>
    <t>AA1195678</t>
  </si>
  <si>
    <t>WORKPRO/万克宝 开式硅胶枪 W024001 9" 1个</t>
  </si>
  <si>
    <t>2022-07-26 19:56:05.0</t>
  </si>
  <si>
    <t>2195698</t>
  </si>
  <si>
    <t>CW1560</t>
  </si>
  <si>
    <t>VICTOR/胜利 数字万用表 VC830L 精度三位半 不支持第三方检定 1台</t>
  </si>
  <si>
    <t>2195709</t>
  </si>
  <si>
    <t>AA2223021</t>
  </si>
  <si>
    <t>DELI/得力 测电笔 DL8002 190mm 1个</t>
  </si>
  <si>
    <t>2195708</t>
  </si>
  <si>
    <t>PO220726000224</t>
  </si>
  <si>
    <t>7040010090</t>
  </si>
  <si>
    <t xml:space="preserve">冲击钻头 博世 6厘 </t>
  </si>
  <si>
    <t>冲击钻头</t>
  </si>
  <si>
    <t>2206729</t>
  </si>
  <si>
    <t>7040010092</t>
  </si>
  <si>
    <t xml:space="preserve">冲击钻头 博世 10厘 </t>
  </si>
  <si>
    <t>2206727</t>
  </si>
  <si>
    <t>GQ9729</t>
  </si>
  <si>
    <t>BOSI/波斯 直柄麻花钻头 BS532006 6mm 1支</t>
  </si>
  <si>
    <t>2195704</t>
  </si>
  <si>
    <t>GQ9699</t>
  </si>
  <si>
    <t>BOSI/波斯 直柄麻花钻头 BS532003 3mm 1支</t>
  </si>
  <si>
    <t>2195705</t>
  </si>
  <si>
    <t>AA0765024</t>
  </si>
  <si>
    <t>TS/拓信 包塑柄橡胶锤 435116 16oz 0.5kg 1把</t>
  </si>
  <si>
    <t>工程物资/手动工具/扁凿</t>
  </si>
  <si>
    <t>2195699</t>
  </si>
  <si>
    <t>GQ9711</t>
  </si>
  <si>
    <t>BOSI/波斯 直柄麻花钻头 BS532042 4.2mm 1支</t>
  </si>
  <si>
    <t>2195701</t>
  </si>
  <si>
    <t>AA3228852</t>
  </si>
  <si>
    <t>BOSCH/博世 锂电充电式手电钻起子机 GSR 120-LI 1台</t>
  </si>
  <si>
    <t>2195707</t>
  </si>
  <si>
    <t>AF7241</t>
  </si>
  <si>
    <t>BOSCH/博世 1系四坑两刃钻头 2608680281 14×100×160MM 1支</t>
  </si>
  <si>
    <t>2195700</t>
  </si>
  <si>
    <t>PF7626</t>
  </si>
  <si>
    <t>CHANGLU/长鹿 结构胶枪 800603 9" 1把</t>
  </si>
  <si>
    <t>2195697</t>
  </si>
  <si>
    <t>GQ9709</t>
  </si>
  <si>
    <t>BOSI/波斯 直柄麻花钻头 BS532004 4mm 1支</t>
  </si>
  <si>
    <t>2195703</t>
  </si>
  <si>
    <t>GQ9721</t>
  </si>
  <si>
    <t>BOSI/波斯 直柄麻花钻头 BS532052 5.2mm 1支</t>
  </si>
  <si>
    <t>2195702</t>
  </si>
  <si>
    <t>AA2570637</t>
  </si>
  <si>
    <t>BOSCH/博世 电锤钻头 φ12mm 1支</t>
  </si>
  <si>
    <t>2195706</t>
  </si>
  <si>
    <t>7040010091</t>
  </si>
  <si>
    <t xml:space="preserve">冲击钻头 博世 8厘 </t>
  </si>
  <si>
    <t>2206728</t>
  </si>
  <si>
    <t>PO220725000187</t>
  </si>
  <si>
    <t>2022-07-25 16:20:36.0</t>
  </si>
  <si>
    <t>2206063</t>
  </si>
  <si>
    <t>2206065</t>
  </si>
  <si>
    <t>2206068</t>
  </si>
  <si>
    <t>2206058</t>
  </si>
  <si>
    <t>2206064</t>
  </si>
  <si>
    <t>2206060</t>
  </si>
  <si>
    <t>2206061</t>
  </si>
  <si>
    <t>PO220725000186</t>
  </si>
  <si>
    <t>2206057</t>
  </si>
  <si>
    <t>2206062</t>
  </si>
  <si>
    <t>2206059</t>
  </si>
  <si>
    <t>2206067</t>
  </si>
  <si>
    <t>2206066</t>
  </si>
  <si>
    <t>2206069</t>
  </si>
  <si>
    <t>PO220712000262</t>
  </si>
  <si>
    <t>2022-07-12 15:08:45.0</t>
  </si>
  <si>
    <t>2188956</t>
  </si>
  <si>
    <t>PO220712000264</t>
  </si>
  <si>
    <t>2179486</t>
  </si>
  <si>
    <t>PO220712000269</t>
  </si>
  <si>
    <t>2188964</t>
  </si>
  <si>
    <t>PO220712000268</t>
  </si>
  <si>
    <t>2188961</t>
  </si>
  <si>
    <t>PO220712000276</t>
  </si>
  <si>
    <t>1020010097</t>
  </si>
  <si>
    <t xml:space="preserve">笔记本 凯斯特 商务仿皮笔记本,KST153-25K,25K（黑色） 150页/本 </t>
  </si>
  <si>
    <t>笔记本</t>
  </si>
  <si>
    <t>2179515</t>
  </si>
  <si>
    <t>PO220712000274</t>
  </si>
  <si>
    <t>7140110006</t>
  </si>
  <si>
    <t xml:space="preserve">网线 环威 6类网线 305米/一箱 </t>
  </si>
  <si>
    <t>2179502</t>
  </si>
  <si>
    <t>PO220712000275</t>
  </si>
  <si>
    <t>2179513</t>
  </si>
  <si>
    <t>2179487</t>
  </si>
  <si>
    <t>7140210003</t>
  </si>
  <si>
    <t xml:space="preserve">镇流器 首创 LED40W 镇流器 </t>
  </si>
  <si>
    <t>工程物资/电工物料/镇流器</t>
  </si>
  <si>
    <t>镇流器</t>
  </si>
  <si>
    <t>2179501</t>
  </si>
  <si>
    <t>PO220712000267</t>
  </si>
  <si>
    <t>2188957</t>
  </si>
  <si>
    <t>7110080002</t>
  </si>
  <si>
    <t xml:space="preserve">河沙 广东 25kg </t>
  </si>
  <si>
    <t>2179490</t>
  </si>
  <si>
    <t>PO220712000266</t>
  </si>
  <si>
    <t>1020080296</t>
  </si>
  <si>
    <t xml:space="preserve">文件盒 得力 A4粘扣档案盒塑料蓝色 55mm </t>
  </si>
  <si>
    <t>文件盒</t>
  </si>
  <si>
    <t>2179494</t>
  </si>
  <si>
    <t>4030030014</t>
  </si>
  <si>
    <t xml:space="preserve">玻璃刮 洁丽来 </t>
  </si>
  <si>
    <t>2188963</t>
  </si>
  <si>
    <t>PO220712000273</t>
  </si>
  <si>
    <t>7050090042</t>
  </si>
  <si>
    <t xml:space="preserve">T8LED灯管 飞利浦 单端进电微波感应灯管 16w </t>
  </si>
  <si>
    <t>2179495</t>
  </si>
  <si>
    <t>2188954</t>
  </si>
  <si>
    <t>PO220712000263</t>
  </si>
  <si>
    <t>2179485</t>
  </si>
  <si>
    <t>2179520</t>
  </si>
  <si>
    <t>2179517</t>
  </si>
  <si>
    <t>4020050024</t>
  </si>
  <si>
    <t>驾驶室洗地机刷盘 国产优质 针盘 175 洗毯刷</t>
  </si>
  <si>
    <t>驾驶室洗地机刷盘</t>
  </si>
  <si>
    <t>2179512</t>
  </si>
  <si>
    <t>2179514</t>
  </si>
  <si>
    <t>4030260017</t>
  </si>
  <si>
    <t xml:space="preserve">拖布池 科勒 洗物池 450x350x750MM </t>
  </si>
  <si>
    <t>2188950</t>
  </si>
  <si>
    <t>1020140006</t>
  </si>
  <si>
    <t>过塑膜 国产优质 优质专用护卡膜/塑封膜 A4文件/220*305mm 100张/包</t>
  </si>
  <si>
    <t>过塑膜</t>
  </si>
  <si>
    <t>2179491</t>
  </si>
  <si>
    <t>2188962</t>
  </si>
  <si>
    <t>2179484</t>
  </si>
  <si>
    <t>PO220712000272</t>
  </si>
  <si>
    <t>2188971</t>
  </si>
  <si>
    <t>2188959</t>
  </si>
  <si>
    <t>PO220712000260</t>
  </si>
  <si>
    <t>2179481</t>
  </si>
  <si>
    <t>1020080295</t>
  </si>
  <si>
    <t xml:space="preserve">文件袋 晨光 M＆G普惠型网格拉链袋ADMN4282A4 10个/包 </t>
  </si>
  <si>
    <t>2179516</t>
  </si>
  <si>
    <t>2179508</t>
  </si>
  <si>
    <t>2040020075</t>
  </si>
  <si>
    <t xml:space="preserve">棉被 国产优质 空调被 1.5米x2米 </t>
  </si>
  <si>
    <t>2188958</t>
  </si>
  <si>
    <t>2188965</t>
  </si>
  <si>
    <t>2179483</t>
  </si>
  <si>
    <t>7020080109</t>
  </si>
  <si>
    <t>手电钻 博世 GSR120-Li 12V 双电版锂电手电钻电动螺丝刀</t>
  </si>
  <si>
    <t>2179499</t>
  </si>
  <si>
    <t>2179507</t>
  </si>
  <si>
    <t>2179519</t>
  </si>
  <si>
    <t>2179498</t>
  </si>
  <si>
    <t>7140360037</t>
  </si>
  <si>
    <t xml:space="preserve">试电笔 五羊 AN2000 </t>
  </si>
  <si>
    <t>2179500</t>
  </si>
  <si>
    <t>2179496</t>
  </si>
  <si>
    <t>2188952</t>
  </si>
  <si>
    <t>2179504</t>
  </si>
  <si>
    <t>2179492</t>
  </si>
  <si>
    <t>2179518</t>
  </si>
  <si>
    <t>2179488</t>
  </si>
  <si>
    <t>2188968</t>
  </si>
  <si>
    <t>7160130005</t>
  </si>
  <si>
    <t xml:space="preserve">三角插头 公牛 10A </t>
  </si>
  <si>
    <t>工程物资/开关插座/插头</t>
  </si>
  <si>
    <t>三角插头</t>
  </si>
  <si>
    <t>2179505</t>
  </si>
  <si>
    <t>PO220712000265</t>
  </si>
  <si>
    <t>2179493</t>
  </si>
  <si>
    <t>4040040035</t>
  </si>
  <si>
    <t>垃圾桶配件 国产优质 垃圾桶内胆 宽30CM高45CM 铝合金</t>
  </si>
  <si>
    <t>清洁物资类/垃圾桶/环保分类垃圾桶</t>
  </si>
  <si>
    <t>垃圾桶配件</t>
  </si>
  <si>
    <t>2188955</t>
  </si>
  <si>
    <t>2179511</t>
  </si>
  <si>
    <t>2179509</t>
  </si>
  <si>
    <t>2188960</t>
  </si>
  <si>
    <t>2179497</t>
  </si>
  <si>
    <t>6010070016</t>
  </si>
  <si>
    <t xml:space="preserve">手电 神火 x60强光 </t>
  </si>
  <si>
    <t>2179510</t>
  </si>
  <si>
    <t>PO220712000261</t>
  </si>
  <si>
    <t>2188948</t>
  </si>
  <si>
    <t>PO220712000259</t>
  </si>
  <si>
    <t>2179480</t>
  </si>
  <si>
    <t>7100040009</t>
  </si>
  <si>
    <t>平板车 国产优质 承重600斤 静音款平板车折叠手推车拖车小推车小拉车货车工具车塑料搬运车 大号90x60cm</t>
  </si>
  <si>
    <t>2179489</t>
  </si>
  <si>
    <t>2188966</t>
  </si>
  <si>
    <t>2179503</t>
  </si>
  <si>
    <t>2179482</t>
  </si>
  <si>
    <t>2188951</t>
  </si>
  <si>
    <t>2188953</t>
  </si>
  <si>
    <t>2179506</t>
  </si>
  <si>
    <t>PO220712000270</t>
  </si>
  <si>
    <t>2188969</t>
  </si>
  <si>
    <t>2188967</t>
  </si>
  <si>
    <t>PO220712000271</t>
  </si>
  <si>
    <t>2188970</t>
  </si>
  <si>
    <t>2188949</t>
  </si>
  <si>
    <t>PO220627000172</t>
  </si>
  <si>
    <t>2010010653</t>
  </si>
  <si>
    <t>杯子 赫斯威 肉汁杯 48厘升 灰色AP</t>
  </si>
  <si>
    <t>2022-06-27 10:23:19.0</t>
  </si>
  <si>
    <t>2167914</t>
  </si>
  <si>
    <t>2010020315</t>
  </si>
  <si>
    <t>真空密封罐 瓦达恩 附盖罐台座 深灰色AP</t>
  </si>
  <si>
    <t>真空密封罐</t>
  </si>
  <si>
    <t>2167919</t>
  </si>
  <si>
    <t>7050060360</t>
  </si>
  <si>
    <t>球泡灯 国产优质 流明可调光球形灯泡 2件套 乳白</t>
  </si>
  <si>
    <t>2167926</t>
  </si>
  <si>
    <t>2010010651</t>
  </si>
  <si>
    <t>碗 布郎达布兰科 上菜用碗 10不锈钢 APJP</t>
  </si>
  <si>
    <t>碗</t>
  </si>
  <si>
    <t>2167925</t>
  </si>
  <si>
    <t>2010020317</t>
  </si>
  <si>
    <t>调料罐 胡赫特 调味罐 带托盘3件套 陶瓷黑</t>
  </si>
  <si>
    <t>调料罐</t>
  </si>
  <si>
    <t>2167917</t>
  </si>
  <si>
    <t>2010010641</t>
  </si>
  <si>
    <t>碟子 国产优质 4件套 30x18CM 米黄色</t>
  </si>
  <si>
    <t>碟子</t>
  </si>
  <si>
    <t>2167916</t>
  </si>
  <si>
    <t>2010020316</t>
  </si>
  <si>
    <t>烤盘 瓦达恩 小蛋糕烤盘 38x29 银色APJP</t>
  </si>
  <si>
    <t>烤盘</t>
  </si>
  <si>
    <t>2167918</t>
  </si>
  <si>
    <t>2010010657</t>
  </si>
  <si>
    <t>碗 瓦达恩 透明玻璃 直径26CM APJP</t>
  </si>
  <si>
    <t>2167909</t>
  </si>
  <si>
    <t>2010010656</t>
  </si>
  <si>
    <t>碗 IKEA 365+22弧线型 白色 APJP</t>
  </si>
  <si>
    <t>2167910</t>
  </si>
  <si>
    <t>2010010654</t>
  </si>
  <si>
    <t>碗 法利可洛 带有光泽 直径12CM，4件套 米黄色AP</t>
  </si>
  <si>
    <t>2167912</t>
  </si>
  <si>
    <t>2010010652</t>
  </si>
  <si>
    <t>勺子 弗隆夫特 不锈钢 4件套 AP</t>
  </si>
  <si>
    <t>2167923</t>
  </si>
  <si>
    <t>2020050279</t>
  </si>
  <si>
    <t>塑料盒 国产优质 不锈钢 0.7公升 米黄</t>
  </si>
  <si>
    <t>塑料盒</t>
  </si>
  <si>
    <t>2167924</t>
  </si>
  <si>
    <t>2020050278</t>
  </si>
  <si>
    <t>购物袋 国产优质 71L 55x37x35CM 蓝色</t>
  </si>
  <si>
    <t>购物袋</t>
  </si>
  <si>
    <t>2167907</t>
  </si>
  <si>
    <t>2010030258</t>
  </si>
  <si>
    <t>烘焙模具 拉特巴克 曲奇模具 5件套 银色AP</t>
  </si>
  <si>
    <t>烘焙模具</t>
  </si>
  <si>
    <t>2167920</t>
  </si>
  <si>
    <t>2010020311</t>
  </si>
  <si>
    <t>烤盘 国产优质 61x46CM 白色/天蓝色</t>
  </si>
  <si>
    <t>2167922</t>
  </si>
  <si>
    <t>2020050283</t>
  </si>
  <si>
    <t>密封罐 瓦达恩 附盖罐 5.0公升 AP</t>
  </si>
  <si>
    <t>密封罐</t>
  </si>
  <si>
    <t>2167913</t>
  </si>
  <si>
    <t>2010010655</t>
  </si>
  <si>
    <t xml:space="preserve">碗 国产优质 透明玻璃 直径20CM </t>
  </si>
  <si>
    <t>2167911</t>
  </si>
  <si>
    <t>2010030257</t>
  </si>
  <si>
    <t>烘焙模具 托特波克 可调节 30 AP</t>
  </si>
  <si>
    <t>2167921</t>
  </si>
  <si>
    <t>2010010642</t>
  </si>
  <si>
    <t>杯架 国产优质 透明玻璃 三层 不锈钢</t>
  </si>
  <si>
    <t>2167915</t>
  </si>
  <si>
    <t>2010010658</t>
  </si>
  <si>
    <t>碗 布朗达布兰科 上菜用碗 直径28CM 不锈钢APJP</t>
  </si>
  <si>
    <t>2167908</t>
  </si>
  <si>
    <t>PO220614000213</t>
  </si>
  <si>
    <t>2022-06-14 14:52:28.0</t>
  </si>
  <si>
    <t>2161182</t>
  </si>
  <si>
    <t>PO220614000204</t>
  </si>
  <si>
    <t>2020050264</t>
  </si>
  <si>
    <t>洗手液盒 瑞沃 泡沫款 白色 皂液盒</t>
  </si>
  <si>
    <t>2151355</t>
  </si>
  <si>
    <t>2151342</t>
  </si>
  <si>
    <t>2020070344</t>
  </si>
  <si>
    <t xml:space="preserve">医药箱 国产优质 铝合金多层医疗箱 16寸 </t>
  </si>
  <si>
    <t>医药箱</t>
  </si>
  <si>
    <t>2151354</t>
  </si>
  <si>
    <t>2161187</t>
  </si>
  <si>
    <t>7100040098</t>
  </si>
  <si>
    <t>轮椅 鱼跃 H061C 铝合金升级折背便携</t>
  </si>
  <si>
    <t>轮椅</t>
  </si>
  <si>
    <t>2151352</t>
  </si>
  <si>
    <t>PO220614000209</t>
  </si>
  <si>
    <t>2151373</t>
  </si>
  <si>
    <t>PO220614000205</t>
  </si>
  <si>
    <t>2151357</t>
  </si>
  <si>
    <t>2010010593</t>
  </si>
  <si>
    <t xml:space="preserve">保温壶 天喜 本色 2L </t>
  </si>
  <si>
    <t>2151348</t>
  </si>
  <si>
    <t>1020080527</t>
  </si>
  <si>
    <t>手提袋 国产优质 棉绳款加防水层 25x25x18CM 环保袋</t>
  </si>
  <si>
    <t>手提袋</t>
  </si>
  <si>
    <t>2151345</t>
  </si>
  <si>
    <t>4030060086</t>
  </si>
  <si>
    <t xml:space="preserve">铲刀 国产优质 云石地板瓷砖清洁刀 19CM </t>
  </si>
  <si>
    <t>2161186</t>
  </si>
  <si>
    <t>2151375</t>
  </si>
  <si>
    <t>2151366</t>
  </si>
  <si>
    <t>2161183</t>
  </si>
  <si>
    <t>2151365</t>
  </si>
  <si>
    <t>2151358</t>
  </si>
  <si>
    <t>PO220614000198</t>
  </si>
  <si>
    <t>7010310140</t>
  </si>
  <si>
    <t xml:space="preserve">人字梯 铝合金梯子 六步梯 </t>
  </si>
  <si>
    <t>2151335</t>
  </si>
  <si>
    <t>2161184</t>
  </si>
  <si>
    <t>PO220614000211</t>
  </si>
  <si>
    <t>2161177</t>
  </si>
  <si>
    <t>PO220614000208</t>
  </si>
  <si>
    <t>2151361</t>
  </si>
  <si>
    <t>2151370</t>
  </si>
  <si>
    <t>2161181</t>
  </si>
  <si>
    <t>2161175</t>
  </si>
  <si>
    <t>2161176</t>
  </si>
  <si>
    <t>PO220614000199</t>
  </si>
  <si>
    <t>2151336</t>
  </si>
  <si>
    <t>2151369</t>
  </si>
  <si>
    <t>PO220614000212</t>
  </si>
  <si>
    <t>7110010007</t>
  </si>
  <si>
    <t xml:space="preserve">快干水泥 卓众 5kg </t>
  </si>
  <si>
    <t>快干水泥</t>
  </si>
  <si>
    <t>2161179</t>
  </si>
  <si>
    <t>PO220614000200</t>
  </si>
  <si>
    <t>2161169</t>
  </si>
  <si>
    <t>2151372</t>
  </si>
  <si>
    <t>2020020074</t>
  </si>
  <si>
    <t xml:space="preserve">塑料簸箕 大号不锈钢杆高级灰 </t>
  </si>
  <si>
    <t>塑料簸箕</t>
  </si>
  <si>
    <t>2151368</t>
  </si>
  <si>
    <t>2161185</t>
  </si>
  <si>
    <t>PO220614000214</t>
  </si>
  <si>
    <t>2151376</t>
  </si>
  <si>
    <t>2151343</t>
  </si>
  <si>
    <t>2151346</t>
  </si>
  <si>
    <t>PO220614000207</t>
  </si>
  <si>
    <t>2161172</t>
  </si>
  <si>
    <t>4010010016</t>
  </si>
  <si>
    <t xml:space="preserve">高压水枪 国产优质 高压清洗机380型 1.8KW </t>
  </si>
  <si>
    <t>2151340</t>
  </si>
  <si>
    <t>PO220614000210</t>
  </si>
  <si>
    <t>2161173</t>
  </si>
  <si>
    <t>2020070345</t>
  </si>
  <si>
    <t xml:space="preserve">药品 国产优质 套装 含三九皮炎平1支、皲裂橡皮膏1份、风油精2支、医用纱布2袋 </t>
  </si>
  <si>
    <t>2151353</t>
  </si>
  <si>
    <t>PO220614000202</t>
  </si>
  <si>
    <t>2151337</t>
  </si>
  <si>
    <t>2161174</t>
  </si>
  <si>
    <t>4070060134</t>
  </si>
  <si>
    <t>湿巾 氏氏美 擦鞋湿巾 30片 独立包装</t>
  </si>
  <si>
    <t>2151351</t>
  </si>
  <si>
    <t>2151374</t>
  </si>
  <si>
    <t>2161178</t>
  </si>
  <si>
    <t>2151349</t>
  </si>
  <si>
    <t>2151359</t>
  </si>
  <si>
    <t>PO220614000203</t>
  </si>
  <si>
    <t>2020020631</t>
  </si>
  <si>
    <t xml:space="preserve">桌布 国产优质 50精纺羊毛50涤纶 310CMx150CM </t>
  </si>
  <si>
    <t>深圳市阿斯卡锘实业发展有限公司</t>
  </si>
  <si>
    <t>2151338</t>
  </si>
  <si>
    <t>2151378</t>
  </si>
  <si>
    <t>2151367</t>
  </si>
  <si>
    <t>1020110009</t>
  </si>
  <si>
    <t xml:space="preserve">票夹 晨光 Eplus,彩色长尾夹,19mm,ABS92742 40个/筒 </t>
  </si>
  <si>
    <t>票夹</t>
  </si>
  <si>
    <t>2151377</t>
  </si>
  <si>
    <t>2151371</t>
  </si>
  <si>
    <t>2151379</t>
  </si>
  <si>
    <t>2151380</t>
  </si>
  <si>
    <t>PO220614000201</t>
  </si>
  <si>
    <t>2161170</t>
  </si>
  <si>
    <t>2151363</t>
  </si>
  <si>
    <t>PO220614000206</t>
  </si>
  <si>
    <t>2020070216</t>
  </si>
  <si>
    <t xml:space="preserve">云南白药 4g/瓶 </t>
  </si>
  <si>
    <t>云南白药</t>
  </si>
  <si>
    <t>2161171</t>
  </si>
  <si>
    <t>2151362</t>
  </si>
  <si>
    <t>7130160044</t>
  </si>
  <si>
    <t>镀锌钢管 国产优质 圆管 DN25，1寸，2.5MM厚，3米/条 镀锌管</t>
  </si>
  <si>
    <t>工程物资/五金辅料/钢管（更新中）</t>
  </si>
  <si>
    <t>镀锌钢管</t>
  </si>
  <si>
    <t>2161180</t>
  </si>
  <si>
    <t>2151339</t>
  </si>
  <si>
    <t>2151360</t>
  </si>
  <si>
    <t>6050050026</t>
  </si>
  <si>
    <t>监控系统电源 国产优质 YJG2300 消防电源</t>
  </si>
  <si>
    <t>监控系统电源</t>
  </si>
  <si>
    <t>2151341</t>
  </si>
  <si>
    <t>2151356</t>
  </si>
  <si>
    <t>3080030255</t>
  </si>
  <si>
    <t xml:space="preserve">宣传册 国产优质 定制 38CMx21CM </t>
  </si>
  <si>
    <t>宣传册</t>
  </si>
  <si>
    <t>2151344</t>
  </si>
  <si>
    <t>2151364</t>
  </si>
  <si>
    <t>1020080526</t>
  </si>
  <si>
    <t>工牌，胸牌 国产优质 卡套+挂绳套装 硬质竖版 防水亚克力</t>
  </si>
  <si>
    <t>2161188</t>
  </si>
  <si>
    <t>2020030612</t>
  </si>
  <si>
    <t>镜子 国产优质 放大镜 90MM 红木</t>
  </si>
  <si>
    <t>2151350</t>
  </si>
  <si>
    <t>2151347</t>
  </si>
  <si>
    <t>PO220516000171</t>
  </si>
  <si>
    <t>4090040070</t>
  </si>
  <si>
    <t xml:space="preserve">香薰精油 海洋之心 玻璃瓶 350ml，配干花、白色藤条 </t>
  </si>
  <si>
    <t>上海荷风环保科技有限公司</t>
  </si>
  <si>
    <t>2022-05-16 17:18:42.0</t>
  </si>
  <si>
    <t>2091807</t>
  </si>
  <si>
    <t>4090040071</t>
  </si>
  <si>
    <t xml:space="preserve">香薰精油 海洋之心 玻璃瓶 100ml，配干花、白色藤条 </t>
  </si>
  <si>
    <t>2091808</t>
  </si>
  <si>
    <t>PO220516000169</t>
  </si>
  <si>
    <t>2089247</t>
  </si>
  <si>
    <t>2089248</t>
  </si>
  <si>
    <t>2089246</t>
  </si>
  <si>
    <t>2089249</t>
  </si>
  <si>
    <t>PO220510000114</t>
  </si>
  <si>
    <t>2022-05-10 12:09:08.0</t>
  </si>
  <si>
    <t>2079399</t>
  </si>
  <si>
    <t>2079403</t>
  </si>
  <si>
    <t>2079398</t>
  </si>
  <si>
    <t>PO220510000115</t>
  </si>
  <si>
    <t>2079407</t>
  </si>
  <si>
    <t>PO220510000117</t>
  </si>
  <si>
    <t>2086573</t>
  </si>
  <si>
    <t>PO220510000118</t>
  </si>
  <si>
    <t>2079409</t>
  </si>
  <si>
    <t>PO220510000120</t>
  </si>
  <si>
    <t>2079421</t>
  </si>
  <si>
    <t>PO220510000119</t>
  </si>
  <si>
    <t>6050040040</t>
  </si>
  <si>
    <t xml:space="preserve">彩色监控镜头半球 Honeywell HICC-1600TVI720P 网络红外枪型摄像头DC12V </t>
  </si>
  <si>
    <t>2079414</t>
  </si>
  <si>
    <t>2079393</t>
  </si>
  <si>
    <t>7130290061</t>
  </si>
  <si>
    <t xml:space="preserve">密封圈 国产优质 电机型号：GD25-15 不锈钢 </t>
  </si>
  <si>
    <t>2079416</t>
  </si>
  <si>
    <t>2079395</t>
  </si>
  <si>
    <t>PO220510000116</t>
  </si>
  <si>
    <t>2086570</t>
  </si>
  <si>
    <t>PO220510000121</t>
  </si>
  <si>
    <t>2079435</t>
  </si>
  <si>
    <t>2079436</t>
  </si>
  <si>
    <t>2079397</t>
  </si>
  <si>
    <t>2079425</t>
  </si>
  <si>
    <t>2079402</t>
  </si>
  <si>
    <t>7010080021</t>
  </si>
  <si>
    <t xml:space="preserve">卡簧钳 世达 内直卡簧钳 9寸 </t>
  </si>
  <si>
    <t>工程物资/手动工具/卡簧钳</t>
  </si>
  <si>
    <t>卡簧钳</t>
  </si>
  <si>
    <t>2079419</t>
  </si>
  <si>
    <t>4030150007</t>
  </si>
  <si>
    <t>鸡毛掸子 可弯曲高位除尘 鸡毛掸子毛可弯曲除尘掸</t>
  </si>
  <si>
    <t>2079394</t>
  </si>
  <si>
    <t>2079404</t>
  </si>
  <si>
    <t>2079406</t>
  </si>
  <si>
    <t>2079392</t>
  </si>
  <si>
    <t>7130970045</t>
  </si>
  <si>
    <t xml:space="preserve">水龙头 金字塔 洗衣机款JZT-B50 4分 </t>
  </si>
  <si>
    <t>2079415</t>
  </si>
  <si>
    <t>2079441</t>
  </si>
  <si>
    <t>1010040018</t>
  </si>
  <si>
    <t xml:space="preserve">键鼠套装 罗技 MK275 </t>
  </si>
  <si>
    <t>2079434</t>
  </si>
  <si>
    <t>1010090008</t>
  </si>
  <si>
    <t xml:space="preserve">翻页笔 得力 2809 绿色光 </t>
  </si>
  <si>
    <t>翻页笔</t>
  </si>
  <si>
    <t>2079427</t>
  </si>
  <si>
    <t>2079437</t>
  </si>
  <si>
    <t>2079424</t>
  </si>
  <si>
    <t>2079438</t>
  </si>
  <si>
    <t>2020010081</t>
  </si>
  <si>
    <t xml:space="preserve">针线盒 国产优质 家用针线宝塔线 3000码黑色线圈 </t>
  </si>
  <si>
    <t>2079423</t>
  </si>
  <si>
    <t>4060170024</t>
  </si>
  <si>
    <t xml:space="preserve">洗手液 威露士（Walch） 健康抑菌 525ml </t>
  </si>
  <si>
    <t>2079405</t>
  </si>
  <si>
    <t>2079422</t>
  </si>
  <si>
    <t>2079400</t>
  </si>
  <si>
    <t>2079411</t>
  </si>
  <si>
    <t>2040040075</t>
  </si>
  <si>
    <t xml:space="preserve">储物柜 国产优质 不锈钢烤漆,定制,160cm*50cm*180cm </t>
  </si>
  <si>
    <t>2079439</t>
  </si>
  <si>
    <t>2079426</t>
  </si>
  <si>
    <t>7010080020</t>
  </si>
  <si>
    <t xml:space="preserve">卡簧钳 世达 内直卡簧钳 13寸 </t>
  </si>
  <si>
    <t>2079418</t>
  </si>
  <si>
    <t>2086572</t>
  </si>
  <si>
    <t>7040230013</t>
  </si>
  <si>
    <t xml:space="preserve">轴承 美国UBC 6310轴承 2RS1/C3 </t>
  </si>
  <si>
    <t>工程物资/工具配件/轴承</t>
  </si>
  <si>
    <t>轴承</t>
  </si>
  <si>
    <t>2079420</t>
  </si>
  <si>
    <t>7130290060</t>
  </si>
  <si>
    <t xml:space="preserve">密封圈 国产优质 电机型号：GD50-17 不锈钢 </t>
  </si>
  <si>
    <t>2079417</t>
  </si>
  <si>
    <t>2079412</t>
  </si>
  <si>
    <t>2079430</t>
  </si>
  <si>
    <t>2079429</t>
  </si>
  <si>
    <t>2079431</t>
  </si>
  <si>
    <t>2079410</t>
  </si>
  <si>
    <t>7130970043</t>
  </si>
  <si>
    <t xml:space="preserve">水龙头 科勒 </t>
  </si>
  <si>
    <t>2079413</t>
  </si>
  <si>
    <t>2079432</t>
  </si>
  <si>
    <t>2079440</t>
  </si>
  <si>
    <t>2086571</t>
  </si>
  <si>
    <t>7080110186</t>
  </si>
  <si>
    <t xml:space="preserve">板式过滤 国产优质 G4(592*592*46)铝框可拆卸 </t>
  </si>
  <si>
    <t>板式过滤</t>
  </si>
  <si>
    <t>2079408</t>
  </si>
  <si>
    <t>1020020025</t>
  </si>
  <si>
    <t xml:space="preserve">激光笔 神火 GT19 绿光 </t>
  </si>
  <si>
    <t>2079428</t>
  </si>
  <si>
    <t>2079396</t>
  </si>
  <si>
    <t>2079401</t>
  </si>
  <si>
    <t>1020130034</t>
  </si>
  <si>
    <t xml:space="preserve">复印纸 得力 蓝系列,A3 80g,500张1包 </t>
  </si>
  <si>
    <t>2079433</t>
  </si>
  <si>
    <t>PO220427000005</t>
  </si>
  <si>
    <t>4110100029</t>
  </si>
  <si>
    <t>消毒液 威露士 家用消毒液 1.6L 杀菌率99.9999%</t>
  </si>
  <si>
    <t>2022-04-27 08:52:13.0</t>
  </si>
  <si>
    <t>2073821</t>
  </si>
  <si>
    <t>PO220427000001</t>
  </si>
  <si>
    <t>3070012016</t>
  </si>
  <si>
    <t>亚克力 500*200mm 带插槽,停车位吊牌</t>
  </si>
  <si>
    <t>深圳市浩盛广告有限公司</t>
  </si>
  <si>
    <t>2081183</t>
  </si>
  <si>
    <t>PO220427000004</t>
  </si>
  <si>
    <t>2073803</t>
  </si>
  <si>
    <t>PO220427000002</t>
  </si>
  <si>
    <t>1010030013</t>
  </si>
  <si>
    <t>白板 挂墙式 120x240cm 磁性钢化玻璃</t>
  </si>
  <si>
    <t>2081184</t>
  </si>
  <si>
    <t>2073811</t>
  </si>
  <si>
    <t>3080020602</t>
  </si>
  <si>
    <t>车贴 80cm*50cm 车贴,墨绿磨砂带荧光</t>
  </si>
  <si>
    <t>2081179</t>
  </si>
  <si>
    <t>4110100031</t>
  </si>
  <si>
    <t xml:space="preserve">消毒液 洁力佳 季铵盐 500ML </t>
  </si>
  <si>
    <t>2073817</t>
  </si>
  <si>
    <t>3080020601</t>
  </si>
  <si>
    <t>车贴 10cm宽 磨砂面</t>
  </si>
  <si>
    <t>2081180</t>
  </si>
  <si>
    <t>3070012015</t>
  </si>
  <si>
    <t>亚克力 60cm*40cm 亚克力UV打印,横版</t>
  </si>
  <si>
    <t>2081182</t>
  </si>
  <si>
    <t>6060060006</t>
  </si>
  <si>
    <t xml:space="preserve">防暴头盔 野马 325S电动车头盔 </t>
  </si>
  <si>
    <t>消防安保/安全防护装备/防暴头盔</t>
  </si>
  <si>
    <t>防暴头盔</t>
  </si>
  <si>
    <t>2073801</t>
  </si>
  <si>
    <t>2073805</t>
  </si>
  <si>
    <t>2073820</t>
  </si>
  <si>
    <t>2073814</t>
  </si>
  <si>
    <t>6100040011</t>
  </si>
  <si>
    <t xml:space="preserve">拖鞋 进口橡胶 </t>
  </si>
  <si>
    <t>消防安保/劳保类/足部防护</t>
  </si>
  <si>
    <t>拖鞋</t>
  </si>
  <si>
    <t>2073816</t>
  </si>
  <si>
    <t>2073799</t>
  </si>
  <si>
    <t>2020050065</t>
  </si>
  <si>
    <t xml:space="preserve">衣物篮 家用塑料 特大号,脏衣篮 </t>
  </si>
  <si>
    <t>衣物篮</t>
  </si>
  <si>
    <t>2073810</t>
  </si>
  <si>
    <t>2010060026</t>
  </si>
  <si>
    <t xml:space="preserve">烘干机 格力 家用双层干衣机 </t>
  </si>
  <si>
    <t>2073808</t>
  </si>
  <si>
    <t>2020040095</t>
  </si>
  <si>
    <t>食品 阿华田 瓶装380g 可可粉</t>
  </si>
  <si>
    <t>2073806</t>
  </si>
  <si>
    <t>2020020186</t>
  </si>
  <si>
    <t xml:space="preserve">一次性手套 英科 医用PVC手套 50双/1盒 </t>
  </si>
  <si>
    <t>2073819</t>
  </si>
  <si>
    <t>2073818</t>
  </si>
  <si>
    <t>2040040064</t>
  </si>
  <si>
    <t xml:space="preserve">晾衣架 折叠晾衣架 1.5米不锈钢 </t>
  </si>
  <si>
    <t>2073813</t>
  </si>
  <si>
    <t>6070080027</t>
  </si>
  <si>
    <t>医用防护服 宇安 一次性防护服</t>
  </si>
  <si>
    <t>2073807</t>
  </si>
  <si>
    <t>2010040026</t>
  </si>
  <si>
    <t xml:space="preserve">洗衣机 小天鹅 全自动滚筒洗衣机TD100V86 </t>
  </si>
  <si>
    <t>洗衣机</t>
  </si>
  <si>
    <t>2073809</t>
  </si>
  <si>
    <t>2040020027</t>
  </si>
  <si>
    <t xml:space="preserve">床单 富安娜 家纺床垫保护罩 1.6米 </t>
  </si>
  <si>
    <t>床单</t>
  </si>
  <si>
    <t>2073815</t>
  </si>
  <si>
    <t>2073802</t>
  </si>
  <si>
    <t>PO220427000003</t>
  </si>
  <si>
    <t>2073798</t>
  </si>
  <si>
    <t>3080020600</t>
  </si>
  <si>
    <t>车贴 10cm宽 磨砂带荧光</t>
  </si>
  <si>
    <t>2081181</t>
  </si>
  <si>
    <t>6100060003</t>
  </si>
  <si>
    <t>护膝 1019 4件套</t>
  </si>
  <si>
    <t>消防安保/劳保类/身体防护</t>
  </si>
  <si>
    <t>护膝</t>
  </si>
  <si>
    <t>2073800</t>
  </si>
  <si>
    <t>2073804</t>
  </si>
  <si>
    <t>2073812</t>
  </si>
  <si>
    <t>PO220420000053</t>
  </si>
  <si>
    <t>1010080007</t>
  </si>
  <si>
    <t>台式电脑 联想 M433 19.5寸显示器 I3,8G,512G（含主机跟显示器）</t>
  </si>
  <si>
    <t>台式电脑</t>
  </si>
  <si>
    <t>2022-04-20 14:57:35.0</t>
  </si>
  <si>
    <t>2068383</t>
  </si>
  <si>
    <t>PO220421000192</t>
  </si>
  <si>
    <t>2022-04-14 18:34:25.0</t>
  </si>
  <si>
    <t>2071627</t>
  </si>
  <si>
    <t>PO220401000061</t>
  </si>
  <si>
    <t>4070030032</t>
  </si>
  <si>
    <t>大盘纸 维达多康 1004203 12卷/箱 170米/卷</t>
  </si>
  <si>
    <t>2022-04-01 12:30:38.0</t>
  </si>
  <si>
    <t>2051644</t>
  </si>
  <si>
    <t>PO220401000064</t>
  </si>
  <si>
    <t>6070080009</t>
  </si>
  <si>
    <t>医用防护服 一次性防护服</t>
  </si>
  <si>
    <t>2051655</t>
  </si>
  <si>
    <t>4070100014</t>
  </si>
  <si>
    <t>马桶坐垫纸 维达多康 1009101 20包/箱 250张/包</t>
  </si>
  <si>
    <t>2051643</t>
  </si>
  <si>
    <t>2051657</t>
  </si>
  <si>
    <t>PO220401000062</t>
  </si>
  <si>
    <t>7130660013</t>
  </si>
  <si>
    <t>马桶刷 带底座软毛加长（蓝色） 马桶刷（带底座）</t>
  </si>
  <si>
    <t>2051651</t>
  </si>
  <si>
    <t>4070010029</t>
  </si>
  <si>
    <t>擦手纸 维达多康 1003205 20包/箱 200张/包</t>
  </si>
  <si>
    <t>2051645</t>
  </si>
  <si>
    <t>2051650</t>
  </si>
  <si>
    <t>2051649</t>
  </si>
  <si>
    <t>2051647</t>
  </si>
  <si>
    <t>PO220331000058</t>
  </si>
  <si>
    <t>AA4423841</t>
  </si>
  <si>
    <t>ICEY/冰禹 BYll-223系列纳米无痕双面胶 透明色 2mm×50mm×3m 亚克力基材 1卷</t>
  </si>
  <si>
    <t>2049032</t>
  </si>
  <si>
    <t>2051646</t>
  </si>
  <si>
    <t>4090020009</t>
  </si>
  <si>
    <t>空气清新剂 维达多康 VS9211 12瓶/箱 75ML/瓶维达多康空气清香剂</t>
  </si>
  <si>
    <t>2051642</t>
  </si>
  <si>
    <t>KX2243</t>
  </si>
  <si>
    <t>JG/嘉冠 自锁式尼龙扎带 C4*150 2.7×150mm 黑色 500条 1包</t>
  </si>
  <si>
    <t>2049031</t>
  </si>
  <si>
    <t>PO220401000063</t>
  </si>
  <si>
    <t>6080120003</t>
  </si>
  <si>
    <t>石球 国产优质 球型石墩 40CM直径</t>
  </si>
  <si>
    <t>消防安保/道路设施/石球</t>
  </si>
  <si>
    <t>2051653</t>
  </si>
  <si>
    <t>7100010003</t>
  </si>
  <si>
    <t>电动滑板车 Ninebot F25 九号</t>
  </si>
  <si>
    <t>电动滑板车</t>
  </si>
  <si>
    <t>2051654</t>
  </si>
  <si>
    <t>2051658</t>
  </si>
  <si>
    <t>2051656</t>
  </si>
  <si>
    <t>2051652</t>
  </si>
  <si>
    <t>2051648</t>
  </si>
  <si>
    <t>PO220329000160</t>
  </si>
  <si>
    <t>2022-03-29 16:38:35.0</t>
  </si>
  <si>
    <t>2050280</t>
  </si>
  <si>
    <t>PO220329000159</t>
  </si>
  <si>
    <t>1020140011</t>
  </si>
  <si>
    <t>过塑机 惠普 LB0301</t>
  </si>
  <si>
    <t>过塑机</t>
  </si>
  <si>
    <t>2047747</t>
  </si>
  <si>
    <t>PO220329000158</t>
  </si>
  <si>
    <t>2047731</t>
  </si>
  <si>
    <t>2047742</t>
  </si>
  <si>
    <t>2050279</t>
  </si>
  <si>
    <t>PO220329000162</t>
  </si>
  <si>
    <t>3080020511</t>
  </si>
  <si>
    <t>车贴 浩盛 消防栓提示说明 贴纸户外写真打印 300*220mm</t>
  </si>
  <si>
    <t>2050289</t>
  </si>
  <si>
    <t>3080020515</t>
  </si>
  <si>
    <t>车贴 浩盛 洗手间7步洗手法标识洗手 彩白高透背胶 17x20cm</t>
  </si>
  <si>
    <t>2050284</t>
  </si>
  <si>
    <t>3070011693</t>
  </si>
  <si>
    <t>亚克力 浩盛 小心台阶 亚克力反面打印专色烤漆 3mm</t>
  </si>
  <si>
    <t>2050288</t>
  </si>
  <si>
    <t>2047743</t>
  </si>
  <si>
    <t>2047733</t>
  </si>
  <si>
    <t>7140110030</t>
  </si>
  <si>
    <t>网线 绿联 六类CAT6类网线-50178 黑色10米 千兆网络连接线，电脑宽带家用监控非屏蔽扁平跳线，成品网线</t>
  </si>
  <si>
    <t>2047741</t>
  </si>
  <si>
    <t>2047729</t>
  </si>
  <si>
    <t>2040040013</t>
  </si>
  <si>
    <t>储物柜 鞋柜 2列10层-黑色透明门 家用玄关收纳柜</t>
  </si>
  <si>
    <t>2047746</t>
  </si>
  <si>
    <t>2047735</t>
  </si>
  <si>
    <t>2047738</t>
  </si>
  <si>
    <t>1020080150</t>
  </si>
  <si>
    <t>文件夹板 得力 64504 银色，A4 书写板夹</t>
  </si>
  <si>
    <t>2047739</t>
  </si>
  <si>
    <t>2047745</t>
  </si>
  <si>
    <t>2047732</t>
  </si>
  <si>
    <t>6030050041</t>
  </si>
  <si>
    <t>防火泥 10kg</t>
  </si>
  <si>
    <t>2047740</t>
  </si>
  <si>
    <t>7030010041</t>
  </si>
  <si>
    <t>测光仪 台湾泰仕 TES-1332A 照度仪</t>
  </si>
  <si>
    <t>测光仪</t>
  </si>
  <si>
    <t>2047737</t>
  </si>
  <si>
    <t>3080020516</t>
  </si>
  <si>
    <t>车贴 浩盛 小心地滑 室外写真打印 63cm*63cm</t>
  </si>
  <si>
    <t>2050286</t>
  </si>
  <si>
    <t>PO220329000161</t>
  </si>
  <si>
    <t>2050283</t>
  </si>
  <si>
    <t>6070080010</t>
  </si>
  <si>
    <t>医用防护服 宇安 医用不连脚 一次性防护服</t>
  </si>
  <si>
    <t>2050281</t>
  </si>
  <si>
    <t>2010010066</t>
  </si>
  <si>
    <t xml:space="preserve">纸杯盖 一次性 65mm，1000个/盒 </t>
  </si>
  <si>
    <t>纸杯盖</t>
  </si>
  <si>
    <t>2047744</t>
  </si>
  <si>
    <t>2050282</t>
  </si>
  <si>
    <t>3070011658</t>
  </si>
  <si>
    <t>亚克力 浩盛 门牌 亚克力，背面UV打印 235*90mm，3mm</t>
  </si>
  <si>
    <t>2050285</t>
  </si>
  <si>
    <t>4080120018</t>
  </si>
  <si>
    <t xml:space="preserve">毛巾 国产优质 小熊毛巾 </t>
  </si>
  <si>
    <t>2047730</t>
  </si>
  <si>
    <t>2047734</t>
  </si>
  <si>
    <t>2047736</t>
  </si>
  <si>
    <t>PO220308000088</t>
  </si>
  <si>
    <t>7130720001</t>
  </si>
  <si>
    <t xml:space="preserve">小红桶 国产优质 2L 小红桶 </t>
  </si>
  <si>
    <t>工程物资/五金辅料/泥桶/油漆桶/小红桶</t>
  </si>
  <si>
    <t>小红桶</t>
  </si>
  <si>
    <t>2022-03-08 11:09:17.0</t>
  </si>
  <si>
    <t>2029773</t>
  </si>
  <si>
    <t>PO220308000087</t>
  </si>
  <si>
    <t>2029753</t>
  </si>
  <si>
    <t>7130470062</t>
  </si>
  <si>
    <t xml:space="preserve">保温棉 国产优质 2米*20米*0.01米厚 </t>
  </si>
  <si>
    <t>2029772</t>
  </si>
  <si>
    <t>2029770</t>
  </si>
  <si>
    <t>2029785</t>
  </si>
  <si>
    <t>2029776</t>
  </si>
  <si>
    <t>2029787</t>
  </si>
  <si>
    <t>2029777</t>
  </si>
  <si>
    <t>2020040078</t>
  </si>
  <si>
    <t xml:space="preserve">咖啡伴侣 雀巢（Nestle） 咖啡奶茶伴侣,植脂末,奶精粉 瓶装100g </t>
  </si>
  <si>
    <t>2029786</t>
  </si>
  <si>
    <t>2029789</t>
  </si>
  <si>
    <t>2020070054</t>
  </si>
  <si>
    <t xml:space="preserve">气雾剂 云南白药 气雾剂 85g+30g </t>
  </si>
  <si>
    <t>2029754</t>
  </si>
  <si>
    <t>7130270012</t>
  </si>
  <si>
    <t xml:space="preserve">结构胶 百丽春 </t>
  </si>
  <si>
    <t>结构胶</t>
  </si>
  <si>
    <t>2029784</t>
  </si>
  <si>
    <t>2029783</t>
  </si>
  <si>
    <t>2029780</t>
  </si>
  <si>
    <t>2029769</t>
  </si>
  <si>
    <t>2029788</t>
  </si>
  <si>
    <t>7130020027</t>
  </si>
  <si>
    <t>闭门器 国产优质 500拉力 自动免打孔家用闭门器液压木门关门器缓冲铁拉绳闭合推拉移门 黑色</t>
  </si>
  <si>
    <t>2029756</t>
  </si>
  <si>
    <t>2029781</t>
  </si>
  <si>
    <t>2029771</t>
  </si>
  <si>
    <t>7131030013</t>
  </si>
  <si>
    <t xml:space="preserve">锁芯 国产优质 防火门锁芯通道锁 通用通开型-75型 </t>
  </si>
  <si>
    <t>2029779</t>
  </si>
  <si>
    <t>2029778</t>
  </si>
  <si>
    <t>2029774</t>
  </si>
  <si>
    <t>7110170006</t>
  </si>
  <si>
    <t xml:space="preserve">滚筒刷 椰树 8寸 </t>
  </si>
  <si>
    <t>2029775</t>
  </si>
  <si>
    <t>2029755</t>
  </si>
  <si>
    <t>2029782</t>
  </si>
  <si>
    <t>PO220308000083</t>
  </si>
  <si>
    <t>2022-03-08 11:07:58.0</t>
  </si>
  <si>
    <t>2029737</t>
  </si>
  <si>
    <t>2029740</t>
  </si>
  <si>
    <t>PO220308000084</t>
  </si>
  <si>
    <t>2018441</t>
  </si>
  <si>
    <t>2029738</t>
  </si>
  <si>
    <t>PO220305000001</t>
  </si>
  <si>
    <t>AA4662971</t>
  </si>
  <si>
    <t>CONGLINHU/丛林狐 保安器材套装 七件套 含3.5mm防暴盾牌×1个+硬质防刺服×1个+PC头盔×1个+钢叉×1个+PC防暴棍×1个+抓捕器×1个+防割手套×1双 1套</t>
  </si>
  <si>
    <t>2017385</t>
  </si>
  <si>
    <t>2029739</t>
  </si>
  <si>
    <t>AA4909064</t>
  </si>
  <si>
    <t>HYSTIC/海斯迪克 带轮清洁拖把桶 HK-755系列 粉色 18L 20×30×30cm 1个</t>
  </si>
  <si>
    <t>2017388</t>
  </si>
  <si>
    <t>2029743</t>
  </si>
  <si>
    <t>PO220308000082</t>
  </si>
  <si>
    <t>2029731</t>
  </si>
  <si>
    <t>2029741</t>
  </si>
  <si>
    <t>2029730</t>
  </si>
  <si>
    <t>2029732</t>
  </si>
  <si>
    <t>AA3814744</t>
  </si>
  <si>
    <t>CONGLINHU/丛林狐 防暴装备架(仅架子) FBJ 深蓝色 中款 1个</t>
  </si>
  <si>
    <t>消防安保/消防工具/急救箱</t>
  </si>
  <si>
    <t>2017386</t>
  </si>
  <si>
    <t>2029736</t>
  </si>
  <si>
    <t>2029742</t>
  </si>
  <si>
    <t>2029733</t>
  </si>
  <si>
    <t>2029729</t>
  </si>
  <si>
    <t>插座 佛山照明 F5-1023 10A 五孔插座,二三极插座</t>
  </si>
  <si>
    <t>2018440</t>
  </si>
  <si>
    <t>2029735</t>
  </si>
  <si>
    <t>2029728</t>
  </si>
  <si>
    <t>4080130008</t>
  </si>
  <si>
    <t>魔力擦 80片/箱 纳米魔力擦</t>
  </si>
  <si>
    <t>2029734</t>
  </si>
  <si>
    <t>TV7318</t>
  </si>
  <si>
    <t>TP-LINK/普联 双频千兆无线路由器 TL-WDR7620 1900MB 1个</t>
  </si>
  <si>
    <t>2017389</t>
  </si>
  <si>
    <t>7050060033</t>
  </si>
  <si>
    <t>球泡灯 佛山照明 A70 13w 220V,13w,E27超炫白,20*1,白光6500K</t>
  </si>
  <si>
    <t>2018442</t>
  </si>
  <si>
    <t>AA4132426</t>
  </si>
  <si>
    <t>RANDOLPH 大黑圆头棉线拖把 澜道 头带40cm 杆长100cm 1个</t>
  </si>
  <si>
    <t>2017387</t>
  </si>
  <si>
    <t>PO220221000098</t>
  </si>
  <si>
    <t>177062</t>
  </si>
  <si>
    <t>得力 deli 防水型证件卡 5759 竖式 （透明） 10个/包</t>
  </si>
  <si>
    <t>工程物资/五金辅料/IC卡（更新中）</t>
  </si>
  <si>
    <t>2022-02-25 10:53:36.0</t>
  </si>
  <si>
    <t>2022536</t>
  </si>
  <si>
    <t>PO220215000006</t>
  </si>
  <si>
    <t>KV2162</t>
  </si>
  <si>
    <t>NEWMINE/纽曼 多功能SD卡数字录音电话机 HL2008TSD-2084(R) 黑色 1台</t>
  </si>
  <si>
    <t>2022-02-19 20:32:39.0</t>
  </si>
  <si>
    <t>1999748</t>
  </si>
  <si>
    <t>PO220215000163</t>
  </si>
  <si>
    <t>1168237</t>
  </si>
  <si>
    <t>富强 FQ 写字板夹 FQ-8004B/YY-8004B/CF-8004 A4 （蓝色）</t>
  </si>
  <si>
    <t>2022-02-18 12:10:53.0</t>
  </si>
  <si>
    <t>2020299</t>
  </si>
  <si>
    <t>137035</t>
  </si>
  <si>
    <t>晨光 M＆G 大号推锁美工刀 ASS91322 18mm （红色、黄色、蓝色） 24把/盒 （颜色随机）</t>
  </si>
  <si>
    <t>2020302</t>
  </si>
  <si>
    <t>149120</t>
  </si>
  <si>
    <t>前通 front 简约 仿皮面记事本 D15-A401 A4 （混色） 66张/本 10本/封 （颜色随机）</t>
  </si>
  <si>
    <t>2020305</t>
  </si>
  <si>
    <t>PO220215000164</t>
  </si>
  <si>
    <t>AA4450360</t>
  </si>
  <si>
    <t>ICEY/冰禹 BYll-233系列亚克力双面胶 透明防水胶带红 0.8mm×30mm×3m 1卷</t>
  </si>
  <si>
    <t>2020308</t>
  </si>
  <si>
    <t>3016977</t>
  </si>
  <si>
    <t>晨光M＆G厚层订书机ABS9262450页（适配#24/6、24/8、26/6针）</t>
  </si>
  <si>
    <t>2020304</t>
  </si>
  <si>
    <t>1049004</t>
  </si>
  <si>
    <t>晨光 M＆G 标朗 12位数字显示桌面型计算器 ADG98837 (黑色) 20台/盒 (新老包装随机发货)</t>
  </si>
  <si>
    <t>2020298</t>
  </si>
  <si>
    <t>201039</t>
  </si>
  <si>
    <t>科力普 COLIPU 复印纸 CFY005 2星 A3 70g  500张/包 5包/箱</t>
  </si>
  <si>
    <t>2020306</t>
  </si>
  <si>
    <t>111262</t>
  </si>
  <si>
    <t>晨光M＆G修正带T1825mm*6m12卡/盒</t>
  </si>
  <si>
    <t>2020289</t>
  </si>
  <si>
    <t>1163375</t>
  </si>
  <si>
    <t>晨光 M＆G 油性记号笔 APMY2204 2.0mm （黑色） 10支/盒</t>
  </si>
  <si>
    <t>2020303</t>
  </si>
  <si>
    <t>1144167</t>
  </si>
  <si>
    <t>晨光 M＆G Eplus彩色长尾夹 ABS92742 19mm  40个/筒</t>
  </si>
  <si>
    <t>2020291</t>
  </si>
  <si>
    <t>1148504</t>
  </si>
  <si>
    <t>晨光 M＆G 白板笔 AWMY2201 2.6mm （黑色） 10支/盒</t>
  </si>
  <si>
    <t>2020295</t>
  </si>
  <si>
    <t>1153022</t>
  </si>
  <si>
    <t>晨光 M＆G 新锐派资料册 ADM95098B A4 60页 （蓝色）</t>
  </si>
  <si>
    <t>2020287</t>
  </si>
  <si>
    <t>106106</t>
  </si>
  <si>
    <t>晨光 M＆G 大双头记号笔 MG-2110 粗头5.0mm，细头2.0mm （蓝色） 12支/盒</t>
  </si>
  <si>
    <t>2020282</t>
  </si>
  <si>
    <t>102190</t>
  </si>
  <si>
    <t>晨光 M＆G 中性笔 Q7 0.5mm (黑色) 12支/盒 (替芯：MG6102)</t>
  </si>
  <si>
    <t>2020297</t>
  </si>
  <si>
    <t>1166277</t>
  </si>
  <si>
    <t>晨光 M＆G 新锐派双强力文件夹 ADM95088 A4 （蓝色） 20个/箱</t>
  </si>
  <si>
    <t>2020300</t>
  </si>
  <si>
    <t>1049904</t>
  </si>
  <si>
    <t>晨光 M＆G 11孔文件保护套 ADM94514 A4 （透明色） 100个/包</t>
  </si>
  <si>
    <t>2020286</t>
  </si>
  <si>
    <t>108159</t>
  </si>
  <si>
    <t>晨光 M＆G 中性替芯 MG-007 0.5mm （黑色） 20支/盒 （适用于AGP13902/AGPY3901/AGP16103型号中性笔）</t>
  </si>
  <si>
    <t>2020296</t>
  </si>
  <si>
    <t>136017</t>
  </si>
  <si>
    <t>晨光 M＆G 米菲液体胶水 MF7002 35g/支  24支/盒</t>
  </si>
  <si>
    <t>2020284</t>
  </si>
  <si>
    <t>3318677</t>
  </si>
  <si>
    <t>晨光 M＆G 经济型档案盒 ADM95289 A4 55mm （深蓝）</t>
  </si>
  <si>
    <t>2020288</t>
  </si>
  <si>
    <t>1144168</t>
  </si>
  <si>
    <t>晨光 M＆G Eplus彩色长尾夹 ABS92741 25mm 48个/筒</t>
  </si>
  <si>
    <t>2020293</t>
  </si>
  <si>
    <t>1051990</t>
  </si>
  <si>
    <t>晨光 M＆G 3#纸盒装回形针 ABS91696 28mm 100枚/盒</t>
  </si>
  <si>
    <t>2020294</t>
  </si>
  <si>
    <t>1049668</t>
  </si>
  <si>
    <t>中华ChungHwaHB铅笔10112支/盒（大包装）</t>
  </si>
  <si>
    <t>2020290</t>
  </si>
  <si>
    <t>2020309</t>
  </si>
  <si>
    <t>201041</t>
  </si>
  <si>
    <t>科力普 COLIPU 复印纸 CFY007 3星 A4 70g 500张/包</t>
  </si>
  <si>
    <t>2020279</t>
  </si>
  <si>
    <t>1035668</t>
  </si>
  <si>
    <t>富强 FQ 三层文件盘 FQ-438A （黑色）</t>
  </si>
  <si>
    <t>2020280</t>
  </si>
  <si>
    <t>3318634</t>
  </si>
  <si>
    <t>晨光 M＆G 透明按扣文件袋 ADM929H6 A4 （透明白）</t>
  </si>
  <si>
    <t>2020285</t>
  </si>
  <si>
    <t>1144162</t>
  </si>
  <si>
    <t>晨光 M＆G Eplus彩色长尾夹 ABS92743 15mm  60个/筒</t>
  </si>
  <si>
    <t>2020292</t>
  </si>
  <si>
    <t>1146648</t>
  </si>
  <si>
    <t>晨光 M＆G 大号美工刀刀片 ASS91413 18mm  20盒/包 180盒/箱</t>
  </si>
  <si>
    <t>2020301</t>
  </si>
  <si>
    <t>106107</t>
  </si>
  <si>
    <t>晨光 M＆G 大双头记号笔 MG-2110 粗头5.0mm，细头2.0mm （红色） 12支/盒</t>
  </si>
  <si>
    <t>2020283</t>
  </si>
  <si>
    <t>1046695</t>
  </si>
  <si>
    <t>晨光 M＆G 方形快干印台 AYZ97513A （红色）</t>
  </si>
  <si>
    <t>2020281</t>
  </si>
  <si>
    <t>FQ2397</t>
  </si>
  <si>
    <t>DELI/得力 塑料直尺 6230 30cm 1只</t>
  </si>
  <si>
    <t>2020307</t>
  </si>
  <si>
    <t>PO220216000118</t>
  </si>
  <si>
    <t>2022-02-16 15:11:06.0</t>
  </si>
  <si>
    <t>2021206</t>
  </si>
  <si>
    <t>2021207</t>
  </si>
  <si>
    <t>PO220210000135</t>
  </si>
  <si>
    <t>AA3083811</t>
  </si>
  <si>
    <t>KELIBANG/科力邦 大号平口垃圾袋 KB1002 120×140cm 50只 1包</t>
  </si>
  <si>
    <t>2022-02-14 09:59:03.0</t>
  </si>
  <si>
    <t>1998156</t>
  </si>
  <si>
    <t>PO220214000033</t>
  </si>
  <si>
    <t>1998809</t>
  </si>
  <si>
    <t>1998805</t>
  </si>
  <si>
    <t>PO220210000137</t>
  </si>
  <si>
    <t>1998167</t>
  </si>
  <si>
    <t>PO220214000032</t>
  </si>
  <si>
    <t>7050060027</t>
  </si>
  <si>
    <t>球泡灯 佛山照明 A60 10w 220V,E276500K(白光）超炫,标准50*1</t>
  </si>
  <si>
    <t>2008324</t>
  </si>
  <si>
    <t>AA3332458</t>
  </si>
  <si>
    <t>LAUTEE/兰诗 大号加厚平口垃圾袋 LJD-2055 80×90cm 厚2.8s 黑色 50只 1包</t>
  </si>
  <si>
    <t>1998159</t>
  </si>
  <si>
    <t>7130550012</t>
  </si>
  <si>
    <t>电源线 金龙羽 2.5m²BVR 100m 绿色,黄色,红色,蓝色,黑色,黄绿色</t>
  </si>
  <si>
    <t>1998808</t>
  </si>
  <si>
    <t>1036463</t>
  </si>
  <si>
    <t>晨光 M＆G 四联文件框 ADM94740B (蓝色)</t>
  </si>
  <si>
    <t>1998169</t>
  </si>
  <si>
    <t>3318946</t>
  </si>
  <si>
    <t>晨光M＆G普惠型网格拉链袋ADMN4282A410个/包</t>
  </si>
  <si>
    <t>1998170</t>
  </si>
  <si>
    <t>1998172</t>
  </si>
  <si>
    <t>7120100003</t>
  </si>
  <si>
    <t xml:space="preserve">外墙乳胶漆涂料 正海虹 18L </t>
  </si>
  <si>
    <t>1998806</t>
  </si>
  <si>
    <t>7131010012</t>
  </si>
  <si>
    <t xml:space="preserve">信箱锁 国产优质 更衣柜文件柜锁信箱偏心转舌锁铁皮柜子锁储物柜锁柜门锁芯 偏芯锁长16mm </t>
  </si>
  <si>
    <t>1998807</t>
  </si>
  <si>
    <t>PO220214000031</t>
  </si>
  <si>
    <t>2008322</t>
  </si>
  <si>
    <t>2008320</t>
  </si>
  <si>
    <t>AA3332493</t>
  </si>
  <si>
    <t>LAUTEE/兰诗 大号加厚平口垃圾袋 LJD-2052 60×80cm 厚3.8s 黑色 50只 1包</t>
  </si>
  <si>
    <t>1998158</t>
  </si>
  <si>
    <t>142012</t>
  </si>
  <si>
    <t>晨光 M＆G 金属卷笔刀 APS91225 （银色、黑色） 24个/盒 （颜色随机）</t>
  </si>
  <si>
    <t>1998171</t>
  </si>
  <si>
    <t>2008323</t>
  </si>
  <si>
    <t>GR4308</t>
  </si>
  <si>
    <t>MIAOJIE/妙洁 点断式垃圾袋 中号 MBGRMB-A 45×50cm 黑色 36只 1卷</t>
  </si>
  <si>
    <t>1998157</t>
  </si>
  <si>
    <t>1998168</t>
  </si>
  <si>
    <t>2008321</t>
  </si>
  <si>
    <t>PO220128000036</t>
  </si>
  <si>
    <t>2022-01-28 16:26:37.0</t>
  </si>
  <si>
    <t>2006432</t>
  </si>
  <si>
    <t>PO220128000037</t>
  </si>
  <si>
    <t>2006435</t>
  </si>
  <si>
    <t>2006431</t>
  </si>
  <si>
    <t>2006433</t>
  </si>
  <si>
    <t>2006434</t>
  </si>
  <si>
    <t>PO220124000135</t>
  </si>
  <si>
    <t>3007558</t>
  </si>
  <si>
    <t>力晴 塑封膜 A3 310*430mm 60mic（6丝）  100张/包</t>
  </si>
  <si>
    <t>2022-01-26 16:26:09.0</t>
  </si>
  <si>
    <t>1996000</t>
  </si>
  <si>
    <t>1074229</t>
  </si>
  <si>
    <t>优玛仕 U-mach 塑封膜 A4 220*310mm 60mic(6丝)  100张/包</t>
  </si>
  <si>
    <t>1996001</t>
  </si>
  <si>
    <t>PO220124000149</t>
  </si>
  <si>
    <t>2022-01-24 19:25:27.0</t>
  </si>
  <si>
    <t>1996029</t>
  </si>
  <si>
    <t>7110020004</t>
  </si>
  <si>
    <t xml:space="preserve">大理石胶 大力士 0.6L </t>
  </si>
  <si>
    <t>1996035</t>
  </si>
  <si>
    <t>7130440032</t>
  </si>
  <si>
    <t>扎带 国产优质 8*400mm 耐拉款 尼龙</t>
  </si>
  <si>
    <t>1996030</t>
  </si>
  <si>
    <t>7131030015</t>
  </si>
  <si>
    <t xml:space="preserve">锁芯 国产优质 插芯锁芯 75mm </t>
  </si>
  <si>
    <t>1996033</t>
  </si>
  <si>
    <t>1996038</t>
  </si>
  <si>
    <t>1996034</t>
  </si>
  <si>
    <t>1996032</t>
  </si>
  <si>
    <t>1996036</t>
  </si>
  <si>
    <t>1996028</t>
  </si>
  <si>
    <t>PO220127000057</t>
  </si>
  <si>
    <t>2020020072</t>
  </si>
  <si>
    <t xml:space="preserve">一次性手套 AMMEX/爱马斯一次性PVC手套GPX3KRTL100只1盒 AMMEX/爱马斯一次性PVC手套GPX3KRTL100只1盒 </t>
  </si>
  <si>
    <t>2022-01-21 14:24:00.0</t>
  </si>
  <si>
    <t>2006390</t>
  </si>
  <si>
    <t>PO220127000056</t>
  </si>
  <si>
    <t>7130370345</t>
  </si>
  <si>
    <t>拉爆螺丝 8*80MM</t>
  </si>
  <si>
    <t>2006374</t>
  </si>
  <si>
    <t>7130370344</t>
  </si>
  <si>
    <t>拉爆螺丝 10*80MM</t>
  </si>
  <si>
    <t>2006373</t>
  </si>
  <si>
    <t>2020040067</t>
  </si>
  <si>
    <t xml:space="preserve">咖啡豆 拉瓦萨（LAVAZZA） GRANESPRESSO意式特浓咖啡豆1kg </t>
  </si>
  <si>
    <t>2006383</t>
  </si>
  <si>
    <t>PO220121000143</t>
  </si>
  <si>
    <t>5279982</t>
  </si>
  <si>
    <t>健之素 碘伏消毒液皮肤创面伤口消毒 碘酊无酒精500ml</t>
  </si>
  <si>
    <t>上海圆迈贸易有限公司</t>
  </si>
  <si>
    <t>2005435</t>
  </si>
  <si>
    <t>2006381</t>
  </si>
  <si>
    <t>7040140039</t>
  </si>
  <si>
    <t>石材切割片 砂威105X1.2X16MM/50块</t>
  </si>
  <si>
    <t>石材切割片</t>
  </si>
  <si>
    <t>2006376</t>
  </si>
  <si>
    <t>7130470061</t>
  </si>
  <si>
    <t xml:space="preserve">保温棉 2米*20米*0.01米厚 2米*20米*0.01米厚 </t>
  </si>
  <si>
    <t>2006387</t>
  </si>
  <si>
    <t>3447926</t>
  </si>
  <si>
    <t>戴尔（DELL）KB216 键盘 有线  多媒体键盘 办公键盘 全尺寸键盘  即插即用  键盘（黑色）</t>
  </si>
  <si>
    <t>2005431</t>
  </si>
  <si>
    <t>4030140024</t>
  </si>
  <si>
    <t>刷子 软毛机械键盘刷键盘清洁刷缝隙灰尘清理刷子</t>
  </si>
  <si>
    <t>2006378</t>
  </si>
  <si>
    <t>6100020003</t>
  </si>
  <si>
    <t xml:space="preserve">耳罩 3M一次性子弹型泡棉耳塞111029dB37dB 3M一次性子弹型泡棉耳塞111029dB37dB </t>
  </si>
  <si>
    <t>消防安保/劳保类/听力防护</t>
  </si>
  <si>
    <t>耳罩</t>
  </si>
  <si>
    <t>2006385</t>
  </si>
  <si>
    <t>2191488</t>
  </si>
  <si>
    <t>雀巢（Nestle）咖啡奶茶伴侣 植脂末 奶精粉 瓶装100g（新老包装随机发货）</t>
  </si>
  <si>
    <t>2005432</t>
  </si>
  <si>
    <t>2006389</t>
  </si>
  <si>
    <t>108471</t>
  </si>
  <si>
    <t>南孚(NANFU)2号碱性电池2粒 大号电池 适用于收音机/遥控器/手电筒/玩具/热水器等 LR14-2B</t>
  </si>
  <si>
    <t>2005429</t>
  </si>
  <si>
    <t>2020070051</t>
  </si>
  <si>
    <t xml:space="preserve">气雾剂 云南白药 气雾剂85g+30g </t>
  </si>
  <si>
    <t>2006371</t>
  </si>
  <si>
    <t>2020030080</t>
  </si>
  <si>
    <t>电池 南孚9V电池</t>
  </si>
  <si>
    <t>2006375</t>
  </si>
  <si>
    <t>2005430</t>
  </si>
  <si>
    <t>2006386</t>
  </si>
  <si>
    <t>2006372</t>
  </si>
  <si>
    <t>2020070053</t>
  </si>
  <si>
    <t>体温计 鱼跃（YUWELL）体温计 标准版 水银玻璃体温计（10支装）</t>
  </si>
  <si>
    <t>2006377</t>
  </si>
  <si>
    <t>2020070050</t>
  </si>
  <si>
    <t xml:space="preserve">藿香正气水 云南白药 云丰藿香正气水10ml*10支 </t>
  </si>
  <si>
    <t>2006384</t>
  </si>
  <si>
    <t>1010040001</t>
  </si>
  <si>
    <t xml:space="preserve">鼠标垫 小黄鸭正版鼠标垫笔记本家用游戏办公树脂小号鼠标垫黑色萌头鸭 小黄鸭正版鼠标垫笔记本家用游戏办公树脂小号鼠标垫黑色萌头鸭 </t>
  </si>
  <si>
    <t>2006380</t>
  </si>
  <si>
    <t>7918087</t>
  </si>
  <si>
    <t>海氏海诺 医用纱布块 无菌纱布外科敷料 5*7cm*50片 一次性脱脂棉纱布叠片伤口包扎护理</t>
  </si>
  <si>
    <t>2005434</t>
  </si>
  <si>
    <t>246527</t>
  </si>
  <si>
    <t>佳洁士牙膏美白3D炫白冰极薄荷牙膏180g 去烟渍淡黄去牙渍 清新口气（新老包装，随机发货）</t>
  </si>
  <si>
    <t>2005433</t>
  </si>
  <si>
    <t>2020030079</t>
  </si>
  <si>
    <t xml:space="preserve">电池 南孚 LR6AALR03聚能环3代5号7号碱性电池5号20粒+7号20粒 </t>
  </si>
  <si>
    <t>2006382</t>
  </si>
  <si>
    <t>7130020026</t>
  </si>
  <si>
    <t>闭门器 自动免打孔家用闭门器液压木门关门器缓冲铁拉绳闭合推拉移门 黑色500拉力</t>
  </si>
  <si>
    <t>2006379</t>
  </si>
  <si>
    <t>PO220128000027</t>
  </si>
  <si>
    <t>6030070068</t>
  </si>
  <si>
    <t xml:space="preserve">消防指示标识 KT板UV打印60*40cm KT板UV打印60*40cm </t>
  </si>
  <si>
    <t>2022-01-21 10:39:00.0</t>
  </si>
  <si>
    <t>2006400</t>
  </si>
  <si>
    <t>6030070069</t>
  </si>
  <si>
    <t xml:space="preserve">消防指示标识 不干胶10*42CM 不干胶10*42CM </t>
  </si>
  <si>
    <t>2006399</t>
  </si>
  <si>
    <t>7130880017</t>
  </si>
  <si>
    <t xml:space="preserve">亚克力板 5厘透明亚克力板45cm*65cmUV打印（包安装） 5厘透明亚克力板45cm*65cmUV打印（包安装） </t>
  </si>
  <si>
    <t>2006397</t>
  </si>
  <si>
    <t>1020010062</t>
  </si>
  <si>
    <t xml:space="preserve">告示贴 数码印刷A5尺寸 数码印刷A5尺寸 </t>
  </si>
  <si>
    <t>告示贴</t>
  </si>
  <si>
    <t>2006398</t>
  </si>
  <si>
    <t>PO220119000250</t>
  </si>
  <si>
    <t>2022-01-20 12:14:20.0</t>
  </si>
  <si>
    <t>1994565</t>
  </si>
  <si>
    <t>1994566</t>
  </si>
  <si>
    <t>1994567</t>
  </si>
  <si>
    <t>PO220117000332</t>
  </si>
  <si>
    <t>AA3938</t>
  </si>
  <si>
    <t>DUPONT/杜邦 Tyvek TBM001防护服 1422A XL 白色 1件</t>
  </si>
  <si>
    <t>2022-01-19 10:37:38.0</t>
  </si>
  <si>
    <t>2003099</t>
  </si>
  <si>
    <t>AA3547650</t>
  </si>
  <si>
    <t>CM/朝美 一次性无纺布口罩 7002 蓝色 50只 1盒</t>
  </si>
  <si>
    <t>2003100</t>
  </si>
  <si>
    <t>AA2488926</t>
  </si>
  <si>
    <t>CEM/华盛昌 额温枪 DT-8806H 人体量程32~42.5℃ 精度±0.2℃ 数据记录32组 测量距离1~15cm 响应0.5s 1台</t>
  </si>
  <si>
    <t>2003098</t>
  </si>
  <si>
    <t>AA3319</t>
  </si>
  <si>
    <t>HONEYWELL/霍尼韦尔 LG100A间接通风护目镜 200300 防刮擦 1副</t>
  </si>
  <si>
    <t>2003101</t>
  </si>
  <si>
    <t>PO211224000158</t>
  </si>
  <si>
    <t>3030050005</t>
  </si>
  <si>
    <t>荣尚荟技术服冬裤 工程员（冬装）、藏青、防静电涤棉纱卡</t>
  </si>
  <si>
    <t>形象视觉/荣尚荟服装/荣尚荟工程服装</t>
  </si>
  <si>
    <t>荣尚荟技术服冬裤</t>
  </si>
  <si>
    <t>2021-12-24 17:32:15.0</t>
  </si>
  <si>
    <t>1969864</t>
  </si>
  <si>
    <t>3030030004</t>
  </si>
  <si>
    <t>荣尚荟管家女呢大衣(管理服大衣) 藏青、羊毛70%涤纶30%</t>
  </si>
  <si>
    <t>形象视觉/荣尚荟服装/荣尚荟管家服装</t>
  </si>
  <si>
    <t>荣尚荟管家女呢大衣(管理服大衣)</t>
  </si>
  <si>
    <t>1969862</t>
  </si>
  <si>
    <t>3030030003</t>
  </si>
  <si>
    <t>荣尚荟管家男呢大衣(管理服大衣) 藏青、羊毛70%涤纶30%</t>
  </si>
  <si>
    <t>荣尚荟管家男呢大衣(管理服大衣)</t>
  </si>
  <si>
    <t>1969863</t>
  </si>
  <si>
    <t>3030050006</t>
  </si>
  <si>
    <t>荣尚荟技术服冬装夹克外套 工程员（冬装）、烟灰、防静电涤棉纱卡</t>
  </si>
  <si>
    <t>荣尚荟技术服冬装夹克外套</t>
  </si>
  <si>
    <t>1969865</t>
  </si>
  <si>
    <t>PO211227000039</t>
  </si>
  <si>
    <t>2021-12-22 15:28:35.0</t>
  </si>
  <si>
    <t>1980293</t>
  </si>
  <si>
    <t>PO211217000113</t>
  </si>
  <si>
    <t>5022869</t>
  </si>
  <si>
    <t>得力(deli)双电源电脑按键计算器 12位大屏横式桌面计算机 财务及银行人员适用 办公用品 白色2136</t>
  </si>
  <si>
    <t>2021-12-20 21:20:24.0</t>
  </si>
  <si>
    <t>1964994</t>
  </si>
  <si>
    <t>4526077</t>
  </si>
  <si>
    <t>山泽(SAMZHE)HDMI转DVI连接线 DVI转HDMI转接头高清双向互转笔记本电脑投影仪显示器视频转换线 5米 DH-8050</t>
  </si>
  <si>
    <t>1965003</t>
  </si>
  <si>
    <t>100022571692</t>
  </si>
  <si>
    <t>米莱科 血压计 修正血压计上臂式量血压BSX525585505559 （3台起售） 血压计</t>
  </si>
  <si>
    <t>工程物资/仪器仪表/干湿温度计</t>
  </si>
  <si>
    <t>1965001</t>
  </si>
  <si>
    <t>100022707444</t>
  </si>
  <si>
    <t>潔而亮 JLL-004 多功能油污清洁剂 瓷砖除垢厨房台面去污 洁而亮清洁乳 柠檬香600g</t>
  </si>
  <si>
    <t>1964995</t>
  </si>
  <si>
    <t>100000319058</t>
  </si>
  <si>
    <t>星工（XINGGONG）线手套 加密耐磨 工作劳保 细纱棉纱手套 12付 XGS-X1</t>
  </si>
  <si>
    <t>1965004</t>
  </si>
  <si>
    <t>800912</t>
  </si>
  <si>
    <t>铭氏Mings 咖啡糖包 赤砂糖 独立包装黄糖包5g×100包 咖啡奶茶伴侣冲饮调味食用糖</t>
  </si>
  <si>
    <t>1964999</t>
  </si>
  <si>
    <t>7612018</t>
  </si>
  <si>
    <t>斯多瓦PLA300-DX折叠便携平板车超静音防噪音手推车小推拉车仓库搬运车酒店拉货拖车大号900*600mm承重600斤</t>
  </si>
  <si>
    <t>1965007</t>
  </si>
  <si>
    <t>100011148237</t>
  </si>
  <si>
    <t>得力(deli)50页金属材质订书机/订书器 适配12#钉 白色0417</t>
  </si>
  <si>
    <t>1964996</t>
  </si>
  <si>
    <t>100025155794</t>
  </si>
  <si>
    <t>忠茗【14款消防服六件套】3C认证14款消防服套装消防员防护防火服17款战斗服五件套高温隔热</t>
  </si>
  <si>
    <t>1965005</t>
  </si>
  <si>
    <t>100006224088</t>
  </si>
  <si>
    <t>罗马仕sense6+ 20000毫安时PD双向快充充电宝大容量移动电源Type-C输入输出适用于苹果安卓华为小米手机</t>
  </si>
  <si>
    <t>1964997</t>
  </si>
  <si>
    <t>100008103668</t>
  </si>
  <si>
    <t>拉瓦萨（LAVAZZA）GRAN ESPRESSO 意式特浓 咖啡豆1kg</t>
  </si>
  <si>
    <t>1965000</t>
  </si>
  <si>
    <t>5812132</t>
  </si>
  <si>
    <t>得印CE310A/CF350A粉盒易加粉四色套装 适用惠普HP CP1025硒鼓M176n墨盒M177fw LBP7010C M176FN碳粉盒带芯片</t>
  </si>
  <si>
    <t>1964991</t>
  </si>
  <si>
    <t>100014694179</t>
  </si>
  <si>
    <t>SINWE 有铅焊锡丝1.5mm锡线含锡量40%电烙铁焊接家用焊锡线悍锡丝含松香芯免清洗电子维修焊丝线500克</t>
  </si>
  <si>
    <t>1965002</t>
  </si>
  <si>
    <t>1964992</t>
  </si>
  <si>
    <t>100025970646</t>
  </si>
  <si>
    <t>安赛瑞 手持式浇花喷壶 可调节喷头钻石纹路清洁喷壶 1L绿色 531214</t>
  </si>
  <si>
    <t>1965006</t>
  </si>
  <si>
    <t>100007681545</t>
  </si>
  <si>
    <t>三和（SANVO）狼顾发泡胶 聚氨酯泡沫填缝剂 发泡剂防水泡沫胶填充膨胀剂 780ML 580G</t>
  </si>
  <si>
    <t>1964993</t>
  </si>
  <si>
    <t>1964998</t>
  </si>
  <si>
    <t>PO211214000004</t>
  </si>
  <si>
    <t>2021-12-14 08:46:13.0</t>
  </si>
  <si>
    <t>1962545</t>
  </si>
  <si>
    <t>7050060028</t>
  </si>
  <si>
    <t>球泡灯 佛山照明 A60 10w 220V,3000K(暖光）,E27/B22超炫,标准50*1</t>
  </si>
  <si>
    <t>1962544</t>
  </si>
  <si>
    <t>PO211210000125</t>
  </si>
  <si>
    <t>2021-12-13 09:15:05.0</t>
  </si>
  <si>
    <t>1951327</t>
  </si>
  <si>
    <t>1146616</t>
  </si>
  <si>
    <t>晨光 M＆G 透明纽扣袋 ADM95074 A4 (透明白) 10个/包</t>
  </si>
  <si>
    <t>1951325</t>
  </si>
  <si>
    <t>1951324</t>
  </si>
  <si>
    <t>1951326</t>
  </si>
  <si>
    <t>1951323</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</si>
  <si>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</si>
  <si>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</si>
  <si>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</si>
  <si>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</si>
  <si>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</si>
  <si>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</si>
  <si>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</si>
  <si>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</si>
  <si>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</si>
  <si>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</si>
  <si>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</si>
  <si>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</si>
  <si>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</si>
  <si>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</si>
  <si>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</si>
  <si>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</si>
  <si>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</si>
  <si>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</si>
  <si>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</si>
  <si>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</si>
  <si>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</si>
  <si>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</si>
  <si>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</si>
  <si>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</si>
  <si>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</si>
  <si>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</si>
  <si>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</si>
  <si>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</si>
  <si>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</si>
  <si>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</si>
  <si>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</si>
  <si>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</si>
  <si>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</si>
  <si>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</si>
  <si>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</si>
  <si>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</si>
  <si>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</si>
  <si>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</si>
  <si>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</si>
  <si>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</si>
  <si>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</si>
  <si>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</si>
  <si>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</si>
  <si>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</si>
  <si>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</si>
  <si>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</si>
  <si>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</si>
  <si>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</si>
  <si>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</si>
  <si>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</si>
  <si>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</si>
  <si>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</si>
  <si>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</si>
  <si>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</si>
  <si>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</si>
  <si>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</si>
  <si>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</si>
  <si>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</si>
  <si>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</si>
  <si>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</si>
  <si>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</si>
  <si>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</si>
  <si>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</si>
  <si>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</si>
  <si>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</si>
  <si>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</si>
  <si>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</si>
  <si>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</si>
  <si>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</si>
  <si>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</si>
  <si>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</si>
  <si>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</si>
  <si>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</si>
  <si>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</si>
  <si>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</si>
  <si>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</si>
  <si>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</si>
  <si>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</si>
  <si>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</si>
  <si>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</si>
  <si>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</si>
  <si>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</si>
  <si>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</si>
  <si>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</si>
  <si>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</si>
  <si>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</si>
  <si>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</si>
  <si>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</si>
  <si>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</si>
  <si>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</si>
  <si>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</si>
  <si>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</si>
  <si>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</si>
  <si>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</si>
  <si>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</si>
  <si>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</si>
  <si>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</si>
  <si>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</si>
  <si>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</si>
  <si>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</si>
  <si>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</si>
  <si>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</si>
  <si>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</si>
  <si>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</si>
  <si>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</si>
  <si>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</si>
  <si>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</si>
  <si>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</si>
  <si>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</si>
  <si>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</si>
  <si>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</si>
  <si>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</si>
  <si>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</si>
  <si>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</si>
  <si>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</si>
  <si>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</si>
  <si>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</si>
  <si>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</si>
  <si>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</si>
  <si>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</si>
  <si>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</si>
  <si>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</si>
  <si>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</si>
  <si>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</si>
  <si>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</si>
  <si>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</si>
  <si>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</si>
  <si>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</si>
  <si>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</si>
  <si>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</si>
  <si>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</si>
  <si>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</si>
  <si>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</si>
  <si>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</si>
  <si>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</si>
  <si>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</si>
  <si>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2249244015465596928</t>
  </si>
  <si>
    <t>审核通过</t>
  </si>
  <si>
    <t>深圳非住二片区中海油大厦楼层打印机维修合同评审申请</t>
  </si>
  <si>
    <t>2026-07-09</t>
  </si>
  <si>
    <t>主合同</t>
  </si>
  <si>
    <t>线下签署（智能+物理）</t>
  </si>
  <si>
    <t>001</t>
  </si>
  <si>
    <t>银行转账</t>
  </si>
  <si>
    <t>CNY</t>
  </si>
  <si>
    <t>人民币</t>
  </si>
  <si>
    <t/>
  </si>
  <si>
    <t>增值税专用发票</t>
  </si>
  <si>
    <t>U1015000229</t>
  </si>
  <si>
    <t>2025-07-10</t>
  </si>
  <si>
    <t>11501025</t>
  </si>
  <si>
    <t>王学思</t>
  </si>
  <si>
    <t>V1.0</t>
  </si>
  <si>
    <t>11551428</t>
  </si>
  <si>
    <t>熊康飞</t>
  </si>
  <si>
    <t>正常</t>
  </si>
  <si>
    <t>待履约</t>
  </si>
  <si>
    <t>已签章</t>
  </si>
  <si>
    <t>已归档</t>
  </si>
  <si>
    <t>JD-YWLX-087</t>
  </si>
  <si>
    <t>其他服务类</t>
  </si>
  <si>
    <t>2249244009593569280</t>
  </si>
  <si>
    <t>SealSign-20250701-0006</t>
  </si>
  <si>
    <t>新签</t>
  </si>
  <si>
    <t>关于深圳区域公司深圳非住二片区中海油大厦客户楼层打印机紧急维修 需求，项目结算主体深圳市金地物业管理有限公司中海油大厦分公司 为一般纳税人， 深圳非住二片区中海油大厦B座45楼及A座3楼打印机故障，已影响客户正常办公，甲方要求我司进行紧急维修，具体情况如下：
1、经联系项目打印机租赁单位深圳市佳宜诚科技有限公司现场排查后，需更换配件；
2、服务费用合计为4700元（含税6%），费用据实与甲方结算；
3、因客户需求紧急，已安排供应商进行维修；
4、个性化业务，已提前报备该事项。</t>
  </si>
  <si>
    <t>2025-07-03 17:39:23:160</t>
  </si>
  <si>
    <t>2025-07-01 08:44:46:498</t>
  </si>
  <si>
    <t>2025-07-04 14:16:11:640</t>
  </si>
  <si>
    <t>eipuser</t>
  </si>
  <si>
    <t>EIP接口用户</t>
  </si>
  <si>
    <t>2249243222431768576</t>
  </si>
  <si>
    <t>fxyz_otherserviceclasses</t>
  </si>
  <si>
    <t>2249244015465597952</t>
  </si>
  <si>
    <t>495</t>
  </si>
  <si>
    <t>深圳市金地物业管理有限公司中海油大厦分公司</t>
  </si>
  <si>
    <t>2249244015465597953</t>
  </si>
  <si>
    <t>42455</t>
  </si>
  <si>
    <t>2248690391261998080</t>
  </si>
  <si>
    <t>QTFW-Z-2025-00223</t>
  </si>
  <si>
    <t>关闭</t>
  </si>
  <si>
    <t>2026-07-06</t>
  </si>
  <si>
    <t>2025-07-07</t>
  </si>
  <si>
    <t>已作废</t>
  </si>
  <si>
    <t>未签章</t>
  </si>
  <si>
    <t>未归档</t>
  </si>
  <si>
    <t>2248690366020637696</t>
  </si>
  <si>
    <t>SealSign-20250630-0164</t>
  </si>
  <si>
    <t>2025-06-26 13:45:35:475</t>
  </si>
  <si>
    <t>2025-07-01 08:44:08:768</t>
  </si>
  <si>
    <t>2245770749669299200</t>
  </si>
  <si>
    <t>2248690391261997056</t>
  </si>
  <si>
    <t>2248690391261997057</t>
  </si>
  <si>
    <t>2248560743957929984</t>
  </si>
  <si>
    <t>已提交</t>
  </si>
  <si>
    <t>深圳非住二片区中海油大厦楼层空调维修施工合同评审申请</t>
  </si>
  <si>
    <t>JD-YWLX-072</t>
  </si>
  <si>
    <t>工程服务类</t>
  </si>
  <si>
    <t>2248560726794829824</t>
  </si>
  <si>
    <t>SealSign-20250630-0054</t>
  </si>
  <si>
    <t>关于深圳区域公司 深圳非住二片区深圳中海油大厦客户楼层空调维修清洗及更换保温棉需求，项目结算主体深圳市金地物业管理有限公司中海油大厦分公司为一般纳税人，甲方要求我司为客户提供服务，事项为客户个性化需求，具体情况如下：
1、紧急事项，项目联系库内合格供应商深圳华瑞风制冷设备工程有限公司勘察现场后表示可以维修，并出具盖章版报价，含税金额16673.8元（税率6%）; 
2、客户个性化需求，费用据实与甲方结算；
3、拟直接委托深圳华瑞风制冷设备工程有限公司进行维修；</t>
  </si>
  <si>
    <t>2025-06-30 09:43:39:165</t>
  </si>
  <si>
    <t>2025-06-30 10:08:52:473</t>
  </si>
  <si>
    <t>2248548080641206272</t>
  </si>
  <si>
    <t>fxyz_engineeringservice</t>
  </si>
  <si>
    <t>2248560743957931008</t>
  </si>
  <si>
    <t>2248560743957931009</t>
  </si>
  <si>
    <t>430030</t>
  </si>
  <si>
    <t>2245136644313190400</t>
  </si>
  <si>
    <t>深圳非住二片区中海油大厦B座负一楼卷帘门更换施工合同评审申请</t>
  </si>
  <si>
    <t>2026-06-30</t>
  </si>
  <si>
    <t>2025-07-01</t>
  </si>
  <si>
    <t>2245136625497559040</t>
  </si>
  <si>
    <t>SealSign-20250625-0253</t>
  </si>
  <si>
    <t>关于深圳区域公司深圳非住二片区中海油大厦B座负一楼卷帘门维修 需求，项目结算主体深圳市金地物业管理有限公司为一般纳税人， 比价规则按照不含税总价最低者中标执行，有效报价供应商3家，经比价后拟定不含税总价最低的供应商深圳市子墨装饰设计工程有限公司中标，定标含税总金额9998.7元，税率1%。</t>
  </si>
  <si>
    <t>2025-06-30 10:47:51:046</t>
  </si>
  <si>
    <t>2025-06-25 16:44:03:902</t>
  </si>
  <si>
    <t>2025-07-04 14:13:19:687</t>
  </si>
  <si>
    <t>2245135802944197632</t>
  </si>
  <si>
    <t>2245136644313191424</t>
  </si>
  <si>
    <t>2245136644313191425</t>
  </si>
  <si>
    <t>421156</t>
  </si>
  <si>
    <t>2240009287298543616</t>
  </si>
  <si>
    <t>深圳非住二片区中海油大厦户外广告牌检测合同</t>
  </si>
  <si>
    <t>2025-09-30</t>
  </si>
  <si>
    <t>80039658</t>
  </si>
  <si>
    <t>罗健荣</t>
  </si>
  <si>
    <t>JD-YWLX-068</t>
  </si>
  <si>
    <t>2240009270336688128</t>
  </si>
  <si>
    <t>SealSign-20250618-0165</t>
  </si>
  <si>
    <t>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比价规则按照不含税总价最低者中标执行，有效报价供应商3家，经比价后拟定不含税总价最低的供应商深圳政安电气防火检测有限公司中标，定标含税总金额13250元，税率6%。</t>
  </si>
  <si>
    <t>2025-06-24 11:01:29:599</t>
  </si>
  <si>
    <t>2025-06-18 14:54:36:174</t>
  </si>
  <si>
    <t>2025-07-04 14:14:12:593</t>
  </si>
  <si>
    <t>2240007278285557760</t>
  </si>
  <si>
    <t>2240009287298544640</t>
  </si>
  <si>
    <t>2240009287298544641</t>
  </si>
  <si>
    <t>46966</t>
  </si>
  <si>
    <t>2239119261735894016</t>
  </si>
  <si>
    <t>XHWZ-Z-2025-00071</t>
  </si>
  <si>
    <t>废弃</t>
  </si>
  <si>
    <t>深圳非住二片区中海油大厦工程及综合品类物资采购补充协议(二)</t>
  </si>
  <si>
    <t>2026-04-19</t>
  </si>
  <si>
    <t>20016515</t>
  </si>
  <si>
    <t>张凤英</t>
  </si>
  <si>
    <t>JD-YWLX-093</t>
  </si>
  <si>
    <t>通用物资采购</t>
  </si>
  <si>
    <t>消耗型物资采购类</t>
  </si>
  <si>
    <t>2239119221697081344</t>
  </si>
  <si>
    <t>SealSign-20250617-0028</t>
  </si>
  <si>
    <t>中海油项目应甲方要求采购一批物资，部分物资在25年2月和4月通过三方比价确定合作单位（详见清单），寻源单号：RFx202504170360和RFx202502070156，故次采购直接沿用上次比价结果。其中洗手液和地毯清洁剂属于紧急采购（详见紧急报备流程），共计5793.94元，妥否，请领导审批。</t>
  </si>
  <si>
    <t>2025-06-17 09:18:29:701</t>
  </si>
  <si>
    <t>2025-06-19 11:33:22:031</t>
  </si>
  <si>
    <t>2239113334773346304</t>
  </si>
  <si>
    <t>fxyz_consumablesupplies</t>
  </si>
  <si>
    <t>2239119261735892992</t>
  </si>
  <si>
    <t>2239119261735892993</t>
  </si>
  <si>
    <t>41469</t>
  </si>
  <si>
    <t>2238641761649951744</t>
  </si>
  <si>
    <t>XHWZ-Z-2025-00070</t>
  </si>
  <si>
    <t>深圳非住二片区中海油大厦茶叶类物资采购协议（真吾乡）</t>
  </si>
  <si>
    <t>2238641742767209472</t>
  </si>
  <si>
    <t>SealSign-20250616-0270</t>
  </si>
  <si>
    <t>中海油项目应甲方要求采购一批茶叶（详见报备流程），共计19200元，现申请转单报销，妥否，请领导审批。</t>
  </si>
  <si>
    <t>2025-06-16 17:38:48:132</t>
  </si>
  <si>
    <t>2025-06-19 11:33:14:596</t>
  </si>
  <si>
    <t>2238640370885949440</t>
  </si>
  <si>
    <t>2238641761649950720</t>
  </si>
  <si>
    <t>2238641761649950721</t>
  </si>
  <si>
    <t>430777</t>
  </si>
  <si>
    <t>2238638487928666112</t>
  </si>
  <si>
    <t>XHWZ-Z-2025-00069</t>
  </si>
  <si>
    <t>深圳非住二片区中海油大厦饮用水类物资采购协议（白玉藏品）</t>
  </si>
  <si>
    <t>2238638467577858048</t>
  </si>
  <si>
    <t>SealSign-20250616-0264</t>
  </si>
  <si>
    <t>中海油项目应甲方要求采购一批饮用水（详见报备流程），共计19200元，现申请转单报销，妥否，请领导审批。</t>
  </si>
  <si>
    <t>2025-06-16 17:29:28:165</t>
  </si>
  <si>
    <t>2025-06-19 11:33:06:906</t>
  </si>
  <si>
    <t>2238635674037176320</t>
  </si>
  <si>
    <t>2238638487928621056</t>
  </si>
  <si>
    <t>2238638487928621057</t>
  </si>
  <si>
    <t>430778</t>
  </si>
  <si>
    <t>2238444549175246848</t>
  </si>
  <si>
    <t>GCFW-Z-2025-04504</t>
  </si>
  <si>
    <t>2238444531299126272</t>
  </si>
  <si>
    <t>SealSign-20250616-0074</t>
  </si>
  <si>
    <t>2025-06-16 11:04:52:306</t>
  </si>
  <si>
    <t>2025-06-18 14:53:52:341</t>
  </si>
  <si>
    <t>2238442099643005952</t>
  </si>
  <si>
    <t>2238444549175247872</t>
  </si>
  <si>
    <t>2238444549175247873</t>
  </si>
  <si>
    <t>2238436478604608512</t>
  </si>
  <si>
    <t>GCFW-Z-2025-04501</t>
  </si>
  <si>
    <t>2238436455217120256</t>
  </si>
  <si>
    <t>SealSign-20250616-0064</t>
  </si>
  <si>
    <t>2025-06-16 10:42:28:462</t>
  </si>
  <si>
    <t>2025-06-16 11:03:05:886</t>
  </si>
  <si>
    <t>2238430826268218368</t>
  </si>
  <si>
    <t>2238436478604563456</t>
  </si>
  <si>
    <t>2238436478604563457</t>
  </si>
  <si>
    <t>2235629387896590336</t>
  </si>
  <si>
    <t>GCFW-Z-2025-04391</t>
  </si>
  <si>
    <t>2025-09-19</t>
  </si>
  <si>
    <t>2025-06-20</t>
  </si>
  <si>
    <t>2235629371278818304</t>
  </si>
  <si>
    <t>SealSign-20250612-0095</t>
  </si>
  <si>
    <t>2025-06-12 13:51:39:572</t>
  </si>
  <si>
    <t>2025-06-16 10:37:26:986</t>
  </si>
  <si>
    <t>2235626943372392448</t>
  </si>
  <si>
    <t>2235629387896591360</t>
  </si>
  <si>
    <t>2235629387896591361</t>
  </si>
  <si>
    <t>2235046512256153600</t>
  </si>
  <si>
    <t>GCFW-Z-2025-04209</t>
  </si>
  <si>
    <t>2235046494354807808</t>
  </si>
  <si>
    <t>SealSign-20250611-0223</t>
  </si>
  <si>
    <t>2025-06-06 17:44:06:174</t>
  </si>
  <si>
    <t>2025-06-12 13:50:45:173</t>
  </si>
  <si>
    <t>2231395281570690048</t>
  </si>
  <si>
    <t>2235046512256154624</t>
  </si>
  <si>
    <t>2235046512256154625</t>
  </si>
  <si>
    <t>2235037715919808512</t>
  </si>
  <si>
    <t>2026-04-30</t>
  </si>
  <si>
    <t>2025-05-08</t>
  </si>
  <si>
    <t xml:space="preserve">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比价规则按照不含税总价最低者中标执行，有效报价供应商3家，经比价后拟定不含税总价最低的供应商深圳市天安电气消防安全检测有限公司中标，定标税率6%，定标含税总金额11956.8元。
</t>
  </si>
  <si>
    <t>2025-06-11 18:07:54:342</t>
  </si>
  <si>
    <t>2025-06-11 18:20:58:236</t>
  </si>
  <si>
    <t>2235031140870190080</t>
  </si>
  <si>
    <t>2235037715919853568</t>
  </si>
  <si>
    <t>2235037715919853569</t>
  </si>
  <si>
    <t>45690</t>
  </si>
  <si>
    <t>2234763081207054336</t>
  </si>
  <si>
    <t>GCFW-Z-2025-04325</t>
  </si>
  <si>
    <t>2026-09-19</t>
  </si>
  <si>
    <t>2234763061393117184</t>
  </si>
  <si>
    <t>SealSign-20250611-0015</t>
  </si>
  <si>
    <t>2025-06-11 09:09:44:766</t>
  </si>
  <si>
    <t>2025-06-11 18:07:27:374</t>
  </si>
  <si>
    <t>2234760276400467968</t>
  </si>
  <si>
    <t>2234763081207009280</t>
  </si>
  <si>
    <t>2234763081207009281</t>
  </si>
  <si>
    <t>2223357372447873024</t>
  </si>
  <si>
    <t>深圳非住二片区中海油大厦化粪池清掏服务合同</t>
  </si>
  <si>
    <t>2025-06-10</t>
  </si>
  <si>
    <t>JD-YWLX-062</t>
  </si>
  <si>
    <t>化粪池清淘及管道冲洗</t>
  </si>
  <si>
    <t>2223357367876104192</t>
  </si>
  <si>
    <t>SealSign-20250526-0142</t>
  </si>
  <si>
    <t>关于深圳区域公司深圳非住二片区中海油大厦2025年5月化粪池掏底作业 需求，项目结算主体深圳市金地物业管理有限公司中海油大厦分公司为一般纳税人， 比价规则按照不含税总价最低者中标执行，有效报价供应商3家，经比价后拟定不含税总价最低的供应商深圳市沙头市政服务有限公司中标，定标含税总金额49400元，税率6%。</t>
  </si>
  <si>
    <t>2025-06-03 17:37:17:703</t>
  </si>
  <si>
    <t>2025-05-22 10:16:30:090</t>
  </si>
  <si>
    <t>2025-06-03 17:51:29:526</t>
  </si>
  <si>
    <t>2220298360366090240</t>
  </si>
  <si>
    <t>2223357372447918080</t>
  </si>
  <si>
    <t>2223357372447918081</t>
  </si>
  <si>
    <t>44822</t>
  </si>
  <si>
    <t>2221018198520684544</t>
  </si>
  <si>
    <t>深圳非住二片区中海油大厦B座四楼厨房餐厅灭火装置安装合同</t>
  </si>
  <si>
    <t>2027-05-19</t>
  </si>
  <si>
    <t>2025-06-06</t>
  </si>
  <si>
    <t>JD-YWLX-075</t>
  </si>
  <si>
    <t>安全服务类</t>
  </si>
  <si>
    <t>2221018181651136512</t>
  </si>
  <si>
    <t>SealSign-20250523-0030</t>
  </si>
  <si>
    <t>关于深圳区域公司深圳非住二片区中海油大厦B座四楼厨房餐厅灭火装置安装 需求，项目结算主体深圳市金地物业管理有限公司为一般纳税人，环峰(深圳)厨房工程服务有限公司为原设备厂家，由客户方与之签署采购合同，为保证设备稳定运行，甲方建议由该单位进行供货。
酬金制项目与甲方据实结算。</t>
  </si>
  <si>
    <t>2025-05-28 17:28:58:780</t>
  </si>
  <si>
    <t>2025-05-21 15:00:01:041</t>
  </si>
  <si>
    <t>2025-07-01 10:36:46:870</t>
  </si>
  <si>
    <t>2219716283337848832</t>
  </si>
  <si>
    <t>fxyz_securityservice</t>
  </si>
  <si>
    <t>2221018198520639488</t>
  </si>
  <si>
    <t>2221018198520639489</t>
  </si>
  <si>
    <t>430666</t>
  </si>
  <si>
    <t>2218947407016636416</t>
  </si>
  <si>
    <t>深圳非住二片区中海油大厦工程及综合品类物资采购补充协议(一)</t>
  </si>
  <si>
    <t>2025-05-28</t>
  </si>
  <si>
    <t>2218947375995561984</t>
  </si>
  <si>
    <t>SealSign-20250520-0104</t>
  </si>
  <si>
    <t>中海油项目应甲方要求采购一批物资，通过金采易购线上3方比价：深圳弘佳诚照明科技有限公司报价最低（10782.5元，含13%的增值税专用发票），建议为本次中标单位，妥否，请领导审批。</t>
  </si>
  <si>
    <t>2025-05-26 17:00:57:055</t>
  </si>
  <si>
    <t>2025-05-20 13:28:40:798</t>
  </si>
  <si>
    <t>2025-05-26 17:00:57:737</t>
  </si>
  <si>
    <t>2218945535593731072</t>
  </si>
  <si>
    <t>2218947407016681472</t>
  </si>
  <si>
    <t>2218947407016681473</t>
  </si>
  <si>
    <t>2210390152159739904</t>
  </si>
  <si>
    <t>深圳非住二片区中海油大厦室内精装设计服务合同（西勘院）</t>
  </si>
  <si>
    <t>2025-05-16</t>
  </si>
  <si>
    <t>2210390130726801408</t>
  </si>
  <si>
    <t>SealSign-20250508-0211</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</si>
  <si>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
4、预计合同时间：2025年4月10日起至2026年4月9日止；</t>
  </si>
  <si>
    <t>2025-05-13 16:22:51:240</t>
  </si>
  <si>
    <t>2025-05-08 18:08:49:554</t>
  </si>
  <si>
    <t>2025-06-03 14:24:48:622</t>
  </si>
  <si>
    <t>2210389228934709248</t>
  </si>
  <si>
    <t>2210390152159740928</t>
  </si>
  <si>
    <t>2210390152159740929</t>
  </si>
  <si>
    <t>430046</t>
  </si>
  <si>
    <t>2210382355124777984</t>
  </si>
  <si>
    <t>GCFW-Z-2025-03190</t>
  </si>
  <si>
    <t>深圳非住二片区中海油大厦室内精装设计服务合同（中乾）</t>
  </si>
  <si>
    <t>变更中</t>
  </si>
  <si>
    <t>履约中</t>
  </si>
  <si>
    <t>2210382333280803840</t>
  </si>
  <si>
    <t>SealSign-20250508-0206</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</si>
  <si>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3、预计合同金额为50万元，由两家均摊，每家25万元，以实际发生为准； 
4、预计合同时间：2025年5月10日起至2026年5月9日止；</t>
  </si>
  <si>
    <t>2025-05-19 16:40:38:301</t>
  </si>
  <si>
    <t>2025-05-08 17:51:10:833</t>
  </si>
  <si>
    <t>2025-06-09 11:48:06:501</t>
  </si>
  <si>
    <t>2210380347764468736</t>
  </si>
  <si>
    <t>2210382355124776960</t>
  </si>
  <si>
    <t>2210382355124776961</t>
  </si>
  <si>
    <t>430047</t>
  </si>
  <si>
    <t>2210377549123482624</t>
  </si>
  <si>
    <t>GCFW-Z-2025-03085</t>
  </si>
  <si>
    <t>2210377528831377408</t>
  </si>
  <si>
    <t>SealSign-20250508-0201</t>
  </si>
  <si>
    <t>2025-05-06 16:43:14:282</t>
  </si>
  <si>
    <t>2025-05-08 18:08:15:856</t>
  </si>
  <si>
    <t>2208896599705255936</t>
  </si>
  <si>
    <t>2210377549123481600</t>
  </si>
  <si>
    <t>2210377549123481601</t>
  </si>
  <si>
    <t>2208874313287797760</t>
  </si>
  <si>
    <t>深圳非住二片区中海油大厦工程及综合品类物资采购协议（弘佳诚）</t>
  </si>
  <si>
    <t>2208874292693719040</t>
  </si>
  <si>
    <t>SealSign-20250506-0210</t>
  </si>
  <si>
    <t>中海油应甲方要求采购一批物资：
其中6468.2元是采购系统三方比价确定的合作单位询比价单号RFx202412110150，采购物资明细详见附件1；
其中6829.1元是采购系统三方比价确定的合作单位询比价单号RFx202504170360 ，采购物资明细详见附件2；
其中石材护理剂1248元是应急采购，详见附件3紧急报备流程；
共计14545.3元，妥否，请领导审批。</t>
  </si>
  <si>
    <t>2025-05-13 15:14:13:672</t>
  </si>
  <si>
    <t>2025-05-06 15:28:21:775</t>
  </si>
  <si>
    <t>2025-05-13 15:14:14:570</t>
  </si>
  <si>
    <t>2208858914127153152</t>
  </si>
  <si>
    <t>2208874313287752704</t>
  </si>
  <si>
    <t>2208874313287752705</t>
  </si>
  <si>
    <t>2208840662269296640</t>
  </si>
  <si>
    <t>深圳非住二片区中海油大厦五金综合品类物资采购补充协议（一）</t>
  </si>
  <si>
    <t>2025-12-31</t>
  </si>
  <si>
    <t>2025-05-13</t>
  </si>
  <si>
    <t>2208840654602165248</t>
  </si>
  <si>
    <t>SealSign-20250506-0160</t>
  </si>
  <si>
    <t>甲方要求采购物资，前期因项目紧急采购已在金采易购手动创建比价单，寻源单号：RFx202503250415（详见附件），
通过金采易购线上三方比价：中全兴泰(深圳)实业有限公司报价最低，共计30391.23元，建议为本次中标单位，妥否，请领导审批。</t>
  </si>
  <si>
    <t>2025-05-13 15:13:57:007</t>
  </si>
  <si>
    <t>2025-05-06 10:44:13:879</t>
  </si>
  <si>
    <t>2025-05-13 15:13:57:578</t>
  </si>
  <si>
    <t>2208715905750289408</t>
  </si>
  <si>
    <t>2208840662269297664</t>
  </si>
  <si>
    <t>2208840662269297665</t>
  </si>
  <si>
    <t>41509</t>
  </si>
  <si>
    <t>2201646686084809728</t>
  </si>
  <si>
    <t>深圳非住二片区中海油大厦智能照明系统维护合同</t>
  </si>
  <si>
    <t>2025-05-10</t>
  </si>
  <si>
    <t>2201646666832945152</t>
  </si>
  <si>
    <t>SealSign-20250426-0021</t>
  </si>
  <si>
    <t>关于深圳区域公司深圳非住二片区中海油项目智能照明系统检修 需求，项目结算主体深圳市金地物业管理有限公司为一般纳税人，客户公区照明系统不能按照设置标准自动开启，为避免客户投诉，拟委托西门子原厂代理广州禧腾电子科技有限公司进行检测维修，具体情况如下：
1、检测单位报价：4980元（含税6%）；
2、预算内费用，与甲方结算费用；
3、已附厂家授权书及供方营业执照；
4、已附报备流程；
      现申请定标，请领导审批，谢谢。</t>
  </si>
  <si>
    <t>2025-04-30 16:10:41:894</t>
  </si>
  <si>
    <t>2025-04-26 16:36:45:654</t>
  </si>
  <si>
    <t>2025-05-11 09:44:56:811</t>
  </si>
  <si>
    <t>2201645582873801728</t>
  </si>
  <si>
    <t>2201646686084808704</t>
  </si>
  <si>
    <t>2201646686084808705</t>
  </si>
  <si>
    <t>430091</t>
  </si>
  <si>
    <t>2193243220316584960</t>
  </si>
  <si>
    <t>U1015001027</t>
  </si>
  <si>
    <t>商业物业事业部-失效（已注销）</t>
  </si>
  <si>
    <t>2025-01-01</t>
  </si>
  <si>
    <t>JD-YWLX-066</t>
  </si>
  <si>
    <t>设备设施维护</t>
  </si>
  <si>
    <t xml:space="preserve">根据中海油大厦变压器负荷分析专题会议意见，拟将原8号变压器供电调整为备用，9号变压器供电调整为主用，项目通过原厂进行实施（详见报备流程），厂家为：重庆川仪自动化股份有限公司电气成套分公司
合同金额：12000元（含13%的增值税专用发票）；
(以上为定标说明，请项目在发起合同时另行说明)
</t>
  </si>
  <si>
    <t>2025-02-24 14:07:49:762</t>
  </si>
  <si>
    <t>2025-04-22 14:52:29:135</t>
  </si>
  <si>
    <t>2157359303239926784</t>
  </si>
  <si>
    <t>2193243220316583936</t>
  </si>
  <si>
    <t>2193243220316583937</t>
  </si>
  <si>
    <t>428646</t>
  </si>
  <si>
    <t>重庆川仪自动化股份有限公司电气成套分公司</t>
  </si>
  <si>
    <t>2193230536766445568</t>
  </si>
  <si>
    <t>深圳非住二片区中海油大厦绿植采购协议</t>
  </si>
  <si>
    <t>2025-04-22</t>
  </si>
  <si>
    <t>2193465810461152256</t>
  </si>
  <si>
    <t>SealSign-20250415-0030</t>
  </si>
  <si>
    <t xml:space="preserve"> 深圳中海油项目与2025年3月8日举办“38女神节”活动，甲方委托我司采购1000盆多肉绿植：
1、甲方指定大厦绿植养护单位“深圳市真诚环保服务有限公司”进行采购；
2、该单位为大厦现场绿植养护单位（甲方合同），无甲方指定文件；
3、含税单价6.78元/盆（税率13%），合计6780元；
4、费用计划于3月与甲方结算，已完成报备流程；
妥否，请领导审批。</t>
  </si>
  <si>
    <t>2025-04-24 16:16:14:729</t>
  </si>
  <si>
    <t>2025-04-14 17:32:10:742</t>
  </si>
  <si>
    <t>2025-06-19 17:03:31:791</t>
  </si>
  <si>
    <t>2192976166397156352</t>
  </si>
  <si>
    <t>2193230536766400512</t>
  </si>
  <si>
    <t>2193230536766400513</t>
  </si>
  <si>
    <t>43201</t>
  </si>
  <si>
    <t>2188605133284239360</t>
  </si>
  <si>
    <t>深圳非住二片区中海油大厦A座1007办公室改造合同</t>
  </si>
  <si>
    <t>2026-04-17</t>
  </si>
  <si>
    <t>2025-04-18</t>
  </si>
  <si>
    <t>JD-YWLX-065</t>
  </si>
  <si>
    <t>2188605112799216640</t>
  </si>
  <si>
    <t>SealSign-20250408-0221</t>
  </si>
  <si>
    <t xml:space="preserve">关于深圳区域公司深圳非住二片区中海油大厦A座1007办公室工程改造需求，项目结算主体深圳市金地物业管理有限公司中海油大厦分公司为一般纳税人，比价规则按照不含税总价最低者中标执行，有效报价供应商3家，经比价后拟定不含税总价最低的供应商深圳市子墨装饰设计工程有限公司 中标，定标含税总价64108元，税率1%。
预计合同期限：2025年5月15日-2025年12月31日；
     </t>
  </si>
  <si>
    <t>2025-04-15 19:52:34:935</t>
  </si>
  <si>
    <t>2025-04-07 11:09:53:752</t>
  </si>
  <si>
    <t>2025-05-11 09:48:40:823</t>
  </si>
  <si>
    <t>2187710326726721536</t>
  </si>
  <si>
    <t>2188605133284194304</t>
  </si>
  <si>
    <t>2188605133284194305</t>
  </si>
  <si>
    <t>2187805438400008192</t>
  </si>
  <si>
    <t>深圳非住二片区中海油大厦人脸识别零星工程合同</t>
  </si>
  <si>
    <t>2187805421614414848</t>
  </si>
  <si>
    <t>SealSign-20250407-0121</t>
  </si>
  <si>
    <t>关于深圳区域公司深圳非住二片区中海油大厦人脸识别机维修合同续签需求，项目结算主体深圳市金地物业管理有限公司中海油大厦分公司为一般纳税人，该设备属于厂家商品，经与厂家沟通，拟原价续签框架合同，已完成续签报备流程，情况如下：
1、预计年度采购金额：96818元（含税13%）；
2、原厂设备，经沟通，原价续签；
3、设备为客户楼层个性化需求，按实际作业量与甲方结算；
      酬金制项目，费用与甲方结算，请领导审批，谢谢！</t>
  </si>
  <si>
    <t>2025-04-11 18:37:10:170</t>
  </si>
  <si>
    <t>2025-04-07 14:06:58:491</t>
  </si>
  <si>
    <t>2025-06-03 14:22:43:901</t>
  </si>
  <si>
    <t>2187799453547676672</t>
  </si>
  <si>
    <t>2187805438400009216</t>
  </si>
  <si>
    <t>2187805438400009217</t>
  </si>
  <si>
    <t>44308</t>
  </si>
  <si>
    <t>2183338582058559488</t>
  </si>
  <si>
    <t>深圳非住二片区中海油大厦绝缘工具检测及仪器仪表校准服务协议</t>
  </si>
  <si>
    <t>2025-04-10</t>
  </si>
  <si>
    <t>2183338560583638016</t>
  </si>
  <si>
    <t>SealSign-20250401-0031</t>
  </si>
  <si>
    <t>关于深圳区域公司深圳中海油大厦2025年绝缘工具检测及仪器仪表校准服务需求，项目结算主体深圳市金地物业管理有限公司中海油大厦分公司为一般纳税人，具体情况如下：
1、预算费用：9800元，费用据实甲方结算；
2、付款方式：检测完成后按实际检测数量支付费用；
3、合同金额及期限：9736.4元，2025年3月24日—2025年12月31日；
4、已提前直委报备，详见附件。
      妥否，请领导审批，谢谢！</t>
  </si>
  <si>
    <t>2025-04-07 13:27:36:744</t>
  </si>
  <si>
    <t>2025-04-01 10:22:22:291</t>
  </si>
  <si>
    <t>2025-05-11 09:52:32:232</t>
  </si>
  <si>
    <t>2183337753708616704</t>
  </si>
  <si>
    <t>2183338582058560512</t>
  </si>
  <si>
    <t>2183338582058560513</t>
  </si>
  <si>
    <t>418150</t>
  </si>
  <si>
    <t>2183307539947460608</t>
  </si>
  <si>
    <t>深圳非住二片区中海油大厦信息智能发布设备采购费率合同</t>
  </si>
  <si>
    <t>2183307483131435008</t>
  </si>
  <si>
    <t>SealSign-20250401-0005</t>
  </si>
  <si>
    <t>关于深圳区域公司深圳中海油大厦2025年信息智能发布设备合同续签需求，项目结算主体深圳市金地物业管理有限公司中海油大厦分公司为一般纳税人， 项目拟与原厂家原价续签合同，具体情况如下：
1、续签单位：深圳小熊视讯科技有限公司；
2、原合同金额 77079 元/年，税率13%；
3、预计合同期限：2025年2月1日—2025年12月31日；
4、费用据实与甲方结算，已完成续签流程报备（详见附件）；
       请领导审批，谢谢！。</t>
  </si>
  <si>
    <t>2025-04-07 13:27:24:575</t>
  </si>
  <si>
    <t>2025-04-01 09:07:39:599</t>
  </si>
  <si>
    <t>2025-05-11 09:54:24:044</t>
  </si>
  <si>
    <t>2183300149097330688</t>
  </si>
  <si>
    <t>2183307539947461632</t>
  </si>
  <si>
    <t>2183307539947461633</t>
  </si>
  <si>
    <t>423643</t>
  </si>
  <si>
    <t>2182805319028115456</t>
  </si>
  <si>
    <t>GCFW-Z-2025-01818</t>
  </si>
  <si>
    <t>2025-03-31</t>
  </si>
  <si>
    <t>2182805290330686464</t>
  </si>
  <si>
    <t>SealSign-20250331-0216</t>
  </si>
  <si>
    <t>ID-000028</t>
  </si>
  <si>
    <t>杨振华</t>
  </si>
  <si>
    <t>2025-03-31 16:41:59:907</t>
  </si>
  <si>
    <t>2025-04-15 02:25:02:799</t>
  </si>
  <si>
    <t>2182804049546466304</t>
  </si>
  <si>
    <t>2182805319028070400</t>
  </si>
  <si>
    <t>2182805319028070401</t>
  </si>
  <si>
    <t>2182793341379288064</t>
  </si>
  <si>
    <t>深圳非住二片区中海油大厦楼层开窗器安装费率合同</t>
  </si>
  <si>
    <t>2026-04-09</t>
  </si>
  <si>
    <t>2182793274320811008</t>
  </si>
  <si>
    <t>SealSign-20250331-0196</t>
  </si>
  <si>
    <t>关于深圳区域公司深圳非住二片区中海油大厦楼层开窗器安装业务需求，项目结算主体深圳市金地物业管理有限公司为一般纳税人，已紧急比价（项目编号：RFx202503070006 ） 比价规则按照不含税总价最低者中标执行，有效报价供应商3家，经比价后拟定不含税总价最低的供应商深圳市南山区张记开锁王服务中心中标，定标含税总金额88949.87元，税率3%。拟与外包单位签订框架协议，费用据实结算，具体情况如下： 1、项目预算：97000元，费用据实结算； 2、客户楼层个性化需求； 3、预计合同期限：2025年4月7日—2026年4月6日</t>
  </si>
  <si>
    <t>2025-04-08 09:37:08:654</t>
  </si>
  <si>
    <t>2025-03-31 16:15:23:001</t>
  </si>
  <si>
    <t>2025-05-11 09:43:50:723</t>
  </si>
  <si>
    <t>2182790653711283200</t>
  </si>
  <si>
    <t>2182793341379287040</t>
  </si>
  <si>
    <t>2182793341379287041</t>
  </si>
  <si>
    <t>414878</t>
  </si>
  <si>
    <t>2182766066449583104</t>
  </si>
  <si>
    <t>深圳非住二片区深圳中海油大厦春节氛围场景及新春嘉年华装饰布置采购合同</t>
  </si>
  <si>
    <t>2025-07-09</t>
  </si>
  <si>
    <t>2182766051157144576</t>
  </si>
  <si>
    <t>SealSign-20250331-0156</t>
  </si>
  <si>
    <t>关于深圳区域公司深圳中海油项目AB座大堂进行春节氛围场景及新春嘉年华装饰布置需求，项目结算主体深圳市金地物业管理有限公司中海油大厦分公司 为一般纳税人，甲方委托深圳市杰艺广告有限公司在中海油AB座大堂进行春节氛围场景及新春嘉年华装饰布置，由我司完成后续合同签订及付款流程，具体情况如下：
1、甲方指定施工单位：深圳市杰艺广告有限公司（无法出具直委邮件），
2、该单位为甲方指定24年“中海实业蓝梦欢乐庆元宵”活动制作单位，
3、本次费用：119800元（含税3%），
4、费用计划于2025年1月与甲方结算，已附甲方沟通记录及报价单；
5、项目已回款至2024年11月份。
 6、已报备传签。</t>
  </si>
  <si>
    <t>2025-04-08 09:46:43:631</t>
  </si>
  <si>
    <t>2025-03-31 15:22:43:172</t>
  </si>
  <si>
    <t>2025-04-15 01:58:22:460</t>
  </si>
  <si>
    <t>2182764147253507072</t>
  </si>
  <si>
    <t>2182766066449538048</t>
  </si>
  <si>
    <t>2182766066449538049</t>
  </si>
  <si>
    <t>423019</t>
  </si>
  <si>
    <t>2182723488450629632</t>
  </si>
  <si>
    <t>GCFW-Z-2025-01810</t>
  </si>
  <si>
    <t>2182723467252687872</t>
  </si>
  <si>
    <t>SealSign-20250331-0117</t>
  </si>
  <si>
    <t>2025-03-31 13:57:49:755</t>
  </si>
  <si>
    <t>2025-04-15 02:25:01:708</t>
  </si>
  <si>
    <t>2182721420314825728</t>
  </si>
  <si>
    <t>2182723488459063296</t>
  </si>
  <si>
    <t>2182723488459063297</t>
  </si>
  <si>
    <t>2179910419030746112</t>
  </si>
  <si>
    <t>GCFW-Z-2025-01746</t>
  </si>
  <si>
    <t>2025-03-20</t>
  </si>
  <si>
    <t>2179910396935212032</t>
  </si>
  <si>
    <t>SealSign-20250327-0286</t>
  </si>
  <si>
    <t>2025-03-27 16:46:19:812</t>
  </si>
  <si>
    <t>2025-04-15 02:24:52:673</t>
  </si>
  <si>
    <t>2179907126703432704</t>
  </si>
  <si>
    <t>2179910419030745088</t>
  </si>
  <si>
    <t>2179910419030745089</t>
  </si>
  <si>
    <t>2179905572126653440</t>
  </si>
  <si>
    <t>深圳非住二片区中海油项目防雷检测合同</t>
  </si>
  <si>
    <t>2025-04-01</t>
  </si>
  <si>
    <t>2179905553168340992</t>
  </si>
  <si>
    <t>SealSign-20250327-0277</t>
  </si>
  <si>
    <t>深圳中海油项目防雷设施检测合同已到期，项目拟与原单位原价续签（详见报备流程），费用由甲方承担，具体情况如下：
检测面积：254480.8㎡；
单价：0.035元/㎡；
合同金额：8906.83元（含6%的增值税专用发票）；
合同期限：2025年4月1日—2025年12月31日；
妥否，请领导审批！</t>
  </si>
  <si>
    <t>2025-03-31 21:11:02:942</t>
  </si>
  <si>
    <t>2025-03-27 16:38:58:546</t>
  </si>
  <si>
    <t>2025-05-11 09:53:16:968</t>
  </si>
  <si>
    <t>2179903425146320896</t>
  </si>
  <si>
    <t>2179905572126652416</t>
  </si>
  <si>
    <t>2179905572126652417</t>
  </si>
  <si>
    <t>423252</t>
  </si>
  <si>
    <t>2177693471844864000</t>
  </si>
  <si>
    <t>GCFW-Z-2025-01581</t>
  </si>
  <si>
    <t>2177693459589159936</t>
  </si>
  <si>
    <t>SealSign-20250324-0171</t>
  </si>
  <si>
    <t>2025-03-24 15:23:05:617</t>
  </si>
  <si>
    <t>2025-04-15 02:24:29:282</t>
  </si>
  <si>
    <t>2177690905232804864</t>
  </si>
  <si>
    <t>2177693471844865024</t>
  </si>
  <si>
    <t>2177693471844865025</t>
  </si>
  <si>
    <t>2174859354954608640</t>
  </si>
  <si>
    <t>深圳非住二片区中海油大厦外墙清洗服务合同</t>
  </si>
  <si>
    <t>2025-09-24</t>
  </si>
  <si>
    <t>V2.0</t>
  </si>
  <si>
    <t>已变更</t>
  </si>
  <si>
    <t>JD-YWLX-053</t>
  </si>
  <si>
    <t>环境服务类</t>
  </si>
  <si>
    <t>2174859351028740096</t>
  </si>
  <si>
    <t>SealSign-20250320-0248</t>
  </si>
  <si>
    <t>关于深圳区域公司深圳非住二片区中海油项目外墙清洗合同续签需求，项目结算主体深圳市金地物业管理有限公司中海油大厦分公司 为一般纳税人， 经与原单位（深圳市感恩清洁服务有限公司）沟通，同意降价续签合同，现申请续签立项，具体情况如下：
1、作业面积8万㎡，原合同单价2.544元/㎡，合同金额203520元，，降价续签后为2.3元/㎡，合同金额184000元，降价19520元；
2、续签单位：深圳市感恩清洁服务有限公司，该单位已多次为海油大厦提供外墙清洗服务，对现场情况较为熟悉，风险可控；
3、已完成续签报备流程，费用与甲方结算；
4、预计合同期限：2025年4月1日——2025年9月14日。</t>
  </si>
  <si>
    <t>2025-03-27 09:49:41:729</t>
  </si>
  <si>
    <t>2025-03-20 17:34:39:130</t>
  </si>
  <si>
    <t>2025-04-15 02:02:17:217</t>
  </si>
  <si>
    <t>2174858017852441600</t>
  </si>
  <si>
    <t>fxyz_environmentalservice</t>
  </si>
  <si>
    <t>2174859354954563584</t>
  </si>
  <si>
    <t>2174859354954563585</t>
  </si>
  <si>
    <t>42625</t>
  </si>
  <si>
    <t>2170303478386178048</t>
  </si>
  <si>
    <t>深圳非住二片区中海油大厦化粪池清掏合同</t>
  </si>
  <si>
    <t>2025-07-31</t>
  </si>
  <si>
    <t>2170303445746151424</t>
  </si>
  <si>
    <t>SealSign-20250314-0048</t>
  </si>
  <si>
    <t>尊敬的公司领导：
       深圳中海油项目化粪池清掏合同已过期，原计划在年后按甲方要求变更作业模式并重新签订合同，为避免春节期间化粪池出现返水倒灌情况，对大厦造成影响；接甲方通知，要求我司在年前完成一次化粪池清掏作业，确保春节期间安全稳定运行，现项目拟与原单位原价续签化粪池清掏合同，具体情况如下：
1、续签单位：深圳市恒捷达清洁服务有限公司
2、合同金额：14000元（含税6%），合同期内共3次化粪池清掏作业，1次/2个月，
3、预计合同期限：2025年2月25日——2025年7月24日，合同期半年，
4、酬金制项目，年度预算科目，费用与甲方结算。</t>
  </si>
  <si>
    <t>2025-03-20 21:16:44:723</t>
  </si>
  <si>
    <t>2025-03-14 10:31:36:797</t>
  </si>
  <si>
    <t>2025-04-28 17:19:59:592</t>
  </si>
  <si>
    <t>2170296441786953728</t>
  </si>
  <si>
    <t>2170303478386179072</t>
  </si>
  <si>
    <t>2170303478386179073</t>
  </si>
  <si>
    <t>42349</t>
  </si>
  <si>
    <t>2169591666426564608</t>
  </si>
  <si>
    <t>深圳非住二片区中海油大厦A座15楼立式多级水泵更换工程合同</t>
  </si>
  <si>
    <t>2169591645882864640</t>
  </si>
  <si>
    <t>SealSign-20250313-0067</t>
  </si>
  <si>
    <t>关于深圳区域公司深圳非住二片区中海油项目立式多级水泵采购需求，项目结算主体深圳市金地物业管理有限公司中海油大厦分公司为一般纳税人，深圳中海油大厦A座15楼一台中水泵电机已烧毁，无法正常运行，经请示甲方后，委托我司采购一台立式多级水泵（指定品牌）,包安装服务，已完成报备流程，拟直接在厂家进行采购，具体情况如下：
1、金额为12560.07元（含税9%），预算内费用；
2、酬金制项目，计划于3月与甲方结算；
3、厂家：深圳市博山水泵设备技术开发有限公司；
4、验收完成后一次性支付费用；
       请领导审批，谢谢。</t>
  </si>
  <si>
    <t>2025-03-21 21:09:32:993</t>
  </si>
  <si>
    <t>2025-03-13 11:07:33:252</t>
  </si>
  <si>
    <t>2025-04-15 02:23:44:583</t>
  </si>
  <si>
    <t>2169589755174523904</t>
  </si>
  <si>
    <t>2169591666426565632</t>
  </si>
  <si>
    <t>2169591666426565633</t>
  </si>
  <si>
    <t>46632</t>
  </si>
  <si>
    <t>2169026126842691584</t>
  </si>
  <si>
    <t>GCFW-Z-2025-01252</t>
  </si>
  <si>
    <t>2025-03-18</t>
  </si>
  <si>
    <t>2169026107574084608</t>
  </si>
  <si>
    <t>SealSign-20250312-0175</t>
  </si>
  <si>
    <t>2025-03-12 16:25:59:356</t>
  </si>
  <si>
    <t>2025-04-15 02:23:41:677</t>
  </si>
  <si>
    <t>2169025252875620352</t>
  </si>
  <si>
    <t>2169026126842692609</t>
  </si>
  <si>
    <t>2169026126842692608</t>
  </si>
  <si>
    <t>2168994683672334336</t>
  </si>
  <si>
    <t>GCFW-Z-2025-01199</t>
  </si>
  <si>
    <t>深圳中海油大厦绝缘工具检测及仪器仪表校准服务协议</t>
  </si>
  <si>
    <t>2168994656946244608</t>
  </si>
  <si>
    <t>SealSign-20250312-0146</t>
  </si>
  <si>
    <t>2025-03-11 15:13:13:238</t>
  </si>
  <si>
    <t>2025-04-15 02:23:34:277</t>
  </si>
  <si>
    <t>2168263851836010496</t>
  </si>
  <si>
    <t>2168994683672335360</t>
  </si>
  <si>
    <t>2168994683672335361</t>
  </si>
  <si>
    <t>2163927878616487936</t>
  </si>
  <si>
    <t>深圳非住二片区中海油项目四害消杀服务合同</t>
  </si>
  <si>
    <t>20010159</t>
  </si>
  <si>
    <t>孙涵</t>
  </si>
  <si>
    <t>JD-YWLX-051</t>
  </si>
  <si>
    <t>2163927859389853696</t>
  </si>
  <si>
    <t>SealSign-20250305-0104</t>
  </si>
  <si>
    <t>深圳中海油大厦四害消杀及白蚁防治合同将于2024年12月31日到期，甲方委托广东绿控环境科技服务有限公司承接该业务（无法出具书面文件），直接委托流程已审批通过（详见附件）：
消杀面积：260000㎡；
消杀单价：0.03元/㎡/年（每月消杀4次）；
合同总金额：90000元/年（含1%的增值税专用发票）；
合同日期：2025年1月1日-2025年12月31日；
妥否，请领导审批！</t>
  </si>
  <si>
    <t>2025-03-12 10:55:37:039</t>
  </si>
  <si>
    <t>2025-03-05 14:42:53:808</t>
  </si>
  <si>
    <t>2025-04-15 02:01:47:913</t>
  </si>
  <si>
    <t>2163899934594584576</t>
  </si>
  <si>
    <t>2163927878616488960</t>
  </si>
  <si>
    <t>2163927878616488961</t>
  </si>
  <si>
    <t>427212</t>
  </si>
  <si>
    <t>2163759310738294784</t>
  </si>
  <si>
    <t>深圳非住二片区中海油大厦停车场管理系统维护合同</t>
  </si>
  <si>
    <t>2027-12-31</t>
  </si>
  <si>
    <t>V3.0</t>
  </si>
  <si>
    <t>2163759302458807296</t>
  </si>
  <si>
    <t>SealSign-20250305-0021</t>
  </si>
  <si>
    <t>关于深圳区域公司深圳中海油项目2025年-2027年停车场管理系统维护合同续签需求，项目结算主体深圳市金地物业管理有限公司中海油大厦分公司为一般纳税人， 项目拟与原单位原价续签，具体情况如下：
1、续签单位： 深圳市小猫信息技术有限公司 ；
2、原合同金额48000元/年，现因需要增加港澳车牌识别功能，需增加8个摄像头，1500元/个，总金额12000元，经与厂家沟通，如合同一次性续签3年，可免费安装 ， 请示甲方后，同意按续签3年执行；
3、预计合同期限：2025年1月1日—2027年12月31日；
4、续签后金额144000元，税率6%；
5、费用与甲方结算，已完成续签流程报备。</t>
  </si>
  <si>
    <t>2025-03-12 18:32:48:183</t>
  </si>
  <si>
    <t>2025-03-05 09:50:30:352</t>
  </si>
  <si>
    <t>2025-04-17 10:59:55:953</t>
  </si>
  <si>
    <t>2163752769511514112</t>
  </si>
  <si>
    <t>2163759310738295808</t>
  </si>
  <si>
    <t>2163759310738295809</t>
  </si>
  <si>
    <t>46077</t>
  </si>
  <si>
    <t>2162457767145689088</t>
  </si>
  <si>
    <t>HJFW-Z-2025-00715</t>
  </si>
  <si>
    <t>2025-03-07</t>
  </si>
  <si>
    <t>2162457758429968384</t>
  </si>
  <si>
    <t>SealSign-20250303-0114</t>
  </si>
  <si>
    <t>2025-03-03 14:51:58:832</t>
  </si>
  <si>
    <t>2025-04-15 02:01:42:211</t>
  </si>
  <si>
    <t>2162454955116556288</t>
  </si>
  <si>
    <t>2162457767145690112</t>
  </si>
  <si>
    <t>2162457767145690113</t>
  </si>
  <si>
    <t>2159658097327473664</t>
  </si>
  <si>
    <t>深圳非住二片区中海油大厦清洁服务合同</t>
  </si>
  <si>
    <t>JD-YWLX-048</t>
  </si>
  <si>
    <t>2159658076414727168</t>
  </si>
  <si>
    <t>SealSign-20250227-0169</t>
  </si>
  <si>
    <t xml:space="preserve"> 深圳中海油项目保洁业务外包合同将于2024年12月31日到期，现项目物业合同已成功签订，经项目与甲方沟通，同意与原单位原价续签保洁（续签报备详见附件）：
工时单价：23.21元/小时；
月度工时：17502小时/月；
合同金额：4874657.04元/年（含6%的增值税专用发票，据实结算，费用由甲方承担）；
合同期限2025.1.1—2025.12.31。
说明：供应商报价与项目立项金额不一致，项目已邮件报备（甲方需求有变，增加了上班时长，因甲方特殊要求，保洁合同需签一份协议，故项目通过邮件报备，变更金额）。</t>
  </si>
  <si>
    <t>2025-03-13 16:29:21:321</t>
  </si>
  <si>
    <t>2025-02-27 18:11:04:525</t>
  </si>
  <si>
    <t>2025-04-16 22:48:03:321</t>
  </si>
  <si>
    <t>2159656060187666432</t>
  </si>
  <si>
    <t>2159658097327472640</t>
  </si>
  <si>
    <t>2159658097327472641</t>
  </si>
  <si>
    <t>43239</t>
  </si>
  <si>
    <t>2159439555105653760</t>
  </si>
  <si>
    <t>深圳非住二片区中海油大厦大理石定期养护服务合同</t>
  </si>
  <si>
    <t>JD-YWLX-056</t>
  </si>
  <si>
    <t>2159439548797438976</t>
  </si>
  <si>
    <t>SealSign-20250227-0051</t>
  </si>
  <si>
    <t>关于深圳区域公司深圳中海油大厦2025年石材养护合同续签需求，项目结算主体深圳市金地物业管理有限公司中海油大厦分公司为一般纳税人，现申请合同续签定标，具体情况如下：
1、续签单位：深圳市博宝源实业有限公司；
2、原合同金额433400.64元/年，原价续签，续签后金额为433400.64元/年，据实与甲方结算，税率6%；
3、合同期限2025年1月1日—2025年12月31日；
4、报备流程已申请完成（详见附件）；
         请领导审批，谢谢！</t>
  </si>
  <si>
    <t>2025-03-05 14:55:34:808</t>
  </si>
  <si>
    <t>2025-02-27 10:57:54:716</t>
  </si>
  <si>
    <t>2025-04-15 02:01:36:913</t>
  </si>
  <si>
    <t>2159438042002188288</t>
  </si>
  <si>
    <t>2159439555105652736</t>
  </si>
  <si>
    <t>2159439555105652737</t>
  </si>
  <si>
    <t>2155271481863493632</t>
  </si>
  <si>
    <t>深圳非住二片区中海油物资搬运费率合同</t>
  </si>
  <si>
    <t>2025-02-28</t>
  </si>
  <si>
    <t>2155271463618273280</t>
  </si>
  <si>
    <t>SealSign-20250221-0152</t>
  </si>
  <si>
    <t>关于深圳区域公司深圳中海油大厦2025年物资搬运合同续签需求，项目结算主体深圳市金地物业管理有限公司中海油大厦分公司为一般纳税人，按原单价续签，续签后金额为198610元，客户个性化业务合同，费用据实与甲方结算，税率3%，合同期限2025年1月1日—2025年12月31日。</t>
  </si>
  <si>
    <t>2025-03-04 18:19:14:283</t>
  </si>
  <si>
    <t>2025-02-21 16:47:22:384</t>
  </si>
  <si>
    <t>2025-04-15 01:58:12:499</t>
  </si>
  <si>
    <t>2155265276726269952</t>
  </si>
  <si>
    <t>2155271481863448576</t>
  </si>
  <si>
    <t>2155271481863448577</t>
  </si>
  <si>
    <t>420451</t>
  </si>
  <si>
    <t>2155255526940792832</t>
  </si>
  <si>
    <t>深圳非住二片区中海油大厦零星工程维修合同</t>
  </si>
  <si>
    <t>2155255509249255424</t>
  </si>
  <si>
    <t>SealSign-20250221-0138</t>
  </si>
  <si>
    <t>关于深圳区域公司深圳中海油大厦2025年零星工程维修合同续签需求，项目结算主体深圳市金地物业管理有限公司中海油大厦分公司为一般纳税人，项目拟与原单位原价续签，具体情况如下：
1、续签单位：深圳市鑫佳建筑装饰设计工程有限公司；
2、原合同金额850000元/年，按原单价续签，续签后金额为848046.51元/年，税率3%，以实际发生为准；
3、预计合同期限：2025年1月1日—2025年12月31日；
4、费用据实与甲方结算，已完成续签流程报备（详见附件）；
       请领导审批，谢谢！</t>
  </si>
  <si>
    <t>2025-03-10 16:44:02:794</t>
  </si>
  <si>
    <t>2025-02-21 15:23:41:684</t>
  </si>
  <si>
    <t>2025-04-15 02:22:40:945</t>
  </si>
  <si>
    <t>2155223160251837440</t>
  </si>
  <si>
    <t>2155255526940747776</t>
  </si>
  <si>
    <t>2155255526940747777</t>
  </si>
  <si>
    <t>42781</t>
  </si>
  <si>
    <t>2155221656006615040</t>
  </si>
  <si>
    <t>深圳非住二片区中海油大厦UPS电源维保合同</t>
  </si>
  <si>
    <t>2155221634875746304</t>
  </si>
  <si>
    <t>SealSign-20250221-0108</t>
  </si>
  <si>
    <t>关于深圳区域公司深圳中海油项目2025年UPS电源维保合同降价续签需求，项目结算主体深圳市金地物业管理有限公司为一般纳税人，
1、续签单位：广东美图机电设备有限公司；
2、原合同为3季度，金额11000元（次/季度），合同金额33000元。本次合同降价续签，续签后金额为10500元/次（次/季度），合同金额42000元/年，税率6%；
3、预计合同期限：2025年1月1日—2025年12月31日；
4、费用据实与甲方结算，已完成续签流程报备（详见附件）；
       请领导审批，谢谢！</t>
  </si>
  <si>
    <t>2025-03-06 18:14:38:983</t>
  </si>
  <si>
    <t>2025-02-21 14:51:22:240</t>
  </si>
  <si>
    <t>2025-04-15 02:22:40:230</t>
  </si>
  <si>
    <t>2155206891100268544</t>
  </si>
  <si>
    <t>2155221656006569984</t>
  </si>
  <si>
    <t>2155221656006569985</t>
  </si>
  <si>
    <t>42746</t>
  </si>
  <si>
    <t>2155201404229219328</t>
  </si>
  <si>
    <t>GCFW-Z-2025-00798</t>
  </si>
  <si>
    <t>2155201397929298944</t>
  </si>
  <si>
    <t>SealSign-20250221-0093</t>
  </si>
  <si>
    <t>2025-02-21 14:31:53:313</t>
  </si>
  <si>
    <t>2025-04-15 02:22:40:097</t>
  </si>
  <si>
    <t>2155197085295645696</t>
  </si>
  <si>
    <t>2155201404229218304</t>
  </si>
  <si>
    <t>2155201404229218305</t>
  </si>
  <si>
    <t>2152338257898132480</t>
  </si>
  <si>
    <t>深圳非住二片区中海油项目建筑垃圾清运费率合同</t>
  </si>
  <si>
    <t>JD-YWLX-054</t>
  </si>
  <si>
    <t>装修垃圾清运</t>
  </si>
  <si>
    <t>2152338250591684608</t>
  </si>
  <si>
    <t>SealSign-20250217-0129</t>
  </si>
  <si>
    <t>关于深圳区域公司深圳中海油大厦2025年建筑垃圾清运合同续签需求，供应商深圳市博宝源实业有限公司在2024年度绩效评估达到可选供应商，基于供应商历史服务品质良好，项目经立项完成合同续签报批。原合同1400元/车，现以原单价进行续签，预计合同金额91000元，酬金制项目据实与甲方结算，税率6%。</t>
  </si>
  <si>
    <t>2025-02-24 10:12:00:906</t>
  </si>
  <si>
    <t>2025-02-17 15:47:24:374</t>
  </si>
  <si>
    <t>2025-04-15 02:01:21:379</t>
  </si>
  <si>
    <t>2152335991581467648</t>
  </si>
  <si>
    <t>2152338257898177536</t>
  </si>
  <si>
    <t>2152338257898177537</t>
  </si>
  <si>
    <t>2150201412607299584</t>
  </si>
  <si>
    <t>深圳非住二片区中海油大厦洗手间深度清洁服务合同</t>
  </si>
  <si>
    <t>2025-02-21</t>
  </si>
  <si>
    <t>JD-YWLX-059</t>
  </si>
  <si>
    <t>2150201380923509760</t>
  </si>
  <si>
    <t>SealSign-20250214-0136</t>
  </si>
  <si>
    <t>关于深圳区域公司深圳中海油大厦2025年洗手间深度清洁合同续签需求，项目结算主体深圳市金地物业管理有限公司中海油大厦分公司为一般纳税人,深圳中海油洗手间深度消毒合同已到期，现申请合同续签定标，具体情况如下：
1、续签单位：深圳市诺雅奇环保科技有限公司；
2、原合同金额73572元/年，原合同6次/年，续签后4次/年，合同金额49048元/年，据实与甲方结算，税率6%；
3、合同期限2025年1月1日—2025年12月31日；
4、报备流程已申请完成（详见附件）；
        请领导审批，谢谢！</t>
  </si>
  <si>
    <t>2025-02-25 09:55:10:460</t>
  </si>
  <si>
    <t>2025-02-14 16:59:17:191</t>
  </si>
  <si>
    <t>2025-04-15 02:01:18:900</t>
  </si>
  <si>
    <t>2150197843481074688</t>
  </si>
  <si>
    <t>2150201412607344640</t>
  </si>
  <si>
    <t>2150201412607344641</t>
  </si>
  <si>
    <t>42700</t>
  </si>
  <si>
    <t>2149464962542665728</t>
  </si>
  <si>
    <t>深圳非住二片区中海油中央空调循环水处理及水箱清洗维保合同</t>
  </si>
  <si>
    <t>JD-YWLX-063</t>
  </si>
  <si>
    <t>2149464956209221632</t>
  </si>
  <si>
    <t>SealSign-20250213-0183</t>
  </si>
  <si>
    <t>深圳中海油项目中央空调循环水处理及水箱清洗维保合同已到期，项目拟与原单位降价续签合同（详见报备流程）：
合同金额：94800元/年（含6%的增值税专用发票）；
合同期限：2025年1月1日—2025年12月31日；
注：相比上期合同节省3700元/年。</t>
  </si>
  <si>
    <t>2025-03-03 17:47:40:244</t>
  </si>
  <si>
    <t>2025-02-13 16:34:45:869</t>
  </si>
  <si>
    <t>2025-04-15 02:22:19:945</t>
  </si>
  <si>
    <t>2149460724928278528</t>
  </si>
  <si>
    <t>2149464962542620672</t>
  </si>
  <si>
    <t>2149464962542620673</t>
  </si>
  <si>
    <t>42770</t>
  </si>
  <si>
    <t>2148743824631929856</t>
  </si>
  <si>
    <t>HJFW-Z-2025-00451</t>
  </si>
  <si>
    <t>2025-02-18</t>
  </si>
  <si>
    <t>2148743799776541696</t>
  </si>
  <si>
    <t>SealSign-20250212-0078</t>
  </si>
  <si>
    <t>2025-02-12 16:30:13:498</t>
  </si>
  <si>
    <t>2025-04-15 02:01:15:568</t>
  </si>
  <si>
    <t>2148733664232532992</t>
  </si>
  <si>
    <t>2148743824631928832</t>
  </si>
  <si>
    <t>2148743824631928833</t>
  </si>
  <si>
    <t>2148727500795079680</t>
  </si>
  <si>
    <t>HJFW-Z-2025-00449</t>
  </si>
  <si>
    <t>2148727480268157952</t>
  </si>
  <si>
    <t>SealSign-20250212-0070</t>
  </si>
  <si>
    <t>2025-02-12 16:00:38:610</t>
  </si>
  <si>
    <t>2025-04-15 02:01:15:351</t>
  </si>
  <si>
    <t>2148718775459930112</t>
  </si>
  <si>
    <t>2148727500803423232</t>
  </si>
  <si>
    <t>2148727500803423233</t>
  </si>
  <si>
    <t>2134947606743241728</t>
  </si>
  <si>
    <t>GCFW-Z-2025-00436</t>
  </si>
  <si>
    <t>深圳中海油中央空调循环水处理及水箱清洗维保合同评审的申请</t>
  </si>
  <si>
    <t>2025-02-14</t>
  </si>
  <si>
    <t>2025-02-17</t>
  </si>
  <si>
    <t>2134947594487489536</t>
  </si>
  <si>
    <t>SealSign-20250124-0079</t>
  </si>
  <si>
    <t>2025-01-21 17:23:35:871</t>
  </si>
  <si>
    <t>2025-04-15 02:21:49:976</t>
  </si>
  <si>
    <t>2132815461732114432</t>
  </si>
  <si>
    <t>2134947606743286784</t>
  </si>
  <si>
    <t>2134947606743286785</t>
  </si>
  <si>
    <t>2133632137147015168</t>
  </si>
  <si>
    <t>HJFW-Z-2025-00343</t>
  </si>
  <si>
    <t>深圳中海油大厦除“四害、白蚁”消杀服务合同</t>
  </si>
  <si>
    <t>2025-02-10</t>
  </si>
  <si>
    <t>2025-02-12</t>
  </si>
  <si>
    <t>2133632131929280512</t>
  </si>
  <si>
    <t>SealSign-20250122-0176</t>
  </si>
  <si>
    <t>2025-01-22 16:34:27:234</t>
  </si>
  <si>
    <t>2025-04-15 02:01:04:807</t>
  </si>
  <si>
    <t>2133515502453062656</t>
  </si>
  <si>
    <t>2133632137146970112</t>
  </si>
  <si>
    <t>2133632137146970113</t>
  </si>
  <si>
    <t>2132806927137165312</t>
  </si>
  <si>
    <t>关于深圳中海油大厦擦窗机与高空作业平台维保合同评审的申请</t>
  </si>
  <si>
    <t>2025-01-24</t>
  </si>
  <si>
    <t>2025-01-27</t>
  </si>
  <si>
    <t>2132806904135598080</t>
  </si>
  <si>
    <t>SealSign-20250121-0143</t>
  </si>
  <si>
    <t>深圳中海油项目擦窗机与高空作业平台维保合同已到期，项目申请与原单位原价续签合同（续签报备详见附件）：
维保单价：5833.33元/月（含500元内的配件）；
合同金额：70000元/年（含6%的增值税专用发票）；
合同期限：2025年1月1日—2025年12月31日；
 (以上为定标说明，请项目在发起合同时另行说明)</t>
  </si>
  <si>
    <t>2025-02-11 19:00:52:637</t>
  </si>
  <si>
    <t>2025-01-21 17:03:36:252</t>
  </si>
  <si>
    <t>2025-04-15 02:21:49:687</t>
  </si>
  <si>
    <t>2132805399127093248</t>
  </si>
  <si>
    <t>2132806927137166336</t>
  </si>
  <si>
    <t>2132806927137166337</t>
  </si>
  <si>
    <t>416022</t>
  </si>
  <si>
    <t>2132096274399234048</t>
  </si>
  <si>
    <t>关于深圳中海油大厦打印机设备租赁合同评审的申请</t>
  </si>
  <si>
    <t>陆仟捌佰元</t>
  </si>
  <si>
    <t>2132096252026818560</t>
  </si>
  <si>
    <t>SealSign-20250120-0169</t>
  </si>
  <si>
    <t xml:space="preserve">深圳中海油项目物业办公室打印机设备已使用多年（甲方资产），现已损坏，经核实，已无维修价值，甲方同意项目以租赁形式结算，项目直接委托项目原办公设备维保深圳佳宜诚科技有限公司：
400元/月，包3000页黑白+300页彩色/月，超出黑白0.05元/页，彩色0.5元/页
预计合同金额：4800元/年；
</t>
  </si>
  <si>
    <t>2025-02-11 21:15:24:752</t>
  </si>
  <si>
    <t>2025-01-20 17:17:10:556</t>
  </si>
  <si>
    <t>2025-05-13 15:10:20:936</t>
  </si>
  <si>
    <t>2132087454700728320</t>
  </si>
  <si>
    <t>2132096274399235072</t>
  </si>
  <si>
    <t>2132096274399235073</t>
  </si>
  <si>
    <t>2129919922640314368</t>
  </si>
  <si>
    <t>关于深圳中海油大厦零星工程维修合同评审的申请</t>
  </si>
  <si>
    <t>2025-01-20</t>
  </si>
  <si>
    <t>2025-02-01</t>
  </si>
  <si>
    <t>2129919903187078144</t>
  </si>
  <si>
    <t>SealSign-20250117-0153</t>
  </si>
  <si>
    <t>关于商业粤东二中海油项目零星工程维修采购品类需求，合同拟签约时间为25.1.1-25.12.31，按照招标采购策略的评标规则（最低价中标法）执行，有效应标供应商3家，经招标小组一致评标后拟定报价最低的供应商同旭(深圳)建设工程有限公司中标，税率9%，定标含税总金额3610411.05元（根据甲方实际业务需求据实结算）；</t>
  </si>
  <si>
    <t>2025-01-24 16:24:03:102</t>
  </si>
  <si>
    <t>2025-01-17 11:00:52:984</t>
  </si>
  <si>
    <t>2025-04-15 02:21:32:746</t>
  </si>
  <si>
    <t>2129723732502056960</t>
  </si>
  <si>
    <t>2129919922640269312</t>
  </si>
  <si>
    <t>2129919922640269313</t>
  </si>
  <si>
    <t>426758</t>
  </si>
  <si>
    <t>2129189712525574144</t>
  </si>
  <si>
    <t>深圳中海油大厦生活垃圾清运合同</t>
  </si>
  <si>
    <t>JD-YWLX-055</t>
  </si>
  <si>
    <t>2129189676295132160</t>
  </si>
  <si>
    <t>SealSign-20250116-0175</t>
  </si>
  <si>
    <t>深圳中海油生活垃圾清运合同已到期，现申请合同续签（详见报备流程）：
单价：9500元/月（包干制）；
总价：114000元/年（含3%的增值税专用发票）
合同期限：2025年1月1日—2025年12月31日。
注：相比上期合同金额节省3600元/年。</t>
  </si>
  <si>
    <t>2025-01-24 19:59:16:405</t>
  </si>
  <si>
    <t>2025-01-16 16:44:19:919</t>
  </si>
  <si>
    <t>2025-06-26 19:08:58:856</t>
  </si>
  <si>
    <t>2129171822812336128</t>
  </si>
  <si>
    <t>2129189712525575168</t>
  </si>
  <si>
    <t>2129189712525575169</t>
  </si>
  <si>
    <t>45645</t>
  </si>
  <si>
    <t>2116635518581132288</t>
  </si>
  <si>
    <t>深圳中海油大厦B座35楼红外报警系统安装工程合同评审的申请</t>
  </si>
  <si>
    <t>2025-01-02</t>
  </si>
  <si>
    <t>2116635497332827136</t>
  </si>
  <si>
    <t>SealSign-20241230-0025</t>
  </si>
  <si>
    <t>深圳中海油大厦B座35楼客户新增需求，拟在办公室门口安装红外报警系统，项目通过直委方式选定合作单位（详见报备流程）：
合同金额：15642元（含3%的增值税专用发票）</t>
  </si>
  <si>
    <t>2025-01-03 14:00:52:449</t>
  </si>
  <si>
    <t>2024-12-30 09:13:44:120</t>
  </si>
  <si>
    <t>2025-04-15 02:20:33:503</t>
  </si>
  <si>
    <t>2116623839776482304</t>
  </si>
  <si>
    <t>2116635518581177344</t>
  </si>
  <si>
    <t>2116635518581177345</t>
  </si>
  <si>
    <t>42774</t>
  </si>
  <si>
    <t>2109423734656927744</t>
  </si>
  <si>
    <t>深圳中海油大厦三楼智能门锁安装合同评审的申请</t>
  </si>
  <si>
    <t>2025-12-26</t>
  </si>
  <si>
    <t>2024-12-27</t>
  </si>
  <si>
    <t>2109423707041631232</t>
  </si>
  <si>
    <t>SealSign-20241220-0089</t>
  </si>
  <si>
    <t xml:space="preserve">深圳中海油大厦AB座3楼会议室大门原采用挂锁形式，现申请更换智能门锁，甲方推荐深圳市华圣源实业发展有限公司，无书面函件，项目已通过直委报备形式（详见附件）：
合同金额：55664元（含6%的增值税专用发票）。
(以上为定标说明，请项目在发起合同时另行说明)
</t>
  </si>
  <si>
    <t>2024-12-31 08:53:09:054</t>
  </si>
  <si>
    <t>2024-12-20 10:25:29:203</t>
  </si>
  <si>
    <t>2025-04-15 02:19:04:095</t>
  </si>
  <si>
    <t>2109412197141647360</t>
  </si>
  <si>
    <t>2109423734656882688</t>
  </si>
  <si>
    <t>2109423734656882689</t>
  </si>
  <si>
    <t>428607</t>
  </si>
  <si>
    <t>2109408760958093312</t>
  </si>
  <si>
    <t>深圳中海油大厦A座大堂不锈钢自动门安装施工合同评审的申请</t>
  </si>
  <si>
    <t>2109408738199748608</t>
  </si>
  <si>
    <t>SealSign-20241220-0061</t>
  </si>
  <si>
    <t xml:space="preserve">关于商业粤东二管理中心中海油项目大堂不锈钢自动玻璃门安装采购品类需求，项目结算主体深圳市金地物业管理有限公司中海油大厦分公司 为一般纳税人 比价规则按照不含税总价最低者中标执行，有效报价供应商3家，经比价后拟定不含税总价最低的供应商深圳市泰盛源建筑装饰工程有限公司中标，税率1%，定标含税总金额5820元。
注：相比立项金额成本节省2180元。
</t>
  </si>
  <si>
    <t>2024-12-30 13:51:23:976</t>
  </si>
  <si>
    <t>2024-12-20 09:39:30:882</t>
  </si>
  <si>
    <t>2025-04-15 02:19:01:341</t>
  </si>
  <si>
    <t>2109389057804038144</t>
  </si>
  <si>
    <t>2109408760958048256</t>
  </si>
  <si>
    <t>2109408760958048257</t>
  </si>
  <si>
    <t>2108064964307606528</t>
  </si>
  <si>
    <t>深圳中海油大厦优地机器人租赁协议评审的申请</t>
  </si>
  <si>
    <t>2024-12-25</t>
  </si>
  <si>
    <t>2108064941280879616</t>
  </si>
  <si>
    <t>SealSign-20241218-0143</t>
  </si>
  <si>
    <t xml:space="preserve">中海油项目接甲方指示，需委托我司引入机器人服务，甲方指定由优地科技提供配送机器人一台供现场试运行（无指定文件），项目通过直委报备形式（详见附件）确定：
租赁费用为49056元/年（含税13%）；
合同期限：2025年1月1日—2025年12月31日；
说明：购销模式会相对节省成本，经沟通项目如采取购销模式要算甲方的资产，甲方需要上报北京海油公司，故甲方选择租赁模式。
(以上为定标说明，请项目在发起合同时另行说明)
</t>
  </si>
  <si>
    <t>2024-12-20 09:30:58:898</t>
  </si>
  <si>
    <t>2024-12-18 11:10:50:699</t>
  </si>
  <si>
    <t>2025-04-15 01:58:04:712</t>
  </si>
  <si>
    <t>2107985474739041280</t>
  </si>
  <si>
    <t>2108064964307651584</t>
  </si>
  <si>
    <t>2108064964307651585</t>
  </si>
  <si>
    <t>428675</t>
  </si>
  <si>
    <t>2102433248897424384</t>
  </si>
  <si>
    <t>GCFW-Z-2024-9707</t>
  </si>
  <si>
    <t>深圳中海油大厦楼层开窗器安装合同评审的申请</t>
  </si>
  <si>
    <t>2025-12-16</t>
  </si>
  <si>
    <t>贰万肆仟肆佰玖拾伍元</t>
  </si>
  <si>
    <t>2024-12-17</t>
  </si>
  <si>
    <t>2102433241825899520</t>
  </si>
  <si>
    <t>SealSign-20241210-0345</t>
  </si>
  <si>
    <t xml:space="preserve">关于商业粤东二管理中心中海油项目楼层开窗器安装采购品类需求，项目结算主体深圳市金地物业管理有限公司中海油大厦分公司 为一般纳税人， 比价规则按照不含税总价最低者中标执行，有效报价供应商3 家，经比价后拟定不含税总价最低的供应商深圳市南山区张记开锁王服务中心中标，税率3%，定标含税总金额20835元。
注：相比立项金额成本节省4165元。
(以上为定标说明，请项目在发起合同时另行说明)
</t>
  </si>
  <si>
    <t>2024-12-16 17:33:51:242</t>
  </si>
  <si>
    <t>2024-12-10 18:57:21:931</t>
  </si>
  <si>
    <t>2025-04-15 02:17:42:974</t>
  </si>
  <si>
    <t>2102422076227853312</t>
  </si>
  <si>
    <t>2102433248897469441</t>
  </si>
  <si>
    <t>2102433248897469440</t>
  </si>
  <si>
    <t>2097199359044137984</t>
  </si>
  <si>
    <t>关于深圳中海油大厦停车场许可证换证服务合同评审的申请</t>
  </si>
  <si>
    <t>2025-03-09</t>
  </si>
  <si>
    <t>2024-12-10</t>
  </si>
  <si>
    <t>2097199318124553216</t>
  </si>
  <si>
    <t>SealSign-20241203-0141</t>
  </si>
  <si>
    <t xml:space="preserve"> 深圳中海油大厦停车场经营许可证即将到期，因甲方无法自行办理经营许可证的年审工作，拟委托我司承接该项工作。项目与甲方及原办理单位深圳市华玮信科技有限公司沟通，本年度无整改项，费用则有所降低，现做如下续签（详见报备流程）：
合同金额：19780元（含税6%）。</t>
  </si>
  <si>
    <t>2024-12-09 08:49:31:322</t>
  </si>
  <si>
    <t>2024-12-03 13:58:43:684</t>
  </si>
  <si>
    <t>2025-04-15 01:40:42:629</t>
  </si>
  <si>
    <t>2097198336573531136</t>
  </si>
  <si>
    <t>2097199359044183040</t>
  </si>
  <si>
    <t>2097199359044183041</t>
  </si>
  <si>
    <t>46827</t>
  </si>
  <si>
    <t>2083495008199005184</t>
  </si>
  <si>
    <t>深圳中海油大厦B座42楼办公室工程改造合同评审的申请</t>
  </si>
  <si>
    <t>壹拾贰万捌仟零伍元</t>
  </si>
  <si>
    <t>2024-11-22</t>
  </si>
  <si>
    <t>2083494972379698176</t>
  </si>
  <si>
    <t>SealSign-20241114-0211</t>
  </si>
  <si>
    <t xml:space="preserve">关于商业粤东二管理中心中海油项目办公室工程改造采购需求，项目结算主体深圳市金地物业管理有限公司中海油大厦分公司为一般纳税人， 比价规则按照不含税总价最低者中标执行，有效报价供应商3家，经比价后拟定不含税总价最低的供应商深圳建安建筑装饰集团有限公司中标，税率9%，定标含税总金额93455元。
注：相比立项金额成本节省5545元。
</t>
  </si>
  <si>
    <t>2024-11-22 17:22:27:659</t>
  </si>
  <si>
    <t>2024-11-14 16:09:47:240</t>
  </si>
  <si>
    <t>2025-04-15 02:15:46:360</t>
  </si>
  <si>
    <t>2083493561902323712</t>
  </si>
  <si>
    <t>2083495008199050240</t>
  </si>
  <si>
    <t>2083495008199050241</t>
  </si>
  <si>
    <t>418634</t>
  </si>
  <si>
    <t>2000948484986903552</t>
  </si>
  <si>
    <t>深圳中海油大厦人脸识别机维修费率合同</t>
  </si>
  <si>
    <t>2025-04-30</t>
  </si>
  <si>
    <t>壹拾万零肆仟捌佰零肆元柒角陆分</t>
  </si>
  <si>
    <t>2023-08-10</t>
  </si>
  <si>
    <t>20075986</t>
  </si>
  <si>
    <t>杨久正</t>
  </si>
  <si>
    <t>V6.0</t>
  </si>
  <si>
    <t>1752116595041249280</t>
  </si>
  <si>
    <t>SealSign-20230815-042</t>
  </si>
  <si>
    <t>中海油项目楼层人脸识别机维修直委供方为深圳市富士智能股份有限公司，合同金额96954元，发票税率13%已核，合同期限以项目实际为准。</t>
  </si>
  <si>
    <t>2023-08-17 10:54:50:763</t>
  </si>
  <si>
    <t>2023-08-15 10:47:50:608</t>
  </si>
  <si>
    <t>2025-04-15 01:44:18:006</t>
  </si>
  <si>
    <t>1752109013090185216</t>
  </si>
  <si>
    <t>2000948484986902528</t>
  </si>
  <si>
    <t>2000948484986902529</t>
  </si>
  <si>
    <t>2000947464672122880</t>
  </si>
  <si>
    <t>关于深圳中海油项目B座907办公室隔墙改造及A11、12楼窗帘更换工程合同评审的申请</t>
  </si>
  <si>
    <t>玖万柒仟陆佰壹拾伍元</t>
  </si>
  <si>
    <t>2024-05-27</t>
  </si>
  <si>
    <t>1954636706275667968</t>
  </si>
  <si>
    <t>SealSign-20240520-0432</t>
  </si>
  <si>
    <t>深圳中海油项目B座907办公室隔墙改造及A11、12楼窗帘更通过金采易购线上三方比价：深圳建安建筑装饰集团有限公司报价最低57715元，含9%的增值税专用发票，申请为中标单位。</t>
  </si>
  <si>
    <t>2024-06-04 12:22:44:439</t>
  </si>
  <si>
    <t>2024-05-20 16:12:26:583</t>
  </si>
  <si>
    <t>2025-04-15 02:02:47:289</t>
  </si>
  <si>
    <t>1954484818305635328</t>
  </si>
  <si>
    <t>2000947464672123904</t>
  </si>
  <si>
    <t>2000947464672123905</t>
  </si>
  <si>
    <t>1712457122983192576</t>
  </si>
  <si>
    <t>深圳中海油大厦绿色物业专项资助申请 技术咨询服务合同</t>
  </si>
  <si>
    <t>2023-07-01</t>
  </si>
  <si>
    <t>JD-YWLX-085</t>
  </si>
  <si>
    <t>咨询服务</t>
  </si>
  <si>
    <t>咨询服务类</t>
  </si>
  <si>
    <t>1712457032344285184</t>
  </si>
  <si>
    <t>SealSign-20230621-117</t>
  </si>
  <si>
    <t>深圳中海油项目申报绿色物业专项资金补助合作商为深圳市拓诚建筑技术有限公司，合同金额120000元，发票税率3%，合同期限待定。</t>
  </si>
  <si>
    <t>2024-03-25 19:15:05:862</t>
  </si>
  <si>
    <t>2023-06-21 17:28:11:948</t>
  </si>
  <si>
    <t>2025-04-15 01:48:54:426</t>
  </si>
  <si>
    <t>1712447854074716160</t>
  </si>
  <si>
    <t>fxyz_consultingservices</t>
  </si>
  <si>
    <t>1712457122983237632</t>
  </si>
  <si>
    <t>132</t>
  </si>
  <si>
    <t>深圳市金地物业管理有限公司</t>
  </si>
  <si>
    <t>1712457122983237633</t>
  </si>
  <si>
    <t>416021</t>
  </si>
  <si>
    <t>深圳市拓诚建筑技术有限公司</t>
  </si>
  <si>
    <t>序号</t>
  </si>
  <si>
    <t>业务单号</t>
  </si>
  <si>
    <t>付款金额</t>
  </si>
  <si>
    <t>单据状态</t>
  </si>
  <si>
    <t>交易日期</t>
  </si>
  <si>
    <t>业务日期</t>
  </si>
  <si>
    <t>费用类型名称</t>
  </si>
  <si>
    <t>业务系统名称</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</si>
  <si>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</si>
  <si>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</si>
  <si>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</si>
  <si>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</si>
  <si>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</si>
  <si>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</si>
  <si>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</si>
  <si>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</si>
  <si>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</si>
  <si>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</si>
  <si>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</si>
  <si>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</si>
  <si>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</si>
  <si>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</si>
  <si>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</si>
  <si>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</si>
  <si>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</si>
  <si>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</si>
  <si>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</si>
  <si>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</si>
  <si>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</si>
  <si>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</si>
  <si>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</si>
  <si>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</si>
  <si>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</si>
  <si>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</si>
  <si>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</si>
  <si>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</si>
  <si>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</si>
  <si>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</si>
  <si>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</si>
  <si>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</si>
  <si>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</si>
  <si>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</si>
  <si>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</si>
  <si>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</si>
  <si>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</si>
  <si>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</si>
  <si>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</si>
  <si>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</si>
  <si>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</si>
  <si>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</si>
  <si>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</si>
  <si>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</si>
  <si>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</si>
  <si>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</si>
  <si>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</si>
  <si>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</si>
  <si>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</si>
  <si>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</si>
  <si>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</si>
  <si>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</si>
  <si>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</si>
  <si>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</si>
  <si>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</si>
  <si>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</si>
  <si>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</si>
  <si>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</si>
  <si>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</si>
  <si>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</si>
  <si>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</si>
  <si>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</si>
  <si>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</si>
  <si>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</si>
  <si>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</si>
  <si>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</si>
  <si>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</si>
  <si>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</si>
  <si>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</si>
  <si>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12</t>
  </si>
  <si>
    <t>对公报销单</t>
  </si>
  <si>
    <t>DGBX-250325-0023513</t>
  </si>
  <si>
    <t>已审核</t>
  </si>
  <si>
    <t>FK-WY.SZ.25-20250331-000077</t>
  </si>
  <si>
    <t>深圳市金地物业管理有限公司中海油大厦分公司（深圳中海油大厦）</t>
  </si>
  <si>
    <t>深圳市华宇讯科技有限公司</t>
  </si>
  <si>
    <t>付款成功</t>
  </si>
  <si>
    <t>已付款</t>
  </si>
  <si>
    <t>2025-04-23</t>
  </si>
  <si>
    <t>招商银行股份有限公司深圳创维大厦支行</t>
  </si>
  <si>
    <t>755930731610901</t>
  </si>
  <si>
    <t>744557930351</t>
  </si>
  <si>
    <t>中国银行股份有限公司深圳上步支行</t>
  </si>
  <si>
    <t>中海油生日电影票费用</t>
  </si>
  <si>
    <t>雷程霞</t>
  </si>
  <si>
    <t>费用</t>
  </si>
  <si>
    <t>已过账</t>
  </si>
  <si>
    <t>未生成</t>
  </si>
  <si>
    <t>WY.SZ.25-202504-0042</t>
  </si>
  <si>
    <t>0013</t>
  </si>
  <si>
    <t>250411000956</t>
  </si>
  <si>
    <t>采购付款</t>
  </si>
  <si>
    <t>付 WY.SZ.25-202504-0042</t>
  </si>
  <si>
    <t>主动付款</t>
  </si>
  <si>
    <t>人工费用.节日及餐费福利</t>
  </si>
  <si>
    <t>其他付款</t>
  </si>
  <si>
    <t>2025年4期</t>
  </si>
  <si>
    <t>深圳市金地物业管理有限公司深圳本部</t>
  </si>
  <si>
    <t>13</t>
  </si>
  <si>
    <t>FK250213000662</t>
  </si>
  <si>
    <t>FK-WY.SZ.25-20250218-000037</t>
  </si>
  <si>
    <t>2025-02-13</t>
  </si>
  <si>
    <t>000165561494</t>
  </si>
  <si>
    <t>深圳农村商业银行股份有限公司梅林支行</t>
  </si>
  <si>
    <t>金采易购</t>
  </si>
  <si>
    <t>深圳中海油大厦2024年12月饮水机滤芯配件采购费用报销申请</t>
  </si>
  <si>
    <t>WY.SZ.25-202504-0049</t>
  </si>
  <si>
    <t>0021</t>
  </si>
  <si>
    <t>250411000978</t>
  </si>
  <si>
    <t>付 WY.SZ.25-202504-0049</t>
  </si>
  <si>
    <t>厨卫电器</t>
  </si>
  <si>
    <t>物料消耗.物料消耗</t>
  </si>
  <si>
    <t>CF250206000219</t>
  </si>
  <si>
    <t>AP-202502-0011660</t>
  </si>
  <si>
    <t>14</t>
  </si>
  <si>
    <t>15</t>
  </si>
  <si>
    <t>16</t>
  </si>
  <si>
    <t>FK250121001002</t>
  </si>
  <si>
    <t>FK-WY.SZ.25-20250205-000022</t>
  </si>
  <si>
    <t>2025-01-21</t>
  </si>
  <si>
    <t>15572467570014</t>
  </si>
  <si>
    <t>平安银行深圳南海支行</t>
  </si>
  <si>
    <t>深圳中海油大厦2024年12月茶叶采购费用报销申请</t>
  </si>
  <si>
    <t>WY.SZ.25-202504-0052</t>
  </si>
  <si>
    <t>0024</t>
  </si>
  <si>
    <t>250411000993</t>
  </si>
  <si>
    <t>付 WY.SZ.25-202504-0052</t>
  </si>
  <si>
    <t>日杂生活</t>
  </si>
  <si>
    <t>CF250121000560</t>
  </si>
  <si>
    <t>AP-202501-0008856</t>
  </si>
  <si>
    <t>17</t>
  </si>
  <si>
    <t>FK250121000969</t>
  </si>
  <si>
    <t>FK-WY.SZ.25-20250205-000021</t>
  </si>
  <si>
    <t>44001541714053002218</t>
  </si>
  <si>
    <t>中国建设银行股份有限公司增城新塘港口大道支行</t>
  </si>
  <si>
    <t>深圳中海油大厦2024年12月灯具采购费用报销申请</t>
  </si>
  <si>
    <t>WY.SZ.25-202504-0050</t>
  </si>
  <si>
    <t>0020</t>
  </si>
  <si>
    <t>250411000965</t>
  </si>
  <si>
    <t>付 WY.SZ.25-202504-0050</t>
  </si>
  <si>
    <t>ZB20221124JCWZ01</t>
  </si>
  <si>
    <t>CF241211000132</t>
  </si>
  <si>
    <t>AP-202412-0139226</t>
  </si>
  <si>
    <t>18</t>
  </si>
  <si>
    <t>19</t>
  </si>
  <si>
    <t>FK250121000251</t>
  </si>
  <si>
    <t>FK-WY.SZ.25-20250205-000020</t>
  </si>
  <si>
    <t>201000196713584</t>
  </si>
  <si>
    <t>浙江江山农村商业银行股份有限公司中山支行</t>
  </si>
  <si>
    <t>报销深圳中海油大厦2024年12月消防用品费用</t>
  </si>
  <si>
    <t>WY.SZ.25-202504-0048</t>
  </si>
  <si>
    <t>0022</t>
  </si>
  <si>
    <t>250411000990</t>
  </si>
  <si>
    <t>付 WY.SZ.25-202504-0048</t>
  </si>
  <si>
    <t>ZB20230601JCWZ01-01</t>
  </si>
  <si>
    <t>CF241211000747</t>
  </si>
  <si>
    <t>AP-202412-0139688</t>
  </si>
  <si>
    <t>20</t>
  </si>
  <si>
    <t>2293</t>
  </si>
  <si>
    <t>付款单</t>
  </si>
  <si>
    <t>FK-WY.SY.PQ.03-20250328-000178</t>
  </si>
  <si>
    <t>FK-WY.SZ.01-20250402-004095</t>
  </si>
  <si>
    <t>富德财产保险股份有限公司深圳分公司</t>
  </si>
  <si>
    <t>2025-04-11</t>
  </si>
  <si>
    <t>招商银行股份有限公司深圳华润城支行</t>
  </si>
  <si>
    <t>818380414510001</t>
  </si>
  <si>
    <t>41000500040030420</t>
  </si>
  <si>
    <t>中国农业银行深圳市分行营业部</t>
  </si>
  <si>
    <t>深圳中海油项目公众责任险费用报销</t>
  </si>
  <si>
    <t>2025-04-02</t>
  </si>
  <si>
    <t>出纳</t>
  </si>
  <si>
    <t>WY.SZ.01-202504-0144</t>
  </si>
  <si>
    <t>0007</t>
  </si>
  <si>
    <t>250410003929</t>
  </si>
  <si>
    <t>代付款</t>
  </si>
  <si>
    <t>付 WY.SZ.01-202504-0144</t>
  </si>
  <si>
    <t>DGBX-250324-0023246</t>
  </si>
  <si>
    <t>财产费用.财产保险费</t>
  </si>
  <si>
    <t>深圳市金地物业管理有限公司-粤东二片区本部</t>
  </si>
  <si>
    <t>2594</t>
  </si>
  <si>
    <t>DGBX-250324-0023019</t>
  </si>
  <si>
    <t>FK-WY.SZ.25-20250327-000074</t>
  </si>
  <si>
    <t>鄢胜</t>
  </si>
  <si>
    <t>6217906500047265556</t>
  </si>
  <si>
    <t>中国银行股份有限公司南丰支行</t>
  </si>
  <si>
    <t>中海油2月宿舍租金</t>
  </si>
  <si>
    <t>WY.SZ.25-202504-0016</t>
  </si>
  <si>
    <t>0003</t>
  </si>
  <si>
    <t>250411000952</t>
  </si>
  <si>
    <t>付 WY.SZ.25-202504-0016</t>
  </si>
  <si>
    <t>人工费用.宿舍费</t>
  </si>
  <si>
    <t>FWL-Z-2025-00136</t>
  </si>
  <si>
    <t>2595</t>
  </si>
  <si>
    <t>日常报销单</t>
  </si>
  <si>
    <t>FYBX-WY.SZ.25-20250313-000018</t>
  </si>
  <si>
    <t>FK-WY.SZ.25-20250317-000071</t>
  </si>
  <si>
    <t>赖盈</t>
  </si>
  <si>
    <t>6214830052973772</t>
  </si>
  <si>
    <t>招商银行深圳东滨支行</t>
  </si>
  <si>
    <t>中海油3月福利费报销</t>
  </si>
  <si>
    <t>WY.SZ.25-202504-0002</t>
  </si>
  <si>
    <t>0005</t>
  </si>
  <si>
    <t>250411000958</t>
  </si>
  <si>
    <t>费用报销</t>
  </si>
  <si>
    <t>付 WY.SZ.25-202504-0002</t>
  </si>
  <si>
    <t>职员</t>
  </si>
  <si>
    <t>2596</t>
  </si>
  <si>
    <t>DGBX-250310-0017631</t>
  </si>
  <si>
    <t>FK-WY.SZ.25-20250311-000070</t>
  </si>
  <si>
    <t>深圳市招商公寓发展有限公司</t>
  </si>
  <si>
    <t>812281067610001</t>
  </si>
  <si>
    <t>招商银行深圳新时代支行</t>
  </si>
  <si>
    <t>中海油3月宿舍租金</t>
  </si>
  <si>
    <t>WY.SZ.25-202504-0015</t>
  </si>
  <si>
    <t>0004</t>
  </si>
  <si>
    <t>250411000957</t>
  </si>
  <si>
    <t>付 WY.SZ.25-202504-0015</t>
  </si>
  <si>
    <t>FWL-Z-2024-0942</t>
  </si>
  <si>
    <t>2597</t>
  </si>
  <si>
    <t>FYBX-WY.SZ.25-20250307-000015</t>
  </si>
  <si>
    <t>FK-WY.SZ.25-20250311-000069</t>
  </si>
  <si>
    <t>李冬梅</t>
  </si>
  <si>
    <t>6228481528808544174</t>
  </si>
  <si>
    <t>中国农业银行股份有限公司灵山武利支行</t>
  </si>
  <si>
    <t>中海油</t>
  </si>
  <si>
    <t>WY.SZ.25-202504-0003</t>
  </si>
  <si>
    <t>0006</t>
  </si>
  <si>
    <t>250411000959</t>
  </si>
  <si>
    <t>付 WY.SZ.25-202504-0003</t>
  </si>
  <si>
    <t>非并表</t>
  </si>
  <si>
    <t>2598</t>
  </si>
  <si>
    <t>DGBX-250304-0015717</t>
  </si>
  <si>
    <t>FK-WY.SZ.25-20250305-000067</t>
  </si>
  <si>
    <t>深圳市喜朋酒店管理有限公司</t>
  </si>
  <si>
    <t>2025-03-05</t>
  </si>
  <si>
    <t>4000021109201682364</t>
  </si>
  <si>
    <t>中国工商银行股份有限公司深圳东门支行</t>
  </si>
  <si>
    <t>WY.SZ.25-202504-0014</t>
  </si>
  <si>
    <t>0002</t>
  </si>
  <si>
    <t>250411000954</t>
  </si>
  <si>
    <t>付 WY.SZ.25-202504-0014</t>
  </si>
  <si>
    <t>FWL-Z-2024-0944</t>
  </si>
  <si>
    <t>2599</t>
  </si>
  <si>
    <t>FK250226000640</t>
  </si>
  <si>
    <t>FK-WY.SZ.25-20250303-000058</t>
  </si>
  <si>
    <t>2025-02-26</t>
  </si>
  <si>
    <t>5038200001810200027746</t>
  </si>
  <si>
    <t>华夏银行股份有限公司广州越秀支行</t>
  </si>
  <si>
    <t>深圳中海油项目微信小程序开发费用付款申请</t>
  </si>
  <si>
    <t>WY.SZ.25-202504-0010</t>
  </si>
  <si>
    <t>0011</t>
  </si>
  <si>
    <t>250411000963</t>
  </si>
  <si>
    <t>付 WY.SZ.25-202504-0010</t>
  </si>
  <si>
    <t>外包服务费.其他外包费</t>
  </si>
  <si>
    <t>QTFW-Z-2024-0511</t>
  </si>
  <si>
    <t>CF250226000136</t>
  </si>
  <si>
    <t>AP-202502-0019717</t>
  </si>
  <si>
    <t>2600</t>
  </si>
  <si>
    <t>FK250226000648</t>
  </si>
  <si>
    <t>FK-WY.SZ.25-20250303-000057</t>
  </si>
  <si>
    <t>44250100003400002642</t>
  </si>
  <si>
    <t>中国建设银行股份有限公司深圳市分行营业部</t>
  </si>
  <si>
    <t>深圳中海油大厦楼层办公室地毯铺贴工程付款申请</t>
  </si>
  <si>
    <t>WY.SZ.25-202504-0011</t>
  </si>
  <si>
    <t>0009</t>
  </si>
  <si>
    <t>250411000961</t>
  </si>
  <si>
    <t>付 WY.SZ.25-202504-0011</t>
  </si>
  <si>
    <t>外包服务费.工程施工外包</t>
  </si>
  <si>
    <t>GCFW-Z-2024-6026</t>
  </si>
  <si>
    <t>CF250226000128</t>
  </si>
  <si>
    <t>AP-202502-0019718</t>
  </si>
  <si>
    <t>2601</t>
  </si>
  <si>
    <t>FK250213000871</t>
  </si>
  <si>
    <t>FK-WY.SZ.25-20250218-000043</t>
  </si>
  <si>
    <t>4000023119200364150</t>
  </si>
  <si>
    <t>中国工商银行股份有限公司深圳麒麟支行</t>
  </si>
  <si>
    <t>报销深圳中海油大厦项目12月生活垃圾清运服务费用的申请</t>
  </si>
  <si>
    <t>WY.SZ.25-202504-0009</t>
  </si>
  <si>
    <t>250411000971</t>
  </si>
  <si>
    <t>付 WY.SZ.25-202504-0009</t>
  </si>
  <si>
    <t>外包服务费.生活垃圾清运外包</t>
  </si>
  <si>
    <t>HJFW-Z-2024-3403</t>
  </si>
  <si>
    <t>CF250213000462</t>
  </si>
  <si>
    <t>AP-202502-0014219</t>
  </si>
  <si>
    <t>2602</t>
  </si>
  <si>
    <t>FK250213000318</t>
  </si>
  <si>
    <t>FK-WY.SZ.25-20250218-000041</t>
  </si>
  <si>
    <t>报销深圳中海油大厦B座42楼客户办公室工程改造费用</t>
  </si>
  <si>
    <t>WY.SZ.25-202504-0013</t>
  </si>
  <si>
    <t>0010</t>
  </si>
  <si>
    <t>250411000997</t>
  </si>
  <si>
    <t>付 WY.SZ.25-202504-0013</t>
  </si>
  <si>
    <t>CF250213000149</t>
  </si>
  <si>
    <t>AP-202502-0013891</t>
  </si>
  <si>
    <t>2603</t>
  </si>
  <si>
    <t>FK250213001169</t>
  </si>
  <si>
    <t>FK-WY.SZ.25-20250218-000035</t>
  </si>
  <si>
    <t>41011900040004879</t>
  </si>
  <si>
    <t>中国农业银行深圳香梅支行</t>
  </si>
  <si>
    <t>报销深圳中海油大厦项目12月建筑垃圾清运费用的申请</t>
  </si>
  <si>
    <t>WY.SZ.25-202504-0012</t>
  </si>
  <si>
    <t>0008</t>
  </si>
  <si>
    <t>250411000995</t>
  </si>
  <si>
    <t>付 WY.SZ.25-202504-0012</t>
  </si>
  <si>
    <t>外包服务费.装修垃圾清运外包</t>
  </si>
  <si>
    <t>HJFW-Z-2024-3416</t>
  </si>
  <si>
    <t>CF250213000561</t>
  </si>
  <si>
    <t>AP-202502-0014344</t>
  </si>
  <si>
    <t>3208</t>
  </si>
  <si>
    <t>FK250402000969</t>
  </si>
  <si>
    <t>FK-WY.SY.PQ.03-20250409-000212</t>
  </si>
  <si>
    <t>443899991010008837009</t>
  </si>
  <si>
    <t>交通银行股份有限公司深圳布吉支行</t>
  </si>
  <si>
    <t>深圳中海油项目绿色物业专项资助费用的付款申请</t>
  </si>
  <si>
    <t>业财用户</t>
  </si>
  <si>
    <t>2025-04-09</t>
  </si>
  <si>
    <t>WY.SY.PQ.03-202505-0012</t>
  </si>
  <si>
    <t>0074</t>
  </si>
  <si>
    <t>2025-05-31</t>
  </si>
  <si>
    <t>转 WY.SY.PQ.03-202505-0012</t>
  </si>
  <si>
    <t>第三方咨询</t>
  </si>
  <si>
    <t>业务活动.咨询服务费</t>
  </si>
  <si>
    <t>CF250402000337</t>
  </si>
  <si>
    <t>2025年5期</t>
  </si>
  <si>
    <t>AP-202504-0036607</t>
  </si>
  <si>
    <t>3755</t>
  </si>
  <si>
    <t>2025-03-28</t>
  </si>
  <si>
    <t>WY.SY.PQ.03-202504-0034</t>
  </si>
  <si>
    <t>0088</t>
  </si>
  <si>
    <t>转 WY.SY.PQ.03-202504-0034</t>
  </si>
  <si>
    <t>7398</t>
  </si>
  <si>
    <t>FK-WY.SY.PQ.03-20250214-000085</t>
  </si>
  <si>
    <t>FK-WY.SZ.01-20250214-001795</t>
  </si>
  <si>
    <t>陈曼丹</t>
  </si>
  <si>
    <t>2025-03-14</t>
  </si>
  <si>
    <t>6214837550140622</t>
  </si>
  <si>
    <t>招商银行深圳福田支行</t>
  </si>
  <si>
    <t>2025-03-04</t>
  </si>
  <si>
    <t>WY.SZ.01-202503-0921,WY.SY.PQ.03-202503-0052</t>
  </si>
  <si>
    <t>0793</t>
  </si>
  <si>
    <t>250310001654</t>
  </si>
  <si>
    <t>转 WY.SY.PQ.03-202503-0052,付 WY.SZ.01-202503-0921</t>
  </si>
  <si>
    <t>WY.SZ.01-202503-0921</t>
  </si>
  <si>
    <t>业务活动.业务招待费</t>
  </si>
  <si>
    <t>2025年3期</t>
  </si>
  <si>
    <t>9213</t>
  </si>
  <si>
    <t>DGBX-250304-0015736</t>
  </si>
  <si>
    <t>FK-WY.SZ.25-20250305-000066</t>
  </si>
  <si>
    <t>张志平</t>
  </si>
  <si>
    <t>6222621310021972043</t>
  </si>
  <si>
    <t>交通银行股份有限公司深圳学府支行</t>
  </si>
  <si>
    <t>中海油1月宿舍租金</t>
  </si>
  <si>
    <t>FWL-Z-2024-0945</t>
  </si>
  <si>
    <t>12185</t>
  </si>
  <si>
    <t>DGBX-250604-0041951</t>
  </si>
  <si>
    <t>FK-WY.SZ.25-20250610-000170</t>
  </si>
  <si>
    <t>中海油6月租金</t>
  </si>
  <si>
    <t>林慧</t>
  </si>
  <si>
    <t>2025-06-11</t>
  </si>
  <si>
    <t>WY.SZ.25-202506-0123</t>
  </si>
  <si>
    <t>0037</t>
  </si>
  <si>
    <t>250619000628</t>
  </si>
  <si>
    <t>2025-06-30</t>
  </si>
  <si>
    <t>付 WY.SZ.25-202506-0123</t>
  </si>
  <si>
    <t>2025年6期</t>
  </si>
  <si>
    <t>12186</t>
  </si>
  <si>
    <t>DGBX-250604-0041991</t>
  </si>
  <si>
    <t>FK-WY.SZ.25-20250606-000167</t>
  </si>
  <si>
    <t>WY.SZ.25-202506-0124</t>
  </si>
  <si>
    <t>0038</t>
  </si>
  <si>
    <t>250619000630</t>
  </si>
  <si>
    <t>付 WY.SZ.25-202506-0124</t>
  </si>
  <si>
    <t>12187</t>
  </si>
  <si>
    <t>FK250515000340</t>
  </si>
  <si>
    <t>FK-WY.SZ.25-20250520-000151</t>
  </si>
  <si>
    <t>2025-05-15</t>
  </si>
  <si>
    <t>811287721210001</t>
  </si>
  <si>
    <t>招商银行深圳蛇口支行</t>
  </si>
  <si>
    <t>报销深圳中海油大厦客户楼层开窗器安装费用（第一期）</t>
  </si>
  <si>
    <t>2025-05-30</t>
  </si>
  <si>
    <t>WY.SZ.25-202506-0121</t>
  </si>
  <si>
    <t>0044</t>
  </si>
  <si>
    <t>250611000481</t>
  </si>
  <si>
    <t>付 WY.SZ.25-202506-0121</t>
  </si>
  <si>
    <t>CF250515000158</t>
  </si>
  <si>
    <t>AP-202505-0052683</t>
  </si>
  <si>
    <t>12188</t>
  </si>
  <si>
    <t>FK250515000113</t>
  </si>
  <si>
    <t>FK-WY.SZ.25-20250519-000148</t>
  </si>
  <si>
    <t>15333446480065</t>
  </si>
  <si>
    <t>平安银行深圳福田支行</t>
  </si>
  <si>
    <t>报销中海油大厦2024年办公设备维保费用</t>
  </si>
  <si>
    <t>WY.SZ.25-202506-0114</t>
  </si>
  <si>
    <t>0053</t>
  </si>
  <si>
    <t>250611000482</t>
  </si>
  <si>
    <t>付 WY.SZ.25-202506-0114</t>
  </si>
  <si>
    <t>外包服务费.设备设施维保外包</t>
  </si>
  <si>
    <t>QTFW-Z-2024-0182</t>
  </si>
  <si>
    <t>CF250508000556</t>
  </si>
  <si>
    <t>AP-202505-0048383,AP-202505-0049882</t>
  </si>
  <si>
    <t>12189</t>
  </si>
  <si>
    <t>CF250506000486</t>
  </si>
  <si>
    <t>12190</t>
  </si>
  <si>
    <t>FK250506000081</t>
  </si>
  <si>
    <t>FK-WY.SZ.25-20250514-000138</t>
  </si>
  <si>
    <t>2025-05-06</t>
  </si>
  <si>
    <t>44201628800052503653</t>
  </si>
  <si>
    <t>中国建设银行股份有限公司深圳石岩支行</t>
  </si>
  <si>
    <t>报销深圳中海油大厦2025年1季度物资搬运费用</t>
  </si>
  <si>
    <t>WY.SZ.25-202506-0118</t>
  </si>
  <si>
    <t>0042</t>
  </si>
  <si>
    <t>250611000491</t>
  </si>
  <si>
    <t>付 WY.SZ.25-202506-0118</t>
  </si>
  <si>
    <t>CF250430000291</t>
  </si>
  <si>
    <t>AP-202504-0047668</t>
  </si>
  <si>
    <t>12191</t>
  </si>
  <si>
    <t>FK250512001248</t>
  </si>
  <si>
    <t>FK-WY.SZ.25-20250514-000136</t>
  </si>
  <si>
    <t>2025-05-12</t>
  </si>
  <si>
    <t>深圳中海油大厦B座907办公室隔墙改造及A11、12楼窗帘更换付款申请</t>
  </si>
  <si>
    <t>WY.SZ.25-202506-0116</t>
  </si>
  <si>
    <t>0043</t>
  </si>
  <si>
    <t>250611000484</t>
  </si>
  <si>
    <t>付 WY.SZ.25-202506-0116</t>
  </si>
  <si>
    <t>CF250507000613</t>
  </si>
  <si>
    <t>AP-202505-0050997</t>
  </si>
  <si>
    <t>12192</t>
  </si>
  <si>
    <t>FK250509000462</t>
  </si>
  <si>
    <t>FK-WY.SZ.25-20250514-000134</t>
  </si>
  <si>
    <t>2025-05-09</t>
  </si>
  <si>
    <t>443066371018010058344</t>
  </si>
  <si>
    <t>交通银行股份有限公司深圳宝民支行</t>
  </si>
  <si>
    <t>报销深圳中海油大厦2025年1季度UPS设备维保费用</t>
  </si>
  <si>
    <t>WY.SZ.25-202506-0117</t>
  </si>
  <si>
    <t>0039</t>
  </si>
  <si>
    <t>250611000492</t>
  </si>
  <si>
    <t>付 WY.SZ.25-202506-0117</t>
  </si>
  <si>
    <t>CF250508000034</t>
  </si>
  <si>
    <t>AP-202505-0049307</t>
  </si>
  <si>
    <t>12193</t>
  </si>
  <si>
    <t>12194</t>
  </si>
  <si>
    <t>12195</t>
  </si>
  <si>
    <t>FK250506000072</t>
  </si>
  <si>
    <t>FK-WY.SZ.25-20250514-000129</t>
  </si>
  <si>
    <t>699588394</t>
  </si>
  <si>
    <t>中国民生银行股份有限公司深圳深圳湾支行</t>
  </si>
  <si>
    <t>报销深圳中海油2025年1季度零星工程维修费用</t>
  </si>
  <si>
    <t>WY.SZ.25-202506-0119</t>
  </si>
  <si>
    <t>0040</t>
  </si>
  <si>
    <t>250611000489</t>
  </si>
  <si>
    <t>付 WY.SZ.25-202506-0119</t>
  </si>
  <si>
    <t>CF250430000295</t>
  </si>
  <si>
    <t>AP-202504-0047676,AP-202504-0047675</t>
  </si>
  <si>
    <t>12196</t>
  </si>
  <si>
    <t>CF250430000297</t>
  </si>
  <si>
    <t>12197</t>
  </si>
  <si>
    <t>FK250512000699</t>
  </si>
  <si>
    <t>FK-WY.SZ.25-20250514-000128</t>
  </si>
  <si>
    <t>813181446310001</t>
  </si>
  <si>
    <t>招商银行股份有限公司深圳总行大厦营业部</t>
  </si>
  <si>
    <t>报销深圳中海油大厦2025年1、2期化粪池清掏费用</t>
  </si>
  <si>
    <t>WY.SZ.25-202506-0113</t>
  </si>
  <si>
    <t>0041</t>
  </si>
  <si>
    <t>250611000486</t>
  </si>
  <si>
    <t>付 WY.SZ.25-202506-0113</t>
  </si>
  <si>
    <t>外包服务费.保洁外包</t>
  </si>
  <si>
    <t>CF250507000343</t>
  </si>
  <si>
    <t>AP-202505-0049312,AP-202505-0049310</t>
  </si>
  <si>
    <t>12198</t>
  </si>
  <si>
    <t>CF250507000327</t>
  </si>
  <si>
    <t>12199</t>
  </si>
  <si>
    <t>DGBX-250512-0036721</t>
  </si>
  <si>
    <t>FK-WY.SZ.25-20250514-000127</t>
  </si>
  <si>
    <t>2025-05-14</t>
  </si>
  <si>
    <t>中海油5月培训费</t>
  </si>
  <si>
    <t>WY.SZ.25-202506-0122</t>
  </si>
  <si>
    <t>0036</t>
  </si>
  <si>
    <t>250619000629</t>
  </si>
  <si>
    <t>付 WY.SZ.25-202506-0122</t>
  </si>
  <si>
    <t>人工费用.职工教育费</t>
  </si>
  <si>
    <t>12200</t>
  </si>
  <si>
    <t>FK250509000474</t>
  </si>
  <si>
    <t>FK-WY.SZ.25-20250514-000123</t>
  </si>
  <si>
    <t>44201583900052509072</t>
  </si>
  <si>
    <t>中国建设银行股份有限公司深圳南山大道支行</t>
  </si>
  <si>
    <t>报销深圳中海油大厦2024年绝缘工具检测服务费用</t>
  </si>
  <si>
    <t>WY.SZ.25-202506-0115</t>
  </si>
  <si>
    <t>0046</t>
  </si>
  <si>
    <t>250611000488</t>
  </si>
  <si>
    <t>付 WY.SZ.25-202506-0115</t>
  </si>
  <si>
    <t>GCFW-Z-2024-5520</t>
  </si>
  <si>
    <t>CF250507000346</t>
  </si>
  <si>
    <t>AP-202505-0049309</t>
  </si>
  <si>
    <t>12201</t>
  </si>
  <si>
    <t>FK250226000848</t>
  </si>
  <si>
    <t>FK-WY.SZ.25-20250402-000045</t>
  </si>
  <si>
    <t>44201017300052505498</t>
  </si>
  <si>
    <t>中国建设银行股份有限公司深圳侨城西支行</t>
  </si>
  <si>
    <t>报销深圳中海油大厦2025年2月饮用水类物资采购费用</t>
  </si>
  <si>
    <t>WY.SZ.25-202506-0110</t>
  </si>
  <si>
    <t>0047</t>
  </si>
  <si>
    <t>250611000462</t>
  </si>
  <si>
    <t>付 WY.SZ.25-202506-0110</t>
  </si>
  <si>
    <t>CF250221000077</t>
  </si>
  <si>
    <t>AP-202502-0017891</t>
  </si>
  <si>
    <t>12202</t>
  </si>
  <si>
    <t>FK250226000837</t>
  </si>
  <si>
    <t>FK-WY.SZ.25-20250304-000064</t>
  </si>
  <si>
    <t>11014596419008</t>
  </si>
  <si>
    <t>平安银行深圳罗岗支行</t>
  </si>
  <si>
    <t>报销深圳中海油大厦技能比武物资采购费用</t>
  </si>
  <si>
    <t>WY.SZ.25-202506-0111</t>
  </si>
  <si>
    <t>0051</t>
  </si>
  <si>
    <t>250611000461</t>
  </si>
  <si>
    <t>付 WY.SZ.25-202506-0111</t>
  </si>
  <si>
    <t>CF250217000185</t>
  </si>
  <si>
    <t>AP-202502-0015394</t>
  </si>
  <si>
    <t>12203</t>
  </si>
  <si>
    <t>FK250226000853</t>
  </si>
  <si>
    <t>FK-WY.SZ.25-20250304-000063</t>
  </si>
  <si>
    <t>450766344103</t>
  </si>
  <si>
    <t>中国银行上海市张江支行</t>
  </si>
  <si>
    <t>报销深圳中海油大厦2025年2月综合类物资采购费用</t>
  </si>
  <si>
    <t>WY.SZ.25-202506-0112</t>
  </si>
  <si>
    <t>0052</t>
  </si>
  <si>
    <t>250611000474</t>
  </si>
  <si>
    <t>付 WY.SZ.25-202506-0112</t>
  </si>
  <si>
    <t>ZB20210901JCWZ02</t>
  </si>
  <si>
    <t>CF250220000282</t>
  </si>
  <si>
    <t>AP-202502-0019760</t>
  </si>
  <si>
    <t>12204</t>
  </si>
  <si>
    <t>清洁纸品</t>
  </si>
  <si>
    <t>12205</t>
  </si>
  <si>
    <t>工具配件</t>
  </si>
  <si>
    <t>12206</t>
  </si>
  <si>
    <t>仪器仪表</t>
  </si>
  <si>
    <t>12207</t>
  </si>
  <si>
    <t>车辆</t>
  </si>
  <si>
    <t>12208</t>
  </si>
  <si>
    <t>12209</t>
  </si>
  <si>
    <t>12210</t>
  </si>
  <si>
    <t>12211</t>
  </si>
  <si>
    <t>手动工具</t>
  </si>
  <si>
    <t>12212</t>
  </si>
  <si>
    <t>12213</t>
  </si>
  <si>
    <t>12214</t>
  </si>
  <si>
    <t>12215</t>
  </si>
  <si>
    <t>12216</t>
  </si>
  <si>
    <t>12217</t>
  </si>
  <si>
    <t>节庆饰品</t>
  </si>
  <si>
    <t>12218</t>
  </si>
  <si>
    <t>办公设备</t>
  </si>
  <si>
    <t>12219</t>
  </si>
  <si>
    <t>12220</t>
  </si>
  <si>
    <t>12221</t>
  </si>
  <si>
    <t>12222</t>
  </si>
  <si>
    <t>12223</t>
  </si>
  <si>
    <t>12224</t>
  </si>
  <si>
    <t>12225</t>
  </si>
  <si>
    <t>12226</t>
  </si>
  <si>
    <t>12227</t>
  </si>
  <si>
    <t>12228</t>
  </si>
  <si>
    <t>12229</t>
  </si>
  <si>
    <t>12230</t>
  </si>
  <si>
    <t>12231</t>
  </si>
  <si>
    <t>12232</t>
  </si>
  <si>
    <t>12233</t>
  </si>
  <si>
    <t>安防设施</t>
  </si>
  <si>
    <t>12234</t>
  </si>
  <si>
    <t>12235</t>
  </si>
  <si>
    <t>12236</t>
  </si>
  <si>
    <t>FK250226000870</t>
  </si>
  <si>
    <t>FK-WY.SZ.25-20250304-000060</t>
  </si>
  <si>
    <t>747173222403</t>
  </si>
  <si>
    <t>中国银行股份有限公司深圳文锦广场支行</t>
  </si>
  <si>
    <t>报销深圳中海油大厦2025年2月摄像头类物资采购费用</t>
  </si>
  <si>
    <t>WY.SZ.25-202506-0107</t>
  </si>
  <si>
    <t>0048</t>
  </si>
  <si>
    <t>250611000472</t>
  </si>
  <si>
    <t>付 WY.SZ.25-202506-0107</t>
  </si>
  <si>
    <t>XHWZ-Z-2023-0020</t>
  </si>
  <si>
    <t>CF250217000219</t>
  </si>
  <si>
    <t>AP-202502-0015393</t>
  </si>
  <si>
    <t>12237</t>
  </si>
  <si>
    <t>FK250219000516</t>
  </si>
  <si>
    <t>FK-WY.SZ.25-20250222-000052</t>
  </si>
  <si>
    <t>2025-02-19</t>
  </si>
  <si>
    <t>443066106018001433489</t>
  </si>
  <si>
    <t>交通银行股份有限公司深圳蛇口支行</t>
  </si>
  <si>
    <t>深圳中海油大厦2024年12月三楼智能门锁安装付款申请</t>
  </si>
  <si>
    <t>WY.SZ.25-202506-0120</t>
  </si>
  <si>
    <t>0045</t>
  </si>
  <si>
    <t>250521001728</t>
  </si>
  <si>
    <t>付 WY.SZ.25-202506-0120</t>
  </si>
  <si>
    <t>CF250218000279</t>
  </si>
  <si>
    <t>AP-202502-0016236</t>
  </si>
  <si>
    <t>12238</t>
  </si>
  <si>
    <t>FK250213000720</t>
  </si>
  <si>
    <t>FK-WY.SZ.25-20250218-000036</t>
  </si>
  <si>
    <t>深圳中海油大厦2025年1月工程灯具类物资采购费用报销申请</t>
  </si>
  <si>
    <t>WY.SZ.25-202506-0108</t>
  </si>
  <si>
    <t>0050</t>
  </si>
  <si>
    <t>250611000468</t>
  </si>
  <si>
    <t>付 WY.SZ.25-202506-0108</t>
  </si>
  <si>
    <t>XHWZ-Z-2024-0232</t>
  </si>
  <si>
    <t>CF250206000209</t>
  </si>
  <si>
    <t>AP-202502-0011740</t>
  </si>
  <si>
    <t>12239</t>
  </si>
  <si>
    <t>FK250121000260</t>
  </si>
  <si>
    <t>FK-WY.SZ.25-20250206-000027</t>
  </si>
  <si>
    <t>44201618500052550679</t>
  </si>
  <si>
    <t>中国建设银行股份有限公司深圳国会大厦支行</t>
  </si>
  <si>
    <t>报销深圳中海油大厦2024年12月纸品类物资采购费用</t>
  </si>
  <si>
    <t>WY.SZ.25-202506-0109</t>
  </si>
  <si>
    <t>0049</t>
  </si>
  <si>
    <t>250611000466</t>
  </si>
  <si>
    <t>付 WY.SZ.25-202506-0109</t>
  </si>
  <si>
    <t>CF250109000018</t>
  </si>
  <si>
    <t>AP-202501-0005835</t>
  </si>
  <si>
    <t>12240</t>
  </si>
  <si>
    <t>13738</t>
  </si>
  <si>
    <t>DGBX-250205-0007651</t>
  </si>
  <si>
    <t>FK-WY.SZ.25-20250210-000032</t>
  </si>
  <si>
    <t>2025-02-11</t>
  </si>
  <si>
    <t>WY.SZ.25-202502-0044</t>
  </si>
  <si>
    <t>0072</t>
  </si>
  <si>
    <t>250214003572</t>
  </si>
  <si>
    <t>付 WY.SZ.25-202502-0044</t>
  </si>
  <si>
    <t>2025年2期</t>
  </si>
  <si>
    <t>15493</t>
  </si>
  <si>
    <t>DGBX-250205-0007654</t>
  </si>
  <si>
    <t>FK-WY.SZ.25-20250210-000033</t>
  </si>
  <si>
    <t>WY.SZ.25-202502-0029</t>
  </si>
  <si>
    <t>250214003571</t>
  </si>
  <si>
    <t>付 WY.SZ.25-202502-0029</t>
  </si>
  <si>
    <t>15494</t>
  </si>
  <si>
    <t>DGBX-250205-0007649</t>
  </si>
  <si>
    <t>FK-WY.SZ.25-20250210-000031</t>
  </si>
  <si>
    <t>WY.SZ.25-202502-0028</t>
  </si>
  <si>
    <t>250214003573</t>
  </si>
  <si>
    <t>付 WY.SZ.25-202502-0028</t>
  </si>
  <si>
    <t>15495</t>
  </si>
  <si>
    <t>FYBX-WY.SZ.25-20250123-000007</t>
  </si>
  <si>
    <t>FK-WY.SZ.25-20250207-000028</t>
  </si>
  <si>
    <t>中海油1月福利费报销</t>
  </si>
  <si>
    <t>WY.SZ.25-202502-0026</t>
  </si>
  <si>
    <t>250214003570</t>
  </si>
  <si>
    <t>付 WY.SZ.25-202502-0026</t>
  </si>
  <si>
    <t>15496</t>
  </si>
  <si>
    <t>FYBX-WY.SZ.25-20250121-000005</t>
  </si>
  <si>
    <t>FK-WY.SZ.25-20250123-000017</t>
  </si>
  <si>
    <t>中海油1月差旅费报销</t>
  </si>
  <si>
    <t>WY.SZ.25-202502-0025</t>
  </si>
  <si>
    <t>250214003569</t>
  </si>
  <si>
    <t>付 WY.SZ.25-202502-0025</t>
  </si>
  <si>
    <t>业务活动.市内交通费</t>
  </si>
  <si>
    <t>15497</t>
  </si>
  <si>
    <t>FK250117001239</t>
  </si>
  <si>
    <t>FK-WY.SZ.25-20250120-000010</t>
  </si>
  <si>
    <t>44250100002200002570</t>
  </si>
  <si>
    <t>中国建设银行股份有限公司深圳翠园支行</t>
  </si>
  <si>
    <t>报销深圳中海油大厦2024年国庆DP装饰费用</t>
  </si>
  <si>
    <t>WY.SZ.25-202502-0037</t>
  </si>
  <si>
    <t>250214003581</t>
  </si>
  <si>
    <t>付 WY.SZ.25-202502-0037</t>
  </si>
  <si>
    <t>GCFW-Z-2024-8900</t>
  </si>
  <si>
    <t>CF241216000609</t>
  </si>
  <si>
    <t>AP-202412-0141749</t>
  </si>
  <si>
    <t>15498</t>
  </si>
  <si>
    <t>DGBX-250107-0001568</t>
  </si>
  <si>
    <t>FK-WY.SZ.25-20250107-000006</t>
  </si>
  <si>
    <t>中海实业有限责任公司北京餐饮管理分公司</t>
  </si>
  <si>
    <t>111902010400039680000000880</t>
  </si>
  <si>
    <t>中国农业银行股份有限公司北京东城支行营业部</t>
  </si>
  <si>
    <t>WY.SZ.25-202502-0027</t>
  </si>
  <si>
    <t>250214003568</t>
  </si>
  <si>
    <t>付 WY.SZ.25-202502-0027</t>
  </si>
  <si>
    <t>深圳市金地物业管理有限公司商业物业事业部本部</t>
  </si>
  <si>
    <t>15525</t>
  </si>
  <si>
    <t>FYBX-WY.SY.PQ.03-20250212-000006</t>
  </si>
  <si>
    <t>WY.SY.PQ.03-202503-0052</t>
  </si>
  <si>
    <t>0070</t>
  </si>
  <si>
    <t>转 WY.SY.PQ.03-202503-0052</t>
  </si>
  <si>
    <t>16401</t>
  </si>
  <si>
    <t>DGBX-250604-0042121</t>
  </si>
  <si>
    <t>FK-WY.SZ.25-20250605-000156</t>
  </si>
  <si>
    <t>中国海洋石油南海东部有限公司广州分公司</t>
  </si>
  <si>
    <t>2025-06-13</t>
  </si>
  <si>
    <t>2025-06-05</t>
  </si>
  <si>
    <t>9558830200999019979</t>
  </si>
  <si>
    <t>中国工商银行股份有限公司北京国家文化与金融合作示范区金街支行</t>
  </si>
  <si>
    <t>WY.SZ.25-202506-0073</t>
  </si>
  <si>
    <t>250611000573</t>
  </si>
  <si>
    <t>付 WY.SZ.25-202506-0073</t>
  </si>
  <si>
    <t>FWL-Z-2025-00233</t>
  </si>
  <si>
    <t>16403</t>
  </si>
  <si>
    <t>FYBX-WY.SZ.25-20250515-000031</t>
  </si>
  <si>
    <t>FK-WY.SZ.25-20250516-000147</t>
  </si>
  <si>
    <t>中海油4月差旅费</t>
  </si>
  <si>
    <t>WY.SZ.25-202506-0058</t>
  </si>
  <si>
    <t>0023</t>
  </si>
  <si>
    <t>250611000473</t>
  </si>
  <si>
    <t>付 WY.SZ.25-202506-0058</t>
  </si>
  <si>
    <t>16404</t>
  </si>
  <si>
    <t>预付单</t>
  </si>
  <si>
    <t>YF-250513-0006211</t>
  </si>
  <si>
    <t>FK-WY.SZ.25-20250515-000140</t>
  </si>
  <si>
    <t>中国太平洋财产保险股份有限公司深圳分公司</t>
  </si>
  <si>
    <t>4000023019200567941</t>
  </si>
  <si>
    <t>中国工商银行深圳市分行营业部</t>
  </si>
  <si>
    <t>深圳中海油2025年雇主责任险</t>
  </si>
  <si>
    <t>WY.SZ.25-202506-0053</t>
  </si>
  <si>
    <t>0027</t>
  </si>
  <si>
    <t>250611000475</t>
  </si>
  <si>
    <t>预付款</t>
  </si>
  <si>
    <t>付 WY.SZ.25-202506-0053</t>
  </si>
  <si>
    <t>人工费用.商业保险费</t>
  </si>
  <si>
    <t>16405</t>
  </si>
  <si>
    <t>FK250512001222</t>
  </si>
  <si>
    <t>FK-WY.SZ.25-20250514-000135</t>
  </si>
  <si>
    <t>报销深圳中海油大厦客户楼层开窗器及指纹密码机安装费用</t>
  </si>
  <si>
    <t>WY.SZ.25-202506-0071</t>
  </si>
  <si>
    <t>0028</t>
  </si>
  <si>
    <t>250611000485</t>
  </si>
  <si>
    <t>付 WY.SZ.25-202506-0071</t>
  </si>
  <si>
    <t>CF250507000285</t>
  </si>
  <si>
    <t>AP-202505-0049316</t>
  </si>
  <si>
    <t>16406</t>
  </si>
  <si>
    <t>FK250509000505</t>
  </si>
  <si>
    <t>FK-WY.SZ.25-20250514-000130</t>
  </si>
  <si>
    <t>报销深圳中海油大厦2024年4季度物资搬运费用</t>
  </si>
  <si>
    <t>WY.SZ.25-202506-0068</t>
  </si>
  <si>
    <t>0031</t>
  </si>
  <si>
    <t>250611000493</t>
  </si>
  <si>
    <t>付 WY.SZ.25-202506-0068</t>
  </si>
  <si>
    <t>QTFW-Z-2023-0486</t>
  </si>
  <si>
    <t>CF250507000310</t>
  </si>
  <si>
    <t>AP-202505-0049314</t>
  </si>
  <si>
    <t>16407</t>
  </si>
  <si>
    <t>DGBX-250506-0034357</t>
  </si>
  <si>
    <t>FK-WY.SZ.25-20250509-000121</t>
  </si>
  <si>
    <t>WY.SZ.25-202506-0072</t>
  </si>
  <si>
    <t>0019</t>
  </si>
  <si>
    <t>250521001746</t>
  </si>
  <si>
    <t>付 WY.SZ.25-202506-0072</t>
  </si>
  <si>
    <t>16408</t>
  </si>
  <si>
    <t>FYBX-WY.SZ.25-20250507-000027</t>
  </si>
  <si>
    <t>FK-WY.SZ.25-20250509-000120</t>
  </si>
  <si>
    <t>WY.SZ.25-202506-0057</t>
  </si>
  <si>
    <t>250611000479</t>
  </si>
  <si>
    <t>付 WY.SZ.25-202506-0057</t>
  </si>
  <si>
    <t>16409</t>
  </si>
  <si>
    <t>FK250424000604</t>
  </si>
  <si>
    <t>FK-WY.SZ.25-20250429-000102</t>
  </si>
  <si>
    <t>2025-04-24</t>
  </si>
  <si>
    <t>44201622600052500098</t>
  </si>
  <si>
    <t>中国建设银行股份有限公司深圳西丽支行</t>
  </si>
  <si>
    <t>报销深圳非住二片区中海油大厦人脸识别机安装费用</t>
  </si>
  <si>
    <t>WY.SZ.25-202506-0070</t>
  </si>
  <si>
    <t>0032</t>
  </si>
  <si>
    <t>250611000483</t>
  </si>
  <si>
    <t>付 WY.SZ.25-202506-0070</t>
  </si>
  <si>
    <t>CF250424000334</t>
  </si>
  <si>
    <t>AP-202504-0045192</t>
  </si>
  <si>
    <t>16413</t>
  </si>
  <si>
    <t>FK250325000011</t>
  </si>
  <si>
    <t>FK-WY.SZ.25-20250331-000078</t>
  </si>
  <si>
    <t>2025-03-25</t>
  </si>
  <si>
    <t>44201509700052508316</t>
  </si>
  <si>
    <t>中国建设银行股份有限公司深圳嘉宾路支行</t>
  </si>
  <si>
    <t>报销深圳中海油大厦2024年12月办公家具类物资采购费用</t>
  </si>
  <si>
    <t>WY.SZ.25-202506-0065</t>
  </si>
  <si>
    <t>0033</t>
  </si>
  <si>
    <t>250611000463</t>
  </si>
  <si>
    <t>付 WY.SZ.25-202506-0065</t>
  </si>
  <si>
    <t>家居家具</t>
  </si>
  <si>
    <t>CF250318000296</t>
  </si>
  <si>
    <t>AP-202503-0030413</t>
  </si>
  <si>
    <t>16414</t>
  </si>
  <si>
    <t>16415</t>
  </si>
  <si>
    <t>16416</t>
  </si>
  <si>
    <t>16417</t>
  </si>
  <si>
    <t>16418</t>
  </si>
  <si>
    <t>16419</t>
  </si>
  <si>
    <t>16420</t>
  </si>
  <si>
    <t>16421</t>
  </si>
  <si>
    <t>16422</t>
  </si>
  <si>
    <t>16423</t>
  </si>
  <si>
    <t>16424</t>
  </si>
  <si>
    <t>宿舍用品</t>
  </si>
  <si>
    <t>16425</t>
  </si>
  <si>
    <t>16426</t>
  </si>
  <si>
    <t>16427</t>
  </si>
  <si>
    <t>16428</t>
  </si>
  <si>
    <t>16429</t>
  </si>
  <si>
    <t>16430</t>
  </si>
  <si>
    <t>16431</t>
  </si>
  <si>
    <t>16432</t>
  </si>
  <si>
    <t>16433</t>
  </si>
  <si>
    <t>FK250314000864</t>
  </si>
  <si>
    <t>FK-WY.SZ.25-20250327-000076</t>
  </si>
  <si>
    <t>报销深圳中海油大厦项目2025年1月生活垃圾清运服务费用的申请</t>
  </si>
  <si>
    <t>WY.SZ.25-202506-0066</t>
  </si>
  <si>
    <t>0029</t>
  </si>
  <si>
    <t>250611000494</t>
  </si>
  <si>
    <t>付 WY.SZ.25-202506-0066</t>
  </si>
  <si>
    <t>CF250314000550</t>
  </si>
  <si>
    <t>AP-202503-0026760</t>
  </si>
  <si>
    <t>16434</t>
  </si>
  <si>
    <t>FK250314000798</t>
  </si>
  <si>
    <t>FK-WY.SZ.25-20250319-000072</t>
  </si>
  <si>
    <t>报销深圳中海油大厦项目2025年1月石材养护费用的申请</t>
  </si>
  <si>
    <t>WY.SZ.25-202506-0069</t>
  </si>
  <si>
    <t>0030</t>
  </si>
  <si>
    <t>250611000496</t>
  </si>
  <si>
    <t>付 WY.SZ.25-202506-0069</t>
  </si>
  <si>
    <t>CF250314000519</t>
  </si>
  <si>
    <t>AP-202503-0026723</t>
  </si>
  <si>
    <t>16435</t>
  </si>
  <si>
    <t>FK250213000932</t>
  </si>
  <si>
    <t>FK-WY.SZ.25-20250218-000047</t>
  </si>
  <si>
    <t>报销深圳中海油大厦项目12月石材养护费用的申请</t>
  </si>
  <si>
    <t>WY.SZ.25-202506-0067</t>
  </si>
  <si>
    <t>0034</t>
  </si>
  <si>
    <t>250611000495</t>
  </si>
  <si>
    <t>付 WY.SZ.25-202506-0067</t>
  </si>
  <si>
    <t>HJFW-Z-2023-5465</t>
  </si>
  <si>
    <t>CF250213000480</t>
  </si>
  <si>
    <t>AP-202502-0014255</t>
  </si>
  <si>
    <t>17652</t>
  </si>
  <si>
    <t>FK-WY.SY.PQ.03-20241209-000614</t>
  </si>
  <si>
    <t>FK-WY.SZ.01-20250116-000830</t>
  </si>
  <si>
    <t>张洁琼</t>
  </si>
  <si>
    <t>2025-01-23</t>
  </si>
  <si>
    <t>2025-01-16</t>
  </si>
  <si>
    <t>6214855250518889</t>
  </si>
  <si>
    <t>招商银行深圳分行</t>
  </si>
  <si>
    <t>中海油联谊费</t>
  </si>
  <si>
    <t>WY.SZ.01-202502-0387</t>
  </si>
  <si>
    <t>250123001380</t>
  </si>
  <si>
    <t>付 WY.SZ.01-202502-0387</t>
  </si>
  <si>
    <t>17657</t>
  </si>
  <si>
    <t>FK-WY.SY.PQ.03-20241206-000592</t>
  </si>
  <si>
    <t>FK-WY.SZ.01-20250116-000824</t>
  </si>
  <si>
    <t>李丽</t>
  </si>
  <si>
    <t>6214867848831211</t>
  </si>
  <si>
    <t>中海油-001012</t>
  </si>
  <si>
    <t>WY.SZ.01-202502-0524</t>
  </si>
  <si>
    <t>250123001456</t>
  </si>
  <si>
    <t>付 WY.SZ.01-202502-0524</t>
  </si>
  <si>
    <t>17907</t>
  </si>
  <si>
    <t>FK250121000039</t>
  </si>
  <si>
    <t>FK-WY.SZ.25-20250121-000011</t>
  </si>
  <si>
    <t>755968370710501</t>
  </si>
  <si>
    <t>招商银行股份有限公司深圳深圳湾支行</t>
  </si>
  <si>
    <t>报销深圳中海油大厦淋浴室与母婴室改造工程费用</t>
  </si>
  <si>
    <t>WY.SZ.25-202502-0018</t>
  </si>
  <si>
    <t>250123001128</t>
  </si>
  <si>
    <t>付 WY.SZ.25-202502-0018</t>
  </si>
  <si>
    <t>GCFW-Z-2024-7891</t>
  </si>
  <si>
    <t>CF250121000030</t>
  </si>
  <si>
    <t>AP-202501-0008374</t>
  </si>
  <si>
    <t>17908</t>
  </si>
  <si>
    <t>17909</t>
  </si>
  <si>
    <t>借款单</t>
  </si>
  <si>
    <t>JK-WY.SZ.25-20250114-000003</t>
  </si>
  <si>
    <t>FK-WY.SZ.25-20250115-000007</t>
  </si>
  <si>
    <t>2025-01-15</t>
  </si>
  <si>
    <t xml:space="preserve">中海油宿舍押金 </t>
  </si>
  <si>
    <t>WY.SZ.25-202502-0008</t>
  </si>
  <si>
    <t>250123001102</t>
  </si>
  <si>
    <t>个人借款</t>
  </si>
  <si>
    <t>付 WY.SZ.25-202502-0008</t>
  </si>
  <si>
    <t>借款.员工借款</t>
  </si>
  <si>
    <t>18447</t>
  </si>
  <si>
    <t>FK250606000403</t>
  </si>
  <si>
    <t>FK-WY.SZ.25-20250615-000178</t>
  </si>
  <si>
    <t>报销深圳中海油大厦2025年5月清洁类物资采购费用（裕长丰）</t>
  </si>
  <si>
    <t>2025-06-15</t>
  </si>
  <si>
    <t>虚拟/通用编码</t>
  </si>
  <si>
    <t>CF250606000102</t>
  </si>
  <si>
    <t>AP-202506-0061219</t>
  </si>
  <si>
    <t>18452</t>
  </si>
  <si>
    <t>FK250606000273</t>
  </si>
  <si>
    <t>FK-WY.SZ.25-20250615-000182</t>
  </si>
  <si>
    <t>报销深圳中海油大厦2025年5月综合类物资采购费用（弘佳诚）</t>
  </si>
  <si>
    <t>CF250522000022</t>
  </si>
  <si>
    <t>AP-202505-0057456,AP-202505-0057857</t>
  </si>
  <si>
    <t>18453</t>
  </si>
  <si>
    <t>CF250527000048</t>
  </si>
  <si>
    <t>18490</t>
  </si>
  <si>
    <t>FK250605001172</t>
  </si>
  <si>
    <t>FK-WY.SZ.25-20250612-000175</t>
  </si>
  <si>
    <t>报销深圳中海油大厦2025年5月综合类物资采购费用（震坤行）</t>
  </si>
  <si>
    <t>2025-06-12</t>
  </si>
  <si>
    <t>CF250520000576</t>
  </si>
  <si>
    <t>AP-202505-0053714,AP-202505-0055517</t>
  </si>
  <si>
    <t>18491</t>
  </si>
  <si>
    <t>18492</t>
  </si>
  <si>
    <t>18493</t>
  </si>
  <si>
    <t>18494</t>
  </si>
  <si>
    <t>18495</t>
  </si>
  <si>
    <t>18496</t>
  </si>
  <si>
    <t>18497</t>
  </si>
  <si>
    <t>18498</t>
  </si>
  <si>
    <t>18499</t>
  </si>
  <si>
    <t>18500</t>
  </si>
  <si>
    <t>18501</t>
  </si>
  <si>
    <t>18502</t>
  </si>
  <si>
    <t>CF250514000434</t>
  </si>
  <si>
    <t>18503</t>
  </si>
  <si>
    <t>18504</t>
  </si>
  <si>
    <t>18505</t>
  </si>
  <si>
    <t>18506</t>
  </si>
  <si>
    <t>18507</t>
  </si>
  <si>
    <t>18508</t>
  </si>
  <si>
    <t>18509</t>
  </si>
  <si>
    <t>18510</t>
  </si>
  <si>
    <t>18511</t>
  </si>
  <si>
    <t>18539</t>
  </si>
  <si>
    <t>FK250605000786</t>
  </si>
  <si>
    <t>FK-WY.SZ.25-20250615-000177</t>
  </si>
  <si>
    <t>41015400040040938</t>
  </si>
  <si>
    <t>中国农业银行深圳蛇口支行</t>
  </si>
  <si>
    <t>报销深圳中海油大厦2025年5月绿植采购费用</t>
  </si>
  <si>
    <t>草本花卉</t>
  </si>
  <si>
    <t>CF250603000102</t>
  </si>
  <si>
    <t>AP-202506-0059477</t>
  </si>
  <si>
    <t>18542</t>
  </si>
  <si>
    <t>FK250605000522</t>
  </si>
  <si>
    <t>FK-WY.SZ.25-20250612-000172</t>
  </si>
  <si>
    <t>报销深圳中海油大厦2025年5月茶叶采购费用</t>
  </si>
  <si>
    <t>CF250604000532</t>
  </si>
  <si>
    <t>AP-202506-0060414</t>
  </si>
  <si>
    <t>18900</t>
  </si>
  <si>
    <t>FK250531000145</t>
  </si>
  <si>
    <t>FK-WY.SZ.25-20250606-000168</t>
  </si>
  <si>
    <t>4000022309201740689</t>
  </si>
  <si>
    <t>中国工商银行股份有限公司深圳布吉支行</t>
  </si>
  <si>
    <t>报销深圳中海油大厦2025年5月灯具采购费用（全兴泰）</t>
  </si>
  <si>
    <t>CF250523000150</t>
  </si>
  <si>
    <t>AP-202505-0056796</t>
  </si>
  <si>
    <t>18901</t>
  </si>
  <si>
    <t>FK250531000142</t>
  </si>
  <si>
    <t>FK-WY.SZ.25-20250605-000157</t>
  </si>
  <si>
    <t>1001249809024856192</t>
  </si>
  <si>
    <t>中国工商银行股份有限公司上海市平凉支行</t>
  </si>
  <si>
    <t>报销深圳中海油大厦2025年5月清洁类物资采购费用</t>
  </si>
  <si>
    <t>XHWZ-Z-2024-0076</t>
  </si>
  <si>
    <t>CF250523000063</t>
  </si>
  <si>
    <t>AP-202505-0056798</t>
  </si>
  <si>
    <t>18902</t>
  </si>
  <si>
    <t>18903</t>
  </si>
  <si>
    <t>18904</t>
  </si>
  <si>
    <t>18905</t>
  </si>
  <si>
    <t>清洁耗材</t>
  </si>
  <si>
    <t>18906</t>
  </si>
  <si>
    <t>18907</t>
  </si>
  <si>
    <t>18908</t>
  </si>
  <si>
    <t>18909</t>
  </si>
  <si>
    <t>18910</t>
  </si>
  <si>
    <t>18911</t>
  </si>
  <si>
    <t>18912</t>
  </si>
  <si>
    <t>18913</t>
  </si>
  <si>
    <t>18914</t>
  </si>
  <si>
    <t>FK250531000140</t>
  </si>
  <si>
    <t>FK-WY.SZ.25-20250604-000165</t>
  </si>
  <si>
    <t>4000020709200120704</t>
  </si>
  <si>
    <t>中国工商银行股份有限公司深圳华城支行</t>
  </si>
  <si>
    <t>报销深圳中海油大厦2025年5月纸品类物资采购费用（金深拓）</t>
  </si>
  <si>
    <t>2025-06-04</t>
  </si>
  <si>
    <t>CF250521000238</t>
  </si>
  <si>
    <t>AP-202505-0055528</t>
  </si>
  <si>
    <t>18915</t>
  </si>
  <si>
    <t>FK250531000139</t>
  </si>
  <si>
    <t>FK-WY.SZ.25-20250604-000163</t>
  </si>
  <si>
    <t>报销深圳中海油大厦2025年5月灯具采购费用</t>
  </si>
  <si>
    <t>CF250512000297</t>
  </si>
  <si>
    <t>AP-202505-0050996</t>
  </si>
  <si>
    <t>18916</t>
  </si>
  <si>
    <t>FK250531000138</t>
  </si>
  <si>
    <t>FK-WY.SZ.25-20250604-000164</t>
  </si>
  <si>
    <t>110120190010013071</t>
  </si>
  <si>
    <t>东莞农村商业银行股份有限公司南城支行</t>
  </si>
  <si>
    <t>报销深圳中海油大厦2025年5月标识类采购费用</t>
  </si>
  <si>
    <t>XHWZ-Z-2024-0138</t>
  </si>
  <si>
    <t>CF250509000410</t>
  </si>
  <si>
    <t>AP-202505-0052456</t>
  </si>
  <si>
    <t>18917</t>
  </si>
  <si>
    <t>18918</t>
  </si>
  <si>
    <t>表格印刷/宣传单</t>
  </si>
  <si>
    <t>18919</t>
  </si>
  <si>
    <t>18965</t>
  </si>
  <si>
    <t>DGBX-250430-0033688</t>
  </si>
  <si>
    <t>FK-WY.SZ.25-20250508-000118</t>
  </si>
  <si>
    <t>中海油5月租金</t>
  </si>
  <si>
    <t>WY.SZ.25-202506-0027</t>
  </si>
  <si>
    <t>0001</t>
  </si>
  <si>
    <t>250521001744</t>
  </si>
  <si>
    <t>付 WY.SZ.25-202506-0027</t>
  </si>
  <si>
    <t>18966</t>
  </si>
  <si>
    <t>DGBX-250427-0032949</t>
  </si>
  <si>
    <t>FK-WY.SZ.25-20250430-000114</t>
  </si>
  <si>
    <t>WY.SZ.25-202506-0026</t>
  </si>
  <si>
    <t>250521001743</t>
  </si>
  <si>
    <t>付 WY.SZ.25-202506-0026</t>
  </si>
  <si>
    <t>18968</t>
  </si>
  <si>
    <t>FK250226000649</t>
  </si>
  <si>
    <t>FK-WY.SZ.25-20250303-000059</t>
  </si>
  <si>
    <t>11014703190007</t>
  </si>
  <si>
    <t>平安银行深圳后海支行</t>
  </si>
  <si>
    <t>深圳中海油大厦停车场管理系统维护费用付款申请</t>
  </si>
  <si>
    <t>WY.SZ.25-202506-0022</t>
  </si>
  <si>
    <t>0015</t>
  </si>
  <si>
    <t>250521001734</t>
  </si>
  <si>
    <t>付 WY.SZ.25-202506-0022</t>
  </si>
  <si>
    <t>GCFW-Z-2024-4812</t>
  </si>
  <si>
    <t>CF250226000093</t>
  </si>
  <si>
    <t>AP-202502-0019719</t>
  </si>
  <si>
    <t>18969</t>
  </si>
  <si>
    <t>18970</t>
  </si>
  <si>
    <t>FK250219000538</t>
  </si>
  <si>
    <t>FK-WY.SZ.25-20250220-000051</t>
  </si>
  <si>
    <t>深圳中海油大厦化粪池清掏作业费用报销申请（第三期）</t>
  </si>
  <si>
    <t>WY.SZ.25-202506-0023</t>
  </si>
  <si>
    <t>0016</t>
  </si>
  <si>
    <t>250521001730</t>
  </si>
  <si>
    <t>付 WY.SZ.25-202506-0023</t>
  </si>
  <si>
    <t>GCFW-Z-2024-5163</t>
  </si>
  <si>
    <t>CF250218000192</t>
  </si>
  <si>
    <t>AP-202502-0016081</t>
  </si>
  <si>
    <t>18971</t>
  </si>
  <si>
    <t>FK250219000539</t>
  </si>
  <si>
    <t>FK-WY.SZ.25-20250220-000049</t>
  </si>
  <si>
    <t>814682466910001</t>
  </si>
  <si>
    <t>招商银行深圳八卦岭支行</t>
  </si>
  <si>
    <t>深圳中海油项目2024年10-12月空调水处理及水箱清洗费用报销</t>
  </si>
  <si>
    <t>WY.SZ.25-202506-0020</t>
  </si>
  <si>
    <t>0017</t>
  </si>
  <si>
    <t>250521001729</t>
  </si>
  <si>
    <t>付 WY.SZ.25-202506-0020</t>
  </si>
  <si>
    <t>GCFW-Z-2024-4331</t>
  </si>
  <si>
    <t>CF250218000190</t>
  </si>
  <si>
    <t>AP-202502-0016071</t>
  </si>
  <si>
    <t>18972</t>
  </si>
  <si>
    <t>FK250214000108</t>
  </si>
  <si>
    <t>FK-WY.SZ.25-20250218-000040</t>
  </si>
  <si>
    <t>报销深圳中海油大厦项目12月保洁费用的申请</t>
  </si>
  <si>
    <t>WY.SZ.25-202506-0024</t>
  </si>
  <si>
    <t>0014</t>
  </si>
  <si>
    <t>250521001732</t>
  </si>
  <si>
    <t>付 WY.SZ.25-202506-0024</t>
  </si>
  <si>
    <t>HJFW-Z-2024-2785</t>
  </si>
  <si>
    <t>CF250214000041</t>
  </si>
  <si>
    <t>AP-202502-0014449</t>
  </si>
  <si>
    <t>18973</t>
  </si>
  <si>
    <t>FK250213000742</t>
  </si>
  <si>
    <t>FK-WY.SZ.25-20250218-000039</t>
  </si>
  <si>
    <t>报销深圳中海油大厦项目10-12月白蚁防治费用的申请</t>
  </si>
  <si>
    <t>WY.SZ.25-202506-0019</t>
  </si>
  <si>
    <t>250411000996</t>
  </si>
  <si>
    <t>付 WY.SZ.25-202506-0019</t>
  </si>
  <si>
    <t>外包服务费.消杀外包</t>
  </si>
  <si>
    <t>HJFW-Z-2024-3412</t>
  </si>
  <si>
    <t>CF250213000412</t>
  </si>
  <si>
    <t>AP-202502-0014143</t>
  </si>
  <si>
    <t>18974</t>
  </si>
  <si>
    <t>18975</t>
  </si>
  <si>
    <t>18976</t>
  </si>
  <si>
    <t>FK250213000281</t>
  </si>
  <si>
    <t>FK-WY.SZ.25-20250217-000034</t>
  </si>
  <si>
    <t>4000022309201850933</t>
  </si>
  <si>
    <t>报销深圳中海油大厦项目10-12月四害消杀费用的申请</t>
  </si>
  <si>
    <t>WY.SZ.25-202506-0021</t>
  </si>
  <si>
    <t>0012</t>
  </si>
  <si>
    <t>250411000973</t>
  </si>
  <si>
    <t>付 WY.SZ.25-202506-0021</t>
  </si>
  <si>
    <t>HJFW-Z-2024-3499</t>
  </si>
  <si>
    <t>CF250213000156</t>
  </si>
  <si>
    <t>AP-202502-0013908</t>
  </si>
  <si>
    <t>18977</t>
  </si>
  <si>
    <t>18978</t>
  </si>
  <si>
    <t>18979</t>
  </si>
  <si>
    <t>FK250121000939</t>
  </si>
  <si>
    <t>FK-WY.SZ.25-20250206-000026</t>
  </si>
  <si>
    <t>11111001040017497</t>
  </si>
  <si>
    <t>中国农业银行股份有限公司北京西红门支行</t>
  </si>
  <si>
    <t>深圳中海油大厦2024年12月服装采购费用报销申请</t>
  </si>
  <si>
    <t>WY.SZ.25-202506-0017</t>
  </si>
  <si>
    <t>250521001733</t>
  </si>
  <si>
    <t>付 WY.SZ.25-202506-0017</t>
  </si>
  <si>
    <t>安全作训服</t>
  </si>
  <si>
    <t>CF250121000575</t>
  </si>
  <si>
    <t>AP-202501-0008854</t>
  </si>
  <si>
    <t>18980</t>
  </si>
  <si>
    <t>技能序列服装</t>
  </si>
  <si>
    <t>18981</t>
  </si>
  <si>
    <t>18982</t>
  </si>
  <si>
    <t>18983</t>
  </si>
  <si>
    <t>18984</t>
  </si>
  <si>
    <t>FK250121000746</t>
  </si>
  <si>
    <t>FK-WY.SZ.25-20250206-000023</t>
  </si>
  <si>
    <t>报销深圳中海油大厦2024年12月五金综合类物资采购费用</t>
  </si>
  <si>
    <t>WY.SZ.25-202506-0011</t>
  </si>
  <si>
    <t>250411000991</t>
  </si>
  <si>
    <t>付 WY.SZ.25-202506-0011</t>
  </si>
  <si>
    <t>CF250109000002</t>
  </si>
  <si>
    <t>AP-202501-0001589,AP-202501-0005837,AP-202501-0005836</t>
  </si>
  <si>
    <t>18985</t>
  </si>
  <si>
    <t>18986</t>
  </si>
  <si>
    <t>18987</t>
  </si>
  <si>
    <t>礼品定制</t>
  </si>
  <si>
    <t>18988</t>
  </si>
  <si>
    <t>18989</t>
  </si>
  <si>
    <t>18990</t>
  </si>
  <si>
    <t>18991</t>
  </si>
  <si>
    <t>18992</t>
  </si>
  <si>
    <t>18993</t>
  </si>
  <si>
    <t>18994</t>
  </si>
  <si>
    <t>CF250109000001</t>
  </si>
  <si>
    <t>18995</t>
  </si>
  <si>
    <t>18996</t>
  </si>
  <si>
    <t>18997</t>
  </si>
  <si>
    <t>19423</t>
  </si>
  <si>
    <t>FK-WY.SY.PQ.03-20250106-000018</t>
  </si>
  <si>
    <t>FK-WY.SZ.01-20250116-000832</t>
  </si>
  <si>
    <t>2025-01-17</t>
  </si>
  <si>
    <t>WY.SZ.01-202502-0356</t>
  </si>
  <si>
    <t>250117001764</t>
  </si>
  <si>
    <t>付 WY.SZ.01-202502-0356</t>
  </si>
  <si>
    <t>19946</t>
  </si>
  <si>
    <t>FYBX-WY.SY.PQ.03-20241231-001088</t>
  </si>
  <si>
    <t>2025-01-06</t>
  </si>
  <si>
    <t>WY.SY.PQ.03-202502-0015</t>
  </si>
  <si>
    <t>0120</t>
  </si>
  <si>
    <t>转 WY.SY.PQ.03-202502-0015</t>
  </si>
  <si>
    <t>20001</t>
  </si>
  <si>
    <t>20002</t>
  </si>
  <si>
    <t>CF241231000081</t>
  </si>
  <si>
    <t>20003</t>
  </si>
  <si>
    <t>20004</t>
  </si>
  <si>
    <t>20005</t>
  </si>
  <si>
    <t>20006</t>
  </si>
  <si>
    <t>20007</t>
  </si>
  <si>
    <t>20008</t>
  </si>
  <si>
    <t>20009</t>
  </si>
  <si>
    <t>FK250120000539</t>
  </si>
  <si>
    <t>FK-WY.SZ.25-20250123-000015</t>
  </si>
  <si>
    <t>报销深圳中海油大厦2024年12月摄像机类物资采购费用</t>
  </si>
  <si>
    <t>WY.SZ.25-202506-0014</t>
  </si>
  <si>
    <t>250411000983</t>
  </si>
  <si>
    <t>付 WY.SZ.25-202506-0014</t>
  </si>
  <si>
    <t>CF241212000188</t>
  </si>
  <si>
    <t>AP-202412-0140126</t>
  </si>
  <si>
    <t>20010</t>
  </si>
  <si>
    <t>FK250120000519</t>
  </si>
  <si>
    <t>FK-WY.SZ.25-20250122-000012</t>
  </si>
  <si>
    <t>WY.SZ.25-202506-0018</t>
  </si>
  <si>
    <t>250521001736</t>
  </si>
  <si>
    <t>付 WY.SZ.25-202506-0018</t>
  </si>
  <si>
    <t>CF250103000149</t>
  </si>
  <si>
    <t>AP-202501-0001586</t>
  </si>
  <si>
    <t>20011</t>
  </si>
  <si>
    <t>DGBX-250103-0000623</t>
  </si>
  <si>
    <t>FK-WY.SZ.25-20250116-000008</t>
  </si>
  <si>
    <t>11014498069001</t>
  </si>
  <si>
    <t>平安银行深圳大冲支行</t>
  </si>
  <si>
    <t>中海油-0619</t>
  </si>
  <si>
    <t>2025-04-17</t>
  </si>
  <si>
    <t>WY.SZ.25-202506-0028</t>
  </si>
  <si>
    <t>250424001500</t>
  </si>
  <si>
    <t>付 WY.SZ.25-202506-0028</t>
  </si>
  <si>
    <t>酬金.酬金制项目酬金支出</t>
  </si>
  <si>
    <t>21450</t>
  </si>
  <si>
    <t>DGBX-250103-0000678</t>
  </si>
  <si>
    <t>FK-WY.SZ.25-20250106-000003</t>
  </si>
  <si>
    <t>中海油1月租金</t>
  </si>
  <si>
    <t>2025-01-08</t>
  </si>
  <si>
    <t>WY.SZ.25-202501-0062</t>
  </si>
  <si>
    <t>250116001877</t>
  </si>
  <si>
    <t>2025-01-31</t>
  </si>
  <si>
    <t>付 WY.SZ.25-202501-0062</t>
  </si>
  <si>
    <t>2025年1期</t>
  </si>
  <si>
    <t>21452</t>
  </si>
  <si>
    <t>FYBX-WY.SZ.25-20250102-000001</t>
  </si>
  <si>
    <t>FK-WY.SZ.25-20250103-000001</t>
  </si>
  <si>
    <t>2025-01-03</t>
  </si>
  <si>
    <t>WY.SZ.25-202501-0010</t>
  </si>
  <si>
    <t>250116001865</t>
  </si>
  <si>
    <t>付 WY.SZ.25-202501-0010</t>
  </si>
  <si>
    <t>22302</t>
  </si>
  <si>
    <t>DGBX-250506-0034354</t>
  </si>
  <si>
    <t>FK-WY.SZ.25-20250509-000122</t>
  </si>
  <si>
    <t>郑丽丽</t>
  </si>
  <si>
    <t>2025-05-23</t>
  </si>
  <si>
    <t>6214857823173879</t>
  </si>
  <si>
    <t>WY.SZ.25-202505-0099</t>
  </si>
  <si>
    <t>250521001745</t>
  </si>
  <si>
    <t>付 WY.SZ.25-202505-0099</t>
  </si>
  <si>
    <t>FWL-Z-2025-00269</t>
  </si>
  <si>
    <t>22304</t>
  </si>
  <si>
    <t>DGBX-250427-0033021</t>
  </si>
  <si>
    <t>FK-WY.SZ.25-20250430-000115</t>
  </si>
  <si>
    <t>WY.SZ.25-202505-0098</t>
  </si>
  <si>
    <t>250521001741</t>
  </si>
  <si>
    <t>付 WY.SZ.25-202505-0098</t>
  </si>
  <si>
    <t>22305</t>
  </si>
  <si>
    <t>FYBX-WY.SZ.25-20250428-000026</t>
  </si>
  <si>
    <t>FK-WY.SZ.25-20250430-000112</t>
  </si>
  <si>
    <t>中海油4月福利费报销</t>
  </si>
  <si>
    <t>WY.SZ.25-202505-0094</t>
  </si>
  <si>
    <t>0035</t>
  </si>
  <si>
    <t>250521001742</t>
  </si>
  <si>
    <t>付 WY.SZ.25-202505-0094</t>
  </si>
  <si>
    <t>22306</t>
  </si>
  <si>
    <t>DGBX-250423-0032094</t>
  </si>
  <si>
    <t>FK-WY.SZ.25-20250428-000101</t>
  </si>
  <si>
    <t>深圳高灯云财税共享科技有限公司</t>
  </si>
  <si>
    <t>2025-04-28</t>
  </si>
  <si>
    <t>4000020219200900413</t>
  </si>
  <si>
    <t>中国工商银行股份有限公司深圳蛇口支行</t>
  </si>
  <si>
    <t>中海油服务费</t>
  </si>
  <si>
    <t>WY.SZ.25-202505-0097</t>
  </si>
  <si>
    <t>250521001739</t>
  </si>
  <si>
    <t>付 WY.SZ.25-202505-0097</t>
  </si>
  <si>
    <t>办公事务.办公费</t>
  </si>
  <si>
    <t>22307</t>
  </si>
  <si>
    <t>DGBX-250402-0025615</t>
  </si>
  <si>
    <t>FK-WY.SZ.25-20250409-000086</t>
  </si>
  <si>
    <t>中海油2025年意外险</t>
  </si>
  <si>
    <t>WY.SZ.25-202505-0096</t>
  </si>
  <si>
    <t>250521001740</t>
  </si>
  <si>
    <t>付 WY.SZ.25-202505-0096</t>
  </si>
  <si>
    <t>22308</t>
  </si>
  <si>
    <t>FK241209001286</t>
  </si>
  <si>
    <t>FK-WY.SZ.25-20250402-000081</t>
  </si>
  <si>
    <t>2024-12-09</t>
  </si>
  <si>
    <t>44250100006600003644</t>
  </si>
  <si>
    <t>中国建设银行股份有限公司深圳福田保税区支行</t>
  </si>
  <si>
    <t>报销深圳中海油大厦监控系统维修费用</t>
  </si>
  <si>
    <t>WY.SZ.25-202505-0092</t>
  </si>
  <si>
    <t>250521001735</t>
  </si>
  <si>
    <t>付 WY.SZ.25-202505-0092</t>
  </si>
  <si>
    <t>GCFW-Z-2024-6873</t>
  </si>
  <si>
    <t>CF241209000700</t>
  </si>
  <si>
    <t>AP-202412-0137160</t>
  </si>
  <si>
    <t>22309</t>
  </si>
  <si>
    <t>FK250226000873</t>
  </si>
  <si>
    <t>FK-WY.SZ.25-20250304-000061</t>
  </si>
  <si>
    <t>报销深圳中海油大厦2025年2月清洁物资采购费用</t>
  </si>
  <si>
    <t>WY.SZ.25-202505-0100</t>
  </si>
  <si>
    <t>250521001737</t>
  </si>
  <si>
    <t>付 WY.SZ.25-202505-0100</t>
  </si>
  <si>
    <t>CF250217000176</t>
  </si>
  <si>
    <t>AP-202502-0015389</t>
  </si>
  <si>
    <t>22310</t>
  </si>
  <si>
    <t>FK250219000527</t>
  </si>
  <si>
    <t>FK-WY.SZ.25-20250225-000054</t>
  </si>
  <si>
    <t>深圳中海油大厦第三期UPS电源维保费用报销申请</t>
  </si>
  <si>
    <t>WY.SZ.25-202505-0101</t>
  </si>
  <si>
    <t>250411000962</t>
  </si>
  <si>
    <t>付 WY.SZ.25-202505-0101</t>
  </si>
  <si>
    <t>GCFW-Z-2024-1744</t>
  </si>
  <si>
    <t>CF250218000194</t>
  </si>
  <si>
    <t>AP-202502-0016079</t>
  </si>
  <si>
    <t>22311</t>
  </si>
  <si>
    <t>FK250213001065</t>
  </si>
  <si>
    <t>FK-WY.SZ.25-20250218-000038</t>
  </si>
  <si>
    <t>443899991010004684064</t>
  </si>
  <si>
    <t>交通银行股份有限公司深圳华发支行</t>
  </si>
  <si>
    <t>报销深圳中海油大厦项目12月洗手间深度消毒费用的申请</t>
  </si>
  <si>
    <t>WY.SZ.25-202505-0102</t>
  </si>
  <si>
    <t>250411000972</t>
  </si>
  <si>
    <t>付 WY.SZ.25-202505-0102</t>
  </si>
  <si>
    <t>HJFW-Z-2024-0398</t>
  </si>
  <si>
    <t>CF250213000529</t>
  </si>
  <si>
    <t>AP-202502-0014313</t>
  </si>
  <si>
    <t>24864</t>
  </si>
  <si>
    <t>DGBX-250506-0034197</t>
  </si>
  <si>
    <t>FK-WY.SZ.25-20250508-000116</t>
  </si>
  <si>
    <t>WY.SZ.25-202505-0063</t>
  </si>
  <si>
    <t>0025</t>
  </si>
  <si>
    <t>250514000739</t>
  </si>
  <si>
    <t>付 WY.SZ.25-202505-0063</t>
  </si>
  <si>
    <t>24865</t>
  </si>
  <si>
    <t>JK-WY.SZ.25-20250422-000008</t>
  </si>
  <si>
    <t>FK-WY.SZ.25-20250423-000096</t>
  </si>
  <si>
    <t>中海油宿舍押金</t>
  </si>
  <si>
    <t>WY.SZ.25-202505-0062</t>
  </si>
  <si>
    <t>250514000740</t>
  </si>
  <si>
    <t>付 WY.SZ.25-202505-0062</t>
  </si>
  <si>
    <t>27916</t>
  </si>
  <si>
    <t>DGBX-250725-0057029</t>
  </si>
  <si>
    <t>FK-WY.SZ.25-20250728-000226</t>
  </si>
  <si>
    <t>2025-07-28</t>
  </si>
  <si>
    <t>中海油8月租金</t>
  </si>
  <si>
    <t>27917</t>
  </si>
  <si>
    <t>DGBX-250725-0057036</t>
  </si>
  <si>
    <t>FK-WY.SZ.25-20250728-000225</t>
  </si>
  <si>
    <t>28842</t>
  </si>
  <si>
    <t>DGBX-250626-0048755</t>
  </si>
  <si>
    <t>FK-WY.SZ.25-20250702-000194</t>
  </si>
  <si>
    <t>2025-07-24</t>
  </si>
  <si>
    <t>2025-07-02</t>
  </si>
  <si>
    <t>2025-07-18</t>
  </si>
  <si>
    <t>EAS处理中</t>
  </si>
  <si>
    <t>WY.SZ.25-202507-0099</t>
  </si>
  <si>
    <t>250723001804</t>
  </si>
  <si>
    <t>付 WY.SZ.25-202507-0099</t>
  </si>
  <si>
    <t>2025年7期</t>
  </si>
  <si>
    <t>29093</t>
  </si>
  <si>
    <t>FK250723000315</t>
  </si>
  <si>
    <t>FK-WY.SZ.25-20250728-000221</t>
  </si>
  <si>
    <t>2025-07-23</t>
  </si>
  <si>
    <t>报销深圳中海油大厦2025年第3期化粪池清掏费用</t>
  </si>
  <si>
    <t>CF250609000276</t>
  </si>
  <si>
    <t>AP-202506-0062105</t>
  </si>
  <si>
    <t>29262</t>
  </si>
  <si>
    <t>FK250722000405</t>
  </si>
  <si>
    <t>FK-WY.SZ.25-20250728-000223</t>
  </si>
  <si>
    <t>2025-07-22</t>
  </si>
  <si>
    <t>深圳非住二片区中海油项目6月物资搬运服务付款申请</t>
  </si>
  <si>
    <t>CF250722000191</t>
  </si>
  <si>
    <t>AP-202507-0082029</t>
  </si>
  <si>
    <t>29263</t>
  </si>
  <si>
    <t>FK250722000388</t>
  </si>
  <si>
    <t>FK-WY.SZ.25-20250728-000224</t>
  </si>
  <si>
    <t>深圳非住二片区中海油项目6月零星工程维修付款申请</t>
  </si>
  <si>
    <t>CF250722000187</t>
  </si>
  <si>
    <t>AP-202507-0082030</t>
  </si>
  <si>
    <t>30422</t>
  </si>
  <si>
    <t>FK250604000161</t>
  </si>
  <si>
    <t>FK-WY.SZ.25-20250610-000171</t>
  </si>
  <si>
    <t>报销深圳中海油大厦项目2025年4月保洁费用的申请</t>
  </si>
  <si>
    <t>WY.SZ.25-202507-0092</t>
  </si>
  <si>
    <t>250708003305</t>
  </si>
  <si>
    <t>付 WY.SZ.25-202507-0092</t>
  </si>
  <si>
    <t>CF250522000180</t>
  </si>
  <si>
    <t>AP-202505-0056104</t>
  </si>
  <si>
    <t>30423</t>
  </si>
  <si>
    <t>FK250523000211</t>
  </si>
  <si>
    <t>FK-WY.SZ.25-20250604-000160</t>
  </si>
  <si>
    <t>报销深圳中海油大厦项目2025年3月保洁费用的申请</t>
  </si>
  <si>
    <t>WY.SZ.25-202507-0093</t>
  </si>
  <si>
    <t>250708003304</t>
  </si>
  <si>
    <t>付 WY.SZ.25-202507-0093</t>
  </si>
  <si>
    <t>CF250516000467</t>
  </si>
  <si>
    <t>AP-202505-0053701</t>
  </si>
  <si>
    <t>31617</t>
  </si>
  <si>
    <t>DGBX-250701-0049662</t>
  </si>
  <si>
    <t>FK-WY.SZ.25-20250703-000205</t>
  </si>
  <si>
    <t>2025-07-16</t>
  </si>
  <si>
    <t>2025-07-03</t>
  </si>
  <si>
    <t>中海油7月租金</t>
  </si>
  <si>
    <t>WY.SZ.25-202507-0075</t>
  </si>
  <si>
    <t>250716001481</t>
  </si>
  <si>
    <t>付 WY.SZ.25-202507-0075</t>
  </si>
  <si>
    <t>31618</t>
  </si>
  <si>
    <t>DGBX-250630-0049278</t>
  </si>
  <si>
    <t>FK-WY.SZ.25-20250703-000204</t>
  </si>
  <si>
    <t>WY.SZ.25-202507-0073</t>
  </si>
  <si>
    <t>250716001479</t>
  </si>
  <si>
    <t>付 WY.SZ.25-202507-0073</t>
  </si>
  <si>
    <t>31619</t>
  </si>
  <si>
    <t>DGBX-250630-0049279</t>
  </si>
  <si>
    <t>FK-WY.SZ.25-20250703-000203</t>
  </si>
  <si>
    <t>WY.SZ.25-202507-0074</t>
  </si>
  <si>
    <t>250716001480</t>
  </si>
  <si>
    <t>付 WY.SZ.25-202507-0074</t>
  </si>
  <si>
    <t>31620</t>
  </si>
  <si>
    <t>FK250523000511</t>
  </si>
  <si>
    <t>FK-WY.SZ.25-20250604-000161</t>
  </si>
  <si>
    <t>报销深圳中海油大厦项目2025年2月保洁费用的申请</t>
  </si>
  <si>
    <t>WY.SZ.25-202507-0072</t>
  </si>
  <si>
    <t>250708003303</t>
  </si>
  <si>
    <t>付 WY.SZ.25-202507-0072</t>
  </si>
  <si>
    <t>CF250515000477</t>
  </si>
  <si>
    <t>AP-202505-0053060</t>
  </si>
  <si>
    <t>31621</t>
  </si>
  <si>
    <t>FK250510000216</t>
  </si>
  <si>
    <t>FK-WY.SZ.25-20250515-000145</t>
  </si>
  <si>
    <t>报销深圳中海油大厦2025年4月纸品类物资采购费用（裕长丰）</t>
  </si>
  <si>
    <t>WY.SZ.25-202507-0071</t>
  </si>
  <si>
    <t>250708003288</t>
  </si>
  <si>
    <t>付 WY.SZ.25-202507-0071</t>
  </si>
  <si>
    <t>CF250506000349</t>
  </si>
  <si>
    <t>AP-202505-0048384,AP-202505-0048330</t>
  </si>
  <si>
    <t>31622</t>
  </si>
  <si>
    <t>31623</t>
  </si>
  <si>
    <t>31624</t>
  </si>
  <si>
    <t>31625</t>
  </si>
  <si>
    <t>CF250506000397</t>
  </si>
  <si>
    <t>33047</t>
  </si>
  <si>
    <t>FK250711000610</t>
  </si>
  <si>
    <t>FK-WY.SZ.25-20250714-000220</t>
  </si>
  <si>
    <t>2025-07-11</t>
  </si>
  <si>
    <t>深圳非住二片区中海油大厦2025年1-6月停车场系统维护付款申请</t>
  </si>
  <si>
    <t>2025-07-14</t>
  </si>
  <si>
    <t>CF250710000337</t>
  </si>
  <si>
    <t>AP-202507-0075868</t>
  </si>
  <si>
    <t>33048</t>
  </si>
  <si>
    <t>33049</t>
  </si>
  <si>
    <t>33050</t>
  </si>
  <si>
    <t>33051</t>
  </si>
  <si>
    <t>33052</t>
  </si>
  <si>
    <t>33053</t>
  </si>
  <si>
    <t>FK250711000605</t>
  </si>
  <si>
    <t>FK-WY.SZ.25-20250714-000218</t>
  </si>
  <si>
    <t>深圳非住二片区中海油项目4月物资搬运服务付款申请</t>
  </si>
  <si>
    <t>CF250710000334</t>
  </si>
  <si>
    <t>AP-202507-0075869</t>
  </si>
  <si>
    <t>33054</t>
  </si>
  <si>
    <t>FK250711000567</t>
  </si>
  <si>
    <t>FK-WY.SZ.25-20250715-000222</t>
  </si>
  <si>
    <t>深圳非住二片区中海油大厦B座328室内开窗器安装付款申请</t>
  </si>
  <si>
    <t>2025-07-15</t>
  </si>
  <si>
    <t>CF250710000322</t>
  </si>
  <si>
    <t>AP-202507-0075870</t>
  </si>
  <si>
    <t>33307</t>
  </si>
  <si>
    <t>FK250609000821</t>
  </si>
  <si>
    <t>FK-WY.SZ.25-20250615-000180</t>
  </si>
  <si>
    <t>2025-06-09</t>
  </si>
  <si>
    <t>报销深圳非住二片区中海油大厦人脸识别机安装费用（第一期）</t>
  </si>
  <si>
    <t>WY.SZ.25-202507-0060</t>
  </si>
  <si>
    <t>250708003273</t>
  </si>
  <si>
    <t>付 WY.SZ.25-202507-0060</t>
  </si>
  <si>
    <t>CF250609000278</t>
  </si>
  <si>
    <t>AP-202506-0062103</t>
  </si>
  <si>
    <t>33308</t>
  </si>
  <si>
    <t>FK250523000268</t>
  </si>
  <si>
    <t>FK-WY.SZ.25-20250604-000162</t>
  </si>
  <si>
    <t>报销深圳中海油大厦项目2025年3月生活垃圾清运服务费用的申请</t>
  </si>
  <si>
    <t>WY.SZ.25-202507-0061</t>
  </si>
  <si>
    <t>250708003300</t>
  </si>
  <si>
    <t>付 WY.SZ.25-202507-0061</t>
  </si>
  <si>
    <t>CF250516000321</t>
  </si>
  <si>
    <t>AP-202505-0053697</t>
  </si>
  <si>
    <t>33309</t>
  </si>
  <si>
    <t>FK250516000356</t>
  </si>
  <si>
    <t>FK-WY.SZ.25-20250604-000155</t>
  </si>
  <si>
    <t>报销深圳中海油大厦项目2025年3月石材养护费用的申请</t>
  </si>
  <si>
    <t>WY.SZ.25-202507-0062</t>
  </si>
  <si>
    <t>250708003299</t>
  </si>
  <si>
    <t>付 WY.SZ.25-202507-0062</t>
  </si>
  <si>
    <t>CF250516000161</t>
  </si>
  <si>
    <t>AP-202505-0053399</t>
  </si>
  <si>
    <t>33310</t>
  </si>
  <si>
    <t>FK250523000459</t>
  </si>
  <si>
    <t>FK-WY.SZ.25-20250527-000152</t>
  </si>
  <si>
    <t>报销深圳中海油大厦项目2025年4月石材养护费用的申请</t>
  </si>
  <si>
    <t>WY.SZ.25-202507-0063</t>
  </si>
  <si>
    <t>250708003301</t>
  </si>
  <si>
    <t>付 WY.SZ.25-202507-0063</t>
  </si>
  <si>
    <t>CF250516000169</t>
  </si>
  <si>
    <t>AP-202505-0053403</t>
  </si>
  <si>
    <t>33311</t>
  </si>
  <si>
    <t>FK250509000614</t>
  </si>
  <si>
    <t>FK-WY.SZ.25-20250514-000133</t>
  </si>
  <si>
    <t>报销深圳中海油大厦2025年4月纸品采购费用</t>
  </si>
  <si>
    <t>WY.SZ.25-202507-0059</t>
  </si>
  <si>
    <t>250708003285</t>
  </si>
  <si>
    <t>付 WY.SZ.25-202507-0059</t>
  </si>
  <si>
    <t>CF250506000149</t>
  </si>
  <si>
    <t>AP-202505-0048335</t>
  </si>
  <si>
    <t>33528</t>
  </si>
  <si>
    <t>JK-WY.SZ.25-20250702-000012</t>
  </si>
  <si>
    <t>FK-WY.SZ.25-20250703-000207</t>
  </si>
  <si>
    <t>中海油7月差旅费培训费借款</t>
  </si>
  <si>
    <t>WY.SZ.25-202507-0017</t>
  </si>
  <si>
    <t>250708003369</t>
  </si>
  <si>
    <t>付 WY.SZ.25-202507-0017</t>
  </si>
  <si>
    <t>33529</t>
  </si>
  <si>
    <t>DGBX-250626-0048752</t>
  </si>
  <si>
    <t>FK-WY.SZ.25-20250630-000193</t>
  </si>
  <si>
    <t>WY.SZ.25-202507-0054</t>
  </si>
  <si>
    <t>250708003306</t>
  </si>
  <si>
    <t>付 WY.SZ.25-202507-0054</t>
  </si>
  <si>
    <t>33531</t>
  </si>
  <si>
    <t>FYBX-WY.SZ.25-20250618-000034</t>
  </si>
  <si>
    <t>FK-WY.SZ.25-20250623-000191</t>
  </si>
  <si>
    <t>2025-06-23</t>
  </si>
  <si>
    <t>中海油6月差旅费</t>
  </si>
  <si>
    <t>WY.SZ.25-202507-0018</t>
  </si>
  <si>
    <t>250708003297</t>
  </si>
  <si>
    <t>付 WY.SZ.25-202507-0018</t>
  </si>
  <si>
    <t>33532</t>
  </si>
  <si>
    <t>DGBX-250617-0046534</t>
  </si>
  <si>
    <t>FK-WY.SZ.25-20250621-000190</t>
  </si>
  <si>
    <t>2025-06-21</t>
  </si>
  <si>
    <t>中海油6月培训费</t>
  </si>
  <si>
    <t>WY.SZ.25-202507-0053</t>
  </si>
  <si>
    <t>250708003296</t>
  </si>
  <si>
    <t>付 WY.SZ.25-202507-0053</t>
  </si>
  <si>
    <t>33535</t>
  </si>
  <si>
    <t>FK250609000792</t>
  </si>
  <si>
    <t>FK-WY.SZ.25-20250615-000181</t>
  </si>
  <si>
    <t>报销深圳非住二片区中海油大厦客户楼层人脸识别机安装费用（第二期）</t>
  </si>
  <si>
    <t>WY.SZ.25-202507-0050</t>
  </si>
  <si>
    <t>0026</t>
  </si>
  <si>
    <t>250708003275</t>
  </si>
  <si>
    <t>付 WY.SZ.25-202507-0050</t>
  </si>
  <si>
    <t>CF250609000281</t>
  </si>
  <si>
    <t>AP-202506-0062101</t>
  </si>
  <si>
    <t>33536</t>
  </si>
  <si>
    <t>FK250609000831</t>
  </si>
  <si>
    <t>FK-WY.SZ.25-20250615-000179</t>
  </si>
  <si>
    <t>777057954978</t>
  </si>
  <si>
    <t>中国银行股份有限公司深圳天安支行</t>
  </si>
  <si>
    <t>报销深圳非住二片区中海油大厦2025年生活水泵采购安装费用</t>
  </si>
  <si>
    <t>WY.SZ.25-202507-0051</t>
  </si>
  <si>
    <t>250708003272</t>
  </si>
  <si>
    <t>付 WY.SZ.25-202507-0051</t>
  </si>
  <si>
    <t>CF250609000277</t>
  </si>
  <si>
    <t>AP-202506-0062104</t>
  </si>
  <si>
    <t>33537</t>
  </si>
  <si>
    <t>FK250609000876</t>
  </si>
  <si>
    <t>FK-WY.SZ.25-20250612-000176</t>
  </si>
  <si>
    <t>报销深圳中海油大厦2025年1季度打印机租赁服务费用</t>
  </si>
  <si>
    <t>WY.SZ.25-202507-0049</t>
  </si>
  <si>
    <t>250708003270</t>
  </si>
  <si>
    <t>付 WY.SZ.25-202507-0049</t>
  </si>
  <si>
    <t>设备租赁</t>
  </si>
  <si>
    <t>CF250604000501</t>
  </si>
  <si>
    <t>AP-202506-0060415</t>
  </si>
  <si>
    <t>33538</t>
  </si>
  <si>
    <t>FK250609000851</t>
  </si>
  <si>
    <t>FK-WY.SZ.25-20250612-000174</t>
  </si>
  <si>
    <t>38680188000174713</t>
  </si>
  <si>
    <t>中国光大银行股份有限公司广州黄埔大道支行</t>
  </si>
  <si>
    <t>报销深圳非住二片区中海油大厦智能照明系统维护费用</t>
  </si>
  <si>
    <t>WY.SZ.25-202507-0028</t>
  </si>
  <si>
    <t>250708003271</t>
  </si>
  <si>
    <t>付 WY.SZ.25-202507-0028</t>
  </si>
  <si>
    <t>CF250609000275</t>
  </si>
  <si>
    <t>AP-202506-0062106</t>
  </si>
  <si>
    <t>33539</t>
  </si>
  <si>
    <t>FK250609000803</t>
  </si>
  <si>
    <t>FK-WY.SZ.25-20250612-000173</t>
  </si>
  <si>
    <t>44201521700052523908</t>
  </si>
  <si>
    <t>中国建设银行股份有限公司深圳振华支行</t>
  </si>
  <si>
    <t>报销深圳非住二片区中海油大厦2025年绝缘工具检测服务费用（第一期）</t>
  </si>
  <si>
    <t>WY.SZ.25-202507-0048</t>
  </si>
  <si>
    <t>250708003274</t>
  </si>
  <si>
    <t>付 WY.SZ.25-202507-0048</t>
  </si>
  <si>
    <t>CF250609000280</t>
  </si>
  <si>
    <t>AP-202506-0062102</t>
  </si>
  <si>
    <t>33540</t>
  </si>
  <si>
    <t>FK250523000258</t>
  </si>
  <si>
    <t>FK-WY.SZ.25-20250604-000159</t>
  </si>
  <si>
    <t>报销深圳中海油大厦项目2025年4月生活垃圾清运服务费用的申请</t>
  </si>
  <si>
    <t>WY.SZ.25-202507-0047</t>
  </si>
  <si>
    <t>250708003302</t>
  </si>
  <si>
    <t>付 WY.SZ.25-202507-0047</t>
  </si>
  <si>
    <t>CF250516000466</t>
  </si>
  <si>
    <t>AP-202505-0053700</t>
  </si>
  <si>
    <t>33541</t>
  </si>
  <si>
    <t>FK250523000485</t>
  </si>
  <si>
    <t>FK-WY.SZ.25-20250604-000158</t>
  </si>
  <si>
    <t>报销深圳中海油大厦项目2025年2月石材养护费用的申请</t>
  </si>
  <si>
    <t>WY.SZ.25-202507-0052</t>
  </si>
  <si>
    <t>250708003298</t>
  </si>
  <si>
    <t>付 WY.SZ.25-202507-0052</t>
  </si>
  <si>
    <t>CF250516000118</t>
  </si>
  <si>
    <t>AP-202505-0053335</t>
  </si>
  <si>
    <t>33542</t>
  </si>
  <si>
    <t>FK250509000354</t>
  </si>
  <si>
    <t>FK-WY.SZ.25-20250515-000146</t>
  </si>
  <si>
    <t>报销深圳中海油大厦2025年4月饮用水采购费用</t>
  </si>
  <si>
    <t>WY.SZ.25-202507-0044</t>
  </si>
  <si>
    <t>250708003286</t>
  </si>
  <si>
    <t>付 WY.SZ.25-202507-0044</t>
  </si>
  <si>
    <t>CF250425000051</t>
  </si>
  <si>
    <t>AP-202505-0047950,AP-202505-0048358</t>
  </si>
  <si>
    <t>33543</t>
  </si>
  <si>
    <t>CF250506000501</t>
  </si>
  <si>
    <t>33544</t>
  </si>
  <si>
    <t>FK250512000610</t>
  </si>
  <si>
    <t>FK-WY.SZ.25-20250515-000144</t>
  </si>
  <si>
    <t>报销深圳中海油大厦2025年4月综合品类物资采购费用（震坤行）</t>
  </si>
  <si>
    <t>WY.SZ.25-202507-0039</t>
  </si>
  <si>
    <t>250708003290</t>
  </si>
  <si>
    <t>付 WY.SZ.25-202507-0039</t>
  </si>
  <si>
    <t>CF250506000377</t>
  </si>
  <si>
    <t>AP-202505-0049086</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</si>
  <si>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</si>
  <si>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</si>
  <si>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</si>
  <si>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</si>
  <si>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</si>
  <si>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</si>
  <si>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</si>
  <si>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</si>
  <si>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</si>
  <si>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</si>
  <si>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</si>
  <si>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</si>
  <si>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</si>
  <si>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</si>
  <si>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</si>
  <si>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</si>
  <si>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</si>
  <si>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</si>
  <si>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</si>
  <si>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</si>
  <si>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</si>
  <si>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</si>
  <si>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常规防疫应急物资</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</si>
  <si>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</si>
  <si>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</si>
  <si>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</si>
  <si>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</si>
  <si>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</si>
  <si>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</si>
  <si>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</si>
  <si>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</si>
  <si>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</si>
  <si>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</si>
  <si>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</si>
  <si>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</si>
  <si>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</si>
  <si>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</si>
  <si>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</si>
  <si>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</si>
  <si>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</si>
  <si>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</si>
  <si>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</si>
  <si>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</si>
  <si>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空调</t>
  </si>
  <si>
    <t>33587</t>
  </si>
  <si>
    <t>33588</t>
  </si>
  <si>
    <t>33589</t>
  </si>
  <si>
    <t>33590</t>
  </si>
  <si>
    <t>33591</t>
  </si>
  <si>
    <t>33592</t>
  </si>
  <si>
    <t>33593</t>
  </si>
  <si>
    <t>33594</t>
  </si>
  <si>
    <t>FK250509001203</t>
  </si>
  <si>
    <t>FK-WY.SZ.25-20250515-000143</t>
  </si>
  <si>
    <t>报销深圳中海油大厦2025年4月综合品类物资采购费用（弘佳诚）</t>
  </si>
  <si>
    <t>WY.SZ.25-202507-0040</t>
  </si>
  <si>
    <t>250708003289</t>
  </si>
  <si>
    <t>付 WY.SZ.25-202507-0040</t>
  </si>
  <si>
    <t>CF250506000234</t>
  </si>
  <si>
    <t>AP-202505-0048340,AP-202505-0048339</t>
  </si>
  <si>
    <t>33595</t>
  </si>
  <si>
    <t>CF250506000236</t>
  </si>
  <si>
    <t>33596</t>
  </si>
  <si>
    <t>FK250509001179</t>
  </si>
  <si>
    <t>FK-WY.SZ.25-20250514-000132</t>
  </si>
  <si>
    <t>报销深圳中海油大厦2025年4月清洁用品采购费用</t>
  </si>
  <si>
    <t>WY.SZ.25-202507-0037</t>
  </si>
  <si>
    <t>250708003284</t>
  </si>
  <si>
    <t>付 WY.SZ.25-202507-0037</t>
  </si>
  <si>
    <t>CF250506000164</t>
  </si>
  <si>
    <t>AP-202505-0048336</t>
  </si>
  <si>
    <t>33597</t>
  </si>
  <si>
    <t>33598</t>
  </si>
  <si>
    <t>33599</t>
  </si>
  <si>
    <t>33600</t>
  </si>
  <si>
    <t>33601</t>
  </si>
  <si>
    <t>33602</t>
  </si>
  <si>
    <t>33603</t>
  </si>
  <si>
    <t>33604</t>
  </si>
  <si>
    <t>FK250510000189</t>
  </si>
  <si>
    <t>FK-WY.SZ.25-20250514-000131</t>
  </si>
  <si>
    <t>报销深圳中海油大厦2025年4月综合品类物资采购费用（全兴泰）</t>
  </si>
  <si>
    <t>WY.SZ.25-202507-0034</t>
  </si>
  <si>
    <t>250708003282</t>
  </si>
  <si>
    <t>付 WY.SZ.25-202507-0034</t>
  </si>
  <si>
    <t>CF250506000348</t>
  </si>
  <si>
    <t>AP-202505-0049305</t>
  </si>
  <si>
    <t>33605</t>
  </si>
  <si>
    <t>FK250509000282</t>
  </si>
  <si>
    <t>FK-WY.SZ.25-20250514-000126</t>
  </si>
  <si>
    <t>报销深圳中海油大厦2025年4月饮水机滤芯配件采购费用</t>
  </si>
  <si>
    <t>WY.SZ.25-202507-0030</t>
  </si>
  <si>
    <t>250708003287</t>
  </si>
  <si>
    <t>付 WY.SZ.25-202507-0030</t>
  </si>
  <si>
    <t>CF250408000331</t>
  </si>
  <si>
    <t>AP-202504-0036382</t>
  </si>
  <si>
    <t>33606</t>
  </si>
  <si>
    <t>33607</t>
  </si>
  <si>
    <t>33608</t>
  </si>
  <si>
    <t>33609</t>
  </si>
  <si>
    <t>33610</t>
  </si>
  <si>
    <t>33611</t>
  </si>
  <si>
    <t>FK250510000200</t>
  </si>
  <si>
    <t>FK-WY.SZ.25-20250514-000125</t>
  </si>
  <si>
    <t>报销深圳中海油大厦2025年4月灯具采购费用</t>
  </si>
  <si>
    <t>WY.SZ.25-202507-0031</t>
  </si>
  <si>
    <t>250708003283</t>
  </si>
  <si>
    <t>付 WY.SZ.25-202507-0031</t>
  </si>
  <si>
    <t>CF250508000202</t>
  </si>
  <si>
    <t>AP-202505-0049880</t>
  </si>
  <si>
    <t>33612</t>
  </si>
  <si>
    <t>FK250512001223</t>
  </si>
  <si>
    <t>FK-WY.SZ.25-20250514-000124</t>
  </si>
  <si>
    <t>报销深圳中海油大厦2025年4月钥匙配备费用</t>
  </si>
  <si>
    <t>WY.SZ.25-202507-0033</t>
  </si>
  <si>
    <t>0018</t>
  </si>
  <si>
    <t>250708003281</t>
  </si>
  <si>
    <t>付 WY.SZ.25-202507-0033</t>
  </si>
  <si>
    <t>CF250506000522</t>
  </si>
  <si>
    <t>AP-202505-0050731</t>
  </si>
  <si>
    <t>33613</t>
  </si>
  <si>
    <t>FK250427000616</t>
  </si>
  <si>
    <t>FK-WY.SZ.25-20250429-000111</t>
  </si>
  <si>
    <t>2025-04-27</t>
  </si>
  <si>
    <t>报销深圳中海油大厦2025年3月纸品采购费用</t>
  </si>
  <si>
    <t>WY.SZ.25-202507-0036</t>
  </si>
  <si>
    <t>250708003278</t>
  </si>
  <si>
    <t>付 WY.SZ.25-202507-0036</t>
  </si>
  <si>
    <t>CF250407000206</t>
  </si>
  <si>
    <t>AP-202504-0036119</t>
  </si>
  <si>
    <t>33614</t>
  </si>
  <si>
    <t>FK250428000054</t>
  </si>
  <si>
    <t>FK-WY.SZ.25-20250429-000110</t>
  </si>
  <si>
    <t>报销深圳中海油大厦2025年3月监控设备采购费用</t>
  </si>
  <si>
    <t>WY.SZ.25-202507-0032</t>
  </si>
  <si>
    <t>250708003292</t>
  </si>
  <si>
    <t>付 WY.SZ.25-202507-0032</t>
  </si>
  <si>
    <t>CF250402000179</t>
  </si>
  <si>
    <t>AP-202504-0034339</t>
  </si>
  <si>
    <t>33615</t>
  </si>
  <si>
    <t>33616</t>
  </si>
  <si>
    <t>33617</t>
  </si>
  <si>
    <t>FK250427000483</t>
  </si>
  <si>
    <t>FK-WY.SZ.25-20250429-000109</t>
  </si>
  <si>
    <t>报销深圳中海油大厦2025年3月清洁用品采购费用</t>
  </si>
  <si>
    <t>WY.SZ.25-202507-0045</t>
  </si>
  <si>
    <t>250708003293</t>
  </si>
  <si>
    <t>付 WY.SZ.25-202507-0045</t>
  </si>
  <si>
    <t>CF250402000233</t>
  </si>
  <si>
    <t>AP-202504-0034731</t>
  </si>
  <si>
    <t>33618</t>
  </si>
  <si>
    <t>33619</t>
  </si>
  <si>
    <t>33620</t>
  </si>
  <si>
    <t>33621</t>
  </si>
  <si>
    <t>33622</t>
  </si>
  <si>
    <t>33623</t>
  </si>
  <si>
    <t>33624</t>
  </si>
  <si>
    <t>33625</t>
  </si>
  <si>
    <t>33626</t>
  </si>
  <si>
    <t>33627</t>
  </si>
  <si>
    <t>33628</t>
  </si>
  <si>
    <t>33629</t>
  </si>
  <si>
    <t>33630</t>
  </si>
  <si>
    <t>FK250427000403</t>
  </si>
  <si>
    <t>FK-WY.SZ.25-20250429-000108</t>
  </si>
  <si>
    <t>报销深圳中海油大厦2025年3月综合品类物资采购费用</t>
  </si>
  <si>
    <t>WY.SZ.25-202507-0046</t>
  </si>
  <si>
    <t>250708003276</t>
  </si>
  <si>
    <t>付 WY.SZ.25-202507-0046</t>
  </si>
  <si>
    <t>CF250331000294</t>
  </si>
  <si>
    <t>AP-202504-0036114,AP-202504-0036117</t>
  </si>
  <si>
    <t>33631</t>
  </si>
  <si>
    <t>CF250403000255</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</si>
  <si>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</si>
  <si>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</si>
  <si>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</si>
  <si>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</si>
  <si>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</si>
  <si>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</si>
  <si>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</si>
  <si>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</si>
  <si>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</si>
  <si>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</si>
  <si>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</si>
  <si>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</si>
  <si>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</si>
  <si>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</si>
  <si>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</si>
  <si>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</si>
  <si>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</si>
  <si>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</si>
  <si>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</si>
  <si>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</si>
  <si>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</si>
  <si>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</si>
  <si>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</si>
  <si>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</si>
  <si>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</si>
  <si>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</si>
  <si>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</si>
  <si>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</si>
  <si>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</si>
  <si>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</si>
  <si>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</si>
  <si>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</si>
  <si>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</si>
  <si>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</si>
  <si>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</si>
  <si>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</si>
  <si>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</si>
  <si>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</si>
  <si>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</si>
  <si>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</si>
  <si>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FK250428000070</t>
  </si>
  <si>
    <t>FK-WY.SZ.25-20250429-000107</t>
  </si>
  <si>
    <t>报销深圳中海油大厦2025年元宵节DP物资采购费用</t>
  </si>
  <si>
    <t>WY.SZ.25-202507-0043</t>
  </si>
  <si>
    <t>250708003277</t>
  </si>
  <si>
    <t>付 WY.SZ.25-202507-0043</t>
  </si>
  <si>
    <t>CF250415000097</t>
  </si>
  <si>
    <t>AP-202504-0040157</t>
  </si>
  <si>
    <t>33672</t>
  </si>
  <si>
    <t>FK250427000754</t>
  </si>
  <si>
    <t>FK-WY.SZ.25-20250429-000106</t>
  </si>
  <si>
    <t>44201012000052532287</t>
  </si>
  <si>
    <t>中国建设银行股份有限公司深圳新城支行</t>
  </si>
  <si>
    <t>报销深圳中海油大厦2025年3月安全类采购费用</t>
  </si>
  <si>
    <t>WY.SZ.25-202507-0029</t>
  </si>
  <si>
    <t>250708003279</t>
  </si>
  <si>
    <t>付 WY.SZ.25-202507-0029</t>
  </si>
  <si>
    <t>道路设施</t>
  </si>
  <si>
    <t>XHWZ-Z-2023-0095</t>
  </si>
  <si>
    <t>CF250403000332</t>
  </si>
  <si>
    <t>AP-202504-0036125</t>
  </si>
  <si>
    <t>33673</t>
  </si>
  <si>
    <t>FK250427000733</t>
  </si>
  <si>
    <t>FK-WY.SZ.25-20250429-000105</t>
  </si>
  <si>
    <t>报销深圳中海油大厦2025年3月饮水机滤芯配件采购费用</t>
  </si>
  <si>
    <t>WY.SZ.25-202507-0027</t>
  </si>
  <si>
    <t>250708003280</t>
  </si>
  <si>
    <t>付 WY.SZ.25-202507-0027</t>
  </si>
  <si>
    <t>CF250408000317</t>
  </si>
  <si>
    <t>AP-202504-0036381</t>
  </si>
  <si>
    <t>33674</t>
  </si>
  <si>
    <t>33675</t>
  </si>
  <si>
    <t>33676</t>
  </si>
  <si>
    <t>FK250427000452</t>
  </si>
  <si>
    <t>FK-WY.SZ.25-20250429-000104</t>
  </si>
  <si>
    <t>报销深圳中海油大厦2025年3月地毯采购费用</t>
  </si>
  <si>
    <t>WY.SZ.25-202507-0042</t>
  </si>
  <si>
    <t>250708003294</t>
  </si>
  <si>
    <t>付 WY.SZ.25-202507-0042</t>
  </si>
  <si>
    <t>CF250414000499</t>
  </si>
  <si>
    <t>AP-202504-0039662,AP-202504-0039661</t>
  </si>
  <si>
    <t>33677</t>
  </si>
  <si>
    <t>地垫地毯</t>
  </si>
  <si>
    <t>CF250414000589</t>
  </si>
  <si>
    <t>33678</t>
  </si>
  <si>
    <t>FK250427000597</t>
  </si>
  <si>
    <t>FK-WY.SZ.25-20250429-000103</t>
  </si>
  <si>
    <t>报销深圳中海油大厦2025年3月灯具采购费用</t>
  </si>
  <si>
    <t>WY.SZ.25-202507-0041</t>
  </si>
  <si>
    <t>250708003291</t>
  </si>
  <si>
    <t>付 WY.SZ.25-202507-0041</t>
  </si>
  <si>
    <t>CF250327000372</t>
  </si>
  <si>
    <t>AP-202504-0034724</t>
  </si>
  <si>
    <t>35011</t>
  </si>
  <si>
    <t>FK250704000511</t>
  </si>
  <si>
    <t>FK-WY.SZ.25-20250709-000215</t>
  </si>
  <si>
    <t>2025-07-04</t>
  </si>
  <si>
    <t>10630001040009660</t>
  </si>
  <si>
    <t>中国农业银行股份有限公司无锡分行营业部</t>
  </si>
  <si>
    <t>深圳非住二片区中海油大厦机器人租赁业务付款的申请</t>
  </si>
  <si>
    <t>CF250704000168</t>
  </si>
  <si>
    <t>AP-202507-0073082</t>
  </si>
  <si>
    <t>35152</t>
  </si>
  <si>
    <t>FK250703000509</t>
  </si>
  <si>
    <t>FK-WY.SZ.25-20250708-000214</t>
  </si>
  <si>
    <t>报销深圳中海油大厦2025年6月综合类物资采购费用（弘佳诚）</t>
  </si>
  <si>
    <t>2025-07-08</t>
  </si>
  <si>
    <t>CF250624000196</t>
  </si>
  <si>
    <t>AP-202506-0069584,AP-202506-0069582,AP-202506-0069581</t>
  </si>
  <si>
    <t>35153</t>
  </si>
  <si>
    <t>CF250624000197</t>
  </si>
  <si>
    <t>35154</t>
  </si>
  <si>
    <t>CF250624000198</t>
  </si>
  <si>
    <t>35298</t>
  </si>
  <si>
    <t>FK250702000055</t>
  </si>
  <si>
    <t>FK-WY.SZ.25-20250703-000202</t>
  </si>
  <si>
    <t>报销深圳中海油大厦2025年6月灯具采购费用（全兴泰）</t>
  </si>
  <si>
    <t>CF250701000498</t>
  </si>
  <si>
    <t>AP-202507-0071913</t>
  </si>
  <si>
    <t>35391</t>
  </si>
  <si>
    <t>FK250701000490</t>
  </si>
  <si>
    <t>FK-WY.SZ.25-20250703-000211</t>
  </si>
  <si>
    <t>报销深圳中海油大厦2025年6月工程类物资采购费用</t>
  </si>
  <si>
    <t>CF250626000033</t>
  </si>
  <si>
    <t>AP-202506-0070475</t>
  </si>
  <si>
    <t>35392</t>
  </si>
  <si>
    <t>35393</t>
  </si>
  <si>
    <t>35394</t>
  </si>
  <si>
    <t>35395</t>
  </si>
  <si>
    <t>35396</t>
  </si>
  <si>
    <t>35397</t>
  </si>
  <si>
    <t>35398</t>
  </si>
  <si>
    <t>35399</t>
  </si>
  <si>
    <t>35400</t>
  </si>
  <si>
    <t>35401</t>
  </si>
  <si>
    <t>35443</t>
  </si>
  <si>
    <t>FK250630000542</t>
  </si>
  <si>
    <t>FK-WY.SZ.25-20250703-000212</t>
  </si>
  <si>
    <t>报销深圳中海油大厦2025年6月办公家具类物资采购费用</t>
  </si>
  <si>
    <t>CF250527000049</t>
  </si>
  <si>
    <t>AP-202505-0057858</t>
  </si>
  <si>
    <t>35463</t>
  </si>
  <si>
    <t>FK250630000399</t>
  </si>
  <si>
    <t>FK-WY.SZ.25-20250702-000196</t>
  </si>
  <si>
    <t>报销深圳中海油大厦2025年6月清洁类物资采购费用</t>
  </si>
  <si>
    <t>CF250624000537</t>
  </si>
  <si>
    <t>AP-202506-0069674</t>
  </si>
  <si>
    <t>35464</t>
  </si>
  <si>
    <t>35465</t>
  </si>
  <si>
    <t>35466</t>
  </si>
  <si>
    <t>35467</t>
  </si>
  <si>
    <t>35468</t>
  </si>
  <si>
    <t>35469</t>
  </si>
  <si>
    <t>35470</t>
  </si>
  <si>
    <t>35471</t>
  </si>
  <si>
    <t>35472</t>
  </si>
  <si>
    <t>35473</t>
  </si>
  <si>
    <t>35474</t>
  </si>
  <si>
    <t>35475</t>
  </si>
  <si>
    <t>35476</t>
  </si>
  <si>
    <t>35479</t>
  </si>
  <si>
    <t>FK250630000351</t>
  </si>
  <si>
    <t>FK-WY.SZ.25-20250702-000195</t>
  </si>
  <si>
    <t>报销深圳中海油大厦2025年6月饮水机滤芯配件采购费用</t>
  </si>
  <si>
    <t>CF250604000010</t>
  </si>
  <si>
    <t>AP-202506-0060393</t>
  </si>
  <si>
    <t>35497</t>
  </si>
  <si>
    <t>FK250630000281</t>
  </si>
  <si>
    <t>FK-WY.SZ.25-20250703-000206</t>
  </si>
  <si>
    <t>000052797288</t>
  </si>
  <si>
    <t>深圳农村商业银行股份有限公司石岩支行</t>
  </si>
  <si>
    <t>深圳非住二片区中海油大厦外墙清洗付款申请</t>
  </si>
  <si>
    <t>CF250627000031</t>
  </si>
  <si>
    <t>AP-202506-0070478</t>
  </si>
  <si>
    <t>35523</t>
  </si>
  <si>
    <t>FK250630000167</t>
  </si>
  <si>
    <t>FK-WY.SZ.25-20250703-000210</t>
  </si>
  <si>
    <t>报销深圳中海油大厦2025年6月纸品类物资采购费用（金深拓）</t>
  </si>
  <si>
    <t>CF250624000142</t>
  </si>
  <si>
    <t>AP-202506-0069853</t>
  </si>
  <si>
    <t>35531</t>
  </si>
  <si>
    <t>FK250630000146</t>
  </si>
  <si>
    <t>FK-WY.SZ.25-20250703-000209</t>
  </si>
  <si>
    <t>报销深圳中海油大厦2025年6月纸品类物资采购费用（裕长丰）</t>
  </si>
  <si>
    <t>CF250624000472</t>
  </si>
  <si>
    <t>AP-202506-0069351</t>
  </si>
  <si>
    <t>35576</t>
  </si>
  <si>
    <t>FK250630000118</t>
  </si>
  <si>
    <t>FK-WY.SZ.25-20250703-000208</t>
  </si>
  <si>
    <t>89640120000058720</t>
  </si>
  <si>
    <t>甘孜州农村信用联社股份有限公司</t>
  </si>
  <si>
    <t>报销深圳中海油大厦2025年6月饮用水采购费用</t>
  </si>
  <si>
    <t>CF250630000094</t>
  </si>
  <si>
    <t>AP-202506-0071122</t>
  </si>
  <si>
    <t>35711</t>
  </si>
  <si>
    <t>FK250628000196</t>
  </si>
  <si>
    <t>FK-WY.SZ.25-20250702-000198</t>
  </si>
  <si>
    <t>2025-06-28</t>
  </si>
  <si>
    <t>报销深圳中海油大厦2025年6月灯具采购费用（鸿志）</t>
  </si>
  <si>
    <t>CF250611000416</t>
  </si>
  <si>
    <t>AP-202506-0068993</t>
  </si>
  <si>
    <t>35712</t>
  </si>
  <si>
    <t>35713</t>
  </si>
  <si>
    <t>FK250628000194</t>
  </si>
  <si>
    <t>FK-WY.SZ.25-20250703-000213</t>
  </si>
  <si>
    <t>21731001040018057</t>
  </si>
  <si>
    <t>中国农业银行股份有限公司五指山市支行</t>
  </si>
  <si>
    <t>报销深圳中海油大厦2025年6月茶叶采购费用</t>
  </si>
  <si>
    <t>CF250624000328</t>
  </si>
  <si>
    <t>AP-202506-0069304</t>
  </si>
  <si>
    <t>35714</t>
  </si>
  <si>
    <t>FK250628000192</t>
  </si>
  <si>
    <t>FK-WY.SZ.25-20250703-000201</t>
  </si>
  <si>
    <t>报销深圳中海油大厦2025年6月安全类物资采购费用</t>
  </si>
  <si>
    <t>CF250619000029</t>
  </si>
  <si>
    <t>AP-202506-0069855</t>
  </si>
  <si>
    <t>35715</t>
  </si>
  <si>
    <t>35716</t>
  </si>
  <si>
    <t>35717</t>
  </si>
  <si>
    <t>35718</t>
  </si>
  <si>
    <t>FK250628000189</t>
  </si>
  <si>
    <t>FK-WY.SZ.25-20250703-000200</t>
  </si>
  <si>
    <t>3301041060003632258</t>
  </si>
  <si>
    <t>杭州银行股份有限公司杭州崇贤支行</t>
  </si>
  <si>
    <t>报销深圳中海油大厦2025年6月消防用品采购费用</t>
  </si>
  <si>
    <t>CF250609000625</t>
  </si>
  <si>
    <t>AP-202506-0063131</t>
  </si>
  <si>
    <t>35719</t>
  </si>
  <si>
    <t>FK250628000186</t>
  </si>
  <si>
    <t>FK-WY.SZ.25-20250702-000199</t>
  </si>
  <si>
    <t>报销深圳中海油大厦2025年6月监控设备采购费用</t>
  </si>
  <si>
    <t>CF250624000160</t>
  </si>
  <si>
    <t>AP-202506-0069120</t>
  </si>
  <si>
    <t>35870</t>
  </si>
  <si>
    <t>FK250606000451</t>
  </si>
  <si>
    <t>FK-WY.SZ.25-20250615-000183</t>
  </si>
  <si>
    <t>2025-06-27</t>
  </si>
  <si>
    <t>15236115660008</t>
  </si>
  <si>
    <t>平安银行深圳民治支行</t>
  </si>
  <si>
    <t>报销深圳中海油大厦项目2025年1-3月四害消杀费用的申请</t>
  </si>
  <si>
    <t>2025-06-16</t>
  </si>
  <si>
    <t>WY.SZ.25-202506-0146</t>
  </si>
  <si>
    <t>0057</t>
  </si>
  <si>
    <t>250620002247</t>
  </si>
  <si>
    <t>付 WY.SZ.25-202506-0146</t>
  </si>
  <si>
    <t>CF250606000151</t>
  </si>
  <si>
    <t>AP-202506-0061247</t>
  </si>
  <si>
    <t>35871</t>
  </si>
  <si>
    <t>35872</t>
  </si>
  <si>
    <t>35873</t>
  </si>
  <si>
    <t>DGBX-250604-0042086</t>
  </si>
  <si>
    <t>FK-WY.SZ.25-20250610-000169</t>
  </si>
  <si>
    <t>WY.SZ.25-202506-0156</t>
  </si>
  <si>
    <t>0055</t>
  </si>
  <si>
    <t>250620002244</t>
  </si>
  <si>
    <t>付 WY.SZ.25-202506-0156</t>
  </si>
  <si>
    <t>35874</t>
  </si>
  <si>
    <t>FK250523000496</t>
  </si>
  <si>
    <t>FK-WY.SZ.25-20250604-000154</t>
  </si>
  <si>
    <t>报销深圳中海油大厦项目2025年1月保洁费用的申请</t>
  </si>
  <si>
    <t>WY.SZ.25-202506-0150</t>
  </si>
  <si>
    <t>0056</t>
  </si>
  <si>
    <t>250620002245</t>
  </si>
  <si>
    <t>付 WY.SZ.25-202506-0150</t>
  </si>
  <si>
    <t>CF250516000087</t>
  </si>
  <si>
    <t>AP-202505-0053283</t>
  </si>
  <si>
    <t>35875</t>
  </si>
  <si>
    <t>FK250523000283</t>
  </si>
  <si>
    <t>FK-WY.SZ.25-20250528-000153</t>
  </si>
  <si>
    <t>报销深圳中海油大厦项目2025年2月生活垃圾清运服务费用的申请</t>
  </si>
  <si>
    <t>WY.SZ.25-202506-0151</t>
  </si>
  <si>
    <t>0065</t>
  </si>
  <si>
    <t>250620002249</t>
  </si>
  <si>
    <t>付 WY.SZ.25-202506-0151</t>
  </si>
  <si>
    <t>CF250516000316</t>
  </si>
  <si>
    <t>AP-202505-0053493</t>
  </si>
  <si>
    <t>35876</t>
  </si>
  <si>
    <t>FK250523000384</t>
  </si>
  <si>
    <t>FK-WY.SZ.25-20250527-000150</t>
  </si>
  <si>
    <t>报销深圳中海油大厦项目2025年3月洗手间深度消毒费用的申请</t>
  </si>
  <si>
    <t>WY.SZ.25-202506-0152</t>
  </si>
  <si>
    <t>0067</t>
  </si>
  <si>
    <t>250620002246</t>
  </si>
  <si>
    <t>付 WY.SZ.25-202506-0152</t>
  </si>
  <si>
    <t>CF250516000248</t>
  </si>
  <si>
    <t>AP-202505-0053460</t>
  </si>
  <si>
    <t>35877</t>
  </si>
  <si>
    <t>FK250509000497</t>
  </si>
  <si>
    <t>FK-WY.SZ.25-20250514-000139</t>
  </si>
  <si>
    <t>362358345848</t>
  </si>
  <si>
    <t>中国银行杭州市高新技术开发区支行</t>
  </si>
  <si>
    <t>报销深圳中海油B座906、B37办公室空调改造工程费用</t>
  </si>
  <si>
    <t>WY.SZ.25-202506-0149</t>
  </si>
  <si>
    <t>0068</t>
  </si>
  <si>
    <t>250611000487</t>
  </si>
  <si>
    <t>付 WY.SZ.25-202506-0149</t>
  </si>
  <si>
    <t>GCFW-Z-2024-4221</t>
  </si>
  <si>
    <t>CF250507000292</t>
  </si>
  <si>
    <t>AP-202505-0049315,AP-202505-0049311</t>
  </si>
  <si>
    <t>35878</t>
  </si>
  <si>
    <t>CF250507000342</t>
  </si>
  <si>
    <t>35879</t>
  </si>
  <si>
    <t>FK250509000458</t>
  </si>
  <si>
    <t>FK-WY.SZ.25-20250514-000137</t>
  </si>
  <si>
    <t>报销深圳中海油大厦2025年1季度空调水处理费用</t>
  </si>
  <si>
    <t>WY.SZ.25-202506-0147</t>
  </si>
  <si>
    <t>0066</t>
  </si>
  <si>
    <t>250611000490</t>
  </si>
  <si>
    <t>付 WY.SZ.25-202506-0147</t>
  </si>
  <si>
    <t>CF250508000036</t>
  </si>
  <si>
    <t>AP-202505-0049306</t>
  </si>
  <si>
    <t>35880</t>
  </si>
  <si>
    <t>35881</t>
  </si>
  <si>
    <t>35882</t>
  </si>
  <si>
    <t>FK250324000190</t>
  </si>
  <si>
    <t>FK-WY.SZ.25-20250331-000079</t>
  </si>
  <si>
    <t>2025-03-24</t>
  </si>
  <si>
    <t>报销深圳中海油大厦2025年2月纸品类物资采购费用</t>
  </si>
  <si>
    <t>WY.SZ.25-202506-0144</t>
  </si>
  <si>
    <t>0063</t>
  </si>
  <si>
    <t>250611000464</t>
  </si>
  <si>
    <t>付 WY.SZ.25-202506-0144</t>
  </si>
  <si>
    <t>CF250306000340</t>
  </si>
  <si>
    <t>AP-202503-0022815</t>
  </si>
  <si>
    <t>35883</t>
  </si>
  <si>
    <t>35884</t>
  </si>
  <si>
    <t>35885</t>
  </si>
  <si>
    <t>FK250226000850</t>
  </si>
  <si>
    <t>FK-WY.SZ.25-20250306-000068</t>
  </si>
  <si>
    <t>报销深圳中海油大厦2025年2月物资采购费用</t>
  </si>
  <si>
    <t>WY.SZ.25-202506-0145</t>
  </si>
  <si>
    <t>0064</t>
  </si>
  <si>
    <t>250611000467</t>
  </si>
  <si>
    <t>付 WY.SZ.25-202506-0145</t>
  </si>
  <si>
    <t>CF250220000430</t>
  </si>
  <si>
    <t>AP-202502-0017694</t>
  </si>
  <si>
    <t>35886</t>
  </si>
  <si>
    <t>FK250226000845</t>
  </si>
  <si>
    <t>FK-WY.SZ.25-20250305-000065</t>
  </si>
  <si>
    <t>WY.SZ.25-202506-0140</t>
  </si>
  <si>
    <t>0059</t>
  </si>
  <si>
    <t>250611000471</t>
  </si>
  <si>
    <t>付 WY.SZ.25-202506-0140</t>
  </si>
  <si>
    <t>CF250220000452</t>
  </si>
  <si>
    <t>AP-202502-0017794,AP-202502-0017795</t>
  </si>
  <si>
    <t>35887</t>
  </si>
  <si>
    <t>35888</t>
  </si>
  <si>
    <t>35889</t>
  </si>
  <si>
    <t>35890</t>
  </si>
  <si>
    <t>35891</t>
  </si>
  <si>
    <t>35892</t>
  </si>
  <si>
    <t>35893</t>
  </si>
  <si>
    <t>35894</t>
  </si>
  <si>
    <t>35895</t>
  </si>
  <si>
    <t>35896</t>
  </si>
  <si>
    <t>CF250220000453</t>
  </si>
  <si>
    <t>35897</t>
  </si>
  <si>
    <t>FK250226000869</t>
  </si>
  <si>
    <t>FK-WY.SZ.25-20250304-000062</t>
  </si>
  <si>
    <t>报销深圳中海油大厦2025年2月环境纸品物资采购费用</t>
  </si>
  <si>
    <t>WY.SZ.25-202506-0141</t>
  </si>
  <si>
    <t>0058</t>
  </si>
  <si>
    <t>250611000469</t>
  </si>
  <si>
    <t>付 WY.SZ.25-202506-0141</t>
  </si>
  <si>
    <t>CF250217000541</t>
  </si>
  <si>
    <t>AP-202502-0016056</t>
  </si>
  <si>
    <t>35898</t>
  </si>
  <si>
    <t>FK250219000549</t>
  </si>
  <si>
    <t>FK-WY.SZ.25-20250222-000053</t>
  </si>
  <si>
    <t>87283022240101220646</t>
  </si>
  <si>
    <t>中国民生银行股份有限公司上海闵行支行</t>
  </si>
  <si>
    <t>深圳中海油项目2024年擦窗机与高空作业平台维保费用报销申请</t>
  </si>
  <si>
    <t>WY.SZ.25-202506-0148</t>
  </si>
  <si>
    <t>0069</t>
  </si>
  <si>
    <t>250521001731</t>
  </si>
  <si>
    <t>付 WY.SZ.25-202506-0148</t>
  </si>
  <si>
    <t>GCFW-Z-2024-3545</t>
  </si>
  <si>
    <t>CF250218000186</t>
  </si>
  <si>
    <t>AP-202502-0016064</t>
  </si>
  <si>
    <t>35899</t>
  </si>
  <si>
    <t>FK250213000708</t>
  </si>
  <si>
    <t>FK-WY.SZ.25-20250218-000046</t>
  </si>
  <si>
    <t>深圳中海油大厦2025年1月环境物资采购费用报销申请</t>
  </si>
  <si>
    <t>WY.SZ.25-202506-0143</t>
  </si>
  <si>
    <t>0061</t>
  </si>
  <si>
    <t>250611000470</t>
  </si>
  <si>
    <t>付 WY.SZ.25-202506-0143</t>
  </si>
  <si>
    <t>CF250206000211</t>
  </si>
  <si>
    <t>AP-202502-0011657</t>
  </si>
  <si>
    <t>35900</t>
  </si>
  <si>
    <t>35901</t>
  </si>
  <si>
    <t>35902</t>
  </si>
  <si>
    <t>35903</t>
  </si>
  <si>
    <t>35904</t>
  </si>
  <si>
    <t>35905</t>
  </si>
  <si>
    <t>35906</t>
  </si>
  <si>
    <t>35907</t>
  </si>
  <si>
    <t>35908</t>
  </si>
  <si>
    <t>35909</t>
  </si>
  <si>
    <t>35910</t>
  </si>
  <si>
    <t>35911</t>
  </si>
  <si>
    <t>35912</t>
  </si>
  <si>
    <t>35913</t>
  </si>
  <si>
    <t>FK250121000785</t>
  </si>
  <si>
    <t>FK-WY.SZ.25-20250208-000030</t>
  </si>
  <si>
    <t>WY.SZ.25-202506-0139</t>
  </si>
  <si>
    <t>0060</t>
  </si>
  <si>
    <t>250611000465</t>
  </si>
  <si>
    <t>付 WY.SZ.25-202506-0139</t>
  </si>
  <si>
    <t>CF250111000001</t>
  </si>
  <si>
    <t>AP-202501-0005834</t>
  </si>
  <si>
    <t>35914</t>
  </si>
  <si>
    <t>35915</t>
  </si>
  <si>
    <t>35916</t>
  </si>
  <si>
    <t>35917</t>
  </si>
  <si>
    <t>35918</t>
  </si>
  <si>
    <t>35919</t>
  </si>
  <si>
    <t>35920</t>
  </si>
  <si>
    <t>35921</t>
  </si>
  <si>
    <t>35922</t>
  </si>
  <si>
    <t>35923</t>
  </si>
  <si>
    <t>35924</t>
  </si>
  <si>
    <t>35925</t>
  </si>
  <si>
    <t>35926</t>
  </si>
  <si>
    <t>35927</t>
  </si>
  <si>
    <t>35928</t>
  </si>
  <si>
    <t>35929</t>
  </si>
  <si>
    <t>35930</t>
  </si>
  <si>
    <t>35931</t>
  </si>
  <si>
    <t>FK250120000554</t>
  </si>
  <si>
    <t>FK-WY.SZ.25-20250123-000016</t>
  </si>
  <si>
    <t>44201627100052520070</t>
  </si>
  <si>
    <t>中国建设银行股份有限公司深圳民治支行</t>
  </si>
  <si>
    <t>报销深圳中海油大厦2024年12月标识标牌类物资采购费用</t>
  </si>
  <si>
    <t>WY.SZ.25-202506-0142</t>
  </si>
  <si>
    <t>0062</t>
  </si>
  <si>
    <t>250411000987</t>
  </si>
  <si>
    <t>付 WY.SZ.25-202506-0142</t>
  </si>
  <si>
    <t>XHWZ-Z-2024-0060</t>
  </si>
  <si>
    <t>CF241215000048</t>
  </si>
  <si>
    <t>AP-202412-0142010</t>
  </si>
  <si>
    <t>35932</t>
  </si>
  <si>
    <t>35933</t>
  </si>
  <si>
    <t>35934</t>
  </si>
  <si>
    <t>35935</t>
  </si>
  <si>
    <t>35936</t>
  </si>
  <si>
    <t>35937</t>
  </si>
  <si>
    <t>35938</t>
  </si>
  <si>
    <t>35939</t>
  </si>
  <si>
    <t>35940</t>
  </si>
  <si>
    <t>35941</t>
  </si>
  <si>
    <t>37212</t>
  </si>
  <si>
    <t>FK-WY.SZ.01-20250409-004307</t>
  </si>
  <si>
    <t>WY.SZ.01-202505-0085</t>
  </si>
  <si>
    <t>250430000025</t>
  </si>
  <si>
    <t>付 WY.SZ.01-202505-0085</t>
  </si>
  <si>
    <t>37233</t>
  </si>
  <si>
    <t>FK250213000917</t>
  </si>
  <si>
    <t>FK-WY.SZ.25-20250421-000093</t>
  </si>
  <si>
    <t>817281933210001</t>
  </si>
  <si>
    <t>招商银行股份有限公司深圳汉京中心支行</t>
  </si>
  <si>
    <t>深圳中海油大厦2024年12月网络高清监控系统及应急照明改造工程付款申请</t>
  </si>
  <si>
    <t>WY.SZ.25-202505-0036</t>
  </si>
  <si>
    <t>250430000016</t>
  </si>
  <si>
    <t>付 WY.SZ.25-202505-0036</t>
  </si>
  <si>
    <t>GCFW-Z-2024-8928</t>
  </si>
  <si>
    <t>CF250213000482</t>
  </si>
  <si>
    <t>AP-202502-0014247</t>
  </si>
  <si>
    <t>37234</t>
  </si>
  <si>
    <t>FK250226000636</t>
  </si>
  <si>
    <t>FK-WY.SZ.25-20250303-000056</t>
  </si>
  <si>
    <t>深圳中海油项目零星维修工程付款申请</t>
  </si>
  <si>
    <t>WY.SZ.25-202505-0033</t>
  </si>
  <si>
    <t>250411000994</t>
  </si>
  <si>
    <t>付 WY.SZ.25-202505-0033</t>
  </si>
  <si>
    <t>GCFW-Z-2024-4356</t>
  </si>
  <si>
    <t>CF250226000138</t>
  </si>
  <si>
    <t>AP-202502-0019713</t>
  </si>
  <si>
    <t>37235</t>
  </si>
  <si>
    <t>37483</t>
  </si>
  <si>
    <t>FK250415001179</t>
  </si>
  <si>
    <t>FK-WY.SZ.25-20250417-000091</t>
  </si>
  <si>
    <t>2025-04-29</t>
  </si>
  <si>
    <t>2025-04-15</t>
  </si>
  <si>
    <t>44250100003600001819</t>
  </si>
  <si>
    <t>中国建设银行股份有限公司深圳铁路支行</t>
  </si>
  <si>
    <t>深圳非住二片区深圳中海油大厦春节氛围场景及新春嘉年华装饰付款申请</t>
  </si>
  <si>
    <t>WY.SZ.25-202505-0029</t>
  </si>
  <si>
    <t>250424001498</t>
  </si>
  <si>
    <t>付 WY.SZ.25-202505-0029</t>
  </si>
  <si>
    <t>CF250415000712</t>
  </si>
  <si>
    <t>AP-202504-0040321</t>
  </si>
  <si>
    <t>37484</t>
  </si>
  <si>
    <t>DGBX-250403-0025908</t>
  </si>
  <si>
    <t>FK-WY.SZ.25-20250409-000087</t>
  </si>
  <si>
    <t>中海油4月宿舍租金</t>
  </si>
  <si>
    <t>WY.SZ.25-202505-0007</t>
  </si>
  <si>
    <t>250424001502</t>
  </si>
  <si>
    <t>付 WY.SZ.25-202505-0007</t>
  </si>
  <si>
    <t>37485</t>
  </si>
  <si>
    <t>DGBX-250327-0024282</t>
  </si>
  <si>
    <t>FK-WY.SZ.25-20250401-000080</t>
  </si>
  <si>
    <t>WY.SZ.25-202505-0006</t>
  </si>
  <si>
    <t>250424001501</t>
  </si>
  <si>
    <t>付 WY.SZ.25-202505-0006</t>
  </si>
  <si>
    <t>37486</t>
  </si>
  <si>
    <t>FK250226000683</t>
  </si>
  <si>
    <t>FK-WY.SZ.25-20250303-000055</t>
  </si>
  <si>
    <t>755907755410101</t>
  </si>
  <si>
    <t>招商银行深圳金色家园支行</t>
  </si>
  <si>
    <t>深圳中海油大厦停车场经营许可证换证服务付款申请</t>
  </si>
  <si>
    <t>WY.SZ.25-202505-0027</t>
  </si>
  <si>
    <t>250411000960</t>
  </si>
  <si>
    <t>付 WY.SZ.25-202505-0027</t>
  </si>
  <si>
    <t>CF250221000466</t>
  </si>
  <si>
    <t>AP-202502-0019720</t>
  </si>
  <si>
    <t>37487</t>
  </si>
  <si>
    <t>FK250219000564</t>
  </si>
  <si>
    <t>FK-WY.SZ.25-20250220-000050</t>
  </si>
  <si>
    <t>324656033081</t>
  </si>
  <si>
    <t>中国银行股份有限公司北京大运村支行</t>
  </si>
  <si>
    <t>深圳中海油大厦办公室空调清洗费用付款申请</t>
  </si>
  <si>
    <t>WY.SZ.25-202505-0025</t>
  </si>
  <si>
    <t>250411000964</t>
  </si>
  <si>
    <t>付 WY.SZ.25-202505-0025</t>
  </si>
  <si>
    <t>GCFW-Z-2024-7656</t>
  </si>
  <si>
    <t>CF250217000244</t>
  </si>
  <si>
    <t>AP-202502-0015398</t>
  </si>
  <si>
    <t>37488</t>
  </si>
  <si>
    <t>FK250213000599</t>
  </si>
  <si>
    <t>FK-WY.SZ.25-20250218-000048</t>
  </si>
  <si>
    <t>755933109610201</t>
  </si>
  <si>
    <t>招商银行深圳东门支行</t>
  </si>
  <si>
    <t>深圳中海油大厦2024年12月B座35楼红外报警系统安装工程费用报销申请</t>
  </si>
  <si>
    <t>WY.SZ.25-202505-0028</t>
  </si>
  <si>
    <t>250411000969</t>
  </si>
  <si>
    <t>付 WY.SZ.25-202505-0028</t>
  </si>
  <si>
    <t>CF250213000088</t>
  </si>
  <si>
    <t>AP-202502-0014044</t>
  </si>
  <si>
    <t>37489</t>
  </si>
  <si>
    <t>FK250213000623</t>
  </si>
  <si>
    <t>FK-WY.SZ.25-20250218-000044</t>
  </si>
  <si>
    <t>深圳中海油大厦A座大堂不锈钢自动门安装工程费用报销申请</t>
  </si>
  <si>
    <t>WY.SZ.25-202505-0026</t>
  </si>
  <si>
    <t>250411000970</t>
  </si>
  <si>
    <t>付 WY.SZ.25-202505-0026</t>
  </si>
  <si>
    <t>CF250213000086</t>
  </si>
  <si>
    <t>AP-202502-0013892</t>
  </si>
  <si>
    <t>37490</t>
  </si>
  <si>
    <t>FK250213000331</t>
  </si>
  <si>
    <t>FK-WY.SZ.25-20250218-000042</t>
  </si>
  <si>
    <t>深圳中海油大厦2024年12月QC设备定制费用报销申请</t>
  </si>
  <si>
    <t>WY.SZ.25-202505-0016</t>
  </si>
  <si>
    <t>250411000974</t>
  </si>
  <si>
    <t>付 WY.SZ.25-202505-0016</t>
  </si>
  <si>
    <t>CF250121000580</t>
  </si>
  <si>
    <t>AP-202502-0013938</t>
  </si>
  <si>
    <t>37491</t>
  </si>
  <si>
    <t>37492</t>
  </si>
  <si>
    <t>37493</t>
  </si>
  <si>
    <t>37494</t>
  </si>
  <si>
    <t>FK250121001016</t>
  </si>
  <si>
    <t>FK-WY.SZ.25-20250208-000029</t>
  </si>
  <si>
    <t>深圳中海油大厦2024年12月钥匙配备费用报销申请</t>
  </si>
  <si>
    <t>WY.SZ.25-202505-0017</t>
  </si>
  <si>
    <t>250411000966</t>
  </si>
  <si>
    <t>付 WY.SZ.25-202505-0017</t>
  </si>
  <si>
    <t>CF250121000669</t>
  </si>
  <si>
    <t>AP-202501-0008971</t>
  </si>
  <si>
    <t>37495</t>
  </si>
  <si>
    <t>37496</t>
  </si>
  <si>
    <t>37497</t>
  </si>
  <si>
    <t>37498</t>
  </si>
  <si>
    <t>37499</t>
  </si>
  <si>
    <t>FK250121000267</t>
  </si>
  <si>
    <t>FK-WY.SZ.25-20250206-000025</t>
  </si>
  <si>
    <t>报销深圳中海油大厦2024年12月饮水机滤芯费用</t>
  </si>
  <si>
    <t>WY.SZ.25-202505-0023</t>
  </si>
  <si>
    <t>250411000992</t>
  </si>
  <si>
    <t>付 WY.SZ.25-202505-0023</t>
  </si>
  <si>
    <t>CF241203000174</t>
  </si>
  <si>
    <t>AP-202412-0132948,AP-202501-0001587</t>
  </si>
  <si>
    <t>37500</t>
  </si>
  <si>
    <t>37501</t>
  </si>
  <si>
    <t>37502</t>
  </si>
  <si>
    <t>37503</t>
  </si>
  <si>
    <t>37504</t>
  </si>
  <si>
    <t>CF250102000061</t>
  </si>
  <si>
    <t>37505</t>
  </si>
  <si>
    <t>37506</t>
  </si>
  <si>
    <t>37507</t>
  </si>
  <si>
    <t>37508</t>
  </si>
  <si>
    <t>37509</t>
  </si>
  <si>
    <t>37510</t>
  </si>
  <si>
    <t>37511</t>
  </si>
  <si>
    <t>37512</t>
  </si>
  <si>
    <t>FK250121000703</t>
  </si>
  <si>
    <t>FK-WY.SZ.25-20250206-000024</t>
  </si>
  <si>
    <t>91040154700001107</t>
  </si>
  <si>
    <t>上海浦东发展银行股份有限公司北京雍和支行</t>
  </si>
  <si>
    <t>报销深圳中海油大厦2024年12月服装采购费用</t>
  </si>
  <si>
    <t>WY.SZ.25-202505-0018</t>
  </si>
  <si>
    <t>250411000988</t>
  </si>
  <si>
    <t>付 WY.SZ.25-202505-0018</t>
  </si>
  <si>
    <t>CF250121000397</t>
  </si>
  <si>
    <t>AP-202501-0008751</t>
  </si>
  <si>
    <t>37513</t>
  </si>
  <si>
    <t>37514</t>
  </si>
  <si>
    <t>37515</t>
  </si>
  <si>
    <t>FK250120000561</t>
  </si>
  <si>
    <t>FK-WY.SZ.25-20250123-000019</t>
  </si>
  <si>
    <t>报销深圳中海油大厦2024年12月清洁用品类物资采购费用</t>
  </si>
  <si>
    <t>WY.SZ.25-202505-0020</t>
  </si>
  <si>
    <t>250411000989</t>
  </si>
  <si>
    <t>付 WY.SZ.25-202505-0020</t>
  </si>
  <si>
    <t>CF241217000123</t>
  </si>
  <si>
    <t>AP-202412-0142309</t>
  </si>
  <si>
    <t>37516</t>
  </si>
  <si>
    <t>37517</t>
  </si>
  <si>
    <t>37518</t>
  </si>
  <si>
    <t>37519</t>
  </si>
  <si>
    <t>37520</t>
  </si>
  <si>
    <t>37521</t>
  </si>
  <si>
    <t>37522</t>
  </si>
  <si>
    <t>37523</t>
  </si>
  <si>
    <t>FK250120000575</t>
  </si>
  <si>
    <t>FK-WY.SZ.25-20250123-000018</t>
  </si>
  <si>
    <t>000240014242</t>
  </si>
  <si>
    <t>深圳农村商业银行股份有限公司松元支行</t>
  </si>
  <si>
    <t>报销深圳中海油大厦2024年12月五金综合物资采购费用</t>
  </si>
  <si>
    <t>WY.SZ.25-202505-0019</t>
  </si>
  <si>
    <t>250411000984</t>
  </si>
  <si>
    <t>付 WY.SZ.25-202505-0019</t>
  </si>
  <si>
    <t>CF241219000842</t>
  </si>
  <si>
    <t>AP-202501-0005839</t>
  </si>
  <si>
    <t>37524</t>
  </si>
  <si>
    <t>37525</t>
  </si>
  <si>
    <t>37526</t>
  </si>
  <si>
    <t>37527</t>
  </si>
  <si>
    <t>消防设施</t>
  </si>
  <si>
    <t>37528</t>
  </si>
  <si>
    <t>37529</t>
  </si>
  <si>
    <t>37530</t>
  </si>
  <si>
    <t>37531</t>
  </si>
  <si>
    <t>37532</t>
  </si>
  <si>
    <t>37533</t>
  </si>
  <si>
    <t>37534</t>
  </si>
  <si>
    <t>37535</t>
  </si>
  <si>
    <t>37536</t>
  </si>
  <si>
    <t>37537</t>
  </si>
  <si>
    <t>37538</t>
  </si>
  <si>
    <t>37539</t>
  </si>
  <si>
    <t>37540</t>
  </si>
  <si>
    <t>37541</t>
  </si>
  <si>
    <t>37542</t>
  </si>
  <si>
    <t>37543</t>
  </si>
  <si>
    <t>37544</t>
  </si>
  <si>
    <t>37545</t>
  </si>
  <si>
    <t>FK250120000487</t>
  </si>
  <si>
    <t>FK-WY.SZ.25-20250122-000014</t>
  </si>
  <si>
    <t>报销深圳中海油大厦2024年12月综合物资采购费用</t>
  </si>
  <si>
    <t>WY.SZ.25-202505-0015</t>
  </si>
  <si>
    <t>250411000982</t>
  </si>
  <si>
    <t>付 WY.SZ.25-202505-0015</t>
  </si>
  <si>
    <t>CF241218000835</t>
  </si>
  <si>
    <t>AP-202412-0149750</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</si>
  <si>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</si>
  <si>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</si>
  <si>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</si>
  <si>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</si>
  <si>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</si>
  <si>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</si>
  <si>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</si>
  <si>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</si>
  <si>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</si>
  <si>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</si>
  <si>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</si>
  <si>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</si>
  <si>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</si>
  <si>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</si>
  <si>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</si>
  <si>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</si>
  <si>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</si>
  <si>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</si>
  <si>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</si>
  <si>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</si>
  <si>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</si>
  <si>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</si>
  <si>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</si>
  <si>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</si>
  <si>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</si>
  <si>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FK250120000529</t>
  </si>
  <si>
    <t>FK-WY.SZ.25-20250122-000013</t>
  </si>
  <si>
    <t>报销深圳中海油大厦2024年12月饮用水类物资采购费用</t>
  </si>
  <si>
    <t>WY.SZ.25-202505-0024</t>
  </si>
  <si>
    <t>250411000986</t>
  </si>
  <si>
    <t>付 WY.SZ.25-202505-0024</t>
  </si>
  <si>
    <t>CF241213000334</t>
  </si>
  <si>
    <t>AP-202412-0141750</t>
  </si>
  <si>
    <t>37700</t>
  </si>
  <si>
    <t>DGBX-250427-0032936</t>
  </si>
  <si>
    <t>FK-WY.SZ.25-20250428-000100</t>
  </si>
  <si>
    <t>中海油4月租金</t>
  </si>
  <si>
    <t>WY.SZ.25-202505-0008</t>
  </si>
  <si>
    <t>250428000085</t>
  </si>
  <si>
    <t>付 WY.SZ.25-202505-0008</t>
  </si>
  <si>
    <t>37701</t>
  </si>
  <si>
    <t>DGBX-250427-0033006</t>
  </si>
  <si>
    <t>FK-WY.SZ.25-20250428-000099</t>
  </si>
  <si>
    <t>WY.SZ.25-202505-0009</t>
  </si>
  <si>
    <t>250428000084</t>
  </si>
  <si>
    <t>付 WY.SZ.25-202505-0009</t>
  </si>
  <si>
    <t>37702</t>
  </si>
  <si>
    <t>JK-WY.SZ.25-20250422-000007</t>
  </si>
  <si>
    <t>FK-WY.SZ.25-20250423-000097</t>
  </si>
  <si>
    <t>WY.SZ.25-202504-0061</t>
  </si>
  <si>
    <t>250428000081</t>
  </si>
  <si>
    <t>付 WY.SZ.25-202504-0061</t>
  </si>
  <si>
    <t>38631</t>
  </si>
  <si>
    <t>DGBX-250403-0025884</t>
  </si>
  <si>
    <t>FK-WY.SZ.25-20250409-000088</t>
  </si>
  <si>
    <t>WY.SZ.25-202504-0056</t>
  </si>
  <si>
    <t>250424001503</t>
  </si>
  <si>
    <t>付 WY.SZ.25-202504-0056</t>
  </si>
  <si>
    <t>38634</t>
  </si>
  <si>
    <t>DGBX-250402-0025575</t>
  </si>
  <si>
    <t>FK-WY.SZ.25-20250403-000082</t>
  </si>
  <si>
    <t>中国平安财产保险股份有限公司深圳分公司</t>
  </si>
  <si>
    <t>6012100009394</t>
  </si>
  <si>
    <t>平安银行深圳时代金融支行</t>
  </si>
  <si>
    <t>中海油2024年意外险年终结算</t>
  </si>
  <si>
    <t>WY.SZ.25-202504-0055</t>
  </si>
  <si>
    <t>250424001499</t>
  </si>
  <si>
    <t>付 WY.SZ.25-202504-0055</t>
  </si>
  <si>
    <t>38635</t>
  </si>
  <si>
    <t>DGBX-250324-0023032</t>
  </si>
  <si>
    <t>FK-WY.SZ.25-20250327-000075</t>
  </si>
  <si>
    <t>WY.SZ.25-202504-0054</t>
  </si>
  <si>
    <t>250411000955</t>
  </si>
  <si>
    <t>付 WY.SZ.25-202504-0054</t>
  </si>
  <si>
    <t>38636</t>
  </si>
  <si>
    <t>DGBX-250324-0023007</t>
  </si>
  <si>
    <t>FK-WY.SZ.25-20250327-000073</t>
  </si>
  <si>
    <t>WY.SZ.25-202504-0053</t>
  </si>
  <si>
    <t>250411000953</t>
  </si>
  <si>
    <t>付 WY.SZ.25-202504-0053</t>
  </si>
  <si>
    <t>2025-01</t>
  </si>
  <si>
    <t>2025-02</t>
  </si>
  <si>
    <t>2025-03</t>
  </si>
  <si>
    <t>2025-04</t>
  </si>
  <si>
    <t>2025-05</t>
  </si>
  <si>
    <t>2025-06</t>
  </si>
  <si>
    <t>2025-07</t>
  </si>
  <si>
    <t>2025-08</t>
  </si>
  <si>
    <t>2025-09</t>
  </si>
  <si>
    <t>2025-10</t>
  </si>
  <si>
    <t>2025-11</t>
  </si>
  <si>
    <t>2025-12</t>
  </si>
  <si>
    <t>办公事务.办公能耗</t>
  </si>
  <si>
    <t>办公事务.通讯费</t>
  </si>
  <si>
    <t>办公事务.房租</t>
  </si>
  <si>
    <t>办公事务.物业管理费</t>
  </si>
  <si>
    <t>办公事务.诉讼费</t>
  </si>
  <si>
    <t>项目能耗.项目水费</t>
  </si>
  <si>
    <t>项目能耗.项目电费</t>
  </si>
  <si>
    <t>项目能耗.项目燃气费</t>
  </si>
  <si>
    <t>项目能耗.项目暖气费</t>
  </si>
  <si>
    <t>社区及业委会费用.社区文化费用</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</si>
  <si>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</si>
  <si>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</si>
  <si>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</si>
  <si>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</si>
  <si>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</si>
  <si>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</si>
  <si>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</si>
  <si>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</si>
  <si>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</si>
  <si>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</si>
  <si>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</si>
  <si>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办公类/办公耗材/直尺/卷尺</t>
  </si>
  <si>
    <t>办公类/办公设备/验钞/点钞机</t>
  </si>
  <si>
    <t>服务类/安全服务类/保安劳务派遣</t>
  </si>
  <si>
    <t>服务类</t>
  </si>
  <si>
    <t>服务类/安全服务类/活动类临时秩序外包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</si>
  <si>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</si>
  <si>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</si>
  <si>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</si>
  <si>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</si>
  <si>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</si>
  <si>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</si>
  <si>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服务类/工程服务类/供水电服务</t>
  </si>
  <si>
    <t>服务类/工程服务类/管道清洗/疏通</t>
  </si>
  <si>
    <t>服务类/工程服务类/锅炉维保</t>
  </si>
  <si>
    <t>服务类/工程服务类/消防维保/施工</t>
  </si>
  <si>
    <t>服务类/工程服务类/中央空调维保</t>
  </si>
  <si>
    <t>服务类/环境服务类/保洁开荒</t>
  </si>
  <si>
    <t>服务类/环境服务类/布草/地毯清洗</t>
  </si>
  <si>
    <t>服务类/环境服务类/节庆花卉服务</t>
  </si>
  <si>
    <t>服务类/环境服务类/绿化改造/养护</t>
  </si>
  <si>
    <t>服务类/环境服务类/绿植租摆/养护</t>
  </si>
  <si>
    <t>服务类/环境服务类/木地板/PVC地面打蜡</t>
  </si>
  <si>
    <t>服务类/环境服务类/其他垃圾清运</t>
  </si>
  <si>
    <t>服务类/环境服务类/清洁设备租赁</t>
  </si>
  <si>
    <t>服务类/环境服务类/室内污染空气治理</t>
  </si>
  <si>
    <t>服务类/环境服务类/香薰服务</t>
  </si>
  <si>
    <t>服务类/其他服务类/IT软件采购及系统建设</t>
  </si>
  <si>
    <t>服务类/其他服务类/IT运维服务</t>
  </si>
  <si>
    <t>服务类/其他服务类/场地租赁</t>
  </si>
  <si>
    <t>服务类/其他服务类/车辆租赁</t>
  </si>
  <si>
    <t>服务类/其他服务类/第三方咨询</t>
  </si>
  <si>
    <t>服务类/其他服务类/培训服务</t>
  </si>
  <si>
    <t>服务类/其他服务类/品牌建设及宣传</t>
  </si>
  <si>
    <t>服务类/其他服务类/人力劳务派遣</t>
  </si>
  <si>
    <t>服务类/其他服务类/人力外包</t>
  </si>
  <si>
    <t>服务类/其他服务类/人身保险</t>
  </si>
  <si>
    <t>服务类/其他服务类/体检服务</t>
  </si>
  <si>
    <t>服务类/其他服务类/资产修理</t>
  </si>
  <si>
    <t>服务类/增值业务服务类/增值业务服务类</t>
  </si>
  <si>
    <t>工程物资/LED灯具/彩灯</t>
  </si>
  <si>
    <t>工程物资/LED灯具/灯珠</t>
  </si>
  <si>
    <t>工程物资/白炽灯具/烛形白炽灯/球形白炽灯/白炽灯球泡</t>
  </si>
  <si>
    <t>工程物资/车辆/购物车（更新中）</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</si>
  <si>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</si>
  <si>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</si>
  <si>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</si>
  <si>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</si>
  <si>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</si>
  <si>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</si>
  <si>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</si>
  <si>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</si>
  <si>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</si>
  <si>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</si>
  <si>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</si>
  <si>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</si>
  <si>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</si>
  <si>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</si>
  <si>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</si>
  <si>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工程物资/电动工具/空压机</t>
  </si>
  <si>
    <t>工程物资/电动工具/木工电刨</t>
  </si>
  <si>
    <t>工程物资/电动工具/排钉枪/铆钉枪</t>
  </si>
  <si>
    <t>工程物资/电动工具/其他电动工具</t>
  </si>
  <si>
    <t>工程物资/电动工具/气泵</t>
  </si>
  <si>
    <t>工程物资/电动工具/热风焊</t>
  </si>
  <si>
    <t>工程物资/电动工具/热熔胶枪</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</si>
  <si>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</si>
  <si>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</si>
  <si>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</si>
  <si>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</si>
  <si>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</si>
  <si>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</si>
  <si>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</si>
  <si>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工程物资/电工物料/触发器</t>
  </si>
  <si>
    <t>工程物资/电工物料/瓷灯口</t>
  </si>
  <si>
    <t>工程物资/电工物料/灯头</t>
  </si>
  <si>
    <t>工程物资/电工物料/灯罩</t>
  </si>
  <si>
    <t>工程物资/电工物料/电表箱</t>
  </si>
  <si>
    <t>工程物资/电工物料/电工刀</t>
  </si>
  <si>
    <t>工程物资/电工物料/电话线</t>
  </si>
  <si>
    <t>工程物资/电工物料/电流互感器</t>
  </si>
  <si>
    <t>工程物资/电工物料/护套线</t>
  </si>
  <si>
    <t>工程物资/电工物料/花线</t>
  </si>
  <si>
    <t>工程物资/电工物料/接地线</t>
  </si>
  <si>
    <t>工程物资/电工物料/明盒</t>
  </si>
  <si>
    <t>工程物资/电工物料/视频线</t>
  </si>
  <si>
    <t>工程物资/电工物料/陶瓷保险管/玻璃保险管</t>
  </si>
  <si>
    <t>工程物资/电工物料/铜芯线</t>
  </si>
  <si>
    <t>工程物资/阀门/单向阀</t>
  </si>
  <si>
    <t>工程物资/阀门/法兰阀</t>
  </si>
  <si>
    <t>工程物资/阀门/减压阀</t>
  </si>
  <si>
    <t>工程物资/阀门/水力控制阀</t>
  </si>
  <si>
    <t>工程物资/工具配件/ST螺套丝堆</t>
  </si>
  <si>
    <t>工程物资/工具配件/电焊钳</t>
  </si>
  <si>
    <t>工程物资/工具配件/电圆锯片/钢锯片/曲线锯片/云石锯片</t>
  </si>
  <si>
    <t>工程物资/工具配件/工程喷壶</t>
  </si>
  <si>
    <t>工程物资/工具配件/焊帽（更新中）</t>
  </si>
  <si>
    <t>工程物资/工具配件/角磨机磨片/角磨机切片</t>
  </si>
  <si>
    <t>工程物资/工具配件/开孔器</t>
  </si>
  <si>
    <t>工程物资/工具配件/空压机气管</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</si>
  <si>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</si>
  <si>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</si>
  <si>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</si>
  <si>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</si>
  <si>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</si>
  <si>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</si>
  <si>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</si>
  <si>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</si>
  <si>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工程物资/工具配件/钻头套装</t>
  </si>
  <si>
    <t>工程物资/管材/PE管管件</t>
  </si>
  <si>
    <t>工程物资/管材/PE水管</t>
  </si>
  <si>
    <t>工程物资/管材/PVC给水管</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</si>
  <si>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</si>
  <si>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</si>
  <si>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</si>
  <si>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</si>
  <si>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</si>
  <si>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</si>
  <si>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工程物资/管材/内丝直接/外丝直接/异径直接（更新中）</t>
  </si>
  <si>
    <t>工程物资/管材/伸缩节（更新中）</t>
  </si>
  <si>
    <t>工程物资/管材/水管/胶皮水管（更新中）</t>
  </si>
  <si>
    <t>工程物资/建筑材料/板刷</t>
  </si>
  <si>
    <t>工程物资/建筑材料/玻璃</t>
  </si>
  <si>
    <t>工程物资/建筑材料/鹅卵石/石子</t>
  </si>
  <si>
    <t>工程物资/建筑材料/防水胶</t>
  </si>
  <si>
    <t>工程物资/建筑材料/防水涂料</t>
  </si>
  <si>
    <t>工程物资/建筑材料/高速机油</t>
  </si>
  <si>
    <t>工程物资/建筑材料/黄干油</t>
  </si>
  <si>
    <t>工程物资/建筑材料/黄沙</t>
  </si>
  <si>
    <t>工程物资/建筑材料/混凝土</t>
  </si>
  <si>
    <t>工程物资/建筑材料/酒精</t>
  </si>
  <si>
    <t>工程物资/建筑材料/聚安脂</t>
  </si>
  <si>
    <t>工程物资/建筑材料/沥青漆</t>
  </si>
  <si>
    <t>工程物资/建筑材料/米石</t>
  </si>
  <si>
    <t>工程物资/建筑材料/排笔</t>
  </si>
  <si>
    <t>工程物资/建筑材料/松动剂</t>
  </si>
  <si>
    <t>工程物资/建筑材料/网格布带</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</si>
  <si>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</si>
  <si>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</si>
  <si>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</si>
  <si>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</si>
  <si>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</si>
  <si>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</si>
  <si>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</si>
  <si>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工程物资/开关插座/开关底盒</t>
  </si>
  <si>
    <t>工程物资/空调/电梯空调</t>
  </si>
  <si>
    <t>工程物资/空调/中央空调</t>
  </si>
  <si>
    <t>工程物资/手动工具/板锯/木工锯/手锯</t>
  </si>
  <si>
    <t>工程物资/手动工具/玻璃刀</t>
  </si>
  <si>
    <t>工程物资/手动工具/剥线钳</t>
  </si>
  <si>
    <t>工程物资/手动工具/测漏仪</t>
  </si>
  <si>
    <t>工程物资/手动工具/穿线器</t>
  </si>
  <si>
    <t>工程物资/手动工具/打压泵</t>
  </si>
  <si>
    <t>工程物资/手动工具/大力钳</t>
  </si>
  <si>
    <t>工程物资/手动工具/斧头</t>
  </si>
  <si>
    <t>工程物资/手动工具/工具组套</t>
  </si>
  <si>
    <t>工程物资/手动工具/管道打压机</t>
  </si>
  <si>
    <t>工程物资/手动工具/黄油枪</t>
  </si>
  <si>
    <t>工程物资/手动工具/脚手架</t>
  </si>
  <si>
    <t>工程物资/手动工具/扩管器</t>
  </si>
  <si>
    <t>工程物资/手动工具/拉码</t>
  </si>
  <si>
    <t>工程物资/手动工具/拉铆枪</t>
  </si>
  <si>
    <t>工程物资/手动工具/链钳</t>
  </si>
  <si>
    <t>工程物资/手动工具/墨斗</t>
  </si>
  <si>
    <t>工程物资/手动工具/内窥镜</t>
  </si>
  <si>
    <t>工程物资/手动工具/镊子</t>
  </si>
  <si>
    <t>工程物资/手动工具/刨刀/锉刀</t>
  </si>
  <si>
    <t>工程物资/手动工具/喷枪</t>
  </si>
  <si>
    <t>工程物资/手动工具/气钉枪</t>
  </si>
  <si>
    <t>工程物资/手动工具/砂纸架</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</si>
  <si>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</si>
  <si>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</si>
  <si>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</si>
  <si>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</si>
  <si>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</si>
  <si>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</si>
  <si>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</si>
  <si>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工程物资/手动工具/铁皮剪</t>
  </si>
  <si>
    <t>工程物资/手动工具/弯管器/弯管弹簧</t>
  </si>
  <si>
    <t>工程物资/手动工具/羊角锄</t>
  </si>
  <si>
    <t>工程物资/手动工具/液压钳</t>
  </si>
  <si>
    <t>工程物资/手动工具/游标卡尺</t>
  </si>
  <si>
    <t>工程物资/五金辅料/白铁皮</t>
  </si>
  <si>
    <t>工程物资/五金辅料/百叶窗</t>
  </si>
  <si>
    <t>工程物资/五金辅料/扁钢/槽钢/方钢/角钢（更新中）</t>
  </si>
  <si>
    <t>工程物资/五金辅料/玻璃纸</t>
  </si>
  <si>
    <t>工程物资/五金辅料/不锈钢喉箍</t>
  </si>
  <si>
    <t>工程物资/五金辅料/柴油桶/汽油桶</t>
  </si>
  <si>
    <t>工程物资/五金辅料/挡车器（更新中）</t>
  </si>
  <si>
    <t>工程物资/五金辅料/地板胶</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</si>
  <si>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</si>
  <si>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</si>
  <si>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</si>
  <si>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</si>
  <si>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</si>
  <si>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工程物资/五金辅料/钢丝绳扣</t>
  </si>
  <si>
    <t>工程物资/五金辅料/工业扇</t>
  </si>
  <si>
    <t>工程物资/五金辅料/黄油</t>
  </si>
  <si>
    <t>工程物资/五金辅料/毛巾架</t>
  </si>
  <si>
    <t>工程物资/五金辅料/门把手套</t>
  </si>
  <si>
    <t>工程物资/五金辅料/泡沫胶</t>
  </si>
  <si>
    <t>工程物资/五金辅料/气钉枪排钉</t>
  </si>
  <si>
    <t>工程物资/五金辅料/三合板</t>
  </si>
  <si>
    <t>工程物资/五金辅料/时控器</t>
  </si>
  <si>
    <t>工程物资/五金辅料/室外消防栓防冻护套</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</si>
  <si>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</si>
  <si>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</si>
  <si>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</si>
  <si>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</si>
  <si>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</si>
  <si>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</si>
  <si>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工程物资/五金辅料/铁丝/铁丝网</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</si>
  <si>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</si>
  <si>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</si>
  <si>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</si>
  <si>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</si>
  <si>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</si>
  <si>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</si>
  <si>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工程物资/五金辅料/雨鞋</t>
  </si>
  <si>
    <t>工程物资/五金辅料/栅栏（更新中）</t>
  </si>
  <si>
    <t>工程物资/仪器仪表/测距仪</t>
  </si>
  <si>
    <t>工程物资/仪器仪表/电流表</t>
  </si>
  <si>
    <t>工程物资/仪器仪表/风速仪</t>
  </si>
  <si>
    <t>工程物资/仪器仪表/高压验电笔</t>
  </si>
  <si>
    <t>工程物资/仪器仪表/接地电阻测试仪</t>
  </si>
  <si>
    <t>工程物资/仪器仪表/欧姆表</t>
  </si>
  <si>
    <t>工程物资/仪器仪表/钳流表</t>
  </si>
  <si>
    <t>工程物资/仪器仪表/钳形表</t>
  </si>
  <si>
    <t>工程物资/仪器仪表/胎压表</t>
  </si>
  <si>
    <t>工程物资/仪器仪表/摇表</t>
  </si>
  <si>
    <t>工程物资/仪器仪表/兆欧表</t>
  </si>
  <si>
    <t>工程物资/油漆/马路漆</t>
  </si>
  <si>
    <t>工程物资/油漆/木蜡油</t>
  </si>
  <si>
    <t>工程物资/油漆/木油</t>
  </si>
  <si>
    <t>工程物资/油漆/乳胶漆5卡</t>
  </si>
  <si>
    <t>工程物资/油漆/熟胶粉</t>
  </si>
  <si>
    <t>工程物资/油漆/水中胶</t>
  </si>
  <si>
    <t>工程物资/油漆/稀料</t>
  </si>
  <si>
    <t>工程物资/油漆/油漆5卡（更新中）</t>
  </si>
  <si>
    <t>工程物资/油漆/油漆刷</t>
  </si>
  <si>
    <t>工程物资/油漆/油漆稀释剂</t>
  </si>
  <si>
    <t>家居生活/厨房卫浴/厨卫建材</t>
  </si>
  <si>
    <t>家居生活/日杂生活/动物</t>
  </si>
  <si>
    <t>活动物资及礼品</t>
  </si>
  <si>
    <t>家居生活/日杂生活/珠宝首饰</t>
  </si>
  <si>
    <t>家居生活/宿舍用品（更新中）/鞋架（更新中）</t>
  </si>
  <si>
    <t>绿化类/草本花卉/草种</t>
  </si>
  <si>
    <t>绿化类/草本花卉/花篮</t>
  </si>
  <si>
    <t>绿化类/草本花卉/花种</t>
  </si>
  <si>
    <t>绿化类/草本花卉/假草皮/台湾草皮</t>
  </si>
  <si>
    <t>绿化类/草本花卉/绿萝</t>
  </si>
  <si>
    <t>绿化类/草本花卉/其他草本</t>
  </si>
  <si>
    <t>绿化类/绿化工具及辅材/耙子（更新中）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</si>
  <si>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</si>
  <si>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</si>
  <si>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</si>
  <si>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</si>
  <si>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</si>
  <si>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</si>
  <si>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</si>
  <si>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</si>
  <si>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</si>
  <si>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</si>
  <si>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</si>
  <si>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</si>
  <si>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</si>
  <si>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</si>
  <si>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</si>
  <si>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</si>
  <si>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</si>
  <si>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</si>
  <si>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</si>
  <si>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</si>
  <si>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</si>
  <si>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</si>
  <si>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</si>
  <si>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</si>
  <si>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</si>
  <si>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</si>
  <si>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</si>
  <si>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</si>
  <si>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</si>
  <si>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</si>
  <si>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</si>
  <si>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</si>
  <si>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</si>
  <si>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</si>
  <si>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</si>
  <si>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</si>
  <si>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</si>
  <si>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</si>
  <si>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</si>
  <si>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</si>
  <si>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</si>
  <si>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</si>
  <si>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</si>
  <si>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</si>
  <si>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</si>
  <si>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绿化类/农药化肥/杀菌剂</t>
  </si>
  <si>
    <t>绿化类/农药化肥/生石灰粉</t>
  </si>
  <si>
    <t>绿化类/农药化肥/营养液</t>
  </si>
  <si>
    <t>清洁物资类/翻新护理/护理腊水</t>
  </si>
  <si>
    <t>清洁物资类/翻新护理/木地板护理</t>
  </si>
  <si>
    <t>清洁物资类/垃圾桶/大垃圾桶</t>
  </si>
  <si>
    <t>清洁物资类/垃圾桶/户外垃圾桶</t>
  </si>
  <si>
    <t>清洁物资类/清洁工具/杯刷</t>
  </si>
  <si>
    <t>清洁物资类/清洁工具/布草车</t>
  </si>
  <si>
    <t>清洁物资类/清洁工具/布草袋</t>
  </si>
  <si>
    <t>清洁物资类/清洁工具/厕所刷</t>
  </si>
  <si>
    <t>清洁物资类/清洁工具/地拖把（更新中）</t>
  </si>
  <si>
    <t>清洁物资类/清洁工具/斗车</t>
  </si>
  <si>
    <t>清洁物资类/清洁工具/火钳</t>
  </si>
  <si>
    <t>清洁物资类/清洁工具/马桶刷</t>
  </si>
  <si>
    <t>清洁物资类/清洁工具/清洁手推车</t>
  </si>
  <si>
    <t>清洁物资类/清洁工具/清洁套装</t>
  </si>
  <si>
    <t>清洁物资类/清洁工具/水瓢</t>
  </si>
  <si>
    <t>清洁物资类/清洁工具/洗衣板</t>
  </si>
  <si>
    <t>清洁物资类/清洁工具/鞋刷</t>
  </si>
  <si>
    <t>清洁物资类/清洁工具/袖套</t>
  </si>
  <si>
    <t>清洁物资类/清洁工具/榨水车</t>
  </si>
  <si>
    <t>清洁物资类/清洁耗材/草帽（更新中）</t>
  </si>
  <si>
    <t>清洁物资类/清洁耗材/肥皂盒（更新中）</t>
  </si>
  <si>
    <t>清洁物资类/清洁耗材/钢丝球（更新中）</t>
  </si>
  <si>
    <t>清洁物资类/清洁耗材/篮子（更新中）</t>
  </si>
  <si>
    <t>清洁物资类/清洁耗材/连身水裤（更新中）</t>
  </si>
  <si>
    <t>清洁物资类/清洁耗材/清洁磨片（更新中）</t>
  </si>
  <si>
    <t>清洁物资类/清洁耗材/伞架（更新中）</t>
  </si>
  <si>
    <t>清洁物资类/清洁耗材/水处理用品</t>
  </si>
  <si>
    <t>清洁物资类/清洁耗材/雨伞袋架（更新中）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</si>
  <si>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</si>
  <si>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</si>
  <si>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</si>
  <si>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</si>
  <si>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</si>
  <si>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清洁物资类/清洁剂（更新中）/除锈清洁剂（更新中）</t>
  </si>
  <si>
    <t>清洁物资类/清洁剂（更新中）/地毯水（更新中）</t>
  </si>
  <si>
    <t>清洁物资类/清洁剂（更新中）/洁厕灵（更新中）</t>
  </si>
  <si>
    <t>清洁物资类/清洁剂（更新中）/静电吸尘剂（更新中）</t>
  </si>
  <si>
    <t>清洁物资类/清洁剂（更新中）/免洗洗手液（更新中）</t>
  </si>
  <si>
    <t>清洁物资类/清洁剂（更新中）/漂白水（更新中）</t>
  </si>
  <si>
    <t>清洁物资类/清洁剂（更新中）/全能清洁剂（更新中）</t>
  </si>
  <si>
    <t>清洁物资类/清洁剂（更新中）/松节水（更新中）</t>
  </si>
  <si>
    <t>清洁物资类/清洁剂（更新中）/天那水（更新中）</t>
  </si>
  <si>
    <t>清洁物资类/清洁设备/擦鞋机</t>
  </si>
  <si>
    <t>清洁物资类/清洁设备/单擦机</t>
  </si>
  <si>
    <t>清洁物资类/清洁设备/烘手机</t>
  </si>
  <si>
    <t>清洁物资类/清洁设备/垃圾转运车（更新中）</t>
  </si>
  <si>
    <t>清洁物资类/清洁设备/抛光机/结晶机</t>
  </si>
  <si>
    <t>清洁物资类/清洁设备/其他清洁设备</t>
  </si>
  <si>
    <t>清洁物资类/清洁设备/扫雪机</t>
  </si>
  <si>
    <t>清洁物资类/清洁设备配件（更新中）/扫雪机配件（更新中）</t>
  </si>
  <si>
    <t>清洁物资类/清洁设备配件（更新中）/吸水吸尘配件（更新中）</t>
  </si>
  <si>
    <t>清洁物资类/清洁纸品/盒纸（更新中）</t>
  </si>
  <si>
    <t>清洁物资类/清洁纸品/纸盒</t>
  </si>
  <si>
    <t>清洁物资类/清洁纸品/纸筒</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</si>
  <si>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</si>
  <si>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</si>
  <si>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</si>
  <si>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</si>
  <si>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</si>
  <si>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</si>
  <si>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</si>
  <si>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</si>
  <si>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</si>
  <si>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</si>
  <si>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</si>
  <si>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</si>
  <si>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</si>
  <si>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</si>
  <si>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</si>
  <si>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清洁物资类/有害生物防治（更新中）/雄黄粉（更新中）</t>
  </si>
  <si>
    <t>消防安保/安防设施/红外设备</t>
  </si>
  <si>
    <t>消防安保/安防设施/监控室设备</t>
  </si>
  <si>
    <t>消防安保/安防设施/警灯/警示灯</t>
  </si>
  <si>
    <t>消防安保/安防设施/门禁辅件</t>
  </si>
  <si>
    <t>消防安保/安防通讯/避雷器</t>
  </si>
  <si>
    <t>消防安保/安防通讯/中转台</t>
  </si>
  <si>
    <t>消防安保/安防通讯/中转台辅件</t>
  </si>
  <si>
    <t>消防安保/安全防护装备/挡鼠板</t>
  </si>
  <si>
    <t>消防安保/安全防护装备/盾牌</t>
  </si>
  <si>
    <t>消防安保/安全防护装备/防暴警棍</t>
  </si>
  <si>
    <t>消防安保/安全防护装备/防洪挡板</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</si>
  <si>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</si>
  <si>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</si>
  <si>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</si>
  <si>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</si>
  <si>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</si>
  <si>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消防安保/常规防疫应急物资（更新中）/体温检测仪（更新中）</t>
  </si>
  <si>
    <t>消防安保/道路设施/车锁架</t>
  </si>
  <si>
    <t>消防安保/道路设施/车位锁</t>
  </si>
  <si>
    <t>消防安保/道路设施/挡车器</t>
  </si>
  <si>
    <t>消防安保/道路设施/防盗刺/防爬刺</t>
  </si>
  <si>
    <t>消防安保/道路设施/防撞水马</t>
  </si>
  <si>
    <t>消防安保/道路设施/护栏</t>
  </si>
  <si>
    <t>消防安保/道路设施/活动埋地桩</t>
  </si>
  <si>
    <t>消防安保/道路设施/警戒带</t>
  </si>
  <si>
    <t>消防安保/道路设施/路桩铁链</t>
  </si>
  <si>
    <t>消防安保/道路设施/锁车器</t>
  </si>
  <si>
    <t>消防安保/道路设施/斜坡垫</t>
  </si>
  <si>
    <t>消防安保/岗亭设备/遮阳伞</t>
  </si>
  <si>
    <t>消防安保/劳保类/手部防护</t>
  </si>
  <si>
    <t>消防安保/劳保类/头部防护</t>
  </si>
  <si>
    <t>消防安保/劳保类/眼脸部防护</t>
  </si>
  <si>
    <t>消防安保/消防工具/安全绳</t>
  </si>
  <si>
    <t>消防安保/消防工具/安全腰带</t>
  </si>
  <si>
    <t>消防安保/消防工具/护栏带（更新中）</t>
  </si>
  <si>
    <t>消防安保/消防工具/水带接头</t>
  </si>
  <si>
    <t>消防安保/消防工具/消防扳手</t>
  </si>
  <si>
    <t>消防安保/消防工具/消防背带</t>
  </si>
  <si>
    <t>消防安保/消防工具/消防封条</t>
  </si>
  <si>
    <t>消防安保/消防工具/消防钩</t>
  </si>
  <si>
    <t>消防安保/消防工具/消防锯</t>
  </si>
  <si>
    <t>消防安保/消防工具/消防撬棍</t>
  </si>
  <si>
    <t>消防安保/消防工具/消防软梯</t>
  </si>
  <si>
    <t>消防安保/消防工具/消防凿子</t>
  </si>
  <si>
    <t>消防安保/消防器材/灭火器挂架</t>
  </si>
  <si>
    <t>消防安保/消防器材/灭火器灌粉/年检（更新中）</t>
  </si>
  <si>
    <t>消防安保/消防器材/消防柜</t>
  </si>
  <si>
    <t>消防安保/消防设施/消防警铃</t>
  </si>
  <si>
    <t>消防安保/消防设施/消防门</t>
  </si>
  <si>
    <t>消防安保/消防设施/消防栓</t>
  </si>
  <si>
    <t>消防安保/消防设施/消防栓配件</t>
  </si>
  <si>
    <t>形象视觉/案场服装/案场服装</t>
  </si>
  <si>
    <t>形象视觉/标识标牌/LED灯箱</t>
  </si>
  <si>
    <t>形象视觉/标识标牌/发光字</t>
  </si>
  <si>
    <t>形象视觉/标识标牌/镂空喷漆板</t>
  </si>
  <si>
    <t>形象视觉/标识标牌/其他标识标牌</t>
  </si>
  <si>
    <t>形象视觉/标识标牌/铁艺烤漆牌</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</si>
  <si>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</si>
  <si>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</si>
  <si>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</si>
  <si>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</si>
  <si>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</si>
  <si>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</si>
  <si>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</si>
  <si>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</si>
  <si>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</si>
  <si>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</si>
  <si>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形象视觉/广告宣传/定制卡</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</si>
  <si>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</si>
  <si>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</si>
  <si>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</si>
  <si>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</si>
  <si>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</si>
  <si>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</si>
  <si>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</si>
  <si>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形象视觉/技能序列服装/技能序列会务服装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</si>
  <si>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</si>
  <si>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</si>
  <si>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</si>
  <si>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</si>
  <si>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</si>
  <si>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</si>
  <si>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</si>
  <si>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形象视觉/节庆饰品/红包</t>
  </si>
  <si>
    <t>形象视觉/节庆饰品/金纸/金布</t>
  </si>
  <si>
    <t>形象视觉/节庆饰品/蜡烛</t>
  </si>
  <si>
    <t>形象视觉/节庆饰品/气球</t>
  </si>
  <si>
    <t>形象视觉/节庆饰品/圣诞装饰</t>
  </si>
  <si>
    <t>形象视觉/节庆饰品/中国结</t>
  </si>
  <si>
    <t>形象视觉/礼品定制/贺卡</t>
  </si>
  <si>
    <t>形象视觉/其他服装/配饰/其他服装</t>
  </si>
  <si>
    <t>形象视觉/荣尚荟服装/荣尚荟案场服装</t>
  </si>
  <si>
    <t>形象视觉/荣尚荟服装/荣尚荟保洁服装</t>
  </si>
  <si>
    <t>形象视觉/荣尚荟服装/荣尚荟服装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</si>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</sst>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_ ;[Red]\-#,##0.00\ "/>
    <numFmt numFmtId="180" formatCode="[$-409]yyyy/mm/dd;@"/>
    <numFmt numFmtId="181" formatCode="[$-804]yyyy/m/d"/>
    <numFmt numFmtId="182" formatCode="0_);[Red]\(0\)"/>
    <numFmt numFmtId="183" formatCode="#,##0.00_ "/>
    <numFmt numFmtId="184" formatCode="_ * #,##0_ ;_ * \-#,##0_ ;_ * &quot;-&quot;??_ ;_ @_ "/>
    <numFmt numFmtId="185" formatCode="0.0000000%"/>
    <numFmt numFmtId="186" formatCode="0_ "/>
    <numFmt numFmtId="187"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rgb="FF000000"/>
      <name val="宋体"/>
      <charset val="134"/>
    </font>
    <font>
      <sz val="11"/>
      <color rgb="FFFF000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s>
  <fills count="69">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rgb="FFC0C0C0"/>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6"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7" borderId="36" applyNumberFormat="0" applyAlignment="0" applyProtection="0">
      <alignment vertical="center"/>
    </xf>
    <xf numFmtId="0" fontId="57" fillId="48" borderId="37" applyNumberFormat="0" applyAlignment="0" applyProtection="0">
      <alignment vertical="center"/>
    </xf>
    <xf numFmtId="0" fontId="58" fillId="48" borderId="36" applyNumberFormat="0" applyAlignment="0" applyProtection="0">
      <alignment vertical="center"/>
    </xf>
    <xf numFmtId="0" fontId="59" fillId="49"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52" borderId="0" applyNumberFormat="0" applyBorder="0" applyAlignment="0" applyProtection="0">
      <alignment vertical="center"/>
    </xf>
    <xf numFmtId="0" fontId="65" fillId="15" borderId="0" applyNumberFormat="0" applyBorder="0" applyAlignment="0" applyProtection="0">
      <alignment vertical="center"/>
    </xf>
    <xf numFmtId="0" fontId="66" fillId="39" borderId="0" applyNumberFormat="0" applyBorder="0" applyAlignment="0" applyProtection="0">
      <alignment vertical="center"/>
    </xf>
    <xf numFmtId="0" fontId="66" fillId="35" borderId="0" applyNumberFormat="0" applyBorder="0" applyAlignment="0" applyProtection="0">
      <alignment vertical="center"/>
    </xf>
    <xf numFmtId="0" fontId="65" fillId="53" borderId="0" applyNumberFormat="0" applyBorder="0" applyAlignment="0" applyProtection="0">
      <alignment vertical="center"/>
    </xf>
    <xf numFmtId="0" fontId="65" fillId="19" borderId="0" applyNumberFormat="0" applyBorder="0" applyAlignment="0" applyProtection="0">
      <alignment vertical="center"/>
    </xf>
    <xf numFmtId="0" fontId="66" fillId="54" borderId="0" applyNumberFormat="0" applyBorder="0" applyAlignment="0" applyProtection="0">
      <alignment vertical="center"/>
    </xf>
    <xf numFmtId="0" fontId="66" fillId="55" borderId="0" applyNumberFormat="0" applyBorder="0" applyAlignment="0" applyProtection="0">
      <alignment vertical="center"/>
    </xf>
    <xf numFmtId="0" fontId="65" fillId="56" borderId="0" applyNumberFormat="0" applyBorder="0" applyAlignment="0" applyProtection="0">
      <alignment vertical="center"/>
    </xf>
    <xf numFmtId="0" fontId="65" fillId="5" borderId="0" applyNumberFormat="0" applyBorder="0" applyAlignment="0" applyProtection="0">
      <alignment vertical="center"/>
    </xf>
    <xf numFmtId="0" fontId="66" fillId="38" borderId="0" applyNumberFormat="0" applyBorder="0" applyAlignment="0" applyProtection="0">
      <alignment vertical="center"/>
    </xf>
    <xf numFmtId="0" fontId="66" fillId="57" borderId="0" applyNumberFormat="0" applyBorder="0" applyAlignment="0" applyProtection="0">
      <alignment vertical="center"/>
    </xf>
    <xf numFmtId="0" fontId="65" fillId="58" borderId="0" applyNumberFormat="0" applyBorder="0" applyAlignment="0" applyProtection="0">
      <alignment vertical="center"/>
    </xf>
    <xf numFmtId="0" fontId="65" fillId="8" borderId="0" applyNumberFormat="0" applyBorder="0" applyAlignment="0" applyProtection="0">
      <alignment vertical="center"/>
    </xf>
    <xf numFmtId="0" fontId="66" fillId="40" borderId="0" applyNumberFormat="0" applyBorder="0" applyAlignment="0" applyProtection="0">
      <alignment vertical="center"/>
    </xf>
    <xf numFmtId="0" fontId="66" fillId="59" borderId="0" applyNumberFormat="0" applyBorder="0" applyAlignment="0" applyProtection="0">
      <alignment vertical="center"/>
    </xf>
    <xf numFmtId="0" fontId="65" fillId="60" borderId="0" applyNumberFormat="0" applyBorder="0" applyAlignment="0" applyProtection="0">
      <alignment vertical="center"/>
    </xf>
    <xf numFmtId="0" fontId="65" fillId="61" borderId="0" applyNumberFormat="0" applyBorder="0" applyAlignment="0" applyProtection="0">
      <alignment vertical="center"/>
    </xf>
    <xf numFmtId="0" fontId="66" fillId="62" borderId="0" applyNumberFormat="0" applyBorder="0" applyAlignment="0" applyProtection="0">
      <alignment vertical="center"/>
    </xf>
    <xf numFmtId="0" fontId="66" fillId="63" borderId="0" applyNumberFormat="0" applyBorder="0" applyAlignment="0" applyProtection="0">
      <alignment vertical="center"/>
    </xf>
    <xf numFmtId="0" fontId="65" fillId="64" borderId="0" applyNumberFormat="0" applyBorder="0" applyAlignment="0" applyProtection="0">
      <alignment vertical="center"/>
    </xf>
    <xf numFmtId="0" fontId="65" fillId="65" borderId="0" applyNumberFormat="0" applyBorder="0" applyAlignment="0" applyProtection="0">
      <alignment vertical="center"/>
    </xf>
    <xf numFmtId="0" fontId="66" fillId="66" borderId="0" applyNumberFormat="0" applyBorder="0" applyAlignment="0" applyProtection="0">
      <alignment vertical="center"/>
    </xf>
    <xf numFmtId="0" fontId="66" fillId="67" borderId="0" applyNumberFormat="0" applyBorder="0" applyAlignment="0" applyProtection="0">
      <alignment vertical="center"/>
    </xf>
    <xf numFmtId="0" fontId="65" fillId="68" borderId="0" applyNumberFormat="0" applyBorder="0" applyAlignment="0" applyProtection="0">
      <alignment vertical="center"/>
    </xf>
    <xf numFmtId="176" fontId="8" fillId="0" borderId="0" applyNumberFormat="0" applyFill="0" applyBorder="0" applyAlignment="0" applyProtection="0"/>
    <xf numFmtId="0" fontId="0" fillId="0" borderId="0"/>
    <xf numFmtId="176" fontId="0" fillId="0" borderId="0">
      <alignment vertical="center"/>
    </xf>
    <xf numFmtId="176" fontId="5" fillId="0" borderId="0"/>
    <xf numFmtId="0" fontId="8"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75">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49" fontId="3" fillId="0" borderId="0" xfId="0" applyNumberFormat="1" applyFont="1" applyFill="1" applyAlignment="1">
      <alignment horizontal="center" vertical="center" wrapText="1"/>
    </xf>
    <xf numFmtId="0" fontId="3" fillId="0" borderId="0" xfId="0" applyFont="1" applyFill="1" applyAlignment="1">
      <alignment vertical="center"/>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6" fillId="0" borderId="0" xfId="0" applyFont="1" applyFill="1" applyAlignment="1">
      <alignment vertical="center"/>
    </xf>
    <xf numFmtId="49" fontId="7" fillId="0" borderId="0" xfId="0" applyNumberFormat="1" applyFont="1" applyFill="1" applyAlignment="1">
      <alignment vertical="top" wrapText="1"/>
    </xf>
    <xf numFmtId="0" fontId="6" fillId="14" borderId="0" xfId="0" applyFont="1" applyFill="1" applyAlignment="1">
      <alignment vertical="center"/>
    </xf>
    <xf numFmtId="0" fontId="7" fillId="14" borderId="0" xfId="0" applyFont="1" applyFill="1" applyAlignment="1">
      <alignment vertical="center"/>
    </xf>
    <xf numFmtId="49" fontId="6" fillId="0" borderId="0" xfId="0" applyNumberFormat="1" applyFont="1" applyFill="1" applyAlignment="1">
      <alignment vertical="center" wrapText="1"/>
    </xf>
    <xf numFmtId="177" fontId="6" fillId="0" borderId="0" xfId="0" applyNumberFormat="1" applyFont="1" applyFill="1" applyAlignment="1">
      <alignment horizontal="left" vertical="center"/>
    </xf>
    <xf numFmtId="4" fontId="6" fillId="0" borderId="0" xfId="0" applyNumberFormat="1" applyFont="1" applyFill="1" applyAlignment="1">
      <alignment horizontal="right" vertical="center"/>
    </xf>
    <xf numFmtId="178" fontId="6" fillId="0" borderId="0" xfId="0" applyNumberFormat="1" applyFont="1" applyFill="1" applyAlignment="1">
      <alignment horizontal="left" vertical="center"/>
    </xf>
    <xf numFmtId="0" fontId="3" fillId="0" borderId="0" xfId="0" applyFont="1">
      <alignment vertical="center"/>
    </xf>
    <xf numFmtId="0" fontId="8" fillId="0" borderId="0" xfId="0" applyFont="1" applyFill="1" applyAlignment="1">
      <alignment horizontal="left" vertical="center" wrapText="1"/>
    </xf>
    <xf numFmtId="0" fontId="8"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9" fillId="15" borderId="2"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7"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5" borderId="6" xfId="0" applyFont="1" applyFill="1" applyBorder="1" applyAlignment="1">
      <alignment horizontal="center" vertical="center" wrapText="1"/>
    </xf>
    <xf numFmtId="0" fontId="9" fillId="18" borderId="6" xfId="0" applyFont="1" applyFill="1" applyBorder="1" applyAlignment="1">
      <alignment horizontal="center" vertical="center" wrapText="1"/>
    </xf>
    <xf numFmtId="0" fontId="9" fillId="18" borderId="2" xfId="0" applyFont="1" applyFill="1" applyBorder="1" applyAlignment="1">
      <alignment horizontal="center" vertical="center" wrapText="1"/>
    </xf>
    <xf numFmtId="0" fontId="4" fillId="18" borderId="2" xfId="0" applyFont="1" applyFill="1" applyBorder="1" applyAlignment="1">
      <alignment horizontal="center" vertical="center" wrapText="1"/>
    </xf>
    <xf numFmtId="0" fontId="9" fillId="15" borderId="7" xfId="0" applyFont="1" applyFill="1" applyBorder="1" applyAlignment="1">
      <alignment horizontal="center" vertical="center" wrapText="1"/>
    </xf>
    <xf numFmtId="0" fontId="9" fillId="15" borderId="8" xfId="0" applyFont="1" applyFill="1" applyBorder="1" applyAlignment="1">
      <alignment horizontal="center" vertical="center" wrapText="1"/>
    </xf>
    <xf numFmtId="0" fontId="9" fillId="18" borderId="8" xfId="0" applyFont="1" applyFill="1" applyBorder="1" applyAlignment="1">
      <alignment horizontal="center" vertical="center" wrapText="1"/>
    </xf>
    <xf numFmtId="0" fontId="9" fillId="15" borderId="9" xfId="0" applyFont="1" applyFill="1" applyBorder="1" applyAlignment="1">
      <alignment horizontal="center" vertical="center" wrapText="1"/>
    </xf>
    <xf numFmtId="0" fontId="9" fillId="15" borderId="10"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8" borderId="2" xfId="0" applyFont="1" applyFill="1" applyBorder="1" applyAlignment="1">
      <alignment horizontal="left" vertical="center" wrapText="1"/>
    </xf>
    <xf numFmtId="0" fontId="13" fillId="16" borderId="2" xfId="0" applyFont="1" applyFill="1" applyBorder="1" applyAlignment="1">
      <alignment horizontal="center" vertical="center" wrapText="1"/>
    </xf>
    <xf numFmtId="0" fontId="9" fillId="16" borderId="2" xfId="0" applyFont="1" applyFill="1" applyBorder="1" applyAlignment="1">
      <alignment horizontal="left" vertical="center" wrapText="1"/>
    </xf>
    <xf numFmtId="0" fontId="13" fillId="16" borderId="2" xfId="0" applyFont="1" applyFill="1" applyBorder="1" applyAlignment="1">
      <alignment horizontal="left" vertical="center" wrapText="1"/>
    </xf>
    <xf numFmtId="0" fontId="4" fillId="16" borderId="2" xfId="0" applyFont="1" applyFill="1" applyBorder="1" applyAlignment="1">
      <alignment horizontal="center" vertical="center" wrapText="1"/>
    </xf>
    <xf numFmtId="179" fontId="9" fillId="16"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1"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79" fontId="4" fillId="19"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79"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79" fontId="11" fillId="9" borderId="2" xfId="0" applyNumberFormat="1" applyFont="1" applyFill="1" applyBorder="1" applyAlignment="1">
      <alignment horizontal="right" vertical="center" wrapText="1"/>
    </xf>
    <xf numFmtId="43" fontId="4" fillId="20" borderId="2" xfId="0" applyNumberFormat="1" applyFont="1" applyFill="1" applyBorder="1" applyAlignment="1">
      <alignment horizontal="center" vertical="center" wrapText="1"/>
    </xf>
    <xf numFmtId="43" fontId="11" fillId="20" borderId="2" xfId="0" applyNumberFormat="1" applyFont="1" applyFill="1" applyBorder="1" applyAlignment="1">
      <alignment horizontal="center" vertical="center" wrapText="1"/>
    </xf>
    <xf numFmtId="49" fontId="4" fillId="20" borderId="2" xfId="0" applyNumberFormat="1" applyFont="1" applyFill="1" applyBorder="1" applyAlignment="1">
      <alignment horizontal="left" vertical="center" wrapText="1"/>
    </xf>
    <xf numFmtId="179" fontId="11" fillId="20"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79" fontId="11" fillId="0" borderId="2" xfId="0" applyNumberFormat="1" applyFont="1" applyBorder="1" applyAlignment="1">
      <alignment horizontal="right" vertical="center" wrapText="1"/>
    </xf>
    <xf numFmtId="43" fontId="4" fillId="21" borderId="11" xfId="0" applyNumberFormat="1" applyFont="1" applyFill="1" applyBorder="1" applyAlignment="1">
      <alignment horizontal="left" vertical="center" wrapText="1"/>
    </xf>
    <xf numFmtId="43" fontId="4" fillId="21" borderId="12" xfId="0" applyNumberFormat="1" applyFont="1" applyFill="1" applyBorder="1" applyAlignment="1">
      <alignment horizontal="left" vertical="center" wrapText="1"/>
    </xf>
    <xf numFmtId="43" fontId="4" fillId="21" borderId="13" xfId="0" applyNumberFormat="1" applyFont="1" applyFill="1" applyBorder="1" applyAlignment="1">
      <alignment horizontal="left" vertical="center" wrapText="1"/>
    </xf>
    <xf numFmtId="179" fontId="11" fillId="21" borderId="2" xfId="0" applyNumberFormat="1" applyFont="1" applyFill="1" applyBorder="1" applyAlignment="1">
      <alignment horizontal="right" vertical="center" wrapText="1"/>
    </xf>
    <xf numFmtId="43" fontId="4" fillId="22"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79" fontId="11" fillId="11" borderId="2" xfId="0" applyNumberFormat="1" applyFont="1" applyFill="1" applyBorder="1" applyAlignment="1">
      <alignment horizontal="right" vertical="center" wrapText="1"/>
    </xf>
    <xf numFmtId="0" fontId="9" fillId="23" borderId="2" xfId="0" applyFont="1" applyFill="1" applyBorder="1" applyAlignment="1">
      <alignment horizontal="center" vertical="center" wrapText="1"/>
    </xf>
    <xf numFmtId="0" fontId="9" fillId="24"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4"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4"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79" fontId="9" fillId="16" borderId="2" xfId="0" applyNumberFormat="1" applyFont="1" applyFill="1" applyBorder="1" applyAlignment="1">
      <alignment horizontal="left" vertical="center" wrapText="1"/>
    </xf>
    <xf numFmtId="179" fontId="4" fillId="19" borderId="2" xfId="0" applyNumberFormat="1" applyFont="1" applyFill="1" applyBorder="1" applyAlignment="1">
      <alignment horizontal="left" vertical="center" wrapText="1"/>
    </xf>
    <xf numFmtId="179" fontId="11" fillId="5" borderId="2" xfId="0" applyNumberFormat="1" applyFont="1" applyFill="1" applyBorder="1" applyAlignment="1">
      <alignment horizontal="left" vertical="center" wrapText="1"/>
    </xf>
    <xf numFmtId="179" fontId="11" fillId="9" borderId="2" xfId="0" applyNumberFormat="1" applyFont="1" applyFill="1" applyBorder="1" applyAlignment="1">
      <alignment horizontal="left" vertical="center" wrapText="1"/>
    </xf>
    <xf numFmtId="179" fontId="11" fillId="20" borderId="2" xfId="0" applyNumberFormat="1" applyFont="1" applyFill="1" applyBorder="1" applyAlignment="1">
      <alignment horizontal="left" vertical="center" wrapText="1"/>
    </xf>
    <xf numFmtId="179" fontId="11" fillId="2" borderId="2" xfId="0" applyNumberFormat="1" applyFont="1" applyFill="1" applyBorder="1" applyAlignment="1">
      <alignment horizontal="left" vertical="center" wrapText="1"/>
    </xf>
    <xf numFmtId="179" fontId="11" fillId="0" borderId="2" xfId="0" applyNumberFormat="1" applyFont="1" applyBorder="1" applyAlignment="1">
      <alignment horizontal="left" vertical="center" wrapText="1"/>
    </xf>
    <xf numFmtId="179" fontId="11" fillId="21" borderId="2" xfId="0" applyNumberFormat="1" applyFont="1" applyFill="1" applyBorder="1" applyAlignment="1">
      <alignment horizontal="left" vertical="center" wrapText="1"/>
    </xf>
    <xf numFmtId="179" fontId="11" fillId="0" borderId="2" xfId="0" applyNumberFormat="1" applyFont="1" applyFill="1" applyBorder="1" applyAlignment="1">
      <alignment horizontal="right" vertical="center" wrapText="1"/>
    </xf>
    <xf numFmtId="179" fontId="11" fillId="0" borderId="2" xfId="0" applyNumberFormat="1" applyFont="1" applyFill="1" applyBorder="1" applyAlignment="1">
      <alignment horizontal="left" vertical="center" wrapText="1"/>
    </xf>
    <xf numFmtId="179" fontId="11" fillId="11" borderId="2" xfId="0" applyNumberFormat="1" applyFont="1" applyFill="1" applyBorder="1" applyAlignment="1">
      <alignment horizontal="left" vertical="center" wrapText="1"/>
    </xf>
    <xf numFmtId="0" fontId="9" fillId="18" borderId="11" xfId="0" applyFont="1" applyFill="1" applyBorder="1" applyAlignment="1">
      <alignment horizontal="center" vertical="center" wrapText="1"/>
    </xf>
    <xf numFmtId="180" fontId="11" fillId="0" borderId="2" xfId="0" applyNumberFormat="1" applyFont="1" applyBorder="1" applyAlignment="1">
      <alignment horizontal="right" vertical="center" wrapText="1"/>
    </xf>
    <xf numFmtId="180" fontId="11" fillId="11" borderId="2" xfId="0" applyNumberFormat="1" applyFont="1" applyFill="1" applyBorder="1" applyAlignment="1">
      <alignment horizontal="right" vertical="center" wrapText="1"/>
    </xf>
    <xf numFmtId="0" fontId="9" fillId="18" borderId="12" xfId="0" applyFont="1" applyFill="1" applyBorder="1" applyAlignment="1">
      <alignment horizontal="center" vertical="center" wrapText="1"/>
    </xf>
    <xf numFmtId="0" fontId="9" fillId="18" borderId="13" xfId="0" applyFont="1" applyFill="1" applyBorder="1" applyAlignment="1">
      <alignment horizontal="center" vertical="center" wrapText="1"/>
    </xf>
    <xf numFmtId="179" fontId="11" fillId="10" borderId="2" xfId="0" applyNumberFormat="1" applyFont="1" applyFill="1" applyBorder="1" applyAlignment="1">
      <alignment horizontal="right" vertical="center" wrapText="1"/>
    </xf>
    <xf numFmtId="180" fontId="11" fillId="0" borderId="2" xfId="0" applyNumberFormat="1" applyFont="1" applyFill="1" applyBorder="1" applyAlignment="1">
      <alignment horizontal="right" vertical="center" wrapText="1"/>
    </xf>
    <xf numFmtId="0" fontId="9" fillId="25" borderId="11" xfId="0" applyFont="1" applyFill="1" applyBorder="1" applyAlignment="1">
      <alignment horizontal="center" vertical="center" wrapText="1"/>
    </xf>
    <xf numFmtId="0" fontId="9" fillId="25" borderId="12" xfId="0" applyFont="1" applyFill="1" applyBorder="1" applyAlignment="1">
      <alignment horizontal="center" vertical="center" wrapText="1"/>
    </xf>
    <xf numFmtId="0" fontId="9" fillId="25" borderId="13" xfId="0" applyFont="1" applyFill="1" applyBorder="1" applyAlignment="1">
      <alignment horizontal="center" vertical="center" wrapText="1"/>
    </xf>
    <xf numFmtId="179" fontId="11" fillId="26" borderId="2" xfId="0" applyNumberFormat="1" applyFont="1" applyFill="1" applyBorder="1" applyAlignment="1">
      <alignment horizontal="right" vertical="center" wrapText="1"/>
    </xf>
    <xf numFmtId="179" fontId="11" fillId="19" borderId="2" xfId="0" applyNumberFormat="1" applyFont="1" applyFill="1" applyBorder="1" applyAlignment="1">
      <alignment horizontal="right" vertical="center" wrapText="1"/>
    </xf>
    <xf numFmtId="179" fontId="11" fillId="19" borderId="2" xfId="0" applyNumberFormat="1" applyFont="1" applyFill="1" applyBorder="1" applyAlignment="1">
      <alignment horizontal="left" vertical="center" wrapText="1"/>
    </xf>
    <xf numFmtId="43" fontId="4" fillId="17" borderId="2" xfId="0" applyNumberFormat="1" applyFont="1" applyFill="1" applyBorder="1" applyAlignment="1">
      <alignment horizontal="center" vertical="center" wrapText="1"/>
    </xf>
    <xf numFmtId="43" fontId="11" fillId="17" borderId="2" xfId="0" applyNumberFormat="1" applyFont="1" applyFill="1" applyBorder="1" applyAlignment="1">
      <alignment horizontal="center" vertical="center" wrapText="1"/>
    </xf>
    <xf numFmtId="49" fontId="4" fillId="17" borderId="2" xfId="0" applyNumberFormat="1" applyFont="1" applyFill="1" applyBorder="1" applyAlignment="1">
      <alignment horizontal="left" vertical="center" wrapText="1"/>
    </xf>
    <xf numFmtId="179" fontId="11" fillId="17" borderId="2" xfId="0" applyNumberFormat="1" applyFont="1" applyFill="1" applyBorder="1" applyAlignment="1">
      <alignment horizontal="right" vertical="center" wrapText="1"/>
    </xf>
    <xf numFmtId="179" fontId="11" fillId="17" borderId="2" xfId="0" applyNumberFormat="1" applyFont="1" applyFill="1" applyBorder="1" applyAlignment="1">
      <alignment horizontal="left" vertical="center" wrapText="1"/>
    </xf>
    <xf numFmtId="0" fontId="0" fillId="0" borderId="2" xfId="0" applyBorder="1">
      <alignment vertical="center"/>
    </xf>
    <xf numFmtId="43" fontId="11" fillId="27" borderId="2" xfId="0" applyNumberFormat="1" applyFont="1" applyFill="1" applyBorder="1" applyAlignment="1">
      <alignment horizontal="center" vertical="center" wrapText="1"/>
    </xf>
    <xf numFmtId="43" fontId="11" fillId="27" borderId="0" xfId="0" applyNumberFormat="1" applyFont="1" applyFill="1" applyAlignment="1">
      <alignment horizontal="center" vertical="center" wrapText="1"/>
    </xf>
    <xf numFmtId="181" fontId="15" fillId="11" borderId="2" xfId="0" applyNumberFormat="1" applyFont="1" applyFill="1" applyBorder="1" applyAlignment="1">
      <alignment horizontal="center" vertical="center" wrapText="1"/>
    </xf>
    <xf numFmtId="181" fontId="15" fillId="11" borderId="6" xfId="0" applyNumberFormat="1" applyFont="1" applyFill="1" applyBorder="1" applyAlignment="1">
      <alignment horizontal="center" vertical="center" wrapText="1"/>
    </xf>
    <xf numFmtId="181" fontId="16" fillId="11" borderId="2" xfId="0" applyNumberFormat="1" applyFont="1" applyFill="1" applyBorder="1" applyAlignment="1">
      <alignment horizontal="center" vertical="center" wrapText="1"/>
    </xf>
    <xf numFmtId="181" fontId="15" fillId="11" borderId="8" xfId="0" applyNumberFormat="1" applyFont="1" applyFill="1" applyBorder="1" applyAlignment="1">
      <alignment horizontal="center" vertical="center" wrapText="1"/>
    </xf>
    <xf numFmtId="181" fontId="15" fillId="11" borderId="10" xfId="0" applyNumberFormat="1" applyFont="1" applyFill="1" applyBorder="1" applyAlignment="1">
      <alignment horizontal="center" vertical="center" wrapText="1"/>
    </xf>
    <xf numFmtId="181" fontId="17" fillId="11" borderId="2" xfId="0" applyNumberFormat="1" applyFont="1" applyFill="1" applyBorder="1" applyAlignment="1">
      <alignment horizontal="center" vertical="center" wrapText="1"/>
    </xf>
    <xf numFmtId="181" fontId="18" fillId="11" borderId="6" xfId="0" applyNumberFormat="1" applyFont="1" applyFill="1" applyBorder="1" applyAlignment="1">
      <alignment vertical="center" wrapText="1"/>
    </xf>
    <xf numFmtId="181" fontId="19" fillId="11" borderId="6" xfId="0" applyNumberFormat="1" applyFont="1" applyFill="1" applyBorder="1" applyAlignment="1">
      <alignment vertical="center" wrapText="1"/>
    </xf>
    <xf numFmtId="181" fontId="5" fillId="11" borderId="2" xfId="0" applyNumberFormat="1" applyFont="1" applyFill="1" applyBorder="1" applyAlignment="1">
      <alignment horizontal="center" vertical="center" wrapText="1"/>
    </xf>
    <xf numFmtId="182" fontId="5" fillId="0" borderId="2" xfId="0" applyNumberFormat="1" applyFont="1" applyBorder="1" applyAlignment="1">
      <alignment horizontal="center" vertical="center"/>
    </xf>
    <xf numFmtId="181" fontId="19" fillId="11" borderId="8" xfId="0" applyNumberFormat="1" applyFont="1" applyFill="1" applyBorder="1" applyAlignment="1">
      <alignment vertical="center" wrapText="1"/>
    </xf>
    <xf numFmtId="181" fontId="5" fillId="0" borderId="2" xfId="0" applyNumberFormat="1" applyFont="1" applyBorder="1" applyAlignment="1">
      <alignment horizontal="center" vertical="center" wrapText="1"/>
    </xf>
    <xf numFmtId="181" fontId="19" fillId="11" borderId="2" xfId="0" applyNumberFormat="1" applyFont="1" applyFill="1" applyBorder="1" applyAlignment="1">
      <alignment vertical="center" wrapText="1"/>
    </xf>
    <xf numFmtId="181" fontId="20" fillId="11" borderId="2" xfId="0" applyNumberFormat="1" applyFont="1" applyFill="1" applyBorder="1" applyAlignment="1">
      <alignment vertical="center" wrapText="1"/>
    </xf>
    <xf numFmtId="181" fontId="19" fillId="11" borderId="11" xfId="0" applyNumberFormat="1" applyFont="1" applyFill="1" applyBorder="1" applyAlignment="1">
      <alignment vertical="center" wrapText="1"/>
    </xf>
    <xf numFmtId="181" fontId="19" fillId="11" borderId="13" xfId="0" applyNumberFormat="1" applyFont="1" applyFill="1" applyBorder="1" applyAlignment="1">
      <alignment vertical="center" wrapText="1"/>
    </xf>
    <xf numFmtId="182" fontId="5" fillId="11" borderId="2" xfId="0" applyNumberFormat="1" applyFont="1" applyFill="1" applyBorder="1" applyAlignment="1">
      <alignment horizontal="center" vertical="center"/>
    </xf>
    <xf numFmtId="181" fontId="20" fillId="11" borderId="6" xfId="0" applyNumberFormat="1" applyFont="1" applyFill="1" applyBorder="1" applyAlignment="1">
      <alignment vertical="center" wrapText="1"/>
    </xf>
    <xf numFmtId="181" fontId="19" fillId="11" borderId="14" xfId="0" applyNumberFormat="1" applyFont="1" applyFill="1" applyBorder="1" applyAlignment="1">
      <alignment vertical="center" wrapText="1"/>
    </xf>
    <xf numFmtId="181"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8" borderId="2" xfId="0" applyFont="1" applyFill="1" applyBorder="1" applyAlignment="1">
      <alignment horizontal="center" vertical="center"/>
    </xf>
    <xf numFmtId="0" fontId="23" fillId="29" borderId="2" xfId="0" applyFont="1" applyFill="1" applyBorder="1" applyAlignment="1">
      <alignment horizontal="center" vertical="center"/>
    </xf>
    <xf numFmtId="0" fontId="23" fillId="0" borderId="2" xfId="0" applyFont="1" applyBorder="1" applyAlignment="1">
      <alignment horizontal="center" vertical="center"/>
    </xf>
    <xf numFmtId="181" fontId="24" fillId="0" borderId="2" xfId="0" applyNumberFormat="1" applyFont="1" applyBorder="1" applyAlignment="1">
      <alignment horizontal="center" vertical="center" wrapText="1"/>
    </xf>
    <xf numFmtId="181"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2"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1" fontId="16" fillId="0" borderId="2" xfId="0" applyNumberFormat="1" applyFont="1" applyBorder="1" applyAlignment="1">
      <alignment horizontal="center" vertical="center" wrapText="1"/>
    </xf>
    <xf numFmtId="181" fontId="26" fillId="0" borderId="2" xfId="0" applyNumberFormat="1" applyFont="1" applyBorder="1" applyAlignment="1">
      <alignment horizontal="center" vertical="center" wrapText="1"/>
    </xf>
    <xf numFmtId="182" fontId="27" fillId="0" borderId="2" xfId="0" applyNumberFormat="1" applyFont="1" applyBorder="1" applyAlignment="1">
      <alignment horizontal="center" vertical="center"/>
    </xf>
    <xf numFmtId="181" fontId="24" fillId="11" borderId="2" xfId="0" applyNumberFormat="1" applyFont="1" applyFill="1" applyBorder="1" applyAlignment="1">
      <alignment horizontal="center" vertical="center" wrapText="1"/>
    </xf>
    <xf numFmtId="182" fontId="25" fillId="11" borderId="2" xfId="0" applyNumberFormat="1" applyFont="1" applyFill="1" applyBorder="1" applyAlignment="1">
      <alignment horizontal="center" vertical="center"/>
    </xf>
    <xf numFmtId="182" fontId="5" fillId="30"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3" fontId="31" fillId="31" borderId="2" xfId="52" applyNumberFormat="1" applyFont="1" applyFill="1" applyBorder="1" applyAlignment="1">
      <alignment horizontal="center" vertical="center" wrapText="1"/>
    </xf>
    <xf numFmtId="43" fontId="31" fillId="31" borderId="2" xfId="52" applyNumberFormat="1" applyFont="1" applyFill="1" applyBorder="1" applyAlignment="1">
      <alignment horizontal="center" vertical="center" wrapText="1"/>
    </xf>
    <xf numFmtId="176" fontId="31" fillId="31" borderId="2" xfId="52" applyFont="1" applyFill="1" applyBorder="1" applyAlignment="1">
      <alignment horizontal="center" vertical="center" wrapText="1"/>
    </xf>
    <xf numFmtId="0" fontId="9" fillId="32" borderId="2" xfId="0" applyFont="1" applyFill="1" applyBorder="1" applyAlignment="1">
      <alignment horizontal="center" vertical="center"/>
    </xf>
    <xf numFmtId="43" fontId="9" fillId="32" borderId="2" xfId="0" applyNumberFormat="1" applyFont="1" applyFill="1" applyBorder="1" applyAlignment="1">
      <alignment horizontal="center" vertical="center"/>
    </xf>
    <xf numFmtId="184" fontId="9" fillId="32"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4" fontId="30" fillId="9" borderId="2" xfId="0" applyNumberFormat="1" applyFont="1" applyFill="1" applyBorder="1">
      <alignment vertical="center"/>
    </xf>
    <xf numFmtId="0" fontId="30" fillId="33" borderId="2" xfId="0" applyFont="1" applyFill="1" applyBorder="1" applyAlignment="1">
      <alignment horizontal="center" vertical="center"/>
    </xf>
    <xf numFmtId="43" fontId="30" fillId="33" borderId="2" xfId="0" applyNumberFormat="1" applyFont="1" applyFill="1" applyBorder="1" applyAlignment="1">
      <alignment horizontal="center" vertical="center"/>
    </xf>
    <xf numFmtId="184" fontId="30" fillId="33" borderId="2" xfId="0" applyNumberFormat="1" applyFont="1" applyFill="1" applyBorder="1">
      <alignment vertical="center"/>
    </xf>
    <xf numFmtId="0" fontId="30" fillId="34" borderId="2" xfId="0" applyFont="1" applyFill="1" applyBorder="1" applyAlignment="1">
      <alignment horizontal="center" vertical="center"/>
    </xf>
    <xf numFmtId="43" fontId="30" fillId="34" borderId="2" xfId="0" applyNumberFormat="1" applyFont="1" applyFill="1" applyBorder="1" applyAlignment="1">
      <alignment horizontal="center" vertical="center"/>
    </xf>
    <xf numFmtId="184" fontId="30" fillId="34" borderId="2" xfId="0" applyNumberFormat="1" applyFont="1" applyFill="1" applyBorder="1">
      <alignment vertical="center"/>
    </xf>
    <xf numFmtId="0" fontId="9" fillId="15" borderId="2" xfId="0" applyFont="1" applyFill="1" applyBorder="1" applyAlignment="1">
      <alignment horizontal="center" vertical="center"/>
    </xf>
    <xf numFmtId="43" fontId="9" fillId="15" borderId="2" xfId="0" applyNumberFormat="1" applyFont="1" applyFill="1" applyBorder="1" applyAlignment="1">
      <alignment horizontal="center" vertical="center"/>
    </xf>
    <xf numFmtId="184" fontId="9" fillId="15" borderId="2" xfId="0" applyNumberFormat="1" applyFont="1" applyFill="1" applyBorder="1">
      <alignment vertical="center"/>
    </xf>
    <xf numFmtId="0" fontId="4" fillId="35" borderId="2" xfId="0" applyFont="1" applyFill="1" applyBorder="1" applyAlignment="1">
      <alignment horizontal="center" vertical="center" wrapText="1"/>
    </xf>
    <xf numFmtId="0" fontId="30" fillId="35" borderId="2" xfId="0" applyFont="1" applyFill="1" applyBorder="1" applyAlignment="1">
      <alignment horizontal="center" vertical="center"/>
    </xf>
    <xf numFmtId="43" fontId="30" fillId="35" borderId="2" xfId="0" applyNumberFormat="1" applyFont="1" applyFill="1" applyBorder="1" applyAlignment="1">
      <alignment horizontal="center" vertical="center"/>
    </xf>
    <xf numFmtId="184" fontId="30" fillId="35" borderId="2" xfId="0" applyNumberFormat="1" applyFont="1" applyFill="1" applyBorder="1">
      <alignment vertical="center"/>
    </xf>
    <xf numFmtId="184" fontId="30" fillId="2" borderId="2" xfId="0" applyNumberFormat="1" applyFont="1" applyFill="1" applyBorder="1" applyProtection="1">
      <alignment vertical="center"/>
      <protection locked="0"/>
    </xf>
    <xf numFmtId="0" fontId="30" fillId="35" borderId="2" xfId="0" applyFont="1" applyFill="1" applyBorder="1">
      <alignment vertical="center"/>
    </xf>
    <xf numFmtId="0" fontId="30" fillId="2" borderId="2" xfId="0" applyFont="1" applyFill="1" applyBorder="1" applyProtection="1">
      <alignment vertical="center"/>
      <protection locked="0"/>
    </xf>
    <xf numFmtId="0" fontId="11" fillId="36"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6" borderId="0" xfId="0" applyFont="1" applyFill="1" applyAlignment="1">
      <alignment horizontal="center" vertical="center"/>
    </xf>
    <xf numFmtId="0" fontId="11" fillId="36"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6" borderId="11" xfId="0" applyFont="1" applyFill="1" applyBorder="1" applyAlignment="1">
      <alignment horizontal="center" vertical="center" wrapText="1"/>
    </xf>
    <xf numFmtId="0" fontId="9" fillId="16" borderId="12"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10" xfId="0" applyFont="1" applyFill="1" applyBorder="1" applyAlignment="1">
      <alignment horizontal="center" vertical="center" wrapText="1"/>
    </xf>
    <xf numFmtId="184" fontId="11" fillId="2" borderId="2" xfId="0" applyNumberFormat="1" applyFont="1" applyFill="1" applyBorder="1" applyAlignment="1" applyProtection="1">
      <alignment horizontal="center" vertical="center" wrapText="1"/>
      <protection locked="0"/>
    </xf>
    <xf numFmtId="0" fontId="11" fillId="37" borderId="2" xfId="0" applyFont="1" applyFill="1" applyBorder="1" applyAlignment="1" applyProtection="1">
      <alignment horizontal="center" vertical="center" wrapText="1"/>
      <protection locked="0"/>
    </xf>
    <xf numFmtId="0" fontId="9" fillId="16" borderId="13" xfId="0" applyFont="1" applyFill="1" applyBorder="1" applyAlignment="1">
      <alignment horizontal="center" vertical="center" wrapText="1"/>
    </xf>
    <xf numFmtId="43" fontId="9" fillId="15" borderId="2" xfId="0" applyNumberFormat="1" applyFont="1" applyFill="1" applyBorder="1" applyAlignment="1">
      <alignment horizontal="center" vertical="center" wrapText="1"/>
    </xf>
    <xf numFmtId="43" fontId="9" fillId="15" borderId="2" xfId="0" applyNumberFormat="1" applyFont="1" applyFill="1" applyBorder="1" applyAlignment="1">
      <alignment horizontal="center" vertical="top" wrapText="1"/>
    </xf>
    <xf numFmtId="43" fontId="9" fillId="16" borderId="2" xfId="0" applyNumberFormat="1" applyFont="1" applyFill="1" applyBorder="1" applyAlignment="1">
      <alignment horizontal="center" vertical="center" wrapText="1"/>
    </xf>
    <xf numFmtId="43" fontId="4" fillId="27"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4"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5" borderId="6" xfId="0" applyNumberFormat="1" applyFont="1" applyFill="1" applyBorder="1" applyAlignment="1">
      <alignment horizontal="center" vertical="center" wrapText="1"/>
    </xf>
    <xf numFmtId="43" fontId="9" fillId="18" borderId="6" xfId="0" applyNumberFormat="1" applyFont="1" applyFill="1" applyBorder="1" applyAlignment="1">
      <alignment horizontal="center" vertical="center" wrapText="1"/>
    </xf>
    <xf numFmtId="49" fontId="9" fillId="18" borderId="2" xfId="0" applyNumberFormat="1" applyFont="1" applyFill="1" applyBorder="1" applyAlignment="1">
      <alignment vertical="center" wrapText="1"/>
    </xf>
    <xf numFmtId="43" fontId="9" fillId="15" borderId="7" xfId="0" applyNumberFormat="1" applyFont="1" applyFill="1" applyBorder="1" applyAlignment="1">
      <alignment horizontal="center" vertical="center" wrapText="1"/>
    </xf>
    <xf numFmtId="43" fontId="9" fillId="15" borderId="8" xfId="0" applyNumberFormat="1" applyFont="1" applyFill="1" applyBorder="1" applyAlignment="1">
      <alignment horizontal="center" vertical="center" wrapText="1"/>
    </xf>
    <xf numFmtId="43" fontId="9" fillId="18" borderId="8" xfId="0" applyNumberFormat="1" applyFont="1" applyFill="1" applyBorder="1" applyAlignment="1">
      <alignment horizontal="center" vertical="center" wrapText="1"/>
    </xf>
    <xf numFmtId="43" fontId="9" fillId="15" borderId="9" xfId="0" applyNumberFormat="1" applyFont="1" applyFill="1" applyBorder="1" applyAlignment="1">
      <alignment horizontal="center" vertical="center" wrapText="1"/>
    </xf>
    <xf numFmtId="43" fontId="9" fillId="15" borderId="10" xfId="0" applyNumberFormat="1" applyFont="1" applyFill="1" applyBorder="1" applyAlignment="1">
      <alignment horizontal="center" vertical="top" wrapText="1"/>
    </xf>
    <xf numFmtId="43" fontId="9" fillId="18" borderId="10" xfId="0" applyNumberFormat="1" applyFont="1" applyFill="1" applyBorder="1" applyAlignment="1">
      <alignment horizontal="center" vertical="top" wrapText="1"/>
    </xf>
    <xf numFmtId="49" fontId="9" fillId="18" borderId="2" xfId="0" applyNumberFormat="1" applyFont="1" applyFill="1" applyBorder="1" applyAlignment="1">
      <alignment horizontal="left" vertical="top" wrapText="1"/>
    </xf>
    <xf numFmtId="43" fontId="9" fillId="18" borderId="2" xfId="0" applyNumberFormat="1" applyFont="1" applyFill="1" applyBorder="1" applyAlignment="1">
      <alignment horizontal="center" vertical="top" wrapText="1"/>
    </xf>
    <xf numFmtId="43" fontId="13" fillId="16" borderId="2" xfId="0" applyNumberFormat="1" applyFont="1" applyFill="1" applyBorder="1" applyAlignment="1">
      <alignment horizontal="center" vertical="center" wrapText="1"/>
    </xf>
    <xf numFmtId="49" fontId="9" fillId="16"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9" fontId="4" fillId="27" borderId="2" xfId="0" applyNumberFormat="1" applyFont="1" applyFill="1" applyBorder="1" applyAlignment="1">
      <alignment horizontal="left" vertical="center" wrapText="1"/>
    </xf>
    <xf numFmtId="43" fontId="9" fillId="15" borderId="6" xfId="0" applyNumberFormat="1" applyFont="1" applyFill="1" applyBorder="1" applyAlignment="1">
      <alignment horizontal="center" vertical="top" wrapText="1"/>
    </xf>
    <xf numFmtId="43" fontId="9" fillId="16"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20" borderId="13" xfId="0" applyNumberFormat="1" applyFont="1" applyFill="1" applyBorder="1" applyAlignment="1">
      <alignment horizontal="center" vertical="center" wrapText="1"/>
    </xf>
    <xf numFmtId="43" fontId="11" fillId="27" borderId="13" xfId="0" applyNumberFormat="1" applyFont="1" applyFill="1" applyBorder="1" applyAlignment="1">
      <alignment horizontal="center" vertical="center" wrapText="1"/>
    </xf>
    <xf numFmtId="43" fontId="33" fillId="15" borderId="2" xfId="0" applyNumberFormat="1" applyFont="1" applyFill="1" applyBorder="1" applyAlignment="1">
      <alignment horizontal="center" vertical="center" wrapText="1"/>
    </xf>
    <xf numFmtId="43" fontId="9" fillId="15" borderId="10" xfId="0" applyNumberFormat="1" applyFont="1" applyFill="1" applyBorder="1" applyAlignment="1">
      <alignment horizontal="center" vertical="center" wrapText="1"/>
    </xf>
    <xf numFmtId="43" fontId="9" fillId="15" borderId="11" xfId="0" applyNumberFormat="1" applyFont="1" applyFill="1" applyBorder="1" applyAlignment="1">
      <alignment horizontal="center" vertical="center"/>
    </xf>
    <xf numFmtId="43" fontId="9" fillId="15" borderId="12" xfId="0" applyNumberFormat="1" applyFont="1" applyFill="1" applyBorder="1" applyAlignment="1">
      <alignment horizontal="center" vertical="center"/>
    </xf>
    <xf numFmtId="43" fontId="9" fillId="15" borderId="13" xfId="0" applyNumberFormat="1" applyFont="1" applyFill="1" applyBorder="1" applyAlignment="1">
      <alignment horizontal="center" vertical="center"/>
    </xf>
    <xf numFmtId="43" fontId="9" fillId="15" borderId="11" xfId="0" applyNumberFormat="1" applyFont="1" applyFill="1" applyBorder="1" applyAlignment="1">
      <alignment horizontal="center" vertical="center" wrapText="1"/>
    </xf>
    <xf numFmtId="43" fontId="33" fillId="15"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5" borderId="12" xfId="0" applyNumberFormat="1" applyFont="1" applyFill="1" applyBorder="1" applyAlignment="1">
      <alignment horizontal="center" vertical="center" wrapText="1"/>
    </xf>
    <xf numFmtId="43" fontId="9" fillId="15" borderId="13" xfId="0" applyNumberFormat="1" applyFont="1" applyFill="1" applyBorder="1" applyAlignment="1">
      <alignment horizontal="center" vertical="center" wrapText="1"/>
    </xf>
    <xf numFmtId="43" fontId="9" fillId="15" borderId="11" xfId="0" applyNumberFormat="1" applyFont="1" applyFill="1" applyBorder="1" applyAlignment="1">
      <alignment horizontal="center" vertical="top" wrapText="1"/>
    </xf>
    <xf numFmtId="43" fontId="9" fillId="16" borderId="11" xfId="0" applyNumberFormat="1" applyFont="1" applyFill="1" applyBorder="1" applyAlignment="1">
      <alignment horizontal="center" vertical="center" wrapText="1"/>
    </xf>
    <xf numFmtId="43" fontId="4" fillId="19"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20"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4" borderId="8" xfId="0" applyNumberFormat="1" applyFont="1" applyFill="1" applyBorder="1" applyAlignment="1">
      <alignment horizontal="center" vertical="center" wrapText="1"/>
    </xf>
    <xf numFmtId="43" fontId="9" fillId="34" borderId="8" xfId="0" applyNumberFormat="1" applyFont="1" applyFill="1" applyBorder="1" applyAlignment="1">
      <alignment horizontal="center" vertical="top" wrapText="1"/>
    </xf>
    <xf numFmtId="43" fontId="9" fillId="15" borderId="13" xfId="0" applyNumberFormat="1" applyFont="1" applyFill="1" applyBorder="1" applyAlignment="1">
      <alignment horizontal="center" vertical="top" wrapText="1"/>
    </xf>
    <xf numFmtId="43" fontId="4" fillId="34"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20" borderId="13" xfId="0" applyNumberFormat="1" applyFont="1" applyFill="1" applyBorder="1" applyAlignment="1">
      <alignment horizontal="center" vertical="center" wrapText="1"/>
    </xf>
    <xf numFmtId="43" fontId="4" fillId="27"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20" borderId="2" xfId="0" applyNumberFormat="1" applyFont="1" applyFill="1" applyBorder="1" applyAlignment="1" applyProtection="1">
      <alignment horizontal="center" vertical="center" wrapText="1"/>
      <protection locked="0"/>
    </xf>
    <xf numFmtId="43" fontId="11" fillId="20" borderId="11" xfId="0" applyNumberFormat="1" applyFont="1" applyFill="1" applyBorder="1" applyAlignment="1" applyProtection="1">
      <alignment horizontal="center" vertical="center" wrapText="1"/>
      <protection locked="0"/>
    </xf>
    <xf numFmtId="43" fontId="11" fillId="27" borderId="11" xfId="0" applyNumberFormat="1" applyFont="1" applyFill="1" applyBorder="1" applyAlignment="1">
      <alignment horizontal="center" vertical="center" wrapText="1"/>
    </xf>
    <xf numFmtId="185" fontId="11" fillId="20" borderId="2" xfId="3" applyNumberFormat="1" applyFont="1" applyFill="1" applyBorder="1" applyAlignment="1">
      <alignment horizontal="center" vertical="center" wrapText="1"/>
    </xf>
    <xf numFmtId="0" fontId="4" fillId="19"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30" borderId="0" xfId="0" applyFill="1">
      <alignment vertical="center"/>
    </xf>
    <xf numFmtId="0" fontId="0" fillId="0" borderId="0" xfId="0" applyFill="1">
      <alignment vertical="center"/>
    </xf>
    <xf numFmtId="0" fontId="34" fillId="0" borderId="0" xfId="0" applyFont="1">
      <alignment vertical="center"/>
    </xf>
    <xf numFmtId="0" fontId="0" fillId="0" borderId="0" xfId="0" applyAlignment="1">
      <alignment vertical="center"/>
    </xf>
    <xf numFmtId="0" fontId="35" fillId="0" borderId="0" xfId="0" applyFont="1" applyAlignment="1">
      <alignment horizontal="center" vertical="center"/>
    </xf>
    <xf numFmtId="0" fontId="35" fillId="0" borderId="0" xfId="0" applyFont="1" applyFill="1">
      <alignment vertical="center"/>
    </xf>
    <xf numFmtId="0" fontId="35" fillId="0" borderId="0" xfId="0" applyFont="1">
      <alignment vertical="center"/>
    </xf>
    <xf numFmtId="0" fontId="36" fillId="0" borderId="0" xfId="0" applyFont="1" applyFill="1" applyBorder="1" applyAlignment="1">
      <alignment horizontal="center" vertical="center"/>
    </xf>
    <xf numFmtId="0" fontId="35"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4" fillId="0" borderId="0" xfId="0" applyFont="1" applyFill="1">
      <alignment vertical="center"/>
    </xf>
    <xf numFmtId="0" fontId="38" fillId="18" borderId="2" xfId="0" applyFont="1" applyFill="1" applyBorder="1" applyAlignment="1">
      <alignment horizontal="center" vertical="center"/>
    </xf>
    <xf numFmtId="0" fontId="39" fillId="0" borderId="2" xfId="0" applyFont="1" applyFill="1" applyBorder="1" applyAlignment="1">
      <alignment horizontal="center" vertical="center"/>
    </xf>
    <xf numFmtId="0" fontId="35" fillId="0" borderId="0" xfId="0" applyFont="1" applyFill="1" applyAlignment="1">
      <alignment vertical="center"/>
    </xf>
    <xf numFmtId="0" fontId="38" fillId="18" borderId="2" xfId="0" applyFont="1" applyFill="1" applyBorder="1" applyAlignment="1">
      <alignment horizontal="right" wrapText="1"/>
    </xf>
    <xf numFmtId="184" fontId="40" fillId="11" borderId="2" xfId="0" applyNumberFormat="1" applyFont="1" applyFill="1" applyBorder="1" applyAlignment="1">
      <alignment horizontal="right"/>
    </xf>
    <xf numFmtId="0" fontId="38" fillId="18" borderId="2" xfId="0" applyFont="1" applyFill="1" applyBorder="1" applyAlignment="1">
      <alignment horizontal="right"/>
    </xf>
    <xf numFmtId="9" fontId="40" fillId="0" borderId="2" xfId="3" applyFont="1" applyFill="1" applyBorder="1" applyAlignment="1">
      <alignment horizontal="center"/>
    </xf>
    <xf numFmtId="184" fontId="40" fillId="11" borderId="6" xfId="0" applyNumberFormat="1" applyFont="1" applyFill="1" applyBorder="1" applyAlignment="1">
      <alignment horizontal="right"/>
    </xf>
    <xf numFmtId="0" fontId="38" fillId="18"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8" borderId="13" xfId="0" applyFont="1" applyFill="1" applyBorder="1" applyAlignment="1">
      <alignment horizontal="right" wrapText="1"/>
    </xf>
    <xf numFmtId="9" fontId="40" fillId="38"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9" borderId="2" xfId="3" applyNumberFormat="1" applyFont="1" applyFill="1" applyBorder="1" applyAlignment="1">
      <alignment horizontal="center"/>
    </xf>
    <xf numFmtId="0" fontId="40" fillId="2" borderId="11" xfId="3" applyNumberFormat="1" applyFont="1" applyFill="1" applyBorder="1" applyAlignment="1">
      <alignment horizontal="right"/>
    </xf>
    <xf numFmtId="9" fontId="41" fillId="0" borderId="13" xfId="3" applyFont="1" applyFill="1" applyBorder="1" applyAlignment="1">
      <alignment horizontal="left"/>
    </xf>
    <xf numFmtId="9" fontId="40" fillId="40"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21" borderId="16" xfId="0" applyFont="1" applyFill="1" applyBorder="1" applyAlignment="1">
      <alignment horizontal="center" vertical="center"/>
    </xf>
    <xf numFmtId="0" fontId="35" fillId="21" borderId="0" xfId="0" applyFont="1" applyFill="1" applyBorder="1" applyAlignment="1">
      <alignment horizontal="center" vertical="center"/>
    </xf>
    <xf numFmtId="0" fontId="43" fillId="18" borderId="14" xfId="0" applyFont="1" applyFill="1" applyBorder="1" applyAlignment="1">
      <alignment horizontal="left" vertical="center"/>
    </xf>
    <xf numFmtId="0" fontId="43" fillId="18" borderId="7" xfId="0" applyFont="1" applyFill="1" applyBorder="1" applyAlignment="1">
      <alignment horizontal="left" vertical="center"/>
    </xf>
    <xf numFmtId="0" fontId="35" fillId="0" borderId="16" xfId="0" applyFont="1" applyBorder="1">
      <alignment vertical="center"/>
    </xf>
    <xf numFmtId="0" fontId="35" fillId="0" borderId="0" xfId="0" applyFont="1" applyBorder="1">
      <alignment vertical="center"/>
    </xf>
    <xf numFmtId="0" fontId="35" fillId="0" borderId="0" xfId="0" applyFont="1" applyFill="1" applyAlignment="1">
      <alignment horizontal="center" vertical="center"/>
    </xf>
    <xf numFmtId="0" fontId="35" fillId="0" borderId="16" xfId="0" applyFont="1" applyBorder="1" applyAlignment="1">
      <alignment horizontal="center" vertical="center"/>
    </xf>
    <xf numFmtId="0" fontId="35" fillId="0" borderId="0" xfId="0" applyFont="1" applyBorder="1" applyAlignment="1">
      <alignment horizontal="center" vertical="center"/>
    </xf>
    <xf numFmtId="0" fontId="35" fillId="0" borderId="17" xfId="0" applyFont="1" applyBorder="1" applyAlignment="1">
      <alignment horizontal="center" vertical="center"/>
    </xf>
    <xf numFmtId="0" fontId="35" fillId="0" borderId="9" xfId="0" applyFont="1" applyBorder="1" applyAlignment="1">
      <alignment horizontal="center" vertical="center"/>
    </xf>
    <xf numFmtId="0" fontId="35" fillId="0" borderId="17" xfId="0" applyFont="1" applyBorder="1">
      <alignment vertical="center"/>
    </xf>
    <xf numFmtId="0" fontId="35"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5" fillId="0" borderId="0" xfId="0" applyFont="1" applyFill="1" applyBorder="1">
      <alignment vertical="center"/>
    </xf>
    <xf numFmtId="0" fontId="38" fillId="18"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4" fillId="34" borderId="13" xfId="0" applyFont="1" applyFill="1" applyBorder="1">
      <alignment vertical="center"/>
    </xf>
    <xf numFmtId="0" fontId="38" fillId="18" borderId="12" xfId="0" applyFont="1" applyFill="1" applyBorder="1" applyAlignment="1">
      <alignment horizontal="center" vertical="center"/>
    </xf>
    <xf numFmtId="9" fontId="35" fillId="0" borderId="14" xfId="3" applyFont="1" applyBorder="1">
      <alignment vertical="center"/>
    </xf>
    <xf numFmtId="9" fontId="35"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4" borderId="0" xfId="0" applyFill="1" applyAlignment="1">
      <alignment vertical="center"/>
    </xf>
    <xf numFmtId="0" fontId="38" fillId="15" borderId="11" xfId="0" applyFont="1" applyFill="1" applyBorder="1" applyAlignment="1">
      <alignment horizontal="center" vertical="center" wrapText="1"/>
    </xf>
    <xf numFmtId="186" fontId="34" fillId="11" borderId="19" xfId="0" applyNumberFormat="1" applyFont="1" applyFill="1" applyBorder="1" applyAlignment="1">
      <alignment horizontal="center" vertical="center"/>
    </xf>
    <xf numFmtId="9" fontId="35" fillId="0" borderId="16" xfId="3" applyFont="1" applyBorder="1">
      <alignment vertical="center"/>
    </xf>
    <xf numFmtId="9" fontId="35" fillId="0" borderId="0" xfId="3" applyFont="1" applyBorder="1">
      <alignment vertical="center"/>
    </xf>
    <xf numFmtId="0" fontId="35" fillId="0" borderId="14" xfId="0" applyFont="1" applyBorder="1" applyAlignment="1">
      <alignment horizontal="center" vertical="center"/>
    </xf>
    <xf numFmtId="0" fontId="35" fillId="0" borderId="7" xfId="0" applyFont="1" applyBorder="1" applyAlignment="1">
      <alignment vertical="center"/>
    </xf>
    <xf numFmtId="9" fontId="35" fillId="0" borderId="17" xfId="3" applyFont="1" applyBorder="1">
      <alignment vertical="center"/>
    </xf>
    <xf numFmtId="9" fontId="35"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4" fontId="35" fillId="0" borderId="0" xfId="0" applyNumberFormat="1" applyFont="1" applyAlignment="1">
      <alignment vertical="center"/>
    </xf>
    <xf numFmtId="9" fontId="40" fillId="38"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9" borderId="2" xfId="3" applyFont="1" applyFill="1" applyBorder="1" applyAlignment="1">
      <alignment horizontal="center"/>
    </xf>
    <xf numFmtId="184" fontId="35" fillId="0" borderId="0" xfId="0" applyNumberFormat="1" applyFont="1" applyAlignment="1">
      <alignment horizontal="center" vertical="center"/>
    </xf>
    <xf numFmtId="9" fontId="40" fillId="40" borderId="2" xfId="3" applyFont="1" applyFill="1" applyBorder="1" applyAlignment="1">
      <alignment horizontal="center"/>
    </xf>
    <xf numFmtId="184" fontId="0" fillId="0" borderId="0" xfId="0" applyNumberFormat="1" applyAlignment="1">
      <alignment vertical="center"/>
    </xf>
    <xf numFmtId="0" fontId="42" fillId="11" borderId="2" xfId="0" applyNumberFormat="1" applyFont="1" applyFill="1" applyBorder="1" applyAlignment="1">
      <alignment horizontal="center"/>
    </xf>
    <xf numFmtId="0" fontId="35" fillId="34" borderId="0" xfId="0" applyFont="1" applyFill="1" applyAlignment="1">
      <alignment horizontal="center" vertical="center"/>
    </xf>
    <xf numFmtId="184" fontId="35" fillId="0" borderId="9" xfId="0" applyNumberFormat="1" applyFont="1" applyBorder="1" applyAlignment="1">
      <alignment horizontal="center" vertical="center"/>
    </xf>
    <xf numFmtId="0" fontId="36" fillId="21" borderId="0" xfId="0" applyFont="1" applyFill="1" applyBorder="1" applyAlignment="1">
      <alignment horizontal="center" vertical="center"/>
    </xf>
    <xf numFmtId="0" fontId="35" fillId="21" borderId="0" xfId="0" applyFont="1" applyFill="1" applyBorder="1">
      <alignment vertical="center"/>
    </xf>
    <xf numFmtId="0" fontId="35" fillId="21" borderId="0" xfId="0" applyFont="1" applyFill="1" applyAlignment="1">
      <alignment horizontal="center" vertical="center"/>
    </xf>
    <xf numFmtId="0" fontId="35" fillId="21" borderId="0" xfId="0" applyFont="1" applyFill="1">
      <alignment vertical="center"/>
    </xf>
    <xf numFmtId="49" fontId="38" fillId="15" borderId="2" xfId="0" applyNumberFormat="1" applyFont="1" applyFill="1" applyBorder="1" applyAlignment="1">
      <alignment horizontal="center" vertical="center" wrapText="1"/>
    </xf>
    <xf numFmtId="43" fontId="38" fillId="15" borderId="2" xfId="0" applyNumberFormat="1" applyFont="1" applyFill="1" applyBorder="1" applyAlignment="1">
      <alignment horizontal="center" vertical="center" wrapText="1"/>
    </xf>
    <xf numFmtId="49" fontId="32" fillId="19" borderId="2" xfId="0" applyNumberFormat="1" applyFont="1" applyFill="1" applyBorder="1" applyAlignment="1">
      <alignment horizontal="center" vertical="center" wrapText="1"/>
    </xf>
    <xf numFmtId="43" fontId="32" fillId="19" borderId="2" xfId="0" applyNumberFormat="1" applyFont="1" applyFill="1" applyBorder="1" applyAlignment="1">
      <alignment horizontal="center" vertical="center" wrapText="1"/>
    </xf>
    <xf numFmtId="187" fontId="45" fillId="11" borderId="2" xfId="0" applyNumberFormat="1" applyFont="1" applyFill="1" applyBorder="1" applyAlignment="1">
      <alignment horizontal="center" vertical="center"/>
    </xf>
    <xf numFmtId="0" fontId="32" fillId="19"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5" fillId="0" borderId="9" xfId="0" applyFont="1" applyFill="1" applyBorder="1">
      <alignment vertical="center"/>
    </xf>
    <xf numFmtId="0" fontId="38" fillId="18" borderId="13" xfId="0" applyFont="1" applyFill="1" applyBorder="1" applyAlignment="1">
      <alignment horizontal="center" vertical="center"/>
    </xf>
    <xf numFmtId="0" fontId="38" fillId="15"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5" fillId="0" borderId="0" xfId="0" applyFont="1" applyAlignment="1">
      <alignment vertical="center"/>
    </xf>
    <xf numFmtId="184" fontId="35" fillId="0" borderId="7" xfId="0" applyNumberFormat="1" applyFont="1" applyBorder="1" applyAlignment="1">
      <alignment vertical="center"/>
    </xf>
    <xf numFmtId="0" fontId="35" fillId="0" borderId="18" xfId="0" applyFont="1" applyBorder="1" applyAlignment="1">
      <alignment vertical="center"/>
    </xf>
    <xf numFmtId="184" fontId="35" fillId="0" borderId="9" xfId="0" applyNumberFormat="1" applyFont="1" applyBorder="1" applyAlignment="1">
      <alignment vertical="center"/>
    </xf>
    <xf numFmtId="0" fontId="35" fillId="0" borderId="20" xfId="0" applyFont="1" applyBorder="1" applyAlignment="1">
      <alignment vertical="center"/>
    </xf>
    <xf numFmtId="0" fontId="35" fillId="21" borderId="18" xfId="0" applyFont="1" applyFill="1" applyBorder="1">
      <alignment vertical="center"/>
    </xf>
    <xf numFmtId="0" fontId="43" fillId="18" borderId="15" xfId="0" applyFont="1" applyFill="1" applyBorder="1" applyAlignment="1">
      <alignment horizontal="left" vertical="center"/>
    </xf>
    <xf numFmtId="0" fontId="35" fillId="0" borderId="18" xfId="0" applyFont="1" applyBorder="1">
      <alignment vertical="center"/>
    </xf>
    <xf numFmtId="0" fontId="35" fillId="0" borderId="18" xfId="0" applyFont="1" applyBorder="1" applyAlignment="1">
      <alignment horizontal="center" vertical="center"/>
    </xf>
    <xf numFmtId="0" fontId="35" fillId="0" borderId="20" xfId="0" applyFont="1" applyBorder="1" applyAlignment="1">
      <alignment horizontal="center" vertical="center"/>
    </xf>
    <xf numFmtId="0" fontId="35"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5" fillId="0" borderId="18" xfId="0" applyFont="1" applyFill="1" applyBorder="1">
      <alignment vertical="center"/>
    </xf>
    <xf numFmtId="0" fontId="34" fillId="0" borderId="0" xfId="0" applyFont="1" applyAlignment="1">
      <alignment vertical="center"/>
    </xf>
    <xf numFmtId="0" fontId="0" fillId="0" borderId="2" xfId="0" applyBorder="1" applyAlignment="1">
      <alignment horizontal="center" vertical="center"/>
    </xf>
    <xf numFmtId="4" fontId="46" fillId="41" borderId="21" xfId="0" applyNumberFormat="1" applyFont="1" applyFill="1" applyBorder="1" applyAlignment="1" applyProtection="1">
      <alignment horizontal="center" vertical="center"/>
      <protection locked="0"/>
    </xf>
    <xf numFmtId="0" fontId="46" fillId="41"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42" borderId="24" xfId="0" applyNumberFormat="1" applyFont="1" applyFill="1" applyBorder="1" applyAlignment="1" applyProtection="1">
      <alignment horizontal="center" vertical="center"/>
      <protection locked="0"/>
    </xf>
    <xf numFmtId="0" fontId="46" fillId="42"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7" fillId="42" borderId="24" xfId="0" applyNumberFormat="1" applyFont="1" applyFill="1" applyBorder="1" applyAlignment="1" applyProtection="1">
      <alignment horizontal="center" vertical="center"/>
      <protection locked="0"/>
    </xf>
    <xf numFmtId="0" fontId="47" fillId="42" borderId="25" xfId="0" applyFont="1" applyFill="1" applyBorder="1" applyAlignment="1" applyProtection="1">
      <alignment horizontal="center" vertical="center"/>
      <protection locked="0"/>
    </xf>
    <xf numFmtId="49" fontId="4" fillId="20" borderId="2" xfId="0" applyNumberFormat="1" applyFont="1" applyFill="1" applyBorder="1" applyAlignment="1">
      <alignment horizontal="center" vertical="center" wrapText="1"/>
    </xf>
    <xf numFmtId="4" fontId="47" fillId="42" borderId="27" xfId="0" applyNumberFormat="1" applyFont="1" applyFill="1" applyBorder="1" applyAlignment="1" applyProtection="1">
      <alignment horizontal="center" vertical="center"/>
      <protection locked="0"/>
    </xf>
    <xf numFmtId="0" fontId="47" fillId="42" borderId="28"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7" fillId="42" borderId="21" xfId="0" applyNumberFormat="1" applyFont="1" applyFill="1" applyBorder="1" applyAlignment="1" applyProtection="1">
      <alignment horizontal="center" vertical="center"/>
      <protection locked="0"/>
    </xf>
    <xf numFmtId="0" fontId="47" fillId="42" borderId="29" xfId="0" applyFont="1" applyFill="1" applyBorder="1" applyAlignment="1" applyProtection="1">
      <alignment horizontal="center" vertical="center"/>
      <protection locked="0"/>
    </xf>
    <xf numFmtId="0" fontId="47" fillId="42" borderId="30"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 fontId="47" fillId="42" borderId="31" xfId="0" applyNumberFormat="1" applyFont="1" applyFill="1" applyBorder="1" applyAlignment="1" applyProtection="1">
      <alignment horizontal="center" vertical="center"/>
      <protection locked="0"/>
    </xf>
    <xf numFmtId="0" fontId="47" fillId="42" borderId="32" xfId="0" applyFont="1" applyFill="1" applyBorder="1" applyAlignment="1" applyProtection="1">
      <alignment horizontal="center" vertical="center"/>
      <protection locked="0"/>
    </xf>
    <xf numFmtId="49" fontId="4" fillId="45" borderId="2" xfId="0" applyNumberFormat="1" applyFont="1" applyFill="1" applyBorder="1" applyAlignment="1">
      <alignment horizontal="center" vertical="center" wrapText="1"/>
    </xf>
    <xf numFmtId="43" fontId="4" fillId="45"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tyles" Target="styles.xml"/><Relationship Id="rId37" Type="http://schemas.openxmlformats.org/officeDocument/2006/relationships/sheetMetadata" Target="metadata.xml"/><Relationship Id="rId36" Type="http://schemas.openxmlformats.org/officeDocument/2006/relationships/sharedStrings" Target="sharedStrings.xml"/><Relationship Id="rId35" Type="http://schemas.openxmlformats.org/officeDocument/2006/relationships/theme" Target="theme/theme1.xml"/><Relationship Id="rId34" Type="http://www.wps.cn/officeDocument/2021/sharedlinks" Target="sharedlinks.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7</c:v>
                </c:pt>
                <c:pt idx="1">
                  <c:v>11</c:v>
                </c:pt>
                <c:pt idx="2">
                  <c:v>17</c:v>
                </c:pt>
                <c:pt idx="3">
                  <c:v>22</c:v>
                </c:pt>
                <c:pt idx="4">
                  <c:v>20</c:v>
                </c:pt>
                <c:pt idx="5">
                  <c:v>21</c:v>
                </c:pt>
                <c:pt idx="6">
                  <c:v>21</c:v>
                </c:pt>
                <c:pt idx="7">
                  <c:v>21</c:v>
                </c:pt>
                <c:pt idx="8">
                  <c:v>21</c:v>
                </c:pt>
                <c:pt idx="9">
                  <c:v>21</c:v>
                </c:pt>
                <c:pt idx="10">
                  <c:v>20</c:v>
                </c:pt>
                <c:pt idx="11">
                  <c:v>20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7</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1</c:v>
                </c:pt>
                <c:pt idx="3">
                  <c:v>0</c:v>
                </c:pt>
                <c:pt idx="4">
                  <c:v>1</c:v>
                </c:pt>
                <c:pt idx="5">
                  <c:v>1</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16</c:v>
                </c:pt>
                <c:pt idx="1">
                  <c:v>25</c:v>
                </c:pt>
                <c:pt idx="2">
                  <c:v>31</c:v>
                </c:pt>
                <c:pt idx="3">
                  <c:v>32</c:v>
                </c:pt>
                <c:pt idx="4">
                  <c:v>30</c:v>
                </c:pt>
                <c:pt idx="5">
                  <c:v>37</c:v>
                </c:pt>
                <c:pt idx="6">
                  <c:v>21</c:v>
                </c:pt>
                <c:pt idx="7">
                  <c:v>21</c:v>
                </c:pt>
                <c:pt idx="8">
                  <c:v>21</c:v>
                </c:pt>
                <c:pt idx="9">
                  <c:v>21</c:v>
                </c:pt>
                <c:pt idx="10">
                  <c:v>20</c:v>
                </c:pt>
                <c:pt idx="11">
                  <c:v>20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0.179709108394462</c:v>
                </c:pt>
                <c:pt idx="1">
                  <c:v>0.820290891605538</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0.315133311760829</c:v>
                </c:pt>
                <c:pt idx="1">
                  <c:v>0.684866688239171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0.00115665880270823</c:v>
                </c:pt>
                <c:pt idx="1">
                  <c:v>0.998843341197292</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0.275053696999507</c:v>
                </c:pt>
                <c:pt idx="1">
                  <c:v>0.724946303000493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46</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1</c:v>
                </c:pt>
                <c:pt idx="1">
                  <c:v>0</c:v>
                </c:pt>
                <c:pt idx="2">
                  <c:v>65</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38</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24</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62.0833333333333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6144639.50971389</c:v>
                </c:pt>
                <c:pt idx="1">
                  <c:v>8219092.61214623</c:v>
                </c:pt>
                <c:pt idx="2">
                  <c:v>10293545.7145786</c:v>
                </c:pt>
                <c:pt idx="3">
                  <c:v>12367998.8170109</c:v>
                </c:pt>
                <c:pt idx="4">
                  <c:v>14442451.9194432</c:v>
                </c:pt>
                <c:pt idx="5">
                  <c:v>16516905.0218756</c:v>
                </c:pt>
                <c:pt idx="6">
                  <c:v>18591358.1243079</c:v>
                </c:pt>
                <c:pt idx="7">
                  <c:v>20665811.2267403</c:v>
                </c:pt>
                <c:pt idx="8">
                  <c:v>22740264.3291726</c:v>
                </c:pt>
                <c:pt idx="9">
                  <c:v>24814717.4316049</c:v>
                </c:pt>
                <c:pt idx="10">
                  <c:v>26889170.5340373</c:v>
                </c:pt>
                <c:pt idx="11">
                  <c:v>28963623.6364696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2489.27148530734</c:v>
                </c:pt>
                <c:pt idx="1">
                  <c:v>173.723686</c:v>
                </c:pt>
                <c:pt idx="2">
                  <c:v>92.9716981132075</c:v>
                </c:pt>
                <c:pt idx="3">
                  <c:v>0</c:v>
                </c:pt>
                <c:pt idx="4">
                  <c:v>14.649498</c:v>
                </c:pt>
                <c:pt idx="5">
                  <c:v>125.745996226415</c:v>
                </c:pt>
                <c:pt idx="6">
                  <c:v>2442.48801901314</c:v>
                </c:pt>
                <c:pt idx="7">
                  <c:v>46.7834662941931</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1289.69734077246</c:v>
                </c:pt>
                <c:pt idx="1">
                  <c:v>173.723686</c:v>
                </c:pt>
                <c:pt idx="2">
                  <c:v>59.9528301886792</c:v>
                </c:pt>
                <c:pt idx="3">
                  <c:v>0</c:v>
                </c:pt>
                <c:pt idx="4">
                  <c:v>7.324749</c:v>
                </c:pt>
                <c:pt idx="5">
                  <c:v>120.991896226415</c:v>
                </c:pt>
                <c:pt idx="6">
                  <c:v>1258.28554900657</c:v>
                </c:pt>
                <c:pt idx="7">
                  <c:v>0</c:v>
                </c:pt>
                <c:pt idx="8">
                  <c:v>31.4117917658912</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0.186224270713099</c:v>
                </c:pt>
                <c:pt idx="1">
                  <c:v>0.173432389639718</c:v>
                </c:pt>
                <c:pt idx="2">
                  <c:v>0</c:v>
                </c:pt>
                <c:pt idx="3">
                  <c:v>0</c:v>
                </c:pt>
                <c:pt idx="4">
                  <c:v>0.821582555252064</c:v>
                </c:pt>
                <c:pt idx="5">
                  <c:v>0.117497538238886</c:v>
                </c:pt>
                <c:pt idx="6">
                  <c:v>0.0666826778172665</c:v>
                </c:pt>
                <c:pt idx="7">
                  <c:v>5.17620502121264</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0.359435312691754</c:v>
                </c:pt>
                <c:pt idx="1">
                  <c:v>0.173432389639718</c:v>
                </c:pt>
                <c:pt idx="2">
                  <c:v>0</c:v>
                </c:pt>
                <c:pt idx="3">
                  <c:v>0</c:v>
                </c:pt>
                <c:pt idx="4">
                  <c:v>1.64316511050413</c:v>
                </c:pt>
                <c:pt idx="5">
                  <c:v>0.122114335429139</c:v>
                </c:pt>
                <c:pt idx="6">
                  <c:v>0.129439332568808</c:v>
                </c:pt>
                <c:pt idx="7">
                  <c:v>0</c:v>
                </c:pt>
                <c:pt idx="8">
                  <c:v>1.82492467892065</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0.056590759273837</c:v>
                </c:pt>
                <c:pt idx="1">
                  <c:v>0.241528180444727</c:v>
                </c:pt>
                <c:pt idx="2">
                  <c:v>0.319403957618957</c:v>
                </c:pt>
                <c:pt idx="3">
                  <c:v>0.577242115236822</c:v>
                </c:pt>
                <c:pt idx="4">
                  <c:v>0.603126558198663</c:v>
                </c:pt>
                <c:pt idx="5">
                  <c:v>0.60018242500722</c:v>
                </c:pt>
                <c:pt idx="6">
                  <c:v>0.595308044800916</c:v>
                </c:pt>
                <c:pt idx="7">
                  <c:v>0.588289263611816</c:v>
                </c:pt>
                <c:pt idx="8">
                  <c:v>0.566322367788306</c:v>
                </c:pt>
                <c:pt idx="9">
                  <c:v>0.570689628464384</c:v>
                </c:pt>
                <c:pt idx="10">
                  <c:v>0.552280285610693</c:v>
                </c:pt>
                <c:pt idx="11">
                  <c:v>0.570283619490571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6144639.50971389</c:v>
                </c:pt>
                <c:pt idx="1">
                  <c:v>2074453.10243234</c:v>
                </c:pt>
                <c:pt idx="2">
                  <c:v>2074453.10243234</c:v>
                </c:pt>
                <c:pt idx="3">
                  <c:v>2074453.10243234</c:v>
                </c:pt>
                <c:pt idx="4">
                  <c:v>2074453.10243234</c:v>
                </c:pt>
                <c:pt idx="5">
                  <c:v>2074453.10243234</c:v>
                </c:pt>
                <c:pt idx="6">
                  <c:v>2074453.10243234</c:v>
                </c:pt>
                <c:pt idx="7">
                  <c:v>2074453.10243234</c:v>
                </c:pt>
                <c:pt idx="8">
                  <c:v>2074453.10243234</c:v>
                </c:pt>
                <c:pt idx="9">
                  <c:v>2074453.10243234</c:v>
                </c:pt>
                <c:pt idx="10">
                  <c:v>2074453.10243234</c:v>
                </c:pt>
                <c:pt idx="11">
                  <c:v>2074453.10243234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672963.0877847</c:v>
                </c:pt>
                <c:pt idx="1">
                  <c:v>512561.91540881</c:v>
                </c:pt>
                <c:pt idx="2">
                  <c:v>512561.91540881</c:v>
                </c:pt>
                <c:pt idx="3">
                  <c:v>512561.91540881</c:v>
                </c:pt>
                <c:pt idx="4">
                  <c:v>512561.91540881</c:v>
                </c:pt>
                <c:pt idx="5">
                  <c:v>512561.91540881</c:v>
                </c:pt>
                <c:pt idx="6">
                  <c:v>512561.91540881</c:v>
                </c:pt>
                <c:pt idx="7">
                  <c:v>512561.91540881</c:v>
                </c:pt>
                <c:pt idx="8">
                  <c:v>512561.91540881</c:v>
                </c:pt>
                <c:pt idx="9">
                  <c:v>512561.91540881</c:v>
                </c:pt>
                <c:pt idx="10">
                  <c:v>512561.91540881</c:v>
                </c:pt>
                <c:pt idx="11">
                  <c:v>512561.91540881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7</c:v>
                </c:pt>
                <c:pt idx="1">
                  <c:v>11</c:v>
                </c:pt>
                <c:pt idx="2">
                  <c:v>17</c:v>
                </c:pt>
                <c:pt idx="3">
                  <c:v>22</c:v>
                </c:pt>
                <c:pt idx="4">
                  <c:v>20</c:v>
                </c:pt>
                <c:pt idx="5">
                  <c:v>21</c:v>
                </c:pt>
                <c:pt idx="6">
                  <c:v>21</c:v>
                </c:pt>
                <c:pt idx="7">
                  <c:v>21</c:v>
                </c:pt>
                <c:pt idx="8">
                  <c:v>21</c:v>
                </c:pt>
                <c:pt idx="9">
                  <c:v>21</c:v>
                </c:pt>
                <c:pt idx="10">
                  <c:v>20</c:v>
                </c:pt>
                <c:pt idx="11">
                  <c:v>20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7</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1</c:v>
                </c:pt>
                <c:pt idx="3">
                  <c:v>0</c:v>
                </c:pt>
                <c:pt idx="4">
                  <c:v>1</c:v>
                </c:pt>
                <c:pt idx="5">
                  <c:v>1</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16</c:v>
                </c:pt>
                <c:pt idx="1">
                  <c:v>25</c:v>
                </c:pt>
                <c:pt idx="2">
                  <c:v>31</c:v>
                </c:pt>
                <c:pt idx="3">
                  <c:v>32</c:v>
                </c:pt>
                <c:pt idx="4">
                  <c:v>30</c:v>
                </c:pt>
                <c:pt idx="5">
                  <c:v>37</c:v>
                </c:pt>
                <c:pt idx="6">
                  <c:v>21</c:v>
                </c:pt>
                <c:pt idx="7">
                  <c:v>21</c:v>
                </c:pt>
                <c:pt idx="8">
                  <c:v>21</c:v>
                </c:pt>
                <c:pt idx="9">
                  <c:v>21</c:v>
                </c:pt>
                <c:pt idx="10">
                  <c:v>20</c:v>
                </c:pt>
                <c:pt idx="11">
                  <c:v>20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0.179709108394462</c:v>
                </c:pt>
                <c:pt idx="1">
                  <c:v>0.820290891605538</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0.759225714496158</c:v>
                </c:pt>
                <c:pt idx="1">
                  <c:v>0.240774285503842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0.00115665880270823</c:v>
                </c:pt>
                <c:pt idx="1">
                  <c:v>0.998843341197292</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0.275053696999507</c:v>
                </c:pt>
                <c:pt idx="1">
                  <c:v>0.724946303000493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46</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1</c:v>
                </c:pt>
                <c:pt idx="1">
                  <c:v>0</c:v>
                </c:pt>
                <c:pt idx="2">
                  <c:v>65</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38</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24</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62.0833333333333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6144639.50971389</c:v>
                </c:pt>
                <c:pt idx="1">
                  <c:v>8219092.61214623</c:v>
                </c:pt>
                <c:pt idx="2">
                  <c:v>10293545.7145786</c:v>
                </c:pt>
                <c:pt idx="3">
                  <c:v>12367998.8170109</c:v>
                </c:pt>
                <c:pt idx="4">
                  <c:v>14442451.9194432</c:v>
                </c:pt>
                <c:pt idx="5">
                  <c:v>16516905.0218756</c:v>
                </c:pt>
                <c:pt idx="6">
                  <c:v>18591358.1243079</c:v>
                </c:pt>
                <c:pt idx="7">
                  <c:v>20665811.2267403</c:v>
                </c:pt>
                <c:pt idx="8">
                  <c:v>22740264.3291726</c:v>
                </c:pt>
                <c:pt idx="9">
                  <c:v>24814717.4316049</c:v>
                </c:pt>
                <c:pt idx="10">
                  <c:v>26889170.5340373</c:v>
                </c:pt>
                <c:pt idx="11">
                  <c:v>28963623.6364696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2489.27148530734</c:v>
                </c:pt>
                <c:pt idx="1">
                  <c:v>173.723686</c:v>
                </c:pt>
                <c:pt idx="2">
                  <c:v>92.9716981132075</c:v>
                </c:pt>
                <c:pt idx="3">
                  <c:v>0</c:v>
                </c:pt>
                <c:pt idx="4">
                  <c:v>14.649498</c:v>
                </c:pt>
                <c:pt idx="5">
                  <c:v>125.745996226415</c:v>
                </c:pt>
                <c:pt idx="6">
                  <c:v>2442.48801901314</c:v>
                </c:pt>
                <c:pt idx="7">
                  <c:v>46.7834662941931</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323.577266482875</c:v>
                </c:pt>
                <c:pt idx="1">
                  <c:v>173.723686</c:v>
                </c:pt>
                <c:pt idx="2">
                  <c:v>59.9528301886792</c:v>
                </c:pt>
                <c:pt idx="3">
                  <c:v>0</c:v>
                </c:pt>
                <c:pt idx="4">
                  <c:v>7.324749</c:v>
                </c:pt>
                <c:pt idx="5">
                  <c:v>120.991896226415</c:v>
                </c:pt>
                <c:pt idx="6">
                  <c:v>1258.28554900657</c:v>
                </c:pt>
                <c:pt idx="7">
                  <c:v>0</c:v>
                </c:pt>
                <c:pt idx="8">
                  <c:v>31.4117917658912</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0.186224270713099</c:v>
                </c:pt>
                <c:pt idx="1">
                  <c:v>0.173432389639718</c:v>
                </c:pt>
                <c:pt idx="2">
                  <c:v>0</c:v>
                </c:pt>
                <c:pt idx="3">
                  <c:v>0</c:v>
                </c:pt>
                <c:pt idx="4">
                  <c:v>0.821582555252064</c:v>
                </c:pt>
                <c:pt idx="5">
                  <c:v>0.117497538238886</c:v>
                </c:pt>
                <c:pt idx="6">
                  <c:v>0.0666826778172665</c:v>
                </c:pt>
                <c:pt idx="7">
                  <c:v>5.17620502121264</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1.43261846543476</c:v>
                </c:pt>
                <c:pt idx="1">
                  <c:v>0.173432389639718</c:v>
                </c:pt>
                <c:pt idx="2">
                  <c:v>0</c:v>
                </c:pt>
                <c:pt idx="3">
                  <c:v>0</c:v>
                </c:pt>
                <c:pt idx="4">
                  <c:v>1.64316511050413</c:v>
                </c:pt>
                <c:pt idx="5">
                  <c:v>0.122114335429139</c:v>
                </c:pt>
                <c:pt idx="6">
                  <c:v>0.129439332568808</c:v>
                </c:pt>
                <c:pt idx="7">
                  <c:v>0</c:v>
                </c:pt>
                <c:pt idx="8">
                  <c:v>1.82492467892065</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0.056590759273837</c:v>
                </c:pt>
                <c:pt idx="1">
                  <c:v>0.241528180444727</c:v>
                </c:pt>
                <c:pt idx="2">
                  <c:v>0.319403957618957</c:v>
                </c:pt>
                <c:pt idx="3">
                  <c:v>0.577242115236822</c:v>
                </c:pt>
                <c:pt idx="4">
                  <c:v>0.603126558198663</c:v>
                </c:pt>
                <c:pt idx="5">
                  <c:v>0.60018242500722</c:v>
                </c:pt>
                <c:pt idx="6">
                  <c:v>0.595308044800916</c:v>
                </c:pt>
                <c:pt idx="7">
                  <c:v>0.588289263611816</c:v>
                </c:pt>
                <c:pt idx="8">
                  <c:v>0.566322367788306</c:v>
                </c:pt>
                <c:pt idx="9">
                  <c:v>0.570689628464384</c:v>
                </c:pt>
                <c:pt idx="10">
                  <c:v>0.552280285610693</c:v>
                </c:pt>
                <c:pt idx="11">
                  <c:v>0.570283619490571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{0.056590759273837,0.103267932193976,0.146825716938181,0.219018368797131,0.274190054991286,0.315133311760829,0.346395650977363,0.370677153875192,0.388524651824345,0.403753223416467,0.415211829942612,0.42631849114513}</c15:sqref>
                        </c15:formulaRef>
                      </c:ext>
                    </c:extLst>
                    <c:numCache>
                      <c:formatCode>General</c:formatCode>
                      <c:ptCount val="12"/>
                      <c:pt idx="0">
                        <c:v>0.056590759273837</c:v>
                      </c:pt>
                      <c:pt idx="1">
                        <c:v>0.103267932193976</c:v>
                      </c:pt>
                      <c:pt idx="2">
                        <c:v>0.146825716938181</c:v>
                      </c:pt>
                      <c:pt idx="3">
                        <c:v>0.219018368797131</c:v>
                      </c:pt>
                      <c:pt idx="4">
                        <c:v>0.274190054991286</c:v>
                      </c:pt>
                      <c:pt idx="5">
                        <c:v>0.315133311760829</c:v>
                      </c:pt>
                      <c:pt idx="6">
                        <c:v>0.346395650977363</c:v>
                      </c:pt>
                      <c:pt idx="7">
                        <c:v>0.370677153875192</c:v>
                      </c:pt>
                      <c:pt idx="8">
                        <c:v>0.388524651824345</c:v>
                      </c:pt>
                      <c:pt idx="9">
                        <c:v>0.403753223416467</c:v>
                      </c:pt>
                      <c:pt idx="10">
                        <c:v>0.415211829942612</c:v>
                      </c:pt>
                      <c:pt idx="11">
                        <c:v>0.42631849114513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6144639.50971389</c:v>
                </c:pt>
                <c:pt idx="1">
                  <c:v>2074453.10243234</c:v>
                </c:pt>
                <c:pt idx="2">
                  <c:v>2074453.10243234</c:v>
                </c:pt>
                <c:pt idx="3">
                  <c:v>2074453.10243234</c:v>
                </c:pt>
                <c:pt idx="4">
                  <c:v>2074453.10243234</c:v>
                </c:pt>
                <c:pt idx="5">
                  <c:v>2074453.10243234</c:v>
                </c:pt>
                <c:pt idx="6">
                  <c:v>2074453.10243234</c:v>
                </c:pt>
                <c:pt idx="7">
                  <c:v>2074453.10243234</c:v>
                </c:pt>
                <c:pt idx="8">
                  <c:v>2074453.10243234</c:v>
                </c:pt>
                <c:pt idx="9">
                  <c:v>2074453.10243234</c:v>
                </c:pt>
                <c:pt idx="10">
                  <c:v>2074453.10243234</c:v>
                </c:pt>
                <c:pt idx="11">
                  <c:v>2074453.10243234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672963.0877847</c:v>
                </c:pt>
                <c:pt idx="1">
                  <c:v>512561.91540881</c:v>
                </c:pt>
                <c:pt idx="2">
                  <c:v>512561.91540881</c:v>
                </c:pt>
                <c:pt idx="3">
                  <c:v>512561.91540881</c:v>
                </c:pt>
                <c:pt idx="4">
                  <c:v>512561.91540881</c:v>
                </c:pt>
                <c:pt idx="5">
                  <c:v>512561.91540881</c:v>
                </c:pt>
                <c:pt idx="6">
                  <c:v>512561.91540881</c:v>
                </c:pt>
                <c:pt idx="7">
                  <c:v>512561.91540881</c:v>
                </c:pt>
                <c:pt idx="8">
                  <c:v>512561.91540881</c:v>
                </c:pt>
                <c:pt idx="9">
                  <c:v>512561.91540881</c:v>
                </c:pt>
                <c:pt idx="10">
                  <c:v>512561.91540881</c:v>
                </c:pt>
                <c:pt idx="11">
                  <c:v>512561.91540881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73081.2453187266</c:v>
                      </c:pt>
                      <c:pt idx="1">
                        <c:v>455234.708567129</c:v>
                      </c:pt>
                      <c:pt idx="2">
                        <c:v>1012965.99937894</c:v>
                      </c:pt>
                      <c:pt idx="3">
                        <c:v>2185746.19618657</c:v>
                      </c:pt>
                      <c:pt idx="4">
                        <c:v>3420739.87600113</c:v>
                      </c:pt>
                      <c:pt idx="5">
                        <c:v>4635627.66958272</c:v>
                      </c:pt>
                      <c:pt idx="6">
                        <c:v>5870566.29002291</c:v>
                      </c:pt>
                      <c:pt idx="7">
                        <c:v>7090944.77805008</c:v>
                      </c:pt>
                      <c:pt idx="8">
                        <c:v>8265753.97088536</c:v>
                      </c:pt>
                      <c:pt idx="9">
                        <c:v>9449622.84117926</c:v>
                      </c:pt>
                      <c:pt idx="10">
                        <c:v>10595302.3930766</c:v>
                      </c:pt>
                      <c:pt idx="11">
                        <c:v>11778329.0167951</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672963.0877847</c:v>
                      </c:pt>
                      <c:pt idx="1">
                        <c:v>1185525.00319351</c:v>
                      </c:pt>
                      <c:pt idx="2">
                        <c:v>1698086.91860232</c:v>
                      </c:pt>
                      <c:pt idx="3">
                        <c:v>2210648.83401113</c:v>
                      </c:pt>
                      <c:pt idx="4">
                        <c:v>2723210.74941994</c:v>
                      </c:pt>
                      <c:pt idx="5">
                        <c:v>3235772.66482875</c:v>
                      </c:pt>
                      <c:pt idx="6">
                        <c:v>3748334.58023756</c:v>
                      </c:pt>
                      <c:pt idx="7">
                        <c:v>4260896.49564637</c:v>
                      </c:pt>
                      <c:pt idx="8">
                        <c:v>4773458.41105518</c:v>
                      </c:pt>
                      <c:pt idx="9">
                        <c:v>5286020.32646399</c:v>
                      </c:pt>
                      <c:pt idx="10">
                        <c:v>5798582.2418728</c:v>
                      </c:pt>
                      <c:pt idx="11">
                        <c:v>6311144.15728161</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672963.0877847</c:v>
                </c:pt>
                <c:pt idx="1">
                  <c:v>512561.91540881</c:v>
                </c:pt>
                <c:pt idx="2">
                  <c:v>512561.91540881</c:v>
                </c:pt>
                <c:pt idx="3">
                  <c:v>512561.91540881</c:v>
                </c:pt>
                <c:pt idx="4">
                  <c:v>512561.91540881</c:v>
                </c:pt>
                <c:pt idx="5">
                  <c:v>512561.91540881</c:v>
                </c:pt>
                <c:pt idx="6">
                  <c:v>512561.91540881</c:v>
                </c:pt>
                <c:pt idx="7">
                  <c:v>512561.91540881</c:v>
                </c:pt>
                <c:pt idx="8">
                  <c:v>512561.91540881</c:v>
                </c:pt>
                <c:pt idx="9">
                  <c:v>512561.91540881</c:v>
                </c:pt>
                <c:pt idx="10">
                  <c:v>512561.91540881</c:v>
                </c:pt>
                <c:pt idx="11">
                  <c:v>512561.91540881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49"/>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50"/>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49" cache="切片器_二级费项2" caption="二级费项" rowHeight="225425"/>
  <slicer name="二级费项 50"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7" t="s">
        <v>0</v>
      </c>
      <c r="B1" s="447"/>
      <c r="C1" s="447" t="s">
        <v>1</v>
      </c>
      <c r="D1" s="447"/>
    </row>
    <row r="2" spans="1:4">
      <c r="A2" s="447" t="s">
        <v>2</v>
      </c>
      <c r="B2" s="447" t="s">
        <v>3</v>
      </c>
      <c r="C2" s="447" t="s">
        <v>2</v>
      </c>
      <c r="D2" s="447" t="s">
        <v>3</v>
      </c>
    </row>
    <row r="3" ht="16.5" spans="1:4">
      <c r="A3" s="448">
        <v>6400</v>
      </c>
      <c r="B3" s="449" t="s">
        <v>4</v>
      </c>
      <c r="C3" s="450"/>
      <c r="D3" s="451"/>
    </row>
    <row r="4" ht="16.5" spans="1:4">
      <c r="A4" s="452">
        <v>6401</v>
      </c>
      <c r="B4" s="453" t="s">
        <v>5</v>
      </c>
      <c r="C4" s="454"/>
      <c r="D4" s="447"/>
    </row>
    <row r="5" ht="16.5" spans="1:4">
      <c r="A5" s="452">
        <v>6401.03</v>
      </c>
      <c r="B5" s="453" t="s">
        <v>6</v>
      </c>
      <c r="C5" s="454"/>
      <c r="D5" s="447"/>
    </row>
    <row r="6" ht="16.5" spans="1:4">
      <c r="A6" s="455" t="s">
        <v>7</v>
      </c>
      <c r="B6" s="456" t="s">
        <v>8</v>
      </c>
      <c r="C6" s="457">
        <v>1.2</v>
      </c>
      <c r="D6" s="114" t="s">
        <v>9</v>
      </c>
    </row>
    <row r="7" ht="16.5" spans="1:4">
      <c r="A7" s="452" t="s">
        <v>10</v>
      </c>
      <c r="B7" s="453" t="s">
        <v>11</v>
      </c>
      <c r="C7" s="454"/>
      <c r="D7" s="447"/>
    </row>
    <row r="8" ht="16.5" spans="1:4">
      <c r="A8" s="458" t="s">
        <v>12</v>
      </c>
      <c r="B8" s="459" t="s">
        <v>13</v>
      </c>
      <c r="C8" s="460" t="s">
        <v>14</v>
      </c>
      <c r="D8" s="124" t="s">
        <v>15</v>
      </c>
    </row>
    <row r="9" ht="16.5" spans="1:4">
      <c r="A9" s="458" t="s">
        <v>16</v>
      </c>
      <c r="B9" s="459" t="s">
        <v>17</v>
      </c>
      <c r="C9" s="460" t="s">
        <v>18</v>
      </c>
      <c r="D9" s="124" t="s">
        <v>19</v>
      </c>
    </row>
    <row r="10" ht="16.5" spans="1:4">
      <c r="A10" s="461" t="s">
        <v>20</v>
      </c>
      <c r="B10" s="462" t="s">
        <v>21</v>
      </c>
      <c r="C10" s="463" t="s">
        <v>22</v>
      </c>
      <c r="D10" s="464" t="s">
        <v>23</v>
      </c>
    </row>
    <row r="11" ht="16.5" spans="1:4">
      <c r="A11" s="465"/>
      <c r="B11" s="466"/>
      <c r="C11" s="463" t="s">
        <v>24</v>
      </c>
      <c r="D11" s="464" t="s">
        <v>25</v>
      </c>
    </row>
    <row r="12" ht="16.5" spans="1:4">
      <c r="A12" s="458" t="s">
        <v>26</v>
      </c>
      <c r="B12" s="459" t="s">
        <v>27</v>
      </c>
      <c r="C12" s="463" t="s">
        <v>28</v>
      </c>
      <c r="D12" s="464" t="s">
        <v>29</v>
      </c>
    </row>
    <row r="13" ht="16.5" spans="1:4">
      <c r="A13" s="458" t="s">
        <v>30</v>
      </c>
      <c r="B13" s="467" t="s">
        <v>31</v>
      </c>
      <c r="C13" s="468" t="s">
        <v>32</v>
      </c>
      <c r="D13" s="469" t="s">
        <v>33</v>
      </c>
    </row>
    <row r="14" ht="16.5" spans="1:4">
      <c r="A14" s="461" t="s">
        <v>34</v>
      </c>
      <c r="B14" s="462" t="s">
        <v>35</v>
      </c>
      <c r="C14" s="468" t="s">
        <v>36</v>
      </c>
      <c r="D14" s="469" t="s">
        <v>37</v>
      </c>
    </row>
    <row r="15" ht="16.5" spans="1:4">
      <c r="A15" s="470"/>
      <c r="B15" s="471"/>
      <c r="C15" s="468" t="s">
        <v>38</v>
      </c>
      <c r="D15" s="469" t="s">
        <v>39</v>
      </c>
    </row>
    <row r="16" ht="16.5" spans="1:4">
      <c r="A16" s="470"/>
      <c r="B16" s="471"/>
      <c r="C16" s="468" t="s">
        <v>40</v>
      </c>
      <c r="D16" s="469" t="s">
        <v>41</v>
      </c>
    </row>
    <row r="17" ht="16.5" spans="1:4">
      <c r="A17" s="465"/>
      <c r="B17" s="466"/>
      <c r="C17" s="468" t="s">
        <v>42</v>
      </c>
      <c r="D17" s="469" t="s">
        <v>43</v>
      </c>
    </row>
    <row r="18" ht="16.5" spans="1:4">
      <c r="A18" s="458" t="s">
        <v>44</v>
      </c>
      <c r="B18" s="459" t="s">
        <v>45</v>
      </c>
      <c r="C18" s="468" t="s">
        <v>46</v>
      </c>
      <c r="D18" s="469" t="s">
        <v>47</v>
      </c>
    </row>
    <row r="19" ht="33" spans="1:4">
      <c r="A19" s="461" t="s">
        <v>48</v>
      </c>
      <c r="B19" s="462" t="s">
        <v>49</v>
      </c>
      <c r="C19" s="472" t="s">
        <v>50</v>
      </c>
      <c r="D19" s="473" t="s">
        <v>51</v>
      </c>
    </row>
    <row r="20" ht="33" spans="1:4">
      <c r="A20" s="465"/>
      <c r="B20" s="466"/>
      <c r="C20" s="472" t="s">
        <v>52</v>
      </c>
      <c r="D20" s="473" t="s">
        <v>53</v>
      </c>
    </row>
    <row r="21" ht="16.5" spans="1:4">
      <c r="A21" s="461" t="s">
        <v>54</v>
      </c>
      <c r="B21" s="462" t="s">
        <v>55</v>
      </c>
      <c r="C21" s="472" t="s">
        <v>56</v>
      </c>
      <c r="D21" s="473" t="s">
        <v>57</v>
      </c>
    </row>
    <row r="22" ht="16.5" spans="1:4">
      <c r="A22" s="470"/>
      <c r="B22" s="471"/>
      <c r="C22" s="472" t="s">
        <v>58</v>
      </c>
      <c r="D22" s="473" t="s">
        <v>59</v>
      </c>
    </row>
    <row r="23" ht="16.5" spans="1:4">
      <c r="A23" s="465"/>
      <c r="B23" s="466"/>
      <c r="C23" s="472" t="s">
        <v>60</v>
      </c>
      <c r="D23" s="473" t="s">
        <v>61</v>
      </c>
    </row>
    <row r="24" ht="16.5" spans="1:4">
      <c r="A24" s="458" t="s">
        <v>62</v>
      </c>
      <c r="B24" s="459" t="s">
        <v>63</v>
      </c>
      <c r="C24" s="457">
        <v>1.3</v>
      </c>
      <c r="D24" s="114" t="s">
        <v>64</v>
      </c>
    </row>
    <row r="25" ht="16.5" spans="1:4">
      <c r="A25" s="461" t="s">
        <v>65</v>
      </c>
      <c r="B25" s="462" t="s">
        <v>66</v>
      </c>
      <c r="C25" s="463" t="s">
        <v>67</v>
      </c>
      <c r="D25" s="464" t="s">
        <v>68</v>
      </c>
    </row>
    <row r="26" ht="16.5" spans="1:4">
      <c r="A26" s="470"/>
      <c r="B26" s="471"/>
      <c r="C26" s="463" t="s">
        <v>69</v>
      </c>
      <c r="D26" s="464" t="s">
        <v>68</v>
      </c>
    </row>
    <row r="27" ht="16.5" spans="1:4">
      <c r="A27" s="470"/>
      <c r="B27" s="471"/>
      <c r="C27" s="463" t="s">
        <v>70</v>
      </c>
      <c r="D27" s="464" t="s">
        <v>68</v>
      </c>
    </row>
    <row r="28" ht="16.5" spans="1:4">
      <c r="A28" s="470"/>
      <c r="B28" s="471"/>
      <c r="C28" s="463" t="s">
        <v>71</v>
      </c>
      <c r="D28" s="464" t="s">
        <v>68</v>
      </c>
    </row>
    <row r="29" ht="16.5" spans="1:4">
      <c r="A29" s="470"/>
      <c r="B29" s="471"/>
      <c r="C29" s="463" t="s">
        <v>72</v>
      </c>
      <c r="D29" s="464" t="s">
        <v>68</v>
      </c>
    </row>
    <row r="30" ht="16.5" spans="1:4">
      <c r="A30" s="470"/>
      <c r="B30" s="471"/>
      <c r="C30" s="463" t="s">
        <v>73</v>
      </c>
      <c r="D30" s="464" t="s">
        <v>68</v>
      </c>
    </row>
    <row r="31" ht="16.5" spans="1:4">
      <c r="A31" s="470"/>
      <c r="B31" s="471"/>
      <c r="C31" s="463" t="s">
        <v>74</v>
      </c>
      <c r="D31" s="464" t="s">
        <v>68</v>
      </c>
    </row>
    <row r="32" ht="16.5" spans="1:4">
      <c r="A32" s="465"/>
      <c r="B32" s="466"/>
      <c r="C32" s="463" t="s">
        <v>75</v>
      </c>
      <c r="D32" s="464" t="s">
        <v>68</v>
      </c>
    </row>
    <row r="33" ht="16.5" spans="1:4">
      <c r="A33" s="455" t="s">
        <v>76</v>
      </c>
      <c r="B33" s="456" t="s">
        <v>77</v>
      </c>
      <c r="C33" s="13" t="s">
        <v>78</v>
      </c>
      <c r="D33" s="14" t="s">
        <v>79</v>
      </c>
    </row>
    <row r="34" ht="16.5" spans="1:2">
      <c r="A34" s="452" t="s">
        <v>80</v>
      </c>
      <c r="B34" s="453" t="s">
        <v>81</v>
      </c>
    </row>
    <row r="35" ht="16.5" spans="1:4">
      <c r="A35" s="458" t="s">
        <v>82</v>
      </c>
      <c r="B35" s="459" t="s">
        <v>83</v>
      </c>
      <c r="C35" s="13" t="s">
        <v>84</v>
      </c>
      <c r="D35" s="14" t="s">
        <v>85</v>
      </c>
    </row>
    <row r="36" ht="16.5" spans="1:6">
      <c r="A36" s="458" t="s">
        <v>86</v>
      </c>
      <c r="B36" s="459" t="s">
        <v>87</v>
      </c>
      <c r="C36" s="13" t="s">
        <v>88</v>
      </c>
      <c r="D36" s="14" t="s">
        <v>89</v>
      </c>
      <c r="F36" s="1"/>
    </row>
    <row r="37" ht="16.5" spans="1:6">
      <c r="A37" s="458" t="s">
        <v>90</v>
      </c>
      <c r="B37" s="459" t="s">
        <v>91</v>
      </c>
      <c r="C37" s="13" t="s">
        <v>92</v>
      </c>
      <c r="D37" s="14" t="s">
        <v>93</v>
      </c>
      <c r="F37" s="1"/>
    </row>
    <row r="38" ht="16.5" spans="1:4">
      <c r="A38" s="458" t="s">
        <v>94</v>
      </c>
      <c r="B38" s="459" t="s">
        <v>95</v>
      </c>
      <c r="C38" s="13" t="s">
        <v>96</v>
      </c>
      <c r="D38" s="14" t="s">
        <v>97</v>
      </c>
    </row>
    <row r="39" ht="16.5" spans="1:4">
      <c r="A39" s="461" t="s">
        <v>98</v>
      </c>
      <c r="B39" s="462" t="s">
        <v>99</v>
      </c>
      <c r="C39" s="13" t="s">
        <v>100</v>
      </c>
      <c r="D39" s="14" t="s">
        <v>101</v>
      </c>
    </row>
    <row r="40" ht="16.5" spans="1:4">
      <c r="A40" s="465"/>
      <c r="B40" s="466"/>
      <c r="C40" s="13" t="s">
        <v>102</v>
      </c>
      <c r="D40" s="14" t="s">
        <v>103</v>
      </c>
    </row>
    <row r="41" ht="16.5" spans="1:2">
      <c r="A41" s="452" t="s">
        <v>104</v>
      </c>
      <c r="B41" s="453" t="s">
        <v>105</v>
      </c>
    </row>
    <row r="42" ht="16.5" spans="1:4">
      <c r="A42" s="458" t="s">
        <v>106</v>
      </c>
      <c r="B42" s="459" t="s">
        <v>107</v>
      </c>
      <c r="C42" s="463" t="s">
        <v>108</v>
      </c>
      <c r="D42" s="464" t="s">
        <v>109</v>
      </c>
    </row>
    <row r="43" ht="16.5" spans="1:4">
      <c r="A43" s="458" t="s">
        <v>110</v>
      </c>
      <c r="B43" s="459" t="s">
        <v>111</v>
      </c>
      <c r="C43" s="463" t="s">
        <v>112</v>
      </c>
      <c r="D43" s="464" t="s">
        <v>109</v>
      </c>
    </row>
    <row r="44" ht="16.5" spans="1:4">
      <c r="A44" s="458" t="s">
        <v>113</v>
      </c>
      <c r="B44" s="459" t="s">
        <v>114</v>
      </c>
      <c r="C44" s="463" t="s">
        <v>115</v>
      </c>
      <c r="D44" s="464" t="s">
        <v>109</v>
      </c>
    </row>
    <row r="45" ht="16.5" spans="1:4">
      <c r="A45" s="458" t="s">
        <v>116</v>
      </c>
      <c r="B45" s="459" t="s">
        <v>117</v>
      </c>
      <c r="C45" s="463" t="s">
        <v>118</v>
      </c>
      <c r="D45" s="464" t="s">
        <v>109</v>
      </c>
    </row>
    <row r="46" ht="16.5" spans="1:4">
      <c r="A46" s="458" t="s">
        <v>119</v>
      </c>
      <c r="B46" s="459" t="s">
        <v>120</v>
      </c>
      <c r="C46" s="463" t="s">
        <v>121</v>
      </c>
      <c r="D46" s="464" t="s">
        <v>109</v>
      </c>
    </row>
    <row r="47" ht="16.5" spans="1:4">
      <c r="A47" s="458" t="s">
        <v>122</v>
      </c>
      <c r="B47" s="459" t="s">
        <v>123</v>
      </c>
      <c r="C47" s="463" t="s">
        <v>124</v>
      </c>
      <c r="D47" s="464" t="s">
        <v>109</v>
      </c>
    </row>
    <row r="48" ht="16.5" spans="1:4">
      <c r="A48" s="458" t="s">
        <v>125</v>
      </c>
      <c r="B48" s="459" t="s">
        <v>126</v>
      </c>
      <c r="C48" s="463" t="s">
        <v>127</v>
      </c>
      <c r="D48" s="464" t="s">
        <v>109</v>
      </c>
    </row>
    <row r="49" ht="16.5" spans="1:4">
      <c r="A49" s="458" t="s">
        <v>128</v>
      </c>
      <c r="B49" s="459" t="s">
        <v>129</v>
      </c>
      <c r="C49" s="463" t="s">
        <v>130</v>
      </c>
      <c r="D49" s="464" t="s">
        <v>109</v>
      </c>
    </row>
    <row r="50" ht="16.5" spans="1:2">
      <c r="A50" s="452" t="s">
        <v>131</v>
      </c>
      <c r="B50" s="453" t="s">
        <v>132</v>
      </c>
    </row>
    <row r="51" ht="16.5" spans="1:4">
      <c r="A51" s="461" t="s">
        <v>133</v>
      </c>
      <c r="B51" s="462" t="s">
        <v>134</v>
      </c>
      <c r="C51" s="13" t="s">
        <v>135</v>
      </c>
      <c r="D51" s="474" t="s">
        <v>136</v>
      </c>
    </row>
    <row r="52" ht="16.5" spans="1:4">
      <c r="A52" s="465"/>
      <c r="B52" s="466"/>
      <c r="C52" s="13" t="s">
        <v>137</v>
      </c>
      <c r="D52" s="14" t="s">
        <v>138</v>
      </c>
    </row>
    <row r="53" ht="16.5" spans="1:4">
      <c r="A53" s="461" t="s">
        <v>139</v>
      </c>
      <c r="B53" s="462" t="s">
        <v>140</v>
      </c>
      <c r="C53" s="13" t="s">
        <v>141</v>
      </c>
      <c r="D53" s="14" t="s">
        <v>142</v>
      </c>
    </row>
    <row r="54" ht="16.5" spans="1:4">
      <c r="A54" s="465"/>
      <c r="B54" s="466"/>
      <c r="C54" s="13" t="s">
        <v>143</v>
      </c>
      <c r="D54" s="474" t="s">
        <v>144</v>
      </c>
    </row>
    <row r="55" ht="16.5" spans="1:4">
      <c r="A55" s="458" t="s">
        <v>145</v>
      </c>
      <c r="B55" s="459" t="s">
        <v>146</v>
      </c>
      <c r="C55" s="13" t="s">
        <v>147</v>
      </c>
      <c r="D55" s="14" t="s">
        <v>148</v>
      </c>
    </row>
    <row r="56" ht="16.5" spans="1:2">
      <c r="A56" s="452" t="s">
        <v>149</v>
      </c>
      <c r="B56" s="453" t="s">
        <v>150</v>
      </c>
    </row>
    <row r="57" ht="16.5" spans="1:4">
      <c r="A57" s="458" t="s">
        <v>151</v>
      </c>
      <c r="B57" s="459" t="s">
        <v>152</v>
      </c>
      <c r="C57" s="13" t="s">
        <v>153</v>
      </c>
      <c r="D57" s="14" t="s">
        <v>154</v>
      </c>
    </row>
    <row r="58" ht="16.5" spans="1:4">
      <c r="A58" s="458" t="s">
        <v>155</v>
      </c>
      <c r="B58" s="459" t="s">
        <v>156</v>
      </c>
      <c r="C58" s="13" t="s">
        <v>157</v>
      </c>
      <c r="D58" s="14" t="s">
        <v>158</v>
      </c>
    </row>
    <row r="59" ht="16.5" spans="1:2">
      <c r="A59" s="458" t="s">
        <v>159</v>
      </c>
      <c r="B59" s="459" t="s">
        <v>160</v>
      </c>
    </row>
    <row r="60" ht="16.5" spans="1:2">
      <c r="A60" s="458" t="s">
        <v>161</v>
      </c>
      <c r="B60" s="459" t="s">
        <v>162</v>
      </c>
    </row>
    <row r="61" ht="16.5" spans="1:2">
      <c r="A61" s="458" t="s">
        <v>163</v>
      </c>
      <c r="B61" s="459" t="s">
        <v>164</v>
      </c>
    </row>
    <row r="62" ht="16.5" spans="1:2">
      <c r="A62" s="458" t="s">
        <v>165</v>
      </c>
      <c r="B62" s="459" t="s">
        <v>166</v>
      </c>
    </row>
    <row r="63" ht="16.5" spans="1:2">
      <c r="A63" s="458" t="s">
        <v>167</v>
      </c>
      <c r="B63" s="459"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5" activePane="bottomLeft" state="frozen"/>
      <selection/>
      <selection pane="bottomLeft" activeCell="L11" sqref="L11"/>
    </sheetView>
  </sheetViews>
  <sheetFormatPr defaultColWidth="9" defaultRowHeight="15"/>
  <cols>
    <col min="1" max="1" width="1.5" style="339" customWidth="1"/>
    <col min="2" max="2" width="11.875" style="340" customWidth="1"/>
    <col min="3" max="3" width="13.7583333333333" style="340" customWidth="1"/>
    <col min="4" max="4" width="12.625" style="340" customWidth="1"/>
    <col min="5" max="5" width="10.7583333333333" style="340" customWidth="1"/>
    <col min="6" max="13" width="12.625" style="340" customWidth="1"/>
    <col min="14" max="14" width="9.5" style="338" customWidth="1"/>
    <col min="15" max="15" width="17.625" style="338" customWidth="1"/>
    <col min="16" max="20" width="17.625" style="340" customWidth="1"/>
    <col min="21" max="21" width="1.5" style="340" customWidth="1"/>
    <col min="22" max="16384" width="9" style="340"/>
  </cols>
  <sheetData>
    <row r="1" s="335" customFormat="1" ht="8.1" customHeight="1" spans="1:33">
      <c r="A1" s="339"/>
      <c r="B1" s="341"/>
      <c r="C1" s="342"/>
      <c r="D1" s="342"/>
      <c r="E1" s="342"/>
      <c r="F1" s="342"/>
      <c r="G1" s="342"/>
      <c r="H1" s="342"/>
      <c r="I1" s="341"/>
      <c r="J1" s="342"/>
      <c r="K1" s="341"/>
      <c r="L1" s="342"/>
      <c r="M1" s="383"/>
      <c r="N1" s="372"/>
      <c r="O1" s="372"/>
      <c r="P1" s="339"/>
      <c r="Q1" s="339"/>
      <c r="R1" s="339"/>
      <c r="S1" s="339"/>
      <c r="T1" s="339"/>
      <c r="U1" s="339"/>
      <c r="V1" s="339"/>
      <c r="W1" s="339"/>
      <c r="X1" s="339"/>
      <c r="Y1" s="339"/>
      <c r="Z1" s="339"/>
      <c r="AA1" s="339"/>
      <c r="AB1" s="339"/>
      <c r="AC1" s="339"/>
      <c r="AD1" s="339"/>
      <c r="AE1" s="339"/>
      <c r="AF1" s="339"/>
      <c r="AG1" s="339"/>
    </row>
    <row r="2" ht="51" customHeight="1" spans="2:20">
      <c r="B2" s="343" t="s">
        <v>169</v>
      </c>
      <c r="C2" s="343"/>
      <c r="D2" s="344"/>
      <c r="E2" s="344"/>
      <c r="F2" s="344"/>
      <c r="G2" s="344"/>
      <c r="H2" s="344"/>
      <c r="I2" s="344"/>
      <c r="J2" s="344"/>
      <c r="K2" s="344"/>
      <c r="L2" s="344"/>
      <c r="M2" s="344"/>
      <c r="N2" s="344"/>
      <c r="O2" s="343"/>
      <c r="P2" s="343"/>
      <c r="Q2" s="343"/>
      <c r="R2" s="343"/>
      <c r="S2" s="343"/>
      <c r="T2" s="343"/>
    </row>
    <row r="3" s="336" customFormat="1" ht="47.1" customHeight="1" spans="1:29">
      <c r="A3" s="345"/>
      <c r="B3" s="346" t="s">
        <v>170</v>
      </c>
      <c r="C3" s="346"/>
      <c r="D3" s="347" t="str">
        <f>'1-1 项目基础信息'!D8</f>
        <v>深圳区域公司深圳中海油大厦物业管理服务中心</v>
      </c>
      <c r="E3" s="347"/>
      <c r="F3" s="347"/>
      <c r="G3" s="347"/>
      <c r="H3" s="347"/>
      <c r="I3" s="346" t="s">
        <v>171</v>
      </c>
      <c r="J3" s="347">
        <v>2025</v>
      </c>
      <c r="K3" s="384" t="s">
        <v>172</v>
      </c>
      <c r="L3" s="385">
        <v>6</v>
      </c>
      <c r="M3" s="386" t="s">
        <v>173</v>
      </c>
      <c r="N3" s="387"/>
      <c r="O3" s="384" t="s">
        <v>174</v>
      </c>
      <c r="P3" s="388"/>
      <c r="Q3" s="388"/>
      <c r="R3" s="388"/>
      <c r="S3" s="388"/>
      <c r="T3" s="428"/>
      <c r="AC3" s="446"/>
    </row>
    <row r="4" s="337" customFormat="1" ht="74.1" customHeight="1" spans="1:33">
      <c r="A4" s="348"/>
      <c r="B4" s="349" t="s">
        <v>175</v>
      </c>
      <c r="C4" s="349"/>
      <c r="D4" s="350">
        <f>'2 过程管理表单'!H4/10000</f>
        <v>2896.36236364696</v>
      </c>
      <c r="E4" s="350"/>
      <c r="F4" s="349" t="s">
        <v>176</v>
      </c>
      <c r="G4" s="351"/>
      <c r="H4" s="352">
        <f>L3/12</f>
        <v>0.5</v>
      </c>
      <c r="I4" s="352"/>
      <c r="J4" s="389">
        <f t="shared" ref="J4:J9" si="0">H4</f>
        <v>0.5</v>
      </c>
      <c r="K4" s="390">
        <f t="shared" ref="K4:K9" si="1">1-J4</f>
        <v>0.5</v>
      </c>
      <c r="L4" s="391"/>
      <c r="M4" s="392"/>
      <c r="N4" s="393"/>
      <c r="O4" s="394" t="s">
        <v>177</v>
      </c>
      <c r="P4" s="395">
        <f>SUM(P6:P10)</f>
        <v>171.083333333333</v>
      </c>
      <c r="Q4" s="429" t="s">
        <v>178</v>
      </c>
      <c r="R4" s="430">
        <f>SUM(Q6:Q10)</f>
        <v>20</v>
      </c>
      <c r="S4" s="429" t="s">
        <v>179</v>
      </c>
      <c r="T4" s="431">
        <f>SUM(R6:R10)</f>
        <v>86</v>
      </c>
      <c r="U4" s="432"/>
      <c r="V4" s="432"/>
      <c r="W4" s="432"/>
      <c r="X4" s="432"/>
      <c r="Y4" s="432"/>
      <c r="Z4" s="432"/>
      <c r="AA4" s="432"/>
      <c r="AB4" s="432"/>
      <c r="AC4" s="432"/>
      <c r="AD4" s="432"/>
      <c r="AE4" s="432"/>
      <c r="AF4" s="432"/>
      <c r="AG4" s="432"/>
    </row>
    <row r="5" s="337" customFormat="1" ht="74.1" customHeight="1" spans="1:33">
      <c r="A5" s="348"/>
      <c r="B5" s="349" t="s">
        <v>180</v>
      </c>
      <c r="C5" s="349"/>
      <c r="D5" s="350">
        <f>INDEX('4主要费项费项月累成本使用情况'!C38:N38,MATCH($L$3&amp;"月",表3_3[[#Headers],[1月]:[12月]],0))/10000</f>
        <v>1651.69050218756</v>
      </c>
      <c r="E5" s="350"/>
      <c r="F5" s="349" t="s">
        <v>181</v>
      </c>
      <c r="G5" s="351"/>
      <c r="H5" s="352">
        <f>D6/D4</f>
        <v>0.179709108394462</v>
      </c>
      <c r="I5" s="352"/>
      <c r="J5" s="396">
        <f t="shared" si="0"/>
        <v>0.179709108394462</v>
      </c>
      <c r="K5" s="397">
        <f t="shared" si="1"/>
        <v>0.820290891605538</v>
      </c>
      <c r="L5" s="391"/>
      <c r="M5" s="392"/>
      <c r="N5" s="393"/>
      <c r="O5" s="398"/>
      <c r="P5" s="399" t="s">
        <v>182</v>
      </c>
      <c r="Q5" s="399" t="s">
        <v>183</v>
      </c>
      <c r="R5" s="399" t="s">
        <v>184</v>
      </c>
      <c r="S5" s="433"/>
      <c r="T5" s="407"/>
      <c r="U5" s="432"/>
      <c r="Y5" s="432"/>
      <c r="Z5" s="432"/>
      <c r="AA5" s="432"/>
      <c r="AB5" s="432"/>
      <c r="AC5" s="432"/>
      <c r="AD5" s="432"/>
      <c r="AE5" s="432"/>
      <c r="AF5" s="432"/>
      <c r="AG5" s="432"/>
    </row>
    <row r="6" s="337" customFormat="1" ht="74.1" customHeight="1" spans="1:33">
      <c r="A6" s="348"/>
      <c r="B6" s="349" t="s">
        <v>185</v>
      </c>
      <c r="C6" s="349"/>
      <c r="D6" s="353">
        <f>INDEX('4主要费项费项月累成本使用情况'!C39:N39,MATCH($L$3&amp;"月",表3_3[[#Headers],[1月]:[12月]],0))/10000</f>
        <v>520.502697958272</v>
      </c>
      <c r="E6" s="353"/>
      <c r="F6" s="349" t="s">
        <v>186</v>
      </c>
      <c r="G6" s="351"/>
      <c r="H6" s="352">
        <f>D6/D5</f>
        <v>0.315133311760829</v>
      </c>
      <c r="I6" s="352"/>
      <c r="J6" s="400">
        <f t="shared" si="0"/>
        <v>0.315133311760829</v>
      </c>
      <c r="K6" s="401">
        <f t="shared" si="1"/>
        <v>0.684866688239171</v>
      </c>
      <c r="L6" s="402"/>
      <c r="M6" s="403"/>
      <c r="N6" s="393"/>
      <c r="O6" s="373" t="s">
        <v>187</v>
      </c>
      <c r="P6" s="404">
        <f>'1-2 人员岗位信息'!D7</f>
        <v>46</v>
      </c>
      <c r="Q6" s="404">
        <f>'1-2 人员岗位信息'!D8</f>
        <v>0</v>
      </c>
      <c r="R6" s="404">
        <f>'1-2 人员岗位信息'!D9</f>
        <v>0</v>
      </c>
      <c r="S6" s="404"/>
      <c r="T6" s="392"/>
      <c r="U6" s="432"/>
      <c r="Y6" s="432"/>
      <c r="Z6" s="432"/>
      <c r="AA6" s="432"/>
      <c r="AB6" s="432"/>
      <c r="AC6" s="432"/>
      <c r="AD6" s="432"/>
      <c r="AE6" s="432"/>
      <c r="AF6" s="432"/>
      <c r="AG6" s="432"/>
    </row>
    <row r="7" s="337" customFormat="1" ht="74.1" customHeight="1" spans="1:33">
      <c r="A7" s="348"/>
      <c r="B7" s="349" t="s">
        <v>188</v>
      </c>
      <c r="C7" s="354"/>
      <c r="D7" s="355">
        <f>INDEX('4主要费项费项月累成本使用情况'!C48:N48,MATCH($L$3&amp;"月",表3_3[[#Headers],[1月]:[12月]],0))</f>
        <v>1</v>
      </c>
      <c r="E7" s="356" t="s">
        <v>189</v>
      </c>
      <c r="F7" s="357" t="s">
        <v>190</v>
      </c>
      <c r="G7" s="349"/>
      <c r="H7" s="358">
        <f>IFERROR(INDEX(自有人员计算表!C35:N35,MATCH($L$3&amp;"月",自有人员计算表!C1:N1,0))/自有人员计算表!N37,"无目标值")</f>
        <v>0.00115665880270823</v>
      </c>
      <c r="I7" s="405"/>
      <c r="J7" s="389">
        <f t="shared" si="0"/>
        <v>0.00115665880270823</v>
      </c>
      <c r="K7" s="390">
        <f t="shared" si="1"/>
        <v>0.998843341197292</v>
      </c>
      <c r="L7" s="406"/>
      <c r="M7" s="407"/>
      <c r="N7" s="393"/>
      <c r="O7" s="373" t="s">
        <v>191</v>
      </c>
      <c r="P7" s="404">
        <f>'1-2 人员岗位信息'!D71</f>
        <v>1</v>
      </c>
      <c r="Q7" s="404">
        <f>'1-2 人员岗位信息'!D72</f>
        <v>0</v>
      </c>
      <c r="R7" s="404">
        <f>'1-2 人员岗位信息'!D73</f>
        <v>65</v>
      </c>
      <c r="S7" s="404"/>
      <c r="T7" s="434"/>
      <c r="U7" s="432"/>
      <c r="Y7" s="432"/>
      <c r="Z7" s="432"/>
      <c r="AA7" s="432"/>
      <c r="AB7" s="432"/>
      <c r="AC7" s="432"/>
      <c r="AD7" s="432"/>
      <c r="AE7" s="432"/>
      <c r="AF7" s="432"/>
      <c r="AG7" s="432"/>
    </row>
    <row r="8" s="337" customFormat="1" ht="74.1" customHeight="1" spans="1:33">
      <c r="A8" s="348"/>
      <c r="B8" s="349" t="s">
        <v>192</v>
      </c>
      <c r="C8" s="354"/>
      <c r="D8" s="355">
        <f>INDEX(三级费项月累表格!C195:N195,MATCH($L$3&amp;"月",表3_3[[#Headers],[1月]:[12月]],0))</f>
        <v>44</v>
      </c>
      <c r="E8" s="359" t="s">
        <v>193</v>
      </c>
      <c r="F8" s="357" t="s">
        <v>194</v>
      </c>
      <c r="G8" s="349"/>
      <c r="H8" s="360" t="str">
        <f>IFERROR(INDEX(劳务派遣统计表!C35:N35,MATCH($L$3&amp;"月",劳务派遣统计表!C1:N1,0))/劳务派遣统计表!N37,"无目标值")</f>
        <v>无目标值</v>
      </c>
      <c r="I8" s="408"/>
      <c r="J8" s="396" t="str">
        <f t="shared" si="0"/>
        <v>无目标值</v>
      </c>
      <c r="K8" s="397" t="e">
        <f t="shared" si="1"/>
        <v>#VALUE!</v>
      </c>
      <c r="L8" s="391"/>
      <c r="M8" s="392"/>
      <c r="N8" s="393"/>
      <c r="O8" s="373" t="s">
        <v>195</v>
      </c>
      <c r="P8" s="409">
        <f>'1-2 人员岗位信息'!D115</f>
        <v>38</v>
      </c>
      <c r="Q8" s="404">
        <f>'1-2 人员岗位信息'!D116</f>
        <v>0</v>
      </c>
      <c r="R8" s="404">
        <f>'1-2 人员岗位信息'!D117</f>
        <v>0</v>
      </c>
      <c r="S8" s="411"/>
      <c r="T8" s="392"/>
      <c r="U8" s="432"/>
      <c r="V8" s="432"/>
      <c r="W8" s="432"/>
      <c r="X8" s="432"/>
      <c r="Y8" s="432"/>
      <c r="Z8" s="432"/>
      <c r="AA8" s="432"/>
      <c r="AB8" s="432"/>
      <c r="AC8" s="432"/>
      <c r="AD8" s="432"/>
      <c r="AE8" s="432"/>
      <c r="AF8" s="432"/>
      <c r="AG8" s="432"/>
    </row>
    <row r="9" s="337" customFormat="1" ht="74.1" customHeight="1" spans="1:33">
      <c r="A9" s="348"/>
      <c r="B9" s="349" t="s">
        <v>196</v>
      </c>
      <c r="C9" s="354"/>
      <c r="D9" s="361">
        <v>35</v>
      </c>
      <c r="E9" s="362" t="s">
        <v>197</v>
      </c>
      <c r="F9" s="357" t="s">
        <v>198</v>
      </c>
      <c r="G9" s="351"/>
      <c r="H9" s="363">
        <f>IFERROR(INDEX(劳务外包表!C47:N47,MATCH($L$3&amp;"月",劳务外包表!C1:N1,0))/劳务外包表!N49,"无目标值")</f>
        <v>0.275053696999507</v>
      </c>
      <c r="I9" s="410"/>
      <c r="J9" s="400">
        <f t="shared" si="0"/>
        <v>0.275053696999507</v>
      </c>
      <c r="K9" s="401">
        <f t="shared" si="1"/>
        <v>0.724946303000493</v>
      </c>
      <c r="L9" s="402"/>
      <c r="M9" s="403"/>
      <c r="N9" s="393"/>
      <c r="O9" s="373" t="s">
        <v>199</v>
      </c>
      <c r="P9" s="411">
        <f>'1-2 人员岗位信息'!D155</f>
        <v>24</v>
      </c>
      <c r="Q9" s="411">
        <f>'1-2 人员岗位信息'!D156</f>
        <v>0</v>
      </c>
      <c r="R9" s="411">
        <f>'1-2 人员岗位信息'!D157</f>
        <v>0</v>
      </c>
      <c r="S9" s="404"/>
      <c r="T9" s="434"/>
      <c r="U9" s="432"/>
      <c r="V9" s="432"/>
      <c r="W9" s="432"/>
      <c r="X9" s="432"/>
      <c r="Y9" s="432"/>
      <c r="Z9" s="432"/>
      <c r="AA9" s="432"/>
      <c r="AB9" s="432"/>
      <c r="AC9" s="432"/>
      <c r="AD9" s="432"/>
      <c r="AE9" s="432"/>
      <c r="AF9" s="432"/>
      <c r="AG9" s="432"/>
    </row>
    <row r="10" s="337" customFormat="1" ht="74.1" customHeight="1" spans="1:33">
      <c r="A10" s="348"/>
      <c r="B10" s="349" t="s">
        <v>200</v>
      </c>
      <c r="C10" s="349"/>
      <c r="D10" s="364" cm="1">
        <f t="array" ref="D10">SUMPRODUCT((TEXT('2-2 引出数据_合同数据仓库'!AC:AC,"yyyymm")&lt;=TEXT(DATE(2025,$L$3+1,0),"yyyymm"))*(('2-2 引出数据_合同数据仓库'!C:C="审核通过")))</f>
        <v>43</v>
      </c>
      <c r="E10" s="364"/>
      <c r="F10" s="349" t="s">
        <v>201</v>
      </c>
      <c r="G10" s="349"/>
      <c r="H10" s="365" cm="1">
        <f t="array" ref="H10">SUMPRODUCT(--(LEFT('2-1 采购订单物料明细表报表导出'!K:K,7)&lt;&gt;"")*--(LEFT('2-1 采购订单物料明细表报表导出'!K:K,7)&lt;=TEXT(DATE(2025,$L$3,1),"yyyy-mm")))</f>
        <v>3969</v>
      </c>
      <c r="I10" s="412"/>
      <c r="J10" s="349" t="s">
        <v>202</v>
      </c>
      <c r="K10" s="349"/>
      <c r="L10" s="365" cm="1">
        <f t="array" ref="L10">SUMPRODUCT((TEXT('2-3 引出列表'!M:M,"yyyymm")&lt;=TEXT(DATE(2025,$L$3+1,0),"yyyymm"))*(('2-3 引出列表'!L:L="已审核")+('2-3 引出列表'!M:M="已付款")))</f>
        <v>0</v>
      </c>
      <c r="M10" s="412"/>
      <c r="N10" s="413"/>
      <c r="O10" s="375" t="s">
        <v>203</v>
      </c>
      <c r="P10" s="414">
        <f>'1-2 人员岗位信息'!D35</f>
        <v>62.0833333333333</v>
      </c>
      <c r="Q10" s="435">
        <f>'1-2 人员岗位信息'!D36</f>
        <v>20</v>
      </c>
      <c r="R10" s="435">
        <f>'1-2 人员岗位信息'!D37</f>
        <v>21</v>
      </c>
      <c r="S10" s="435"/>
      <c r="T10" s="436"/>
      <c r="U10" s="432"/>
      <c r="V10" s="432"/>
      <c r="W10" s="432"/>
      <c r="X10" s="432"/>
      <c r="Y10" s="432"/>
      <c r="Z10" s="432"/>
      <c r="AA10" s="432"/>
      <c r="AB10" s="432"/>
      <c r="AC10" s="432"/>
      <c r="AD10" s="432"/>
      <c r="AE10" s="432"/>
      <c r="AF10" s="432"/>
      <c r="AG10" s="432"/>
    </row>
    <row r="11" ht="9" customHeight="1" spans="2:20">
      <c r="B11" s="366"/>
      <c r="C11" s="367"/>
      <c r="D11" s="367"/>
      <c r="E11" s="367"/>
      <c r="F11" s="367"/>
      <c r="G11" s="367"/>
      <c r="H11" s="367"/>
      <c r="I11" s="415"/>
      <c r="J11" s="367"/>
      <c r="K11" s="415"/>
      <c r="L11" s="367"/>
      <c r="M11" s="416"/>
      <c r="N11" s="417"/>
      <c r="O11" s="417"/>
      <c r="P11" s="418"/>
      <c r="Q11" s="418"/>
      <c r="R11" s="418"/>
      <c r="S11" s="418"/>
      <c r="T11" s="437"/>
    </row>
    <row r="12" ht="27.95" customHeight="1" spans="2:20">
      <c r="B12" s="368" t="s">
        <v>204</v>
      </c>
      <c r="C12" s="369"/>
      <c r="D12" s="369"/>
      <c r="E12" s="369"/>
      <c r="F12" s="369"/>
      <c r="G12" s="369"/>
      <c r="H12" s="369"/>
      <c r="I12" s="369"/>
      <c r="J12" s="369"/>
      <c r="K12" s="369"/>
      <c r="L12" s="369"/>
      <c r="M12" s="369"/>
      <c r="N12" s="369"/>
      <c r="O12" s="369"/>
      <c r="P12" s="369"/>
      <c r="Q12" s="369"/>
      <c r="R12" s="369"/>
      <c r="S12" s="369"/>
      <c r="T12" s="438"/>
    </row>
    <row r="13" ht="17.1" customHeight="1" spans="2:20">
      <c r="B13" s="370"/>
      <c r="C13" s="371"/>
      <c r="D13" s="371"/>
      <c r="E13" s="371"/>
      <c r="F13" s="371"/>
      <c r="G13" s="371"/>
      <c r="H13" s="371"/>
      <c r="I13" s="371"/>
      <c r="J13" s="371"/>
      <c r="K13" s="371"/>
      <c r="L13" s="371"/>
      <c r="M13" s="371"/>
      <c r="T13" s="439"/>
    </row>
    <row r="14" s="338" customFormat="1" ht="29.1" customHeight="1" spans="1:20">
      <c r="A14" s="372"/>
      <c r="B14" s="373"/>
      <c r="C14" s="374"/>
      <c r="D14" s="374"/>
      <c r="E14" s="374"/>
      <c r="F14" s="374"/>
      <c r="G14" s="374"/>
      <c r="H14" s="374"/>
      <c r="I14" s="374"/>
      <c r="J14" s="374"/>
      <c r="K14" s="374"/>
      <c r="L14" s="374"/>
      <c r="M14" s="374"/>
      <c r="T14" s="440"/>
    </row>
    <row r="15" s="338" customFormat="1" ht="29.1" customHeight="1" spans="1:20">
      <c r="A15" s="372"/>
      <c r="B15" s="373"/>
      <c r="C15" s="374"/>
      <c r="D15" s="374"/>
      <c r="E15" s="374"/>
      <c r="F15" s="374"/>
      <c r="G15" s="374"/>
      <c r="H15" s="374"/>
      <c r="I15" s="374"/>
      <c r="J15" s="374"/>
      <c r="K15" s="374"/>
      <c r="L15" s="374"/>
      <c r="M15" s="374"/>
      <c r="T15" s="440"/>
    </row>
    <row r="16" s="338" customFormat="1" ht="29.1" customHeight="1" spans="1:20">
      <c r="A16" s="372"/>
      <c r="B16" s="373"/>
      <c r="C16" s="374"/>
      <c r="D16" s="374"/>
      <c r="E16" s="374"/>
      <c r="F16" s="374"/>
      <c r="G16" s="374"/>
      <c r="H16" s="374"/>
      <c r="I16" s="374"/>
      <c r="J16" s="374"/>
      <c r="K16" s="374"/>
      <c r="L16" s="374"/>
      <c r="M16" s="374"/>
      <c r="T16" s="440"/>
    </row>
    <row r="17" s="338" customFormat="1" ht="29.1" customHeight="1" spans="1:20">
      <c r="A17" s="372"/>
      <c r="B17" s="373"/>
      <c r="C17" s="374"/>
      <c r="D17" s="374"/>
      <c r="E17" s="374"/>
      <c r="F17" s="374"/>
      <c r="G17" s="374"/>
      <c r="H17" s="374"/>
      <c r="I17" s="374"/>
      <c r="J17" s="374"/>
      <c r="K17" s="374"/>
      <c r="L17" s="374"/>
      <c r="M17" s="374"/>
      <c r="T17" s="440"/>
    </row>
    <row r="18" s="338" customFormat="1" ht="29.1" customHeight="1" spans="1:20">
      <c r="A18" s="372"/>
      <c r="B18" s="373"/>
      <c r="C18" s="374"/>
      <c r="D18" s="374"/>
      <c r="E18" s="374"/>
      <c r="F18" s="374"/>
      <c r="G18" s="374"/>
      <c r="H18" s="374"/>
      <c r="I18" s="374"/>
      <c r="J18" s="374"/>
      <c r="K18" s="374"/>
      <c r="L18" s="374"/>
      <c r="M18" s="374"/>
      <c r="T18" s="440"/>
    </row>
    <row r="19" s="338" customFormat="1" ht="29.1" customHeight="1" spans="1:20">
      <c r="A19" s="372"/>
      <c r="B19" s="373"/>
      <c r="C19" s="374"/>
      <c r="D19" s="374"/>
      <c r="E19" s="374"/>
      <c r="F19" s="374"/>
      <c r="G19" s="374"/>
      <c r="H19" s="374"/>
      <c r="I19" s="374"/>
      <c r="J19" s="374"/>
      <c r="K19" s="374"/>
      <c r="L19" s="374"/>
      <c r="M19" s="374"/>
      <c r="T19" s="440"/>
    </row>
    <row r="20" s="338" customFormat="1" ht="29.1" customHeight="1" spans="1:20">
      <c r="A20" s="372"/>
      <c r="B20" s="373"/>
      <c r="C20" s="374"/>
      <c r="D20" s="374"/>
      <c r="E20" s="374"/>
      <c r="F20" s="374"/>
      <c r="G20" s="374"/>
      <c r="H20" s="374"/>
      <c r="I20" s="374"/>
      <c r="J20" s="374"/>
      <c r="K20" s="374"/>
      <c r="L20" s="374"/>
      <c r="M20" s="374"/>
      <c r="T20" s="440"/>
    </row>
    <row r="21" s="338" customFormat="1" ht="29.1" customHeight="1" spans="1:20">
      <c r="A21" s="372"/>
      <c r="B21" s="373"/>
      <c r="C21" s="374"/>
      <c r="D21" s="374"/>
      <c r="E21" s="374"/>
      <c r="F21" s="374"/>
      <c r="G21" s="374"/>
      <c r="H21" s="374"/>
      <c r="I21" s="374"/>
      <c r="J21" s="374"/>
      <c r="K21" s="374"/>
      <c r="L21" s="374"/>
      <c r="M21" s="374"/>
      <c r="T21" s="440"/>
    </row>
    <row r="22" s="338" customFormat="1" ht="29.1" customHeight="1" spans="1:20">
      <c r="A22" s="372"/>
      <c r="B22" s="373"/>
      <c r="C22" s="374"/>
      <c r="D22" s="374"/>
      <c r="E22" s="374"/>
      <c r="F22" s="374"/>
      <c r="G22" s="374"/>
      <c r="H22" s="374"/>
      <c r="I22" s="374"/>
      <c r="J22" s="374"/>
      <c r="K22" s="374"/>
      <c r="L22" s="374"/>
      <c r="M22" s="374"/>
      <c r="T22" s="440"/>
    </row>
    <row r="23" s="338" customFormat="1" ht="29.1" customHeight="1" spans="1:20">
      <c r="A23" s="372"/>
      <c r="B23" s="373"/>
      <c r="C23" s="374"/>
      <c r="D23" s="374"/>
      <c r="E23" s="374"/>
      <c r="F23" s="374"/>
      <c r="G23" s="374"/>
      <c r="H23" s="374"/>
      <c r="I23" s="374"/>
      <c r="J23" s="374"/>
      <c r="K23" s="374"/>
      <c r="L23" s="374"/>
      <c r="M23" s="374"/>
      <c r="T23" s="440"/>
    </row>
    <row r="24" s="338" customFormat="1" ht="29.1" customHeight="1" spans="1:20">
      <c r="A24" s="372"/>
      <c r="B24" s="375"/>
      <c r="C24" s="376"/>
      <c r="D24" s="376"/>
      <c r="E24" s="376"/>
      <c r="F24" s="376"/>
      <c r="G24" s="376"/>
      <c r="H24" s="376"/>
      <c r="I24" s="376"/>
      <c r="J24" s="376"/>
      <c r="K24" s="376"/>
      <c r="L24" s="376"/>
      <c r="M24" s="376"/>
      <c r="N24" s="376"/>
      <c r="O24" s="376"/>
      <c r="P24" s="376"/>
      <c r="Q24" s="376"/>
      <c r="R24" s="376"/>
      <c r="S24" s="376"/>
      <c r="T24" s="441"/>
    </row>
    <row r="25" s="338" customFormat="1" ht="29.1" customHeight="1" spans="1:20">
      <c r="A25" s="372"/>
      <c r="B25" s="368" t="s">
        <v>205</v>
      </c>
      <c r="C25" s="369"/>
      <c r="D25" s="369"/>
      <c r="E25" s="369"/>
      <c r="F25" s="369"/>
      <c r="G25" s="369"/>
      <c r="H25" s="369"/>
      <c r="I25" s="369"/>
      <c r="J25" s="369"/>
      <c r="K25" s="369"/>
      <c r="L25" s="369"/>
      <c r="M25" s="369"/>
      <c r="N25" s="369"/>
      <c r="O25" s="369"/>
      <c r="P25" s="369"/>
      <c r="Q25" s="369"/>
      <c r="R25" s="369"/>
      <c r="S25" s="369"/>
      <c r="T25" s="438"/>
    </row>
    <row r="26" s="338" customFormat="1" ht="17.1" customHeight="1" spans="1:30">
      <c r="A26" s="339"/>
      <c r="B26" s="370"/>
      <c r="C26" s="371"/>
      <c r="D26" s="371"/>
      <c r="E26" s="371"/>
      <c r="F26" s="371"/>
      <c r="G26" s="371"/>
      <c r="H26" s="371"/>
      <c r="I26" s="371"/>
      <c r="J26" s="371"/>
      <c r="K26" s="371"/>
      <c r="L26" s="371"/>
      <c r="M26" s="371"/>
      <c r="T26" s="440"/>
      <c r="X26" s="340"/>
      <c r="Y26" s="340"/>
      <c r="Z26" s="340"/>
      <c r="AA26" s="340"/>
      <c r="AB26" s="340"/>
      <c r="AC26" s="340"/>
      <c r="AD26" s="340"/>
    </row>
    <row r="27" s="338" customFormat="1" ht="20.1" customHeight="1" spans="1:20">
      <c r="A27" s="372"/>
      <c r="B27" s="373"/>
      <c r="C27" s="374"/>
      <c r="D27" s="374"/>
      <c r="E27" s="374"/>
      <c r="F27" s="374"/>
      <c r="G27" s="374"/>
      <c r="H27" s="374"/>
      <c r="I27" s="374"/>
      <c r="J27" s="374"/>
      <c r="K27" s="374"/>
      <c r="L27" s="374"/>
      <c r="M27" s="374"/>
      <c r="T27" s="440"/>
    </row>
    <row r="28" s="338" customFormat="1" ht="20.1" customHeight="1" spans="1:20">
      <c r="A28" s="372"/>
      <c r="B28" s="373"/>
      <c r="C28" s="374"/>
      <c r="D28" s="374"/>
      <c r="E28" s="374"/>
      <c r="F28" s="374"/>
      <c r="G28" s="374"/>
      <c r="H28" s="374"/>
      <c r="I28" s="374"/>
      <c r="J28" s="374"/>
      <c r="K28" s="374"/>
      <c r="L28" s="374"/>
      <c r="M28" s="374"/>
      <c r="T28" s="440"/>
    </row>
    <row r="29" s="338" customFormat="1" ht="20.1" customHeight="1" spans="1:20">
      <c r="A29" s="372"/>
      <c r="B29" s="373"/>
      <c r="C29" s="374"/>
      <c r="D29" s="374"/>
      <c r="E29" s="374"/>
      <c r="F29" s="374"/>
      <c r="G29" s="374"/>
      <c r="H29" s="374"/>
      <c r="I29" s="374"/>
      <c r="J29" s="374"/>
      <c r="K29" s="374"/>
      <c r="L29" s="374"/>
      <c r="M29" s="374"/>
      <c r="T29" s="440"/>
    </row>
    <row r="30" s="338" customFormat="1" ht="20.1" customHeight="1" spans="1:20">
      <c r="A30" s="372"/>
      <c r="B30" s="373"/>
      <c r="C30" s="374"/>
      <c r="D30" s="374"/>
      <c r="E30" s="374"/>
      <c r="F30" s="374"/>
      <c r="G30" s="374"/>
      <c r="H30" s="374"/>
      <c r="I30" s="374"/>
      <c r="J30" s="374"/>
      <c r="K30" s="374"/>
      <c r="L30" s="374"/>
      <c r="M30" s="374"/>
      <c r="T30" s="440"/>
    </row>
    <row r="31" s="338" customFormat="1" ht="20.1" customHeight="1" spans="1:20">
      <c r="A31" s="372"/>
      <c r="B31" s="373"/>
      <c r="C31" s="374"/>
      <c r="D31" s="374"/>
      <c r="E31" s="374"/>
      <c r="F31" s="374"/>
      <c r="G31" s="374"/>
      <c r="H31" s="374"/>
      <c r="I31" s="374"/>
      <c r="J31" s="374"/>
      <c r="K31" s="374"/>
      <c r="L31" s="374"/>
      <c r="M31" s="374"/>
      <c r="T31" s="440"/>
    </row>
    <row r="32" s="338" customFormat="1" ht="20.1" customHeight="1" spans="1:20">
      <c r="A32" s="372"/>
      <c r="B32" s="373"/>
      <c r="C32" s="374"/>
      <c r="D32" s="374"/>
      <c r="E32" s="374"/>
      <c r="F32" s="374"/>
      <c r="G32" s="374"/>
      <c r="H32" s="374"/>
      <c r="I32" s="374"/>
      <c r="J32" s="374"/>
      <c r="K32" s="374"/>
      <c r="L32" s="374"/>
      <c r="M32" s="374"/>
      <c r="T32" s="440"/>
    </row>
    <row r="33" s="338" customFormat="1" ht="20.1" customHeight="1" spans="1:20">
      <c r="A33" s="372"/>
      <c r="B33" s="373"/>
      <c r="C33" s="374"/>
      <c r="D33" s="374"/>
      <c r="E33" s="374"/>
      <c r="F33" s="374"/>
      <c r="G33" s="374"/>
      <c r="H33" s="374"/>
      <c r="I33" s="374"/>
      <c r="J33" s="374"/>
      <c r="K33" s="374"/>
      <c r="L33" s="374"/>
      <c r="M33" s="374"/>
      <c r="T33" s="440"/>
    </row>
    <row r="34" s="338" customFormat="1" ht="20.1" customHeight="1" spans="1:20">
      <c r="A34" s="372"/>
      <c r="B34" s="373"/>
      <c r="C34" s="374"/>
      <c r="D34" s="374"/>
      <c r="E34" s="374"/>
      <c r="F34" s="374"/>
      <c r="G34" s="374"/>
      <c r="H34" s="374"/>
      <c r="I34" s="374"/>
      <c r="J34" s="374"/>
      <c r="K34" s="374"/>
      <c r="L34" s="374"/>
      <c r="M34" s="374"/>
      <c r="T34" s="440"/>
    </row>
    <row r="35" s="338" customFormat="1" ht="20.1" customHeight="1" spans="1:20">
      <c r="A35" s="372"/>
      <c r="B35" s="373"/>
      <c r="C35" s="374"/>
      <c r="D35" s="374"/>
      <c r="E35" s="374"/>
      <c r="F35" s="374"/>
      <c r="G35" s="374"/>
      <c r="H35" s="374"/>
      <c r="I35" s="374"/>
      <c r="J35" s="374"/>
      <c r="K35" s="374"/>
      <c r="L35" s="374"/>
      <c r="M35" s="374"/>
      <c r="T35" s="440"/>
    </row>
    <row r="36" ht="20.1" customHeight="1" spans="2:20">
      <c r="B36" s="370"/>
      <c r="C36" s="371"/>
      <c r="D36" s="371"/>
      <c r="E36" s="371"/>
      <c r="F36" s="371"/>
      <c r="G36" s="371"/>
      <c r="H36" s="371"/>
      <c r="I36" s="371"/>
      <c r="J36" s="371"/>
      <c r="K36" s="371"/>
      <c r="L36" s="371"/>
      <c r="M36" s="371"/>
      <c r="T36" s="439"/>
    </row>
    <row r="37" ht="20.1" customHeight="1" spans="2:20">
      <c r="B37" s="370"/>
      <c r="C37" s="371"/>
      <c r="D37" s="371"/>
      <c r="E37" s="371"/>
      <c r="F37" s="371"/>
      <c r="G37" s="371"/>
      <c r="H37" s="371"/>
      <c r="I37" s="371"/>
      <c r="J37" s="371"/>
      <c r="K37" s="371"/>
      <c r="L37" s="371"/>
      <c r="M37" s="371"/>
      <c r="T37" s="439"/>
    </row>
    <row r="38" ht="20.1" customHeight="1" spans="2:20">
      <c r="B38" s="370"/>
      <c r="C38" s="371"/>
      <c r="D38" s="371"/>
      <c r="E38" s="371"/>
      <c r="F38" s="371"/>
      <c r="G38" s="371"/>
      <c r="H38" s="371"/>
      <c r="I38" s="371"/>
      <c r="J38" s="371"/>
      <c r="K38" s="371"/>
      <c r="L38" s="371"/>
      <c r="M38" s="371"/>
      <c r="T38" s="439"/>
    </row>
    <row r="39" ht="20.1" customHeight="1" spans="2:20">
      <c r="B39" s="370"/>
      <c r="C39" s="371"/>
      <c r="D39" s="371"/>
      <c r="E39" s="371"/>
      <c r="F39" s="371"/>
      <c r="G39" s="371"/>
      <c r="H39" s="371"/>
      <c r="I39" s="371"/>
      <c r="J39" s="371"/>
      <c r="K39" s="371"/>
      <c r="L39" s="371"/>
      <c r="M39" s="371"/>
      <c r="T39" s="439"/>
    </row>
    <row r="40" ht="20.1" customHeight="1" spans="2:20">
      <c r="B40" s="370"/>
      <c r="C40" s="371"/>
      <c r="D40" s="371"/>
      <c r="E40" s="371"/>
      <c r="F40" s="371"/>
      <c r="G40" s="371"/>
      <c r="H40" s="371"/>
      <c r="I40" s="371"/>
      <c r="J40" s="371"/>
      <c r="K40" s="371"/>
      <c r="L40" s="371"/>
      <c r="M40" s="371"/>
      <c r="T40" s="439"/>
    </row>
    <row r="41" ht="20.1" customHeight="1" spans="2:20">
      <c r="B41" s="370"/>
      <c r="C41" s="371"/>
      <c r="D41" s="371"/>
      <c r="E41" s="371"/>
      <c r="F41" s="371"/>
      <c r="G41" s="371"/>
      <c r="H41" s="371"/>
      <c r="I41" s="371"/>
      <c r="J41" s="371"/>
      <c r="K41" s="371"/>
      <c r="L41" s="371"/>
      <c r="M41" s="371"/>
      <c r="T41" s="439"/>
    </row>
    <row r="42" ht="20.1" customHeight="1" spans="2:20">
      <c r="B42" s="370"/>
      <c r="C42" s="371"/>
      <c r="D42" s="371"/>
      <c r="E42" s="371"/>
      <c r="F42" s="371"/>
      <c r="G42" s="371"/>
      <c r="H42" s="371"/>
      <c r="I42" s="371"/>
      <c r="J42" s="371"/>
      <c r="K42" s="371"/>
      <c r="L42" s="371"/>
      <c r="M42" s="371"/>
      <c r="T42" s="439"/>
    </row>
    <row r="43" ht="20.1" customHeight="1" spans="2:20">
      <c r="B43" s="370"/>
      <c r="C43" s="371"/>
      <c r="D43" s="371"/>
      <c r="E43" s="371"/>
      <c r="F43" s="371"/>
      <c r="G43" s="371"/>
      <c r="H43" s="371"/>
      <c r="I43" s="371"/>
      <c r="J43" s="371"/>
      <c r="K43" s="371"/>
      <c r="L43" s="371"/>
      <c r="M43" s="371"/>
      <c r="T43" s="439"/>
    </row>
    <row r="44" ht="20.1" customHeight="1" spans="2:20">
      <c r="B44" s="377"/>
      <c r="C44" s="378"/>
      <c r="D44" s="378"/>
      <c r="E44" s="378"/>
      <c r="F44" s="378"/>
      <c r="G44" s="378"/>
      <c r="H44" s="378"/>
      <c r="I44" s="378"/>
      <c r="J44" s="378"/>
      <c r="K44" s="378"/>
      <c r="L44" s="378"/>
      <c r="M44" s="378"/>
      <c r="N44" s="376"/>
      <c r="O44" s="376"/>
      <c r="P44" s="378"/>
      <c r="Q44" s="378"/>
      <c r="R44" s="378"/>
      <c r="S44" s="378"/>
      <c r="T44" s="442"/>
    </row>
    <row r="45" ht="27.95" customHeight="1" spans="2:20">
      <c r="B45" s="368" t="s">
        <v>206</v>
      </c>
      <c r="C45" s="369"/>
      <c r="D45" s="369"/>
      <c r="E45" s="369"/>
      <c r="F45" s="369"/>
      <c r="G45" s="369"/>
      <c r="H45" s="369"/>
      <c r="I45" s="369"/>
      <c r="J45" s="369"/>
      <c r="K45" s="369"/>
      <c r="L45" s="369"/>
      <c r="M45" s="369"/>
      <c r="N45" s="369"/>
      <c r="O45" s="369"/>
      <c r="P45" s="369"/>
      <c r="Q45" s="369"/>
      <c r="R45" s="369"/>
      <c r="S45" s="369"/>
      <c r="T45" s="438"/>
    </row>
    <row r="46" s="339" customFormat="1" ht="27.95" customHeight="1" spans="2:20">
      <c r="B46" s="379"/>
      <c r="C46" s="380"/>
      <c r="D46" s="380"/>
      <c r="E46" s="380"/>
      <c r="F46" s="380"/>
      <c r="G46" s="380"/>
      <c r="H46" s="380"/>
      <c r="I46" s="380"/>
      <c r="J46" s="380"/>
      <c r="K46" s="380"/>
      <c r="L46" s="380"/>
      <c r="M46" s="380"/>
      <c r="N46" s="419" t="s">
        <v>207</v>
      </c>
      <c r="O46" s="420" t="s">
        <v>208</v>
      </c>
      <c r="P46" s="420" t="s">
        <v>209</v>
      </c>
      <c r="Q46" s="420" t="s">
        <v>210</v>
      </c>
      <c r="R46" s="420" t="s">
        <v>211</v>
      </c>
      <c r="S46" s="420" t="s">
        <v>212</v>
      </c>
      <c r="T46" s="420" t="s">
        <v>213</v>
      </c>
    </row>
    <row r="47" s="339" customFormat="1" ht="33.95" customHeight="1" spans="2:20">
      <c r="B47" s="379"/>
      <c r="C47" s="380"/>
      <c r="D47" s="380"/>
      <c r="E47" s="380"/>
      <c r="F47" s="380"/>
      <c r="G47" s="380"/>
      <c r="H47" s="380"/>
      <c r="I47" s="380"/>
      <c r="J47" s="380"/>
      <c r="K47" s="380"/>
      <c r="L47" s="380"/>
      <c r="M47" s="380"/>
      <c r="N47" s="419"/>
      <c r="O47" s="420"/>
      <c r="P47" s="420"/>
      <c r="Q47" s="420"/>
      <c r="R47" s="420"/>
      <c r="S47" s="420"/>
      <c r="T47" s="420"/>
    </row>
    <row r="48" s="339" customFormat="1" ht="27.95" customHeight="1" spans="2:20">
      <c r="B48" s="379"/>
      <c r="C48" s="380"/>
      <c r="D48" s="380"/>
      <c r="E48" s="380"/>
      <c r="F48" s="380"/>
      <c r="G48" s="380"/>
      <c r="H48" s="380"/>
      <c r="I48" s="380"/>
      <c r="J48" s="380"/>
      <c r="K48" s="380"/>
      <c r="L48" s="380"/>
      <c r="M48" s="380"/>
      <c r="N48" s="421">
        <v>1.1</v>
      </c>
      <c r="O48" s="422" t="s">
        <v>214</v>
      </c>
      <c r="P48" s="423">
        <f>'2 过程管理表单'!H5/10000</f>
        <v>2489.27148530734</v>
      </c>
      <c r="Q48" s="423">
        <f>INDEX('4主要费项费项月累成本使用情况'!C5:N5,MATCH($L$3&amp;"月",表3_3[[#Headers],[1月]:[12月]],0))/10000</f>
        <v>1289.69734077246</v>
      </c>
      <c r="R48" s="423">
        <f>INDEX('4主要费项费项月累成本使用情况'!C3:N3,MATCH($L$3&amp;"月",表3_3[[#Headers],[1月]:[12月]],0))/10000</f>
        <v>463.562766958272</v>
      </c>
      <c r="S48" s="443">
        <f t="shared" ref="S48:S56" si="2">IFERROR(R48/P48,"无年度目标")</f>
        <v>0.186224270713099</v>
      </c>
      <c r="T48" s="444">
        <f t="shared" ref="T48:T56" si="3">IFERROR(R48/Q48,"无月度目标")</f>
        <v>0.359435312691754</v>
      </c>
    </row>
    <row r="49" s="339" customFormat="1" ht="27.95" customHeight="1" spans="2:20">
      <c r="B49" s="379"/>
      <c r="C49" s="380"/>
      <c r="D49" s="380"/>
      <c r="E49" s="380"/>
      <c r="F49" s="380"/>
      <c r="G49" s="380"/>
      <c r="H49" s="380"/>
      <c r="I49" s="380"/>
      <c r="J49" s="380"/>
      <c r="K49" s="380"/>
      <c r="L49" s="380"/>
      <c r="M49" s="380"/>
      <c r="N49" s="421">
        <v>1.2</v>
      </c>
      <c r="O49" s="422" t="s">
        <v>9</v>
      </c>
      <c r="P49" s="423">
        <f>'2 过程管理表单'!H508/10000</f>
        <v>173.723686</v>
      </c>
      <c r="Q49" s="423">
        <f>INDEX('4主要费项费项月累成本使用情况'!C9:N9,MATCH($L$3&amp;"月",表3_3[[#Headers],[1月]:[12月]],0))/10000</f>
        <v>173.723686</v>
      </c>
      <c r="R49" s="423">
        <f>INDEX('4主要费项费项月累成本使用情况'!C7:N7,MATCH($L$3&amp;"月",表3_3[[#Headers],[1月]:[12月]],0))/10000</f>
        <v>30.129314</v>
      </c>
      <c r="S49" s="443">
        <f t="shared" si="2"/>
        <v>0.173432389639718</v>
      </c>
      <c r="T49" s="444">
        <f t="shared" si="3"/>
        <v>0.173432389639718</v>
      </c>
    </row>
    <row r="50" s="339" customFormat="1" ht="27.95" customHeight="1" spans="2:20">
      <c r="B50" s="379"/>
      <c r="C50" s="380"/>
      <c r="D50" s="380"/>
      <c r="E50" s="380"/>
      <c r="F50" s="380"/>
      <c r="G50" s="380"/>
      <c r="H50" s="380"/>
      <c r="I50" s="380"/>
      <c r="J50" s="380"/>
      <c r="K50" s="380"/>
      <c r="L50" s="380"/>
      <c r="M50" s="380"/>
      <c r="N50" s="421">
        <v>1.3</v>
      </c>
      <c r="O50" s="421" t="s">
        <v>64</v>
      </c>
      <c r="P50" s="423">
        <f>'2 过程管理表单'!H536/10000</f>
        <v>92.9716981132075</v>
      </c>
      <c r="Q50" s="423">
        <f>INDEX('4主要费项费项月累成本使用情况'!C13:N13,MATCH($L$3&amp;"月",表3_3[[#Headers],[1月]:[12月]],0))/10000</f>
        <v>59.9528301886792</v>
      </c>
      <c r="R50" s="423">
        <f>INDEX('4主要费项费项月累成本使用情况'!C10:N10,MATCH($L$3&amp;"月",表3_3[[#Headers],[1月]:[12月]],0))/10000</f>
        <v>0</v>
      </c>
      <c r="S50" s="443">
        <f t="shared" si="2"/>
        <v>0</v>
      </c>
      <c r="T50" s="444">
        <f t="shared" si="3"/>
        <v>0</v>
      </c>
    </row>
    <row r="51" s="339" customFormat="1" ht="27.95" customHeight="1" spans="2:20">
      <c r="B51" s="379"/>
      <c r="C51" s="380"/>
      <c r="D51" s="380"/>
      <c r="E51" s="380"/>
      <c r="F51" s="380"/>
      <c r="G51" s="380"/>
      <c r="H51" s="380"/>
      <c r="I51" s="380"/>
      <c r="J51" s="380"/>
      <c r="K51" s="380"/>
      <c r="L51" s="380"/>
      <c r="M51" s="380"/>
      <c r="N51" s="421">
        <v>1.4</v>
      </c>
      <c r="O51" s="422" t="s">
        <v>215</v>
      </c>
      <c r="P51" s="423">
        <f>'2 过程管理表单'!H597/10000</f>
        <v>0</v>
      </c>
      <c r="Q51" s="423">
        <f>INDEX('4主要费项费项月累成本使用情况'!C17:N17,MATCH($L$3&amp;"月",表3_3[[#Headers],[1月]:[12月]],0))/10000</f>
        <v>0</v>
      </c>
      <c r="R51" s="423">
        <f>INDEX('4主要费项费项月累成本使用情况'!C15:N15,MATCH($L$3&amp;"月",表3_3[[#Headers],[1月]:[12月]],0))/10000</f>
        <v>0</v>
      </c>
      <c r="S51" s="443" t="str">
        <f t="shared" si="2"/>
        <v>无年度目标</v>
      </c>
      <c r="T51" s="444" t="str">
        <f t="shared" si="3"/>
        <v>无月度目标</v>
      </c>
    </row>
    <row r="52" s="339" customFormat="1" ht="27.95" customHeight="1" spans="2:20">
      <c r="B52" s="379"/>
      <c r="C52" s="380"/>
      <c r="D52" s="380"/>
      <c r="E52" s="380"/>
      <c r="F52" s="380"/>
      <c r="G52" s="380"/>
      <c r="H52" s="380"/>
      <c r="I52" s="380"/>
      <c r="J52" s="380"/>
      <c r="K52" s="380"/>
      <c r="L52" s="380"/>
      <c r="M52" s="380"/>
      <c r="N52" s="424">
        <v>1.5</v>
      </c>
      <c r="O52" s="422" t="s">
        <v>216</v>
      </c>
      <c r="P52" s="423">
        <f>'2 过程管理表单'!H603/10000</f>
        <v>14.649498</v>
      </c>
      <c r="Q52" s="423">
        <f>INDEX('4主要费项费项月累成本使用情况'!C21:N21,MATCH($L$3&amp;"月",表3_3[[#Headers],[1月]:[12月]],0))/10000</f>
        <v>7.324749</v>
      </c>
      <c r="R52" s="423">
        <f>INDEX('4主要费项费项月累成本使用情况'!C19:N19,MATCH($L$3&amp;"月",表3_3[[#Headers],[1月]:[12月]],0))/10000</f>
        <v>12.035772</v>
      </c>
      <c r="S52" s="443">
        <f t="shared" si="2"/>
        <v>0.821582555252064</v>
      </c>
      <c r="T52" s="444">
        <f t="shared" si="3"/>
        <v>1.64316511050413</v>
      </c>
    </row>
    <row r="53" s="339" customFormat="1" ht="27.95" customHeight="1" spans="2:20">
      <c r="B53" s="379"/>
      <c r="C53" s="380"/>
      <c r="D53" s="380"/>
      <c r="E53" s="380"/>
      <c r="F53" s="380"/>
      <c r="G53" s="380"/>
      <c r="H53" s="380"/>
      <c r="I53" s="380"/>
      <c r="J53" s="380"/>
      <c r="K53" s="380"/>
      <c r="L53" s="380"/>
      <c r="M53" s="380"/>
      <c r="N53" s="421">
        <v>1.6</v>
      </c>
      <c r="O53" s="422" t="s">
        <v>217</v>
      </c>
      <c r="P53" s="423">
        <f>'2 过程管理表单'!H616/10000</f>
        <v>125.745996226415</v>
      </c>
      <c r="Q53" s="423">
        <f>INDEX('4主要费项费项月累成本使用情况'!C25:N25,MATCH($L$3&amp;"月",表3_3[[#Headers],[1月]:[12月]],0))/10000</f>
        <v>120.991896226415</v>
      </c>
      <c r="R53" s="423">
        <f>INDEX('4主要费项费项月累成本使用情况'!C23:N23,MATCH($L$3&amp;"月",表3_3[[#Headers],[1月]:[12月]],0))/10000</f>
        <v>14.774845</v>
      </c>
      <c r="S53" s="443">
        <f t="shared" si="2"/>
        <v>0.117497538238886</v>
      </c>
      <c r="T53" s="444">
        <f t="shared" si="3"/>
        <v>0.122114335429139</v>
      </c>
    </row>
    <row r="54" s="339" customFormat="1" ht="27.95" customHeight="1" spans="2:20">
      <c r="B54" s="379"/>
      <c r="C54" s="380"/>
      <c r="D54" s="380"/>
      <c r="E54" s="380"/>
      <c r="F54" s="380"/>
      <c r="G54" s="380"/>
      <c r="H54" s="380"/>
      <c r="I54" s="380"/>
      <c r="J54" s="380"/>
      <c r="K54" s="380"/>
      <c r="L54" s="380"/>
      <c r="M54" s="380"/>
      <c r="N54" s="425" t="s">
        <v>218</v>
      </c>
      <c r="O54" s="426" t="s">
        <v>219</v>
      </c>
      <c r="P54" s="423">
        <f>'2 过程管理表单'!H6/10000</f>
        <v>2442.48801901314</v>
      </c>
      <c r="Q54" s="423">
        <f>INDEX('4主要费项费项月累成本使用情况'!C29:N29,MATCH($L$3&amp;"月",表3_3[[#Headers],[1月]:[12月]],0))/10000</f>
        <v>1258.28554900657</v>
      </c>
      <c r="R54" s="423">
        <f>INDEX('4主要费项费项月累成本使用情况'!C27:N27,MATCH($L$3&amp;"月",表3_3[[#Headers],[1月]:[12月]],0))/10000</f>
        <v>162.871641644387</v>
      </c>
      <c r="S54" s="443">
        <f t="shared" si="2"/>
        <v>0.0666826778172665</v>
      </c>
      <c r="T54" s="444">
        <f t="shared" si="3"/>
        <v>0.129439332568808</v>
      </c>
    </row>
    <row r="55" s="339" customFormat="1" ht="27.95" customHeight="1" spans="2:20">
      <c r="B55" s="379"/>
      <c r="C55" s="380"/>
      <c r="D55" s="380"/>
      <c r="E55" s="380"/>
      <c r="F55" s="380"/>
      <c r="G55" s="380"/>
      <c r="H55" s="380"/>
      <c r="I55" s="380"/>
      <c r="J55" s="380"/>
      <c r="K55" s="380"/>
      <c r="L55" s="380"/>
      <c r="M55" s="380"/>
      <c r="N55" s="425" t="s">
        <v>220</v>
      </c>
      <c r="O55" s="426" t="s">
        <v>221</v>
      </c>
      <c r="P55" s="423">
        <f>'2 过程管理表单'!H177/10000</f>
        <v>46.7834662941931</v>
      </c>
      <c r="Q55" s="423">
        <f>INDEX('4主要费项费项月累成本使用情况'!C33:N33,MATCH($L$3&amp;"月",表3_3[[#Headers],[1月]:[12月]],0))/10000</f>
        <v>0</v>
      </c>
      <c r="R55" s="423">
        <f>INDEX('4主要费项费项月累成本使用情况'!C31:N31,MATCH($L$3&amp;"月",表3_3[[#Headers],[1月]:[12月]],0))/10000</f>
        <v>242.160813141735</v>
      </c>
      <c r="S55" s="443">
        <f t="shared" si="2"/>
        <v>5.17620502121264</v>
      </c>
      <c r="T55" s="444" t="str">
        <f t="shared" si="3"/>
        <v>无月度目标</v>
      </c>
    </row>
    <row r="56" s="339" customFormat="1" ht="27.95" customHeight="1" spans="2:20">
      <c r="B56" s="379"/>
      <c r="C56" s="380"/>
      <c r="D56" s="380"/>
      <c r="E56" s="380"/>
      <c r="F56" s="380"/>
      <c r="G56" s="380"/>
      <c r="H56" s="380"/>
      <c r="I56" s="380"/>
      <c r="J56" s="380"/>
      <c r="K56" s="380"/>
      <c r="L56" s="380"/>
      <c r="M56" s="380"/>
      <c r="N56" s="425" t="s">
        <v>222</v>
      </c>
      <c r="O56" s="426" t="s">
        <v>223</v>
      </c>
      <c r="P56" s="423">
        <f>'2 过程管理表单'!H428/10000</f>
        <v>0</v>
      </c>
      <c r="Q56" s="423">
        <f>INDEX('4主要费项费项月累成本使用情况'!C37:N37,MATCH($L$3&amp;"月",表3_3[[#Headers],[1月]:[12月]],0))/10000</f>
        <v>31.4117917658912</v>
      </c>
      <c r="R56" s="423">
        <f>INDEX('4主要费项费项月累成本使用情况'!C35:N35,MATCH($L$3&amp;"月",表3_3[[#Headers],[1月]:[12月]],0))/10000</f>
        <v>57.3241540026914</v>
      </c>
      <c r="S56" s="443" t="str">
        <f t="shared" si="2"/>
        <v>无年度目标</v>
      </c>
      <c r="T56" s="444">
        <f t="shared" si="3"/>
        <v>1.82492467892065</v>
      </c>
    </row>
    <row r="57" s="339" customFormat="1" ht="27.95" customHeight="1" spans="2:20">
      <c r="B57" s="381"/>
      <c r="C57" s="382"/>
      <c r="D57" s="382"/>
      <c r="E57" s="382"/>
      <c r="F57" s="382"/>
      <c r="G57" s="382"/>
      <c r="H57" s="382"/>
      <c r="I57" s="382"/>
      <c r="J57" s="382"/>
      <c r="K57" s="382"/>
      <c r="L57" s="382">
        <v>0</v>
      </c>
      <c r="M57" s="382"/>
      <c r="N57" s="427"/>
      <c r="O57" s="427"/>
      <c r="P57" s="376"/>
      <c r="Q57" s="376"/>
      <c r="R57" s="376"/>
      <c r="S57" s="376"/>
      <c r="T57" s="441"/>
    </row>
    <row r="58" s="339" customFormat="1" ht="27.95" customHeight="1" spans="2:20">
      <c r="B58" s="368" t="s">
        <v>224</v>
      </c>
      <c r="C58" s="369"/>
      <c r="D58" s="369"/>
      <c r="E58" s="369"/>
      <c r="F58" s="369"/>
      <c r="G58" s="369"/>
      <c r="H58" s="369"/>
      <c r="I58" s="369"/>
      <c r="J58" s="369"/>
      <c r="K58" s="369"/>
      <c r="L58" s="369"/>
      <c r="M58" s="369"/>
      <c r="N58" s="369"/>
      <c r="O58" s="369"/>
      <c r="P58" s="369"/>
      <c r="Q58" s="369"/>
      <c r="R58" s="369"/>
      <c r="S58" s="369"/>
      <c r="T58" s="438"/>
    </row>
    <row r="59" s="339" customFormat="1" ht="27.95" customHeight="1" spans="2:20">
      <c r="B59" s="379"/>
      <c r="C59" s="380"/>
      <c r="D59" s="380"/>
      <c r="E59" s="380"/>
      <c r="F59" s="380"/>
      <c r="G59" s="380"/>
      <c r="H59" s="380"/>
      <c r="I59" s="380"/>
      <c r="J59" s="380"/>
      <c r="K59" s="380"/>
      <c r="L59" s="380"/>
      <c r="M59" s="380"/>
      <c r="T59" s="445"/>
    </row>
    <row r="60" s="339" customFormat="1" ht="27.95" customHeight="1" spans="2:20">
      <c r="B60" s="379"/>
      <c r="C60" s="380"/>
      <c r="D60" s="380"/>
      <c r="E60" s="380"/>
      <c r="F60" s="380"/>
      <c r="G60" s="380"/>
      <c r="H60" s="380"/>
      <c r="I60" s="380"/>
      <c r="J60" s="380"/>
      <c r="K60" s="380"/>
      <c r="L60" s="380"/>
      <c r="M60" s="380"/>
      <c r="T60" s="445"/>
    </row>
    <row r="61" s="339" customFormat="1" ht="27.95" customHeight="1" spans="2:20">
      <c r="B61" s="379"/>
      <c r="C61" s="380"/>
      <c r="D61" s="380"/>
      <c r="E61" s="380"/>
      <c r="F61" s="380"/>
      <c r="G61" s="380"/>
      <c r="H61" s="380"/>
      <c r="I61" s="380"/>
      <c r="J61" s="380"/>
      <c r="K61" s="380"/>
      <c r="L61" s="380"/>
      <c r="M61" s="380"/>
      <c r="T61" s="445"/>
    </row>
    <row r="62" s="339" customFormat="1" ht="27.95" customHeight="1" spans="2:20">
      <c r="B62" s="379"/>
      <c r="C62" s="380"/>
      <c r="D62" s="380"/>
      <c r="E62" s="380"/>
      <c r="F62" s="380"/>
      <c r="G62" s="380"/>
      <c r="H62" s="380"/>
      <c r="I62" s="380"/>
      <c r="J62" s="380"/>
      <c r="K62" s="380"/>
      <c r="L62" s="380"/>
      <c r="M62" s="380"/>
      <c r="T62" s="445"/>
    </row>
    <row r="63" s="339" customFormat="1" ht="27.95" customHeight="1" spans="2:20">
      <c r="B63" s="379"/>
      <c r="C63" s="380"/>
      <c r="D63" s="380"/>
      <c r="E63" s="380"/>
      <c r="F63" s="380"/>
      <c r="G63" s="380"/>
      <c r="H63" s="380"/>
      <c r="I63" s="380"/>
      <c r="J63" s="380"/>
      <c r="K63" s="380"/>
      <c r="L63" s="380"/>
      <c r="M63" s="380"/>
      <c r="T63" s="445"/>
    </row>
    <row r="64" s="339" customFormat="1" ht="27.95" customHeight="1" spans="2:20">
      <c r="B64" s="379"/>
      <c r="C64" s="380"/>
      <c r="D64" s="380"/>
      <c r="E64" s="380"/>
      <c r="F64" s="380"/>
      <c r="G64" s="380"/>
      <c r="H64" s="380"/>
      <c r="I64" s="380"/>
      <c r="J64" s="380"/>
      <c r="K64" s="380"/>
      <c r="L64" s="380"/>
      <c r="M64" s="380"/>
      <c r="N64" s="372"/>
      <c r="O64" s="372"/>
      <c r="T64" s="445"/>
    </row>
    <row r="65" spans="2:20">
      <c r="B65" s="370"/>
      <c r="C65" s="371"/>
      <c r="D65" s="371"/>
      <c r="E65" s="371"/>
      <c r="F65" s="371"/>
      <c r="G65" s="371"/>
      <c r="H65" s="371"/>
      <c r="I65" s="371"/>
      <c r="J65" s="371"/>
      <c r="K65" s="371"/>
      <c r="L65" s="371"/>
      <c r="M65" s="371"/>
      <c r="T65" s="439"/>
    </row>
    <row r="66" ht="27.95" customHeight="1" spans="1:20">
      <c r="A66" s="338"/>
      <c r="B66" s="373"/>
      <c r="C66" s="338"/>
      <c r="D66" s="338"/>
      <c r="E66" s="338"/>
      <c r="F66" s="338"/>
      <c r="G66" s="338"/>
      <c r="H66" s="338"/>
      <c r="I66" s="338"/>
      <c r="J66" s="338"/>
      <c r="K66" s="338"/>
      <c r="L66" s="338"/>
      <c r="M66" s="338"/>
      <c r="T66" s="439"/>
    </row>
    <row r="67" spans="2:20">
      <c r="B67" s="370"/>
      <c r="C67" s="371"/>
      <c r="D67" s="371"/>
      <c r="E67" s="371"/>
      <c r="F67" s="371"/>
      <c r="G67" s="371"/>
      <c r="H67" s="371"/>
      <c r="I67" s="371"/>
      <c r="J67" s="371"/>
      <c r="K67" s="371"/>
      <c r="L67" s="371"/>
      <c r="M67" s="371"/>
      <c r="T67" s="439"/>
    </row>
    <row r="68" spans="2:20">
      <c r="B68" s="370"/>
      <c r="C68" s="371"/>
      <c r="D68" s="371"/>
      <c r="E68" s="371"/>
      <c r="F68" s="371"/>
      <c r="G68" s="371"/>
      <c r="H68" s="371"/>
      <c r="I68" s="371"/>
      <c r="J68" s="371"/>
      <c r="K68" s="371"/>
      <c r="L68" s="371"/>
      <c r="M68" s="371"/>
      <c r="T68" s="439"/>
    </row>
    <row r="69" spans="2:20">
      <c r="B69" s="370"/>
      <c r="C69" s="371"/>
      <c r="D69" s="371"/>
      <c r="E69" s="371"/>
      <c r="F69" s="371"/>
      <c r="G69" s="371"/>
      <c r="H69" s="371"/>
      <c r="I69" s="371"/>
      <c r="J69" s="371"/>
      <c r="K69" s="371"/>
      <c r="L69" s="371"/>
      <c r="M69" s="371"/>
      <c r="T69" s="439"/>
    </row>
    <row r="70" spans="2:20">
      <c r="B70" s="377"/>
      <c r="C70" s="378"/>
      <c r="D70" s="378"/>
      <c r="E70" s="378"/>
      <c r="F70" s="378"/>
      <c r="G70" s="378"/>
      <c r="H70" s="378"/>
      <c r="I70" s="378"/>
      <c r="J70" s="378"/>
      <c r="K70" s="378"/>
      <c r="L70" s="378"/>
      <c r="M70" s="378"/>
      <c r="N70" s="376"/>
      <c r="O70" s="376"/>
      <c r="P70" s="378"/>
      <c r="Q70" s="378"/>
      <c r="R70" s="378"/>
      <c r="S70" s="378"/>
      <c r="T70" s="442"/>
    </row>
    <row r="71" ht="27.95" customHeight="1" spans="2:20">
      <c r="B71" s="368" t="s">
        <v>225</v>
      </c>
      <c r="C71" s="369"/>
      <c r="D71" s="369"/>
      <c r="E71" s="369"/>
      <c r="F71" s="369"/>
      <c r="G71" s="369"/>
      <c r="H71" s="369"/>
      <c r="I71" s="369"/>
      <c r="J71" s="369"/>
      <c r="K71" s="369"/>
      <c r="L71" s="369"/>
      <c r="M71" s="369"/>
      <c r="N71" s="369"/>
      <c r="O71" s="369"/>
      <c r="P71" s="369"/>
      <c r="Q71" s="369"/>
      <c r="R71" s="369"/>
      <c r="S71" s="369"/>
      <c r="T71" s="438"/>
    </row>
    <row r="72" spans="2:20">
      <c r="B72" s="370"/>
      <c r="C72" s="371"/>
      <c r="D72" s="371"/>
      <c r="E72" s="371"/>
      <c r="F72" s="371"/>
      <c r="G72" s="371"/>
      <c r="H72" s="371"/>
      <c r="I72" s="371"/>
      <c r="J72" s="371"/>
      <c r="K72" s="371"/>
      <c r="L72" s="371"/>
      <c r="M72" s="371"/>
      <c r="T72" s="439"/>
    </row>
    <row r="73" spans="2:20">
      <c r="B73" s="370"/>
      <c r="C73" s="371"/>
      <c r="D73" s="371"/>
      <c r="E73" s="371"/>
      <c r="F73" s="371"/>
      <c r="G73" s="371"/>
      <c r="H73" s="371"/>
      <c r="I73" s="371"/>
      <c r="J73" s="371"/>
      <c r="K73" s="371"/>
      <c r="L73" s="371"/>
      <c r="M73" s="371"/>
      <c r="T73" s="439"/>
    </row>
    <row r="74" spans="2:20">
      <c r="B74" s="370"/>
      <c r="C74" s="371"/>
      <c r="D74" s="371"/>
      <c r="E74" s="371"/>
      <c r="F74" s="371"/>
      <c r="G74" s="371"/>
      <c r="H74" s="371"/>
      <c r="I74" s="371"/>
      <c r="J74" s="371"/>
      <c r="K74" s="371"/>
      <c r="L74" s="371"/>
      <c r="M74" s="371"/>
      <c r="T74" s="439"/>
    </row>
    <row r="75" spans="2:20">
      <c r="B75" s="370"/>
      <c r="C75" s="371"/>
      <c r="D75" s="371"/>
      <c r="E75" s="371"/>
      <c r="F75" s="371"/>
      <c r="G75" s="371"/>
      <c r="H75" s="371"/>
      <c r="I75" s="371"/>
      <c r="J75" s="371"/>
      <c r="K75" s="371"/>
      <c r="L75" s="371"/>
      <c r="M75" s="371"/>
      <c r="T75" s="439"/>
    </row>
    <row r="76" spans="2:20">
      <c r="B76" s="370"/>
      <c r="C76" s="371"/>
      <c r="D76" s="371"/>
      <c r="E76" s="371"/>
      <c r="F76" s="371"/>
      <c r="G76" s="371"/>
      <c r="H76" s="371"/>
      <c r="I76" s="371"/>
      <c r="J76" s="371"/>
      <c r="K76" s="371"/>
      <c r="L76" s="371"/>
      <c r="M76" s="371"/>
      <c r="T76" s="439"/>
    </row>
    <row r="77" spans="2:20">
      <c r="B77" s="370"/>
      <c r="C77" s="371"/>
      <c r="D77" s="371"/>
      <c r="E77" s="371"/>
      <c r="F77" s="371"/>
      <c r="G77" s="371"/>
      <c r="H77" s="371"/>
      <c r="I77" s="371"/>
      <c r="J77" s="371"/>
      <c r="K77" s="371"/>
      <c r="L77" s="371"/>
      <c r="M77" s="371"/>
      <c r="T77" s="439"/>
    </row>
    <row r="78" spans="2:20">
      <c r="B78" s="370"/>
      <c r="C78" s="371"/>
      <c r="D78" s="371"/>
      <c r="E78" s="371"/>
      <c r="F78" s="371"/>
      <c r="G78" s="371"/>
      <c r="H78" s="371"/>
      <c r="I78" s="371"/>
      <c r="J78" s="371"/>
      <c r="K78" s="371"/>
      <c r="L78" s="371"/>
      <c r="M78" s="371"/>
      <c r="T78" s="439"/>
    </row>
    <row r="79" spans="2:20">
      <c r="B79" s="370"/>
      <c r="C79" s="371"/>
      <c r="D79" s="371"/>
      <c r="E79" s="371"/>
      <c r="F79" s="371"/>
      <c r="G79" s="371"/>
      <c r="H79" s="371"/>
      <c r="I79" s="371"/>
      <c r="J79" s="371"/>
      <c r="K79" s="371"/>
      <c r="L79" s="371"/>
      <c r="M79" s="371"/>
      <c r="T79" s="439"/>
    </row>
    <row r="80" spans="2:20">
      <c r="B80" s="370"/>
      <c r="C80" s="371"/>
      <c r="D80" s="371"/>
      <c r="E80" s="371"/>
      <c r="F80" s="371"/>
      <c r="G80" s="371"/>
      <c r="H80" s="371"/>
      <c r="I80" s="371"/>
      <c r="J80" s="371"/>
      <c r="K80" s="371"/>
      <c r="L80" s="371"/>
      <c r="M80" s="371"/>
      <c r="T80" s="439"/>
    </row>
    <row r="81" spans="2:20">
      <c r="B81" s="370"/>
      <c r="C81" s="371"/>
      <c r="D81" s="371"/>
      <c r="E81" s="371"/>
      <c r="F81" s="371"/>
      <c r="G81" s="371"/>
      <c r="H81" s="371"/>
      <c r="I81" s="371"/>
      <c r="J81" s="371"/>
      <c r="K81" s="371"/>
      <c r="L81" s="371"/>
      <c r="M81" s="371"/>
      <c r="T81" s="439"/>
    </row>
    <row r="82" spans="2:20">
      <c r="B82" s="370"/>
      <c r="C82" s="371"/>
      <c r="D82" s="371"/>
      <c r="E82" s="371"/>
      <c r="F82" s="371"/>
      <c r="G82" s="371"/>
      <c r="H82" s="371"/>
      <c r="I82" s="371"/>
      <c r="J82" s="371"/>
      <c r="K82" s="371"/>
      <c r="L82" s="371"/>
      <c r="M82" s="371"/>
      <c r="T82" s="439"/>
    </row>
    <row r="83" spans="2:20">
      <c r="B83" s="370"/>
      <c r="C83" s="371"/>
      <c r="D83" s="371"/>
      <c r="E83" s="371"/>
      <c r="F83" s="371"/>
      <c r="G83" s="371"/>
      <c r="H83" s="371"/>
      <c r="I83" s="371"/>
      <c r="J83" s="371"/>
      <c r="K83" s="371"/>
      <c r="L83" s="371"/>
      <c r="M83" s="371"/>
      <c r="T83" s="439"/>
    </row>
    <row r="84" spans="2:20">
      <c r="B84" s="370"/>
      <c r="C84" s="371"/>
      <c r="D84" s="371"/>
      <c r="E84" s="371"/>
      <c r="F84" s="371"/>
      <c r="G84" s="371"/>
      <c r="H84" s="371"/>
      <c r="I84" s="371"/>
      <c r="J84" s="371"/>
      <c r="K84" s="371"/>
      <c r="L84" s="371"/>
      <c r="M84" s="371"/>
      <c r="T84" s="439"/>
    </row>
    <row r="85" spans="2:20">
      <c r="B85" s="370"/>
      <c r="C85" s="371"/>
      <c r="D85" s="371"/>
      <c r="E85" s="371"/>
      <c r="F85" s="371"/>
      <c r="G85" s="371"/>
      <c r="H85" s="371"/>
      <c r="I85" s="371"/>
      <c r="J85" s="371"/>
      <c r="K85" s="371"/>
      <c r="L85" s="371"/>
      <c r="M85" s="371"/>
      <c r="T85" s="439"/>
    </row>
    <row r="86" spans="2:20">
      <c r="B86" s="370"/>
      <c r="C86" s="371"/>
      <c r="D86" s="371"/>
      <c r="E86" s="371"/>
      <c r="F86" s="371"/>
      <c r="G86" s="371"/>
      <c r="H86" s="371"/>
      <c r="I86" s="371"/>
      <c r="J86" s="371"/>
      <c r="K86" s="371"/>
      <c r="L86" s="371"/>
      <c r="M86" s="371"/>
      <c r="T86" s="439"/>
    </row>
    <row r="87" spans="2:20">
      <c r="B87" s="377"/>
      <c r="C87" s="378"/>
      <c r="D87" s="378"/>
      <c r="E87" s="378"/>
      <c r="F87" s="378"/>
      <c r="G87" s="378"/>
      <c r="H87" s="378"/>
      <c r="I87" s="378"/>
      <c r="J87" s="378"/>
      <c r="K87" s="378"/>
      <c r="L87" s="378"/>
      <c r="M87" s="378"/>
      <c r="N87" s="376"/>
      <c r="O87" s="376"/>
      <c r="P87" s="378"/>
      <c r="Q87" s="378"/>
      <c r="R87" s="378"/>
      <c r="S87" s="378"/>
      <c r="T87" s="442"/>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5" activePane="bottomLeft" state="frozen"/>
      <selection/>
      <selection pane="bottomLeft" activeCell="Q48" sqref="Q48:R56"/>
    </sheetView>
  </sheetViews>
  <sheetFormatPr defaultColWidth="9" defaultRowHeight="15"/>
  <cols>
    <col min="1" max="1" width="1.5" style="339" customWidth="1"/>
    <col min="2" max="2" width="11.875" style="340" customWidth="1"/>
    <col min="3" max="3" width="13.7583333333333" style="340" customWidth="1"/>
    <col min="4" max="4" width="12.625" style="340" customWidth="1"/>
    <col min="5" max="5" width="10.7583333333333" style="340" customWidth="1"/>
    <col min="6" max="13" width="12.625" style="340" customWidth="1"/>
    <col min="14" max="14" width="9.5" style="338" customWidth="1"/>
    <col min="15" max="15" width="17.625" style="338" customWidth="1"/>
    <col min="16" max="20" width="17.625" style="340" customWidth="1"/>
    <col min="21" max="21" width="1.5" style="340" customWidth="1"/>
    <col min="22" max="16384" width="9" style="340"/>
  </cols>
  <sheetData>
    <row r="1" s="335" customFormat="1" ht="8.1" customHeight="1" spans="1:33">
      <c r="A1" s="339"/>
      <c r="B1" s="341"/>
      <c r="C1" s="342"/>
      <c r="D1" s="342"/>
      <c r="E1" s="342"/>
      <c r="F1" s="342"/>
      <c r="G1" s="342"/>
      <c r="H1" s="342"/>
      <c r="I1" s="341"/>
      <c r="J1" s="342"/>
      <c r="K1" s="341"/>
      <c r="L1" s="342"/>
      <c r="M1" s="383"/>
      <c r="N1" s="372"/>
      <c r="O1" s="372"/>
      <c r="P1" s="339"/>
      <c r="Q1" s="339"/>
      <c r="R1" s="339"/>
      <c r="S1" s="339"/>
      <c r="T1" s="339"/>
      <c r="U1" s="339"/>
      <c r="V1" s="339"/>
      <c r="W1" s="339"/>
      <c r="X1" s="339"/>
      <c r="Y1" s="339"/>
      <c r="Z1" s="339"/>
      <c r="AA1" s="339"/>
      <c r="AB1" s="339"/>
      <c r="AC1" s="339"/>
      <c r="AD1" s="339"/>
      <c r="AE1" s="339"/>
      <c r="AF1" s="339"/>
      <c r="AG1" s="339"/>
    </row>
    <row r="2" ht="51" customHeight="1" spans="2:20">
      <c r="B2" s="343" t="s">
        <v>169</v>
      </c>
      <c r="C2" s="343"/>
      <c r="D2" s="344"/>
      <c r="E2" s="344"/>
      <c r="F2" s="344"/>
      <c r="G2" s="344"/>
      <c r="H2" s="344"/>
      <c r="I2" s="344"/>
      <c r="J2" s="344"/>
      <c r="K2" s="344"/>
      <c r="L2" s="344"/>
      <c r="M2" s="344"/>
      <c r="N2" s="344"/>
      <c r="O2" s="343"/>
      <c r="P2" s="343"/>
      <c r="Q2" s="343"/>
      <c r="R2" s="343"/>
      <c r="S2" s="343"/>
      <c r="T2" s="343"/>
    </row>
    <row r="3" s="336" customFormat="1" ht="47.1" customHeight="1" spans="1:29">
      <c r="A3" s="345"/>
      <c r="B3" s="346" t="s">
        <v>170</v>
      </c>
      <c r="C3" s="346"/>
      <c r="D3" s="347" t="str">
        <f>'1-1 项目基础信息'!D8</f>
        <v>深圳区域公司深圳中海油大厦物业管理服务中心</v>
      </c>
      <c r="E3" s="347"/>
      <c r="F3" s="347"/>
      <c r="G3" s="347"/>
      <c r="H3" s="347"/>
      <c r="I3" s="346" t="s">
        <v>171</v>
      </c>
      <c r="J3" s="347">
        <v>2025</v>
      </c>
      <c r="K3" s="384" t="s">
        <v>172</v>
      </c>
      <c r="L3" s="385">
        <v>6</v>
      </c>
      <c r="M3" s="386" t="s">
        <v>173</v>
      </c>
      <c r="N3" s="387"/>
      <c r="O3" s="384" t="s">
        <v>174</v>
      </c>
      <c r="P3" s="388"/>
      <c r="Q3" s="388"/>
      <c r="R3" s="388"/>
      <c r="S3" s="388"/>
      <c r="T3" s="428"/>
      <c r="AC3" s="446"/>
    </row>
    <row r="4" s="337" customFormat="1" ht="74.1" customHeight="1" spans="1:33">
      <c r="A4" s="348"/>
      <c r="B4" s="349" t="s">
        <v>175</v>
      </c>
      <c r="C4" s="349"/>
      <c r="D4" s="350">
        <f>'2 过程管理表单'!H4/10000</f>
        <v>2896.36236364696</v>
      </c>
      <c r="E4" s="350"/>
      <c r="F4" s="349" t="s">
        <v>176</v>
      </c>
      <c r="G4" s="351"/>
      <c r="H4" s="352">
        <f>L3/12</f>
        <v>0.5</v>
      </c>
      <c r="I4" s="352"/>
      <c r="J4" s="389">
        <f t="shared" ref="J4:J9" si="0">H4</f>
        <v>0.5</v>
      </c>
      <c r="K4" s="390">
        <f t="shared" ref="K4:K9" si="1">1-J4</f>
        <v>0.5</v>
      </c>
      <c r="L4" s="391"/>
      <c r="M4" s="392"/>
      <c r="N4" s="393"/>
      <c r="O4" s="394" t="s">
        <v>177</v>
      </c>
      <c r="P4" s="395">
        <f>SUM(P6:P10)</f>
        <v>171.083333333333</v>
      </c>
      <c r="Q4" s="429" t="s">
        <v>178</v>
      </c>
      <c r="R4" s="430">
        <f>SUM(Q6:Q10)</f>
        <v>20</v>
      </c>
      <c r="S4" s="429" t="s">
        <v>179</v>
      </c>
      <c r="T4" s="431">
        <f>SUM(R6:R10)</f>
        <v>86</v>
      </c>
      <c r="U4" s="432"/>
      <c r="V4" s="432"/>
      <c r="W4" s="432"/>
      <c r="X4" s="432"/>
      <c r="Y4" s="432"/>
      <c r="Z4" s="432"/>
      <c r="AA4" s="432"/>
      <c r="AB4" s="432"/>
      <c r="AC4" s="432"/>
      <c r="AD4" s="432"/>
      <c r="AE4" s="432"/>
      <c r="AF4" s="432"/>
      <c r="AG4" s="432"/>
    </row>
    <row r="5" s="337" customFormat="1" ht="74.1" customHeight="1" spans="1:33">
      <c r="A5" s="348"/>
      <c r="B5" s="349" t="s">
        <v>180</v>
      </c>
      <c r="C5" s="349"/>
      <c r="D5" s="350">
        <f>INDEX('4-1主要费项费项月累成本使用情况'!C38:N38,MATCH($L$3&amp;"月",表3_3[[#Headers],[1月]:[12月]],0))/10000</f>
        <v>685.570427897969</v>
      </c>
      <c r="E5" s="350"/>
      <c r="F5" s="349" t="s">
        <v>181</v>
      </c>
      <c r="G5" s="351"/>
      <c r="H5" s="352">
        <f>D6/D4</f>
        <v>0.179709108394462</v>
      </c>
      <c r="I5" s="352"/>
      <c r="J5" s="396">
        <f t="shared" si="0"/>
        <v>0.179709108394462</v>
      </c>
      <c r="K5" s="397">
        <f t="shared" si="1"/>
        <v>0.820290891605538</v>
      </c>
      <c r="L5" s="391"/>
      <c r="M5" s="392"/>
      <c r="N5" s="393"/>
      <c r="O5" s="398"/>
      <c r="P5" s="399" t="s">
        <v>182</v>
      </c>
      <c r="Q5" s="399" t="s">
        <v>183</v>
      </c>
      <c r="R5" s="399" t="s">
        <v>184</v>
      </c>
      <c r="S5" s="433"/>
      <c r="T5" s="407"/>
      <c r="U5" s="432"/>
      <c r="Y5" s="432"/>
      <c r="Z5" s="432"/>
      <c r="AA5" s="432"/>
      <c r="AB5" s="432"/>
      <c r="AC5" s="432"/>
      <c r="AD5" s="432"/>
      <c r="AE5" s="432"/>
      <c r="AF5" s="432"/>
      <c r="AG5" s="432"/>
    </row>
    <row r="6" s="337" customFormat="1" ht="74.1" customHeight="1" spans="1:33">
      <c r="A6" s="348"/>
      <c r="B6" s="349" t="s">
        <v>185</v>
      </c>
      <c r="C6" s="349"/>
      <c r="D6" s="353">
        <f>INDEX('4-1主要费项费项月累成本使用情况'!C39:N39,MATCH($L$3&amp;"月",表3_3[[#Headers],[1月]:[12月]],0))/10000</f>
        <v>520.502697958272</v>
      </c>
      <c r="E6" s="353"/>
      <c r="F6" s="349" t="s">
        <v>186</v>
      </c>
      <c r="G6" s="351"/>
      <c r="H6" s="352">
        <f>D6/D5</f>
        <v>0.759225714496158</v>
      </c>
      <c r="I6" s="352"/>
      <c r="J6" s="400">
        <f t="shared" si="0"/>
        <v>0.759225714496158</v>
      </c>
      <c r="K6" s="401">
        <f t="shared" si="1"/>
        <v>0.240774285503842</v>
      </c>
      <c r="L6" s="402"/>
      <c r="M6" s="403"/>
      <c r="N6" s="393"/>
      <c r="O6" s="373" t="s">
        <v>187</v>
      </c>
      <c r="P6" s="404">
        <f>'1-2 人员岗位信息'!D7</f>
        <v>46</v>
      </c>
      <c r="Q6" s="404">
        <f>'1-2 人员岗位信息'!D8</f>
        <v>0</v>
      </c>
      <c r="R6" s="404">
        <f>'1-2 人员岗位信息'!D9</f>
        <v>0</v>
      </c>
      <c r="S6" s="404"/>
      <c r="T6" s="392"/>
      <c r="U6" s="432"/>
      <c r="Y6" s="432"/>
      <c r="Z6" s="432"/>
      <c r="AA6" s="432"/>
      <c r="AB6" s="432"/>
      <c r="AC6" s="432"/>
      <c r="AD6" s="432"/>
      <c r="AE6" s="432"/>
      <c r="AF6" s="432"/>
      <c r="AG6" s="432"/>
    </row>
    <row r="7" s="337" customFormat="1" ht="74.1" customHeight="1" spans="1:33">
      <c r="A7" s="348"/>
      <c r="B7" s="349" t="s">
        <v>188</v>
      </c>
      <c r="C7" s="354"/>
      <c r="D7" s="355">
        <f>INDEX('4-1主要费项费项月累成本使用情况'!C48:N48,MATCH($L$3&amp;"月",表3_3[[#Headers],[1月]:[12月]],0))</f>
        <v>2</v>
      </c>
      <c r="E7" s="356" t="s">
        <v>189</v>
      </c>
      <c r="F7" s="357" t="s">
        <v>190</v>
      </c>
      <c r="G7" s="349"/>
      <c r="H7" s="358">
        <f>IFERROR(INDEX(自有人员计算表!C35:N35,MATCH($L$3&amp;"月",自有人员计算表!C1:N1,0))/自有人员计算表!N37,"无目标值")</f>
        <v>0.00115665880270823</v>
      </c>
      <c r="I7" s="405"/>
      <c r="J7" s="389">
        <f t="shared" si="0"/>
        <v>0.00115665880270823</v>
      </c>
      <c r="K7" s="390">
        <f t="shared" si="1"/>
        <v>0.998843341197292</v>
      </c>
      <c r="L7" s="406"/>
      <c r="M7" s="407"/>
      <c r="N7" s="393"/>
      <c r="O7" s="373" t="s">
        <v>191</v>
      </c>
      <c r="P7" s="404">
        <f>'1-2 人员岗位信息'!D71</f>
        <v>1</v>
      </c>
      <c r="Q7" s="404">
        <f>'1-2 人员岗位信息'!D72</f>
        <v>0</v>
      </c>
      <c r="R7" s="404">
        <f>'1-2 人员岗位信息'!D73</f>
        <v>65</v>
      </c>
      <c r="S7" s="404"/>
      <c r="T7" s="434"/>
      <c r="U7" s="432"/>
      <c r="Y7" s="432"/>
      <c r="Z7" s="432"/>
      <c r="AA7" s="432"/>
      <c r="AB7" s="432"/>
      <c r="AC7" s="432"/>
      <c r="AD7" s="432"/>
      <c r="AE7" s="432"/>
      <c r="AF7" s="432"/>
      <c r="AG7" s="432"/>
    </row>
    <row r="8" s="337" customFormat="1" ht="74.1" customHeight="1" spans="1:33">
      <c r="A8" s="348"/>
      <c r="B8" s="349" t="s">
        <v>192</v>
      </c>
      <c r="C8" s="354"/>
      <c r="D8" s="355">
        <f>INDEX(三级费项月累表格!C195:N195,MATCH($L$3&amp;"月",表3_3[[#Headers],[1月]:[12月]],0))</f>
        <v>44</v>
      </c>
      <c r="E8" s="359" t="s">
        <v>193</v>
      </c>
      <c r="F8" s="357" t="s">
        <v>194</v>
      </c>
      <c r="G8" s="349"/>
      <c r="H8" s="360" t="str">
        <f>IFERROR(INDEX(劳务派遣统计表!C35:N35,MATCH($L$3&amp;"月",劳务派遣统计表!C1:N1,0))/劳务派遣统计表!N37,"无目标值")</f>
        <v>无目标值</v>
      </c>
      <c r="I8" s="408"/>
      <c r="J8" s="396" t="str">
        <f t="shared" si="0"/>
        <v>无目标值</v>
      </c>
      <c r="K8" s="397" t="e">
        <f t="shared" si="1"/>
        <v>#VALUE!</v>
      </c>
      <c r="L8" s="391"/>
      <c r="M8" s="392"/>
      <c r="N8" s="393"/>
      <c r="O8" s="373" t="s">
        <v>195</v>
      </c>
      <c r="P8" s="409">
        <f>'1-2 人员岗位信息'!D115</f>
        <v>38</v>
      </c>
      <c r="Q8" s="404">
        <f>'1-2 人员岗位信息'!D116</f>
        <v>0</v>
      </c>
      <c r="R8" s="404">
        <f>'1-2 人员岗位信息'!D117</f>
        <v>0</v>
      </c>
      <c r="S8" s="411"/>
      <c r="T8" s="392"/>
      <c r="U8" s="432"/>
      <c r="V8" s="432"/>
      <c r="W8" s="432"/>
      <c r="X8" s="432"/>
      <c r="Y8" s="432"/>
      <c r="Z8" s="432"/>
      <c r="AA8" s="432"/>
      <c r="AB8" s="432"/>
      <c r="AC8" s="432"/>
      <c r="AD8" s="432"/>
      <c r="AE8" s="432"/>
      <c r="AF8" s="432"/>
      <c r="AG8" s="432"/>
    </row>
    <row r="9" s="337" customFormat="1" ht="74.1" customHeight="1" spans="1:33">
      <c r="A9" s="348"/>
      <c r="B9" s="349" t="s">
        <v>196</v>
      </c>
      <c r="C9" s="354"/>
      <c r="D9" s="361">
        <v>35</v>
      </c>
      <c r="E9" s="362" t="s">
        <v>197</v>
      </c>
      <c r="F9" s="357" t="s">
        <v>198</v>
      </c>
      <c r="G9" s="351"/>
      <c r="H9" s="363">
        <f>IFERROR(INDEX(劳务外包表!C47:N47,MATCH($L$3&amp;"月",劳务外包表!C1:N1,0))/劳务外包表!N49,"无目标值")</f>
        <v>0.275053696999507</v>
      </c>
      <c r="I9" s="410"/>
      <c r="J9" s="400">
        <f t="shared" si="0"/>
        <v>0.275053696999507</v>
      </c>
      <c r="K9" s="401">
        <f t="shared" si="1"/>
        <v>0.724946303000493</v>
      </c>
      <c r="L9" s="402"/>
      <c r="M9" s="403"/>
      <c r="N9" s="393"/>
      <c r="O9" s="373" t="s">
        <v>199</v>
      </c>
      <c r="P9" s="411">
        <f>'1-2 人员岗位信息'!D155</f>
        <v>24</v>
      </c>
      <c r="Q9" s="411">
        <f>'1-2 人员岗位信息'!D156</f>
        <v>0</v>
      </c>
      <c r="R9" s="411">
        <f>'1-2 人员岗位信息'!D157</f>
        <v>0</v>
      </c>
      <c r="S9" s="404"/>
      <c r="T9" s="434"/>
      <c r="U9" s="432"/>
      <c r="V9" s="432"/>
      <c r="W9" s="432"/>
      <c r="X9" s="432"/>
      <c r="Y9" s="432"/>
      <c r="Z9" s="432"/>
      <c r="AA9" s="432"/>
      <c r="AB9" s="432"/>
      <c r="AC9" s="432"/>
      <c r="AD9" s="432"/>
      <c r="AE9" s="432"/>
      <c r="AF9" s="432"/>
      <c r="AG9" s="432"/>
    </row>
    <row r="10" s="337" customFormat="1" ht="74.1" customHeight="1" spans="1:33">
      <c r="A10" s="348"/>
      <c r="B10" s="349" t="s">
        <v>200</v>
      </c>
      <c r="C10" s="349"/>
      <c r="D10" s="364" cm="1">
        <f t="array" ref="D10">SUMPRODUCT((TEXT('2-2 引出数据_合同数据仓库'!AC:AC,"yyyymm")&lt;=TEXT(DATE(2025,$L$3+1,0),"yyyymm"))*(('2-2 引出数据_合同数据仓库'!C:C="审核通过")))</f>
        <v>43</v>
      </c>
      <c r="E10" s="364"/>
      <c r="F10" s="349" t="s">
        <v>201</v>
      </c>
      <c r="G10" s="349"/>
      <c r="H10" s="365" cm="1">
        <f t="array" ref="H10">SUMPRODUCT(--(LEFT('2-1 采购订单物料明细表报表导出'!K:K,7)&lt;&gt;"")*--(LEFT('2-1 采购订单物料明细表报表导出'!K:K,7)&lt;=TEXT(DATE(2025,$L$3,1),"yyyy-mm")))</f>
        <v>3969</v>
      </c>
      <c r="I10" s="412"/>
      <c r="J10" s="349" t="s">
        <v>202</v>
      </c>
      <c r="K10" s="349"/>
      <c r="L10" s="365" cm="1">
        <f t="array" ref="L10">SUMPRODUCT((TEXT('2-3 引出列表'!M:M,"yyyymm")&lt;=TEXT(DATE(2025,$L$3+1,0),"yyyymm"))*(('2-3 引出列表'!L:L="已审核")+('2-3 引出列表'!M:M="已付款")))</f>
        <v>0</v>
      </c>
      <c r="M10" s="412"/>
      <c r="N10" s="413"/>
      <c r="O10" s="375" t="s">
        <v>203</v>
      </c>
      <c r="P10" s="414">
        <f>'1-2 人员岗位信息'!D35</f>
        <v>62.0833333333333</v>
      </c>
      <c r="Q10" s="435">
        <f>'1-2 人员岗位信息'!D36</f>
        <v>20</v>
      </c>
      <c r="R10" s="435">
        <f>'1-2 人员岗位信息'!D37</f>
        <v>21</v>
      </c>
      <c r="S10" s="435"/>
      <c r="T10" s="436"/>
      <c r="U10" s="432"/>
      <c r="V10" s="432"/>
      <c r="W10" s="432"/>
      <c r="X10" s="432"/>
      <c r="Y10" s="432"/>
      <c r="Z10" s="432"/>
      <c r="AA10" s="432"/>
      <c r="AB10" s="432"/>
      <c r="AC10" s="432"/>
      <c r="AD10" s="432"/>
      <c r="AE10" s="432"/>
      <c r="AF10" s="432"/>
      <c r="AG10" s="432"/>
    </row>
    <row r="11" ht="9" customHeight="1" spans="2:20">
      <c r="B11" s="366"/>
      <c r="C11" s="367"/>
      <c r="D11" s="367"/>
      <c r="E11" s="367"/>
      <c r="F11" s="367"/>
      <c r="G11" s="367"/>
      <c r="H11" s="367"/>
      <c r="I11" s="415"/>
      <c r="J11" s="367"/>
      <c r="K11" s="415"/>
      <c r="L11" s="367"/>
      <c r="M11" s="416"/>
      <c r="N11" s="417"/>
      <c r="O11" s="417"/>
      <c r="P11" s="418"/>
      <c r="Q11" s="418"/>
      <c r="R11" s="418"/>
      <c r="S11" s="418"/>
      <c r="T11" s="437"/>
    </row>
    <row r="12" ht="27.95" customHeight="1" spans="2:20">
      <c r="B12" s="368" t="s">
        <v>204</v>
      </c>
      <c r="C12" s="369"/>
      <c r="D12" s="369"/>
      <c r="E12" s="369"/>
      <c r="F12" s="369"/>
      <c r="G12" s="369"/>
      <c r="H12" s="369"/>
      <c r="I12" s="369"/>
      <c r="J12" s="369"/>
      <c r="K12" s="369"/>
      <c r="L12" s="369"/>
      <c r="M12" s="369"/>
      <c r="N12" s="369"/>
      <c r="O12" s="369"/>
      <c r="P12" s="369"/>
      <c r="Q12" s="369"/>
      <c r="R12" s="369"/>
      <c r="S12" s="369"/>
      <c r="T12" s="438"/>
    </row>
    <row r="13" ht="17.1" customHeight="1" spans="2:20">
      <c r="B13" s="370"/>
      <c r="C13" s="371"/>
      <c r="D13" s="371"/>
      <c r="E13" s="371"/>
      <c r="F13" s="371"/>
      <c r="G13" s="371"/>
      <c r="H13" s="371"/>
      <c r="I13" s="371"/>
      <c r="J13" s="371"/>
      <c r="K13" s="371"/>
      <c r="L13" s="371"/>
      <c r="M13" s="371"/>
      <c r="T13" s="439"/>
    </row>
    <row r="14" s="338" customFormat="1" ht="29.1" customHeight="1" spans="1:20">
      <c r="A14" s="372"/>
      <c r="B14" s="373"/>
      <c r="C14" s="374"/>
      <c r="D14" s="374"/>
      <c r="E14" s="374"/>
      <c r="F14" s="374"/>
      <c r="G14" s="374"/>
      <c r="H14" s="374"/>
      <c r="I14" s="374"/>
      <c r="J14" s="374"/>
      <c r="K14" s="374"/>
      <c r="L14" s="374"/>
      <c r="M14" s="374"/>
      <c r="T14" s="440"/>
    </row>
    <row r="15" s="338" customFormat="1" ht="29.1" customHeight="1" spans="1:20">
      <c r="A15" s="372"/>
      <c r="B15" s="373"/>
      <c r="C15" s="374"/>
      <c r="D15" s="374"/>
      <c r="E15" s="374"/>
      <c r="F15" s="374"/>
      <c r="G15" s="374"/>
      <c r="H15" s="374"/>
      <c r="I15" s="374"/>
      <c r="J15" s="374"/>
      <c r="K15" s="374"/>
      <c r="L15" s="374"/>
      <c r="M15" s="374"/>
      <c r="T15" s="440"/>
    </row>
    <row r="16" s="338" customFormat="1" ht="29.1" customHeight="1" spans="1:20">
      <c r="A16" s="372"/>
      <c r="B16" s="373"/>
      <c r="C16" s="374"/>
      <c r="D16" s="374"/>
      <c r="E16" s="374"/>
      <c r="F16" s="374"/>
      <c r="G16" s="374"/>
      <c r="H16" s="374"/>
      <c r="I16" s="374"/>
      <c r="J16" s="374"/>
      <c r="K16" s="374"/>
      <c r="L16" s="374"/>
      <c r="M16" s="374"/>
      <c r="T16" s="440"/>
    </row>
    <row r="17" s="338" customFormat="1" ht="29.1" customHeight="1" spans="1:20">
      <c r="A17" s="372"/>
      <c r="B17" s="373"/>
      <c r="C17" s="374"/>
      <c r="D17" s="374"/>
      <c r="E17" s="374"/>
      <c r="F17" s="374"/>
      <c r="G17" s="374"/>
      <c r="H17" s="374"/>
      <c r="I17" s="374"/>
      <c r="J17" s="374"/>
      <c r="K17" s="374"/>
      <c r="L17" s="374"/>
      <c r="M17" s="374"/>
      <c r="T17" s="440"/>
    </row>
    <row r="18" s="338" customFormat="1" ht="29.1" customHeight="1" spans="1:20">
      <c r="A18" s="372"/>
      <c r="B18" s="373"/>
      <c r="C18" s="374"/>
      <c r="D18" s="374"/>
      <c r="E18" s="374"/>
      <c r="F18" s="374"/>
      <c r="G18" s="374"/>
      <c r="H18" s="374"/>
      <c r="I18" s="374"/>
      <c r="J18" s="374"/>
      <c r="K18" s="374"/>
      <c r="L18" s="374"/>
      <c r="M18" s="374"/>
      <c r="T18" s="440"/>
    </row>
    <row r="19" s="338" customFormat="1" ht="29.1" customHeight="1" spans="1:20">
      <c r="A19" s="372"/>
      <c r="B19" s="373"/>
      <c r="C19" s="374"/>
      <c r="D19" s="374"/>
      <c r="E19" s="374"/>
      <c r="F19" s="374"/>
      <c r="G19" s="374"/>
      <c r="H19" s="374"/>
      <c r="I19" s="374"/>
      <c r="J19" s="374"/>
      <c r="K19" s="374"/>
      <c r="L19" s="374"/>
      <c r="M19" s="374"/>
      <c r="T19" s="440"/>
    </row>
    <row r="20" s="338" customFormat="1" ht="29.1" customHeight="1" spans="1:20">
      <c r="A20" s="372"/>
      <c r="B20" s="373"/>
      <c r="C20" s="374"/>
      <c r="D20" s="374"/>
      <c r="E20" s="374"/>
      <c r="F20" s="374"/>
      <c r="G20" s="374"/>
      <c r="H20" s="374"/>
      <c r="I20" s="374"/>
      <c r="J20" s="374"/>
      <c r="K20" s="374"/>
      <c r="L20" s="374"/>
      <c r="M20" s="374"/>
      <c r="T20" s="440"/>
    </row>
    <row r="21" s="338" customFormat="1" ht="29.1" customHeight="1" spans="1:20">
      <c r="A21" s="372"/>
      <c r="B21" s="373"/>
      <c r="C21" s="374"/>
      <c r="D21" s="374"/>
      <c r="E21" s="374"/>
      <c r="F21" s="374"/>
      <c r="G21" s="374"/>
      <c r="H21" s="374"/>
      <c r="I21" s="374"/>
      <c r="J21" s="374"/>
      <c r="K21" s="374"/>
      <c r="L21" s="374"/>
      <c r="M21" s="374"/>
      <c r="T21" s="440"/>
    </row>
    <row r="22" s="338" customFormat="1" ht="29.1" customHeight="1" spans="1:20">
      <c r="A22" s="372"/>
      <c r="B22" s="373"/>
      <c r="C22" s="374"/>
      <c r="D22" s="374"/>
      <c r="E22" s="374"/>
      <c r="F22" s="374"/>
      <c r="G22" s="374"/>
      <c r="H22" s="374"/>
      <c r="I22" s="374"/>
      <c r="J22" s="374"/>
      <c r="K22" s="374"/>
      <c r="L22" s="374"/>
      <c r="M22" s="374"/>
      <c r="T22" s="440"/>
    </row>
    <row r="23" s="338" customFormat="1" ht="29.1" customHeight="1" spans="1:20">
      <c r="A23" s="372"/>
      <c r="B23" s="373"/>
      <c r="C23" s="374"/>
      <c r="D23" s="374"/>
      <c r="E23" s="374"/>
      <c r="F23" s="374"/>
      <c r="G23" s="374"/>
      <c r="H23" s="374"/>
      <c r="I23" s="374"/>
      <c r="J23" s="374"/>
      <c r="K23" s="374"/>
      <c r="L23" s="374"/>
      <c r="M23" s="374"/>
      <c r="T23" s="440"/>
    </row>
    <row r="24" s="338" customFormat="1" ht="29.1" customHeight="1" spans="1:20">
      <c r="A24" s="372"/>
      <c r="B24" s="375"/>
      <c r="C24" s="376"/>
      <c r="D24" s="376"/>
      <c r="E24" s="376"/>
      <c r="F24" s="376"/>
      <c r="G24" s="376"/>
      <c r="H24" s="376"/>
      <c r="I24" s="376"/>
      <c r="J24" s="376"/>
      <c r="K24" s="376"/>
      <c r="L24" s="376"/>
      <c r="M24" s="376"/>
      <c r="N24" s="376"/>
      <c r="O24" s="376"/>
      <c r="P24" s="376"/>
      <c r="Q24" s="376"/>
      <c r="R24" s="376"/>
      <c r="S24" s="376"/>
      <c r="T24" s="441"/>
    </row>
    <row r="25" s="338" customFormat="1" ht="29.1" customHeight="1" spans="1:20">
      <c r="A25" s="372"/>
      <c r="B25" s="368" t="s">
        <v>205</v>
      </c>
      <c r="C25" s="369"/>
      <c r="D25" s="369"/>
      <c r="E25" s="369"/>
      <c r="F25" s="369"/>
      <c r="G25" s="369"/>
      <c r="H25" s="369"/>
      <c r="I25" s="369"/>
      <c r="J25" s="369"/>
      <c r="K25" s="369"/>
      <c r="L25" s="369"/>
      <c r="M25" s="369"/>
      <c r="N25" s="369"/>
      <c r="O25" s="369"/>
      <c r="P25" s="369"/>
      <c r="Q25" s="369"/>
      <c r="R25" s="369"/>
      <c r="S25" s="369"/>
      <c r="T25" s="438"/>
    </row>
    <row r="26" s="338" customFormat="1" ht="17.1" customHeight="1" spans="1:30">
      <c r="A26" s="339"/>
      <c r="B26" s="370"/>
      <c r="C26" s="371"/>
      <c r="D26" s="371"/>
      <c r="E26" s="371"/>
      <c r="F26" s="371"/>
      <c r="G26" s="371"/>
      <c r="H26" s="371"/>
      <c r="I26" s="371"/>
      <c r="J26" s="371"/>
      <c r="K26" s="371"/>
      <c r="L26" s="371"/>
      <c r="M26" s="371"/>
      <c r="T26" s="440"/>
      <c r="X26" s="340"/>
      <c r="Y26" s="340"/>
      <c r="Z26" s="340"/>
      <c r="AA26" s="340"/>
      <c r="AB26" s="340"/>
      <c r="AC26" s="340"/>
      <c r="AD26" s="340"/>
    </row>
    <row r="27" s="338" customFormat="1" ht="20.1" customHeight="1" spans="1:20">
      <c r="A27" s="372"/>
      <c r="B27" s="373"/>
      <c r="C27" s="374"/>
      <c r="D27" s="374"/>
      <c r="E27" s="374"/>
      <c r="F27" s="374"/>
      <c r="G27" s="374"/>
      <c r="H27" s="374"/>
      <c r="I27" s="374"/>
      <c r="J27" s="374"/>
      <c r="K27" s="374"/>
      <c r="L27" s="374"/>
      <c r="M27" s="374"/>
      <c r="T27" s="440"/>
    </row>
    <row r="28" s="338" customFormat="1" ht="20.1" customHeight="1" spans="1:20">
      <c r="A28" s="372"/>
      <c r="B28" s="373"/>
      <c r="C28" s="374"/>
      <c r="D28" s="374"/>
      <c r="E28" s="374"/>
      <c r="F28" s="374"/>
      <c r="G28" s="374"/>
      <c r="H28" s="374"/>
      <c r="I28" s="374"/>
      <c r="J28" s="374"/>
      <c r="K28" s="374"/>
      <c r="L28" s="374"/>
      <c r="M28" s="374"/>
      <c r="T28" s="440"/>
    </row>
    <row r="29" s="338" customFormat="1" ht="20.1" customHeight="1" spans="1:20">
      <c r="A29" s="372"/>
      <c r="B29" s="373"/>
      <c r="C29" s="374"/>
      <c r="D29" s="374"/>
      <c r="E29" s="374"/>
      <c r="F29" s="374"/>
      <c r="G29" s="374"/>
      <c r="H29" s="374"/>
      <c r="I29" s="374"/>
      <c r="J29" s="374"/>
      <c r="K29" s="374"/>
      <c r="L29" s="374"/>
      <c r="M29" s="374"/>
      <c r="T29" s="440"/>
    </row>
    <row r="30" s="338" customFormat="1" ht="20.1" customHeight="1" spans="1:20">
      <c r="A30" s="372"/>
      <c r="B30" s="373"/>
      <c r="C30" s="374"/>
      <c r="D30" s="374"/>
      <c r="E30" s="374"/>
      <c r="F30" s="374"/>
      <c r="G30" s="374"/>
      <c r="H30" s="374"/>
      <c r="I30" s="374"/>
      <c r="J30" s="374"/>
      <c r="K30" s="374"/>
      <c r="L30" s="374"/>
      <c r="M30" s="374"/>
      <c r="T30" s="440"/>
    </row>
    <row r="31" s="338" customFormat="1" ht="20.1" customHeight="1" spans="1:20">
      <c r="A31" s="372"/>
      <c r="B31" s="373"/>
      <c r="C31" s="374"/>
      <c r="D31" s="374"/>
      <c r="E31" s="374"/>
      <c r="F31" s="374"/>
      <c r="G31" s="374"/>
      <c r="H31" s="374"/>
      <c r="I31" s="374"/>
      <c r="J31" s="374"/>
      <c r="K31" s="374"/>
      <c r="L31" s="374"/>
      <c r="M31" s="374"/>
      <c r="T31" s="440"/>
    </row>
    <row r="32" s="338" customFormat="1" ht="20.1" customHeight="1" spans="1:20">
      <c r="A32" s="372"/>
      <c r="B32" s="373"/>
      <c r="C32" s="374"/>
      <c r="D32" s="374"/>
      <c r="E32" s="374"/>
      <c r="F32" s="374"/>
      <c r="G32" s="374"/>
      <c r="H32" s="374"/>
      <c r="I32" s="374"/>
      <c r="J32" s="374"/>
      <c r="K32" s="374"/>
      <c r="L32" s="374"/>
      <c r="M32" s="374"/>
      <c r="T32" s="440"/>
    </row>
    <row r="33" s="338" customFormat="1" ht="20.1" customHeight="1" spans="1:20">
      <c r="A33" s="372"/>
      <c r="B33" s="373"/>
      <c r="C33" s="374"/>
      <c r="D33" s="374"/>
      <c r="E33" s="374"/>
      <c r="F33" s="374"/>
      <c r="G33" s="374"/>
      <c r="H33" s="374"/>
      <c r="I33" s="374"/>
      <c r="J33" s="374"/>
      <c r="K33" s="374"/>
      <c r="L33" s="374"/>
      <c r="M33" s="374"/>
      <c r="T33" s="440"/>
    </row>
    <row r="34" s="338" customFormat="1" ht="20.1" customHeight="1" spans="1:20">
      <c r="A34" s="372"/>
      <c r="B34" s="373"/>
      <c r="C34" s="374"/>
      <c r="D34" s="374"/>
      <c r="E34" s="374"/>
      <c r="F34" s="374"/>
      <c r="G34" s="374"/>
      <c r="H34" s="374"/>
      <c r="I34" s="374"/>
      <c r="J34" s="374"/>
      <c r="K34" s="374"/>
      <c r="L34" s="374"/>
      <c r="M34" s="374"/>
      <c r="T34" s="440"/>
    </row>
    <row r="35" s="338" customFormat="1" ht="20.1" customHeight="1" spans="1:20">
      <c r="A35" s="372"/>
      <c r="B35" s="373"/>
      <c r="C35" s="374"/>
      <c r="D35" s="374"/>
      <c r="E35" s="374"/>
      <c r="F35" s="374"/>
      <c r="G35" s="374"/>
      <c r="H35" s="374"/>
      <c r="I35" s="374"/>
      <c r="J35" s="374"/>
      <c r="K35" s="374"/>
      <c r="L35" s="374"/>
      <c r="M35" s="374"/>
      <c r="T35" s="440"/>
    </row>
    <row r="36" ht="20.1" customHeight="1" spans="2:20">
      <c r="B36" s="370"/>
      <c r="C36" s="371"/>
      <c r="D36" s="371"/>
      <c r="E36" s="371"/>
      <c r="F36" s="371"/>
      <c r="G36" s="371"/>
      <c r="H36" s="371"/>
      <c r="I36" s="371"/>
      <c r="J36" s="371"/>
      <c r="K36" s="371"/>
      <c r="L36" s="371"/>
      <c r="M36" s="371"/>
      <c r="T36" s="439"/>
    </row>
    <row r="37" ht="20.1" customHeight="1" spans="2:20">
      <c r="B37" s="370"/>
      <c r="C37" s="371"/>
      <c r="D37" s="371"/>
      <c r="E37" s="371"/>
      <c r="F37" s="371"/>
      <c r="G37" s="371"/>
      <c r="H37" s="371"/>
      <c r="I37" s="371"/>
      <c r="J37" s="371"/>
      <c r="K37" s="371"/>
      <c r="L37" s="371"/>
      <c r="M37" s="371"/>
      <c r="T37" s="439"/>
    </row>
    <row r="38" ht="20.1" customHeight="1" spans="2:20">
      <c r="B38" s="370"/>
      <c r="C38" s="371"/>
      <c r="D38" s="371"/>
      <c r="E38" s="371"/>
      <c r="F38" s="371"/>
      <c r="G38" s="371"/>
      <c r="H38" s="371"/>
      <c r="I38" s="371"/>
      <c r="J38" s="371"/>
      <c r="K38" s="371"/>
      <c r="L38" s="371"/>
      <c r="M38" s="371"/>
      <c r="T38" s="439"/>
    </row>
    <row r="39" ht="20.1" customHeight="1" spans="2:20">
      <c r="B39" s="370"/>
      <c r="C39" s="371"/>
      <c r="D39" s="371"/>
      <c r="E39" s="371"/>
      <c r="F39" s="371"/>
      <c r="G39" s="371"/>
      <c r="H39" s="371"/>
      <c r="I39" s="371"/>
      <c r="J39" s="371"/>
      <c r="K39" s="371"/>
      <c r="L39" s="371"/>
      <c r="M39" s="371"/>
      <c r="T39" s="439"/>
    </row>
    <row r="40" ht="20.1" customHeight="1" spans="2:20">
      <c r="B40" s="370"/>
      <c r="C40" s="371"/>
      <c r="D40" s="371"/>
      <c r="E40" s="371"/>
      <c r="F40" s="371"/>
      <c r="G40" s="371"/>
      <c r="H40" s="371"/>
      <c r="I40" s="371"/>
      <c r="J40" s="371"/>
      <c r="K40" s="371"/>
      <c r="L40" s="371"/>
      <c r="M40" s="371"/>
      <c r="T40" s="439"/>
    </row>
    <row r="41" ht="20.1" customHeight="1" spans="2:20">
      <c r="B41" s="370"/>
      <c r="C41" s="371"/>
      <c r="D41" s="371"/>
      <c r="E41" s="371"/>
      <c r="F41" s="371"/>
      <c r="G41" s="371"/>
      <c r="H41" s="371"/>
      <c r="I41" s="371"/>
      <c r="J41" s="371"/>
      <c r="K41" s="371"/>
      <c r="L41" s="371"/>
      <c r="M41" s="371"/>
      <c r="T41" s="439"/>
    </row>
    <row r="42" ht="20.1" customHeight="1" spans="2:20">
      <c r="B42" s="370"/>
      <c r="C42" s="371"/>
      <c r="D42" s="371"/>
      <c r="E42" s="371"/>
      <c r="F42" s="371"/>
      <c r="G42" s="371"/>
      <c r="H42" s="371"/>
      <c r="I42" s="371"/>
      <c r="J42" s="371"/>
      <c r="K42" s="371"/>
      <c r="L42" s="371"/>
      <c r="M42" s="371"/>
      <c r="T42" s="439"/>
    </row>
    <row r="43" ht="20.1" customHeight="1" spans="2:20">
      <c r="B43" s="370"/>
      <c r="C43" s="371"/>
      <c r="D43" s="371"/>
      <c r="E43" s="371"/>
      <c r="F43" s="371"/>
      <c r="G43" s="371"/>
      <c r="H43" s="371"/>
      <c r="I43" s="371"/>
      <c r="J43" s="371"/>
      <c r="K43" s="371"/>
      <c r="L43" s="371"/>
      <c r="M43" s="371"/>
      <c r="T43" s="439"/>
    </row>
    <row r="44" ht="20.1" customHeight="1" spans="2:20">
      <c r="B44" s="377"/>
      <c r="C44" s="378"/>
      <c r="D44" s="378"/>
      <c r="E44" s="378"/>
      <c r="F44" s="378"/>
      <c r="G44" s="378"/>
      <c r="H44" s="378"/>
      <c r="I44" s="378"/>
      <c r="J44" s="378"/>
      <c r="K44" s="378"/>
      <c r="L44" s="378"/>
      <c r="M44" s="378"/>
      <c r="N44" s="376"/>
      <c r="O44" s="376"/>
      <c r="P44" s="378"/>
      <c r="Q44" s="378"/>
      <c r="R44" s="378"/>
      <c r="S44" s="378"/>
      <c r="T44" s="442"/>
    </row>
    <row r="45" ht="27.95" customHeight="1" spans="2:20">
      <c r="B45" s="368" t="s">
        <v>206</v>
      </c>
      <c r="C45" s="369"/>
      <c r="D45" s="369"/>
      <c r="E45" s="369"/>
      <c r="F45" s="369"/>
      <c r="G45" s="369"/>
      <c r="H45" s="369"/>
      <c r="I45" s="369"/>
      <c r="J45" s="369"/>
      <c r="K45" s="369"/>
      <c r="L45" s="369"/>
      <c r="M45" s="369"/>
      <c r="N45" s="369"/>
      <c r="O45" s="369"/>
      <c r="P45" s="369"/>
      <c r="Q45" s="369"/>
      <c r="R45" s="369"/>
      <c r="S45" s="369"/>
      <c r="T45" s="438"/>
    </row>
    <row r="46" s="339" customFormat="1" ht="27.95" customHeight="1" spans="2:20">
      <c r="B46" s="379"/>
      <c r="C46" s="380"/>
      <c r="D46" s="380"/>
      <c r="E46" s="380"/>
      <c r="F46" s="380"/>
      <c r="G46" s="380"/>
      <c r="H46" s="380"/>
      <c r="I46" s="380"/>
      <c r="J46" s="380"/>
      <c r="K46" s="380"/>
      <c r="L46" s="380"/>
      <c r="M46" s="380"/>
      <c r="N46" s="419" t="s">
        <v>207</v>
      </c>
      <c r="O46" s="420" t="s">
        <v>208</v>
      </c>
      <c r="P46" s="420" t="s">
        <v>209</v>
      </c>
      <c r="Q46" s="420" t="s">
        <v>210</v>
      </c>
      <c r="R46" s="420" t="s">
        <v>211</v>
      </c>
      <c r="S46" s="420" t="s">
        <v>212</v>
      </c>
      <c r="T46" s="420" t="s">
        <v>213</v>
      </c>
    </row>
    <row r="47" s="339" customFormat="1" ht="33.95" customHeight="1" spans="2:20">
      <c r="B47" s="379"/>
      <c r="C47" s="380"/>
      <c r="D47" s="380"/>
      <c r="E47" s="380"/>
      <c r="F47" s="380"/>
      <c r="G47" s="380"/>
      <c r="H47" s="380"/>
      <c r="I47" s="380"/>
      <c r="J47" s="380"/>
      <c r="K47" s="380"/>
      <c r="L47" s="380"/>
      <c r="M47" s="380"/>
      <c r="N47" s="419"/>
      <c r="O47" s="420"/>
      <c r="P47" s="420"/>
      <c r="Q47" s="420"/>
      <c r="R47" s="420"/>
      <c r="S47" s="420"/>
      <c r="T47" s="420"/>
    </row>
    <row r="48" s="339" customFormat="1" ht="27.95" customHeight="1" spans="2:20">
      <c r="B48" s="379"/>
      <c r="C48" s="380"/>
      <c r="D48" s="380"/>
      <c r="E48" s="380"/>
      <c r="F48" s="380"/>
      <c r="G48" s="380"/>
      <c r="H48" s="380"/>
      <c r="I48" s="380"/>
      <c r="J48" s="380"/>
      <c r="K48" s="380"/>
      <c r="L48" s="380"/>
      <c r="M48" s="380"/>
      <c r="N48" s="421">
        <v>1.1</v>
      </c>
      <c r="O48" s="422" t="s">
        <v>214</v>
      </c>
      <c r="P48" s="423">
        <f>'2 过程管理表单'!H5/10000</f>
        <v>2489.27148530734</v>
      </c>
      <c r="Q48" s="423">
        <f>INDEX('4-1主要费项费项月累成本使用情况'!C5:N5,MATCH($L$3&amp;"月",表3_3[[#Headers],[1月]:[12月]],0))/10000</f>
        <v>323.577266482875</v>
      </c>
      <c r="R48" s="423">
        <f>INDEX('4-1主要费项费项月累成本使用情况'!C3:N3,MATCH($L$3&amp;"月",表3_3[[#Headers],[1月]:[12月]],0))/10000</f>
        <v>463.562766958272</v>
      </c>
      <c r="S48" s="443">
        <f t="shared" ref="S48:S56" si="2">IFERROR(R48/P48,"无年度目标")</f>
        <v>0.186224270713099</v>
      </c>
      <c r="T48" s="444">
        <f t="shared" ref="T48:T56" si="3">IFERROR(R48/Q48,"无月度目标")</f>
        <v>1.43261846543476</v>
      </c>
    </row>
    <row r="49" s="339" customFormat="1" ht="27.95" customHeight="1" spans="2:20">
      <c r="B49" s="379"/>
      <c r="C49" s="380"/>
      <c r="D49" s="380"/>
      <c r="E49" s="380"/>
      <c r="F49" s="380"/>
      <c r="G49" s="380"/>
      <c r="H49" s="380"/>
      <c r="I49" s="380"/>
      <c r="J49" s="380"/>
      <c r="K49" s="380"/>
      <c r="L49" s="380"/>
      <c r="M49" s="380"/>
      <c r="N49" s="421">
        <v>1.2</v>
      </c>
      <c r="O49" s="422" t="s">
        <v>9</v>
      </c>
      <c r="P49" s="423">
        <f>'2 过程管理表单'!H508/10000</f>
        <v>173.723686</v>
      </c>
      <c r="Q49" s="423">
        <f>INDEX('4-1主要费项费项月累成本使用情况'!C9:N9,MATCH($L$3&amp;"月",表3_3[[#Headers],[1月]:[12月]],0))/10000</f>
        <v>173.723686</v>
      </c>
      <c r="R49" s="423">
        <f>INDEX('4-1主要费项费项月累成本使用情况'!C7:N7,MATCH($L$3&amp;"月",表3_3[[#Headers],[1月]:[12月]],0))/10000</f>
        <v>30.129314</v>
      </c>
      <c r="S49" s="443">
        <f t="shared" si="2"/>
        <v>0.173432389639718</v>
      </c>
      <c r="T49" s="444">
        <f t="shared" si="3"/>
        <v>0.173432389639718</v>
      </c>
    </row>
    <row r="50" s="339" customFormat="1" ht="27.95" customHeight="1" spans="2:20">
      <c r="B50" s="379"/>
      <c r="C50" s="380"/>
      <c r="D50" s="380"/>
      <c r="E50" s="380"/>
      <c r="F50" s="380"/>
      <c r="G50" s="380"/>
      <c r="H50" s="380"/>
      <c r="I50" s="380"/>
      <c r="J50" s="380"/>
      <c r="K50" s="380"/>
      <c r="L50" s="380"/>
      <c r="M50" s="380"/>
      <c r="N50" s="421">
        <v>1.3</v>
      </c>
      <c r="O50" s="421" t="s">
        <v>64</v>
      </c>
      <c r="P50" s="423">
        <f>'2 过程管理表单'!H536/10000</f>
        <v>92.9716981132075</v>
      </c>
      <c r="Q50" s="423">
        <f>INDEX('4-1主要费项费项月累成本使用情况'!C13:N13,MATCH($L$3&amp;"月",表3_3[[#Headers],[1月]:[12月]],0))/10000</f>
        <v>59.9528301886792</v>
      </c>
      <c r="R50" s="423">
        <f>INDEX('4-1主要费项费项月累成本使用情况'!C10:N10,MATCH($L$3&amp;"月",表3_3[[#Headers],[1月]:[12月]],0))/10000</f>
        <v>0</v>
      </c>
      <c r="S50" s="443">
        <f t="shared" si="2"/>
        <v>0</v>
      </c>
      <c r="T50" s="444">
        <f t="shared" si="3"/>
        <v>0</v>
      </c>
    </row>
    <row r="51" s="339" customFormat="1" ht="27.95" customHeight="1" spans="2:20">
      <c r="B51" s="379"/>
      <c r="C51" s="380"/>
      <c r="D51" s="380"/>
      <c r="E51" s="380"/>
      <c r="F51" s="380"/>
      <c r="G51" s="380"/>
      <c r="H51" s="380"/>
      <c r="I51" s="380"/>
      <c r="J51" s="380"/>
      <c r="K51" s="380"/>
      <c r="L51" s="380"/>
      <c r="M51" s="380"/>
      <c r="N51" s="421">
        <v>1.4</v>
      </c>
      <c r="O51" s="422" t="s">
        <v>215</v>
      </c>
      <c r="P51" s="423">
        <f>'2 过程管理表单'!H597/10000</f>
        <v>0</v>
      </c>
      <c r="Q51" s="423">
        <f>INDEX('4-1主要费项费项月累成本使用情况'!C17:N17,MATCH($L$3&amp;"月",表3_3[[#Headers],[1月]:[12月]],0))/10000</f>
        <v>0</v>
      </c>
      <c r="R51" s="423">
        <f>INDEX('4-1主要费项费项月累成本使用情况'!C15:N15,MATCH($L$3&amp;"月",表3_3[[#Headers],[1月]:[12月]],0))/10000</f>
        <v>0</v>
      </c>
      <c r="S51" s="443" t="str">
        <f t="shared" si="2"/>
        <v>无年度目标</v>
      </c>
      <c r="T51" s="444" t="str">
        <f t="shared" si="3"/>
        <v>无月度目标</v>
      </c>
    </row>
    <row r="52" s="339" customFormat="1" ht="27.95" customHeight="1" spans="2:20">
      <c r="B52" s="379"/>
      <c r="C52" s="380"/>
      <c r="D52" s="380"/>
      <c r="E52" s="380"/>
      <c r="F52" s="380"/>
      <c r="G52" s="380"/>
      <c r="H52" s="380"/>
      <c r="I52" s="380"/>
      <c r="J52" s="380"/>
      <c r="K52" s="380"/>
      <c r="L52" s="380"/>
      <c r="M52" s="380"/>
      <c r="N52" s="424">
        <v>1.5</v>
      </c>
      <c r="O52" s="422" t="s">
        <v>216</v>
      </c>
      <c r="P52" s="423">
        <f>'2 过程管理表单'!H603/10000</f>
        <v>14.649498</v>
      </c>
      <c r="Q52" s="423">
        <f>INDEX('4-1主要费项费项月累成本使用情况'!C21:N21,MATCH($L$3&amp;"月",表3_3[[#Headers],[1月]:[12月]],0))/10000</f>
        <v>7.324749</v>
      </c>
      <c r="R52" s="423">
        <f>INDEX('4-1主要费项费项月累成本使用情况'!C19:N19,MATCH($L$3&amp;"月",表3_3[[#Headers],[1月]:[12月]],0))/10000</f>
        <v>12.035772</v>
      </c>
      <c r="S52" s="443">
        <f t="shared" si="2"/>
        <v>0.821582555252064</v>
      </c>
      <c r="T52" s="444">
        <f t="shared" si="3"/>
        <v>1.64316511050413</v>
      </c>
    </row>
    <row r="53" s="339" customFormat="1" ht="27.95" customHeight="1" spans="2:20">
      <c r="B53" s="379"/>
      <c r="C53" s="380"/>
      <c r="D53" s="380"/>
      <c r="E53" s="380"/>
      <c r="F53" s="380"/>
      <c r="G53" s="380"/>
      <c r="H53" s="380"/>
      <c r="I53" s="380"/>
      <c r="J53" s="380"/>
      <c r="K53" s="380"/>
      <c r="L53" s="380"/>
      <c r="M53" s="380"/>
      <c r="N53" s="421">
        <v>1.6</v>
      </c>
      <c r="O53" s="422" t="s">
        <v>217</v>
      </c>
      <c r="P53" s="423">
        <f>'2 过程管理表单'!H616/10000</f>
        <v>125.745996226415</v>
      </c>
      <c r="Q53" s="423">
        <f>INDEX('4-1主要费项费项月累成本使用情况'!C25:N25,MATCH($L$3&amp;"月",表3_3[[#Headers],[1月]:[12月]],0))/10000</f>
        <v>120.991896226415</v>
      </c>
      <c r="R53" s="423">
        <f>INDEX('4-1主要费项费项月累成本使用情况'!C23:N23,MATCH($L$3&amp;"月",表3_3[[#Headers],[1月]:[12月]],0))/10000</f>
        <v>14.774845</v>
      </c>
      <c r="S53" s="443">
        <f t="shared" si="2"/>
        <v>0.117497538238886</v>
      </c>
      <c r="T53" s="444">
        <f t="shared" si="3"/>
        <v>0.122114335429139</v>
      </c>
    </row>
    <row r="54" s="339" customFormat="1" ht="27.95" customHeight="1" spans="2:20">
      <c r="B54" s="379"/>
      <c r="C54" s="380"/>
      <c r="D54" s="380"/>
      <c r="E54" s="380"/>
      <c r="F54" s="380"/>
      <c r="G54" s="380"/>
      <c r="H54" s="380"/>
      <c r="I54" s="380"/>
      <c r="J54" s="380"/>
      <c r="K54" s="380"/>
      <c r="L54" s="380"/>
      <c r="M54" s="380"/>
      <c r="N54" s="425" t="s">
        <v>218</v>
      </c>
      <c r="O54" s="426" t="s">
        <v>219</v>
      </c>
      <c r="P54" s="423">
        <f>'2 过程管理表单'!H6/10000</f>
        <v>2442.48801901314</v>
      </c>
      <c r="Q54" s="423">
        <f>INDEX('4-1主要费项费项月累成本使用情况'!C29:N29,MATCH($L$3&amp;"月",表3_3[[#Headers],[1月]:[12月]],0))/10000</f>
        <v>1258.28554900657</v>
      </c>
      <c r="R54" s="423">
        <f>INDEX('4-1主要费项费项月累成本使用情况'!C27:N27,MATCH($L$3&amp;"月",表3_3[[#Headers],[1月]:[12月]],0))/10000</f>
        <v>162.871641644387</v>
      </c>
      <c r="S54" s="443">
        <f t="shared" si="2"/>
        <v>0.0666826778172665</v>
      </c>
      <c r="T54" s="444">
        <f t="shared" si="3"/>
        <v>0.129439332568808</v>
      </c>
    </row>
    <row r="55" s="339" customFormat="1" ht="27.95" customHeight="1" spans="2:20">
      <c r="B55" s="379"/>
      <c r="C55" s="380"/>
      <c r="D55" s="380"/>
      <c r="E55" s="380"/>
      <c r="F55" s="380"/>
      <c r="G55" s="380"/>
      <c r="H55" s="380"/>
      <c r="I55" s="380"/>
      <c r="J55" s="380"/>
      <c r="K55" s="380"/>
      <c r="L55" s="380"/>
      <c r="M55" s="380"/>
      <c r="N55" s="425" t="s">
        <v>220</v>
      </c>
      <c r="O55" s="426" t="s">
        <v>221</v>
      </c>
      <c r="P55" s="423">
        <f>'2 过程管理表单'!H177/10000</f>
        <v>46.7834662941931</v>
      </c>
      <c r="Q55" s="423">
        <f>INDEX('4-1主要费项费项月累成本使用情况'!C33:N33,MATCH($L$3&amp;"月",表3_3[[#Headers],[1月]:[12月]],0))/10000</f>
        <v>0</v>
      </c>
      <c r="R55" s="423">
        <f>INDEX('4-1主要费项费项月累成本使用情况'!C31:N31,MATCH($L$3&amp;"月",表3_3[[#Headers],[1月]:[12月]],0))/10000</f>
        <v>242.160813141735</v>
      </c>
      <c r="S55" s="443">
        <f t="shared" si="2"/>
        <v>5.17620502121264</v>
      </c>
      <c r="T55" s="444" t="str">
        <f t="shared" si="3"/>
        <v>无月度目标</v>
      </c>
    </row>
    <row r="56" s="339" customFormat="1" ht="27.95" customHeight="1" spans="2:20">
      <c r="B56" s="379"/>
      <c r="C56" s="380"/>
      <c r="D56" s="380"/>
      <c r="E56" s="380"/>
      <c r="F56" s="380"/>
      <c r="G56" s="380"/>
      <c r="H56" s="380"/>
      <c r="I56" s="380"/>
      <c r="J56" s="380"/>
      <c r="K56" s="380"/>
      <c r="L56" s="380"/>
      <c r="M56" s="380"/>
      <c r="N56" s="425" t="s">
        <v>222</v>
      </c>
      <c r="O56" s="426" t="s">
        <v>223</v>
      </c>
      <c r="P56" s="423">
        <f>'2 过程管理表单'!H428/10000</f>
        <v>0</v>
      </c>
      <c r="Q56" s="423">
        <f>INDEX('4-1主要费项费项月累成本使用情况'!C37:N37,MATCH($L$3&amp;"月",表3_3[[#Headers],[1月]:[12月]],0))/10000</f>
        <v>31.4117917658912</v>
      </c>
      <c r="R56" s="423">
        <f>INDEX('4-1主要费项费项月累成本使用情况'!C35:N35,MATCH($L$3&amp;"月",表3_3[[#Headers],[1月]:[12月]],0))/10000</f>
        <v>57.3241540026914</v>
      </c>
      <c r="S56" s="443" t="str">
        <f t="shared" si="2"/>
        <v>无年度目标</v>
      </c>
      <c r="T56" s="444">
        <f t="shared" si="3"/>
        <v>1.82492467892065</v>
      </c>
    </row>
    <row r="57" s="339" customFormat="1" ht="27.95" customHeight="1" spans="2:20">
      <c r="B57" s="381"/>
      <c r="C57" s="382"/>
      <c r="D57" s="382"/>
      <c r="E57" s="382"/>
      <c r="F57" s="382"/>
      <c r="G57" s="382"/>
      <c r="H57" s="382"/>
      <c r="I57" s="382"/>
      <c r="J57" s="382"/>
      <c r="K57" s="382"/>
      <c r="L57" s="382">
        <v>0</v>
      </c>
      <c r="M57" s="382"/>
      <c r="N57" s="427"/>
      <c r="O57" s="427"/>
      <c r="P57" s="376"/>
      <c r="Q57" s="376"/>
      <c r="R57" s="376"/>
      <c r="S57" s="376"/>
      <c r="T57" s="441"/>
    </row>
    <row r="58" s="339" customFormat="1" ht="27.95" customHeight="1" spans="2:20">
      <c r="B58" s="368" t="s">
        <v>224</v>
      </c>
      <c r="C58" s="369"/>
      <c r="D58" s="369"/>
      <c r="E58" s="369"/>
      <c r="F58" s="369"/>
      <c r="G58" s="369"/>
      <c r="H58" s="369"/>
      <c r="I58" s="369"/>
      <c r="J58" s="369"/>
      <c r="K58" s="369"/>
      <c r="L58" s="369"/>
      <c r="M58" s="369"/>
      <c r="N58" s="369"/>
      <c r="O58" s="369"/>
      <c r="P58" s="369"/>
      <c r="Q58" s="369"/>
      <c r="R58" s="369"/>
      <c r="S58" s="369"/>
      <c r="T58" s="438"/>
    </row>
    <row r="59" s="339" customFormat="1" ht="27.95" customHeight="1" spans="2:20">
      <c r="B59" s="379"/>
      <c r="C59" s="380"/>
      <c r="D59" s="380"/>
      <c r="E59" s="380"/>
      <c r="F59" s="380"/>
      <c r="G59" s="380"/>
      <c r="H59" s="380"/>
      <c r="I59" s="380"/>
      <c r="J59" s="380"/>
      <c r="K59" s="380"/>
      <c r="L59" s="380"/>
      <c r="M59" s="380"/>
      <c r="T59" s="445"/>
    </row>
    <row r="60" s="339" customFormat="1" ht="27.95" customHeight="1" spans="2:20">
      <c r="B60" s="379"/>
      <c r="C60" s="380"/>
      <c r="D60" s="380"/>
      <c r="E60" s="380"/>
      <c r="F60" s="380"/>
      <c r="G60" s="380"/>
      <c r="H60" s="380"/>
      <c r="I60" s="380"/>
      <c r="J60" s="380"/>
      <c r="K60" s="380"/>
      <c r="L60" s="380"/>
      <c r="M60" s="380"/>
      <c r="T60" s="445"/>
    </row>
    <row r="61" s="339" customFormat="1" ht="27.95" customHeight="1" spans="2:20">
      <c r="B61" s="379"/>
      <c r="C61" s="380"/>
      <c r="D61" s="380"/>
      <c r="E61" s="380"/>
      <c r="F61" s="380"/>
      <c r="G61" s="380"/>
      <c r="H61" s="380"/>
      <c r="I61" s="380"/>
      <c r="J61" s="380"/>
      <c r="K61" s="380"/>
      <c r="L61" s="380"/>
      <c r="M61" s="380"/>
      <c r="T61" s="445"/>
    </row>
    <row r="62" s="339" customFormat="1" ht="27.95" customHeight="1" spans="2:20">
      <c r="B62" s="379"/>
      <c r="C62" s="380"/>
      <c r="D62" s="380"/>
      <c r="E62" s="380"/>
      <c r="F62" s="380"/>
      <c r="G62" s="380"/>
      <c r="H62" s="380"/>
      <c r="I62" s="380"/>
      <c r="J62" s="380"/>
      <c r="K62" s="380"/>
      <c r="L62" s="380"/>
      <c r="M62" s="380"/>
      <c r="T62" s="445"/>
    </row>
    <row r="63" s="339" customFormat="1" ht="27.95" customHeight="1" spans="2:20">
      <c r="B63" s="379"/>
      <c r="C63" s="380"/>
      <c r="D63" s="380"/>
      <c r="E63" s="380"/>
      <c r="F63" s="380"/>
      <c r="G63" s="380"/>
      <c r="H63" s="380"/>
      <c r="I63" s="380"/>
      <c r="J63" s="380"/>
      <c r="K63" s="380"/>
      <c r="L63" s="380"/>
      <c r="M63" s="380"/>
      <c r="T63" s="445"/>
    </row>
    <row r="64" s="339" customFormat="1" ht="27.95" customHeight="1" spans="2:20">
      <c r="B64" s="379"/>
      <c r="C64" s="380"/>
      <c r="D64" s="380"/>
      <c r="E64" s="380"/>
      <c r="F64" s="380"/>
      <c r="G64" s="380"/>
      <c r="H64" s="380"/>
      <c r="I64" s="380"/>
      <c r="J64" s="380"/>
      <c r="K64" s="380"/>
      <c r="L64" s="380"/>
      <c r="M64" s="380"/>
      <c r="N64" s="372"/>
      <c r="O64" s="372"/>
      <c r="T64" s="445"/>
    </row>
    <row r="65" spans="2:20">
      <c r="B65" s="370"/>
      <c r="C65" s="371"/>
      <c r="D65" s="371"/>
      <c r="E65" s="371"/>
      <c r="F65" s="371"/>
      <c r="G65" s="371"/>
      <c r="H65" s="371"/>
      <c r="I65" s="371"/>
      <c r="J65" s="371"/>
      <c r="K65" s="371"/>
      <c r="L65" s="371"/>
      <c r="M65" s="371"/>
      <c r="T65" s="439"/>
    </row>
    <row r="66" ht="27.95" customHeight="1" spans="1:20">
      <c r="A66" s="338"/>
      <c r="B66" s="373"/>
      <c r="C66" s="338"/>
      <c r="D66" s="338"/>
      <c r="E66" s="338"/>
      <c r="F66" s="338"/>
      <c r="G66" s="338"/>
      <c r="H66" s="338"/>
      <c r="I66" s="338"/>
      <c r="J66" s="338"/>
      <c r="K66" s="338"/>
      <c r="L66" s="338"/>
      <c r="M66" s="338"/>
      <c r="T66" s="439"/>
    </row>
    <row r="67" spans="2:20">
      <c r="B67" s="370"/>
      <c r="C67" s="371"/>
      <c r="D67" s="371"/>
      <c r="E67" s="371"/>
      <c r="F67" s="371"/>
      <c r="G67" s="371"/>
      <c r="H67" s="371"/>
      <c r="I67" s="371"/>
      <c r="J67" s="371"/>
      <c r="K67" s="371"/>
      <c r="L67" s="371"/>
      <c r="M67" s="371"/>
      <c r="T67" s="439"/>
    </row>
    <row r="68" spans="2:20">
      <c r="B68" s="370"/>
      <c r="C68" s="371"/>
      <c r="D68" s="371"/>
      <c r="E68" s="371"/>
      <c r="F68" s="371"/>
      <c r="G68" s="371"/>
      <c r="H68" s="371"/>
      <c r="I68" s="371"/>
      <c r="J68" s="371"/>
      <c r="K68" s="371"/>
      <c r="L68" s="371"/>
      <c r="M68" s="371"/>
      <c r="T68" s="439"/>
    </row>
    <row r="69" spans="2:20">
      <c r="B69" s="370"/>
      <c r="C69" s="371"/>
      <c r="D69" s="371"/>
      <c r="E69" s="371"/>
      <c r="F69" s="371"/>
      <c r="G69" s="371"/>
      <c r="H69" s="371"/>
      <c r="I69" s="371"/>
      <c r="J69" s="371"/>
      <c r="K69" s="371"/>
      <c r="L69" s="371"/>
      <c r="M69" s="371"/>
      <c r="T69" s="439"/>
    </row>
    <row r="70" spans="2:20">
      <c r="B70" s="377"/>
      <c r="C70" s="378"/>
      <c r="D70" s="378"/>
      <c r="E70" s="378"/>
      <c r="F70" s="378"/>
      <c r="G70" s="378"/>
      <c r="H70" s="378"/>
      <c r="I70" s="378"/>
      <c r="J70" s="378"/>
      <c r="K70" s="378"/>
      <c r="L70" s="378"/>
      <c r="M70" s="378"/>
      <c r="N70" s="376"/>
      <c r="O70" s="376"/>
      <c r="P70" s="378"/>
      <c r="Q70" s="378"/>
      <c r="R70" s="378"/>
      <c r="S70" s="378"/>
      <c r="T70" s="442"/>
    </row>
    <row r="71" ht="27.95" customHeight="1" spans="2:20">
      <c r="B71" s="368" t="s">
        <v>225</v>
      </c>
      <c r="C71" s="369"/>
      <c r="D71" s="369"/>
      <c r="E71" s="369"/>
      <c r="F71" s="369"/>
      <c r="G71" s="369"/>
      <c r="H71" s="369"/>
      <c r="I71" s="369"/>
      <c r="J71" s="369"/>
      <c r="K71" s="369"/>
      <c r="L71" s="369"/>
      <c r="M71" s="369"/>
      <c r="N71" s="369"/>
      <c r="O71" s="369"/>
      <c r="P71" s="369"/>
      <c r="Q71" s="369"/>
      <c r="R71" s="369"/>
      <c r="S71" s="369"/>
      <c r="T71" s="438"/>
    </row>
    <row r="72" spans="2:20">
      <c r="B72" s="370"/>
      <c r="C72" s="371"/>
      <c r="D72" s="371"/>
      <c r="E72" s="371"/>
      <c r="F72" s="371"/>
      <c r="G72" s="371"/>
      <c r="H72" s="371"/>
      <c r="I72" s="371"/>
      <c r="J72" s="371"/>
      <c r="K72" s="371"/>
      <c r="L72" s="371"/>
      <c r="M72" s="371"/>
      <c r="T72" s="439"/>
    </row>
    <row r="73" spans="2:20">
      <c r="B73" s="370"/>
      <c r="C73" s="371"/>
      <c r="D73" s="371"/>
      <c r="E73" s="371"/>
      <c r="F73" s="371"/>
      <c r="G73" s="371"/>
      <c r="H73" s="371"/>
      <c r="I73" s="371"/>
      <c r="J73" s="371"/>
      <c r="K73" s="371"/>
      <c r="L73" s="371"/>
      <c r="M73" s="371"/>
      <c r="T73" s="439"/>
    </row>
    <row r="74" spans="2:20">
      <c r="B74" s="370"/>
      <c r="C74" s="371"/>
      <c r="D74" s="371"/>
      <c r="E74" s="371"/>
      <c r="F74" s="371"/>
      <c r="G74" s="371"/>
      <c r="H74" s="371"/>
      <c r="I74" s="371"/>
      <c r="J74" s="371"/>
      <c r="K74" s="371"/>
      <c r="L74" s="371"/>
      <c r="M74" s="371"/>
      <c r="T74" s="439"/>
    </row>
    <row r="75" spans="2:20">
      <c r="B75" s="370"/>
      <c r="C75" s="371"/>
      <c r="D75" s="371"/>
      <c r="E75" s="371"/>
      <c r="F75" s="371"/>
      <c r="G75" s="371"/>
      <c r="H75" s="371"/>
      <c r="I75" s="371"/>
      <c r="J75" s="371"/>
      <c r="K75" s="371"/>
      <c r="L75" s="371"/>
      <c r="M75" s="371"/>
      <c r="T75" s="439"/>
    </row>
    <row r="76" spans="2:20">
      <c r="B76" s="370"/>
      <c r="C76" s="371"/>
      <c r="D76" s="371"/>
      <c r="E76" s="371"/>
      <c r="F76" s="371"/>
      <c r="G76" s="371"/>
      <c r="H76" s="371"/>
      <c r="I76" s="371"/>
      <c r="J76" s="371"/>
      <c r="K76" s="371"/>
      <c r="L76" s="371"/>
      <c r="M76" s="371"/>
      <c r="T76" s="439"/>
    </row>
    <row r="77" spans="2:20">
      <c r="B77" s="370"/>
      <c r="C77" s="371"/>
      <c r="D77" s="371"/>
      <c r="E77" s="371"/>
      <c r="F77" s="371"/>
      <c r="G77" s="371"/>
      <c r="H77" s="371"/>
      <c r="I77" s="371"/>
      <c r="J77" s="371"/>
      <c r="K77" s="371"/>
      <c r="L77" s="371"/>
      <c r="M77" s="371"/>
      <c r="T77" s="439"/>
    </row>
    <row r="78" spans="2:20">
      <c r="B78" s="370"/>
      <c r="C78" s="371"/>
      <c r="D78" s="371"/>
      <c r="E78" s="371"/>
      <c r="F78" s="371"/>
      <c r="G78" s="371"/>
      <c r="H78" s="371"/>
      <c r="I78" s="371"/>
      <c r="J78" s="371"/>
      <c r="K78" s="371"/>
      <c r="L78" s="371"/>
      <c r="M78" s="371"/>
      <c r="T78" s="439"/>
    </row>
    <row r="79" spans="2:20">
      <c r="B79" s="370"/>
      <c r="C79" s="371"/>
      <c r="D79" s="371"/>
      <c r="E79" s="371"/>
      <c r="F79" s="371"/>
      <c r="G79" s="371"/>
      <c r="H79" s="371"/>
      <c r="I79" s="371"/>
      <c r="J79" s="371"/>
      <c r="K79" s="371"/>
      <c r="L79" s="371"/>
      <c r="M79" s="371"/>
      <c r="T79" s="439"/>
    </row>
    <row r="80" spans="2:20">
      <c r="B80" s="370"/>
      <c r="C80" s="371"/>
      <c r="D80" s="371"/>
      <c r="E80" s="371"/>
      <c r="F80" s="371"/>
      <c r="G80" s="371"/>
      <c r="H80" s="371"/>
      <c r="I80" s="371"/>
      <c r="J80" s="371"/>
      <c r="K80" s="371"/>
      <c r="L80" s="371"/>
      <c r="M80" s="371"/>
      <c r="T80" s="439"/>
    </row>
    <row r="81" spans="2:20">
      <c r="B81" s="370"/>
      <c r="C81" s="371"/>
      <c r="D81" s="371"/>
      <c r="E81" s="371"/>
      <c r="F81" s="371"/>
      <c r="G81" s="371"/>
      <c r="H81" s="371"/>
      <c r="I81" s="371"/>
      <c r="J81" s="371"/>
      <c r="K81" s="371"/>
      <c r="L81" s="371"/>
      <c r="M81" s="371"/>
      <c r="T81" s="439"/>
    </row>
    <row r="82" spans="2:20">
      <c r="B82" s="370"/>
      <c r="C82" s="371"/>
      <c r="D82" s="371"/>
      <c r="E82" s="371"/>
      <c r="F82" s="371"/>
      <c r="G82" s="371"/>
      <c r="H82" s="371"/>
      <c r="I82" s="371"/>
      <c r="J82" s="371"/>
      <c r="K82" s="371"/>
      <c r="L82" s="371"/>
      <c r="M82" s="371"/>
      <c r="T82" s="439"/>
    </row>
    <row r="83" spans="2:20">
      <c r="B83" s="370"/>
      <c r="C83" s="371"/>
      <c r="D83" s="371"/>
      <c r="E83" s="371"/>
      <c r="F83" s="371"/>
      <c r="G83" s="371"/>
      <c r="H83" s="371"/>
      <c r="I83" s="371"/>
      <c r="J83" s="371"/>
      <c r="K83" s="371"/>
      <c r="L83" s="371"/>
      <c r="M83" s="371"/>
      <c r="T83" s="439"/>
    </row>
    <row r="84" spans="2:20">
      <c r="B84" s="370"/>
      <c r="C84" s="371"/>
      <c r="D84" s="371"/>
      <c r="E84" s="371"/>
      <c r="F84" s="371"/>
      <c r="G84" s="371"/>
      <c r="H84" s="371"/>
      <c r="I84" s="371"/>
      <c r="J84" s="371"/>
      <c r="K84" s="371"/>
      <c r="L84" s="371"/>
      <c r="M84" s="371"/>
      <c r="T84" s="439"/>
    </row>
    <row r="85" spans="2:20">
      <c r="B85" s="370"/>
      <c r="C85" s="371"/>
      <c r="D85" s="371"/>
      <c r="E85" s="371"/>
      <c r="F85" s="371"/>
      <c r="G85" s="371"/>
      <c r="H85" s="371"/>
      <c r="I85" s="371"/>
      <c r="J85" s="371"/>
      <c r="K85" s="371"/>
      <c r="L85" s="371"/>
      <c r="M85" s="371"/>
      <c r="T85" s="439"/>
    </row>
    <row r="86" spans="2:20">
      <c r="B86" s="370"/>
      <c r="C86" s="371"/>
      <c r="D86" s="371"/>
      <c r="E86" s="371"/>
      <c r="F86" s="371"/>
      <c r="G86" s="371"/>
      <c r="H86" s="371"/>
      <c r="I86" s="371"/>
      <c r="J86" s="371"/>
      <c r="K86" s="371"/>
      <c r="L86" s="371"/>
      <c r="M86" s="371"/>
      <c r="T86" s="439"/>
    </row>
    <row r="87" spans="2:20">
      <c r="B87" s="377"/>
      <c r="C87" s="378"/>
      <c r="D87" s="378"/>
      <c r="E87" s="378"/>
      <c r="F87" s="378"/>
      <c r="G87" s="378"/>
      <c r="H87" s="378"/>
      <c r="I87" s="378"/>
      <c r="J87" s="378"/>
      <c r="K87" s="378"/>
      <c r="L87" s="378"/>
      <c r="M87" s="378"/>
      <c r="N87" s="376"/>
      <c r="O87" s="376"/>
      <c r="P87" s="378"/>
      <c r="Q87" s="378"/>
      <c r="R87" s="378"/>
      <c r="S87" s="378"/>
      <c r="T87" s="442"/>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90" zoomScaleNormal="90" topLeftCell="B100" workbookViewId="0">
      <selection activeCell="Q114" sqref="Q114:AB114"/>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31665666.8745283</v>
      </c>
      <c r="D3">
        <v>2000245.28</v>
      </c>
      <c r="E3">
        <v>2583168.75</v>
      </c>
      <c r="F3">
        <v>2158704.47</v>
      </c>
      <c r="G3">
        <v>2634821.46</v>
      </c>
      <c r="H3">
        <v>2819501.01</v>
      </c>
      <c r="I3">
        <v>2532798.4</v>
      </c>
      <c r="J3">
        <v>2946129.74</v>
      </c>
      <c r="K3">
        <v>2541590.26</v>
      </c>
      <c r="L3">
        <v>2592984.58</v>
      </c>
      <c r="M3">
        <v>2627051.22641509</v>
      </c>
      <c r="N3">
        <v>2738105.66037736</v>
      </c>
      <c r="O3">
        <v>3490566.03773585</v>
      </c>
      <c r="P3">
        <v>29260232.2358491</v>
      </c>
      <c r="Q3">
        <v>2438352.68632075</v>
      </c>
      <c r="R3">
        <v>2438352.68632075</v>
      </c>
      <c r="S3">
        <v>2438352.68632075</v>
      </c>
      <c r="T3">
        <v>2438352.68632075</v>
      </c>
      <c r="U3">
        <v>2438352.68632075</v>
      </c>
      <c r="V3">
        <v>2438352.68632075</v>
      </c>
      <c r="W3">
        <v>2438352.68632075</v>
      </c>
      <c r="X3">
        <v>2438352.68632075</v>
      </c>
      <c r="Y3">
        <v>2438352.68632075</v>
      </c>
      <c r="Z3">
        <v>2438352.68632075</v>
      </c>
      <c r="AA3">
        <v>2438352.68632075</v>
      </c>
      <c r="AB3">
        <v>2438352.68632075</v>
      </c>
    </row>
    <row r="4" spans="1:28">
      <c r="A4">
        <v>6001</v>
      </c>
      <c r="B4" t="s">
        <v>256</v>
      </c>
      <c r="C4">
        <v>31665666.8745283</v>
      </c>
      <c r="D4">
        <v>2000245.28</v>
      </c>
      <c r="E4">
        <v>2583168.75</v>
      </c>
      <c r="F4">
        <v>2158704.47</v>
      </c>
      <c r="G4">
        <v>2634821.46</v>
      </c>
      <c r="H4">
        <v>2819501.01</v>
      </c>
      <c r="I4">
        <v>2532798.4</v>
      </c>
      <c r="J4">
        <v>2946129.74</v>
      </c>
      <c r="K4">
        <v>2541590.26</v>
      </c>
      <c r="L4">
        <v>2592984.58</v>
      </c>
      <c r="M4">
        <v>2627051.22641509</v>
      </c>
      <c r="N4">
        <v>2738105.66037736</v>
      </c>
      <c r="O4">
        <v>3490566.03773585</v>
      </c>
      <c r="P4">
        <v>29260232.2358491</v>
      </c>
      <c r="Q4">
        <v>2438352.68632075</v>
      </c>
      <c r="R4">
        <v>2438352.68632075</v>
      </c>
      <c r="S4">
        <v>2438352.68632075</v>
      </c>
      <c r="T4">
        <v>2438352.68632075</v>
      </c>
      <c r="U4">
        <v>2438352.68632075</v>
      </c>
      <c r="V4">
        <v>2438352.68632075</v>
      </c>
      <c r="W4">
        <v>2438352.68632075</v>
      </c>
      <c r="X4">
        <v>2438352.68632075</v>
      </c>
      <c r="Y4">
        <v>2438352.68632075</v>
      </c>
      <c r="Z4">
        <v>2438352.68632075</v>
      </c>
      <c r="AA4">
        <v>2438352.68632075</v>
      </c>
      <c r="AB4">
        <v>2438352.68632075</v>
      </c>
    </row>
    <row r="5" spans="1:28">
      <c r="A5">
        <v>6001.03</v>
      </c>
      <c r="B5" t="s">
        <v>257</v>
      </c>
      <c r="C5">
        <v>31665666.8745283</v>
      </c>
      <c r="D5">
        <v>2000245.28</v>
      </c>
      <c r="E5">
        <v>2583168.75</v>
      </c>
      <c r="F5">
        <v>2158704.47</v>
      </c>
      <c r="G5">
        <v>2634821.46</v>
      </c>
      <c r="H5">
        <v>2819501.01</v>
      </c>
      <c r="I5">
        <v>2532798.4</v>
      </c>
      <c r="J5">
        <v>2946129.74</v>
      </c>
      <c r="K5">
        <v>2541590.26</v>
      </c>
      <c r="L5">
        <v>2592984.58</v>
      </c>
      <c r="M5">
        <v>2627051.22641509</v>
      </c>
      <c r="N5">
        <v>2738105.66037736</v>
      </c>
      <c r="O5">
        <v>3490566.03773585</v>
      </c>
      <c r="P5">
        <v>29260232.2358491</v>
      </c>
      <c r="Q5">
        <v>2438352.68632075</v>
      </c>
      <c r="R5">
        <v>2438352.68632075</v>
      </c>
      <c r="S5">
        <v>2438352.68632075</v>
      </c>
      <c r="T5">
        <v>2438352.68632075</v>
      </c>
      <c r="U5">
        <v>2438352.68632075</v>
      </c>
      <c r="V5">
        <v>2438352.68632075</v>
      </c>
      <c r="W5">
        <v>2438352.68632075</v>
      </c>
      <c r="X5">
        <v>2438352.68632075</v>
      </c>
      <c r="Y5">
        <v>2438352.68632075</v>
      </c>
      <c r="Z5">
        <v>2438352.68632075</v>
      </c>
      <c r="AA5">
        <v>2438352.68632075</v>
      </c>
      <c r="AB5">
        <v>2438352.68632075</v>
      </c>
    </row>
    <row r="6" spans="1:28">
      <c r="A6" t="s">
        <v>258</v>
      </c>
      <c r="B6" t="s">
        <v>259</v>
      </c>
      <c r="C6">
        <v>31665666.8745283</v>
      </c>
      <c r="D6">
        <v>2000245.28</v>
      </c>
      <c r="E6">
        <v>2583168.75</v>
      </c>
      <c r="F6">
        <v>2158704.47</v>
      </c>
      <c r="G6">
        <v>2634821.46</v>
      </c>
      <c r="H6">
        <v>2819501.01</v>
      </c>
      <c r="I6">
        <v>2532798.4</v>
      </c>
      <c r="J6">
        <v>2946129.74</v>
      </c>
      <c r="K6">
        <v>2541590.26</v>
      </c>
      <c r="L6">
        <v>2592984.58</v>
      </c>
      <c r="M6">
        <v>2627051.22641509</v>
      </c>
      <c r="N6">
        <v>2738105.66037736</v>
      </c>
      <c r="O6">
        <v>3490566.03773585</v>
      </c>
      <c r="P6">
        <v>29260232.2358491</v>
      </c>
      <c r="Q6">
        <v>2438352.68632075</v>
      </c>
      <c r="R6">
        <v>2438352.68632075</v>
      </c>
      <c r="S6">
        <v>2438352.68632075</v>
      </c>
      <c r="T6">
        <v>2438352.68632075</v>
      </c>
      <c r="U6">
        <v>2438352.68632075</v>
      </c>
      <c r="V6">
        <v>2438352.68632075</v>
      </c>
      <c r="W6">
        <v>2438352.68632075</v>
      </c>
      <c r="X6">
        <v>2438352.68632075</v>
      </c>
      <c r="Y6">
        <v>2438352.68632075</v>
      </c>
      <c r="Z6">
        <v>2438352.68632075</v>
      </c>
      <c r="AA6">
        <v>2438352.68632075</v>
      </c>
      <c r="AB6">
        <v>2438352.68632075</v>
      </c>
    </row>
    <row r="7" spans="1:28">
      <c r="A7" t="s">
        <v>260</v>
      </c>
      <c r="B7" t="s">
        <v>261</v>
      </c>
      <c r="C7">
        <v>31664091.3945283</v>
      </c>
      <c r="D7">
        <v>2000000</v>
      </c>
      <c r="E7">
        <v>2583140.45</v>
      </c>
      <c r="F7">
        <v>2158459.18</v>
      </c>
      <c r="G7">
        <v>2634670.52</v>
      </c>
      <c r="H7">
        <v>2819387.8</v>
      </c>
      <c r="I7">
        <v>2532732.36</v>
      </c>
      <c r="J7">
        <v>2945752.37</v>
      </c>
      <c r="K7">
        <v>2541269.51</v>
      </c>
      <c r="L7">
        <v>2592956.28</v>
      </c>
      <c r="M7">
        <v>2627051.22641509</v>
      </c>
      <c r="N7">
        <v>2738105.66037736</v>
      </c>
      <c r="O7">
        <v>3490566.03773585</v>
      </c>
      <c r="P7">
        <v>29260232.2358491</v>
      </c>
      <c r="Q7">
        <v>2438352.68632075</v>
      </c>
      <c r="R7">
        <v>2438352.68632075</v>
      </c>
      <c r="S7">
        <v>2438352.68632075</v>
      </c>
      <c r="T7">
        <v>2438352.68632075</v>
      </c>
      <c r="U7">
        <v>2438352.68632075</v>
      </c>
      <c r="V7">
        <v>2438352.68632075</v>
      </c>
      <c r="W7">
        <v>2438352.68632075</v>
      </c>
      <c r="X7">
        <v>2438352.68632075</v>
      </c>
      <c r="Y7">
        <v>2438352.68632075</v>
      </c>
      <c r="Z7">
        <v>2438352.68632075</v>
      </c>
      <c r="AA7">
        <v>2438352.68632075</v>
      </c>
      <c r="AB7">
        <v>2438352.68632075</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1575.48</v>
      </c>
      <c r="D19">
        <v>245.28</v>
      </c>
      <c r="E19">
        <v>28.3</v>
      </c>
      <c r="F19">
        <v>245.29</v>
      </c>
      <c r="G19">
        <v>150.94</v>
      </c>
      <c r="H19">
        <v>113.21</v>
      </c>
      <c r="I19">
        <v>66.04</v>
      </c>
      <c r="J19">
        <v>377.37</v>
      </c>
      <c r="K19">
        <v>320.75</v>
      </c>
      <c r="L19">
        <v>28.3</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33"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34"/>
      <c r="P65">
        <v>0</v>
      </c>
    </row>
    <row r="66" spans="1:16">
      <c r="A66" t="s">
        <v>373</v>
      </c>
      <c r="B66" t="s">
        <v>374</v>
      </c>
      <c r="C66">
        <v>0</v>
      </c>
      <c r="O66" s="334"/>
      <c r="P66">
        <v>0</v>
      </c>
    </row>
    <row r="67" spans="1:16">
      <c r="A67" t="s">
        <v>375</v>
      </c>
      <c r="B67" t="s">
        <v>376</v>
      </c>
      <c r="C67">
        <v>0</v>
      </c>
      <c r="O67" s="334"/>
      <c r="P67">
        <v>0</v>
      </c>
    </row>
    <row r="68" spans="1:28">
      <c r="A68">
        <v>6001.54</v>
      </c>
      <c r="B68" t="s">
        <v>377</v>
      </c>
      <c r="C68">
        <v>0</v>
      </c>
      <c r="D68">
        <v>0</v>
      </c>
      <c r="E68">
        <v>0</v>
      </c>
      <c r="F68">
        <v>0</v>
      </c>
      <c r="G68">
        <v>0</v>
      </c>
      <c r="H68">
        <v>0</v>
      </c>
      <c r="I68">
        <v>0</v>
      </c>
      <c r="J68">
        <v>0</v>
      </c>
      <c r="K68">
        <v>0</v>
      </c>
      <c r="L68">
        <v>0</v>
      </c>
      <c r="M68">
        <v>0</v>
      </c>
      <c r="N68">
        <v>0</v>
      </c>
      <c r="O68" s="333">
        <v>0</v>
      </c>
      <c r="P68">
        <v>0</v>
      </c>
      <c r="Q68">
        <v>0</v>
      </c>
      <c r="R68">
        <v>0</v>
      </c>
      <c r="S68">
        <v>0</v>
      </c>
      <c r="T68">
        <v>0</v>
      </c>
      <c r="U68">
        <v>0</v>
      </c>
      <c r="V68">
        <v>0</v>
      </c>
      <c r="W68">
        <v>0</v>
      </c>
      <c r="X68">
        <v>0</v>
      </c>
      <c r="Y68">
        <v>0</v>
      </c>
      <c r="Z68">
        <v>0</v>
      </c>
      <c r="AA68">
        <v>0</v>
      </c>
      <c r="AB68">
        <v>0</v>
      </c>
    </row>
    <row r="69" spans="1:16">
      <c r="A69" t="s">
        <v>378</v>
      </c>
      <c r="B69" t="s">
        <v>379</v>
      </c>
      <c r="C69">
        <v>0</v>
      </c>
      <c r="O69" s="333"/>
      <c r="P69">
        <v>0</v>
      </c>
    </row>
    <row r="70" spans="1:16">
      <c r="A70" t="s">
        <v>380</v>
      </c>
      <c r="B70" t="s">
        <v>381</v>
      </c>
      <c r="C70">
        <v>0</v>
      </c>
      <c r="O70" s="334"/>
      <c r="P70">
        <v>0</v>
      </c>
    </row>
    <row r="71" spans="1:16">
      <c r="A71" t="s">
        <v>382</v>
      </c>
      <c r="B71" t="s">
        <v>383</v>
      </c>
      <c r="C71">
        <v>0</v>
      </c>
      <c r="O71" s="334"/>
      <c r="P71">
        <v>0</v>
      </c>
    </row>
    <row r="72" spans="1:16">
      <c r="A72" t="s">
        <v>384</v>
      </c>
      <c r="B72" t="s">
        <v>385</v>
      </c>
      <c r="C72">
        <v>0</v>
      </c>
      <c r="O72" s="334"/>
      <c r="P72">
        <v>0</v>
      </c>
    </row>
    <row r="73" spans="1:16">
      <c r="A73">
        <v>6051</v>
      </c>
      <c r="B73" t="s">
        <v>386</v>
      </c>
      <c r="C73">
        <v>0</v>
      </c>
      <c r="O73" s="334"/>
      <c r="P73">
        <v>0</v>
      </c>
    </row>
    <row r="74" s="333" customFormat="1" spans="1:28">
      <c r="A74" s="333">
        <v>6400</v>
      </c>
      <c r="B74" s="333" t="s">
        <v>4</v>
      </c>
      <c r="C74" s="333">
        <v>31363851.85</v>
      </c>
      <c r="D74" s="333">
        <v>2111287.81</v>
      </c>
      <c r="E74" s="333">
        <v>2561398.28</v>
      </c>
      <c r="F74" s="333">
        <v>2182969.04</v>
      </c>
      <c r="G74" s="333">
        <v>2448482.39</v>
      </c>
      <c r="H74" s="333">
        <v>2460570.66</v>
      </c>
      <c r="I74" s="333">
        <v>2843336.2</v>
      </c>
      <c r="J74" s="333">
        <v>3050027.58</v>
      </c>
      <c r="K74" s="333">
        <v>2425594.84</v>
      </c>
      <c r="L74" s="333">
        <v>2672322.56</v>
      </c>
      <c r="M74" s="333">
        <v>2632327.51</v>
      </c>
      <c r="N74" s="333">
        <v>2632327.51</v>
      </c>
      <c r="O74" s="333">
        <v>3343207.47</v>
      </c>
      <c r="P74" s="333">
        <v>29063623.6364696</v>
      </c>
      <c r="Q74" s="333">
        <v>4003425.05865234</v>
      </c>
      <c r="R74" s="333">
        <v>2435117.853558</v>
      </c>
      <c r="S74" s="333">
        <v>2203042.38185989</v>
      </c>
      <c r="T74" s="333">
        <v>2229575.40072781</v>
      </c>
      <c r="U74" s="333">
        <v>2367489.9290297</v>
      </c>
      <c r="V74" s="333">
        <v>2184174.45733159</v>
      </c>
      <c r="W74" s="333">
        <v>2266839.55167121</v>
      </c>
      <c r="X74" s="333">
        <v>2170966.91016178</v>
      </c>
      <c r="Y74" s="333">
        <v>2461305.70261461</v>
      </c>
      <c r="Z74" s="333">
        <v>2267205.40072781</v>
      </c>
      <c r="AA74" s="333">
        <v>2177570.68374668</v>
      </c>
      <c r="AB74" s="333">
        <v>2296910.30638819</v>
      </c>
    </row>
    <row r="75" spans="1:28">
      <c r="A75">
        <v>6401</v>
      </c>
      <c r="B75" t="s">
        <v>5</v>
      </c>
      <c r="C75">
        <v>31363851.85</v>
      </c>
      <c r="D75">
        <v>2111287.81</v>
      </c>
      <c r="E75">
        <v>2561398.28</v>
      </c>
      <c r="F75">
        <v>2182969.04</v>
      </c>
      <c r="G75">
        <v>2448482.39</v>
      </c>
      <c r="H75">
        <v>2460570.66</v>
      </c>
      <c r="I75">
        <v>2843336.2</v>
      </c>
      <c r="J75">
        <v>3050027.58</v>
      </c>
      <c r="K75">
        <v>2425594.84</v>
      </c>
      <c r="L75">
        <v>2672322.56</v>
      </c>
      <c r="M75">
        <v>2632327.51</v>
      </c>
      <c r="N75">
        <v>2632327.51</v>
      </c>
      <c r="O75" s="334">
        <v>3343207.47</v>
      </c>
      <c r="P75">
        <v>29063623.6364696</v>
      </c>
      <c r="Q75">
        <v>4003425.05865234</v>
      </c>
      <c r="R75">
        <v>2435117.853558</v>
      </c>
      <c r="S75">
        <v>2203042.38185989</v>
      </c>
      <c r="T75">
        <v>2229575.40072781</v>
      </c>
      <c r="U75">
        <v>2367489.9290297</v>
      </c>
      <c r="V75">
        <v>2184174.45733159</v>
      </c>
      <c r="W75">
        <v>2266839.55167121</v>
      </c>
      <c r="X75">
        <v>2170966.91016178</v>
      </c>
      <c r="Y75">
        <v>2461305.70261461</v>
      </c>
      <c r="Z75">
        <v>2267205.40072781</v>
      </c>
      <c r="AA75">
        <v>2177570.68374668</v>
      </c>
      <c r="AB75">
        <v>2296910.30638819</v>
      </c>
    </row>
    <row r="76" spans="1:28">
      <c r="A76">
        <v>6401.03</v>
      </c>
      <c r="B76" t="s">
        <v>6</v>
      </c>
      <c r="C76">
        <v>31363851.85</v>
      </c>
      <c r="D76">
        <v>2111287.81</v>
      </c>
      <c r="E76">
        <v>2561398.28</v>
      </c>
      <c r="F76">
        <v>2182969.04</v>
      </c>
      <c r="G76">
        <v>2448482.39</v>
      </c>
      <c r="H76">
        <v>2460570.66</v>
      </c>
      <c r="I76">
        <v>2843336.2</v>
      </c>
      <c r="J76">
        <v>3050027.58</v>
      </c>
      <c r="K76">
        <v>2425594.84</v>
      </c>
      <c r="L76">
        <v>2672322.56</v>
      </c>
      <c r="M76">
        <v>2632327.51</v>
      </c>
      <c r="N76">
        <v>2632327.51</v>
      </c>
      <c r="O76" s="334">
        <v>3343207.47</v>
      </c>
      <c r="P76">
        <v>29063623.6364696</v>
      </c>
      <c r="Q76">
        <v>4003425.05865234</v>
      </c>
      <c r="R76">
        <v>2435117.853558</v>
      </c>
      <c r="S76">
        <v>2203042.38185989</v>
      </c>
      <c r="T76">
        <v>2229575.40072781</v>
      </c>
      <c r="U76">
        <v>2367489.9290297</v>
      </c>
      <c r="V76">
        <v>2184174.45733159</v>
      </c>
      <c r="W76">
        <v>2266839.55167121</v>
      </c>
      <c r="X76">
        <v>2170966.91016178</v>
      </c>
      <c r="Y76">
        <v>2461305.70261461</v>
      </c>
      <c r="Z76">
        <v>2267205.40072781</v>
      </c>
      <c r="AA76">
        <v>2177570.68374668</v>
      </c>
      <c r="AB76">
        <v>2296910.30638819</v>
      </c>
    </row>
    <row r="77" spans="1:28">
      <c r="A77" t="s">
        <v>7</v>
      </c>
      <c r="B77" t="s">
        <v>8</v>
      </c>
      <c r="C77">
        <v>1421993.07</v>
      </c>
      <c r="D77">
        <v>16.08</v>
      </c>
      <c r="E77">
        <v>226782.03</v>
      </c>
      <c r="F77">
        <v>-57497.29</v>
      </c>
      <c r="G77">
        <v>124206.71</v>
      </c>
      <c r="H77">
        <v>134801.51</v>
      </c>
      <c r="I77">
        <v>247365.04</v>
      </c>
      <c r="J77">
        <v>242606.02</v>
      </c>
      <c r="K77">
        <v>255519.51</v>
      </c>
      <c r="L77">
        <v>248193.46</v>
      </c>
      <c r="O77" s="334"/>
      <c r="P77" s="333">
        <v>1737236.86</v>
      </c>
      <c r="Q77">
        <v>694769.738333333</v>
      </c>
      <c r="R77">
        <v>94769.7383333333</v>
      </c>
      <c r="S77">
        <v>94769.7383333333</v>
      </c>
      <c r="T77">
        <v>94769.7383333333</v>
      </c>
      <c r="U77">
        <v>94769.7383333333</v>
      </c>
      <c r="V77">
        <v>94769.7383333333</v>
      </c>
      <c r="W77">
        <v>94769.7383333333</v>
      </c>
      <c r="X77">
        <v>94769.7383333333</v>
      </c>
      <c r="Y77">
        <v>94769.7383333333</v>
      </c>
      <c r="Z77">
        <v>94769.7383333333</v>
      </c>
      <c r="AA77">
        <v>94769.7383333333</v>
      </c>
      <c r="AB77">
        <v>94769.7383333333</v>
      </c>
    </row>
    <row r="78" spans="1:28">
      <c r="A78" t="s">
        <v>10</v>
      </c>
      <c r="B78" t="s">
        <v>11</v>
      </c>
      <c r="C78">
        <v>9256929.91</v>
      </c>
      <c r="D78">
        <v>466886.15</v>
      </c>
      <c r="E78">
        <v>644464.89</v>
      </c>
      <c r="F78">
        <v>569495.88</v>
      </c>
      <c r="G78">
        <v>647870.13</v>
      </c>
      <c r="H78">
        <v>684723.56</v>
      </c>
      <c r="I78">
        <v>581182.59</v>
      </c>
      <c r="J78">
        <v>982310.14</v>
      </c>
      <c r="K78">
        <v>659600.38</v>
      </c>
      <c r="L78">
        <v>663920.5</v>
      </c>
      <c r="M78">
        <v>864131.91</v>
      </c>
      <c r="N78">
        <v>864131.91</v>
      </c>
      <c r="O78" s="334">
        <v>1628211.87</v>
      </c>
      <c r="P78">
        <v>7827464.10067778</v>
      </c>
      <c r="Q78">
        <v>899593.706503022</v>
      </c>
      <c r="R78">
        <v>805117.291408683</v>
      </c>
      <c r="S78">
        <v>573041.81971057</v>
      </c>
      <c r="T78">
        <v>574574.838578494</v>
      </c>
      <c r="U78">
        <v>736249.366880381</v>
      </c>
      <c r="V78">
        <v>554173.895182268</v>
      </c>
      <c r="W78">
        <v>636838.989521891</v>
      </c>
      <c r="X78">
        <v>540966.348012457</v>
      </c>
      <c r="Y78">
        <v>742853.140465287</v>
      </c>
      <c r="Z78">
        <v>574574.838578494</v>
      </c>
      <c r="AA78">
        <v>547570.121597362</v>
      </c>
      <c r="AB78">
        <v>641909.744238872</v>
      </c>
    </row>
    <row r="79" spans="1:28">
      <c r="A79" t="s">
        <v>12</v>
      </c>
      <c r="B79" s="334" t="s">
        <v>13</v>
      </c>
      <c r="C79">
        <v>6030254.25</v>
      </c>
      <c r="D79">
        <v>411964.43</v>
      </c>
      <c r="E79">
        <v>466766.16</v>
      </c>
      <c r="F79">
        <v>476200.12</v>
      </c>
      <c r="G79">
        <v>448413.5</v>
      </c>
      <c r="H79">
        <v>504670.75</v>
      </c>
      <c r="I79">
        <v>491375.4</v>
      </c>
      <c r="J79">
        <v>697656.74</v>
      </c>
      <c r="K79">
        <v>505584.83</v>
      </c>
      <c r="L79">
        <v>506905.58</v>
      </c>
      <c r="M79">
        <v>506905.58</v>
      </c>
      <c r="N79">
        <v>506905.58</v>
      </c>
      <c r="O79" s="334">
        <v>506905.58</v>
      </c>
      <c r="P79" s="333">
        <v>5843309.49433962</v>
      </c>
      <c r="Q79">
        <v>484741.2</v>
      </c>
      <c r="R79">
        <v>484741.2</v>
      </c>
      <c r="S79">
        <v>491344.973584906</v>
      </c>
      <c r="T79">
        <v>484741.2</v>
      </c>
      <c r="U79">
        <v>484741.2</v>
      </c>
      <c r="V79">
        <v>491344.973584906</v>
      </c>
      <c r="W79">
        <v>484741.2</v>
      </c>
      <c r="X79">
        <v>484741.2</v>
      </c>
      <c r="Y79">
        <v>491344.973584906</v>
      </c>
      <c r="Z79">
        <v>484741.2</v>
      </c>
      <c r="AA79">
        <v>484741.2</v>
      </c>
      <c r="AB79">
        <v>491344.973584906</v>
      </c>
    </row>
    <row r="80" spans="1:28">
      <c r="A80" t="s">
        <v>16</v>
      </c>
      <c r="B80" s="334" t="s">
        <v>17</v>
      </c>
      <c r="C80">
        <v>0</v>
      </c>
      <c r="D80">
        <v>0</v>
      </c>
      <c r="E80">
        <v>0</v>
      </c>
      <c r="F80">
        <v>0</v>
      </c>
      <c r="G80">
        <v>0</v>
      </c>
      <c r="H80">
        <v>0</v>
      </c>
      <c r="I80">
        <v>0</v>
      </c>
      <c r="J80">
        <v>0</v>
      </c>
      <c r="K80">
        <v>0</v>
      </c>
      <c r="L80">
        <v>0</v>
      </c>
      <c r="O80" s="334"/>
      <c r="P80" s="333">
        <v>0</v>
      </c>
      <c r="Q80">
        <v>0</v>
      </c>
      <c r="R80">
        <v>0</v>
      </c>
      <c r="S80">
        <v>0</v>
      </c>
      <c r="T80">
        <v>0</v>
      </c>
      <c r="U80">
        <v>0</v>
      </c>
      <c r="V80">
        <v>0</v>
      </c>
      <c r="W80">
        <v>0</v>
      </c>
      <c r="X80">
        <v>0</v>
      </c>
      <c r="Y80">
        <v>0</v>
      </c>
      <c r="Z80">
        <v>0</v>
      </c>
      <c r="AA80">
        <v>0</v>
      </c>
      <c r="AB80">
        <v>0</v>
      </c>
    </row>
    <row r="81" spans="1:28">
      <c r="A81" t="s">
        <v>20</v>
      </c>
      <c r="B81" s="334" t="s">
        <v>21</v>
      </c>
      <c r="C81">
        <v>0</v>
      </c>
      <c r="D81">
        <v>0</v>
      </c>
      <c r="E81">
        <v>0</v>
      </c>
      <c r="F81">
        <v>0</v>
      </c>
      <c r="G81">
        <v>0</v>
      </c>
      <c r="H81">
        <v>0</v>
      </c>
      <c r="I81">
        <v>0</v>
      </c>
      <c r="J81">
        <v>0</v>
      </c>
      <c r="K81">
        <v>0</v>
      </c>
      <c r="L81">
        <v>0</v>
      </c>
      <c r="O81" s="333"/>
      <c r="P81" s="333">
        <v>0</v>
      </c>
      <c r="Q81">
        <v>0</v>
      </c>
      <c r="R81">
        <v>0</v>
      </c>
      <c r="S81">
        <v>0</v>
      </c>
      <c r="T81">
        <v>0</v>
      </c>
      <c r="U81">
        <v>0</v>
      </c>
      <c r="V81">
        <v>0</v>
      </c>
      <c r="W81">
        <v>0</v>
      </c>
      <c r="X81">
        <v>0</v>
      </c>
      <c r="Y81">
        <v>0</v>
      </c>
      <c r="Z81">
        <v>0</v>
      </c>
      <c r="AA81">
        <v>0</v>
      </c>
      <c r="AB81">
        <v>0</v>
      </c>
    </row>
    <row r="82" spans="1:28">
      <c r="A82" t="s">
        <v>26</v>
      </c>
      <c r="B82" t="s">
        <v>27</v>
      </c>
      <c r="C82">
        <v>150141.92</v>
      </c>
      <c r="D82">
        <v>12638.21</v>
      </c>
      <c r="E82">
        <v>12638.21</v>
      </c>
      <c r="F82">
        <v>12638.21</v>
      </c>
      <c r="G82">
        <v>11784.62</v>
      </c>
      <c r="H82">
        <v>11975.21</v>
      </c>
      <c r="I82">
        <v>12638.2</v>
      </c>
      <c r="J82">
        <v>12638.21</v>
      </c>
      <c r="K82">
        <v>12638.21</v>
      </c>
      <c r="L82">
        <v>12638.21</v>
      </c>
      <c r="M82">
        <v>12638.21</v>
      </c>
      <c r="N82">
        <v>12638.21</v>
      </c>
      <c r="O82" s="333">
        <v>12638.21</v>
      </c>
      <c r="P82" s="333">
        <v>151658.490566038</v>
      </c>
      <c r="Q82">
        <v>12638.2075471698</v>
      </c>
      <c r="R82">
        <v>12638.2075471698</v>
      </c>
      <c r="S82">
        <v>12638.2075471698</v>
      </c>
      <c r="T82">
        <v>12638.2075471698</v>
      </c>
      <c r="U82">
        <v>12638.2075471698</v>
      </c>
      <c r="V82">
        <v>12638.2075471698</v>
      </c>
      <c r="W82">
        <v>12638.2075471698</v>
      </c>
      <c r="X82">
        <v>12638.2075471698</v>
      </c>
      <c r="Y82">
        <v>12638.2075471698</v>
      </c>
      <c r="Z82">
        <v>12638.2075471698</v>
      </c>
      <c r="AA82">
        <v>12638.2075471698</v>
      </c>
      <c r="AB82">
        <v>12638.2075471698</v>
      </c>
    </row>
    <row r="83" spans="1:28">
      <c r="A83" t="s">
        <v>30</v>
      </c>
      <c r="B83" t="s">
        <v>31</v>
      </c>
      <c r="C83">
        <v>0</v>
      </c>
      <c r="D83">
        <v>0</v>
      </c>
      <c r="E83">
        <v>0</v>
      </c>
      <c r="F83">
        <v>0</v>
      </c>
      <c r="G83">
        <v>0</v>
      </c>
      <c r="H83">
        <v>0</v>
      </c>
      <c r="I83">
        <v>0</v>
      </c>
      <c r="J83">
        <v>0</v>
      </c>
      <c r="K83">
        <v>0</v>
      </c>
      <c r="L83">
        <v>0</v>
      </c>
      <c r="O83" s="333"/>
      <c r="P83" s="333">
        <v>0</v>
      </c>
      <c r="Q83">
        <v>0</v>
      </c>
      <c r="R83">
        <v>0</v>
      </c>
      <c r="S83">
        <v>0</v>
      </c>
      <c r="T83">
        <v>0</v>
      </c>
      <c r="U83">
        <v>0</v>
      </c>
      <c r="V83">
        <v>0</v>
      </c>
      <c r="W83">
        <v>0</v>
      </c>
      <c r="X83">
        <v>0</v>
      </c>
      <c r="Y83">
        <v>0</v>
      </c>
      <c r="Z83">
        <v>0</v>
      </c>
      <c r="AA83">
        <v>0</v>
      </c>
      <c r="AB83">
        <v>0</v>
      </c>
    </row>
    <row r="84" spans="1:28">
      <c r="A84" t="s">
        <v>34</v>
      </c>
      <c r="B84" t="s">
        <v>35</v>
      </c>
      <c r="C84">
        <v>139933.62</v>
      </c>
      <c r="D84">
        <v>12177.9</v>
      </c>
      <c r="E84">
        <v>-48148.43</v>
      </c>
      <c r="F84">
        <v>13643.08</v>
      </c>
      <c r="G84">
        <v>19403.17</v>
      </c>
      <c r="H84">
        <v>16309.74</v>
      </c>
      <c r="I84">
        <v>9408.01</v>
      </c>
      <c r="J84">
        <v>39743.71</v>
      </c>
      <c r="K84">
        <v>17102.2</v>
      </c>
      <c r="L84">
        <v>15073.56</v>
      </c>
      <c r="M84">
        <v>15073.56</v>
      </c>
      <c r="N84">
        <v>15073.56</v>
      </c>
      <c r="O84" s="333">
        <v>15073.56</v>
      </c>
      <c r="P84" s="333">
        <v>269339.622641509</v>
      </c>
      <c r="Q84">
        <v>93985.8490566038</v>
      </c>
      <c r="R84">
        <v>0</v>
      </c>
      <c r="S84">
        <v>18867.9245283019</v>
      </c>
      <c r="T84">
        <v>33608.4905660377</v>
      </c>
      <c r="U84">
        <v>0</v>
      </c>
      <c r="V84">
        <v>0</v>
      </c>
      <c r="W84">
        <v>89268.8679245283</v>
      </c>
      <c r="X84">
        <v>0</v>
      </c>
      <c r="Y84">
        <v>0</v>
      </c>
      <c r="Z84">
        <v>33608.4905660377</v>
      </c>
      <c r="AA84">
        <v>0</v>
      </c>
      <c r="AB84">
        <v>0</v>
      </c>
    </row>
    <row r="85" spans="1:28">
      <c r="A85" t="s">
        <v>44</v>
      </c>
      <c r="B85" t="s">
        <v>45</v>
      </c>
      <c r="C85">
        <v>0</v>
      </c>
      <c r="D85">
        <v>0</v>
      </c>
      <c r="E85">
        <v>0</v>
      </c>
      <c r="F85">
        <v>0</v>
      </c>
      <c r="G85">
        <v>0</v>
      </c>
      <c r="H85">
        <v>0</v>
      </c>
      <c r="I85">
        <v>0</v>
      </c>
      <c r="J85">
        <v>0</v>
      </c>
      <c r="K85">
        <v>0</v>
      </c>
      <c r="L85">
        <v>0</v>
      </c>
      <c r="O85" s="333"/>
      <c r="P85" s="333">
        <v>0</v>
      </c>
      <c r="Q85">
        <v>0</v>
      </c>
      <c r="R85">
        <v>0</v>
      </c>
      <c r="S85">
        <v>0</v>
      </c>
      <c r="T85">
        <v>0</v>
      </c>
      <c r="U85">
        <v>0</v>
      </c>
      <c r="V85">
        <v>0</v>
      </c>
      <c r="W85">
        <v>0</v>
      </c>
      <c r="X85">
        <v>0</v>
      </c>
      <c r="Y85">
        <v>0</v>
      </c>
      <c r="Z85">
        <v>0</v>
      </c>
      <c r="AA85">
        <v>0</v>
      </c>
      <c r="AB85">
        <v>0</v>
      </c>
    </row>
    <row r="86" spans="1:28">
      <c r="A86" t="s">
        <v>48</v>
      </c>
      <c r="B86" t="s">
        <v>49</v>
      </c>
      <c r="C86">
        <v>0</v>
      </c>
      <c r="D86">
        <v>0</v>
      </c>
      <c r="E86">
        <v>0</v>
      </c>
      <c r="F86">
        <v>0</v>
      </c>
      <c r="G86">
        <v>0</v>
      </c>
      <c r="H86">
        <v>0</v>
      </c>
      <c r="I86">
        <v>0</v>
      </c>
      <c r="J86">
        <v>0</v>
      </c>
      <c r="K86">
        <v>0</v>
      </c>
      <c r="L86">
        <v>0</v>
      </c>
      <c r="O86" s="333"/>
      <c r="P86" s="333">
        <v>46226.4150943396</v>
      </c>
      <c r="Q86">
        <v>6603.77358490566</v>
      </c>
      <c r="R86">
        <v>0</v>
      </c>
      <c r="S86">
        <v>6603.77358490566</v>
      </c>
      <c r="T86">
        <v>0</v>
      </c>
      <c r="U86">
        <v>6603.77358490566</v>
      </c>
      <c r="V86">
        <v>6603.77358490566</v>
      </c>
      <c r="W86">
        <v>6603.77358490566</v>
      </c>
      <c r="X86">
        <v>0</v>
      </c>
      <c r="Y86">
        <v>6603.77358490566</v>
      </c>
      <c r="Z86">
        <v>0</v>
      </c>
      <c r="AA86">
        <v>6603.77358490566</v>
      </c>
      <c r="AB86">
        <v>0</v>
      </c>
    </row>
    <row r="87" spans="1:28">
      <c r="A87" t="s">
        <v>54</v>
      </c>
      <c r="B87" t="s">
        <v>55</v>
      </c>
      <c r="C87">
        <v>113603.84</v>
      </c>
      <c r="D87">
        <v>8943.68</v>
      </c>
      <c r="E87">
        <v>9514.56</v>
      </c>
      <c r="F87">
        <v>9514.56</v>
      </c>
      <c r="G87">
        <v>19029.12</v>
      </c>
      <c r="H87">
        <v>0</v>
      </c>
      <c r="I87">
        <v>9514.56</v>
      </c>
      <c r="J87">
        <v>9514.56</v>
      </c>
      <c r="K87">
        <v>9514.56</v>
      </c>
      <c r="L87">
        <v>9514.56</v>
      </c>
      <c r="M87">
        <v>9514.56</v>
      </c>
      <c r="N87">
        <v>9514.56</v>
      </c>
      <c r="O87" s="333">
        <v>9514.56</v>
      </c>
      <c r="P87" s="333">
        <v>114174.757281553</v>
      </c>
      <c r="Q87">
        <v>9514.56310679612</v>
      </c>
      <c r="R87">
        <v>9514.56310679612</v>
      </c>
      <c r="S87">
        <v>9514.56310679612</v>
      </c>
      <c r="T87">
        <v>9514.56310679612</v>
      </c>
      <c r="U87">
        <v>9514.56310679612</v>
      </c>
      <c r="V87">
        <v>9514.56310679612</v>
      </c>
      <c r="W87">
        <v>9514.56310679612</v>
      </c>
      <c r="X87">
        <v>9514.56310679612</v>
      </c>
      <c r="Y87">
        <v>9514.56310679612</v>
      </c>
      <c r="Z87">
        <v>9514.56310679612</v>
      </c>
      <c r="AA87">
        <v>9514.56310679612</v>
      </c>
      <c r="AB87">
        <v>9514.56310679612</v>
      </c>
    </row>
    <row r="88" spans="1:28">
      <c r="A88" t="s">
        <v>62</v>
      </c>
      <c r="B88" t="s">
        <v>63</v>
      </c>
      <c r="C88">
        <v>2410644.14</v>
      </c>
      <c r="D88">
        <v>-396.32</v>
      </c>
      <c r="E88">
        <v>36354.58</v>
      </c>
      <c r="F88">
        <v>0</v>
      </c>
      <c r="G88">
        <v>85341.75</v>
      </c>
      <c r="H88">
        <v>139845.53</v>
      </c>
      <c r="I88">
        <v>53032.83</v>
      </c>
      <c r="J88">
        <v>216678.18</v>
      </c>
      <c r="K88">
        <v>105453.02</v>
      </c>
      <c r="L88">
        <v>110254.61</v>
      </c>
      <c r="M88">
        <v>300000</v>
      </c>
      <c r="N88">
        <v>300000</v>
      </c>
      <c r="O88" s="333">
        <v>1064079.96</v>
      </c>
      <c r="P88" s="333">
        <v>660377.358490566</v>
      </c>
      <c r="Q88">
        <v>0</v>
      </c>
      <c r="R88">
        <v>188679.245283019</v>
      </c>
      <c r="S88">
        <v>0</v>
      </c>
      <c r="T88">
        <v>0</v>
      </c>
      <c r="U88">
        <v>188679.245283019</v>
      </c>
      <c r="V88">
        <v>0</v>
      </c>
      <c r="W88">
        <v>0</v>
      </c>
      <c r="X88">
        <v>0</v>
      </c>
      <c r="Y88">
        <v>188679.245283019</v>
      </c>
      <c r="Z88">
        <v>0</v>
      </c>
      <c r="AA88">
        <v>0</v>
      </c>
      <c r="AB88">
        <v>94339.6226415094</v>
      </c>
    </row>
    <row r="89" spans="1:28">
      <c r="A89" t="s">
        <v>65</v>
      </c>
      <c r="B89" t="s">
        <v>66</v>
      </c>
      <c r="C89">
        <v>0</v>
      </c>
      <c r="D89">
        <v>0</v>
      </c>
      <c r="E89">
        <v>0</v>
      </c>
      <c r="F89">
        <v>0</v>
      </c>
      <c r="G89">
        <v>0</v>
      </c>
      <c r="H89">
        <v>0</v>
      </c>
      <c r="I89">
        <v>0</v>
      </c>
      <c r="J89">
        <v>0</v>
      </c>
      <c r="K89">
        <v>0</v>
      </c>
      <c r="L89">
        <v>0</v>
      </c>
      <c r="O89" s="333"/>
      <c r="P89" s="333">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O90" s="48"/>
      <c r="P90">
        <v>0</v>
      </c>
    </row>
    <row r="91" spans="1:16">
      <c r="A91" t="s">
        <v>389</v>
      </c>
      <c r="B91" t="s">
        <v>390</v>
      </c>
      <c r="C91">
        <v>0</v>
      </c>
      <c r="D91">
        <v>0</v>
      </c>
      <c r="E91">
        <v>0</v>
      </c>
      <c r="F91">
        <v>0</v>
      </c>
      <c r="G91">
        <v>0</v>
      </c>
      <c r="H91">
        <v>0</v>
      </c>
      <c r="I91">
        <v>0</v>
      </c>
      <c r="J91">
        <v>0</v>
      </c>
      <c r="K91">
        <v>0</v>
      </c>
      <c r="L91">
        <v>0</v>
      </c>
      <c r="O91" s="333"/>
      <c r="P91">
        <v>0</v>
      </c>
    </row>
    <row r="92" spans="1:16">
      <c r="A92" t="s">
        <v>391</v>
      </c>
      <c r="B92" t="s">
        <v>392</v>
      </c>
      <c r="C92">
        <v>0</v>
      </c>
      <c r="D92">
        <v>0</v>
      </c>
      <c r="E92">
        <v>0</v>
      </c>
      <c r="F92">
        <v>0</v>
      </c>
      <c r="G92">
        <v>0</v>
      </c>
      <c r="H92">
        <v>0</v>
      </c>
      <c r="I92">
        <v>0</v>
      </c>
      <c r="J92">
        <v>0</v>
      </c>
      <c r="K92">
        <v>0</v>
      </c>
      <c r="L92">
        <v>0</v>
      </c>
      <c r="O92" s="333"/>
      <c r="P92">
        <v>0</v>
      </c>
    </row>
    <row r="93" spans="1:28">
      <c r="A93" t="s">
        <v>393</v>
      </c>
      <c r="B93" t="s">
        <v>394</v>
      </c>
      <c r="C93">
        <v>412352.14</v>
      </c>
      <c r="D93">
        <v>21558.25</v>
      </c>
      <c r="E93">
        <v>167339.81</v>
      </c>
      <c r="F93">
        <v>57499.91</v>
      </c>
      <c r="G93">
        <v>63897.97</v>
      </c>
      <c r="H93">
        <v>11922.33</v>
      </c>
      <c r="I93">
        <v>5213.59</v>
      </c>
      <c r="J93">
        <v>6078.74</v>
      </c>
      <c r="K93">
        <v>9307.56</v>
      </c>
      <c r="L93">
        <v>9533.98</v>
      </c>
      <c r="M93">
        <v>20000</v>
      </c>
      <c r="N93">
        <v>20000</v>
      </c>
      <c r="O93" s="334">
        <v>20000</v>
      </c>
      <c r="P93" s="333">
        <v>742377.962264151</v>
      </c>
      <c r="Q93">
        <v>292110.113207547</v>
      </c>
      <c r="R93">
        <v>109544.075471698</v>
      </c>
      <c r="S93">
        <v>34072.3773584906</v>
      </c>
      <c r="T93">
        <v>34072.3773584906</v>
      </c>
      <c r="U93">
        <v>34072.3773584906</v>
      </c>
      <c r="V93">
        <v>34072.3773584906</v>
      </c>
      <c r="W93">
        <v>34072.3773584906</v>
      </c>
      <c r="X93">
        <v>34072.3773584906</v>
      </c>
      <c r="Y93">
        <v>34072.3773584906</v>
      </c>
      <c r="Z93">
        <v>34072.3773584906</v>
      </c>
      <c r="AA93">
        <v>34072.3773584906</v>
      </c>
      <c r="AB93">
        <v>34072.3773584906</v>
      </c>
    </row>
    <row r="94" spans="1:28">
      <c r="A94" t="s">
        <v>395</v>
      </c>
      <c r="B94" t="s">
        <v>396</v>
      </c>
      <c r="C94">
        <v>0</v>
      </c>
      <c r="D94">
        <v>0</v>
      </c>
      <c r="E94">
        <v>0</v>
      </c>
      <c r="F94">
        <v>0</v>
      </c>
      <c r="G94">
        <v>0</v>
      </c>
      <c r="H94">
        <v>0</v>
      </c>
      <c r="I94">
        <v>0</v>
      </c>
      <c r="J94">
        <v>0</v>
      </c>
      <c r="K94">
        <v>0</v>
      </c>
      <c r="L94">
        <v>0</v>
      </c>
      <c r="O94" s="333"/>
      <c r="P94" s="333">
        <v>100000</v>
      </c>
      <c r="Q94">
        <v>25000</v>
      </c>
      <c r="R94">
        <v>0</v>
      </c>
      <c r="S94">
        <v>0</v>
      </c>
      <c r="T94">
        <v>25000</v>
      </c>
      <c r="U94">
        <v>0</v>
      </c>
      <c r="V94">
        <v>0</v>
      </c>
      <c r="W94">
        <v>0</v>
      </c>
      <c r="X94">
        <v>0</v>
      </c>
      <c r="Y94">
        <v>0</v>
      </c>
      <c r="Z94">
        <v>25000</v>
      </c>
      <c r="AA94">
        <v>0</v>
      </c>
      <c r="AB94">
        <v>25000</v>
      </c>
    </row>
    <row r="95" spans="1:28">
      <c r="A95" t="s">
        <v>397</v>
      </c>
      <c r="B95" t="s">
        <v>398</v>
      </c>
      <c r="C95">
        <v>1440000</v>
      </c>
      <c r="D95">
        <v>127200</v>
      </c>
      <c r="E95">
        <v>127200</v>
      </c>
      <c r="F95">
        <v>127200</v>
      </c>
      <c r="G95">
        <v>105600</v>
      </c>
      <c r="H95">
        <v>127200</v>
      </c>
      <c r="I95">
        <v>127200</v>
      </c>
      <c r="J95">
        <v>105600</v>
      </c>
      <c r="K95">
        <v>127200</v>
      </c>
      <c r="L95">
        <v>127200</v>
      </c>
      <c r="M95">
        <v>127200</v>
      </c>
      <c r="N95">
        <v>127200</v>
      </c>
      <c r="O95" s="334">
        <v>84000</v>
      </c>
      <c r="P95" s="333">
        <v>360000</v>
      </c>
      <c r="Q95">
        <v>30000</v>
      </c>
      <c r="R95">
        <v>30000</v>
      </c>
      <c r="S95">
        <v>30000</v>
      </c>
      <c r="T95">
        <v>30000</v>
      </c>
      <c r="U95">
        <v>30000</v>
      </c>
      <c r="V95">
        <v>30000</v>
      </c>
      <c r="W95">
        <v>30000</v>
      </c>
      <c r="X95">
        <v>30000</v>
      </c>
      <c r="Y95">
        <v>30000</v>
      </c>
      <c r="Z95">
        <v>30000</v>
      </c>
      <c r="AA95">
        <v>30000</v>
      </c>
      <c r="AB95">
        <v>30000</v>
      </c>
    </row>
    <row r="96" spans="1:28">
      <c r="A96" t="s">
        <v>399</v>
      </c>
      <c r="B96" t="s">
        <v>400</v>
      </c>
      <c r="C96">
        <v>0</v>
      </c>
      <c r="O96" s="334"/>
      <c r="P96">
        <v>0</v>
      </c>
      <c r="Q96">
        <v>0</v>
      </c>
      <c r="R96">
        <v>0</v>
      </c>
      <c r="S96">
        <v>0</v>
      </c>
      <c r="T96">
        <v>0</v>
      </c>
      <c r="U96">
        <v>0</v>
      </c>
      <c r="V96">
        <v>0</v>
      </c>
      <c r="W96">
        <v>0</v>
      </c>
      <c r="X96">
        <v>0</v>
      </c>
      <c r="Y96">
        <v>0</v>
      </c>
      <c r="Z96">
        <v>0</v>
      </c>
      <c r="AA96">
        <v>0</v>
      </c>
      <c r="AB96">
        <v>0</v>
      </c>
    </row>
    <row r="97" spans="1:16">
      <c r="A97" t="s">
        <v>401</v>
      </c>
      <c r="B97" t="s">
        <v>402</v>
      </c>
      <c r="C97">
        <v>0</v>
      </c>
      <c r="O97" s="334"/>
      <c r="P97">
        <v>0</v>
      </c>
    </row>
    <row r="98" spans="1:16">
      <c r="A98" t="s">
        <v>76</v>
      </c>
      <c r="B98" t="s">
        <v>77</v>
      </c>
      <c r="C98">
        <v>0</v>
      </c>
      <c r="O98" s="334"/>
      <c r="P98" s="333">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34" t="s">
        <v>83</v>
      </c>
      <c r="C100">
        <v>0</v>
      </c>
      <c r="O100" s="333"/>
      <c r="P100" s="333">
        <v>0</v>
      </c>
      <c r="Q100">
        <v>0</v>
      </c>
      <c r="R100">
        <v>0</v>
      </c>
      <c r="S100">
        <v>0</v>
      </c>
      <c r="T100">
        <v>0</v>
      </c>
      <c r="U100">
        <v>0</v>
      </c>
      <c r="V100">
        <v>0</v>
      </c>
      <c r="W100">
        <v>0</v>
      </c>
      <c r="X100">
        <v>0</v>
      </c>
      <c r="Y100">
        <v>0</v>
      </c>
      <c r="Z100">
        <v>0</v>
      </c>
      <c r="AA100">
        <v>0</v>
      </c>
      <c r="AB100">
        <v>0</v>
      </c>
    </row>
    <row r="101" spans="1:28">
      <c r="A101" t="s">
        <v>86</v>
      </c>
      <c r="B101" s="334" t="s">
        <v>87</v>
      </c>
      <c r="C101">
        <v>0</v>
      </c>
      <c r="P101" s="333">
        <v>0</v>
      </c>
      <c r="Q101">
        <v>0</v>
      </c>
      <c r="R101">
        <v>0</v>
      </c>
      <c r="S101">
        <v>0</v>
      </c>
      <c r="T101">
        <v>0</v>
      </c>
      <c r="U101">
        <v>0</v>
      </c>
      <c r="V101">
        <v>0</v>
      </c>
      <c r="W101">
        <v>0</v>
      </c>
      <c r="X101">
        <v>0</v>
      </c>
      <c r="Y101">
        <v>0</v>
      </c>
      <c r="Z101">
        <v>0</v>
      </c>
      <c r="AA101">
        <v>0</v>
      </c>
      <c r="AB101">
        <v>0</v>
      </c>
    </row>
    <row r="102" spans="1:16">
      <c r="A102" t="s">
        <v>90</v>
      </c>
      <c r="B102" t="s">
        <v>91</v>
      </c>
      <c r="C102">
        <v>0</v>
      </c>
      <c r="O102" s="333"/>
      <c r="P102">
        <v>0</v>
      </c>
    </row>
    <row r="103" spans="1:16">
      <c r="A103" t="s">
        <v>94</v>
      </c>
      <c r="B103" t="s">
        <v>95</v>
      </c>
      <c r="C103">
        <v>0</v>
      </c>
      <c r="P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33"/>
      <c r="P105">
        <v>0</v>
      </c>
      <c r="Q105">
        <v>0</v>
      </c>
      <c r="R105">
        <v>0</v>
      </c>
      <c r="S105">
        <v>0</v>
      </c>
      <c r="T105">
        <v>0</v>
      </c>
      <c r="U105">
        <v>0</v>
      </c>
      <c r="V105">
        <v>0</v>
      </c>
      <c r="W105">
        <v>0</v>
      </c>
      <c r="X105">
        <v>0</v>
      </c>
      <c r="Y105">
        <v>0</v>
      </c>
      <c r="Z105">
        <v>0</v>
      </c>
      <c r="AA105">
        <v>0</v>
      </c>
      <c r="AB105">
        <v>0</v>
      </c>
    </row>
    <row r="106" spans="1:28">
      <c r="A106" t="s">
        <v>104</v>
      </c>
      <c r="B106" t="s">
        <v>105</v>
      </c>
      <c r="C106">
        <v>18984219.6</v>
      </c>
      <c r="D106">
        <v>1500743.6</v>
      </c>
      <c r="E106">
        <v>1542372.24</v>
      </c>
      <c r="F106">
        <v>1503857.99</v>
      </c>
      <c r="G106">
        <v>1556008.59</v>
      </c>
      <c r="H106">
        <v>1499191.51</v>
      </c>
      <c r="I106">
        <v>1863235.24</v>
      </c>
      <c r="J106">
        <v>1693223.87</v>
      </c>
      <c r="K106">
        <v>1358645</v>
      </c>
      <c r="L106">
        <v>1618235.39</v>
      </c>
      <c r="M106">
        <v>1616235.39</v>
      </c>
      <c r="N106">
        <v>1616235.39</v>
      </c>
      <c r="O106">
        <v>1616235.39</v>
      </c>
      <c r="P106" s="333">
        <v>18581570.6957918</v>
      </c>
      <c r="Q106">
        <v>2227559.11548265</v>
      </c>
      <c r="R106">
        <v>1486728.32548265</v>
      </c>
      <c r="S106">
        <v>1486728.32548265</v>
      </c>
      <c r="T106">
        <v>1486728.32548265</v>
      </c>
      <c r="U106">
        <v>1486728.32548265</v>
      </c>
      <c r="V106">
        <v>1486728.32548265</v>
      </c>
      <c r="W106">
        <v>1486728.32548265</v>
      </c>
      <c r="X106">
        <v>1486728.32548265</v>
      </c>
      <c r="Y106">
        <v>1486728.32548265</v>
      </c>
      <c r="Z106">
        <v>1486728.32548265</v>
      </c>
      <c r="AA106">
        <v>1486728.32548265</v>
      </c>
      <c r="AB106">
        <v>1486728.32548265</v>
      </c>
    </row>
    <row r="107" spans="1:28">
      <c r="A107" t="s">
        <v>106</v>
      </c>
      <c r="B107" t="s">
        <v>107</v>
      </c>
      <c r="C107">
        <v>14474023.25</v>
      </c>
      <c r="D107">
        <v>1173774.39</v>
      </c>
      <c r="E107">
        <v>1296753.54</v>
      </c>
      <c r="F107">
        <v>1148746.04</v>
      </c>
      <c r="G107">
        <v>1215271.3</v>
      </c>
      <c r="H107">
        <v>1173685.29</v>
      </c>
      <c r="I107">
        <v>1183777.74</v>
      </c>
      <c r="J107">
        <v>1359094.09</v>
      </c>
      <c r="K107">
        <v>969199.22</v>
      </c>
      <c r="L107">
        <v>1238430.41</v>
      </c>
      <c r="M107">
        <v>1238430.41</v>
      </c>
      <c r="N107">
        <v>1238430.41</v>
      </c>
      <c r="O107" s="333">
        <v>1238430.41</v>
      </c>
      <c r="P107" s="333">
        <v>14260511.5857918</v>
      </c>
      <c r="Q107">
        <v>1188375.96548265</v>
      </c>
      <c r="R107">
        <v>1188375.96548265</v>
      </c>
      <c r="S107">
        <v>1188375.96548265</v>
      </c>
      <c r="T107">
        <v>1188375.96548265</v>
      </c>
      <c r="U107">
        <v>1188375.96548265</v>
      </c>
      <c r="V107">
        <v>1188375.96548265</v>
      </c>
      <c r="W107">
        <v>1188375.96548265</v>
      </c>
      <c r="X107">
        <v>1188375.96548265</v>
      </c>
      <c r="Y107">
        <v>1188375.96548265</v>
      </c>
      <c r="Z107">
        <v>1188375.96548265</v>
      </c>
      <c r="AA107">
        <v>1188375.96548265</v>
      </c>
      <c r="AB107">
        <v>1188375.96548265</v>
      </c>
    </row>
    <row r="108" spans="1:28">
      <c r="A108" t="s">
        <v>110</v>
      </c>
      <c r="B108" t="s">
        <v>111</v>
      </c>
      <c r="C108">
        <v>1202305.75</v>
      </c>
      <c r="D108">
        <v>53741.71</v>
      </c>
      <c r="E108">
        <v>-3771.02</v>
      </c>
      <c r="F108">
        <v>21320.6</v>
      </c>
      <c r="G108">
        <v>73408.93</v>
      </c>
      <c r="H108">
        <v>61830.36</v>
      </c>
      <c r="I108">
        <v>412941.52</v>
      </c>
      <c r="J108">
        <v>55166.11</v>
      </c>
      <c r="K108">
        <v>96282.58</v>
      </c>
      <c r="L108">
        <v>107846.24</v>
      </c>
      <c r="M108">
        <v>107846.24</v>
      </c>
      <c r="N108">
        <v>107846.24</v>
      </c>
      <c r="O108">
        <v>107846.24</v>
      </c>
      <c r="P108" s="333">
        <v>568218.79</v>
      </c>
      <c r="Q108">
        <v>568218.79</v>
      </c>
      <c r="R108">
        <v>0</v>
      </c>
      <c r="S108">
        <v>0</v>
      </c>
      <c r="T108">
        <v>0</v>
      </c>
      <c r="U108">
        <v>0</v>
      </c>
      <c r="V108">
        <v>0</v>
      </c>
      <c r="W108">
        <v>0</v>
      </c>
      <c r="X108">
        <v>0</v>
      </c>
      <c r="Y108">
        <v>0</v>
      </c>
      <c r="Z108">
        <v>0</v>
      </c>
      <c r="AA108">
        <v>0</v>
      </c>
      <c r="AB108">
        <v>0</v>
      </c>
    </row>
    <row r="109" spans="1:28">
      <c r="A109" t="s">
        <v>113</v>
      </c>
      <c r="B109" t="s">
        <v>114</v>
      </c>
      <c r="C109">
        <v>1023790.04</v>
      </c>
      <c r="D109">
        <v>85334</v>
      </c>
      <c r="E109">
        <v>75434</v>
      </c>
      <c r="F109">
        <v>110193.86</v>
      </c>
      <c r="G109">
        <v>82634</v>
      </c>
      <c r="H109">
        <v>79977.89</v>
      </c>
      <c r="I109">
        <v>82533.5</v>
      </c>
      <c r="J109">
        <v>93020.79</v>
      </c>
      <c r="K109">
        <v>76334</v>
      </c>
      <c r="L109">
        <v>84582</v>
      </c>
      <c r="M109">
        <v>84582</v>
      </c>
      <c r="N109">
        <v>84582</v>
      </c>
      <c r="O109">
        <v>84582</v>
      </c>
      <c r="P109" s="333">
        <v>1037780</v>
      </c>
      <c r="Q109">
        <v>186226</v>
      </c>
      <c r="R109">
        <v>77414</v>
      </c>
      <c r="S109">
        <v>77414</v>
      </c>
      <c r="T109">
        <v>77414</v>
      </c>
      <c r="U109">
        <v>77414</v>
      </c>
      <c r="V109">
        <v>77414</v>
      </c>
      <c r="W109">
        <v>77414</v>
      </c>
      <c r="X109">
        <v>77414</v>
      </c>
      <c r="Y109">
        <v>77414</v>
      </c>
      <c r="Z109">
        <v>77414</v>
      </c>
      <c r="AA109">
        <v>77414</v>
      </c>
      <c r="AB109">
        <v>77414</v>
      </c>
    </row>
    <row r="110" spans="1:28">
      <c r="A110" t="s">
        <v>116</v>
      </c>
      <c r="B110" t="s">
        <v>117</v>
      </c>
      <c r="C110">
        <v>1779868.78</v>
      </c>
      <c r="D110">
        <v>143861.13</v>
      </c>
      <c r="E110">
        <v>139504.07</v>
      </c>
      <c r="F110">
        <v>144317.05</v>
      </c>
      <c r="G110">
        <v>150318.66</v>
      </c>
      <c r="H110">
        <v>149305.27</v>
      </c>
      <c r="I110">
        <v>146022.52</v>
      </c>
      <c r="J110">
        <v>149548.9</v>
      </c>
      <c r="K110">
        <v>151135.02</v>
      </c>
      <c r="L110">
        <v>151464.04</v>
      </c>
      <c r="M110">
        <v>151464.04</v>
      </c>
      <c r="N110">
        <v>151464.04</v>
      </c>
      <c r="O110">
        <v>151464.04</v>
      </c>
      <c r="P110" s="333">
        <v>2171537.52</v>
      </c>
      <c r="Q110">
        <v>180961.46</v>
      </c>
      <c r="R110">
        <v>180961.46</v>
      </c>
      <c r="S110">
        <v>180961.46</v>
      </c>
      <c r="T110">
        <v>180961.46</v>
      </c>
      <c r="U110">
        <v>180961.46</v>
      </c>
      <c r="V110">
        <v>180961.46</v>
      </c>
      <c r="W110">
        <v>180961.46</v>
      </c>
      <c r="X110">
        <v>180961.46</v>
      </c>
      <c r="Y110">
        <v>180961.46</v>
      </c>
      <c r="Z110">
        <v>180961.46</v>
      </c>
      <c r="AA110">
        <v>180961.46</v>
      </c>
      <c r="AB110">
        <v>180961.46</v>
      </c>
    </row>
    <row r="111" spans="1:28">
      <c r="A111" t="s">
        <v>119</v>
      </c>
      <c r="B111" t="s">
        <v>120</v>
      </c>
      <c r="C111">
        <v>410938.45</v>
      </c>
      <c r="D111">
        <v>36107.85</v>
      </c>
      <c r="E111">
        <v>34451.65</v>
      </c>
      <c r="F111">
        <v>35159.65</v>
      </c>
      <c r="G111">
        <v>34375.7</v>
      </c>
      <c r="H111">
        <v>34392.7</v>
      </c>
      <c r="I111">
        <v>33997.7</v>
      </c>
      <c r="J111">
        <v>34148.7</v>
      </c>
      <c r="K111">
        <v>32653.7</v>
      </c>
      <c r="L111">
        <v>33912.7</v>
      </c>
      <c r="M111">
        <v>33912.7</v>
      </c>
      <c r="N111">
        <v>33912.7</v>
      </c>
      <c r="O111">
        <v>33912.7</v>
      </c>
      <c r="P111" s="333">
        <v>479722.8</v>
      </c>
      <c r="Q111">
        <v>39976.9</v>
      </c>
      <c r="R111">
        <v>39976.9</v>
      </c>
      <c r="S111">
        <v>39976.9</v>
      </c>
      <c r="T111">
        <v>39976.9</v>
      </c>
      <c r="U111">
        <v>39976.9</v>
      </c>
      <c r="V111">
        <v>39976.9</v>
      </c>
      <c r="W111">
        <v>39976.9</v>
      </c>
      <c r="X111">
        <v>39976.9</v>
      </c>
      <c r="Y111">
        <v>39976.9</v>
      </c>
      <c r="Z111">
        <v>39976.9</v>
      </c>
      <c r="AA111">
        <v>39976.9</v>
      </c>
      <c r="AB111">
        <v>39976.9</v>
      </c>
    </row>
    <row r="112" spans="1:28">
      <c r="A112" t="s">
        <v>122</v>
      </c>
      <c r="B112" t="s">
        <v>123</v>
      </c>
      <c r="C112">
        <v>0</v>
      </c>
      <c r="D112">
        <v>0</v>
      </c>
      <c r="E112">
        <v>0</v>
      </c>
      <c r="F112">
        <v>0</v>
      </c>
      <c r="G112">
        <v>0</v>
      </c>
      <c r="H112">
        <v>0</v>
      </c>
      <c r="I112">
        <v>0</v>
      </c>
      <c r="J112">
        <v>0</v>
      </c>
      <c r="K112">
        <v>0</v>
      </c>
      <c r="L112">
        <v>0</v>
      </c>
      <c r="P112" s="333">
        <v>0</v>
      </c>
      <c r="Q112">
        <v>0</v>
      </c>
      <c r="R112">
        <v>0</v>
      </c>
      <c r="S112">
        <v>0</v>
      </c>
      <c r="T112">
        <v>0</v>
      </c>
      <c r="U112">
        <v>0</v>
      </c>
      <c r="V112">
        <v>0</v>
      </c>
      <c r="W112">
        <v>0</v>
      </c>
      <c r="X112">
        <v>0</v>
      </c>
      <c r="Y112">
        <v>0</v>
      </c>
      <c r="Z112">
        <v>0</v>
      </c>
      <c r="AA112">
        <v>0</v>
      </c>
      <c r="AB112">
        <v>0</v>
      </c>
    </row>
    <row r="113" spans="1:28">
      <c r="A113" t="s">
        <v>125</v>
      </c>
      <c r="B113" t="s">
        <v>126</v>
      </c>
      <c r="C113">
        <v>16132.06</v>
      </c>
      <c r="D113">
        <v>7924.52</v>
      </c>
      <c r="E113">
        <v>0</v>
      </c>
      <c r="F113">
        <v>0</v>
      </c>
      <c r="G113">
        <v>0</v>
      </c>
      <c r="H113">
        <v>0</v>
      </c>
      <c r="I113">
        <v>3962.26</v>
      </c>
      <c r="J113">
        <v>2245.28</v>
      </c>
      <c r="K113">
        <v>0</v>
      </c>
      <c r="L113">
        <v>2000</v>
      </c>
      <c r="P113" s="333">
        <v>25000</v>
      </c>
      <c r="Q113">
        <v>25000</v>
      </c>
      <c r="R113">
        <v>0</v>
      </c>
      <c r="S113">
        <v>0</v>
      </c>
      <c r="T113">
        <v>0</v>
      </c>
      <c r="U113">
        <v>0</v>
      </c>
      <c r="V113">
        <v>0</v>
      </c>
      <c r="W113">
        <v>0</v>
      </c>
      <c r="X113">
        <v>0</v>
      </c>
      <c r="Y113">
        <v>0</v>
      </c>
      <c r="Z113">
        <v>0</v>
      </c>
      <c r="AA113">
        <v>0</v>
      </c>
      <c r="AB113">
        <v>0</v>
      </c>
    </row>
    <row r="114" spans="1:28">
      <c r="A114" t="s">
        <v>128</v>
      </c>
      <c r="B114" t="s">
        <v>129</v>
      </c>
      <c r="C114">
        <v>77161.27</v>
      </c>
      <c r="D114">
        <v>0</v>
      </c>
      <c r="E114">
        <v>0</v>
      </c>
      <c r="F114">
        <v>44120.79</v>
      </c>
      <c r="G114">
        <v>0</v>
      </c>
      <c r="H114">
        <v>0</v>
      </c>
      <c r="I114">
        <v>0</v>
      </c>
      <c r="J114">
        <v>0</v>
      </c>
      <c r="K114">
        <v>33040.48</v>
      </c>
      <c r="L114">
        <v>0</v>
      </c>
      <c r="P114" s="333">
        <v>38800</v>
      </c>
      <c r="Q114">
        <v>38800</v>
      </c>
      <c r="R114">
        <v>0</v>
      </c>
      <c r="S114">
        <v>0</v>
      </c>
      <c r="T114">
        <v>0</v>
      </c>
      <c r="U114">
        <v>0</v>
      </c>
      <c r="V114">
        <v>0</v>
      </c>
      <c r="W114">
        <v>0</v>
      </c>
      <c r="X114">
        <v>0</v>
      </c>
      <c r="Y114">
        <v>0</v>
      </c>
      <c r="Z114">
        <v>0</v>
      </c>
      <c r="AA114">
        <v>0</v>
      </c>
      <c r="AB114">
        <v>0</v>
      </c>
    </row>
    <row r="115" spans="1:28">
      <c r="A115" t="s">
        <v>131</v>
      </c>
      <c r="B115" t="s">
        <v>132</v>
      </c>
      <c r="C115">
        <v>36747.09</v>
      </c>
      <c r="D115">
        <v>5318.27</v>
      </c>
      <c r="E115">
        <v>9539.37</v>
      </c>
      <c r="F115">
        <v>2107.18</v>
      </c>
      <c r="G115">
        <v>2239.65</v>
      </c>
      <c r="H115">
        <v>2096.77</v>
      </c>
      <c r="I115">
        <v>2075.37</v>
      </c>
      <c r="J115">
        <v>2980.54</v>
      </c>
      <c r="K115">
        <v>2075.18</v>
      </c>
      <c r="L115">
        <v>2088.44</v>
      </c>
      <c r="M115">
        <v>2075.44</v>
      </c>
      <c r="N115">
        <v>2075.44</v>
      </c>
      <c r="O115">
        <v>2075.44</v>
      </c>
      <c r="P115">
        <v>166576.98</v>
      </c>
      <c r="Q115">
        <v>8521.24833333333</v>
      </c>
      <c r="R115">
        <v>5521.24833333333</v>
      </c>
      <c r="S115">
        <v>5521.24833333333</v>
      </c>
      <c r="T115">
        <v>5521.24833333333</v>
      </c>
      <c r="U115">
        <v>6761.24833333333</v>
      </c>
      <c r="V115">
        <v>5521.24833333333</v>
      </c>
      <c r="W115">
        <v>5521.24833333333</v>
      </c>
      <c r="X115">
        <v>5521.24833333333</v>
      </c>
      <c r="Y115">
        <v>63973.2483333333</v>
      </c>
      <c r="Z115">
        <v>43151.2483333333</v>
      </c>
      <c r="AA115">
        <v>5521.24833333333</v>
      </c>
      <c r="AB115">
        <v>5521.24833333333</v>
      </c>
    </row>
    <row r="116" spans="1:28">
      <c r="A116" t="s">
        <v>133</v>
      </c>
      <c r="B116" t="s">
        <v>134</v>
      </c>
      <c r="C116">
        <v>11692.04</v>
      </c>
      <c r="D116">
        <v>3258.49</v>
      </c>
      <c r="E116">
        <v>7451.89</v>
      </c>
      <c r="F116">
        <v>38</v>
      </c>
      <c r="G116">
        <v>0</v>
      </c>
      <c r="H116">
        <v>25</v>
      </c>
      <c r="I116">
        <v>0</v>
      </c>
      <c r="J116">
        <v>905.66</v>
      </c>
      <c r="K116">
        <v>0</v>
      </c>
      <c r="L116">
        <v>13</v>
      </c>
      <c r="P116" s="333">
        <v>40894.98</v>
      </c>
      <c r="Q116">
        <v>5971.24833333333</v>
      </c>
      <c r="R116">
        <v>2971.24833333333</v>
      </c>
      <c r="S116">
        <v>2971.24833333333</v>
      </c>
      <c r="T116">
        <v>2971.24833333333</v>
      </c>
      <c r="U116">
        <v>4211.24833333333</v>
      </c>
      <c r="V116">
        <v>2971.24833333333</v>
      </c>
      <c r="W116">
        <v>2971.24833333333</v>
      </c>
      <c r="X116">
        <v>2971.24833333333</v>
      </c>
      <c r="Y116">
        <v>3971.24833333333</v>
      </c>
      <c r="Z116">
        <v>2971.24833333333</v>
      </c>
      <c r="AA116">
        <v>2971.24833333333</v>
      </c>
      <c r="AB116">
        <v>2971.24833333333</v>
      </c>
    </row>
    <row r="117" spans="1:28">
      <c r="A117" t="s">
        <v>139</v>
      </c>
      <c r="B117" t="s">
        <v>140</v>
      </c>
      <c r="C117">
        <v>0</v>
      </c>
      <c r="D117">
        <v>0</v>
      </c>
      <c r="E117">
        <v>0</v>
      </c>
      <c r="F117">
        <v>0</v>
      </c>
      <c r="G117">
        <v>0</v>
      </c>
      <c r="H117">
        <v>0</v>
      </c>
      <c r="I117">
        <v>0</v>
      </c>
      <c r="J117">
        <v>0</v>
      </c>
      <c r="K117">
        <v>0</v>
      </c>
      <c r="L117">
        <v>0</v>
      </c>
      <c r="P117" s="333">
        <v>0</v>
      </c>
      <c r="Q117">
        <v>0</v>
      </c>
      <c r="R117">
        <v>0</v>
      </c>
      <c r="S117">
        <v>0</v>
      </c>
      <c r="T117">
        <v>0</v>
      </c>
      <c r="U117">
        <v>0</v>
      </c>
      <c r="V117">
        <v>0</v>
      </c>
      <c r="W117">
        <v>0</v>
      </c>
      <c r="X117">
        <v>0</v>
      </c>
      <c r="Y117">
        <v>0</v>
      </c>
      <c r="Z117">
        <v>0</v>
      </c>
      <c r="AA117">
        <v>0</v>
      </c>
      <c r="AB117">
        <v>0</v>
      </c>
    </row>
    <row r="118" spans="1:28">
      <c r="A118" t="s">
        <v>405</v>
      </c>
      <c r="B118" t="s">
        <v>406</v>
      </c>
      <c r="C118">
        <v>0</v>
      </c>
      <c r="D118">
        <v>0</v>
      </c>
      <c r="E118">
        <v>0</v>
      </c>
      <c r="F118">
        <v>0</v>
      </c>
      <c r="G118">
        <v>0</v>
      </c>
      <c r="H118">
        <v>0</v>
      </c>
      <c r="I118">
        <v>0</v>
      </c>
      <c r="J118">
        <v>0</v>
      </c>
      <c r="K118">
        <v>0</v>
      </c>
      <c r="L118">
        <v>0</v>
      </c>
      <c r="P118">
        <v>0</v>
      </c>
      <c r="Q118">
        <v>0</v>
      </c>
      <c r="R118">
        <v>0</v>
      </c>
      <c r="S118">
        <v>0</v>
      </c>
      <c r="T118">
        <v>0</v>
      </c>
      <c r="U118">
        <v>0</v>
      </c>
      <c r="V118">
        <v>0</v>
      </c>
      <c r="W118">
        <v>0</v>
      </c>
      <c r="X118">
        <v>0</v>
      </c>
      <c r="Y118">
        <v>0</v>
      </c>
      <c r="Z118">
        <v>0</v>
      </c>
      <c r="AA118">
        <v>0</v>
      </c>
      <c r="AB118">
        <v>0</v>
      </c>
    </row>
    <row r="119" spans="1:28">
      <c r="A119" t="s">
        <v>145</v>
      </c>
      <c r="B119" t="s">
        <v>146</v>
      </c>
      <c r="C119">
        <v>25055.05</v>
      </c>
      <c r="D119">
        <v>2059.78</v>
      </c>
      <c r="E119">
        <v>2087.48</v>
      </c>
      <c r="F119">
        <v>2069.18</v>
      </c>
      <c r="G119">
        <v>2239.65</v>
      </c>
      <c r="H119">
        <v>2071.77</v>
      </c>
      <c r="I119">
        <v>2075.37</v>
      </c>
      <c r="J119">
        <v>2074.88</v>
      </c>
      <c r="K119">
        <v>2075.18</v>
      </c>
      <c r="L119">
        <v>2075.44</v>
      </c>
      <c r="M119">
        <v>2075.44</v>
      </c>
      <c r="N119">
        <v>2075.44</v>
      </c>
      <c r="O119">
        <v>2075.44</v>
      </c>
      <c r="P119" s="333">
        <v>30600</v>
      </c>
      <c r="Q119">
        <v>2550</v>
      </c>
      <c r="R119">
        <v>2550</v>
      </c>
      <c r="S119">
        <v>2550</v>
      </c>
      <c r="T119">
        <v>2550</v>
      </c>
      <c r="U119">
        <v>2550</v>
      </c>
      <c r="V119">
        <v>2550</v>
      </c>
      <c r="W119">
        <v>2550</v>
      </c>
      <c r="X119">
        <v>2550</v>
      </c>
      <c r="Y119">
        <v>2550</v>
      </c>
      <c r="Z119">
        <v>2550</v>
      </c>
      <c r="AA119">
        <v>2550</v>
      </c>
      <c r="AB119">
        <v>2550</v>
      </c>
    </row>
    <row r="120" spans="1:28">
      <c r="A120" t="s">
        <v>407</v>
      </c>
      <c r="B120" t="s">
        <v>408</v>
      </c>
      <c r="C120">
        <v>0</v>
      </c>
      <c r="D120">
        <v>0</v>
      </c>
      <c r="E120">
        <v>0</v>
      </c>
      <c r="F120">
        <v>0</v>
      </c>
      <c r="G120">
        <v>0</v>
      </c>
      <c r="H120">
        <v>0</v>
      </c>
      <c r="I120">
        <v>0</v>
      </c>
      <c r="J120">
        <v>0</v>
      </c>
      <c r="K120">
        <v>0</v>
      </c>
      <c r="L120">
        <v>0</v>
      </c>
      <c r="P120">
        <v>0</v>
      </c>
      <c r="Q120">
        <v>0</v>
      </c>
      <c r="R120">
        <v>0</v>
      </c>
      <c r="S120">
        <v>0</v>
      </c>
      <c r="T120">
        <v>0</v>
      </c>
      <c r="U120">
        <v>0</v>
      </c>
      <c r="V120">
        <v>0</v>
      </c>
      <c r="W120">
        <v>0</v>
      </c>
      <c r="X120">
        <v>0</v>
      </c>
      <c r="Y120">
        <v>0</v>
      </c>
      <c r="Z120">
        <v>0</v>
      </c>
      <c r="AA120">
        <v>0</v>
      </c>
      <c r="AB120">
        <v>0</v>
      </c>
    </row>
    <row r="121" spans="1:28">
      <c r="A121" t="s">
        <v>409</v>
      </c>
      <c r="B121" t="s">
        <v>410</v>
      </c>
      <c r="C121">
        <v>0</v>
      </c>
      <c r="D121">
        <v>0</v>
      </c>
      <c r="E121">
        <v>0</v>
      </c>
      <c r="F121">
        <v>0</v>
      </c>
      <c r="G121">
        <v>0</v>
      </c>
      <c r="H121">
        <v>0</v>
      </c>
      <c r="I121">
        <v>0</v>
      </c>
      <c r="J121">
        <v>0</v>
      </c>
      <c r="K121">
        <v>0</v>
      </c>
      <c r="L121">
        <v>0</v>
      </c>
      <c r="P121">
        <v>0</v>
      </c>
      <c r="Q121">
        <v>0</v>
      </c>
      <c r="R121">
        <v>0</v>
      </c>
      <c r="S121">
        <v>0</v>
      </c>
      <c r="T121">
        <v>0</v>
      </c>
      <c r="U121">
        <v>0</v>
      </c>
      <c r="V121">
        <v>0</v>
      </c>
      <c r="W121">
        <v>0</v>
      </c>
      <c r="X121">
        <v>0</v>
      </c>
      <c r="Y121">
        <v>0</v>
      </c>
      <c r="Z121">
        <v>0</v>
      </c>
      <c r="AA121">
        <v>0</v>
      </c>
      <c r="AB121">
        <v>0</v>
      </c>
    </row>
    <row r="122" spans="1:28">
      <c r="A122" t="s">
        <v>411</v>
      </c>
      <c r="B122" t="s">
        <v>412</v>
      </c>
      <c r="C122">
        <v>0</v>
      </c>
      <c r="D122">
        <v>0</v>
      </c>
      <c r="E122">
        <v>0</v>
      </c>
      <c r="F122">
        <v>0</v>
      </c>
      <c r="G122">
        <v>0</v>
      </c>
      <c r="H122">
        <v>0</v>
      </c>
      <c r="I122">
        <v>0</v>
      </c>
      <c r="J122">
        <v>0</v>
      </c>
      <c r="K122">
        <v>0</v>
      </c>
      <c r="L122">
        <v>0</v>
      </c>
      <c r="P122">
        <v>0</v>
      </c>
      <c r="Q122">
        <v>0</v>
      </c>
      <c r="R122">
        <v>0</v>
      </c>
      <c r="S122">
        <v>0</v>
      </c>
      <c r="T122">
        <v>0</v>
      </c>
      <c r="U122">
        <v>0</v>
      </c>
      <c r="V122">
        <v>0</v>
      </c>
      <c r="W122">
        <v>0</v>
      </c>
      <c r="X122">
        <v>0</v>
      </c>
      <c r="Y122">
        <v>0</v>
      </c>
      <c r="Z122">
        <v>0</v>
      </c>
      <c r="AA122">
        <v>0</v>
      </c>
      <c r="AB122">
        <v>0</v>
      </c>
    </row>
    <row r="123" spans="1:28">
      <c r="A123" t="s">
        <v>413</v>
      </c>
      <c r="B123" t="s">
        <v>414</v>
      </c>
      <c r="C123">
        <v>0</v>
      </c>
      <c r="D123">
        <v>0</v>
      </c>
      <c r="E123">
        <v>0</v>
      </c>
      <c r="F123">
        <v>0</v>
      </c>
      <c r="G123">
        <v>0</v>
      </c>
      <c r="H123">
        <v>0</v>
      </c>
      <c r="I123">
        <v>0</v>
      </c>
      <c r="J123">
        <v>0</v>
      </c>
      <c r="K123">
        <v>0</v>
      </c>
      <c r="L123">
        <v>0</v>
      </c>
      <c r="P123" s="333">
        <v>95082</v>
      </c>
      <c r="Q123">
        <v>0</v>
      </c>
      <c r="R123">
        <v>0</v>
      </c>
      <c r="S123">
        <v>0</v>
      </c>
      <c r="T123">
        <v>0</v>
      </c>
      <c r="U123">
        <v>0</v>
      </c>
      <c r="V123">
        <v>0</v>
      </c>
      <c r="W123">
        <v>0</v>
      </c>
      <c r="X123">
        <v>0</v>
      </c>
      <c r="Y123">
        <v>57452</v>
      </c>
      <c r="Z123">
        <v>37630</v>
      </c>
      <c r="AA123">
        <v>0</v>
      </c>
      <c r="AB123">
        <v>0</v>
      </c>
    </row>
    <row r="124" spans="1:28">
      <c r="A124" t="s">
        <v>149</v>
      </c>
      <c r="B124" t="s">
        <v>150</v>
      </c>
      <c r="C124">
        <v>77105.88</v>
      </c>
      <c r="D124">
        <v>0</v>
      </c>
      <c r="E124">
        <v>0</v>
      </c>
      <c r="F124">
        <v>26765.53</v>
      </c>
      <c r="G124">
        <v>0</v>
      </c>
      <c r="H124">
        <v>0</v>
      </c>
      <c r="I124">
        <v>9720.65</v>
      </c>
      <c r="J124">
        <v>10749.7</v>
      </c>
      <c r="K124">
        <v>9870</v>
      </c>
      <c r="L124">
        <v>0</v>
      </c>
      <c r="M124">
        <v>10000</v>
      </c>
      <c r="N124">
        <v>10000</v>
      </c>
      <c r="O124">
        <v>0</v>
      </c>
      <c r="P124">
        <v>135000</v>
      </c>
      <c r="Q124">
        <v>105000</v>
      </c>
      <c r="R124">
        <v>0</v>
      </c>
      <c r="S124">
        <v>0</v>
      </c>
      <c r="T124">
        <v>0</v>
      </c>
      <c r="U124">
        <v>0</v>
      </c>
      <c r="V124">
        <v>0</v>
      </c>
      <c r="W124">
        <v>0</v>
      </c>
      <c r="X124">
        <v>0</v>
      </c>
      <c r="Y124">
        <v>30000</v>
      </c>
      <c r="Z124">
        <v>0</v>
      </c>
      <c r="AA124">
        <v>0</v>
      </c>
      <c r="AB124">
        <v>0</v>
      </c>
    </row>
    <row r="125" spans="1:28">
      <c r="A125" t="s">
        <v>151</v>
      </c>
      <c r="B125" t="s">
        <v>152</v>
      </c>
      <c r="C125">
        <v>67235.88</v>
      </c>
      <c r="D125">
        <v>0</v>
      </c>
      <c r="E125">
        <v>0</v>
      </c>
      <c r="F125">
        <v>26765.53</v>
      </c>
      <c r="G125">
        <v>0</v>
      </c>
      <c r="H125">
        <v>0</v>
      </c>
      <c r="I125">
        <v>9720.65</v>
      </c>
      <c r="J125">
        <v>10749.7</v>
      </c>
      <c r="K125">
        <v>0</v>
      </c>
      <c r="L125">
        <v>0</v>
      </c>
      <c r="M125">
        <v>10000</v>
      </c>
      <c r="N125">
        <v>10000</v>
      </c>
      <c r="P125" s="333">
        <v>75000</v>
      </c>
      <c r="Q125">
        <v>75000</v>
      </c>
      <c r="R125">
        <v>0</v>
      </c>
      <c r="S125">
        <v>0</v>
      </c>
      <c r="T125">
        <v>0</v>
      </c>
      <c r="U125">
        <v>0</v>
      </c>
      <c r="V125">
        <v>0</v>
      </c>
      <c r="W125">
        <v>0</v>
      </c>
      <c r="X125">
        <v>0</v>
      </c>
      <c r="Y125">
        <v>0</v>
      </c>
      <c r="Z125">
        <v>0</v>
      </c>
      <c r="AA125">
        <v>0</v>
      </c>
      <c r="AB125">
        <v>0</v>
      </c>
    </row>
    <row r="126" spans="1:28">
      <c r="A126" t="s">
        <v>415</v>
      </c>
      <c r="B126" t="s">
        <v>416</v>
      </c>
      <c r="C126">
        <v>0</v>
      </c>
      <c r="D126">
        <v>0</v>
      </c>
      <c r="E126">
        <v>0</v>
      </c>
      <c r="F126">
        <v>0</v>
      </c>
      <c r="G126">
        <v>0</v>
      </c>
      <c r="H126">
        <v>0</v>
      </c>
      <c r="I126">
        <v>0</v>
      </c>
      <c r="J126">
        <v>0</v>
      </c>
      <c r="K126">
        <v>0</v>
      </c>
      <c r="L126">
        <v>0</v>
      </c>
      <c r="P126">
        <v>0</v>
      </c>
      <c r="Q126">
        <v>0</v>
      </c>
      <c r="R126">
        <v>0</v>
      </c>
      <c r="S126">
        <v>0</v>
      </c>
      <c r="T126">
        <v>0</v>
      </c>
      <c r="U126">
        <v>0</v>
      </c>
      <c r="V126">
        <v>0</v>
      </c>
      <c r="W126">
        <v>0</v>
      </c>
      <c r="X126">
        <v>0</v>
      </c>
      <c r="Y126">
        <v>0</v>
      </c>
      <c r="Z126">
        <v>0</v>
      </c>
      <c r="AA126">
        <v>0</v>
      </c>
      <c r="AB126">
        <v>0</v>
      </c>
    </row>
    <row r="127" spans="1:28">
      <c r="A127" t="s">
        <v>155</v>
      </c>
      <c r="B127" t="s">
        <v>156</v>
      </c>
      <c r="C127">
        <v>0</v>
      </c>
      <c r="D127">
        <v>0</v>
      </c>
      <c r="E127">
        <v>0</v>
      </c>
      <c r="F127">
        <v>0</v>
      </c>
      <c r="G127">
        <v>0</v>
      </c>
      <c r="H127">
        <v>0</v>
      </c>
      <c r="I127">
        <v>0</v>
      </c>
      <c r="J127">
        <v>0</v>
      </c>
      <c r="K127">
        <v>0</v>
      </c>
      <c r="L127">
        <v>0</v>
      </c>
      <c r="P127" s="333">
        <v>0</v>
      </c>
      <c r="Q127">
        <v>0</v>
      </c>
      <c r="R127">
        <v>0</v>
      </c>
      <c r="S127">
        <v>0</v>
      </c>
      <c r="T127">
        <v>0</v>
      </c>
      <c r="U127">
        <v>0</v>
      </c>
      <c r="V127">
        <v>0</v>
      </c>
      <c r="W127">
        <v>0</v>
      </c>
      <c r="X127">
        <v>0</v>
      </c>
      <c r="Y127">
        <v>0</v>
      </c>
      <c r="Z127">
        <v>0</v>
      </c>
      <c r="AA127">
        <v>0</v>
      </c>
      <c r="AB127">
        <v>0</v>
      </c>
    </row>
    <row r="128" spans="1:28">
      <c r="A128" t="s">
        <v>159</v>
      </c>
      <c r="B128" t="s">
        <v>160</v>
      </c>
      <c r="C128">
        <v>0</v>
      </c>
      <c r="D128">
        <v>0</v>
      </c>
      <c r="E128">
        <v>0</v>
      </c>
      <c r="F128">
        <v>0</v>
      </c>
      <c r="G128">
        <v>0</v>
      </c>
      <c r="H128">
        <v>0</v>
      </c>
      <c r="I128">
        <v>0</v>
      </c>
      <c r="J128">
        <v>0</v>
      </c>
      <c r="K128">
        <v>0</v>
      </c>
      <c r="L128">
        <v>0</v>
      </c>
      <c r="P128">
        <v>0</v>
      </c>
      <c r="Q128">
        <v>0</v>
      </c>
      <c r="R128">
        <v>0</v>
      </c>
      <c r="S128">
        <v>0</v>
      </c>
      <c r="T128">
        <v>0</v>
      </c>
      <c r="U128">
        <v>0</v>
      </c>
      <c r="V128">
        <v>0</v>
      </c>
      <c r="W128">
        <v>0</v>
      </c>
      <c r="X128">
        <v>0</v>
      </c>
      <c r="Y128">
        <v>0</v>
      </c>
      <c r="Z128">
        <v>0</v>
      </c>
      <c r="AA128">
        <v>0</v>
      </c>
      <c r="AB128">
        <v>0</v>
      </c>
    </row>
    <row r="129" spans="1:28">
      <c r="A129" t="s">
        <v>161</v>
      </c>
      <c r="B129" t="s">
        <v>162</v>
      </c>
      <c r="C129">
        <v>0</v>
      </c>
      <c r="D129">
        <v>0</v>
      </c>
      <c r="E129">
        <v>0</v>
      </c>
      <c r="F129">
        <v>0</v>
      </c>
      <c r="G129">
        <v>0</v>
      </c>
      <c r="H129">
        <v>0</v>
      </c>
      <c r="I129">
        <v>0</v>
      </c>
      <c r="J129">
        <v>0</v>
      </c>
      <c r="K129">
        <v>0</v>
      </c>
      <c r="L129">
        <v>0</v>
      </c>
      <c r="P129">
        <v>0</v>
      </c>
      <c r="Q129">
        <v>0</v>
      </c>
      <c r="R129">
        <v>0</v>
      </c>
      <c r="S129">
        <v>0</v>
      </c>
      <c r="T129">
        <v>0</v>
      </c>
      <c r="U129">
        <v>0</v>
      </c>
      <c r="V129">
        <v>0</v>
      </c>
      <c r="W129">
        <v>0</v>
      </c>
      <c r="X129">
        <v>0</v>
      </c>
      <c r="Y129">
        <v>0</v>
      </c>
      <c r="Z129">
        <v>0</v>
      </c>
      <c r="AA129">
        <v>0</v>
      </c>
      <c r="AB129">
        <v>0</v>
      </c>
    </row>
    <row r="130" spans="1:28">
      <c r="A130" t="s">
        <v>163</v>
      </c>
      <c r="B130" t="s">
        <v>164</v>
      </c>
      <c r="C130">
        <v>0</v>
      </c>
      <c r="D130">
        <v>0</v>
      </c>
      <c r="E130">
        <v>0</v>
      </c>
      <c r="F130">
        <v>0</v>
      </c>
      <c r="G130">
        <v>0</v>
      </c>
      <c r="H130">
        <v>0</v>
      </c>
      <c r="I130">
        <v>0</v>
      </c>
      <c r="J130">
        <v>0</v>
      </c>
      <c r="K130">
        <v>0</v>
      </c>
      <c r="L130">
        <v>0</v>
      </c>
      <c r="P130">
        <v>0</v>
      </c>
      <c r="Q130">
        <v>0</v>
      </c>
      <c r="R130">
        <v>0</v>
      </c>
      <c r="S130">
        <v>0</v>
      </c>
      <c r="T130">
        <v>0</v>
      </c>
      <c r="U130">
        <v>0</v>
      </c>
      <c r="V130">
        <v>0</v>
      </c>
      <c r="W130">
        <v>0</v>
      </c>
      <c r="X130">
        <v>0</v>
      </c>
      <c r="Y130">
        <v>0</v>
      </c>
      <c r="Z130">
        <v>0</v>
      </c>
      <c r="AA130">
        <v>0</v>
      </c>
      <c r="AB130">
        <v>0</v>
      </c>
    </row>
    <row r="131" spans="1:28">
      <c r="A131" t="s">
        <v>165</v>
      </c>
      <c r="B131" t="s">
        <v>166</v>
      </c>
      <c r="C131">
        <v>0</v>
      </c>
      <c r="D131">
        <v>0</v>
      </c>
      <c r="E131">
        <v>0</v>
      </c>
      <c r="F131">
        <v>0</v>
      </c>
      <c r="G131">
        <v>0</v>
      </c>
      <c r="H131">
        <v>0</v>
      </c>
      <c r="I131">
        <v>0</v>
      </c>
      <c r="J131">
        <v>0</v>
      </c>
      <c r="K131">
        <v>0</v>
      </c>
      <c r="L131">
        <v>0</v>
      </c>
      <c r="P131">
        <v>0</v>
      </c>
      <c r="Q131">
        <v>0</v>
      </c>
      <c r="R131">
        <v>0</v>
      </c>
      <c r="S131">
        <v>0</v>
      </c>
      <c r="T131">
        <v>0</v>
      </c>
      <c r="U131">
        <v>0</v>
      </c>
      <c r="V131">
        <v>0</v>
      </c>
      <c r="W131">
        <v>0</v>
      </c>
      <c r="X131">
        <v>0</v>
      </c>
      <c r="Y131">
        <v>0</v>
      </c>
      <c r="Z131">
        <v>0</v>
      </c>
      <c r="AA131">
        <v>0</v>
      </c>
      <c r="AB131">
        <v>0</v>
      </c>
    </row>
    <row r="132" spans="1:28">
      <c r="A132" t="s">
        <v>167</v>
      </c>
      <c r="B132" t="s">
        <v>168</v>
      </c>
      <c r="C132">
        <v>9870</v>
      </c>
      <c r="D132">
        <v>0</v>
      </c>
      <c r="E132">
        <v>0</v>
      </c>
      <c r="F132">
        <v>0</v>
      </c>
      <c r="G132">
        <v>0</v>
      </c>
      <c r="H132">
        <v>0</v>
      </c>
      <c r="I132">
        <v>0</v>
      </c>
      <c r="J132">
        <v>0</v>
      </c>
      <c r="K132">
        <v>9870</v>
      </c>
      <c r="L132">
        <v>0</v>
      </c>
      <c r="P132" s="333">
        <v>60000</v>
      </c>
      <c r="Q132">
        <v>30000</v>
      </c>
      <c r="R132">
        <v>0</v>
      </c>
      <c r="S132">
        <v>0</v>
      </c>
      <c r="T132">
        <v>0</v>
      </c>
      <c r="U132">
        <v>0</v>
      </c>
      <c r="V132">
        <v>0</v>
      </c>
      <c r="W132">
        <v>0</v>
      </c>
      <c r="X132">
        <v>0</v>
      </c>
      <c r="Y132">
        <v>30000</v>
      </c>
      <c r="Z132">
        <v>0</v>
      </c>
      <c r="AA132">
        <v>0</v>
      </c>
      <c r="AB132">
        <v>0</v>
      </c>
    </row>
    <row r="133" spans="1:28">
      <c r="A133" t="s">
        <v>417</v>
      </c>
      <c r="B133" t="s">
        <v>418</v>
      </c>
      <c r="C133">
        <v>146856.3</v>
      </c>
      <c r="D133">
        <v>11123.71</v>
      </c>
      <c r="E133">
        <v>11039.75</v>
      </c>
      <c r="F133">
        <v>11039.75</v>
      </c>
      <c r="G133">
        <v>12557.31</v>
      </c>
      <c r="H133">
        <v>12557.31</v>
      </c>
      <c r="I133">
        <v>12557.31</v>
      </c>
      <c r="J133">
        <v>12557.31</v>
      </c>
      <c r="K133">
        <v>12684.77</v>
      </c>
      <c r="L133">
        <v>12684.77</v>
      </c>
      <c r="M133">
        <v>12684.77</v>
      </c>
      <c r="N133">
        <v>12684.77</v>
      </c>
      <c r="O133">
        <v>12684.77</v>
      </c>
      <c r="P133">
        <v>155775</v>
      </c>
      <c r="Q133">
        <v>12981.25</v>
      </c>
      <c r="R133">
        <v>12981.25</v>
      </c>
      <c r="S133">
        <v>12981.25</v>
      </c>
      <c r="T133">
        <v>12981.25</v>
      </c>
      <c r="U133">
        <v>12981.25</v>
      </c>
      <c r="V133">
        <v>12981.25</v>
      </c>
      <c r="W133">
        <v>12981.25</v>
      </c>
      <c r="X133">
        <v>12981.25</v>
      </c>
      <c r="Y133">
        <v>12981.25</v>
      </c>
      <c r="Z133">
        <v>12981.25</v>
      </c>
      <c r="AA133">
        <v>12981.25</v>
      </c>
      <c r="AB133">
        <v>12981.25</v>
      </c>
    </row>
    <row r="134" spans="1:28">
      <c r="A134" t="s">
        <v>419</v>
      </c>
      <c r="B134" t="s">
        <v>420</v>
      </c>
      <c r="C134">
        <v>146856.3</v>
      </c>
      <c r="D134">
        <v>11123.71</v>
      </c>
      <c r="E134">
        <v>11039.75</v>
      </c>
      <c r="F134">
        <v>11039.75</v>
      </c>
      <c r="G134">
        <v>12557.31</v>
      </c>
      <c r="H134">
        <v>12557.31</v>
      </c>
      <c r="I134">
        <v>12557.31</v>
      </c>
      <c r="J134">
        <v>12557.31</v>
      </c>
      <c r="K134">
        <v>12684.77</v>
      </c>
      <c r="L134">
        <v>12684.77</v>
      </c>
      <c r="M134">
        <v>12684.77</v>
      </c>
      <c r="N134">
        <v>12684.77</v>
      </c>
      <c r="O134">
        <v>12684.77</v>
      </c>
      <c r="P134" s="333">
        <v>155775</v>
      </c>
      <c r="Q134">
        <v>12981.25</v>
      </c>
      <c r="R134">
        <v>12981.25</v>
      </c>
      <c r="S134">
        <v>12981.25</v>
      </c>
      <c r="T134">
        <v>12981.25</v>
      </c>
      <c r="U134">
        <v>12981.25</v>
      </c>
      <c r="V134">
        <v>12981.25</v>
      </c>
      <c r="W134">
        <v>12981.25</v>
      </c>
      <c r="X134">
        <v>12981.25</v>
      </c>
      <c r="Y134">
        <v>12981.25</v>
      </c>
      <c r="Z134">
        <v>12981.25</v>
      </c>
      <c r="AA134">
        <v>12981.25</v>
      </c>
      <c r="AB134">
        <v>12981.25</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33">
        <v>0</v>
      </c>
      <c r="Q140">
        <v>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171906.405056604</v>
      </c>
      <c r="D332">
        <v>8028.87</v>
      </c>
      <c r="E332">
        <v>17682.23</v>
      </c>
      <c r="F332">
        <v>2649.31</v>
      </c>
      <c r="G332">
        <v>22780.28</v>
      </c>
      <c r="H332">
        <v>17368.24</v>
      </c>
      <c r="I332">
        <v>16382.88</v>
      </c>
      <c r="J332">
        <v>1210.66</v>
      </c>
      <c r="K332">
        <v>13809.87</v>
      </c>
      <c r="L332">
        <v>8232.86</v>
      </c>
      <c r="M332">
        <v>18914.7688301887</v>
      </c>
      <c r="N332">
        <v>19714.360754717</v>
      </c>
      <c r="O332">
        <v>25132.0754716981</v>
      </c>
      <c r="P332">
        <v>196608.599379447</v>
      </c>
      <c r="Q332">
        <v>14603.4537218721</v>
      </c>
      <c r="R332">
        <v>15283.6839105514</v>
      </c>
      <c r="S332">
        <v>16954.6273067778</v>
      </c>
      <c r="T332">
        <v>16943.5895709287</v>
      </c>
      <c r="U332">
        <v>15779.5329671552</v>
      </c>
      <c r="V332">
        <v>17090.4763633816</v>
      </c>
      <c r="W332">
        <v>16495.2876841363</v>
      </c>
      <c r="X332">
        <v>17185.5707030042</v>
      </c>
      <c r="Y332">
        <v>15731.9857973438</v>
      </c>
      <c r="Z332">
        <v>16943.5895709287</v>
      </c>
      <c r="AA332">
        <v>17138.0235331929</v>
      </c>
      <c r="AB332">
        <v>16458.778250174</v>
      </c>
    </row>
    <row r="333" spans="1:28">
      <c r="A333">
        <v>6404</v>
      </c>
      <c r="B333" t="s">
        <v>674</v>
      </c>
      <c r="C333">
        <v>129908.619471696</v>
      </c>
      <c r="D333">
        <v>-119071.4</v>
      </c>
      <c r="E333">
        <v>4088.23999999974</v>
      </c>
      <c r="F333">
        <v>-26913.8799999998</v>
      </c>
      <c r="G333">
        <v>163558.79</v>
      </c>
      <c r="H333">
        <v>341562.11</v>
      </c>
      <c r="I333">
        <v>-326920.68</v>
      </c>
      <c r="J333">
        <v>-105108.5</v>
      </c>
      <c r="K333">
        <v>102185.549999999</v>
      </c>
      <c r="L333">
        <v>-87570.8400000004</v>
      </c>
      <c r="M333">
        <v>-24191.0524150945</v>
      </c>
      <c r="N333">
        <v>86063.7896226418</v>
      </c>
      <c r="O333">
        <v>122226.492264151</v>
      </c>
      <c r="P333">
        <v>4.80213202536106e-10</v>
      </c>
      <c r="Q333">
        <v>-1579675.82605346</v>
      </c>
      <c r="R333">
        <v>-12048.8511477987</v>
      </c>
      <c r="S333">
        <v>218355.677154088</v>
      </c>
      <c r="T333">
        <v>191833.696022012</v>
      </c>
      <c r="U333">
        <v>55083.2243238997</v>
      </c>
      <c r="V333">
        <v>237087.752625786</v>
      </c>
      <c r="W333">
        <v>155017.846965409</v>
      </c>
      <c r="X333">
        <v>250200.205455975</v>
      </c>
      <c r="Y333">
        <v>-38685.002091195</v>
      </c>
      <c r="Z333">
        <v>154203.696022012</v>
      </c>
      <c r="AA333">
        <v>243643.979040881</v>
      </c>
      <c r="AB333">
        <v>124983.60168239</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-5503.96</v>
      </c>
      <c r="D336">
        <v>-1244.36</v>
      </c>
      <c r="E336">
        <v>144.53</v>
      </c>
      <c r="F336">
        <v>-230.04</v>
      </c>
      <c r="G336">
        <v>-2372.66</v>
      </c>
      <c r="H336">
        <v>-745.06</v>
      </c>
      <c r="I336">
        <v>-338.38</v>
      </c>
      <c r="J336">
        <v>336.65</v>
      </c>
      <c r="K336">
        <v>573.93</v>
      </c>
      <c r="L336">
        <v>-1628.57</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-9422.34</v>
      </c>
      <c r="D338">
        <v>-1764.68</v>
      </c>
      <c r="E338">
        <v>-459.62</v>
      </c>
      <c r="F338">
        <v>-488.56</v>
      </c>
      <c r="G338">
        <v>-2800.53</v>
      </c>
      <c r="H338">
        <v>-1164.82</v>
      </c>
      <c r="I338">
        <v>-716.04</v>
      </c>
      <c r="J338">
        <v>0</v>
      </c>
      <c r="K338">
        <v>0</v>
      </c>
      <c r="L338">
        <v>-2028.09</v>
      </c>
      <c r="P338">
        <v>0</v>
      </c>
    </row>
    <row r="339" spans="1:16">
      <c r="A339">
        <v>6603.99</v>
      </c>
      <c r="B339" t="s">
        <v>680</v>
      </c>
      <c r="C339">
        <v>3918.38</v>
      </c>
      <c r="D339">
        <v>520.32</v>
      </c>
      <c r="E339">
        <v>604.15</v>
      </c>
      <c r="F339">
        <v>258.52</v>
      </c>
      <c r="G339">
        <v>427.87</v>
      </c>
      <c r="H339">
        <v>419.76</v>
      </c>
      <c r="I339">
        <v>377.66</v>
      </c>
      <c r="J339">
        <v>336.65</v>
      </c>
      <c r="K339">
        <v>573.93</v>
      </c>
      <c r="L339">
        <v>399.52</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-74544.64</v>
      </c>
      <c r="D346">
        <v>0</v>
      </c>
      <c r="E346">
        <v>8000</v>
      </c>
      <c r="F346">
        <v>1778.22</v>
      </c>
      <c r="G346">
        <v>-114060.36</v>
      </c>
      <c r="H346">
        <v>17062.5</v>
      </c>
      <c r="I346">
        <v>0</v>
      </c>
      <c r="J346">
        <v>0</v>
      </c>
      <c r="K346">
        <v>0</v>
      </c>
      <c r="L346">
        <v>12675</v>
      </c>
      <c r="P346">
        <v>0</v>
      </c>
    </row>
    <row r="347" spans="1:28">
      <c r="A347">
        <v>6113</v>
      </c>
      <c r="B347" t="s">
        <v>688</v>
      </c>
      <c r="C347">
        <v>60867.9394716964</v>
      </c>
      <c r="D347">
        <v>-117827.04</v>
      </c>
      <c r="E347">
        <v>11943.7099999997</v>
      </c>
      <c r="F347">
        <v>-24905.6199999998</v>
      </c>
      <c r="G347">
        <v>51871.0900000003</v>
      </c>
      <c r="H347">
        <v>359369.67</v>
      </c>
      <c r="I347">
        <v>-326582.3</v>
      </c>
      <c r="J347">
        <v>-105445.15</v>
      </c>
      <c r="K347">
        <v>101611.619999999</v>
      </c>
      <c r="L347">
        <v>-73267.2700000004</v>
      </c>
      <c r="M347">
        <v>-24191.0524150945</v>
      </c>
      <c r="N347">
        <v>86063.7896226418</v>
      </c>
      <c r="O347">
        <v>122226.492264151</v>
      </c>
      <c r="P347">
        <v>4.80213202536106e-10</v>
      </c>
      <c r="Q347">
        <v>-1579675.82605346</v>
      </c>
      <c r="R347">
        <v>-12048.8511477987</v>
      </c>
      <c r="S347">
        <v>218355.677154088</v>
      </c>
      <c r="T347">
        <v>191833.696022012</v>
      </c>
      <c r="U347">
        <v>55083.2243238997</v>
      </c>
      <c r="V347">
        <v>237087.752625786</v>
      </c>
      <c r="W347">
        <v>155017.846965409</v>
      </c>
      <c r="X347">
        <v>250200.205455975</v>
      </c>
      <c r="Y347">
        <v>-38685.002091195</v>
      </c>
      <c r="Z347">
        <v>154203.696022012</v>
      </c>
      <c r="AA347">
        <v>243643.979040881</v>
      </c>
      <c r="AB347">
        <v>124983.60168239</v>
      </c>
    </row>
    <row r="348" spans="1:28">
      <c r="A348">
        <v>6712</v>
      </c>
      <c r="B348" t="s">
        <v>689</v>
      </c>
      <c r="C348">
        <v>-60867.94</v>
      </c>
      <c r="D348">
        <v>0</v>
      </c>
      <c r="E348">
        <v>-193.25</v>
      </c>
      <c r="F348">
        <v>0</v>
      </c>
      <c r="G348">
        <v>-55674.69</v>
      </c>
      <c r="H348">
        <v>0</v>
      </c>
      <c r="I348">
        <v>0</v>
      </c>
      <c r="J348">
        <v>0</v>
      </c>
      <c r="K348">
        <v>-5000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60867.94</v>
      </c>
      <c r="D350">
        <v>0</v>
      </c>
      <c r="E350">
        <v>193.25</v>
      </c>
      <c r="F350">
        <v>0</v>
      </c>
      <c r="G350">
        <v>55674.69</v>
      </c>
      <c r="H350">
        <v>0</v>
      </c>
      <c r="I350">
        <v>0</v>
      </c>
      <c r="J350">
        <v>0</v>
      </c>
      <c r="K350">
        <v>5000</v>
      </c>
      <c r="L350">
        <v>0</v>
      </c>
      <c r="P350">
        <v>0</v>
      </c>
    </row>
    <row r="351" spans="1:28">
      <c r="A351">
        <v>6713</v>
      </c>
      <c r="B351" t="s">
        <v>692</v>
      </c>
      <c r="C351">
        <v>1439999.9994717</v>
      </c>
      <c r="D351">
        <v>9372.95999999998</v>
      </c>
      <c r="E351">
        <v>138950.46</v>
      </c>
      <c r="F351">
        <v>102294.38</v>
      </c>
      <c r="G351">
        <v>101796.4</v>
      </c>
      <c r="H351">
        <v>486569.67</v>
      </c>
      <c r="I351">
        <v>-199382.3</v>
      </c>
      <c r="J351">
        <v>154.849999999686</v>
      </c>
      <c r="K351">
        <v>223811.619999999</v>
      </c>
      <c r="L351">
        <v>53932.7299999996</v>
      </c>
      <c r="M351">
        <v>103008.947584906</v>
      </c>
      <c r="N351">
        <v>213263.789622642</v>
      </c>
      <c r="O351">
        <v>206226.492264151</v>
      </c>
      <c r="P351">
        <v>360000</v>
      </c>
      <c r="Q351">
        <v>-1549675.82605346</v>
      </c>
      <c r="R351">
        <v>17951.1488522013</v>
      </c>
      <c r="S351">
        <v>248355.677154088</v>
      </c>
      <c r="T351">
        <v>221833.696022012</v>
      </c>
      <c r="U351">
        <v>85083.2243238997</v>
      </c>
      <c r="V351">
        <v>267087.752625786</v>
      </c>
      <c r="W351">
        <v>185017.846965409</v>
      </c>
      <c r="X351">
        <v>280200.205455975</v>
      </c>
      <c r="Y351">
        <v>-8685.00209119503</v>
      </c>
      <c r="Z351">
        <v>184203.696022012</v>
      </c>
      <c r="AA351">
        <v>273643.979040881</v>
      </c>
      <c r="AB351">
        <v>154983.60168239</v>
      </c>
    </row>
    <row r="352" spans="1:28">
      <c r="A352">
        <v>6714</v>
      </c>
      <c r="B352" t="s">
        <v>693</v>
      </c>
      <c r="C352">
        <v>-0.000528303542523645</v>
      </c>
      <c r="D352">
        <v>-117827.04</v>
      </c>
      <c r="E352">
        <v>11750.4599999997</v>
      </c>
      <c r="F352">
        <v>-24905.6199999998</v>
      </c>
      <c r="G352">
        <v>-3803.5999999997</v>
      </c>
      <c r="H352">
        <v>359369.67</v>
      </c>
      <c r="I352">
        <v>-326582.3</v>
      </c>
      <c r="J352">
        <v>-105445.15</v>
      </c>
      <c r="K352">
        <v>96611.6199999995</v>
      </c>
      <c r="L352">
        <v>-73267.2700000004</v>
      </c>
      <c r="M352">
        <v>-24191.0524150945</v>
      </c>
      <c r="N352">
        <v>86063.7896226418</v>
      </c>
      <c r="O352">
        <v>122226.492264151</v>
      </c>
      <c r="P352">
        <v>4.80213202536106e-10</v>
      </c>
      <c r="Q352">
        <v>-1579675.82605346</v>
      </c>
      <c r="R352">
        <v>-12048.8511477987</v>
      </c>
      <c r="S352">
        <v>218355.677154088</v>
      </c>
      <c r="T352">
        <v>191833.696022012</v>
      </c>
      <c r="U352">
        <v>55083.2243238997</v>
      </c>
      <c r="V352">
        <v>237087.752625786</v>
      </c>
      <c r="W352">
        <v>155017.846965409</v>
      </c>
      <c r="X352">
        <v>250200.205455975</v>
      </c>
      <c r="Y352">
        <v>-38685.002091195</v>
      </c>
      <c r="Z352">
        <v>154203.696022012</v>
      </c>
      <c r="AA352">
        <v>243643.979040881</v>
      </c>
      <c r="AB352">
        <v>124983.60168239</v>
      </c>
    </row>
    <row r="353" spans="1:16">
      <c r="A353">
        <v>6801</v>
      </c>
      <c r="B353" t="s">
        <v>694</v>
      </c>
      <c r="C353">
        <v>0</v>
      </c>
      <c r="P353">
        <v>0</v>
      </c>
    </row>
    <row r="354" spans="1:28">
      <c r="A354">
        <v>6715</v>
      </c>
      <c r="B354" t="s">
        <v>695</v>
      </c>
      <c r="C354">
        <v>-0.000528303542523645</v>
      </c>
      <c r="D354">
        <v>-117827.04</v>
      </c>
      <c r="E354">
        <v>11750.4599999997</v>
      </c>
      <c r="F354">
        <v>-24905.6199999998</v>
      </c>
      <c r="G354">
        <v>-3803.5999999997</v>
      </c>
      <c r="H354">
        <v>359369.67</v>
      </c>
      <c r="I354">
        <v>-326582.3</v>
      </c>
      <c r="J354">
        <v>-105445.15</v>
      </c>
      <c r="K354">
        <v>96611.6199999995</v>
      </c>
      <c r="L354">
        <v>-73267.2700000004</v>
      </c>
      <c r="M354">
        <v>-24191.0524150945</v>
      </c>
      <c r="N354">
        <v>86063.7896226418</v>
      </c>
      <c r="O354">
        <v>122226.492264151</v>
      </c>
      <c r="P354">
        <v>4.80213202536106e-10</v>
      </c>
      <c r="Q354">
        <v>-1579675.82605346</v>
      </c>
      <c r="R354">
        <v>-12048.8511477987</v>
      </c>
      <c r="S354">
        <v>218355.677154088</v>
      </c>
      <c r="T354">
        <v>191833.696022012</v>
      </c>
      <c r="U354">
        <v>55083.2243238997</v>
      </c>
      <c r="V354">
        <v>237087.752625786</v>
      </c>
      <c r="W354">
        <v>155017.846965409</v>
      </c>
      <c r="X354">
        <v>250200.205455975</v>
      </c>
      <c r="Y354">
        <v>-38685.002091195</v>
      </c>
      <c r="Z354">
        <v>154203.696022012</v>
      </c>
      <c r="AA354">
        <v>243643.979040881</v>
      </c>
      <c r="AB354">
        <v>124983.60168239</v>
      </c>
    </row>
    <row r="355" spans="1:16">
      <c r="A355">
        <v>6716</v>
      </c>
      <c r="B355" t="s">
        <v>696</v>
      </c>
      <c r="C355">
        <v>0</v>
      </c>
      <c r="P355">
        <v>0</v>
      </c>
    </row>
    <row r="356" spans="1:28">
      <c r="A356" t="s">
        <v>697</v>
      </c>
      <c r="B356" t="s">
        <v>698</v>
      </c>
      <c r="C356">
        <v>0.00953130170048876</v>
      </c>
      <c r="D356">
        <v>-0.0555144567070295</v>
      </c>
      <c r="E356">
        <v>0.00842781564309329</v>
      </c>
      <c r="F356">
        <v>-0.0112403389797955</v>
      </c>
      <c r="G356">
        <v>0.0707217065098598</v>
      </c>
      <c r="H356">
        <v>0.127302791780167</v>
      </c>
      <c r="I356">
        <v>-0.122606599877827</v>
      </c>
      <c r="J356">
        <v>-0.035265873932626</v>
      </c>
      <c r="K356">
        <v>0.0456389142756628</v>
      </c>
      <c r="L356">
        <v>-0.0305971661428085</v>
      </c>
      <c r="M356">
        <v>-0.00200844335727167</v>
      </c>
      <c r="N356">
        <v>0.038631873089507</v>
      </c>
      <c r="O356">
        <v>0.0422162383243243</v>
      </c>
      <c r="P356">
        <v>0.00671931096768865</v>
      </c>
      <c r="Q356">
        <v>-0.641856439026109</v>
      </c>
      <c r="R356">
        <v>0.00132664678940835</v>
      </c>
      <c r="S356">
        <v>0.0965038018416963</v>
      </c>
      <c r="T356">
        <v>0.0856222673463888</v>
      </c>
      <c r="U356">
        <v>0.0290617340504503</v>
      </c>
      <c r="V356">
        <v>0.104241781927248</v>
      </c>
      <c r="W356">
        <v>0.070339756677424</v>
      </c>
      <c r="X356">
        <v>0.109658367987134</v>
      </c>
      <c r="Y356">
        <v>-0.0094133290982139</v>
      </c>
      <c r="Z356">
        <v>0.0701897172435651</v>
      </c>
      <c r="AA356">
        <v>0.106950074957191</v>
      </c>
      <c r="AB356">
        <v>0.0580073509160758</v>
      </c>
    </row>
    <row r="357" spans="2:28">
      <c r="B357" t="s">
        <v>697</v>
      </c>
      <c r="C357">
        <v>-1.66837965111232e-11</v>
      </c>
      <c r="D357">
        <v>-0.0589062957318915</v>
      </c>
      <c r="E357">
        <v>0.00454885496737282</v>
      </c>
      <c r="F357">
        <v>-0.011537299498898</v>
      </c>
      <c r="G357">
        <v>-0.00144358927454603</v>
      </c>
      <c r="H357">
        <v>0.127458606585142</v>
      </c>
      <c r="I357">
        <v>-0.128941292761398</v>
      </c>
      <c r="J357">
        <v>-0.0357910748356928</v>
      </c>
      <c r="K357">
        <v>0.0380122718915359</v>
      </c>
      <c r="L357">
        <v>-0.0282559605502939</v>
      </c>
      <c r="M357">
        <v>-0.00920844335727167</v>
      </c>
      <c r="N357">
        <v>0.031431873089507</v>
      </c>
      <c r="O357">
        <v>0.0350162383243243</v>
      </c>
      <c r="P357">
        <v>1.64118042080253e-17</v>
      </c>
      <c r="Q357">
        <v>-0.647845504432356</v>
      </c>
      <c r="R357">
        <v>-0.0049413898224786</v>
      </c>
      <c r="S357">
        <v>0.0895504897134329</v>
      </c>
      <c r="T357">
        <v>0.0786734819364755</v>
      </c>
      <c r="U357">
        <v>0.022590343321915</v>
      </c>
      <c r="V357">
        <v>0.0972327563423687</v>
      </c>
      <c r="W357">
        <v>0.0635748256743433</v>
      </c>
      <c r="X357">
        <v>0.102610342982624</v>
      </c>
      <c r="Y357">
        <v>-0.0158652201169336</v>
      </c>
      <c r="Z357">
        <v>0.0632409318336517</v>
      </c>
      <c r="AA357">
        <v>0.0999215496624964</v>
      </c>
      <c r="AB357">
        <v>0.0512573929044607</v>
      </c>
    </row>
    <row r="358" spans="2:28">
      <c r="B358" t="s">
        <v>699</v>
      </c>
      <c r="C358">
        <v>-1.66837965111232e-11</v>
      </c>
      <c r="D358">
        <v>-0.0589062957318915</v>
      </c>
      <c r="E358">
        <v>0.00454885496737282</v>
      </c>
      <c r="F358">
        <v>-0.011537299498898</v>
      </c>
      <c r="G358">
        <v>-0.00144358927454603</v>
      </c>
      <c r="H358">
        <v>0.127458606585142</v>
      </c>
      <c r="I358">
        <v>-0.128941292761398</v>
      </c>
      <c r="J358">
        <v>-0.0357910748356928</v>
      </c>
      <c r="K358">
        <v>0.0380122718915359</v>
      </c>
      <c r="L358">
        <v>-0.0282559605502939</v>
      </c>
      <c r="M358">
        <v>-0.00920844335727167</v>
      </c>
      <c r="N358">
        <v>0.031431873089507</v>
      </c>
      <c r="O358">
        <v>0.0350162383243243</v>
      </c>
      <c r="P358">
        <v>1.64118042080253e-17</v>
      </c>
      <c r="Q358">
        <v>-0.647845504432356</v>
      </c>
      <c r="R358">
        <v>-0.0049413898224786</v>
      </c>
      <c r="S358">
        <v>0.0895504897134329</v>
      </c>
      <c r="T358">
        <v>0.0786734819364755</v>
      </c>
      <c r="U358">
        <v>0.022590343321915</v>
      </c>
      <c r="V358">
        <v>0.0972327563423687</v>
      </c>
      <c r="W358">
        <v>0.0635748256743433</v>
      </c>
      <c r="X358">
        <v>0.102610342982624</v>
      </c>
      <c r="Y358">
        <v>-0.0158652201169336</v>
      </c>
      <c r="Z358">
        <v>0.0632409318336517</v>
      </c>
      <c r="AA358">
        <v>0.0999215496624964</v>
      </c>
      <c r="AB358">
        <v>0.0512573929044607</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1202305.75</v>
      </c>
      <c r="D361">
        <v>53741.71</v>
      </c>
      <c r="E361">
        <v>-3771.02</v>
      </c>
      <c r="F361">
        <v>21320.6</v>
      </c>
      <c r="G361">
        <v>73408.93</v>
      </c>
      <c r="H361">
        <v>61830.36</v>
      </c>
      <c r="I361">
        <v>412941.52</v>
      </c>
      <c r="J361">
        <v>55166.11</v>
      </c>
      <c r="K361">
        <v>96282.58</v>
      </c>
      <c r="L361">
        <v>107846.24</v>
      </c>
      <c r="M361">
        <v>107846.24</v>
      </c>
      <c r="N361">
        <v>107846.24</v>
      </c>
      <c r="O361">
        <v>107846.24</v>
      </c>
      <c r="P361">
        <v>568218.79</v>
      </c>
      <c r="Q361">
        <v>568218.79</v>
      </c>
      <c r="R361">
        <v>0</v>
      </c>
      <c r="S361">
        <v>0</v>
      </c>
      <c r="T361">
        <v>0</v>
      </c>
      <c r="U361">
        <v>0</v>
      </c>
      <c r="V361">
        <v>0</v>
      </c>
      <c r="W361">
        <v>0</v>
      </c>
      <c r="X361">
        <v>0</v>
      </c>
      <c r="Y361">
        <v>0</v>
      </c>
      <c r="Z361">
        <v>0</v>
      </c>
      <c r="AA361">
        <v>0</v>
      </c>
      <c r="AB361">
        <v>0</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1202305.75</v>
      </c>
      <c r="D366">
        <v>53741.71</v>
      </c>
      <c r="E366">
        <v>-3771.02</v>
      </c>
      <c r="F366">
        <v>21320.6</v>
      </c>
      <c r="G366">
        <v>73408.93</v>
      </c>
      <c r="H366">
        <v>61830.36</v>
      </c>
      <c r="I366">
        <v>412941.52</v>
      </c>
      <c r="J366">
        <v>55166.11</v>
      </c>
      <c r="K366">
        <v>96282.58</v>
      </c>
      <c r="L366">
        <v>107846.24</v>
      </c>
      <c r="M366">
        <v>107846.24</v>
      </c>
      <c r="N366">
        <v>107846.24</v>
      </c>
      <c r="O366">
        <v>107846.24</v>
      </c>
      <c r="P366">
        <v>568218.79</v>
      </c>
      <c r="Q366">
        <v>568218.79</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topLeftCell="A16" workbookViewId="0">
      <selection activeCell="I25" sqref="I25"/>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3">
      <c r="B5" t="s">
        <v>720</v>
      </c>
      <c r="C5" t="s">
        <v>714</v>
      </c>
    </row>
    <row r="7" customHeight="1" spans="2:2">
      <c r="B7" t="s">
        <v>721</v>
      </c>
    </row>
    <row r="8" customHeight="1" spans="2:16">
      <c r="B8" t="s">
        <v>722</v>
      </c>
      <c r="C8" t="s">
        <v>723</v>
      </c>
      <c r="D8" t="s">
        <v>242</v>
      </c>
      <c r="E8" t="s">
        <v>243</v>
      </c>
      <c r="F8" t="s">
        <v>244</v>
      </c>
      <c r="G8" t="s">
        <v>245</v>
      </c>
      <c r="H8" t="s">
        <v>246</v>
      </c>
      <c r="I8" t="s">
        <v>247</v>
      </c>
      <c r="J8" t="s">
        <v>248</v>
      </c>
      <c r="K8" t="s">
        <v>249</v>
      </c>
      <c r="L8" t="s">
        <v>250</v>
      </c>
      <c r="M8" t="s">
        <v>251</v>
      </c>
      <c r="N8" t="s">
        <v>252</v>
      </c>
      <c r="O8" t="s">
        <v>253</v>
      </c>
      <c r="P8" t="s">
        <v>254</v>
      </c>
    </row>
    <row r="9" customHeight="1" spans="2:16">
      <c r="B9" t="s">
        <v>724</v>
      </c>
      <c r="C9" t="s">
        <v>725</v>
      </c>
      <c r="D9">
        <v>24</v>
      </c>
      <c r="E9">
        <v>24</v>
      </c>
      <c r="F9">
        <v>24</v>
      </c>
      <c r="G9">
        <v>24</v>
      </c>
      <c r="H9">
        <v>24</v>
      </c>
      <c r="I9">
        <v>24</v>
      </c>
      <c r="J9">
        <v>24</v>
      </c>
      <c r="K9">
        <v>24</v>
      </c>
      <c r="L9">
        <v>24</v>
      </c>
      <c r="M9">
        <v>24</v>
      </c>
      <c r="N9">
        <v>24</v>
      </c>
      <c r="O9">
        <v>24</v>
      </c>
      <c r="P9">
        <v>24</v>
      </c>
    </row>
    <row r="10" customHeight="1" spans="2:16">
      <c r="B10" t="s">
        <v>195</v>
      </c>
      <c r="C10" t="s">
        <v>726</v>
      </c>
      <c r="D10">
        <v>38</v>
      </c>
      <c r="E10">
        <v>38</v>
      </c>
      <c r="F10">
        <v>38</v>
      </c>
      <c r="G10">
        <v>38</v>
      </c>
      <c r="H10">
        <v>38</v>
      </c>
      <c r="I10">
        <v>38</v>
      </c>
      <c r="J10">
        <v>38</v>
      </c>
      <c r="K10">
        <v>38</v>
      </c>
      <c r="L10">
        <v>38</v>
      </c>
      <c r="M10">
        <v>38</v>
      </c>
      <c r="N10">
        <v>38</v>
      </c>
      <c r="O10">
        <v>38</v>
      </c>
      <c r="P10">
        <v>38</v>
      </c>
    </row>
    <row r="11" customHeight="1" spans="2:16">
      <c r="B11" t="s">
        <v>727</v>
      </c>
      <c r="C11" t="s">
        <v>728</v>
      </c>
      <c r="D11">
        <v>46</v>
      </c>
      <c r="E11">
        <v>46</v>
      </c>
      <c r="F11">
        <v>46</v>
      </c>
      <c r="G11">
        <v>46</v>
      </c>
      <c r="H11">
        <v>46</v>
      </c>
      <c r="I11">
        <v>46</v>
      </c>
      <c r="J11">
        <v>46</v>
      </c>
      <c r="K11">
        <v>46</v>
      </c>
      <c r="L11">
        <v>46</v>
      </c>
      <c r="M11">
        <v>46</v>
      </c>
      <c r="N11">
        <v>46</v>
      </c>
      <c r="O11">
        <v>46</v>
      </c>
      <c r="P11">
        <v>46</v>
      </c>
    </row>
    <row r="12" customHeight="1" spans="2:16">
      <c r="B12" t="s">
        <v>729</v>
      </c>
      <c r="C12" t="s">
        <v>730</v>
      </c>
      <c r="D12">
        <v>3</v>
      </c>
      <c r="E12">
        <v>3</v>
      </c>
      <c r="F12">
        <v>3</v>
      </c>
      <c r="G12">
        <v>3</v>
      </c>
      <c r="H12">
        <v>3</v>
      </c>
      <c r="I12">
        <v>3</v>
      </c>
      <c r="J12">
        <v>3</v>
      </c>
      <c r="K12">
        <v>3</v>
      </c>
      <c r="L12">
        <v>3</v>
      </c>
      <c r="M12">
        <v>3</v>
      </c>
      <c r="N12">
        <v>3</v>
      </c>
      <c r="O12">
        <v>3</v>
      </c>
      <c r="P12">
        <v>3</v>
      </c>
    </row>
    <row r="13" customHeight="1" spans="2:16">
      <c r="B13" t="s">
        <v>203</v>
      </c>
      <c r="C13" t="s">
        <v>731</v>
      </c>
      <c r="D13">
        <v>66</v>
      </c>
      <c r="E13">
        <v>66</v>
      </c>
      <c r="F13">
        <v>66</v>
      </c>
      <c r="G13">
        <v>66</v>
      </c>
      <c r="H13">
        <v>66</v>
      </c>
      <c r="I13">
        <v>66</v>
      </c>
      <c r="J13">
        <v>66</v>
      </c>
      <c r="K13">
        <v>66</v>
      </c>
      <c r="L13">
        <v>66</v>
      </c>
      <c r="M13">
        <v>66</v>
      </c>
      <c r="N13">
        <v>66</v>
      </c>
      <c r="O13">
        <v>66</v>
      </c>
      <c r="P13">
        <v>66</v>
      </c>
    </row>
    <row r="14" customHeight="1" spans="2:16">
      <c r="B14" t="s">
        <v>732</v>
      </c>
      <c r="C14" t="s">
        <v>733</v>
      </c>
      <c r="D14">
        <v>21</v>
      </c>
      <c r="E14">
        <v>21</v>
      </c>
      <c r="F14">
        <v>21</v>
      </c>
      <c r="G14">
        <v>21</v>
      </c>
      <c r="H14">
        <v>21</v>
      </c>
      <c r="I14">
        <v>21</v>
      </c>
      <c r="J14">
        <v>21</v>
      </c>
      <c r="K14">
        <v>21</v>
      </c>
      <c r="L14">
        <v>21</v>
      </c>
      <c r="M14">
        <v>21</v>
      </c>
      <c r="N14">
        <v>21</v>
      </c>
      <c r="O14">
        <v>21</v>
      </c>
      <c r="P14">
        <v>21</v>
      </c>
    </row>
    <row r="15" customHeight="1" spans="2:4">
      <c r="B15" t="s">
        <v>734</v>
      </c>
      <c r="C15" t="s">
        <v>734</v>
      </c>
      <c r="D15">
        <v>0</v>
      </c>
    </row>
    <row r="16" customHeight="1" spans="2:4">
      <c r="B16" t="s">
        <v>735</v>
      </c>
      <c r="C16" t="s">
        <v>735</v>
      </c>
      <c r="D16">
        <v>0</v>
      </c>
    </row>
    <row r="17" customHeight="1" spans="2:4">
      <c r="B17" t="s">
        <v>736</v>
      </c>
      <c r="C17" t="s">
        <v>736</v>
      </c>
      <c r="D17">
        <v>0</v>
      </c>
    </row>
    <row r="18" customHeight="1" spans="2:4">
      <c r="B18" t="s">
        <v>737</v>
      </c>
      <c r="C18" t="s">
        <v>737</v>
      </c>
      <c r="D18">
        <v>0</v>
      </c>
    </row>
    <row r="19" customHeight="1" spans="2:4">
      <c r="B19" t="s">
        <v>732</v>
      </c>
      <c r="C19" t="s">
        <v>732</v>
      </c>
      <c r="D19">
        <v>0</v>
      </c>
    </row>
    <row r="20" customHeight="1" spans="2:16">
      <c r="B20" t="s">
        <v>738</v>
      </c>
      <c r="D20">
        <v>198</v>
      </c>
      <c r="E20">
        <v>198</v>
      </c>
      <c r="F20">
        <v>198</v>
      </c>
      <c r="G20">
        <v>198</v>
      </c>
      <c r="H20">
        <v>198</v>
      </c>
      <c r="I20">
        <v>198</v>
      </c>
      <c r="J20">
        <v>198</v>
      </c>
      <c r="K20">
        <v>198</v>
      </c>
      <c r="L20">
        <v>198</v>
      </c>
      <c r="M20">
        <v>198</v>
      </c>
      <c r="N20">
        <v>198</v>
      </c>
      <c r="O20">
        <v>198</v>
      </c>
      <c r="P20">
        <v>198</v>
      </c>
    </row>
    <row r="22" customHeight="1" spans="2:2">
      <c r="B22" t="s">
        <v>739</v>
      </c>
    </row>
    <row r="23" customHeight="1" spans="2:16">
      <c r="B23" t="s">
        <v>722</v>
      </c>
      <c r="C23" t="s">
        <v>723</v>
      </c>
      <c r="D23" t="s">
        <v>242</v>
      </c>
      <c r="E23" t="s">
        <v>243</v>
      </c>
      <c r="F23" t="s">
        <v>244</v>
      </c>
      <c r="G23" t="s">
        <v>245</v>
      </c>
      <c r="H23" t="s">
        <v>246</v>
      </c>
      <c r="I23" t="s">
        <v>247</v>
      </c>
      <c r="J23" t="s">
        <v>248</v>
      </c>
      <c r="K23" t="s">
        <v>249</v>
      </c>
      <c r="L23" t="s">
        <v>250</v>
      </c>
      <c r="M23" t="s">
        <v>251</v>
      </c>
      <c r="N23" t="s">
        <v>252</v>
      </c>
      <c r="O23" t="s">
        <v>253</v>
      </c>
      <c r="P23" t="s">
        <v>254</v>
      </c>
    </row>
    <row r="24" s="333" customFormat="1" spans="2:16">
      <c r="B24" s="333" t="s">
        <v>724</v>
      </c>
      <c r="C24" s="333" t="s">
        <v>725</v>
      </c>
      <c r="D24" s="333">
        <v>4360967.27</v>
      </c>
      <c r="E24" s="333">
        <v>39976.9</v>
      </c>
      <c r="F24" s="333">
        <v>39976.9</v>
      </c>
      <c r="G24" s="333">
        <v>39976.9</v>
      </c>
      <c r="H24" s="333">
        <v>39976.9</v>
      </c>
      <c r="I24" s="333">
        <v>39976.9</v>
      </c>
      <c r="J24" s="333">
        <v>39976.9</v>
      </c>
      <c r="K24" s="333">
        <v>39976.9</v>
      </c>
      <c r="L24" s="333">
        <v>39976.9</v>
      </c>
      <c r="M24" s="333">
        <v>39976.9</v>
      </c>
      <c r="N24" s="333">
        <v>39976.9</v>
      </c>
      <c r="O24" s="333">
        <v>39976.9</v>
      </c>
      <c r="P24" s="333">
        <v>39976.9</v>
      </c>
    </row>
    <row r="25" s="333" customFormat="1" spans="2:16">
      <c r="B25" s="333" t="s">
        <v>195</v>
      </c>
      <c r="C25" s="333" t="s">
        <v>726</v>
      </c>
      <c r="D25" s="333">
        <v>4143961.2</v>
      </c>
      <c r="E25" s="333">
        <v>180961.46</v>
      </c>
      <c r="F25" s="333">
        <v>180961.46</v>
      </c>
      <c r="G25" s="333">
        <v>180961.46</v>
      </c>
      <c r="H25" s="333">
        <v>180961.46</v>
      </c>
      <c r="I25" s="333">
        <v>180961.46</v>
      </c>
      <c r="J25" s="333">
        <v>180961.46</v>
      </c>
      <c r="K25" s="333">
        <v>180961.46</v>
      </c>
      <c r="L25" s="333">
        <v>180961.46</v>
      </c>
      <c r="M25" s="333">
        <v>180961.46</v>
      </c>
      <c r="N25" s="333">
        <v>180961.46</v>
      </c>
      <c r="O25" s="333">
        <v>180961.46</v>
      </c>
      <c r="P25" s="333">
        <v>180961.46</v>
      </c>
    </row>
    <row r="26" s="333" customFormat="1" spans="2:16">
      <c r="B26" s="333" t="s">
        <v>727</v>
      </c>
      <c r="C26" s="333" t="s">
        <v>728</v>
      </c>
      <c r="D26" s="333">
        <v>3490450.56</v>
      </c>
      <c r="E26" s="333">
        <v>1188375.96548265</v>
      </c>
      <c r="F26" s="333">
        <v>1188375.96548265</v>
      </c>
      <c r="G26" s="333">
        <v>1188375.96548265</v>
      </c>
      <c r="H26" s="333">
        <v>1188375.96548265</v>
      </c>
      <c r="I26" s="333">
        <v>1188375.96548265</v>
      </c>
      <c r="J26" s="333">
        <v>1188375.96548265</v>
      </c>
      <c r="K26" s="333">
        <v>1188375.96548265</v>
      </c>
      <c r="L26" s="333">
        <v>1188375.96548265</v>
      </c>
      <c r="M26" s="333">
        <v>1188375.96548265</v>
      </c>
      <c r="N26" s="333">
        <v>1188375.96548265</v>
      </c>
      <c r="O26" s="333">
        <v>1188375.96548265</v>
      </c>
      <c r="P26" s="333">
        <v>1188375.96548265</v>
      </c>
    </row>
    <row r="27" s="333" customFormat="1" spans="2:16">
      <c r="B27" s="333" t="s">
        <v>729</v>
      </c>
      <c r="C27" s="333" t="s">
        <v>730</v>
      </c>
      <c r="D27" s="333">
        <v>234265.68</v>
      </c>
      <c r="E27" s="333">
        <v>186226</v>
      </c>
      <c r="F27" s="333">
        <v>77414</v>
      </c>
      <c r="G27" s="333">
        <v>77414</v>
      </c>
      <c r="H27" s="333">
        <v>77414</v>
      </c>
      <c r="I27" s="333">
        <v>77414</v>
      </c>
      <c r="J27" s="333">
        <v>77414</v>
      </c>
      <c r="K27" s="333">
        <v>77414</v>
      </c>
      <c r="L27" s="333">
        <v>77414</v>
      </c>
      <c r="M27" s="333">
        <v>77414</v>
      </c>
      <c r="N27" s="333">
        <v>77414</v>
      </c>
      <c r="O27" s="333">
        <v>77414</v>
      </c>
      <c r="P27" s="333">
        <v>77414</v>
      </c>
    </row>
    <row r="28" s="333" customFormat="1" spans="2:16">
      <c r="B28" s="333" t="s">
        <v>203</v>
      </c>
      <c r="C28" s="333" t="s">
        <v>731</v>
      </c>
      <c r="D28" s="333">
        <v>4659072.90814591</v>
      </c>
      <c r="E28" s="333">
        <v>568218.79</v>
      </c>
      <c r="F28" s="333">
        <v>0</v>
      </c>
      <c r="G28" s="333">
        <v>0</v>
      </c>
      <c r="H28" s="333">
        <v>0</v>
      </c>
      <c r="I28" s="333">
        <v>0</v>
      </c>
      <c r="J28" s="333">
        <v>0</v>
      </c>
      <c r="K28" s="333">
        <v>0</v>
      </c>
      <c r="L28" s="333">
        <v>0</v>
      </c>
      <c r="M28" s="333">
        <v>0</v>
      </c>
      <c r="N28" s="333">
        <v>0</v>
      </c>
      <c r="O28" s="333">
        <v>0</v>
      </c>
      <c r="P28" s="333">
        <v>0</v>
      </c>
    </row>
    <row r="29" s="333" customFormat="1" spans="2:16">
      <c r="B29" s="333" t="s">
        <v>732</v>
      </c>
      <c r="C29" s="333" t="s">
        <v>733</v>
      </c>
      <c r="D29" s="333">
        <v>1692853.07764592</v>
      </c>
      <c r="E29" s="333">
        <v>38800</v>
      </c>
      <c r="F29" s="333">
        <v>0</v>
      </c>
      <c r="G29" s="333">
        <v>0</v>
      </c>
      <c r="H29" s="333">
        <v>0</v>
      </c>
      <c r="I29" s="333">
        <v>0</v>
      </c>
      <c r="J29" s="333">
        <v>0</v>
      </c>
      <c r="K29" s="333">
        <v>0</v>
      </c>
      <c r="L29" s="333">
        <v>0</v>
      </c>
      <c r="M29" s="333">
        <v>0</v>
      </c>
      <c r="N29" s="333">
        <v>0</v>
      </c>
      <c r="O29" s="333">
        <v>0</v>
      </c>
      <c r="P29" s="333">
        <v>0</v>
      </c>
    </row>
    <row r="30" customHeight="1" spans="2:16">
      <c r="B30" t="s">
        <v>734</v>
      </c>
      <c r="C30" t="s">
        <v>734</v>
      </c>
      <c r="D30">
        <v>0</v>
      </c>
      <c r="E30">
        <v>0</v>
      </c>
      <c r="F30">
        <v>0</v>
      </c>
      <c r="G30">
        <v>0</v>
      </c>
      <c r="H30">
        <v>0</v>
      </c>
      <c r="I30">
        <v>0</v>
      </c>
      <c r="J30">
        <v>0</v>
      </c>
      <c r="K30">
        <v>0</v>
      </c>
      <c r="L30">
        <v>0</v>
      </c>
      <c r="M30">
        <v>0</v>
      </c>
      <c r="N30">
        <v>0</v>
      </c>
      <c r="O30">
        <v>0</v>
      </c>
      <c r="P30">
        <v>0</v>
      </c>
    </row>
    <row r="31" customHeight="1" spans="2:16">
      <c r="B31" t="s">
        <v>735</v>
      </c>
      <c r="C31" t="s">
        <v>735</v>
      </c>
      <c r="D31">
        <v>0</v>
      </c>
      <c r="E31">
        <v>0</v>
      </c>
      <c r="F31">
        <v>0</v>
      </c>
      <c r="G31">
        <v>0</v>
      </c>
      <c r="H31">
        <v>0</v>
      </c>
      <c r="I31">
        <v>0</v>
      </c>
      <c r="J31">
        <v>0</v>
      </c>
      <c r="K31">
        <v>0</v>
      </c>
      <c r="L31">
        <v>0</v>
      </c>
      <c r="M31">
        <v>0</v>
      </c>
      <c r="N31">
        <v>0</v>
      </c>
      <c r="O31">
        <v>0</v>
      </c>
      <c r="P31">
        <v>0</v>
      </c>
    </row>
    <row r="32" customHeight="1" spans="2:16">
      <c r="B32" t="s">
        <v>736</v>
      </c>
      <c r="C32" t="s">
        <v>736</v>
      </c>
      <c r="D32">
        <v>0</v>
      </c>
      <c r="E32">
        <v>0</v>
      </c>
      <c r="F32">
        <v>0</v>
      </c>
      <c r="G32">
        <v>0</v>
      </c>
      <c r="H32">
        <v>0</v>
      </c>
      <c r="I32">
        <v>0</v>
      </c>
      <c r="J32">
        <v>0</v>
      </c>
      <c r="K32">
        <v>0</v>
      </c>
      <c r="L32">
        <v>0</v>
      </c>
      <c r="M32">
        <v>0</v>
      </c>
      <c r="N32">
        <v>0</v>
      </c>
      <c r="O32">
        <v>0</v>
      </c>
      <c r="P32">
        <v>0</v>
      </c>
    </row>
    <row r="33" customHeight="1" spans="2:16">
      <c r="B33" t="s">
        <v>737</v>
      </c>
      <c r="C33" t="s">
        <v>737</v>
      </c>
      <c r="D33">
        <v>0</v>
      </c>
      <c r="E33">
        <v>0</v>
      </c>
      <c r="F33">
        <v>0</v>
      </c>
      <c r="G33">
        <v>0</v>
      </c>
      <c r="H33">
        <v>0</v>
      </c>
      <c r="I33">
        <v>0</v>
      </c>
      <c r="J33">
        <v>0</v>
      </c>
      <c r="K33">
        <v>0</v>
      </c>
      <c r="L33">
        <v>0</v>
      </c>
      <c r="M33">
        <v>0</v>
      </c>
      <c r="N33">
        <v>0</v>
      </c>
      <c r="O33">
        <v>0</v>
      </c>
      <c r="P33">
        <v>0</v>
      </c>
    </row>
    <row r="34" customHeight="1" spans="2:16">
      <c r="B34" t="s">
        <v>732</v>
      </c>
      <c r="C34" t="s">
        <v>732</v>
      </c>
      <c r="D34">
        <v>0</v>
      </c>
      <c r="E34">
        <v>0</v>
      </c>
      <c r="F34">
        <v>0</v>
      </c>
      <c r="G34">
        <v>0</v>
      </c>
      <c r="H34">
        <v>0</v>
      </c>
      <c r="I34">
        <v>0</v>
      </c>
      <c r="J34">
        <v>0</v>
      </c>
      <c r="K34">
        <v>0</v>
      </c>
      <c r="L34">
        <v>0</v>
      </c>
      <c r="M34">
        <v>0</v>
      </c>
      <c r="N34">
        <v>0</v>
      </c>
      <c r="O34">
        <v>0</v>
      </c>
      <c r="P34">
        <v>0</v>
      </c>
    </row>
    <row r="35" customHeight="1" spans="2:16">
      <c r="B35" t="s">
        <v>738</v>
      </c>
      <c r="D35">
        <v>18581570.6957918</v>
      </c>
      <c r="E35">
        <v>2227559.11548265</v>
      </c>
      <c r="F35">
        <v>1486728.32548265</v>
      </c>
      <c r="G35">
        <v>1486728.32548265</v>
      </c>
      <c r="H35">
        <v>1486728.32548265</v>
      </c>
      <c r="I35">
        <v>1486728.32548265</v>
      </c>
      <c r="J35">
        <v>1486728.32548265</v>
      </c>
      <c r="K35">
        <v>1486728.32548265</v>
      </c>
      <c r="L35">
        <v>1486728.32548265</v>
      </c>
      <c r="M35">
        <v>1486728.32548265</v>
      </c>
      <c r="N35">
        <v>1486728.32548265</v>
      </c>
      <c r="O35">
        <v>1486728.32548265</v>
      </c>
      <c r="P35">
        <v>1486728.32548265</v>
      </c>
    </row>
    <row r="37" customHeight="1" spans="2:2">
      <c r="B37" t="s">
        <v>740</v>
      </c>
    </row>
    <row r="38" customHeight="1" spans="2:16">
      <c r="B38" t="s">
        <v>722</v>
      </c>
      <c r="C38" t="s">
        <v>723</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724</v>
      </c>
      <c r="C39" t="s">
        <v>725</v>
      </c>
      <c r="D39">
        <v>3202560</v>
      </c>
      <c r="E39">
        <v>266880</v>
      </c>
      <c r="F39">
        <v>266880</v>
      </c>
      <c r="G39">
        <v>266880</v>
      </c>
      <c r="H39">
        <v>266880</v>
      </c>
      <c r="I39">
        <v>266880</v>
      </c>
      <c r="J39">
        <v>266880</v>
      </c>
      <c r="K39">
        <v>266880</v>
      </c>
      <c r="L39">
        <v>266880</v>
      </c>
      <c r="M39">
        <v>266880</v>
      </c>
      <c r="N39">
        <v>266880</v>
      </c>
      <c r="O39">
        <v>266880</v>
      </c>
      <c r="P39">
        <v>266880</v>
      </c>
    </row>
    <row r="40" customHeight="1" spans="2:16">
      <c r="B40" t="s">
        <v>195</v>
      </c>
      <c r="C40" t="s">
        <v>726</v>
      </c>
      <c r="D40">
        <v>2736000</v>
      </c>
      <c r="E40">
        <v>228000</v>
      </c>
      <c r="F40">
        <v>228000</v>
      </c>
      <c r="G40">
        <v>228000</v>
      </c>
      <c r="H40">
        <v>228000</v>
      </c>
      <c r="I40">
        <v>228000</v>
      </c>
      <c r="J40">
        <v>228000</v>
      </c>
      <c r="K40">
        <v>228000</v>
      </c>
      <c r="L40">
        <v>228000</v>
      </c>
      <c r="M40">
        <v>228000</v>
      </c>
      <c r="N40">
        <v>228000</v>
      </c>
      <c r="O40">
        <v>228000</v>
      </c>
      <c r="P40">
        <v>228000</v>
      </c>
    </row>
    <row r="41" customHeight="1" spans="2:16">
      <c r="B41" t="s">
        <v>727</v>
      </c>
      <c r="C41" t="s">
        <v>728</v>
      </c>
      <c r="D41">
        <v>3036000</v>
      </c>
      <c r="E41">
        <v>253000</v>
      </c>
      <c r="F41">
        <v>253000</v>
      </c>
      <c r="G41">
        <v>253000</v>
      </c>
      <c r="H41">
        <v>253000</v>
      </c>
      <c r="I41">
        <v>253000</v>
      </c>
      <c r="J41">
        <v>253000</v>
      </c>
      <c r="K41">
        <v>253000</v>
      </c>
      <c r="L41">
        <v>253000</v>
      </c>
      <c r="M41">
        <v>253000</v>
      </c>
      <c r="N41">
        <v>253000</v>
      </c>
      <c r="O41">
        <v>253000</v>
      </c>
      <c r="P41">
        <v>253000</v>
      </c>
    </row>
    <row r="42" customHeight="1" spans="2:16">
      <c r="B42" t="s">
        <v>729</v>
      </c>
      <c r="C42" t="s">
        <v>730</v>
      </c>
      <c r="D42">
        <v>202464</v>
      </c>
      <c r="E42">
        <v>16872</v>
      </c>
      <c r="F42">
        <v>16872</v>
      </c>
      <c r="G42">
        <v>16872</v>
      </c>
      <c r="H42">
        <v>16872</v>
      </c>
      <c r="I42">
        <v>16872</v>
      </c>
      <c r="J42">
        <v>16872</v>
      </c>
      <c r="K42">
        <v>16872</v>
      </c>
      <c r="L42">
        <v>16872</v>
      </c>
      <c r="M42">
        <v>16872</v>
      </c>
      <c r="N42">
        <v>16872</v>
      </c>
      <c r="O42">
        <v>16872</v>
      </c>
      <c r="P42">
        <v>16872</v>
      </c>
    </row>
    <row r="43" customHeight="1" spans="2:16">
      <c r="B43" t="s">
        <v>203</v>
      </c>
      <c r="C43" t="s">
        <v>731</v>
      </c>
      <c r="D43">
        <v>4014440.34814592</v>
      </c>
      <c r="E43">
        <v>334536.695678826</v>
      </c>
      <c r="F43">
        <v>334536.695678826</v>
      </c>
      <c r="G43">
        <v>334536.695678826</v>
      </c>
      <c r="H43">
        <v>334536.695678826</v>
      </c>
      <c r="I43">
        <v>334536.695678826</v>
      </c>
      <c r="J43">
        <v>334536.695678826</v>
      </c>
      <c r="K43">
        <v>334536.695678826</v>
      </c>
      <c r="L43">
        <v>334536.695678826</v>
      </c>
      <c r="M43">
        <v>334536.695678826</v>
      </c>
      <c r="N43">
        <v>334536.695678826</v>
      </c>
      <c r="O43">
        <v>334536.695678826</v>
      </c>
      <c r="P43">
        <v>334536.695678826</v>
      </c>
    </row>
    <row r="44" customHeight="1" spans="2:16">
      <c r="B44" t="s">
        <v>732</v>
      </c>
      <c r="C44" t="s">
        <v>733</v>
      </c>
      <c r="D44">
        <v>1069047.23764592</v>
      </c>
      <c r="E44">
        <v>89087.2698038263</v>
      </c>
      <c r="F44">
        <v>89087.2698038263</v>
      </c>
      <c r="G44">
        <v>89087.2698038263</v>
      </c>
      <c r="H44">
        <v>89087.2698038263</v>
      </c>
      <c r="I44">
        <v>89087.2698038263</v>
      </c>
      <c r="J44">
        <v>89087.2698038263</v>
      </c>
      <c r="K44">
        <v>89087.2698038263</v>
      </c>
      <c r="L44">
        <v>89087.2698038263</v>
      </c>
      <c r="M44">
        <v>89087.2698038263</v>
      </c>
      <c r="N44">
        <v>89087.2698038263</v>
      </c>
      <c r="O44">
        <v>89087.2698038263</v>
      </c>
      <c r="P44">
        <v>89087.2698038263</v>
      </c>
    </row>
    <row r="45" customHeight="1" spans="2:16">
      <c r="B45" t="s">
        <v>734</v>
      </c>
      <c r="C45" t="s">
        <v>734</v>
      </c>
      <c r="D45">
        <v>0</v>
      </c>
      <c r="E45">
        <v>0</v>
      </c>
      <c r="F45">
        <v>0</v>
      </c>
      <c r="G45">
        <v>0</v>
      </c>
      <c r="H45">
        <v>0</v>
      </c>
      <c r="I45">
        <v>0</v>
      </c>
      <c r="J45">
        <v>0</v>
      </c>
      <c r="K45">
        <v>0</v>
      </c>
      <c r="L45">
        <v>0</v>
      </c>
      <c r="M45">
        <v>0</v>
      </c>
      <c r="N45">
        <v>0</v>
      </c>
      <c r="O45">
        <v>0</v>
      </c>
      <c r="P45">
        <v>0</v>
      </c>
    </row>
    <row r="46" customHeight="1" spans="2:16">
      <c r="B46" t="s">
        <v>735</v>
      </c>
      <c r="C46" t="s">
        <v>735</v>
      </c>
      <c r="D46">
        <v>0</v>
      </c>
      <c r="E46">
        <v>0</v>
      </c>
      <c r="F46">
        <v>0</v>
      </c>
      <c r="G46">
        <v>0</v>
      </c>
      <c r="H46">
        <v>0</v>
      </c>
      <c r="I46">
        <v>0</v>
      </c>
      <c r="J46">
        <v>0</v>
      </c>
      <c r="K46">
        <v>0</v>
      </c>
      <c r="L46">
        <v>0</v>
      </c>
      <c r="M46">
        <v>0</v>
      </c>
      <c r="N46">
        <v>0</v>
      </c>
      <c r="O46">
        <v>0</v>
      </c>
      <c r="P46">
        <v>0</v>
      </c>
    </row>
    <row r="47" customHeight="1" spans="2:16">
      <c r="B47" t="s">
        <v>736</v>
      </c>
      <c r="C47" t="s">
        <v>736</v>
      </c>
      <c r="D47">
        <v>0</v>
      </c>
      <c r="E47">
        <v>0</v>
      </c>
      <c r="F47">
        <v>0</v>
      </c>
      <c r="G47">
        <v>0</v>
      </c>
      <c r="H47">
        <v>0</v>
      </c>
      <c r="I47">
        <v>0</v>
      </c>
      <c r="J47">
        <v>0</v>
      </c>
      <c r="K47">
        <v>0</v>
      </c>
      <c r="L47">
        <v>0</v>
      </c>
      <c r="M47">
        <v>0</v>
      </c>
      <c r="N47">
        <v>0</v>
      </c>
      <c r="O47">
        <v>0</v>
      </c>
      <c r="P47">
        <v>0</v>
      </c>
    </row>
    <row r="48" customHeight="1" spans="2:16">
      <c r="B48" t="s">
        <v>737</v>
      </c>
      <c r="C48" t="s">
        <v>737</v>
      </c>
      <c r="D48">
        <v>0</v>
      </c>
      <c r="E48">
        <v>0</v>
      </c>
      <c r="F48">
        <v>0</v>
      </c>
      <c r="G48">
        <v>0</v>
      </c>
      <c r="H48">
        <v>0</v>
      </c>
      <c r="I48">
        <v>0</v>
      </c>
      <c r="J48">
        <v>0</v>
      </c>
      <c r="K48">
        <v>0</v>
      </c>
      <c r="L48">
        <v>0</v>
      </c>
      <c r="M48">
        <v>0</v>
      </c>
      <c r="N48">
        <v>0</v>
      </c>
      <c r="O48">
        <v>0</v>
      </c>
      <c r="P48">
        <v>0</v>
      </c>
    </row>
    <row r="49" customHeight="1" spans="2:16">
      <c r="B49" t="s">
        <v>732</v>
      </c>
      <c r="C49" t="s">
        <v>732</v>
      </c>
      <c r="D49">
        <v>0</v>
      </c>
      <c r="E49">
        <v>0</v>
      </c>
      <c r="F49">
        <v>0</v>
      </c>
      <c r="G49">
        <v>0</v>
      </c>
      <c r="H49">
        <v>0</v>
      </c>
      <c r="I49">
        <v>0</v>
      </c>
      <c r="J49">
        <v>0</v>
      </c>
      <c r="K49">
        <v>0</v>
      </c>
      <c r="L49">
        <v>0</v>
      </c>
      <c r="M49">
        <v>0</v>
      </c>
      <c r="N49">
        <v>0</v>
      </c>
      <c r="O49">
        <v>0</v>
      </c>
      <c r="P49">
        <v>0</v>
      </c>
    </row>
    <row r="50" customHeight="1" spans="2:16">
      <c r="B50" t="s">
        <v>738</v>
      </c>
      <c r="D50">
        <v>14260511.5857918</v>
      </c>
      <c r="E50">
        <v>1188375.96548265</v>
      </c>
      <c r="F50">
        <v>1188375.96548265</v>
      </c>
      <c r="G50">
        <v>1188375.96548265</v>
      </c>
      <c r="H50">
        <v>1188375.96548265</v>
      </c>
      <c r="I50">
        <v>1188375.96548265</v>
      </c>
      <c r="J50">
        <v>1188375.96548265</v>
      </c>
      <c r="K50">
        <v>1188375.96548265</v>
      </c>
      <c r="L50">
        <v>1188375.96548265</v>
      </c>
      <c r="M50">
        <v>1188375.96548265</v>
      </c>
      <c r="N50">
        <v>1188375.96548265</v>
      </c>
      <c r="O50">
        <v>1188375.96548265</v>
      </c>
      <c r="P50">
        <v>1188375.96548265</v>
      </c>
    </row>
    <row r="52" customHeight="1" spans="2:2">
      <c r="B52" t="s">
        <v>741</v>
      </c>
    </row>
    <row r="53" customHeight="1" spans="2:16">
      <c r="B53" t="s">
        <v>722</v>
      </c>
      <c r="C53" t="s">
        <v>723</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724</v>
      </c>
      <c r="C54" t="s">
        <v>725</v>
      </c>
      <c r="D54">
        <v>568218.79</v>
      </c>
      <c r="E54">
        <v>568218.79</v>
      </c>
      <c r="F54">
        <v>0</v>
      </c>
      <c r="G54">
        <v>0</v>
      </c>
      <c r="H54">
        <v>0</v>
      </c>
      <c r="I54">
        <v>0</v>
      </c>
      <c r="J54">
        <v>0</v>
      </c>
      <c r="K54">
        <v>0</v>
      </c>
      <c r="L54">
        <v>0</v>
      </c>
      <c r="M54">
        <v>0</v>
      </c>
      <c r="N54">
        <v>0</v>
      </c>
      <c r="O54">
        <v>0</v>
      </c>
      <c r="P54">
        <v>0</v>
      </c>
    </row>
    <row r="55" customHeight="1" spans="2:16">
      <c r="B55" t="s">
        <v>195</v>
      </c>
      <c r="C55" t="s">
        <v>726</v>
      </c>
      <c r="D55">
        <v>0</v>
      </c>
      <c r="E55">
        <v>0</v>
      </c>
      <c r="F55">
        <v>0</v>
      </c>
      <c r="G55">
        <v>0</v>
      </c>
      <c r="H55">
        <v>0</v>
      </c>
      <c r="I55">
        <v>0</v>
      </c>
      <c r="J55">
        <v>0</v>
      </c>
      <c r="K55">
        <v>0</v>
      </c>
      <c r="L55">
        <v>0</v>
      </c>
      <c r="M55">
        <v>0</v>
      </c>
      <c r="N55">
        <v>0</v>
      </c>
      <c r="O55">
        <v>0</v>
      </c>
      <c r="P55">
        <v>0</v>
      </c>
    </row>
    <row r="56" customHeight="1" spans="2:16">
      <c r="B56" t="s">
        <v>727</v>
      </c>
      <c r="C56" t="s">
        <v>728</v>
      </c>
      <c r="D56">
        <v>0</v>
      </c>
      <c r="E56">
        <v>0</v>
      </c>
      <c r="F56">
        <v>0</v>
      </c>
      <c r="G56">
        <v>0</v>
      </c>
      <c r="H56">
        <v>0</v>
      </c>
      <c r="I56">
        <v>0</v>
      </c>
      <c r="J56">
        <v>0</v>
      </c>
      <c r="K56">
        <v>0</v>
      </c>
      <c r="L56">
        <v>0</v>
      </c>
      <c r="M56">
        <v>0</v>
      </c>
      <c r="N56">
        <v>0</v>
      </c>
      <c r="O56">
        <v>0</v>
      </c>
      <c r="P56">
        <v>0</v>
      </c>
    </row>
    <row r="57" customHeight="1" spans="2:16">
      <c r="B57" t="s">
        <v>729</v>
      </c>
      <c r="C57" t="s">
        <v>730</v>
      </c>
      <c r="D57">
        <v>0</v>
      </c>
      <c r="E57">
        <v>0</v>
      </c>
      <c r="F57">
        <v>0</v>
      </c>
      <c r="G57">
        <v>0</v>
      </c>
      <c r="H57">
        <v>0</v>
      </c>
      <c r="I57">
        <v>0</v>
      </c>
      <c r="J57">
        <v>0</v>
      </c>
      <c r="K57">
        <v>0</v>
      </c>
      <c r="L57">
        <v>0</v>
      </c>
      <c r="M57">
        <v>0</v>
      </c>
      <c r="N57">
        <v>0</v>
      </c>
      <c r="O57">
        <v>0</v>
      </c>
      <c r="P57">
        <v>0</v>
      </c>
    </row>
    <row r="58" customHeight="1" spans="2:16">
      <c r="B58" t="s">
        <v>203</v>
      </c>
      <c r="C58" t="s">
        <v>731</v>
      </c>
      <c r="D58">
        <v>0</v>
      </c>
      <c r="E58">
        <v>0</v>
      </c>
      <c r="F58">
        <v>0</v>
      </c>
      <c r="G58">
        <v>0</v>
      </c>
      <c r="H58">
        <v>0</v>
      </c>
      <c r="I58">
        <v>0</v>
      </c>
      <c r="J58">
        <v>0</v>
      </c>
      <c r="K58">
        <v>0</v>
      </c>
      <c r="L58">
        <v>0</v>
      </c>
      <c r="M58">
        <v>0</v>
      </c>
      <c r="N58">
        <v>0</v>
      </c>
      <c r="O58">
        <v>0</v>
      </c>
      <c r="P58">
        <v>0</v>
      </c>
    </row>
    <row r="59" customHeight="1" spans="2:16">
      <c r="B59" t="s">
        <v>732</v>
      </c>
      <c r="C59" t="s">
        <v>733</v>
      </c>
      <c r="D59">
        <v>0</v>
      </c>
      <c r="E59">
        <v>0</v>
      </c>
      <c r="F59">
        <v>0</v>
      </c>
      <c r="G59">
        <v>0</v>
      </c>
      <c r="H59">
        <v>0</v>
      </c>
      <c r="I59">
        <v>0</v>
      </c>
      <c r="J59">
        <v>0</v>
      </c>
      <c r="K59">
        <v>0</v>
      </c>
      <c r="L59">
        <v>0</v>
      </c>
      <c r="M59">
        <v>0</v>
      </c>
      <c r="N59">
        <v>0</v>
      </c>
      <c r="O59">
        <v>0</v>
      </c>
      <c r="P59">
        <v>0</v>
      </c>
    </row>
    <row r="60" customHeight="1" spans="2:16">
      <c r="B60" t="s">
        <v>734</v>
      </c>
      <c r="C60" t="s">
        <v>734</v>
      </c>
      <c r="D60">
        <v>0</v>
      </c>
      <c r="E60">
        <v>0</v>
      </c>
      <c r="F60">
        <v>0</v>
      </c>
      <c r="G60">
        <v>0</v>
      </c>
      <c r="H60">
        <v>0</v>
      </c>
      <c r="I60">
        <v>0</v>
      </c>
      <c r="J60">
        <v>0</v>
      </c>
      <c r="K60">
        <v>0</v>
      </c>
      <c r="L60">
        <v>0</v>
      </c>
      <c r="M60">
        <v>0</v>
      </c>
      <c r="N60">
        <v>0</v>
      </c>
      <c r="O60">
        <v>0</v>
      </c>
      <c r="P60">
        <v>0</v>
      </c>
    </row>
    <row r="61" customHeight="1" spans="2:16">
      <c r="B61" t="s">
        <v>735</v>
      </c>
      <c r="C61" t="s">
        <v>735</v>
      </c>
      <c r="D61">
        <v>0</v>
      </c>
      <c r="E61">
        <v>0</v>
      </c>
      <c r="F61">
        <v>0</v>
      </c>
      <c r="G61">
        <v>0</v>
      </c>
      <c r="H61">
        <v>0</v>
      </c>
      <c r="I61">
        <v>0</v>
      </c>
      <c r="J61">
        <v>0</v>
      </c>
      <c r="K61">
        <v>0</v>
      </c>
      <c r="L61">
        <v>0</v>
      </c>
      <c r="M61">
        <v>0</v>
      </c>
      <c r="N61">
        <v>0</v>
      </c>
      <c r="O61">
        <v>0</v>
      </c>
      <c r="P61">
        <v>0</v>
      </c>
    </row>
    <row r="62" customHeight="1" spans="2:16">
      <c r="B62" t="s">
        <v>736</v>
      </c>
      <c r="C62" t="s">
        <v>736</v>
      </c>
      <c r="D62">
        <v>0</v>
      </c>
      <c r="E62">
        <v>0</v>
      </c>
      <c r="F62">
        <v>0</v>
      </c>
      <c r="G62">
        <v>0</v>
      </c>
      <c r="H62">
        <v>0</v>
      </c>
      <c r="I62">
        <v>0</v>
      </c>
      <c r="J62">
        <v>0</v>
      </c>
      <c r="K62">
        <v>0</v>
      </c>
      <c r="L62">
        <v>0</v>
      </c>
      <c r="M62">
        <v>0</v>
      </c>
      <c r="N62">
        <v>0</v>
      </c>
      <c r="O62">
        <v>0</v>
      </c>
      <c r="P62">
        <v>0</v>
      </c>
    </row>
    <row r="63" customHeight="1" spans="2:16">
      <c r="B63" t="s">
        <v>737</v>
      </c>
      <c r="C63" t="s">
        <v>737</v>
      </c>
      <c r="D63">
        <v>0</v>
      </c>
      <c r="E63">
        <v>0</v>
      </c>
      <c r="F63">
        <v>0</v>
      </c>
      <c r="G63">
        <v>0</v>
      </c>
      <c r="H63">
        <v>0</v>
      </c>
      <c r="I63">
        <v>0</v>
      </c>
      <c r="J63">
        <v>0</v>
      </c>
      <c r="K63">
        <v>0</v>
      </c>
      <c r="L63">
        <v>0</v>
      </c>
      <c r="M63">
        <v>0</v>
      </c>
      <c r="N63">
        <v>0</v>
      </c>
      <c r="O63">
        <v>0</v>
      </c>
      <c r="P63">
        <v>0</v>
      </c>
    </row>
    <row r="64" customHeight="1" spans="2:16">
      <c r="B64" t="s">
        <v>732</v>
      </c>
      <c r="C64" t="s">
        <v>732</v>
      </c>
      <c r="D64">
        <v>0</v>
      </c>
      <c r="E64">
        <v>0</v>
      </c>
      <c r="F64">
        <v>0</v>
      </c>
      <c r="G64">
        <v>0</v>
      </c>
      <c r="H64">
        <v>0</v>
      </c>
      <c r="I64">
        <v>0</v>
      </c>
      <c r="J64">
        <v>0</v>
      </c>
      <c r="K64">
        <v>0</v>
      </c>
      <c r="L64">
        <v>0</v>
      </c>
      <c r="M64">
        <v>0</v>
      </c>
      <c r="N64">
        <v>0</v>
      </c>
      <c r="O64">
        <v>0</v>
      </c>
      <c r="P64">
        <v>0</v>
      </c>
    </row>
    <row r="65" customHeight="1" spans="2:16">
      <c r="B65" t="s">
        <v>738</v>
      </c>
      <c r="D65">
        <v>568218.79</v>
      </c>
      <c r="E65">
        <v>568218.79</v>
      </c>
      <c r="F65">
        <v>0</v>
      </c>
      <c r="G65">
        <v>0</v>
      </c>
      <c r="H65">
        <v>0</v>
      </c>
      <c r="I65">
        <v>0</v>
      </c>
      <c r="J65">
        <v>0</v>
      </c>
      <c r="K65">
        <v>0</v>
      </c>
      <c r="L65">
        <v>0</v>
      </c>
      <c r="M65">
        <v>0</v>
      </c>
      <c r="N65">
        <v>0</v>
      </c>
      <c r="O65">
        <v>0</v>
      </c>
      <c r="P65">
        <v>0</v>
      </c>
    </row>
    <row r="67" customHeight="1" spans="2:2">
      <c r="B67" t="s">
        <v>742</v>
      </c>
    </row>
    <row r="68" customHeight="1" spans="2:16">
      <c r="B68" t="s">
        <v>722</v>
      </c>
      <c r="C68" t="s">
        <v>723</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724</v>
      </c>
      <c r="C69" t="s">
        <v>725</v>
      </c>
      <c r="D69">
        <v>404147.52</v>
      </c>
      <c r="E69">
        <v>33678.96</v>
      </c>
      <c r="F69">
        <v>33678.96</v>
      </c>
      <c r="G69">
        <v>33678.96</v>
      </c>
      <c r="H69">
        <v>33678.96</v>
      </c>
      <c r="I69">
        <v>33678.96</v>
      </c>
      <c r="J69">
        <v>33678.96</v>
      </c>
      <c r="K69">
        <v>33678.96</v>
      </c>
      <c r="L69">
        <v>33678.96</v>
      </c>
      <c r="M69">
        <v>33678.96</v>
      </c>
      <c r="N69">
        <v>33678.96</v>
      </c>
      <c r="O69">
        <v>33678.96</v>
      </c>
      <c r="P69">
        <v>33678.96</v>
      </c>
    </row>
    <row r="70" customHeight="1" spans="2:16">
      <c r="B70" t="s">
        <v>195</v>
      </c>
      <c r="C70" t="s">
        <v>726</v>
      </c>
      <c r="D70">
        <v>323076</v>
      </c>
      <c r="E70">
        <v>26923</v>
      </c>
      <c r="F70">
        <v>26923</v>
      </c>
      <c r="G70">
        <v>26923</v>
      </c>
      <c r="H70">
        <v>26923</v>
      </c>
      <c r="I70">
        <v>26923</v>
      </c>
      <c r="J70">
        <v>26923</v>
      </c>
      <c r="K70">
        <v>26923</v>
      </c>
      <c r="L70">
        <v>26923</v>
      </c>
      <c r="M70">
        <v>26923</v>
      </c>
      <c r="N70">
        <v>26923</v>
      </c>
      <c r="O70">
        <v>26923</v>
      </c>
      <c r="P70">
        <v>26923</v>
      </c>
    </row>
    <row r="71" customHeight="1" spans="2:16">
      <c r="B71" t="s">
        <v>727</v>
      </c>
      <c r="C71" t="s">
        <v>728</v>
      </c>
      <c r="D71">
        <v>372141.84</v>
      </c>
      <c r="E71">
        <v>31011.82</v>
      </c>
      <c r="F71">
        <v>31011.82</v>
      </c>
      <c r="G71">
        <v>31011.82</v>
      </c>
      <c r="H71">
        <v>31011.82</v>
      </c>
      <c r="I71">
        <v>31011.82</v>
      </c>
      <c r="J71">
        <v>31011.82</v>
      </c>
      <c r="K71">
        <v>31011.82</v>
      </c>
      <c r="L71">
        <v>31011.82</v>
      </c>
      <c r="M71">
        <v>31011.82</v>
      </c>
      <c r="N71">
        <v>31011.82</v>
      </c>
      <c r="O71">
        <v>31011.82</v>
      </c>
      <c r="P71">
        <v>31011.82</v>
      </c>
    </row>
    <row r="72" customHeight="1" spans="2:16">
      <c r="B72" t="s">
        <v>729</v>
      </c>
      <c r="C72" t="s">
        <v>730</v>
      </c>
      <c r="D72">
        <v>24706.08</v>
      </c>
      <c r="E72">
        <v>2058.84</v>
      </c>
      <c r="F72">
        <v>2058.84</v>
      </c>
      <c r="G72">
        <v>2058.84</v>
      </c>
      <c r="H72">
        <v>2058.84</v>
      </c>
      <c r="I72">
        <v>2058.84</v>
      </c>
      <c r="J72">
        <v>2058.84</v>
      </c>
      <c r="K72">
        <v>2058.84</v>
      </c>
      <c r="L72">
        <v>2058.84</v>
      </c>
      <c r="M72">
        <v>2058.84</v>
      </c>
      <c r="N72">
        <v>2058.84</v>
      </c>
      <c r="O72">
        <v>2058.84</v>
      </c>
      <c r="P72">
        <v>2058.84</v>
      </c>
    </row>
    <row r="73" customHeight="1" spans="2:16">
      <c r="B73" t="s">
        <v>203</v>
      </c>
      <c r="C73" t="s">
        <v>731</v>
      </c>
      <c r="D73">
        <v>538385.76</v>
      </c>
      <c r="E73">
        <v>44865.48</v>
      </c>
      <c r="F73">
        <v>44865.48</v>
      </c>
      <c r="G73">
        <v>44865.48</v>
      </c>
      <c r="H73">
        <v>44865.48</v>
      </c>
      <c r="I73">
        <v>44865.48</v>
      </c>
      <c r="J73">
        <v>44865.48</v>
      </c>
      <c r="K73">
        <v>44865.48</v>
      </c>
      <c r="L73">
        <v>44865.48</v>
      </c>
      <c r="M73">
        <v>44865.48</v>
      </c>
      <c r="N73">
        <v>44865.48</v>
      </c>
      <c r="O73">
        <v>44865.48</v>
      </c>
      <c r="P73">
        <v>44865.48</v>
      </c>
    </row>
    <row r="74" customHeight="1" spans="2:16">
      <c r="B74" t="s">
        <v>732</v>
      </c>
      <c r="C74" t="s">
        <v>733</v>
      </c>
      <c r="D74">
        <v>509080.32</v>
      </c>
      <c r="E74">
        <v>42423.36</v>
      </c>
      <c r="F74">
        <v>42423.36</v>
      </c>
      <c r="G74">
        <v>42423.36</v>
      </c>
      <c r="H74">
        <v>42423.36</v>
      </c>
      <c r="I74">
        <v>42423.36</v>
      </c>
      <c r="J74">
        <v>42423.36</v>
      </c>
      <c r="K74">
        <v>42423.36</v>
      </c>
      <c r="L74">
        <v>42423.36</v>
      </c>
      <c r="M74">
        <v>42423.36</v>
      </c>
      <c r="N74">
        <v>42423.36</v>
      </c>
      <c r="O74">
        <v>42423.36</v>
      </c>
      <c r="P74">
        <v>42423.36</v>
      </c>
    </row>
    <row r="75" customHeight="1" spans="2:16">
      <c r="B75" t="s">
        <v>734</v>
      </c>
      <c r="C75" t="s">
        <v>734</v>
      </c>
      <c r="D75">
        <v>0</v>
      </c>
      <c r="E75">
        <v>0</v>
      </c>
      <c r="F75">
        <v>0</v>
      </c>
      <c r="G75">
        <v>0</v>
      </c>
      <c r="H75">
        <v>0</v>
      </c>
      <c r="I75">
        <v>0</v>
      </c>
      <c r="J75">
        <v>0</v>
      </c>
      <c r="K75">
        <v>0</v>
      </c>
      <c r="L75">
        <v>0</v>
      </c>
      <c r="M75">
        <v>0</v>
      </c>
      <c r="N75">
        <v>0</v>
      </c>
      <c r="O75">
        <v>0</v>
      </c>
      <c r="P75">
        <v>0</v>
      </c>
    </row>
    <row r="76" customHeight="1" spans="2:16">
      <c r="B76" t="s">
        <v>735</v>
      </c>
      <c r="C76" t="s">
        <v>735</v>
      </c>
      <c r="D76">
        <v>0</v>
      </c>
      <c r="E76">
        <v>0</v>
      </c>
      <c r="F76">
        <v>0</v>
      </c>
      <c r="G76">
        <v>0</v>
      </c>
      <c r="H76">
        <v>0</v>
      </c>
      <c r="I76">
        <v>0</v>
      </c>
      <c r="J76">
        <v>0</v>
      </c>
      <c r="K76">
        <v>0</v>
      </c>
      <c r="L76">
        <v>0</v>
      </c>
      <c r="M76">
        <v>0</v>
      </c>
      <c r="N76">
        <v>0</v>
      </c>
      <c r="O76">
        <v>0</v>
      </c>
      <c r="P76">
        <v>0</v>
      </c>
    </row>
    <row r="77" customHeight="1" spans="2:16">
      <c r="B77" t="s">
        <v>736</v>
      </c>
      <c r="C77" t="s">
        <v>736</v>
      </c>
      <c r="D77">
        <v>0</v>
      </c>
      <c r="E77">
        <v>0</v>
      </c>
      <c r="F77">
        <v>0</v>
      </c>
      <c r="G77">
        <v>0</v>
      </c>
      <c r="H77">
        <v>0</v>
      </c>
      <c r="I77">
        <v>0</v>
      </c>
      <c r="J77">
        <v>0</v>
      </c>
      <c r="K77">
        <v>0</v>
      </c>
      <c r="L77">
        <v>0</v>
      </c>
      <c r="M77">
        <v>0</v>
      </c>
      <c r="N77">
        <v>0</v>
      </c>
      <c r="O77">
        <v>0</v>
      </c>
      <c r="P77">
        <v>0</v>
      </c>
    </row>
    <row r="78" customHeight="1" spans="2:16">
      <c r="B78" t="s">
        <v>737</v>
      </c>
      <c r="C78" t="s">
        <v>737</v>
      </c>
      <c r="D78">
        <v>0</v>
      </c>
      <c r="E78">
        <v>0</v>
      </c>
      <c r="F78">
        <v>0</v>
      </c>
      <c r="G78">
        <v>0</v>
      </c>
      <c r="H78">
        <v>0</v>
      </c>
      <c r="I78">
        <v>0</v>
      </c>
      <c r="J78">
        <v>0</v>
      </c>
      <c r="K78">
        <v>0</v>
      </c>
      <c r="L78">
        <v>0</v>
      </c>
      <c r="M78">
        <v>0</v>
      </c>
      <c r="N78">
        <v>0</v>
      </c>
      <c r="O78">
        <v>0</v>
      </c>
      <c r="P78">
        <v>0</v>
      </c>
    </row>
    <row r="79" customHeight="1" spans="2:16">
      <c r="B79" t="s">
        <v>732</v>
      </c>
      <c r="C79" t="s">
        <v>732</v>
      </c>
      <c r="D79">
        <v>0</v>
      </c>
      <c r="E79">
        <v>0</v>
      </c>
      <c r="F79">
        <v>0</v>
      </c>
      <c r="G79">
        <v>0</v>
      </c>
      <c r="H79">
        <v>0</v>
      </c>
      <c r="I79">
        <v>0</v>
      </c>
      <c r="J79">
        <v>0</v>
      </c>
      <c r="K79">
        <v>0</v>
      </c>
      <c r="L79">
        <v>0</v>
      </c>
      <c r="M79">
        <v>0</v>
      </c>
      <c r="N79">
        <v>0</v>
      </c>
      <c r="O79">
        <v>0</v>
      </c>
      <c r="P79">
        <v>0</v>
      </c>
    </row>
    <row r="80" customHeight="1" spans="2:16">
      <c r="B80" t="s">
        <v>738</v>
      </c>
      <c r="D80">
        <v>2171537.52</v>
      </c>
      <c r="E80">
        <v>180961.46</v>
      </c>
      <c r="F80">
        <v>180961.46</v>
      </c>
      <c r="G80">
        <v>180961.46</v>
      </c>
      <c r="H80">
        <v>180961.46</v>
      </c>
      <c r="I80">
        <v>180961.46</v>
      </c>
      <c r="J80">
        <v>180961.46</v>
      </c>
      <c r="K80">
        <v>180961.46</v>
      </c>
      <c r="L80">
        <v>180961.46</v>
      </c>
      <c r="M80">
        <v>180961.46</v>
      </c>
      <c r="N80">
        <v>180961.46</v>
      </c>
      <c r="O80">
        <v>180961.46</v>
      </c>
      <c r="P80">
        <v>180961.46</v>
      </c>
    </row>
    <row r="82" customHeight="1" spans="2:2">
      <c r="B82" t="s">
        <v>743</v>
      </c>
    </row>
    <row r="83" customHeight="1" spans="2:16">
      <c r="B83" t="s">
        <v>722</v>
      </c>
      <c r="C83" t="s">
        <v>723</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724</v>
      </c>
      <c r="C84" t="s">
        <v>725</v>
      </c>
      <c r="D84">
        <v>124968.96</v>
      </c>
      <c r="E84">
        <v>10414.08</v>
      </c>
      <c r="F84">
        <v>10414.08</v>
      </c>
      <c r="G84">
        <v>10414.08</v>
      </c>
      <c r="H84">
        <v>10414.08</v>
      </c>
      <c r="I84">
        <v>10414.08</v>
      </c>
      <c r="J84">
        <v>10414.08</v>
      </c>
      <c r="K84">
        <v>10414.08</v>
      </c>
      <c r="L84">
        <v>10414.08</v>
      </c>
      <c r="M84">
        <v>10414.08</v>
      </c>
      <c r="N84">
        <v>10414.08</v>
      </c>
      <c r="O84">
        <v>10414.08</v>
      </c>
      <c r="P84">
        <v>10414.08</v>
      </c>
    </row>
    <row r="85" customHeight="1" spans="2:16">
      <c r="B85" t="s">
        <v>195</v>
      </c>
      <c r="C85" t="s">
        <v>726</v>
      </c>
      <c r="D85">
        <v>72937.2</v>
      </c>
      <c r="E85">
        <v>6078.1</v>
      </c>
      <c r="F85">
        <v>6078.1</v>
      </c>
      <c r="G85">
        <v>6078.1</v>
      </c>
      <c r="H85">
        <v>6078.1</v>
      </c>
      <c r="I85">
        <v>6078.1</v>
      </c>
      <c r="J85">
        <v>6078.1</v>
      </c>
      <c r="K85">
        <v>6078.1</v>
      </c>
      <c r="L85">
        <v>6078.1</v>
      </c>
      <c r="M85">
        <v>6078.1</v>
      </c>
      <c r="N85">
        <v>6078.1</v>
      </c>
      <c r="O85">
        <v>6078.1</v>
      </c>
      <c r="P85">
        <v>6078.1</v>
      </c>
    </row>
    <row r="86" customHeight="1" spans="2:16">
      <c r="B86" t="s">
        <v>727</v>
      </c>
      <c r="C86" t="s">
        <v>728</v>
      </c>
      <c r="D86">
        <v>72648.72</v>
      </c>
      <c r="E86">
        <v>6054.06</v>
      </c>
      <c r="F86">
        <v>6054.06</v>
      </c>
      <c r="G86">
        <v>6054.06</v>
      </c>
      <c r="H86">
        <v>6054.06</v>
      </c>
      <c r="I86">
        <v>6054.06</v>
      </c>
      <c r="J86">
        <v>6054.06</v>
      </c>
      <c r="K86">
        <v>6054.06</v>
      </c>
      <c r="L86">
        <v>6054.06</v>
      </c>
      <c r="M86">
        <v>6054.06</v>
      </c>
      <c r="N86">
        <v>6054.06</v>
      </c>
      <c r="O86">
        <v>6054.06</v>
      </c>
      <c r="P86">
        <v>6054.06</v>
      </c>
    </row>
    <row r="87" customHeight="1" spans="2:16">
      <c r="B87" t="s">
        <v>729</v>
      </c>
      <c r="C87" t="s">
        <v>730</v>
      </c>
      <c r="D87">
        <v>6465.6</v>
      </c>
      <c r="E87">
        <v>538.8</v>
      </c>
      <c r="F87">
        <v>538.8</v>
      </c>
      <c r="G87">
        <v>538.8</v>
      </c>
      <c r="H87">
        <v>538.8</v>
      </c>
      <c r="I87">
        <v>538.8</v>
      </c>
      <c r="J87">
        <v>538.8</v>
      </c>
      <c r="K87">
        <v>538.8</v>
      </c>
      <c r="L87">
        <v>538.8</v>
      </c>
      <c r="M87">
        <v>538.8</v>
      </c>
      <c r="N87">
        <v>538.8</v>
      </c>
      <c r="O87">
        <v>538.8</v>
      </c>
      <c r="P87">
        <v>538.8</v>
      </c>
    </row>
    <row r="88" customHeight="1" spans="2:16">
      <c r="B88" t="s">
        <v>203</v>
      </c>
      <c r="C88" t="s">
        <v>731</v>
      </c>
      <c r="D88">
        <v>92386.8</v>
      </c>
      <c r="E88">
        <v>7698.9</v>
      </c>
      <c r="F88">
        <v>7698.9</v>
      </c>
      <c r="G88">
        <v>7698.9</v>
      </c>
      <c r="H88">
        <v>7698.9</v>
      </c>
      <c r="I88">
        <v>7698.9</v>
      </c>
      <c r="J88">
        <v>7698.9</v>
      </c>
      <c r="K88">
        <v>7698.9</v>
      </c>
      <c r="L88">
        <v>7698.9</v>
      </c>
      <c r="M88">
        <v>7698.9</v>
      </c>
      <c r="N88">
        <v>7698.9</v>
      </c>
      <c r="O88">
        <v>7698.9</v>
      </c>
      <c r="P88">
        <v>7698.9</v>
      </c>
    </row>
    <row r="89" customHeight="1" spans="2:16">
      <c r="B89" t="s">
        <v>732</v>
      </c>
      <c r="C89" t="s">
        <v>733</v>
      </c>
      <c r="D89">
        <v>110315.52</v>
      </c>
      <c r="E89">
        <v>9192.96</v>
      </c>
      <c r="F89">
        <v>9192.96</v>
      </c>
      <c r="G89">
        <v>9192.96</v>
      </c>
      <c r="H89">
        <v>9192.96</v>
      </c>
      <c r="I89">
        <v>9192.96</v>
      </c>
      <c r="J89">
        <v>9192.96</v>
      </c>
      <c r="K89">
        <v>9192.96</v>
      </c>
      <c r="L89">
        <v>9192.96</v>
      </c>
      <c r="M89">
        <v>9192.96</v>
      </c>
      <c r="N89">
        <v>9192.96</v>
      </c>
      <c r="O89">
        <v>9192.96</v>
      </c>
      <c r="P89">
        <v>9192.96</v>
      </c>
    </row>
    <row r="90" customHeight="1" spans="2:16">
      <c r="B90" t="s">
        <v>734</v>
      </c>
      <c r="C90" t="s">
        <v>734</v>
      </c>
      <c r="D90">
        <v>0</v>
      </c>
      <c r="E90">
        <v>0</v>
      </c>
      <c r="F90">
        <v>0</v>
      </c>
      <c r="G90">
        <v>0</v>
      </c>
      <c r="H90">
        <v>0</v>
      </c>
      <c r="I90">
        <v>0</v>
      </c>
      <c r="J90">
        <v>0</v>
      </c>
      <c r="K90">
        <v>0</v>
      </c>
      <c r="L90">
        <v>0</v>
      </c>
      <c r="M90">
        <v>0</v>
      </c>
      <c r="N90">
        <v>0</v>
      </c>
      <c r="O90">
        <v>0</v>
      </c>
      <c r="P90">
        <v>0</v>
      </c>
    </row>
    <row r="91" customHeight="1" spans="2:16">
      <c r="B91" t="s">
        <v>735</v>
      </c>
      <c r="C91" t="s">
        <v>735</v>
      </c>
      <c r="D91">
        <v>0</v>
      </c>
      <c r="E91">
        <v>0</v>
      </c>
      <c r="F91">
        <v>0</v>
      </c>
      <c r="G91">
        <v>0</v>
      </c>
      <c r="H91">
        <v>0</v>
      </c>
      <c r="I91">
        <v>0</v>
      </c>
      <c r="J91">
        <v>0</v>
      </c>
      <c r="K91">
        <v>0</v>
      </c>
      <c r="L91">
        <v>0</v>
      </c>
      <c r="M91">
        <v>0</v>
      </c>
      <c r="N91">
        <v>0</v>
      </c>
      <c r="O91">
        <v>0</v>
      </c>
      <c r="P91">
        <v>0</v>
      </c>
    </row>
    <row r="92" customHeight="1" spans="2:16">
      <c r="B92" t="s">
        <v>736</v>
      </c>
      <c r="C92" t="s">
        <v>736</v>
      </c>
      <c r="D92">
        <v>0</v>
      </c>
      <c r="E92">
        <v>0</v>
      </c>
      <c r="F92">
        <v>0</v>
      </c>
      <c r="G92">
        <v>0</v>
      </c>
      <c r="H92">
        <v>0</v>
      </c>
      <c r="I92">
        <v>0</v>
      </c>
      <c r="J92">
        <v>0</v>
      </c>
      <c r="K92">
        <v>0</v>
      </c>
      <c r="L92">
        <v>0</v>
      </c>
      <c r="M92">
        <v>0</v>
      </c>
      <c r="N92">
        <v>0</v>
      </c>
      <c r="O92">
        <v>0</v>
      </c>
      <c r="P92">
        <v>0</v>
      </c>
    </row>
    <row r="93" customHeight="1" spans="2:16">
      <c r="B93" t="s">
        <v>737</v>
      </c>
      <c r="C93" t="s">
        <v>737</v>
      </c>
      <c r="D93">
        <v>0</v>
      </c>
      <c r="E93">
        <v>0</v>
      </c>
      <c r="F93">
        <v>0</v>
      </c>
      <c r="G93">
        <v>0</v>
      </c>
      <c r="H93">
        <v>0</v>
      </c>
      <c r="I93">
        <v>0</v>
      </c>
      <c r="J93">
        <v>0</v>
      </c>
      <c r="K93">
        <v>0</v>
      </c>
      <c r="L93">
        <v>0</v>
      </c>
      <c r="M93">
        <v>0</v>
      </c>
      <c r="N93">
        <v>0</v>
      </c>
      <c r="O93">
        <v>0</v>
      </c>
      <c r="P93">
        <v>0</v>
      </c>
    </row>
    <row r="94" customHeight="1" spans="2:16">
      <c r="B94" t="s">
        <v>732</v>
      </c>
      <c r="C94" t="s">
        <v>732</v>
      </c>
      <c r="D94">
        <v>0</v>
      </c>
      <c r="E94">
        <v>0</v>
      </c>
      <c r="F94">
        <v>0</v>
      </c>
      <c r="G94">
        <v>0</v>
      </c>
      <c r="H94">
        <v>0</v>
      </c>
      <c r="I94">
        <v>0</v>
      </c>
      <c r="J94">
        <v>0</v>
      </c>
      <c r="K94">
        <v>0</v>
      </c>
      <c r="L94">
        <v>0</v>
      </c>
      <c r="M94">
        <v>0</v>
      </c>
      <c r="N94">
        <v>0</v>
      </c>
      <c r="O94">
        <v>0</v>
      </c>
      <c r="P94">
        <v>0</v>
      </c>
    </row>
    <row r="95" customHeight="1" spans="2:16">
      <c r="B95" t="s">
        <v>738</v>
      </c>
      <c r="D95">
        <v>479722.8</v>
      </c>
      <c r="E95">
        <v>39976.9</v>
      </c>
      <c r="F95">
        <v>39976.9</v>
      </c>
      <c r="G95">
        <v>39976.9</v>
      </c>
      <c r="H95">
        <v>39976.9</v>
      </c>
      <c r="I95">
        <v>39976.9</v>
      </c>
      <c r="J95">
        <v>39976.9</v>
      </c>
      <c r="K95">
        <v>39976.9</v>
      </c>
      <c r="L95">
        <v>39976.9</v>
      </c>
      <c r="M95">
        <v>39976.9</v>
      </c>
      <c r="N95">
        <v>39976.9</v>
      </c>
      <c r="O95">
        <v>39976.9</v>
      </c>
      <c r="P95">
        <v>39976.9</v>
      </c>
    </row>
    <row r="97" customHeight="1" spans="2:2">
      <c r="B97" t="s">
        <v>744</v>
      </c>
    </row>
    <row r="98" customHeight="1" spans="2:16">
      <c r="B98" t="s">
        <v>722</v>
      </c>
      <c r="C98" t="s">
        <v>723</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724</v>
      </c>
      <c r="C99" t="s">
        <v>725</v>
      </c>
      <c r="D99">
        <v>22272</v>
      </c>
      <c r="E99">
        <v>22272</v>
      </c>
      <c r="F99">
        <v>0</v>
      </c>
      <c r="G99">
        <v>0</v>
      </c>
      <c r="H99">
        <v>0</v>
      </c>
      <c r="I99">
        <v>0</v>
      </c>
      <c r="J99">
        <v>0</v>
      </c>
      <c r="K99">
        <v>0</v>
      </c>
      <c r="L99">
        <v>0</v>
      </c>
      <c r="M99">
        <v>0</v>
      </c>
      <c r="N99">
        <v>0</v>
      </c>
      <c r="O99">
        <v>0</v>
      </c>
      <c r="P99">
        <v>0</v>
      </c>
    </row>
    <row r="100" customHeight="1" spans="2:16">
      <c r="B100" t="s">
        <v>195</v>
      </c>
      <c r="C100" t="s">
        <v>726</v>
      </c>
      <c r="D100">
        <v>986948</v>
      </c>
      <c r="E100">
        <v>135394</v>
      </c>
      <c r="F100">
        <v>77414</v>
      </c>
      <c r="G100">
        <v>77414</v>
      </c>
      <c r="H100">
        <v>77414</v>
      </c>
      <c r="I100">
        <v>77414</v>
      </c>
      <c r="J100">
        <v>77414</v>
      </c>
      <c r="K100">
        <v>77414</v>
      </c>
      <c r="L100">
        <v>77414</v>
      </c>
      <c r="M100">
        <v>77414</v>
      </c>
      <c r="N100">
        <v>77414</v>
      </c>
      <c r="O100">
        <v>77414</v>
      </c>
      <c r="P100">
        <v>77414</v>
      </c>
    </row>
    <row r="101" customHeight="1" spans="2:16">
      <c r="B101" t="s">
        <v>727</v>
      </c>
      <c r="C101" t="s">
        <v>728</v>
      </c>
      <c r="D101">
        <v>9660</v>
      </c>
      <c r="E101">
        <v>9660</v>
      </c>
      <c r="F101">
        <v>0</v>
      </c>
      <c r="G101">
        <v>0</v>
      </c>
      <c r="H101">
        <v>0</v>
      </c>
      <c r="I101">
        <v>0</v>
      </c>
      <c r="J101">
        <v>0</v>
      </c>
      <c r="K101">
        <v>0</v>
      </c>
      <c r="L101">
        <v>0</v>
      </c>
      <c r="M101">
        <v>0</v>
      </c>
      <c r="N101">
        <v>0</v>
      </c>
      <c r="O101">
        <v>0</v>
      </c>
      <c r="P101">
        <v>0</v>
      </c>
    </row>
    <row r="102" customHeight="1" spans="2:16">
      <c r="B102" t="s">
        <v>729</v>
      </c>
      <c r="C102" t="s">
        <v>730</v>
      </c>
      <c r="D102">
        <v>630</v>
      </c>
      <c r="E102">
        <v>630</v>
      </c>
      <c r="F102">
        <v>0</v>
      </c>
      <c r="G102">
        <v>0</v>
      </c>
      <c r="H102">
        <v>0</v>
      </c>
      <c r="I102">
        <v>0</v>
      </c>
      <c r="J102">
        <v>0</v>
      </c>
      <c r="K102">
        <v>0</v>
      </c>
      <c r="L102">
        <v>0</v>
      </c>
      <c r="M102">
        <v>0</v>
      </c>
      <c r="N102">
        <v>0</v>
      </c>
      <c r="O102">
        <v>0</v>
      </c>
      <c r="P102">
        <v>0</v>
      </c>
    </row>
    <row r="103" customHeight="1" spans="2:16">
      <c r="B103" t="s">
        <v>203</v>
      </c>
      <c r="C103" t="s">
        <v>731</v>
      </c>
      <c r="D103">
        <v>13860</v>
      </c>
      <c r="E103">
        <v>13860</v>
      </c>
      <c r="F103">
        <v>0</v>
      </c>
      <c r="G103">
        <v>0</v>
      </c>
      <c r="H103">
        <v>0</v>
      </c>
      <c r="I103">
        <v>0</v>
      </c>
      <c r="J103">
        <v>0</v>
      </c>
      <c r="K103">
        <v>0</v>
      </c>
      <c r="L103">
        <v>0</v>
      </c>
      <c r="M103">
        <v>0</v>
      </c>
      <c r="N103">
        <v>0</v>
      </c>
      <c r="O103">
        <v>0</v>
      </c>
      <c r="P103">
        <v>0</v>
      </c>
    </row>
    <row r="104" customHeight="1" spans="2:16">
      <c r="B104" t="s">
        <v>732</v>
      </c>
      <c r="C104" t="s">
        <v>733</v>
      </c>
      <c r="D104">
        <v>4410</v>
      </c>
      <c r="E104">
        <v>4410</v>
      </c>
      <c r="F104">
        <v>0</v>
      </c>
      <c r="G104">
        <v>0</v>
      </c>
      <c r="H104">
        <v>0</v>
      </c>
      <c r="I104">
        <v>0</v>
      </c>
      <c r="J104">
        <v>0</v>
      </c>
      <c r="K104">
        <v>0</v>
      </c>
      <c r="L104">
        <v>0</v>
      </c>
      <c r="M104">
        <v>0</v>
      </c>
      <c r="N104">
        <v>0</v>
      </c>
      <c r="O104">
        <v>0</v>
      </c>
      <c r="P104">
        <v>0</v>
      </c>
    </row>
    <row r="105" customHeight="1" spans="2:16">
      <c r="B105" t="s">
        <v>734</v>
      </c>
      <c r="C105" t="s">
        <v>734</v>
      </c>
      <c r="D105">
        <v>0</v>
      </c>
      <c r="E105">
        <v>0</v>
      </c>
      <c r="F105">
        <v>0</v>
      </c>
      <c r="G105">
        <v>0</v>
      </c>
      <c r="H105">
        <v>0</v>
      </c>
      <c r="I105">
        <v>0</v>
      </c>
      <c r="J105">
        <v>0</v>
      </c>
      <c r="K105">
        <v>0</v>
      </c>
      <c r="L105">
        <v>0</v>
      </c>
      <c r="M105">
        <v>0</v>
      </c>
      <c r="N105">
        <v>0</v>
      </c>
      <c r="O105">
        <v>0</v>
      </c>
      <c r="P105">
        <v>0</v>
      </c>
    </row>
    <row r="106" customHeight="1" spans="2:16">
      <c r="B106" t="s">
        <v>735</v>
      </c>
      <c r="C106" t="s">
        <v>735</v>
      </c>
      <c r="D106">
        <v>0</v>
      </c>
      <c r="E106">
        <v>0</v>
      </c>
      <c r="F106">
        <v>0</v>
      </c>
      <c r="G106">
        <v>0</v>
      </c>
      <c r="H106">
        <v>0</v>
      </c>
      <c r="I106">
        <v>0</v>
      </c>
      <c r="J106">
        <v>0</v>
      </c>
      <c r="K106">
        <v>0</v>
      </c>
      <c r="L106">
        <v>0</v>
      </c>
      <c r="M106">
        <v>0</v>
      </c>
      <c r="N106">
        <v>0</v>
      </c>
      <c r="O106">
        <v>0</v>
      </c>
      <c r="P106">
        <v>0</v>
      </c>
    </row>
    <row r="107" customHeight="1" spans="2:16">
      <c r="B107" t="s">
        <v>736</v>
      </c>
      <c r="C107" t="s">
        <v>736</v>
      </c>
      <c r="D107">
        <v>0</v>
      </c>
      <c r="E107">
        <v>0</v>
      </c>
      <c r="F107">
        <v>0</v>
      </c>
      <c r="G107">
        <v>0</v>
      </c>
      <c r="H107">
        <v>0</v>
      </c>
      <c r="I107">
        <v>0</v>
      </c>
      <c r="J107">
        <v>0</v>
      </c>
      <c r="K107">
        <v>0</v>
      </c>
      <c r="L107">
        <v>0</v>
      </c>
      <c r="M107">
        <v>0</v>
      </c>
      <c r="N107">
        <v>0</v>
      </c>
      <c r="O107">
        <v>0</v>
      </c>
      <c r="P107">
        <v>0</v>
      </c>
    </row>
    <row r="108" customHeight="1" spans="2:16">
      <c r="B108" t="s">
        <v>737</v>
      </c>
      <c r="C108" t="s">
        <v>737</v>
      </c>
      <c r="D108">
        <v>0</v>
      </c>
      <c r="E108">
        <v>0</v>
      </c>
      <c r="F108">
        <v>0</v>
      </c>
      <c r="G108">
        <v>0</v>
      </c>
      <c r="H108">
        <v>0</v>
      </c>
      <c r="I108">
        <v>0</v>
      </c>
      <c r="J108">
        <v>0</v>
      </c>
      <c r="K108">
        <v>0</v>
      </c>
      <c r="L108">
        <v>0</v>
      </c>
      <c r="M108">
        <v>0</v>
      </c>
      <c r="N108">
        <v>0</v>
      </c>
      <c r="O108">
        <v>0</v>
      </c>
      <c r="P108">
        <v>0</v>
      </c>
    </row>
    <row r="109" customHeight="1" spans="2:16">
      <c r="B109" t="s">
        <v>732</v>
      </c>
      <c r="C109" t="s">
        <v>732</v>
      </c>
      <c r="D109">
        <v>0</v>
      </c>
      <c r="E109">
        <v>0</v>
      </c>
      <c r="F109">
        <v>0</v>
      </c>
      <c r="G109">
        <v>0</v>
      </c>
      <c r="H109">
        <v>0</v>
      </c>
      <c r="I109">
        <v>0</v>
      </c>
      <c r="J109">
        <v>0</v>
      </c>
      <c r="K109">
        <v>0</v>
      </c>
      <c r="L109">
        <v>0</v>
      </c>
      <c r="M109">
        <v>0</v>
      </c>
      <c r="N109">
        <v>0</v>
      </c>
      <c r="O109">
        <v>0</v>
      </c>
      <c r="P109">
        <v>0</v>
      </c>
    </row>
    <row r="110" customHeight="1" spans="2:16">
      <c r="B110" t="s">
        <v>738</v>
      </c>
      <c r="D110">
        <v>1037780</v>
      </c>
      <c r="E110">
        <v>186226</v>
      </c>
      <c r="F110">
        <v>77414</v>
      </c>
      <c r="G110">
        <v>77414</v>
      </c>
      <c r="H110">
        <v>77414</v>
      </c>
      <c r="I110">
        <v>77414</v>
      </c>
      <c r="J110">
        <v>77414</v>
      </c>
      <c r="K110">
        <v>77414</v>
      </c>
      <c r="L110">
        <v>77414</v>
      </c>
      <c r="M110">
        <v>77414</v>
      </c>
      <c r="N110">
        <v>77414</v>
      </c>
      <c r="O110">
        <v>77414</v>
      </c>
      <c r="P110">
        <v>77414</v>
      </c>
    </row>
    <row r="112" customHeight="1" spans="2:2">
      <c r="B112" t="s">
        <v>745</v>
      </c>
    </row>
    <row r="113" customHeight="1" spans="2:16">
      <c r="B113" t="s">
        <v>722</v>
      </c>
      <c r="C113" t="s">
        <v>723</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724</v>
      </c>
      <c r="C114" t="s">
        <v>725</v>
      </c>
      <c r="D114">
        <v>0</v>
      </c>
      <c r="E114">
        <v>0</v>
      </c>
      <c r="F114">
        <v>0</v>
      </c>
      <c r="G114">
        <v>0</v>
      </c>
      <c r="H114">
        <v>0</v>
      </c>
      <c r="I114">
        <v>0</v>
      </c>
      <c r="J114">
        <v>0</v>
      </c>
      <c r="K114">
        <v>0</v>
      </c>
      <c r="L114">
        <v>0</v>
      </c>
      <c r="M114">
        <v>0</v>
      </c>
      <c r="N114">
        <v>0</v>
      </c>
      <c r="O114">
        <v>0</v>
      </c>
      <c r="P114">
        <v>0</v>
      </c>
    </row>
    <row r="115" customHeight="1" spans="2:16">
      <c r="B115" t="s">
        <v>195</v>
      </c>
      <c r="C115" t="s">
        <v>726</v>
      </c>
      <c r="D115">
        <v>0</v>
      </c>
      <c r="E115">
        <v>0</v>
      </c>
      <c r="F115">
        <v>0</v>
      </c>
      <c r="G115">
        <v>0</v>
      </c>
      <c r="H115">
        <v>0</v>
      </c>
      <c r="I115">
        <v>0</v>
      </c>
      <c r="J115">
        <v>0</v>
      </c>
      <c r="K115">
        <v>0</v>
      </c>
      <c r="L115">
        <v>0</v>
      </c>
      <c r="M115">
        <v>0</v>
      </c>
      <c r="N115">
        <v>0</v>
      </c>
      <c r="O115">
        <v>0</v>
      </c>
      <c r="P115">
        <v>0</v>
      </c>
    </row>
    <row r="116" customHeight="1" spans="2:16">
      <c r="B116" t="s">
        <v>727</v>
      </c>
      <c r="C116" t="s">
        <v>728</v>
      </c>
      <c r="D116">
        <v>0</v>
      </c>
      <c r="E116">
        <v>0</v>
      </c>
      <c r="F116">
        <v>0</v>
      </c>
      <c r="G116">
        <v>0</v>
      </c>
      <c r="H116">
        <v>0</v>
      </c>
      <c r="I116">
        <v>0</v>
      </c>
      <c r="J116">
        <v>0</v>
      </c>
      <c r="K116">
        <v>0</v>
      </c>
      <c r="L116">
        <v>0</v>
      </c>
      <c r="M116">
        <v>0</v>
      </c>
      <c r="N116">
        <v>0</v>
      </c>
      <c r="O116">
        <v>0</v>
      </c>
      <c r="P116">
        <v>0</v>
      </c>
    </row>
    <row r="117" customHeight="1" spans="2:16">
      <c r="B117" t="s">
        <v>729</v>
      </c>
      <c r="C117" t="s">
        <v>730</v>
      </c>
      <c r="D117">
        <v>0</v>
      </c>
      <c r="E117">
        <v>0</v>
      </c>
      <c r="F117">
        <v>0</v>
      </c>
      <c r="G117">
        <v>0</v>
      </c>
      <c r="H117">
        <v>0</v>
      </c>
      <c r="I117">
        <v>0</v>
      </c>
      <c r="J117">
        <v>0</v>
      </c>
      <c r="K117">
        <v>0</v>
      </c>
      <c r="L117">
        <v>0</v>
      </c>
      <c r="M117">
        <v>0</v>
      </c>
      <c r="N117">
        <v>0</v>
      </c>
      <c r="O117">
        <v>0</v>
      </c>
      <c r="P117">
        <v>0</v>
      </c>
    </row>
    <row r="118" customHeight="1" spans="2:16">
      <c r="B118" t="s">
        <v>203</v>
      </c>
      <c r="C118" t="s">
        <v>731</v>
      </c>
      <c r="D118">
        <v>0</v>
      </c>
      <c r="E118">
        <v>0</v>
      </c>
      <c r="F118">
        <v>0</v>
      </c>
      <c r="G118">
        <v>0</v>
      </c>
      <c r="H118">
        <v>0</v>
      </c>
      <c r="I118">
        <v>0</v>
      </c>
      <c r="J118">
        <v>0</v>
      </c>
      <c r="K118">
        <v>0</v>
      </c>
      <c r="L118">
        <v>0</v>
      </c>
      <c r="M118">
        <v>0</v>
      </c>
      <c r="N118">
        <v>0</v>
      </c>
      <c r="O118">
        <v>0</v>
      </c>
      <c r="P118">
        <v>0</v>
      </c>
    </row>
    <row r="119" customHeight="1" spans="2:16">
      <c r="B119" t="s">
        <v>732</v>
      </c>
      <c r="C119" t="s">
        <v>733</v>
      </c>
      <c r="D119">
        <v>0</v>
      </c>
      <c r="E119">
        <v>0</v>
      </c>
      <c r="F119">
        <v>0</v>
      </c>
      <c r="G119">
        <v>0</v>
      </c>
      <c r="H119">
        <v>0</v>
      </c>
      <c r="I119">
        <v>0</v>
      </c>
      <c r="J119">
        <v>0</v>
      </c>
      <c r="K119">
        <v>0</v>
      </c>
      <c r="L119">
        <v>0</v>
      </c>
      <c r="M119">
        <v>0</v>
      </c>
      <c r="N119">
        <v>0</v>
      </c>
      <c r="O119">
        <v>0</v>
      </c>
      <c r="P119">
        <v>0</v>
      </c>
    </row>
    <row r="120" customHeight="1" spans="2:16">
      <c r="B120" t="s">
        <v>734</v>
      </c>
      <c r="C120" t="s">
        <v>734</v>
      </c>
      <c r="D120">
        <v>0</v>
      </c>
      <c r="E120">
        <v>0</v>
      </c>
      <c r="F120">
        <v>0</v>
      </c>
      <c r="G120">
        <v>0</v>
      </c>
      <c r="H120">
        <v>0</v>
      </c>
      <c r="I120">
        <v>0</v>
      </c>
      <c r="J120">
        <v>0</v>
      </c>
      <c r="K120">
        <v>0</v>
      </c>
      <c r="L120">
        <v>0</v>
      </c>
      <c r="M120">
        <v>0</v>
      </c>
      <c r="N120">
        <v>0</v>
      </c>
      <c r="O120">
        <v>0</v>
      </c>
      <c r="P120">
        <v>0</v>
      </c>
    </row>
    <row r="121" customHeight="1" spans="2:16">
      <c r="B121" t="s">
        <v>735</v>
      </c>
      <c r="C121" t="s">
        <v>735</v>
      </c>
      <c r="D121">
        <v>0</v>
      </c>
      <c r="E121">
        <v>0</v>
      </c>
      <c r="F121">
        <v>0</v>
      </c>
      <c r="G121">
        <v>0</v>
      </c>
      <c r="H121">
        <v>0</v>
      </c>
      <c r="I121">
        <v>0</v>
      </c>
      <c r="J121">
        <v>0</v>
      </c>
      <c r="K121">
        <v>0</v>
      </c>
      <c r="L121">
        <v>0</v>
      </c>
      <c r="M121">
        <v>0</v>
      </c>
      <c r="N121">
        <v>0</v>
      </c>
      <c r="O121">
        <v>0</v>
      </c>
      <c r="P121">
        <v>0</v>
      </c>
    </row>
    <row r="122" customHeight="1" spans="2:16">
      <c r="B122" t="s">
        <v>736</v>
      </c>
      <c r="C122" t="s">
        <v>736</v>
      </c>
      <c r="D122">
        <v>0</v>
      </c>
      <c r="E122">
        <v>0</v>
      </c>
      <c r="F122">
        <v>0</v>
      </c>
      <c r="G122">
        <v>0</v>
      </c>
      <c r="H122">
        <v>0</v>
      </c>
      <c r="I122">
        <v>0</v>
      </c>
      <c r="J122">
        <v>0</v>
      </c>
      <c r="K122">
        <v>0</v>
      </c>
      <c r="L122">
        <v>0</v>
      </c>
      <c r="M122">
        <v>0</v>
      </c>
      <c r="N122">
        <v>0</v>
      </c>
      <c r="O122">
        <v>0</v>
      </c>
      <c r="P122">
        <v>0</v>
      </c>
    </row>
    <row r="123" customHeight="1" spans="2:16">
      <c r="B123" t="s">
        <v>737</v>
      </c>
      <c r="C123" t="s">
        <v>737</v>
      </c>
      <c r="D123">
        <v>0</v>
      </c>
      <c r="E123">
        <v>0</v>
      </c>
      <c r="F123">
        <v>0</v>
      </c>
      <c r="G123">
        <v>0</v>
      </c>
      <c r="H123">
        <v>0</v>
      </c>
      <c r="I123">
        <v>0</v>
      </c>
      <c r="J123">
        <v>0</v>
      </c>
      <c r="K123">
        <v>0</v>
      </c>
      <c r="L123">
        <v>0</v>
      </c>
      <c r="M123">
        <v>0</v>
      </c>
      <c r="N123">
        <v>0</v>
      </c>
      <c r="O123">
        <v>0</v>
      </c>
      <c r="P123">
        <v>0</v>
      </c>
    </row>
    <row r="124" customHeight="1" spans="2:16">
      <c r="B124" t="s">
        <v>732</v>
      </c>
      <c r="C124" t="s">
        <v>732</v>
      </c>
      <c r="D124">
        <v>0</v>
      </c>
      <c r="E124">
        <v>0</v>
      </c>
      <c r="F124">
        <v>0</v>
      </c>
      <c r="G124">
        <v>0</v>
      </c>
      <c r="H124">
        <v>0</v>
      </c>
      <c r="I124">
        <v>0</v>
      </c>
      <c r="J124">
        <v>0</v>
      </c>
      <c r="K124">
        <v>0</v>
      </c>
      <c r="L124">
        <v>0</v>
      </c>
      <c r="M124">
        <v>0</v>
      </c>
      <c r="N124">
        <v>0</v>
      </c>
      <c r="O124">
        <v>0</v>
      </c>
      <c r="P124">
        <v>0</v>
      </c>
    </row>
    <row r="125" customHeight="1" spans="2:16">
      <c r="B125" t="s">
        <v>738</v>
      </c>
      <c r="D125">
        <v>0</v>
      </c>
      <c r="E125">
        <v>0</v>
      </c>
      <c r="F125">
        <v>0</v>
      </c>
      <c r="G125">
        <v>0</v>
      </c>
      <c r="H125">
        <v>0</v>
      </c>
      <c r="I125">
        <v>0</v>
      </c>
      <c r="J125">
        <v>0</v>
      </c>
      <c r="K125">
        <v>0</v>
      </c>
      <c r="L125">
        <v>0</v>
      </c>
      <c r="M125">
        <v>0</v>
      </c>
      <c r="N125">
        <v>0</v>
      </c>
      <c r="O125">
        <v>0</v>
      </c>
      <c r="P125">
        <v>0</v>
      </c>
    </row>
    <row r="127" customHeight="1" spans="2:2">
      <c r="B127" t="s">
        <v>746</v>
      </c>
    </row>
    <row r="128" customHeight="1" spans="2:16">
      <c r="B128" t="s">
        <v>722</v>
      </c>
      <c r="C128" t="s">
        <v>723</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724</v>
      </c>
      <c r="C129" t="s">
        <v>725</v>
      </c>
      <c r="D129">
        <v>0</v>
      </c>
      <c r="E129">
        <v>0</v>
      </c>
      <c r="F129">
        <v>0</v>
      </c>
      <c r="G129">
        <v>0</v>
      </c>
      <c r="H129">
        <v>0</v>
      </c>
      <c r="I129">
        <v>0</v>
      </c>
      <c r="J129">
        <v>0</v>
      </c>
      <c r="K129">
        <v>0</v>
      </c>
      <c r="L129">
        <v>0</v>
      </c>
      <c r="M129">
        <v>0</v>
      </c>
      <c r="N129">
        <v>0</v>
      </c>
      <c r="O129">
        <v>0</v>
      </c>
      <c r="P129">
        <v>0</v>
      </c>
    </row>
    <row r="130" customHeight="1" spans="2:16">
      <c r="B130" t="s">
        <v>195</v>
      </c>
      <c r="C130" t="s">
        <v>726</v>
      </c>
      <c r="D130">
        <v>0</v>
      </c>
      <c r="E130">
        <v>0</v>
      </c>
      <c r="F130">
        <v>0</v>
      </c>
      <c r="G130">
        <v>0</v>
      </c>
      <c r="H130">
        <v>0</v>
      </c>
      <c r="I130">
        <v>0</v>
      </c>
      <c r="J130">
        <v>0</v>
      </c>
      <c r="K130">
        <v>0</v>
      </c>
      <c r="L130">
        <v>0</v>
      </c>
      <c r="M130">
        <v>0</v>
      </c>
      <c r="N130">
        <v>0</v>
      </c>
      <c r="O130">
        <v>0</v>
      </c>
      <c r="P130">
        <v>0</v>
      </c>
    </row>
    <row r="131" customHeight="1" spans="2:16">
      <c r="B131" t="s">
        <v>727</v>
      </c>
      <c r="C131" t="s">
        <v>728</v>
      </c>
      <c r="D131">
        <v>0</v>
      </c>
      <c r="E131">
        <v>0</v>
      </c>
      <c r="F131">
        <v>0</v>
      </c>
      <c r="G131">
        <v>0</v>
      </c>
      <c r="H131">
        <v>0</v>
      </c>
      <c r="I131">
        <v>0</v>
      </c>
      <c r="J131">
        <v>0</v>
      </c>
      <c r="K131">
        <v>0</v>
      </c>
      <c r="L131">
        <v>0</v>
      </c>
      <c r="M131">
        <v>0</v>
      </c>
      <c r="N131">
        <v>0</v>
      </c>
      <c r="O131">
        <v>0</v>
      </c>
      <c r="P131">
        <v>0</v>
      </c>
    </row>
    <row r="132" customHeight="1" spans="2:16">
      <c r="B132" t="s">
        <v>729</v>
      </c>
      <c r="C132" t="s">
        <v>730</v>
      </c>
      <c r="D132">
        <v>0</v>
      </c>
      <c r="E132">
        <v>0</v>
      </c>
      <c r="F132">
        <v>0</v>
      </c>
      <c r="G132">
        <v>0</v>
      </c>
      <c r="H132">
        <v>0</v>
      </c>
      <c r="I132">
        <v>0</v>
      </c>
      <c r="J132">
        <v>0</v>
      </c>
      <c r="K132">
        <v>0</v>
      </c>
      <c r="L132">
        <v>0</v>
      </c>
      <c r="M132">
        <v>0</v>
      </c>
      <c r="N132">
        <v>0</v>
      </c>
      <c r="O132">
        <v>0</v>
      </c>
      <c r="P132">
        <v>0</v>
      </c>
    </row>
    <row r="133" customHeight="1" spans="2:16">
      <c r="B133" t="s">
        <v>203</v>
      </c>
      <c r="C133" t="s">
        <v>731</v>
      </c>
      <c r="D133">
        <v>0</v>
      </c>
      <c r="E133">
        <v>0</v>
      </c>
      <c r="F133">
        <v>0</v>
      </c>
      <c r="G133">
        <v>0</v>
      </c>
      <c r="H133">
        <v>0</v>
      </c>
      <c r="I133">
        <v>0</v>
      </c>
      <c r="J133">
        <v>0</v>
      </c>
      <c r="K133">
        <v>0</v>
      </c>
      <c r="L133">
        <v>0</v>
      </c>
      <c r="M133">
        <v>0</v>
      </c>
      <c r="N133">
        <v>0</v>
      </c>
      <c r="O133">
        <v>0</v>
      </c>
      <c r="P133">
        <v>0</v>
      </c>
    </row>
    <row r="134" customHeight="1" spans="2:16">
      <c r="B134" t="s">
        <v>732</v>
      </c>
      <c r="C134" t="s">
        <v>733</v>
      </c>
      <c r="D134">
        <v>0</v>
      </c>
      <c r="E134">
        <v>0</v>
      </c>
      <c r="F134">
        <v>0</v>
      </c>
      <c r="G134">
        <v>0</v>
      </c>
      <c r="H134">
        <v>0</v>
      </c>
      <c r="I134">
        <v>0</v>
      </c>
      <c r="J134">
        <v>0</v>
      </c>
      <c r="K134">
        <v>0</v>
      </c>
      <c r="L134">
        <v>0</v>
      </c>
      <c r="M134">
        <v>0</v>
      </c>
      <c r="N134">
        <v>0</v>
      </c>
      <c r="O134">
        <v>0</v>
      </c>
      <c r="P134">
        <v>0</v>
      </c>
    </row>
    <row r="135" customHeight="1" spans="2:16">
      <c r="B135" t="s">
        <v>734</v>
      </c>
      <c r="C135" t="s">
        <v>734</v>
      </c>
      <c r="D135">
        <v>0</v>
      </c>
      <c r="E135">
        <v>0</v>
      </c>
      <c r="F135">
        <v>0</v>
      </c>
      <c r="G135">
        <v>0</v>
      </c>
      <c r="H135">
        <v>0</v>
      </c>
      <c r="I135">
        <v>0</v>
      </c>
      <c r="J135">
        <v>0</v>
      </c>
      <c r="K135">
        <v>0</v>
      </c>
      <c r="L135">
        <v>0</v>
      </c>
      <c r="M135">
        <v>0</v>
      </c>
      <c r="N135">
        <v>0</v>
      </c>
      <c r="O135">
        <v>0</v>
      </c>
      <c r="P135">
        <v>0</v>
      </c>
    </row>
    <row r="136" customHeight="1" spans="2:16">
      <c r="B136" t="s">
        <v>735</v>
      </c>
      <c r="C136" t="s">
        <v>735</v>
      </c>
      <c r="D136">
        <v>0</v>
      </c>
      <c r="E136">
        <v>0</v>
      </c>
      <c r="F136">
        <v>0</v>
      </c>
      <c r="G136">
        <v>0</v>
      </c>
      <c r="H136">
        <v>0</v>
      </c>
      <c r="I136">
        <v>0</v>
      </c>
      <c r="J136">
        <v>0</v>
      </c>
      <c r="K136">
        <v>0</v>
      </c>
      <c r="L136">
        <v>0</v>
      </c>
      <c r="M136">
        <v>0</v>
      </c>
      <c r="N136">
        <v>0</v>
      </c>
      <c r="O136">
        <v>0</v>
      </c>
      <c r="P136">
        <v>0</v>
      </c>
    </row>
    <row r="137" customHeight="1" spans="2:16">
      <c r="B137" t="s">
        <v>736</v>
      </c>
      <c r="C137" t="s">
        <v>736</v>
      </c>
      <c r="D137">
        <v>0</v>
      </c>
      <c r="E137">
        <v>0</v>
      </c>
      <c r="F137">
        <v>0</v>
      </c>
      <c r="G137">
        <v>0</v>
      </c>
      <c r="H137">
        <v>0</v>
      </c>
      <c r="I137">
        <v>0</v>
      </c>
      <c r="J137">
        <v>0</v>
      </c>
      <c r="K137">
        <v>0</v>
      </c>
      <c r="L137">
        <v>0</v>
      </c>
      <c r="M137">
        <v>0</v>
      </c>
      <c r="N137">
        <v>0</v>
      </c>
      <c r="O137">
        <v>0</v>
      </c>
      <c r="P137">
        <v>0</v>
      </c>
    </row>
    <row r="138" customHeight="1" spans="2:16">
      <c r="B138" t="s">
        <v>737</v>
      </c>
      <c r="C138" t="s">
        <v>737</v>
      </c>
      <c r="D138">
        <v>0</v>
      </c>
      <c r="E138">
        <v>0</v>
      </c>
      <c r="F138">
        <v>0</v>
      </c>
      <c r="G138">
        <v>0</v>
      </c>
      <c r="H138">
        <v>0</v>
      </c>
      <c r="I138">
        <v>0</v>
      </c>
      <c r="J138">
        <v>0</v>
      </c>
      <c r="K138">
        <v>0</v>
      </c>
      <c r="L138">
        <v>0</v>
      </c>
      <c r="M138">
        <v>0</v>
      </c>
      <c r="N138">
        <v>0</v>
      </c>
      <c r="O138">
        <v>0</v>
      </c>
      <c r="P138">
        <v>0</v>
      </c>
    </row>
    <row r="139" customHeight="1" spans="2:16">
      <c r="B139" t="s">
        <v>732</v>
      </c>
      <c r="C139" t="s">
        <v>732</v>
      </c>
      <c r="D139">
        <v>0</v>
      </c>
      <c r="E139">
        <v>0</v>
      </c>
      <c r="F139">
        <v>0</v>
      </c>
      <c r="G139">
        <v>0</v>
      </c>
      <c r="H139">
        <v>0</v>
      </c>
      <c r="I139">
        <v>0</v>
      </c>
      <c r="J139">
        <v>0</v>
      </c>
      <c r="K139">
        <v>0</v>
      </c>
      <c r="L139">
        <v>0</v>
      </c>
      <c r="M139">
        <v>0</v>
      </c>
      <c r="N139">
        <v>0</v>
      </c>
      <c r="O139">
        <v>0</v>
      </c>
      <c r="P139">
        <v>0</v>
      </c>
    </row>
    <row r="140" customHeight="1" spans="2:16">
      <c r="B140" t="s">
        <v>738</v>
      </c>
      <c r="D140">
        <v>0</v>
      </c>
      <c r="E140">
        <v>0</v>
      </c>
      <c r="F140">
        <v>0</v>
      </c>
      <c r="G140">
        <v>0</v>
      </c>
      <c r="H140">
        <v>0</v>
      </c>
      <c r="I140">
        <v>0</v>
      </c>
      <c r="J140">
        <v>0</v>
      </c>
      <c r="K140">
        <v>0</v>
      </c>
      <c r="L140">
        <v>0</v>
      </c>
      <c r="M140">
        <v>0</v>
      </c>
      <c r="N140">
        <v>0</v>
      </c>
      <c r="O140">
        <v>0</v>
      </c>
      <c r="P140">
        <v>0</v>
      </c>
    </row>
    <row r="142" customHeight="1" spans="2:2">
      <c r="B142" t="s">
        <v>747</v>
      </c>
    </row>
    <row r="143" customHeight="1" spans="2:16">
      <c r="B143" t="s">
        <v>722</v>
      </c>
      <c r="C143" t="s">
        <v>723</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724</v>
      </c>
      <c r="C144" t="s">
        <v>725</v>
      </c>
      <c r="D144">
        <v>0</v>
      </c>
    </row>
    <row r="145" customHeight="1" spans="2:4">
      <c r="B145" t="s">
        <v>195</v>
      </c>
      <c r="C145" t="s">
        <v>726</v>
      </c>
      <c r="D145">
        <v>0</v>
      </c>
    </row>
    <row r="146" customHeight="1" spans="2:4">
      <c r="B146" t="s">
        <v>727</v>
      </c>
      <c r="C146" t="s">
        <v>728</v>
      </c>
      <c r="D146">
        <v>0</v>
      </c>
    </row>
    <row r="147" customHeight="1" spans="2:4">
      <c r="B147" t="s">
        <v>729</v>
      </c>
      <c r="C147" t="s">
        <v>730</v>
      </c>
      <c r="D147">
        <v>0</v>
      </c>
    </row>
    <row r="148" customHeight="1" spans="2:4">
      <c r="B148" t="s">
        <v>203</v>
      </c>
      <c r="C148" t="s">
        <v>731</v>
      </c>
      <c r="D148">
        <v>0</v>
      </c>
    </row>
    <row r="149" customHeight="1" spans="2:4">
      <c r="B149" t="s">
        <v>732</v>
      </c>
      <c r="C149" t="s">
        <v>733</v>
      </c>
      <c r="D149">
        <v>0</v>
      </c>
    </row>
    <row r="150" customHeight="1" spans="2:4">
      <c r="B150" t="s">
        <v>734</v>
      </c>
      <c r="C150" t="s">
        <v>734</v>
      </c>
      <c r="D150">
        <v>0</v>
      </c>
    </row>
    <row r="151" customHeight="1" spans="2:4">
      <c r="B151" t="s">
        <v>735</v>
      </c>
      <c r="C151" t="s">
        <v>735</v>
      </c>
      <c r="D151">
        <v>0</v>
      </c>
    </row>
    <row r="152" customHeight="1" spans="2:4">
      <c r="B152" t="s">
        <v>736</v>
      </c>
      <c r="C152" t="s">
        <v>736</v>
      </c>
      <c r="D152">
        <v>0</v>
      </c>
    </row>
    <row r="153" customHeight="1" spans="2:4">
      <c r="B153" t="s">
        <v>737</v>
      </c>
      <c r="C153" t="s">
        <v>737</v>
      </c>
      <c r="D153">
        <v>0</v>
      </c>
    </row>
    <row r="154" customHeight="1" spans="2:4">
      <c r="B154" t="s">
        <v>732</v>
      </c>
      <c r="C154" t="s">
        <v>732</v>
      </c>
      <c r="D154">
        <v>0</v>
      </c>
    </row>
    <row r="155" customHeight="1" spans="2:16">
      <c r="B155" t="s">
        <v>738</v>
      </c>
      <c r="D155">
        <v>0</v>
      </c>
      <c r="E155">
        <v>0</v>
      </c>
      <c r="F155">
        <v>0</v>
      </c>
      <c r="G155">
        <v>0</v>
      </c>
      <c r="H155">
        <v>0</v>
      </c>
      <c r="I155">
        <v>0</v>
      </c>
      <c r="J155">
        <v>0</v>
      </c>
      <c r="K155">
        <v>0</v>
      </c>
      <c r="L155">
        <v>0</v>
      </c>
      <c r="M155">
        <v>0</v>
      </c>
      <c r="N155">
        <v>0</v>
      </c>
      <c r="O155">
        <v>0</v>
      </c>
      <c r="P155">
        <v>0</v>
      </c>
    </row>
    <row r="157" customHeight="1" spans="2:2">
      <c r="B157" t="s">
        <v>748</v>
      </c>
    </row>
    <row r="158" customHeight="1" spans="2:16">
      <c r="B158" t="s">
        <v>722</v>
      </c>
      <c r="C158" t="s">
        <v>723</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724</v>
      </c>
      <c r="C159" t="s">
        <v>725</v>
      </c>
      <c r="D159">
        <v>0</v>
      </c>
    </row>
    <row r="160" customHeight="1" spans="2:4">
      <c r="B160" t="s">
        <v>195</v>
      </c>
      <c r="C160" t="s">
        <v>726</v>
      </c>
      <c r="D160">
        <v>0</v>
      </c>
    </row>
    <row r="161" customHeight="1" spans="2:4">
      <c r="B161" t="s">
        <v>727</v>
      </c>
      <c r="C161" t="s">
        <v>728</v>
      </c>
      <c r="D161">
        <v>0</v>
      </c>
    </row>
    <row r="162" customHeight="1" spans="2:4">
      <c r="B162" t="s">
        <v>729</v>
      </c>
      <c r="C162" t="s">
        <v>730</v>
      </c>
      <c r="D162">
        <v>0</v>
      </c>
    </row>
    <row r="163" customHeight="1" spans="2:4">
      <c r="B163" t="s">
        <v>203</v>
      </c>
      <c r="C163" t="s">
        <v>731</v>
      </c>
      <c r="D163">
        <v>0</v>
      </c>
    </row>
    <row r="164" customHeight="1" spans="2:4">
      <c r="B164" t="s">
        <v>732</v>
      </c>
      <c r="C164" t="s">
        <v>733</v>
      </c>
      <c r="D164">
        <v>0</v>
      </c>
    </row>
    <row r="165" customHeight="1" spans="2:4">
      <c r="B165" t="s">
        <v>734</v>
      </c>
      <c r="C165" t="s">
        <v>734</v>
      </c>
      <c r="D165">
        <v>0</v>
      </c>
    </row>
    <row r="166" customHeight="1" spans="2:4">
      <c r="B166" t="s">
        <v>735</v>
      </c>
      <c r="C166" t="s">
        <v>735</v>
      </c>
      <c r="D166">
        <v>0</v>
      </c>
    </row>
    <row r="167" customHeight="1" spans="2:4">
      <c r="B167" t="s">
        <v>736</v>
      </c>
      <c r="C167" t="s">
        <v>736</v>
      </c>
      <c r="D167">
        <v>0</v>
      </c>
    </row>
    <row r="168" customHeight="1" spans="2:4">
      <c r="B168" t="s">
        <v>737</v>
      </c>
      <c r="C168" t="s">
        <v>737</v>
      </c>
      <c r="D168">
        <v>0</v>
      </c>
    </row>
    <row r="169" customHeight="1" spans="2:4">
      <c r="B169" t="s">
        <v>732</v>
      </c>
      <c r="C169" t="s">
        <v>732</v>
      </c>
      <c r="D169">
        <v>0</v>
      </c>
    </row>
    <row r="170" customHeight="1" spans="2:16">
      <c r="B170" t="s">
        <v>738</v>
      </c>
      <c r="D170">
        <v>0</v>
      </c>
      <c r="E170">
        <v>0</v>
      </c>
      <c r="F170">
        <v>0</v>
      </c>
      <c r="G170">
        <v>0</v>
      </c>
      <c r="H170">
        <v>0</v>
      </c>
      <c r="I170">
        <v>0</v>
      </c>
      <c r="J170">
        <v>0</v>
      </c>
      <c r="K170">
        <v>0</v>
      </c>
      <c r="L170">
        <v>0</v>
      </c>
      <c r="M170">
        <v>0</v>
      </c>
      <c r="N170">
        <v>0</v>
      </c>
      <c r="O170">
        <v>0</v>
      </c>
      <c r="P170">
        <v>0</v>
      </c>
    </row>
    <row r="172" customHeight="1" spans="2:2">
      <c r="B172" t="s">
        <v>749</v>
      </c>
    </row>
    <row r="173" customHeight="1" spans="2:16">
      <c r="B173" t="s">
        <v>722</v>
      </c>
      <c r="C173" t="s">
        <v>723</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724</v>
      </c>
      <c r="C174" t="s">
        <v>725</v>
      </c>
      <c r="D174">
        <v>0</v>
      </c>
    </row>
    <row r="175" customHeight="1" spans="2:4">
      <c r="B175" t="s">
        <v>195</v>
      </c>
      <c r="C175" t="s">
        <v>726</v>
      </c>
      <c r="D175">
        <v>0</v>
      </c>
    </row>
    <row r="176" customHeight="1" spans="2:4">
      <c r="B176" t="s">
        <v>727</v>
      </c>
      <c r="C176" t="s">
        <v>728</v>
      </c>
      <c r="D176">
        <v>0</v>
      </c>
    </row>
    <row r="177" customHeight="1" spans="2:4">
      <c r="B177" t="s">
        <v>729</v>
      </c>
      <c r="C177" t="s">
        <v>730</v>
      </c>
      <c r="D177">
        <v>0</v>
      </c>
    </row>
    <row r="178" customHeight="1" spans="2:4">
      <c r="B178" t="s">
        <v>203</v>
      </c>
      <c r="C178" t="s">
        <v>731</v>
      </c>
      <c r="D178">
        <v>0</v>
      </c>
    </row>
    <row r="179" customHeight="1" spans="2:4">
      <c r="B179" t="s">
        <v>732</v>
      </c>
      <c r="C179" t="s">
        <v>733</v>
      </c>
      <c r="D179">
        <v>0</v>
      </c>
    </row>
    <row r="180" customHeight="1" spans="2:4">
      <c r="B180" t="s">
        <v>734</v>
      </c>
      <c r="C180" t="s">
        <v>734</v>
      </c>
      <c r="D180">
        <v>0</v>
      </c>
    </row>
    <row r="181" customHeight="1" spans="2:4">
      <c r="B181" t="s">
        <v>735</v>
      </c>
      <c r="C181" t="s">
        <v>735</v>
      </c>
      <c r="D181">
        <v>0</v>
      </c>
    </row>
    <row r="182" customHeight="1" spans="2:4">
      <c r="B182" t="s">
        <v>736</v>
      </c>
      <c r="C182" t="s">
        <v>736</v>
      </c>
      <c r="D182">
        <v>0</v>
      </c>
    </row>
    <row r="183" customHeight="1" spans="2:4">
      <c r="B183" t="s">
        <v>737</v>
      </c>
      <c r="C183" t="s">
        <v>737</v>
      </c>
      <c r="D183">
        <v>0</v>
      </c>
    </row>
    <row r="184" customHeight="1" spans="2:4">
      <c r="B184" t="s">
        <v>732</v>
      </c>
      <c r="C184" t="s">
        <v>732</v>
      </c>
      <c r="D184">
        <v>0</v>
      </c>
    </row>
    <row r="185" customHeight="1" spans="2:16">
      <c r="B185" t="s">
        <v>738</v>
      </c>
      <c r="D185">
        <v>0</v>
      </c>
      <c r="E185">
        <v>0</v>
      </c>
      <c r="F185">
        <v>0</v>
      </c>
      <c r="G185">
        <v>0</v>
      </c>
      <c r="H185">
        <v>0</v>
      </c>
      <c r="I185">
        <v>0</v>
      </c>
      <c r="J185">
        <v>0</v>
      </c>
      <c r="K185">
        <v>0</v>
      </c>
      <c r="L185">
        <v>0</v>
      </c>
      <c r="M185">
        <v>0</v>
      </c>
      <c r="N185">
        <v>0</v>
      </c>
      <c r="O185">
        <v>0</v>
      </c>
      <c r="P185">
        <v>0</v>
      </c>
    </row>
    <row r="187" customHeight="1" spans="2:2">
      <c r="B187" t="s">
        <v>750</v>
      </c>
    </row>
    <row r="188" customHeight="1" spans="2:16">
      <c r="B188" t="s">
        <v>722</v>
      </c>
      <c r="C188" t="s">
        <v>723</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724</v>
      </c>
      <c r="C189" t="s">
        <v>725</v>
      </c>
      <c r="D189">
        <v>0</v>
      </c>
    </row>
    <row r="190" customHeight="1" spans="2:4">
      <c r="B190" t="s">
        <v>195</v>
      </c>
      <c r="C190" t="s">
        <v>726</v>
      </c>
      <c r="D190">
        <v>0</v>
      </c>
    </row>
    <row r="191" customHeight="1" spans="2:4">
      <c r="B191" t="s">
        <v>727</v>
      </c>
      <c r="C191" t="s">
        <v>728</v>
      </c>
      <c r="D191">
        <v>0</v>
      </c>
    </row>
    <row r="192" customHeight="1" spans="2:4">
      <c r="B192" t="s">
        <v>729</v>
      </c>
      <c r="C192" t="s">
        <v>730</v>
      </c>
      <c r="D192">
        <v>0</v>
      </c>
    </row>
    <row r="193" customHeight="1" spans="2:4">
      <c r="B193" t="s">
        <v>203</v>
      </c>
      <c r="C193" t="s">
        <v>731</v>
      </c>
      <c r="D193">
        <v>0</v>
      </c>
    </row>
    <row r="194" customHeight="1" spans="2:4">
      <c r="B194" t="s">
        <v>732</v>
      </c>
      <c r="C194" t="s">
        <v>733</v>
      </c>
      <c r="D194">
        <v>0</v>
      </c>
    </row>
    <row r="195" customHeight="1" spans="2:4">
      <c r="B195" t="s">
        <v>734</v>
      </c>
      <c r="C195" t="s">
        <v>734</v>
      </c>
      <c r="D195">
        <v>0</v>
      </c>
    </row>
    <row r="196" customHeight="1" spans="2:4">
      <c r="B196" t="s">
        <v>735</v>
      </c>
      <c r="C196" t="s">
        <v>735</v>
      </c>
      <c r="D196">
        <v>0</v>
      </c>
    </row>
    <row r="197" customHeight="1" spans="2:4">
      <c r="B197" t="s">
        <v>736</v>
      </c>
      <c r="C197" t="s">
        <v>736</v>
      </c>
      <c r="D197">
        <v>0</v>
      </c>
    </row>
    <row r="198" customHeight="1" spans="2:4">
      <c r="B198" t="s">
        <v>737</v>
      </c>
      <c r="C198" t="s">
        <v>737</v>
      </c>
      <c r="D198">
        <v>0</v>
      </c>
    </row>
    <row r="199" customHeight="1" spans="2:4">
      <c r="B199" t="s">
        <v>732</v>
      </c>
      <c r="C199" t="s">
        <v>732</v>
      </c>
      <c r="D199">
        <v>0</v>
      </c>
    </row>
    <row r="200" customHeight="1" spans="2:16">
      <c r="B200" t="s">
        <v>738</v>
      </c>
      <c r="D200">
        <v>0</v>
      </c>
      <c r="E200">
        <v>0</v>
      </c>
      <c r="F200">
        <v>0</v>
      </c>
      <c r="G200">
        <v>0</v>
      </c>
      <c r="H200">
        <v>0</v>
      </c>
      <c r="I200">
        <v>0</v>
      </c>
      <c r="J200">
        <v>0</v>
      </c>
      <c r="K200">
        <v>0</v>
      </c>
      <c r="L200">
        <v>0</v>
      </c>
      <c r="M200">
        <v>0</v>
      </c>
      <c r="N200">
        <v>0</v>
      </c>
      <c r="O200">
        <v>0</v>
      </c>
      <c r="P200">
        <v>0</v>
      </c>
    </row>
    <row r="202" customHeight="1" spans="2:2">
      <c r="B202" t="s">
        <v>751</v>
      </c>
    </row>
    <row r="203" customHeight="1" spans="2:16">
      <c r="B203" t="s">
        <v>722</v>
      </c>
      <c r="C203" t="s">
        <v>723</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724</v>
      </c>
      <c r="C204" t="s">
        <v>725</v>
      </c>
      <c r="D204">
        <v>0</v>
      </c>
    </row>
    <row r="205" customHeight="1" spans="2:4">
      <c r="B205" t="s">
        <v>195</v>
      </c>
      <c r="C205" t="s">
        <v>726</v>
      </c>
      <c r="D205">
        <v>0</v>
      </c>
    </row>
    <row r="206" customHeight="1" spans="2:4">
      <c r="B206" t="s">
        <v>727</v>
      </c>
      <c r="C206" t="s">
        <v>728</v>
      </c>
      <c r="D206">
        <v>0</v>
      </c>
    </row>
    <row r="207" customHeight="1" spans="2:4">
      <c r="B207" t="s">
        <v>729</v>
      </c>
      <c r="C207" t="s">
        <v>730</v>
      </c>
      <c r="D207">
        <v>0</v>
      </c>
    </row>
    <row r="208" customHeight="1" spans="2:4">
      <c r="B208" t="s">
        <v>203</v>
      </c>
      <c r="C208" t="s">
        <v>731</v>
      </c>
      <c r="D208">
        <v>0</v>
      </c>
    </row>
    <row r="209" customHeight="1" spans="2:4">
      <c r="B209" t="s">
        <v>732</v>
      </c>
      <c r="C209" t="s">
        <v>733</v>
      </c>
      <c r="D209">
        <v>0</v>
      </c>
    </row>
    <row r="210" customHeight="1" spans="2:4">
      <c r="B210" t="s">
        <v>734</v>
      </c>
      <c r="C210" t="s">
        <v>734</v>
      </c>
      <c r="D210">
        <v>0</v>
      </c>
    </row>
    <row r="211" customHeight="1" spans="2:4">
      <c r="B211" t="s">
        <v>735</v>
      </c>
      <c r="C211" t="s">
        <v>735</v>
      </c>
      <c r="D211">
        <v>0</v>
      </c>
    </row>
    <row r="212" customHeight="1" spans="2:4">
      <c r="B212" t="s">
        <v>736</v>
      </c>
      <c r="C212" t="s">
        <v>736</v>
      </c>
      <c r="D212">
        <v>0</v>
      </c>
    </row>
    <row r="213" customHeight="1" spans="2:4">
      <c r="B213" t="s">
        <v>737</v>
      </c>
      <c r="C213" t="s">
        <v>737</v>
      </c>
      <c r="D213">
        <v>0</v>
      </c>
    </row>
    <row r="214" customHeight="1" spans="2:4">
      <c r="B214" t="s">
        <v>732</v>
      </c>
      <c r="C214" t="s">
        <v>732</v>
      </c>
      <c r="D214">
        <v>0</v>
      </c>
    </row>
    <row r="215" customHeight="1" spans="2:16">
      <c r="B215" t="s">
        <v>738</v>
      </c>
      <c r="D215">
        <v>0</v>
      </c>
      <c r="E215">
        <v>0</v>
      </c>
      <c r="F215">
        <v>0</v>
      </c>
      <c r="G215">
        <v>0</v>
      </c>
      <c r="H215">
        <v>0</v>
      </c>
      <c r="I215">
        <v>0</v>
      </c>
      <c r="J215">
        <v>0</v>
      </c>
      <c r="K215">
        <v>0</v>
      </c>
      <c r="L215">
        <v>0</v>
      </c>
      <c r="M215">
        <v>0</v>
      </c>
      <c r="N215">
        <v>0</v>
      </c>
      <c r="O215">
        <v>0</v>
      </c>
      <c r="P215">
        <v>0</v>
      </c>
    </row>
    <row r="217" customHeight="1" spans="2:2">
      <c r="B217" t="s">
        <v>752</v>
      </c>
    </row>
    <row r="218" customHeight="1" spans="2:16">
      <c r="B218" t="s">
        <v>722</v>
      </c>
      <c r="C218" t="s">
        <v>723</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724</v>
      </c>
      <c r="C219" t="s">
        <v>725</v>
      </c>
      <c r="D219">
        <v>0</v>
      </c>
    </row>
    <row r="220" customHeight="1" spans="2:4">
      <c r="B220" t="s">
        <v>195</v>
      </c>
      <c r="C220" t="s">
        <v>726</v>
      </c>
      <c r="D220">
        <v>0</v>
      </c>
    </row>
    <row r="221" customHeight="1" spans="2:4">
      <c r="B221" t="s">
        <v>727</v>
      </c>
      <c r="C221" t="s">
        <v>728</v>
      </c>
      <c r="D221">
        <v>0</v>
      </c>
    </row>
    <row r="222" customHeight="1" spans="2:4">
      <c r="B222" t="s">
        <v>729</v>
      </c>
      <c r="C222" t="s">
        <v>730</v>
      </c>
      <c r="D222">
        <v>0</v>
      </c>
    </row>
    <row r="223" customHeight="1" spans="2:4">
      <c r="B223" t="s">
        <v>203</v>
      </c>
      <c r="C223" t="s">
        <v>731</v>
      </c>
      <c r="D223">
        <v>0</v>
      </c>
    </row>
    <row r="224" customHeight="1" spans="2:4">
      <c r="B224" t="s">
        <v>732</v>
      </c>
      <c r="C224" t="s">
        <v>733</v>
      </c>
      <c r="D224">
        <v>0</v>
      </c>
    </row>
    <row r="225" customHeight="1" spans="2:4">
      <c r="B225" t="s">
        <v>734</v>
      </c>
      <c r="C225" t="s">
        <v>734</v>
      </c>
      <c r="D225">
        <v>0</v>
      </c>
    </row>
    <row r="226" customHeight="1" spans="2:4">
      <c r="B226" t="s">
        <v>735</v>
      </c>
      <c r="C226" t="s">
        <v>735</v>
      </c>
      <c r="D226">
        <v>0</v>
      </c>
    </row>
    <row r="227" customHeight="1" spans="2:4">
      <c r="B227" t="s">
        <v>736</v>
      </c>
      <c r="C227" t="s">
        <v>736</v>
      </c>
      <c r="D227">
        <v>0</v>
      </c>
    </row>
    <row r="228" customHeight="1" spans="2:4">
      <c r="B228" t="s">
        <v>737</v>
      </c>
      <c r="C228" t="s">
        <v>737</v>
      </c>
      <c r="D228">
        <v>0</v>
      </c>
    </row>
    <row r="229" customHeight="1" spans="2:4">
      <c r="B229" t="s">
        <v>732</v>
      </c>
      <c r="C229" t="s">
        <v>732</v>
      </c>
      <c r="D229">
        <v>0</v>
      </c>
    </row>
    <row r="230" customHeight="1" spans="2:16">
      <c r="B230" t="s">
        <v>738</v>
      </c>
      <c r="D230">
        <v>0</v>
      </c>
      <c r="E230">
        <v>0</v>
      </c>
      <c r="F230">
        <v>0</v>
      </c>
      <c r="G230">
        <v>0</v>
      </c>
      <c r="H230">
        <v>0</v>
      </c>
      <c r="I230">
        <v>0</v>
      </c>
      <c r="J230">
        <v>0</v>
      </c>
      <c r="K230">
        <v>0</v>
      </c>
      <c r="L230">
        <v>0</v>
      </c>
      <c r="M230">
        <v>0</v>
      </c>
      <c r="N230">
        <v>0</v>
      </c>
      <c r="O230">
        <v>0</v>
      </c>
      <c r="P230">
        <v>0</v>
      </c>
    </row>
    <row r="232" customHeight="1" spans="2:2">
      <c r="B232" t="s">
        <v>753</v>
      </c>
    </row>
    <row r="233" customHeight="1" spans="2:16">
      <c r="B233" t="s">
        <v>722</v>
      </c>
      <c r="C233" t="s">
        <v>723</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724</v>
      </c>
      <c r="C234" t="s">
        <v>725</v>
      </c>
      <c r="D234">
        <v>0</v>
      </c>
    </row>
    <row r="235" customHeight="1" spans="2:5">
      <c r="B235" t="s">
        <v>195</v>
      </c>
      <c r="C235" t="s">
        <v>726</v>
      </c>
      <c r="D235">
        <v>25000</v>
      </c>
      <c r="E235">
        <v>25000</v>
      </c>
    </row>
    <row r="236" customHeight="1" spans="2:4">
      <c r="B236" t="s">
        <v>727</v>
      </c>
      <c r="C236" t="s">
        <v>728</v>
      </c>
      <c r="D236">
        <v>0</v>
      </c>
    </row>
    <row r="237" customHeight="1" spans="2:4">
      <c r="B237" t="s">
        <v>729</v>
      </c>
      <c r="C237" t="s">
        <v>730</v>
      </c>
      <c r="D237">
        <v>0</v>
      </c>
    </row>
    <row r="238" customHeight="1" spans="2:4">
      <c r="B238" t="s">
        <v>203</v>
      </c>
      <c r="C238" t="s">
        <v>731</v>
      </c>
      <c r="D238">
        <v>0</v>
      </c>
    </row>
    <row r="239" customHeight="1" spans="2:4">
      <c r="B239" t="s">
        <v>732</v>
      </c>
      <c r="C239" t="s">
        <v>733</v>
      </c>
      <c r="D239">
        <v>0</v>
      </c>
    </row>
    <row r="240" customHeight="1" spans="2:4">
      <c r="B240" t="s">
        <v>734</v>
      </c>
      <c r="C240" t="s">
        <v>734</v>
      </c>
      <c r="D240">
        <v>0</v>
      </c>
    </row>
    <row r="241" customHeight="1" spans="2:4">
      <c r="B241" t="s">
        <v>735</v>
      </c>
      <c r="C241" t="s">
        <v>735</v>
      </c>
      <c r="D241">
        <v>0</v>
      </c>
    </row>
    <row r="242" customHeight="1" spans="2:4">
      <c r="B242" t="s">
        <v>736</v>
      </c>
      <c r="C242" t="s">
        <v>736</v>
      </c>
      <c r="D242">
        <v>0</v>
      </c>
    </row>
    <row r="243" customHeight="1" spans="2:4">
      <c r="B243" t="s">
        <v>737</v>
      </c>
      <c r="C243" t="s">
        <v>737</v>
      </c>
      <c r="D243">
        <v>0</v>
      </c>
    </row>
    <row r="244" customHeight="1" spans="2:4">
      <c r="B244" t="s">
        <v>732</v>
      </c>
      <c r="C244" t="s">
        <v>732</v>
      </c>
      <c r="D244">
        <v>0</v>
      </c>
    </row>
    <row r="245" customHeight="1" spans="2:16">
      <c r="B245" t="s">
        <v>738</v>
      </c>
      <c r="D245">
        <v>25000</v>
      </c>
      <c r="E245">
        <v>25000</v>
      </c>
      <c r="F245">
        <v>0</v>
      </c>
      <c r="G245">
        <v>0</v>
      </c>
      <c r="H245">
        <v>0</v>
      </c>
      <c r="I245">
        <v>0</v>
      </c>
      <c r="J245">
        <v>0</v>
      </c>
      <c r="K245">
        <v>0</v>
      </c>
      <c r="L245">
        <v>0</v>
      </c>
      <c r="M245">
        <v>0</v>
      </c>
      <c r="N245">
        <v>0</v>
      </c>
      <c r="O245">
        <v>0</v>
      </c>
      <c r="P245">
        <v>0</v>
      </c>
    </row>
    <row r="247" customHeight="1" spans="2:2">
      <c r="B247" t="s">
        <v>754</v>
      </c>
    </row>
    <row r="248" customHeight="1" spans="2:16">
      <c r="B248" t="s">
        <v>722</v>
      </c>
      <c r="C248" t="s">
        <v>723</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5">
      <c r="B249" t="s">
        <v>724</v>
      </c>
      <c r="C249" t="s">
        <v>725</v>
      </c>
      <c r="D249">
        <v>38800</v>
      </c>
      <c r="E249">
        <v>38800</v>
      </c>
    </row>
    <row r="250" customHeight="1" spans="2:4">
      <c r="B250" t="s">
        <v>195</v>
      </c>
      <c r="C250" t="s">
        <v>726</v>
      </c>
      <c r="D250">
        <v>0</v>
      </c>
    </row>
    <row r="251" customHeight="1" spans="2:4">
      <c r="B251" t="s">
        <v>727</v>
      </c>
      <c r="C251" t="s">
        <v>728</v>
      </c>
      <c r="D251">
        <v>0</v>
      </c>
    </row>
    <row r="252" customHeight="1" spans="2:4">
      <c r="B252" t="s">
        <v>729</v>
      </c>
      <c r="C252" t="s">
        <v>730</v>
      </c>
      <c r="D252">
        <v>0</v>
      </c>
    </row>
    <row r="253" customHeight="1" spans="2:4">
      <c r="B253" t="s">
        <v>203</v>
      </c>
      <c r="C253" t="s">
        <v>731</v>
      </c>
      <c r="D253">
        <v>0</v>
      </c>
    </row>
    <row r="254" customHeight="1" spans="2:4">
      <c r="B254" t="s">
        <v>732</v>
      </c>
      <c r="C254" t="s">
        <v>733</v>
      </c>
      <c r="D254">
        <v>0</v>
      </c>
    </row>
    <row r="255" customHeight="1" spans="2:4">
      <c r="B255" t="s">
        <v>734</v>
      </c>
      <c r="C255" t="s">
        <v>734</v>
      </c>
      <c r="D255">
        <v>0</v>
      </c>
    </row>
    <row r="256" customHeight="1" spans="2:4">
      <c r="B256" t="s">
        <v>735</v>
      </c>
      <c r="C256" t="s">
        <v>735</v>
      </c>
      <c r="D256">
        <v>0</v>
      </c>
    </row>
    <row r="257" customHeight="1" spans="2:4">
      <c r="B257" t="s">
        <v>736</v>
      </c>
      <c r="C257" t="s">
        <v>736</v>
      </c>
      <c r="D257">
        <v>0</v>
      </c>
    </row>
    <row r="258" customHeight="1" spans="2:4">
      <c r="B258" t="s">
        <v>737</v>
      </c>
      <c r="C258" t="s">
        <v>737</v>
      </c>
      <c r="D258">
        <v>0</v>
      </c>
    </row>
    <row r="259" customHeight="1" spans="2:4">
      <c r="B259" t="s">
        <v>732</v>
      </c>
      <c r="C259" t="s">
        <v>732</v>
      </c>
      <c r="D259">
        <v>0</v>
      </c>
    </row>
    <row r="260" customHeight="1" spans="2:16">
      <c r="B260" t="s">
        <v>738</v>
      </c>
      <c r="D260">
        <v>38800</v>
      </c>
      <c r="E260">
        <v>38800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workbookViewId="0">
      <pane xSplit="25576" topLeftCell="AO1" activePane="topLeft"/>
      <selection activeCell="AC84" sqref="AC84"/>
      <selection pane="topRight"/>
    </sheetView>
  </sheetViews>
  <sheetFormatPr defaultColWidth="8.75833333333333" defaultRowHeight="16.5"/>
  <cols>
    <col min="1" max="1" width="8.75833333333333" style="270"/>
    <col min="2" max="2" width="10.5" style="128" customWidth="1"/>
    <col min="3" max="3" width="12.875" style="130" customWidth="1"/>
    <col min="4" max="4" width="25.125" style="128" customWidth="1"/>
    <col min="5" max="6" width="32.875" style="128" customWidth="1"/>
    <col min="7" max="7" width="16.375" style="129" customWidth="1"/>
    <col min="8" max="8" width="16.875" style="271" customWidth="1"/>
    <col min="9" max="9" width="13.125" style="271" customWidth="1" outlineLevel="1"/>
    <col min="10" max="13" width="12.375" style="129" customWidth="1" outlineLevel="1"/>
    <col min="14" max="14" width="15.5" style="129" customWidth="1"/>
    <col min="15" max="26" width="7.125" style="129" customWidth="1" outlineLevel="1"/>
    <col min="27" max="27" width="11.2583333333333" style="129" customWidth="1"/>
    <col min="28" max="28" width="18" style="129" customWidth="1"/>
    <col min="29" max="29" width="17.625" style="129" customWidth="1" outlineLevel="1"/>
    <col min="30" max="31" width="13.5" style="129" customWidth="1" outlineLevel="2"/>
    <col min="32" max="32" width="13.5" style="129" customWidth="1" outlineLevel="1"/>
    <col min="33" max="34" width="13.5" style="129" customWidth="1" outlineLevel="2"/>
    <col min="35" max="35" width="13.5" style="129" customWidth="1" outlineLevel="1"/>
    <col min="36" max="37" width="13.5" style="129" customWidth="1" outlineLevel="2"/>
    <col min="38" max="38" width="13.5" style="129" customWidth="1" outlineLevel="1"/>
    <col min="39" max="40" width="13.5" style="129" customWidth="1" outlineLevel="2"/>
    <col min="41" max="41" width="13.5" style="129" customWidth="1" outlineLevel="1"/>
    <col min="42" max="43" width="13.5" style="129" customWidth="1" outlineLevel="2"/>
    <col min="44" max="44" width="13.5" style="129" customWidth="1" outlineLevel="1"/>
    <col min="45" max="46" width="13.5" style="129" customWidth="1" outlineLevel="2"/>
    <col min="47" max="47" width="13.5" style="129" customWidth="1" outlineLevel="1"/>
    <col min="48" max="49" width="13.5" style="129" customWidth="1" outlineLevel="2"/>
    <col min="50" max="50" width="13.5" style="129" customWidth="1" outlineLevel="1"/>
    <col min="51" max="52" width="13.5" style="129" customWidth="1" outlineLevel="2"/>
    <col min="53" max="53" width="13.5" style="129" customWidth="1" outlineLevel="1"/>
    <col min="54" max="55" width="13.5" style="129" customWidth="1" outlineLevel="2"/>
    <col min="56" max="56" width="13.5" style="129" customWidth="1" outlineLevel="1"/>
    <col min="57" max="58" width="13.5" style="129" customWidth="1" outlineLevel="2"/>
    <col min="59" max="59" width="13.5" style="129" customWidth="1" outlineLevel="1"/>
    <col min="60" max="61" width="13.5" style="129" customWidth="1" outlineLevel="2"/>
    <col min="62" max="62" width="13.5" style="129" customWidth="1" outlineLevel="1"/>
    <col min="63" max="63" width="13.5" style="129" customWidth="1" outlineLevel="2"/>
    <col min="64" max="64" width="13.5" style="272" customWidth="1" outlineLevel="2"/>
    <col min="65" max="65" width="4.625" style="273" customWidth="1"/>
    <col min="66" max="66" width="8.75833333333333" style="274"/>
    <col min="67" max="16384" width="8.75833333333333" style="270"/>
  </cols>
  <sheetData>
    <row r="1" s="266" customFormat="1" ht="23.1" customHeight="1" spans="1:66">
      <c r="A1" s="275" t="s">
        <v>755</v>
      </c>
      <c r="B1" s="276" t="s">
        <v>756</v>
      </c>
      <c r="C1" s="277" t="s">
        <v>757</v>
      </c>
      <c r="D1" s="277"/>
      <c r="E1" s="277"/>
      <c r="F1" s="277"/>
      <c r="G1" s="277"/>
      <c r="H1" s="278" t="s">
        <v>719</v>
      </c>
      <c r="I1" s="278"/>
      <c r="J1" s="278"/>
      <c r="K1" s="278"/>
      <c r="L1" s="278"/>
      <c r="M1" s="278"/>
      <c r="N1" s="278"/>
      <c r="O1" s="278" t="s">
        <v>758</v>
      </c>
      <c r="P1" s="278"/>
      <c r="Q1" s="278"/>
      <c r="R1" s="278"/>
      <c r="S1" s="278"/>
      <c r="T1" s="278"/>
      <c r="U1" s="278"/>
      <c r="V1" s="278"/>
      <c r="W1" s="278"/>
      <c r="X1" s="278"/>
      <c r="Y1" s="278"/>
      <c r="Z1" s="278"/>
      <c r="AA1" s="297"/>
      <c r="AB1" s="275" t="s">
        <v>719</v>
      </c>
      <c r="AC1" s="266" t="s">
        <v>719</v>
      </c>
      <c r="AF1" s="266" t="s">
        <v>719</v>
      </c>
      <c r="AI1" s="266" t="s">
        <v>719</v>
      </c>
      <c r="AL1" s="266" t="s">
        <v>719</v>
      </c>
      <c r="AO1" s="266" t="s">
        <v>719</v>
      </c>
      <c r="AR1" s="266" t="s">
        <v>719</v>
      </c>
      <c r="AU1" s="266" t="s">
        <v>719</v>
      </c>
      <c r="AX1" s="266" t="s">
        <v>719</v>
      </c>
      <c r="BA1" s="266" t="s">
        <v>719</v>
      </c>
      <c r="BD1" s="266" t="s">
        <v>719</v>
      </c>
      <c r="BG1" s="266" t="s">
        <v>719</v>
      </c>
      <c r="BJ1" s="266" t="s">
        <v>719</v>
      </c>
      <c r="BL1" s="302"/>
      <c r="BM1" s="314"/>
      <c r="BN1" s="306"/>
    </row>
    <row r="2" s="266" customFormat="1" ht="23.1" customHeight="1" spans="1:66">
      <c r="A2" s="279"/>
      <c r="B2" s="280"/>
      <c r="C2" s="277"/>
      <c r="D2" s="277"/>
      <c r="E2" s="277"/>
      <c r="F2" s="277"/>
      <c r="G2" s="277"/>
      <c r="H2" s="281"/>
      <c r="I2" s="281"/>
      <c r="J2" s="281"/>
      <c r="K2" s="281"/>
      <c r="L2" s="281"/>
      <c r="M2" s="281"/>
      <c r="N2" s="281"/>
      <c r="O2" s="281"/>
      <c r="P2" s="281"/>
      <c r="Q2" s="281"/>
      <c r="R2" s="281"/>
      <c r="S2" s="281"/>
      <c r="T2" s="281"/>
      <c r="U2" s="281"/>
      <c r="V2" s="281"/>
      <c r="W2" s="281"/>
      <c r="X2" s="281"/>
      <c r="Y2" s="281"/>
      <c r="Z2" s="281"/>
      <c r="AA2" s="297"/>
      <c r="AB2" s="298"/>
      <c r="AC2" s="299" t="s">
        <v>759</v>
      </c>
      <c r="AD2" s="300"/>
      <c r="AE2" s="301"/>
      <c r="AF2" s="302" t="s">
        <v>760</v>
      </c>
      <c r="AG2" s="305"/>
      <c r="AH2" s="306"/>
      <c r="AI2" s="302" t="s">
        <v>761</v>
      </c>
      <c r="AJ2" s="305"/>
      <c r="AK2" s="306"/>
      <c r="AL2" s="302" t="s">
        <v>762</v>
      </c>
      <c r="AM2" s="305" t="s">
        <v>762</v>
      </c>
      <c r="AN2" s="306" t="s">
        <v>762</v>
      </c>
      <c r="AO2" s="302" t="s">
        <v>763</v>
      </c>
      <c r="AP2" s="305" t="s">
        <v>763</v>
      </c>
      <c r="AQ2" s="306" t="s">
        <v>763</v>
      </c>
      <c r="AR2" s="302" t="s">
        <v>764</v>
      </c>
      <c r="AS2" s="305" t="s">
        <v>764</v>
      </c>
      <c r="AT2" s="306" t="s">
        <v>764</v>
      </c>
      <c r="AU2" s="302" t="s">
        <v>765</v>
      </c>
      <c r="AV2" s="305" t="s">
        <v>765</v>
      </c>
      <c r="AW2" s="306" t="s">
        <v>765</v>
      </c>
      <c r="AX2" s="302" t="s">
        <v>766</v>
      </c>
      <c r="AY2" s="305" t="s">
        <v>766</v>
      </c>
      <c r="AZ2" s="306" t="s">
        <v>766</v>
      </c>
      <c r="BA2" s="302" t="s">
        <v>767</v>
      </c>
      <c r="BB2" s="305" t="s">
        <v>767</v>
      </c>
      <c r="BC2" s="306" t="s">
        <v>767</v>
      </c>
      <c r="BD2" s="302" t="s">
        <v>768</v>
      </c>
      <c r="BE2" s="305" t="s">
        <v>768</v>
      </c>
      <c r="BF2" s="306" t="s">
        <v>768</v>
      </c>
      <c r="BG2" s="302" t="s">
        <v>769</v>
      </c>
      <c r="BH2" s="305" t="s">
        <v>769</v>
      </c>
      <c r="BI2" s="306" t="s">
        <v>769</v>
      </c>
      <c r="BJ2" s="302" t="s">
        <v>770</v>
      </c>
      <c r="BK2" s="305" t="s">
        <v>770</v>
      </c>
      <c r="BL2" s="305" t="s">
        <v>770</v>
      </c>
      <c r="BM2" s="314"/>
      <c r="BN2" s="306"/>
    </row>
    <row r="3" s="267" customFormat="1" ht="53.1" customHeight="1" spans="1:66">
      <c r="A3" s="282"/>
      <c r="B3" s="283"/>
      <c r="C3" s="284" t="s">
        <v>771</v>
      </c>
      <c r="D3" s="285" t="s">
        <v>3</v>
      </c>
      <c r="E3" s="285" t="s">
        <v>772</v>
      </c>
      <c r="F3" s="285" t="s">
        <v>773</v>
      </c>
      <c r="G3" s="285" t="s">
        <v>774</v>
      </c>
      <c r="H3" s="267" t="s">
        <v>775</v>
      </c>
      <c r="I3" s="267" t="s">
        <v>776</v>
      </c>
      <c r="J3" s="267" t="s">
        <v>777</v>
      </c>
      <c r="K3" s="267" t="s">
        <v>778</v>
      </c>
      <c r="L3" s="267" t="s">
        <v>779</v>
      </c>
      <c r="M3" s="267" t="s">
        <v>780</v>
      </c>
      <c r="N3" s="267" t="s">
        <v>781</v>
      </c>
      <c r="O3" s="290" t="s">
        <v>759</v>
      </c>
      <c r="P3" s="290" t="s">
        <v>760</v>
      </c>
      <c r="Q3" s="290" t="s">
        <v>761</v>
      </c>
      <c r="R3" s="290" t="s">
        <v>762</v>
      </c>
      <c r="S3" s="290" t="s">
        <v>763</v>
      </c>
      <c r="T3" s="290" t="s">
        <v>764</v>
      </c>
      <c r="U3" s="290" t="s">
        <v>765</v>
      </c>
      <c r="V3" s="290" t="s">
        <v>766</v>
      </c>
      <c r="W3" s="290" t="s">
        <v>767</v>
      </c>
      <c r="X3" s="290" t="s">
        <v>768</v>
      </c>
      <c r="Y3" s="290" t="s">
        <v>769</v>
      </c>
      <c r="Z3" s="290" t="s">
        <v>770</v>
      </c>
      <c r="AA3" s="303" t="s">
        <v>782</v>
      </c>
      <c r="AB3" s="267" t="s">
        <v>783</v>
      </c>
      <c r="AC3" s="267" t="s">
        <v>784</v>
      </c>
      <c r="AD3" s="267" t="s">
        <v>785</v>
      </c>
      <c r="AE3" s="267" t="s">
        <v>786</v>
      </c>
      <c r="AF3" s="267" t="s">
        <v>784</v>
      </c>
      <c r="AG3" s="267" t="s">
        <v>785</v>
      </c>
      <c r="AH3" s="267" t="s">
        <v>786</v>
      </c>
      <c r="AI3" s="267" t="s">
        <v>784</v>
      </c>
      <c r="AJ3" s="267" t="s">
        <v>785</v>
      </c>
      <c r="AK3" s="267" t="s">
        <v>786</v>
      </c>
      <c r="AL3" s="267" t="s">
        <v>784</v>
      </c>
      <c r="AM3" s="267" t="s">
        <v>785</v>
      </c>
      <c r="AN3" s="267" t="s">
        <v>786</v>
      </c>
      <c r="AO3" s="267" t="s">
        <v>784</v>
      </c>
      <c r="AP3" s="267" t="s">
        <v>785</v>
      </c>
      <c r="AQ3" s="267" t="s">
        <v>786</v>
      </c>
      <c r="AR3" s="267" t="s">
        <v>784</v>
      </c>
      <c r="AS3" s="267" t="s">
        <v>785</v>
      </c>
      <c r="AT3" s="267" t="s">
        <v>786</v>
      </c>
      <c r="AU3" s="267" t="s">
        <v>784</v>
      </c>
      <c r="AV3" s="267" t="s">
        <v>785</v>
      </c>
      <c r="AW3" s="267" t="s">
        <v>786</v>
      </c>
      <c r="AX3" s="267" t="s">
        <v>784</v>
      </c>
      <c r="AY3" s="267" t="s">
        <v>785</v>
      </c>
      <c r="AZ3" s="267" t="s">
        <v>786</v>
      </c>
      <c r="BA3" s="267" t="s">
        <v>784</v>
      </c>
      <c r="BB3" s="267" t="s">
        <v>785</v>
      </c>
      <c r="BC3" s="267" t="s">
        <v>786</v>
      </c>
      <c r="BD3" s="267" t="s">
        <v>784</v>
      </c>
      <c r="BE3" s="267" t="s">
        <v>785</v>
      </c>
      <c r="BF3" s="267" t="s">
        <v>786</v>
      </c>
      <c r="BG3" s="267" t="s">
        <v>784</v>
      </c>
      <c r="BH3" s="267" t="s">
        <v>785</v>
      </c>
      <c r="BI3" s="267" t="s">
        <v>786</v>
      </c>
      <c r="BJ3" s="267" t="s">
        <v>784</v>
      </c>
      <c r="BK3" s="267" t="s">
        <v>785</v>
      </c>
      <c r="BL3" s="307" t="s">
        <v>786</v>
      </c>
      <c r="BM3" s="315"/>
      <c r="BN3" s="316"/>
    </row>
    <row r="4" s="268" customFormat="1" ht="33.95" customHeight="1" spans="2:66">
      <c r="B4" s="286" t="s">
        <v>787</v>
      </c>
      <c r="C4" s="287">
        <v>1</v>
      </c>
      <c r="D4" s="268" t="s">
        <v>788</v>
      </c>
      <c r="E4" s="268" t="s">
        <v>789</v>
      </c>
      <c r="G4" s="288"/>
      <c r="H4" s="268">
        <f>H5+H381+H582+H652+H658+H668</f>
        <v>29063623.6364696</v>
      </c>
      <c r="P4" s="291"/>
      <c r="Q4" s="291"/>
      <c r="R4" s="291"/>
      <c r="S4" s="291"/>
      <c r="T4" s="291"/>
      <c r="U4" s="291"/>
      <c r="V4" s="291"/>
      <c r="W4" s="291"/>
      <c r="X4" s="291"/>
      <c r="Y4" s="291"/>
      <c r="Z4" s="291"/>
      <c r="AA4" s="291"/>
      <c r="AB4" s="268">
        <f t="shared" ref="AB4:AF4" si="0">AB5+AB381+AB582+AB652+AB658+AB668</f>
        <v>28963623.6364696</v>
      </c>
      <c r="AC4" s="268">
        <f t="shared" si="0"/>
        <v>6144639.50971389</v>
      </c>
      <c r="AF4" s="268">
        <f t="shared" si="0"/>
        <v>2074453.10243234</v>
      </c>
      <c r="AI4" s="268">
        <f>AI5+AI381+AI582+AI652+AI658+AI668</f>
        <v>2074453.10243234</v>
      </c>
      <c r="AL4" s="268">
        <f>AL5+AL381+AL582+AL652+AL658+AL668</f>
        <v>2074453.10243234</v>
      </c>
      <c r="AO4" s="268">
        <f>AO5+AO381+AO582+AO652+AO658+AO668</f>
        <v>2074453.10243234</v>
      </c>
      <c r="AR4" s="268">
        <f>AR5+AR381+AR582+AR652+AR658+AR668</f>
        <v>2074453.10243234</v>
      </c>
      <c r="AU4" s="268">
        <f>AU5+AU381+AU582+AU652+AU658+AU668</f>
        <v>2074453.10243234</v>
      </c>
      <c r="AX4" s="268">
        <f>AX5+AX381+AX582+AX652+AX658+AX668</f>
        <v>2074453.10243234</v>
      </c>
      <c r="BA4" s="268">
        <f>BA5+BA381+BA582+BA652+BA658+BA668</f>
        <v>2074453.10243234</v>
      </c>
      <c r="BD4" s="268">
        <f>BD5+BD381+BD582+BD652+BD658+BD668</f>
        <v>2074453.10243234</v>
      </c>
      <c r="BG4" s="268">
        <f>BG5+BG381+BG582+BG652+BG658+BG668</f>
        <v>2074453.10243234</v>
      </c>
      <c r="BJ4" s="268">
        <f>BJ5+BJ381+BJ582+BJ652+BJ658+BJ668</f>
        <v>2074453.10243234</v>
      </c>
      <c r="BL4" s="308"/>
      <c r="BM4" s="314"/>
      <c r="BN4" s="291"/>
    </row>
    <row r="5" s="114" customFormat="1" ht="33.95" customHeight="1" outlineLevel="1" spans="2:66">
      <c r="B5" s="115" t="s">
        <v>787</v>
      </c>
      <c r="C5" s="116">
        <v>1.1</v>
      </c>
      <c r="D5" s="114" t="s">
        <v>214</v>
      </c>
      <c r="E5" s="115"/>
      <c r="F5" s="115"/>
      <c r="H5" s="114">
        <f>H6+H208+H308</f>
        <v>24892714.8530734</v>
      </c>
      <c r="P5" s="292"/>
      <c r="Q5" s="292"/>
      <c r="R5" s="292"/>
      <c r="S5" s="292"/>
      <c r="T5" s="292"/>
      <c r="U5" s="292"/>
      <c r="V5" s="292"/>
      <c r="W5" s="292"/>
      <c r="X5" s="292"/>
      <c r="Y5" s="292"/>
      <c r="Z5" s="292"/>
      <c r="AA5" s="292"/>
      <c r="AB5" s="114">
        <f t="shared" ref="AB5:AF5" si="1">AB6+AB208+AB308</f>
        <v>24892714.8530734</v>
      </c>
      <c r="AC5" s="114">
        <f t="shared" si="1"/>
        <v>2900522.20326735</v>
      </c>
      <c r="AF5" s="114">
        <f t="shared" si="1"/>
        <v>1999290.24089146</v>
      </c>
      <c r="AI5" s="114">
        <f>AI6+AI208+AI308</f>
        <v>1999290.24089146</v>
      </c>
      <c r="AL5" s="114">
        <f>AL6+AL208+AL308</f>
        <v>1999290.24089146</v>
      </c>
      <c r="AO5" s="114">
        <f>AO6+AO208+AO308</f>
        <v>1999290.24089146</v>
      </c>
      <c r="AR5" s="114">
        <f>AR6+AR208+AR308</f>
        <v>1999290.24089146</v>
      </c>
      <c r="AU5" s="114">
        <f>AU6+AU208+AU308</f>
        <v>1999290.24089146</v>
      </c>
      <c r="AX5" s="114">
        <f>AX6+AX208+AX308</f>
        <v>1999290.24089146</v>
      </c>
      <c r="BA5" s="114">
        <f>BA6+BA208+BA308</f>
        <v>1999290.24089146</v>
      </c>
      <c r="BD5" s="114">
        <f>BD6+BD208+BD308</f>
        <v>1999290.24089146</v>
      </c>
      <c r="BG5" s="114">
        <f>BG6+BG208+BG308</f>
        <v>1999290.24089146</v>
      </c>
      <c r="BJ5" s="114">
        <f>BJ6+BJ208+BJ308</f>
        <v>1999290.24089146</v>
      </c>
      <c r="BL5" s="309"/>
      <c r="BM5" s="317"/>
      <c r="BN5" s="292"/>
    </row>
    <row r="6" s="14" customFormat="1" ht="33.95" customHeight="1" outlineLevel="2" spans="2:66">
      <c r="B6" s="118" t="s">
        <v>787</v>
      </c>
      <c r="C6" s="119" t="s">
        <v>218</v>
      </c>
      <c r="D6" s="14" t="s">
        <v>219</v>
      </c>
      <c r="E6" s="118"/>
      <c r="F6" s="118"/>
      <c r="G6" s="118"/>
      <c r="H6" s="118">
        <f>H7+H29+H57+H111+H143+H159+H176+H189</f>
        <v>24424880.1901315</v>
      </c>
      <c r="I6" s="118"/>
      <c r="J6" s="118"/>
      <c r="K6" s="118"/>
      <c r="L6" s="118"/>
      <c r="M6" s="118"/>
      <c r="N6" s="118"/>
      <c r="O6" s="118"/>
      <c r="P6" s="293"/>
      <c r="Q6" s="293"/>
      <c r="R6" s="293"/>
      <c r="S6" s="293"/>
      <c r="T6" s="293"/>
      <c r="U6" s="293"/>
      <c r="V6" s="293"/>
      <c r="W6" s="293"/>
      <c r="X6" s="293"/>
      <c r="Y6" s="293"/>
      <c r="Z6" s="293"/>
      <c r="AA6" s="293"/>
      <c r="AB6" s="118">
        <f t="shared" ref="AB6:AF6" si="2">AB7+AB29+AB57+AB111+AB143+AB159+AB176+AB189</f>
        <v>24424880.1901315</v>
      </c>
      <c r="AC6" s="118">
        <f t="shared" si="2"/>
        <v>2714501.57334429</v>
      </c>
      <c r="AD6" s="118"/>
      <c r="AE6" s="118"/>
      <c r="AF6" s="118">
        <f t="shared" si="2"/>
        <v>1973670.78334429</v>
      </c>
      <c r="AG6" s="118"/>
      <c r="AH6" s="118"/>
      <c r="AI6" s="118">
        <f>AI7+AI29+AI57+AI111+AI143+AI159+AI176+AI189</f>
        <v>1973670.78334429</v>
      </c>
      <c r="AJ6" s="118"/>
      <c r="AK6" s="118"/>
      <c r="AL6" s="118">
        <f>AL7+AL29+AL57+AL111+AL143+AL159+AL176+AL189</f>
        <v>1973670.78334429</v>
      </c>
      <c r="AM6" s="118"/>
      <c r="AN6" s="118"/>
      <c r="AO6" s="118">
        <f>AO7+AO29+AO57+AO111+AO143+AO159+AO176+AO189</f>
        <v>1973670.78334429</v>
      </c>
      <c r="AP6" s="118"/>
      <c r="AQ6" s="118"/>
      <c r="AR6" s="118">
        <f>AR7+AR29+AR57+AR111+AR143+AR159+AR176+AR189</f>
        <v>1973670.78334429</v>
      </c>
      <c r="AS6" s="118"/>
      <c r="AT6" s="118"/>
      <c r="AU6" s="118">
        <f>AU7+AU29+AU57+AU111+AU143+AU159+AU176+AU189</f>
        <v>1973670.78334429</v>
      </c>
      <c r="AV6" s="118"/>
      <c r="AW6" s="118"/>
      <c r="AX6" s="118">
        <f>AX7+AX29+AX57+AX111+AX143+AX159+AX176+AX189</f>
        <v>1973670.78334429</v>
      </c>
      <c r="AY6" s="118"/>
      <c r="AZ6" s="118"/>
      <c r="BA6" s="118">
        <f>BA7+BA29+BA57+BA111+BA143+BA159+BA176+BA189</f>
        <v>1973670.78334429</v>
      </c>
      <c r="BB6" s="118"/>
      <c r="BC6" s="118"/>
      <c r="BD6" s="118">
        <f>BD7+BD29+BD57+BD111+BD143+BD159+BD176+BD189</f>
        <v>1973670.78334429</v>
      </c>
      <c r="BE6" s="118"/>
      <c r="BF6" s="118"/>
      <c r="BG6" s="118">
        <f>BG7+BG29+BG57+BG111+BG143+BG159+BG176+BG189</f>
        <v>1973670.78334429</v>
      </c>
      <c r="BH6" s="118"/>
      <c r="BI6" s="118"/>
      <c r="BJ6" s="118">
        <f>BJ7+BJ29+BJ57+BJ111+BJ143+BJ159+BJ176+BJ189</f>
        <v>1973670.78334429</v>
      </c>
      <c r="BK6" s="118"/>
      <c r="BL6" s="310"/>
      <c r="BM6" s="317"/>
      <c r="BN6" s="318"/>
    </row>
    <row r="7" s="43" customFormat="1" ht="33.95" customHeight="1" outlineLevel="3" collapsed="1" spans="2:66">
      <c r="B7" s="121" t="s">
        <v>787</v>
      </c>
      <c r="C7" s="122" t="s">
        <v>790</v>
      </c>
      <c r="D7" s="43" t="s">
        <v>791</v>
      </c>
      <c r="E7" s="121"/>
      <c r="F7" s="121"/>
      <c r="G7" s="121"/>
      <c r="H7" s="121">
        <f>H8+H15+H22</f>
        <v>14260511.5857918</v>
      </c>
      <c r="I7" s="121"/>
      <c r="J7" s="121"/>
      <c r="K7" s="121"/>
      <c r="L7" s="121"/>
      <c r="M7" s="121"/>
      <c r="N7" s="121"/>
      <c r="O7" s="121"/>
      <c r="P7" s="294"/>
      <c r="Q7" s="294"/>
      <c r="R7" s="294"/>
      <c r="S7" s="294"/>
      <c r="T7" s="294"/>
      <c r="U7" s="294"/>
      <c r="V7" s="294"/>
      <c r="W7" s="294"/>
      <c r="X7" s="294"/>
      <c r="Y7" s="294"/>
      <c r="Z7" s="294"/>
      <c r="AA7" s="294"/>
      <c r="AB7" s="121">
        <f t="shared" ref="AB7:AF7" si="3">AB8+AB15+AB22</f>
        <v>14260511.5857918</v>
      </c>
      <c r="AC7" s="121">
        <f t="shared" si="3"/>
        <v>1188375.96548265</v>
      </c>
      <c r="AD7" s="121"/>
      <c r="AE7" s="121"/>
      <c r="AF7" s="121">
        <f t="shared" si="3"/>
        <v>1188375.96548265</v>
      </c>
      <c r="AG7" s="121"/>
      <c r="AH7" s="121"/>
      <c r="AI7" s="121">
        <f>AI8+AI15+AI22</f>
        <v>1188375.96548265</v>
      </c>
      <c r="AJ7" s="121"/>
      <c r="AK7" s="121"/>
      <c r="AL7" s="121">
        <f>AL8+AL15+AL22</f>
        <v>1188375.96548265</v>
      </c>
      <c r="AM7" s="121"/>
      <c r="AN7" s="121"/>
      <c r="AO7" s="121">
        <f>AO8+AO15+AO22</f>
        <v>1188375.96548265</v>
      </c>
      <c r="AP7" s="121"/>
      <c r="AQ7" s="121"/>
      <c r="AR7" s="121">
        <f>AR8+AR15+AR22</f>
        <v>1188375.96548265</v>
      </c>
      <c r="AS7" s="121"/>
      <c r="AT7" s="121"/>
      <c r="AU7" s="121">
        <f>AU8+AU15+AU22</f>
        <v>1188375.96548265</v>
      </c>
      <c r="AV7" s="121"/>
      <c r="AW7" s="121"/>
      <c r="AX7" s="121">
        <f>AX8+AX15+AX22</f>
        <v>1188375.96548265</v>
      </c>
      <c r="AY7" s="121"/>
      <c r="AZ7" s="121"/>
      <c r="BA7" s="121">
        <f>BA8+BA15+BA22</f>
        <v>1188375.96548265</v>
      </c>
      <c r="BB7" s="121"/>
      <c r="BC7" s="121"/>
      <c r="BD7" s="121">
        <f>BD8+BD15+BD22</f>
        <v>1188375.96548265</v>
      </c>
      <c r="BE7" s="121"/>
      <c r="BF7" s="121"/>
      <c r="BG7" s="121">
        <f>BG8+BG15+BG22</f>
        <v>1188375.96548265</v>
      </c>
      <c r="BH7" s="121"/>
      <c r="BI7" s="121"/>
      <c r="BJ7" s="121">
        <f>BJ8+BJ15+BJ22</f>
        <v>1188375.96548265</v>
      </c>
      <c r="BK7" s="121"/>
      <c r="BL7" s="311"/>
      <c r="BM7" s="317"/>
      <c r="BN7" s="319"/>
    </row>
    <row r="8" s="124" customFormat="1" ht="33.95" hidden="1" customHeight="1" outlineLevel="4" spans="2:66">
      <c r="B8" s="125" t="s">
        <v>787</v>
      </c>
      <c r="C8" s="126" t="s">
        <v>108</v>
      </c>
      <c r="D8" s="124" t="s">
        <v>109</v>
      </c>
      <c r="E8" s="125"/>
      <c r="F8" s="125"/>
      <c r="G8" s="125"/>
      <c r="H8" s="125">
        <f>SUM(H9:H14)</f>
        <v>14260511.5857918</v>
      </c>
      <c r="I8" s="125"/>
      <c r="J8" s="125"/>
      <c r="K8" s="125"/>
      <c r="L8" s="125"/>
      <c r="M8" s="125"/>
      <c r="N8" s="125"/>
      <c r="O8" s="125"/>
      <c r="P8" s="295"/>
      <c r="Q8" s="295"/>
      <c r="R8" s="295"/>
      <c r="S8" s="295"/>
      <c r="T8" s="295"/>
      <c r="U8" s="295"/>
      <c r="V8" s="295"/>
      <c r="W8" s="295"/>
      <c r="X8" s="295"/>
      <c r="Y8" s="295"/>
      <c r="Z8" s="295"/>
      <c r="AA8" s="295"/>
      <c r="AB8" s="125">
        <f>SUM(AB9:AB14)</f>
        <v>14260511.5857918</v>
      </c>
      <c r="AC8" s="125">
        <f t="shared" ref="AC8:AF8" si="4">SUM(AC9:AC14)</f>
        <v>1188375.96548265</v>
      </c>
      <c r="AD8" s="125"/>
      <c r="AE8" s="125"/>
      <c r="AF8" s="125">
        <f t="shared" si="4"/>
        <v>1188375.96548265</v>
      </c>
      <c r="AG8" s="125"/>
      <c r="AH8" s="125"/>
      <c r="AI8" s="125">
        <f>SUM(AI9:AI14)</f>
        <v>1188375.96548265</v>
      </c>
      <c r="AJ8" s="125"/>
      <c r="AK8" s="125"/>
      <c r="AL8" s="125">
        <f>SUM(AL9:AL14)</f>
        <v>1188375.96548265</v>
      </c>
      <c r="AM8" s="125"/>
      <c r="AN8" s="125"/>
      <c r="AO8" s="125">
        <f>SUM(AO9:AO14)</f>
        <v>1188375.96548265</v>
      </c>
      <c r="AP8" s="125"/>
      <c r="AQ8" s="125"/>
      <c r="AR8" s="125">
        <f>SUM(AR9:AR14)</f>
        <v>1188375.96548265</v>
      </c>
      <c r="AS8" s="125"/>
      <c r="AT8" s="125"/>
      <c r="AU8" s="125">
        <f>SUM(AU9:AU14)</f>
        <v>1188375.96548265</v>
      </c>
      <c r="AV8" s="125"/>
      <c r="AW8" s="125"/>
      <c r="AX8" s="125">
        <f>SUM(AX9:AX14)</f>
        <v>1188375.96548265</v>
      </c>
      <c r="AY8" s="125"/>
      <c r="AZ8" s="125"/>
      <c r="BA8" s="125">
        <f>SUM(BA9:BA14)</f>
        <v>1188375.96548265</v>
      </c>
      <c r="BB8" s="125"/>
      <c r="BC8" s="125"/>
      <c r="BD8" s="125">
        <f>SUM(BD9:BD14)</f>
        <v>1188375.96548265</v>
      </c>
      <c r="BE8" s="125"/>
      <c r="BF8" s="125"/>
      <c r="BG8" s="125">
        <f>SUM(BG9:BG14)</f>
        <v>1188375.96548265</v>
      </c>
      <c r="BH8" s="125"/>
      <c r="BI8" s="125"/>
      <c r="BJ8" s="125">
        <f>SUM(BJ9:BJ14)</f>
        <v>1188375.96548265</v>
      </c>
      <c r="BK8" s="125"/>
      <c r="BL8" s="312"/>
      <c r="BM8" s="317"/>
      <c r="BN8" s="320"/>
    </row>
    <row r="9" s="269" customFormat="1" ht="33.95" hidden="1" customHeight="1" outlineLevel="5" spans="2:66">
      <c r="B9" s="181" t="s">
        <v>792</v>
      </c>
      <c r="C9" s="289" t="s">
        <v>793</v>
      </c>
      <c r="D9" s="269" t="s">
        <v>794</v>
      </c>
      <c r="E9" s="181" t="s">
        <v>795</v>
      </c>
      <c r="F9" s="181"/>
      <c r="G9" s="181" t="s">
        <v>796</v>
      </c>
      <c r="H9" s="181">
        <f t="shared" ref="H9:H14" si="5">AB9</f>
        <v>14260511.5857918</v>
      </c>
      <c r="I9" s="181" t="s">
        <v>797</v>
      </c>
      <c r="J9" s="181">
        <f t="shared" ref="J9:J14" si="6">SUM(AD9,AG9,AJ9,AM9,AP9,AS9,AV9,AY9,BB9,BE9,BH9,BK9)/N9</f>
        <v>46</v>
      </c>
      <c r="K9" s="181" t="s">
        <v>798</v>
      </c>
      <c r="L9" s="181">
        <f t="shared" ref="L9:L14" si="7">H9/N9/J9</f>
        <v>25834.2601191881</v>
      </c>
      <c r="M9" s="181" t="s">
        <v>799</v>
      </c>
      <c r="N9" s="181">
        <f t="shared" ref="N9:N14" si="8">COUNTIF(AD9,"&gt;0")+COUNTIF(AG9,"&gt;0")+COUNTIF(AJ9,"&gt;0")+COUNTIF(AM9,"&gt;0")+COUNTIF(AP9,"&gt;0")+COUNTIF(AS9,"&gt;0")+COUNTIF(AV9,"&gt;0")+COUNTIF(AY9,"&gt;0")+COUNTIF(BB9,"&gt;0")+COUNTIF(BE9,"&gt;0")+COUNTIF(BH9,"&gt;0")+COUNTIF(BK9,"&gt;0")</f>
        <v>12</v>
      </c>
      <c r="O9" s="181"/>
      <c r="P9" s="296"/>
      <c r="Q9" s="296"/>
      <c r="R9" s="296"/>
      <c r="S9" s="296"/>
      <c r="T9" s="296"/>
      <c r="U9" s="296"/>
      <c r="V9" s="296"/>
      <c r="W9" s="296"/>
      <c r="X9" s="296"/>
      <c r="Y9" s="296"/>
      <c r="Z9" s="296"/>
      <c r="AA9" s="296"/>
      <c r="AB9" s="181">
        <f>SUM(AC9,AF9,AI9,AL9,AO9,AR9,AU9,AX9,BA9,BD9,BG9,BJ9)</f>
        <v>14260511.5857918</v>
      </c>
      <c r="AC9" s="181">
        <f>AD9*AE9</f>
        <v>1188375.96548265</v>
      </c>
      <c r="AD9" s="181">
        <f>'1-2 人员岗位信息'!F11</f>
        <v>46</v>
      </c>
      <c r="AE9" s="304">
        <f>IFERROR(自有人工预算!E26/AD9,0)</f>
        <v>25834.2601191881</v>
      </c>
      <c r="AF9" s="181">
        <f t="shared" ref="AF9:AF14" si="9">AG9*AH9</f>
        <v>1188375.96548265</v>
      </c>
      <c r="AG9" s="181">
        <f>SUMIFS('1-2 人员岗位信息'!G:G,'1-2 人员岗位信息'!$C:$C,"自有人员",'1-2 人员岗位信息'!$B:$B,$D9)</f>
        <v>46</v>
      </c>
      <c r="AH9" s="304">
        <f>IFERROR(自有人工预算!F26/AG9,0)</f>
        <v>25834.2601191881</v>
      </c>
      <c r="AI9" s="181">
        <f t="shared" ref="AI9:AI14" si="10">AJ9*AK9</f>
        <v>1188375.96548265</v>
      </c>
      <c r="AJ9" s="181">
        <f>SUMIFS('1-2 人员岗位信息'!H:H,'1-2 人员岗位信息'!$C:$C,"自有人员",'1-2 人员岗位信息'!$B:$B,$D9)</f>
        <v>46</v>
      </c>
      <c r="AK9" s="304">
        <f>IFERROR(自有人工预算!G26/AJ9,0)</f>
        <v>25834.2601191881</v>
      </c>
      <c r="AL9" s="181">
        <f>AM9*AN9</f>
        <v>1188375.96548265</v>
      </c>
      <c r="AM9" s="181">
        <f>SUMIFS('1-2 人员岗位信息'!I:I,'1-2 人员岗位信息'!$C:$C,"自有人员",'1-2 人员岗位信息'!$B:$B,$D9)</f>
        <v>46</v>
      </c>
      <c r="AN9" s="304">
        <f>IFERROR(自有人工预算!H26/AM9,0)</f>
        <v>25834.2601191881</v>
      </c>
      <c r="AO9" s="181">
        <f t="shared" ref="AO9:AO14" si="11">AP9*AQ9</f>
        <v>1188375.96548265</v>
      </c>
      <c r="AP9" s="181">
        <f>SUMIFS('1-2 人员岗位信息'!J:J,'1-2 人员岗位信息'!$C:$C,"自有人员",'1-2 人员岗位信息'!$B:$B,$D9)</f>
        <v>46</v>
      </c>
      <c r="AQ9" s="304">
        <f>IFERROR(自有人工预算!I26/AP9,0)</f>
        <v>25834.2601191881</v>
      </c>
      <c r="AR9" s="181">
        <f>AS9*AT9</f>
        <v>1188375.96548265</v>
      </c>
      <c r="AS9" s="181">
        <f>SUMIFS('1-2 人员岗位信息'!K:K,'1-2 人员岗位信息'!$C:$C,"自有人员",'1-2 人员岗位信息'!$B:$B,$D9)</f>
        <v>46</v>
      </c>
      <c r="AT9" s="304">
        <f>IFERROR(自有人工预算!J26/AS9,0)</f>
        <v>25834.2601191881</v>
      </c>
      <c r="AU9" s="181">
        <f t="shared" ref="AU9:AU14" si="12">AV9*AW9</f>
        <v>1188375.96548265</v>
      </c>
      <c r="AV9" s="181">
        <f>SUMIFS('1-2 人员岗位信息'!L:L,'1-2 人员岗位信息'!$C:$C,"自有人员",'1-2 人员岗位信息'!$B:$B,$D9)</f>
        <v>46</v>
      </c>
      <c r="AW9" s="304">
        <f>IFERROR(自有人工预算!K26/AV9,0)</f>
        <v>25834.2601191881</v>
      </c>
      <c r="AX9" s="181">
        <f t="shared" ref="AX9:AX14" si="13">AY9*AZ9</f>
        <v>1188375.96548265</v>
      </c>
      <c r="AY9" s="181">
        <f>SUMIFS('1-2 人员岗位信息'!M:M,'1-2 人员岗位信息'!$C:$C,"自有人员",'1-2 人员岗位信息'!$B:$B,$D9)</f>
        <v>46</v>
      </c>
      <c r="AZ9" s="304">
        <f>IFERROR(自有人工预算!L26/AY9,0)</f>
        <v>25834.2601191881</v>
      </c>
      <c r="BA9" s="181">
        <f t="shared" ref="BA9:BA14" si="14">BB9*BC9</f>
        <v>1188375.96548265</v>
      </c>
      <c r="BB9" s="181">
        <f>SUMIFS('1-2 人员岗位信息'!N:N,'1-2 人员岗位信息'!$C:$C,"自有人员",'1-2 人员岗位信息'!$B:$B,$D9)</f>
        <v>46</v>
      </c>
      <c r="BC9" s="304">
        <f>IFERROR(自有人工预算!M26/BB9,0)</f>
        <v>25834.2601191881</v>
      </c>
      <c r="BD9" s="181">
        <f t="shared" ref="BD9:BD14" si="15">BE9*BF9</f>
        <v>1188375.96548265</v>
      </c>
      <c r="BE9" s="181">
        <f>SUMIFS('1-2 人员岗位信息'!O:O,'1-2 人员岗位信息'!$C:$C,"自有人员",'1-2 人员岗位信息'!$B:$B,$D9)</f>
        <v>46</v>
      </c>
      <c r="BF9" s="304">
        <f>IFERROR(自有人工预算!N26/BE9,0)</f>
        <v>25834.2601191881</v>
      </c>
      <c r="BG9" s="181">
        <f t="shared" ref="BG9:BG14" si="16">BH9*BI9</f>
        <v>1188375.96548265</v>
      </c>
      <c r="BH9" s="181">
        <f>SUMIFS('1-2 人员岗位信息'!P:P,'1-2 人员岗位信息'!$C:$C,"自有人员",'1-2 人员岗位信息'!$B:$B,$D9)</f>
        <v>46</v>
      </c>
      <c r="BI9" s="304">
        <f>IFERROR(自有人工预算!O26/BH9,0)</f>
        <v>25834.2601191881</v>
      </c>
      <c r="BJ9" s="181">
        <f t="shared" ref="BJ9:BJ14" si="17">BK9*BL9</f>
        <v>1188375.96548265</v>
      </c>
      <c r="BK9" s="181">
        <f>SUMIFS('1-2 人员岗位信息'!Q:Q,'1-2 人员岗位信息'!$C:$C,"自有人员",'1-2 人员岗位信息'!$B:$B,$D9)</f>
        <v>46</v>
      </c>
      <c r="BL9" s="304">
        <f>IFERROR(自有人工预算!P26/BK9,0)</f>
        <v>25834.2601191881</v>
      </c>
      <c r="BM9" s="317"/>
      <c r="BN9" s="321"/>
    </row>
    <row r="10" s="269" customFormat="1" ht="33.95" hidden="1" customHeight="1" outlineLevel="5" spans="2:66">
      <c r="B10" s="181" t="s">
        <v>792</v>
      </c>
      <c r="C10" s="289" t="s">
        <v>800</v>
      </c>
      <c r="D10" s="269" t="s">
        <v>801</v>
      </c>
      <c r="E10" s="181" t="s">
        <v>802</v>
      </c>
      <c r="F10" s="181"/>
      <c r="G10" s="181" t="s">
        <v>796</v>
      </c>
      <c r="H10" s="181">
        <f t="shared" si="5"/>
        <v>0</v>
      </c>
      <c r="I10" s="181" t="s">
        <v>797</v>
      </c>
      <c r="J10" s="181" t="e">
        <f t="shared" si="6"/>
        <v>#DIV/0!</v>
      </c>
      <c r="K10" s="181" t="s">
        <v>798</v>
      </c>
      <c r="L10" s="181" t="e">
        <f t="shared" si="7"/>
        <v>#DIV/0!</v>
      </c>
      <c r="M10" s="181" t="s">
        <v>799</v>
      </c>
      <c r="N10" s="181">
        <f t="shared" si="8"/>
        <v>0</v>
      </c>
      <c r="O10" s="181"/>
      <c r="P10" s="296"/>
      <c r="Q10" s="296"/>
      <c r="R10" s="296"/>
      <c r="S10" s="296"/>
      <c r="T10" s="296"/>
      <c r="U10" s="296"/>
      <c r="V10" s="296"/>
      <c r="W10" s="296"/>
      <c r="X10" s="296"/>
      <c r="Y10" s="296"/>
      <c r="Z10" s="296"/>
      <c r="AA10" s="296"/>
      <c r="AB10" s="181">
        <f t="shared" ref="AB10:AB14" si="18">SUM(AC10,AF10,AI10,AL10,AO10,AR10,AU10,AX10,BA10,BD10,BG10,BJ10)</f>
        <v>0</v>
      </c>
      <c r="AC10" s="181">
        <f t="shared" ref="AC10:AC14" si="19">AD10*AE10</f>
        <v>0</v>
      </c>
      <c r="AD10" s="181">
        <f>'1-2 人员岗位信息'!F15</f>
        <v>0</v>
      </c>
      <c r="AE10" s="304"/>
      <c r="AF10" s="181">
        <f t="shared" si="9"/>
        <v>0</v>
      </c>
      <c r="AG10" s="181">
        <f>SUMIFS('1-2 人员岗位信息'!G:G,'1-2 人员岗位信息'!$C:$C,"自有人员",'1-2 人员岗位信息'!$B:$B,$D10)</f>
        <v>0</v>
      </c>
      <c r="AH10" s="304"/>
      <c r="AI10" s="181">
        <f t="shared" si="10"/>
        <v>0</v>
      </c>
      <c r="AJ10" s="181">
        <f>SUMIFS('1-2 人员岗位信息'!H:H,'1-2 人员岗位信息'!$C:$C,"自有人员",'1-2 人员岗位信息'!$B:$B,$D10)</f>
        <v>0</v>
      </c>
      <c r="AK10" s="304"/>
      <c r="AL10" s="181">
        <f t="shared" ref="AL10:AL14" si="20">AM10*AN10</f>
        <v>0</v>
      </c>
      <c r="AM10" s="181">
        <f>SUMIFS('1-2 人员岗位信息'!I:I,'1-2 人员岗位信息'!$C:$C,"自有人员",'1-2 人员岗位信息'!$B:$B,$D10)</f>
        <v>0</v>
      </c>
      <c r="AN10" s="304"/>
      <c r="AO10" s="181">
        <f t="shared" si="11"/>
        <v>0</v>
      </c>
      <c r="AP10" s="181">
        <f>SUMIFS('1-2 人员岗位信息'!J:J,'1-2 人员岗位信息'!$C:$C,"自有人员",'1-2 人员岗位信息'!$B:$B,$D10)</f>
        <v>0</v>
      </c>
      <c r="AQ10" s="304"/>
      <c r="AR10" s="181">
        <f t="shared" ref="AR10:AR14" si="21">AS10*AT10</f>
        <v>0</v>
      </c>
      <c r="AS10" s="181">
        <f>SUMIFS('1-2 人员岗位信息'!K:K,'1-2 人员岗位信息'!$C:$C,"自有人员",'1-2 人员岗位信息'!$B:$B,$D10)</f>
        <v>0</v>
      </c>
      <c r="AT10" s="304"/>
      <c r="AU10" s="181">
        <f t="shared" si="12"/>
        <v>0</v>
      </c>
      <c r="AV10" s="181">
        <f>SUMIFS('1-2 人员岗位信息'!L:L,'1-2 人员岗位信息'!$C:$C,"自有人员",'1-2 人员岗位信息'!$B:$B,$D10)</f>
        <v>0</v>
      </c>
      <c r="AW10" s="304"/>
      <c r="AX10" s="181">
        <f t="shared" si="13"/>
        <v>0</v>
      </c>
      <c r="AY10" s="181">
        <f>SUMIFS('1-2 人员岗位信息'!M:M,'1-2 人员岗位信息'!$C:$C,"自有人员",'1-2 人员岗位信息'!$B:$B,$D10)</f>
        <v>0</v>
      </c>
      <c r="AZ10" s="304"/>
      <c r="BA10" s="181">
        <f t="shared" si="14"/>
        <v>0</v>
      </c>
      <c r="BB10" s="181">
        <f>SUMIFS('1-2 人员岗位信息'!N:N,'1-2 人员岗位信息'!$C:$C,"自有人员",'1-2 人员岗位信息'!$B:$B,$D10)</f>
        <v>0</v>
      </c>
      <c r="BC10" s="304"/>
      <c r="BD10" s="181">
        <f t="shared" si="15"/>
        <v>0</v>
      </c>
      <c r="BE10" s="181">
        <f>SUMIFS('1-2 人员岗位信息'!O:O,'1-2 人员岗位信息'!$C:$C,"自有人员",'1-2 人员岗位信息'!$B:$B,$D10)</f>
        <v>0</v>
      </c>
      <c r="BF10" s="304"/>
      <c r="BG10" s="181">
        <f t="shared" si="16"/>
        <v>0</v>
      </c>
      <c r="BH10" s="181">
        <f>SUMIFS('1-2 人员岗位信息'!P:P,'1-2 人员岗位信息'!$C:$C,"自有人员",'1-2 人员岗位信息'!$B:$B,$D10)</f>
        <v>0</v>
      </c>
      <c r="BI10" s="304"/>
      <c r="BJ10" s="181">
        <f t="shared" si="17"/>
        <v>0</v>
      </c>
      <c r="BK10" s="181">
        <f>SUMIFS('1-2 人员岗位信息'!Q:Q,'1-2 人员岗位信息'!$C:$C,"自有人员",'1-2 人员岗位信息'!$B:$B,$D10)</f>
        <v>0</v>
      </c>
      <c r="BL10" s="313"/>
      <c r="BM10" s="317"/>
      <c r="BN10" s="321"/>
    </row>
    <row r="11" s="269" customFormat="1" ht="33.95" hidden="1" customHeight="1" outlineLevel="5" spans="2:66">
      <c r="B11" s="181" t="s">
        <v>792</v>
      </c>
      <c r="C11" s="289" t="s">
        <v>803</v>
      </c>
      <c r="D11" s="269" t="s">
        <v>804</v>
      </c>
      <c r="E11" s="181" t="s">
        <v>805</v>
      </c>
      <c r="F11" s="181"/>
      <c r="G11" s="181" t="s">
        <v>796</v>
      </c>
      <c r="H11" s="181">
        <f t="shared" si="5"/>
        <v>0</v>
      </c>
      <c r="I11" s="181" t="s">
        <v>797</v>
      </c>
      <c r="J11" s="181" t="e">
        <f t="shared" si="6"/>
        <v>#DIV/0!</v>
      </c>
      <c r="K11" s="181" t="s">
        <v>798</v>
      </c>
      <c r="L11" s="181" t="e">
        <f t="shared" si="7"/>
        <v>#DIV/0!</v>
      </c>
      <c r="M11" s="181" t="s">
        <v>799</v>
      </c>
      <c r="N11" s="181">
        <f t="shared" si="8"/>
        <v>0</v>
      </c>
      <c r="O11" s="181"/>
      <c r="P11" s="296"/>
      <c r="Q11" s="296"/>
      <c r="R11" s="296"/>
      <c r="S11" s="296"/>
      <c r="T11" s="296"/>
      <c r="U11" s="296"/>
      <c r="V11" s="296"/>
      <c r="W11" s="296"/>
      <c r="X11" s="296"/>
      <c r="Y11" s="296"/>
      <c r="Z11" s="296"/>
      <c r="AA11" s="296"/>
      <c r="AB11" s="181">
        <f t="shared" si="18"/>
        <v>0</v>
      </c>
      <c r="AC11" s="181">
        <f t="shared" si="19"/>
        <v>0</v>
      </c>
      <c r="AD11" s="181">
        <f>'1-2 人员岗位信息'!F19</f>
        <v>0</v>
      </c>
      <c r="AE11" s="304"/>
      <c r="AF11" s="181">
        <f t="shared" si="9"/>
        <v>0</v>
      </c>
      <c r="AG11" s="181">
        <f>SUMIFS('1-2 人员岗位信息'!G:G,'1-2 人员岗位信息'!$C:$C,"自有人员",'1-2 人员岗位信息'!$B:$B,$D11)</f>
        <v>0</v>
      </c>
      <c r="AH11" s="304"/>
      <c r="AI11" s="181">
        <f t="shared" si="10"/>
        <v>0</v>
      </c>
      <c r="AJ11" s="181">
        <f>SUMIFS('1-2 人员岗位信息'!H:H,'1-2 人员岗位信息'!$C:$C,"自有人员",'1-2 人员岗位信息'!$B:$B,$D11)</f>
        <v>0</v>
      </c>
      <c r="AK11" s="304"/>
      <c r="AL11" s="181">
        <f t="shared" si="20"/>
        <v>0</v>
      </c>
      <c r="AM11" s="181">
        <f>SUMIFS('1-2 人员岗位信息'!I:I,'1-2 人员岗位信息'!$C:$C,"自有人员",'1-2 人员岗位信息'!$B:$B,$D11)</f>
        <v>0</v>
      </c>
      <c r="AN11" s="304"/>
      <c r="AO11" s="181">
        <f t="shared" si="11"/>
        <v>0</v>
      </c>
      <c r="AP11" s="181">
        <f>SUMIFS('1-2 人员岗位信息'!J:J,'1-2 人员岗位信息'!$C:$C,"自有人员",'1-2 人员岗位信息'!$B:$B,$D11)</f>
        <v>0</v>
      </c>
      <c r="AQ11" s="304"/>
      <c r="AR11" s="181">
        <f t="shared" si="21"/>
        <v>0</v>
      </c>
      <c r="AS11" s="181">
        <f>SUMIFS('1-2 人员岗位信息'!K:K,'1-2 人员岗位信息'!$C:$C,"自有人员",'1-2 人员岗位信息'!$B:$B,$D11)</f>
        <v>0</v>
      </c>
      <c r="AT11" s="304"/>
      <c r="AU11" s="181">
        <f t="shared" si="12"/>
        <v>0</v>
      </c>
      <c r="AV11" s="181">
        <f>SUMIFS('1-2 人员岗位信息'!L:L,'1-2 人员岗位信息'!$C:$C,"自有人员",'1-2 人员岗位信息'!$B:$B,$D11)</f>
        <v>0</v>
      </c>
      <c r="AW11" s="304"/>
      <c r="AX11" s="181">
        <f t="shared" si="13"/>
        <v>0</v>
      </c>
      <c r="AY11" s="181">
        <f>SUMIFS('1-2 人员岗位信息'!M:M,'1-2 人员岗位信息'!$C:$C,"自有人员",'1-2 人员岗位信息'!$B:$B,$D11)</f>
        <v>0</v>
      </c>
      <c r="AZ11" s="304"/>
      <c r="BA11" s="181">
        <f t="shared" si="14"/>
        <v>0</v>
      </c>
      <c r="BB11" s="181">
        <f>SUMIFS('1-2 人员岗位信息'!N:N,'1-2 人员岗位信息'!$C:$C,"自有人员",'1-2 人员岗位信息'!$B:$B,$D11)</f>
        <v>0</v>
      </c>
      <c r="BC11" s="304"/>
      <c r="BD11" s="181">
        <f t="shared" si="15"/>
        <v>0</v>
      </c>
      <c r="BE11" s="181">
        <f>SUMIFS('1-2 人员岗位信息'!O:O,'1-2 人员岗位信息'!$C:$C,"自有人员",'1-2 人员岗位信息'!$B:$B,$D11)</f>
        <v>0</v>
      </c>
      <c r="BF11" s="304"/>
      <c r="BG11" s="181">
        <f t="shared" si="16"/>
        <v>0</v>
      </c>
      <c r="BH11" s="181">
        <f>SUMIFS('1-2 人员岗位信息'!P:P,'1-2 人员岗位信息'!$C:$C,"自有人员",'1-2 人员岗位信息'!$B:$B,$D11)</f>
        <v>0</v>
      </c>
      <c r="BI11" s="304"/>
      <c r="BJ11" s="181">
        <f t="shared" si="17"/>
        <v>0</v>
      </c>
      <c r="BK11" s="181">
        <f>SUMIFS('1-2 人员岗位信息'!Q:Q,'1-2 人员岗位信息'!$C:$C,"自有人员",'1-2 人员岗位信息'!$B:$B,$D11)</f>
        <v>0</v>
      </c>
      <c r="BL11" s="313"/>
      <c r="BM11" s="317"/>
      <c r="BN11" s="321"/>
    </row>
    <row r="12" s="269" customFormat="1" ht="33.95" hidden="1" customHeight="1" outlineLevel="5" spans="2:66">
      <c r="B12" s="181" t="s">
        <v>792</v>
      </c>
      <c r="C12" s="289" t="s">
        <v>806</v>
      </c>
      <c r="D12" s="269" t="s">
        <v>807</v>
      </c>
      <c r="E12" s="181" t="s">
        <v>808</v>
      </c>
      <c r="F12" s="181"/>
      <c r="G12" s="181" t="s">
        <v>796</v>
      </c>
      <c r="H12" s="181">
        <f t="shared" si="5"/>
        <v>0</v>
      </c>
      <c r="I12" s="181" t="s">
        <v>797</v>
      </c>
      <c r="J12" s="181" t="e">
        <f t="shared" si="6"/>
        <v>#DIV/0!</v>
      </c>
      <c r="K12" s="181" t="s">
        <v>798</v>
      </c>
      <c r="L12" s="181" t="e">
        <f t="shared" si="7"/>
        <v>#DIV/0!</v>
      </c>
      <c r="M12" s="181" t="s">
        <v>799</v>
      </c>
      <c r="N12" s="181">
        <f t="shared" si="8"/>
        <v>0</v>
      </c>
      <c r="O12" s="181"/>
      <c r="P12" s="296"/>
      <c r="Q12" s="296"/>
      <c r="R12" s="296"/>
      <c r="S12" s="296"/>
      <c r="T12" s="296"/>
      <c r="U12" s="296"/>
      <c r="V12" s="296"/>
      <c r="W12" s="296"/>
      <c r="X12" s="296"/>
      <c r="Y12" s="296"/>
      <c r="Z12" s="296"/>
      <c r="AA12" s="296"/>
      <c r="AB12" s="181">
        <f t="shared" si="18"/>
        <v>0</v>
      </c>
      <c r="AC12" s="181">
        <f t="shared" si="19"/>
        <v>0</v>
      </c>
      <c r="AD12" s="181">
        <f>'1-2 人员岗位信息'!F23</f>
        <v>0</v>
      </c>
      <c r="AE12" s="304"/>
      <c r="AF12" s="181">
        <f t="shared" si="9"/>
        <v>0</v>
      </c>
      <c r="AG12" s="181">
        <f>SUMIFS('1-2 人员岗位信息'!G:G,'1-2 人员岗位信息'!$C:$C,"自有人员",'1-2 人员岗位信息'!$B:$B,$D12)</f>
        <v>0</v>
      </c>
      <c r="AH12" s="304"/>
      <c r="AI12" s="181">
        <f t="shared" si="10"/>
        <v>0</v>
      </c>
      <c r="AJ12" s="181">
        <f>SUMIFS('1-2 人员岗位信息'!H:H,'1-2 人员岗位信息'!$C:$C,"自有人员",'1-2 人员岗位信息'!$B:$B,$D12)</f>
        <v>0</v>
      </c>
      <c r="AK12" s="304"/>
      <c r="AL12" s="181">
        <f t="shared" si="20"/>
        <v>0</v>
      </c>
      <c r="AM12" s="181">
        <f>SUMIFS('1-2 人员岗位信息'!I:I,'1-2 人员岗位信息'!$C:$C,"自有人员",'1-2 人员岗位信息'!$B:$B,$D12)</f>
        <v>0</v>
      </c>
      <c r="AN12" s="304"/>
      <c r="AO12" s="181">
        <f t="shared" si="11"/>
        <v>0</v>
      </c>
      <c r="AP12" s="181">
        <f>SUMIFS('1-2 人员岗位信息'!J:J,'1-2 人员岗位信息'!$C:$C,"自有人员",'1-2 人员岗位信息'!$B:$B,$D12)</f>
        <v>0</v>
      </c>
      <c r="AQ12" s="304"/>
      <c r="AR12" s="181">
        <f t="shared" si="21"/>
        <v>0</v>
      </c>
      <c r="AS12" s="181">
        <f>SUMIFS('1-2 人员岗位信息'!K:K,'1-2 人员岗位信息'!$C:$C,"自有人员",'1-2 人员岗位信息'!$B:$B,$D12)</f>
        <v>0</v>
      </c>
      <c r="AT12" s="304"/>
      <c r="AU12" s="181">
        <f t="shared" si="12"/>
        <v>0</v>
      </c>
      <c r="AV12" s="181">
        <f>SUMIFS('1-2 人员岗位信息'!L:L,'1-2 人员岗位信息'!$C:$C,"自有人员",'1-2 人员岗位信息'!$B:$B,$D12)</f>
        <v>0</v>
      </c>
      <c r="AW12" s="304"/>
      <c r="AX12" s="181">
        <f t="shared" si="13"/>
        <v>0</v>
      </c>
      <c r="AY12" s="181">
        <f>SUMIFS('1-2 人员岗位信息'!M:M,'1-2 人员岗位信息'!$C:$C,"自有人员",'1-2 人员岗位信息'!$B:$B,$D12)</f>
        <v>0</v>
      </c>
      <c r="AZ12" s="304"/>
      <c r="BA12" s="181">
        <f t="shared" si="14"/>
        <v>0</v>
      </c>
      <c r="BB12" s="181">
        <f>SUMIFS('1-2 人员岗位信息'!N:N,'1-2 人员岗位信息'!$C:$C,"自有人员",'1-2 人员岗位信息'!$B:$B,$D12)</f>
        <v>0</v>
      </c>
      <c r="BC12" s="304"/>
      <c r="BD12" s="181">
        <f t="shared" si="15"/>
        <v>0</v>
      </c>
      <c r="BE12" s="181">
        <f>SUMIFS('1-2 人员岗位信息'!O:O,'1-2 人员岗位信息'!$C:$C,"自有人员",'1-2 人员岗位信息'!$B:$B,$D12)</f>
        <v>0</v>
      </c>
      <c r="BF12" s="304"/>
      <c r="BG12" s="181">
        <f t="shared" si="16"/>
        <v>0</v>
      </c>
      <c r="BH12" s="181">
        <f>SUMIFS('1-2 人员岗位信息'!P:P,'1-2 人员岗位信息'!$C:$C,"自有人员",'1-2 人员岗位信息'!$B:$B,$D12)</f>
        <v>0</v>
      </c>
      <c r="BI12" s="304"/>
      <c r="BJ12" s="181">
        <f t="shared" si="17"/>
        <v>0</v>
      </c>
      <c r="BK12" s="181">
        <f>SUMIFS('1-2 人员岗位信息'!Q:Q,'1-2 人员岗位信息'!$C:$C,"自有人员",'1-2 人员岗位信息'!$B:$B,$D12)</f>
        <v>0</v>
      </c>
      <c r="BL12" s="313"/>
      <c r="BM12" s="317"/>
      <c r="BN12" s="321"/>
    </row>
    <row r="13" s="269" customFormat="1" ht="33.95" hidden="1" customHeight="1" outlineLevel="5" spans="2:66">
      <c r="B13" s="181" t="s">
        <v>792</v>
      </c>
      <c r="C13" s="289" t="s">
        <v>809</v>
      </c>
      <c r="D13" s="269" t="s">
        <v>810</v>
      </c>
      <c r="E13" s="181" t="s">
        <v>811</v>
      </c>
      <c r="F13" s="181"/>
      <c r="G13" s="181" t="s">
        <v>796</v>
      </c>
      <c r="H13" s="181">
        <f t="shared" si="5"/>
        <v>0</v>
      </c>
      <c r="I13" s="181" t="s">
        <v>797</v>
      </c>
      <c r="J13" s="181" t="e">
        <f t="shared" si="6"/>
        <v>#DIV/0!</v>
      </c>
      <c r="K13" s="181" t="s">
        <v>798</v>
      </c>
      <c r="L13" s="181" t="e">
        <f t="shared" si="7"/>
        <v>#DIV/0!</v>
      </c>
      <c r="M13" s="181" t="s">
        <v>799</v>
      </c>
      <c r="N13" s="181">
        <f t="shared" si="8"/>
        <v>0</v>
      </c>
      <c r="O13" s="181"/>
      <c r="P13" s="296"/>
      <c r="Q13" s="296"/>
      <c r="R13" s="296"/>
      <c r="S13" s="296"/>
      <c r="T13" s="296"/>
      <c r="U13" s="296"/>
      <c r="V13" s="296"/>
      <c r="W13" s="296"/>
      <c r="X13" s="296"/>
      <c r="Y13" s="296"/>
      <c r="Z13" s="296"/>
      <c r="AA13" s="296"/>
      <c r="AB13" s="181">
        <f t="shared" si="18"/>
        <v>0</v>
      </c>
      <c r="AC13" s="181">
        <f t="shared" si="19"/>
        <v>0</v>
      </c>
      <c r="AD13" s="181">
        <f>'1-2 人员岗位信息'!F27</f>
        <v>0</v>
      </c>
      <c r="AE13" s="304"/>
      <c r="AF13" s="181">
        <f t="shared" si="9"/>
        <v>0</v>
      </c>
      <c r="AG13" s="181">
        <f>SUMIFS('1-2 人员岗位信息'!G:G,'1-2 人员岗位信息'!$C:$C,"自有人员",'1-2 人员岗位信息'!$B:$B,$D13)</f>
        <v>0</v>
      </c>
      <c r="AH13" s="304"/>
      <c r="AI13" s="181">
        <f t="shared" si="10"/>
        <v>0</v>
      </c>
      <c r="AJ13" s="181">
        <f>SUMIFS('1-2 人员岗位信息'!H:H,'1-2 人员岗位信息'!$C:$C,"自有人员",'1-2 人员岗位信息'!$B:$B,$D13)</f>
        <v>0</v>
      </c>
      <c r="AK13" s="304"/>
      <c r="AL13" s="181">
        <f t="shared" si="20"/>
        <v>0</v>
      </c>
      <c r="AM13" s="181">
        <f>SUMIFS('1-2 人员岗位信息'!I:I,'1-2 人员岗位信息'!$C:$C,"自有人员",'1-2 人员岗位信息'!$B:$B,$D13)</f>
        <v>0</v>
      </c>
      <c r="AN13" s="304"/>
      <c r="AO13" s="181">
        <f t="shared" si="11"/>
        <v>0</v>
      </c>
      <c r="AP13" s="181">
        <f>SUMIFS('1-2 人员岗位信息'!J:J,'1-2 人员岗位信息'!$C:$C,"自有人员",'1-2 人员岗位信息'!$B:$B,$D13)</f>
        <v>0</v>
      </c>
      <c r="AQ13" s="304"/>
      <c r="AR13" s="181">
        <f t="shared" si="21"/>
        <v>0</v>
      </c>
      <c r="AS13" s="181">
        <f>SUMIFS('1-2 人员岗位信息'!K:K,'1-2 人员岗位信息'!$C:$C,"自有人员",'1-2 人员岗位信息'!$B:$B,$D13)</f>
        <v>0</v>
      </c>
      <c r="AT13" s="304"/>
      <c r="AU13" s="181">
        <f t="shared" si="12"/>
        <v>0</v>
      </c>
      <c r="AV13" s="181">
        <f>SUMIFS('1-2 人员岗位信息'!L:L,'1-2 人员岗位信息'!$C:$C,"自有人员",'1-2 人员岗位信息'!$B:$B,$D13)</f>
        <v>0</v>
      </c>
      <c r="AW13" s="304"/>
      <c r="AX13" s="181">
        <f t="shared" si="13"/>
        <v>0</v>
      </c>
      <c r="AY13" s="181">
        <f>SUMIFS('1-2 人员岗位信息'!M:M,'1-2 人员岗位信息'!$C:$C,"自有人员",'1-2 人员岗位信息'!$B:$B,$D13)</f>
        <v>0</v>
      </c>
      <c r="AZ13" s="304"/>
      <c r="BA13" s="181">
        <f t="shared" si="14"/>
        <v>0</v>
      </c>
      <c r="BB13" s="181">
        <f>SUMIFS('1-2 人员岗位信息'!N:N,'1-2 人员岗位信息'!$C:$C,"自有人员",'1-2 人员岗位信息'!$B:$B,$D13)</f>
        <v>0</v>
      </c>
      <c r="BC13" s="304"/>
      <c r="BD13" s="181">
        <f t="shared" si="15"/>
        <v>0</v>
      </c>
      <c r="BE13" s="181">
        <f>SUMIFS('1-2 人员岗位信息'!O:O,'1-2 人员岗位信息'!$C:$C,"自有人员",'1-2 人员岗位信息'!$B:$B,$D13)</f>
        <v>0</v>
      </c>
      <c r="BF13" s="304"/>
      <c r="BG13" s="181">
        <f t="shared" si="16"/>
        <v>0</v>
      </c>
      <c r="BH13" s="181">
        <f>SUMIFS('1-2 人员岗位信息'!P:P,'1-2 人员岗位信息'!$C:$C,"自有人员",'1-2 人员岗位信息'!$B:$B,$D13)</f>
        <v>0</v>
      </c>
      <c r="BI13" s="304"/>
      <c r="BJ13" s="181">
        <f t="shared" si="17"/>
        <v>0</v>
      </c>
      <c r="BK13" s="181">
        <f>SUMIFS('1-2 人员岗位信息'!Q:Q,'1-2 人员岗位信息'!$C:$C,"自有人员",'1-2 人员岗位信息'!$B:$B,$D13)</f>
        <v>0</v>
      </c>
      <c r="BL13" s="313"/>
      <c r="BM13" s="317"/>
      <c r="BN13" s="321"/>
    </row>
    <row r="14" s="269" customFormat="1" ht="33.95" hidden="1" customHeight="1" outlineLevel="5" spans="2:66">
      <c r="B14" s="181" t="s">
        <v>792</v>
      </c>
      <c r="C14" s="289" t="s">
        <v>812</v>
      </c>
      <c r="D14" s="269" t="s">
        <v>813</v>
      </c>
      <c r="E14" s="181" t="s">
        <v>814</v>
      </c>
      <c r="F14" s="181"/>
      <c r="G14" s="181" t="s">
        <v>796</v>
      </c>
      <c r="H14" s="181">
        <f t="shared" si="5"/>
        <v>0</v>
      </c>
      <c r="I14" s="181" t="s">
        <v>797</v>
      </c>
      <c r="J14" s="181" t="e">
        <f t="shared" si="6"/>
        <v>#DIV/0!</v>
      </c>
      <c r="K14" s="181" t="s">
        <v>798</v>
      </c>
      <c r="L14" s="181" t="e">
        <f t="shared" si="7"/>
        <v>#DIV/0!</v>
      </c>
      <c r="M14" s="181" t="s">
        <v>799</v>
      </c>
      <c r="N14" s="181">
        <f t="shared" si="8"/>
        <v>0</v>
      </c>
      <c r="O14" s="181"/>
      <c r="P14" s="296"/>
      <c r="Q14" s="296"/>
      <c r="R14" s="296"/>
      <c r="S14" s="296"/>
      <c r="T14" s="296"/>
      <c r="U14" s="296"/>
      <c r="V14" s="296"/>
      <c r="W14" s="296"/>
      <c r="X14" s="296"/>
      <c r="Y14" s="296"/>
      <c r="Z14" s="296"/>
      <c r="AA14" s="296"/>
      <c r="AB14" s="181">
        <f t="shared" si="18"/>
        <v>0</v>
      </c>
      <c r="AC14" s="181">
        <f t="shared" si="19"/>
        <v>0</v>
      </c>
      <c r="AD14" s="181">
        <f>'1-2 人员岗位信息'!F31</f>
        <v>0</v>
      </c>
      <c r="AE14" s="304"/>
      <c r="AF14" s="181">
        <f t="shared" si="9"/>
        <v>0</v>
      </c>
      <c r="AG14" s="181">
        <f>SUMIFS('1-2 人员岗位信息'!G:G,'1-2 人员岗位信息'!$C:$C,"自有人员",'1-2 人员岗位信息'!$B:$B,$D14)</f>
        <v>0</v>
      </c>
      <c r="AH14" s="304"/>
      <c r="AI14" s="181">
        <f t="shared" si="10"/>
        <v>0</v>
      </c>
      <c r="AJ14" s="181">
        <f>SUMIFS('1-2 人员岗位信息'!H:H,'1-2 人员岗位信息'!$C:$C,"自有人员",'1-2 人员岗位信息'!$B:$B,$D14)</f>
        <v>0</v>
      </c>
      <c r="AK14" s="304"/>
      <c r="AL14" s="181">
        <f t="shared" si="20"/>
        <v>0</v>
      </c>
      <c r="AM14" s="181">
        <f>SUMIFS('1-2 人员岗位信息'!I:I,'1-2 人员岗位信息'!$C:$C,"自有人员",'1-2 人员岗位信息'!$B:$B,$D14)</f>
        <v>0</v>
      </c>
      <c r="AN14" s="304"/>
      <c r="AO14" s="181">
        <f t="shared" si="11"/>
        <v>0</v>
      </c>
      <c r="AP14" s="181">
        <f>SUMIFS('1-2 人员岗位信息'!J:J,'1-2 人员岗位信息'!$C:$C,"自有人员",'1-2 人员岗位信息'!$B:$B,$D14)</f>
        <v>0</v>
      </c>
      <c r="AQ14" s="304"/>
      <c r="AR14" s="181">
        <f t="shared" si="21"/>
        <v>0</v>
      </c>
      <c r="AS14" s="181">
        <f>SUMIFS('1-2 人员岗位信息'!K:K,'1-2 人员岗位信息'!$C:$C,"自有人员",'1-2 人员岗位信息'!$B:$B,$D14)</f>
        <v>0</v>
      </c>
      <c r="AT14" s="304"/>
      <c r="AU14" s="181">
        <f t="shared" si="12"/>
        <v>0</v>
      </c>
      <c r="AV14" s="181">
        <f>SUMIFS('1-2 人员岗位信息'!L:L,'1-2 人员岗位信息'!$C:$C,"自有人员",'1-2 人员岗位信息'!$B:$B,$D14)</f>
        <v>0</v>
      </c>
      <c r="AW14" s="304"/>
      <c r="AX14" s="181">
        <f t="shared" si="13"/>
        <v>0</v>
      </c>
      <c r="AY14" s="181">
        <f>SUMIFS('1-2 人员岗位信息'!M:M,'1-2 人员岗位信息'!$C:$C,"自有人员",'1-2 人员岗位信息'!$B:$B,$D14)</f>
        <v>0</v>
      </c>
      <c r="AZ14" s="304"/>
      <c r="BA14" s="181">
        <f t="shared" si="14"/>
        <v>0</v>
      </c>
      <c r="BB14" s="181">
        <f>SUMIFS('1-2 人员岗位信息'!N:N,'1-2 人员岗位信息'!$C:$C,"自有人员",'1-2 人员岗位信息'!$B:$B,$D14)</f>
        <v>0</v>
      </c>
      <c r="BC14" s="304"/>
      <c r="BD14" s="181">
        <f t="shared" si="15"/>
        <v>0</v>
      </c>
      <c r="BE14" s="181">
        <f>SUMIFS('1-2 人员岗位信息'!O:O,'1-2 人员岗位信息'!$C:$C,"自有人员",'1-2 人员岗位信息'!$B:$B,$D14)</f>
        <v>0</v>
      </c>
      <c r="BF14" s="304"/>
      <c r="BG14" s="181">
        <f t="shared" si="16"/>
        <v>0</v>
      </c>
      <c r="BH14" s="181">
        <f>SUMIFS('1-2 人员岗位信息'!P:P,'1-2 人员岗位信息'!$C:$C,"自有人员",'1-2 人员岗位信息'!$B:$B,$D14)</f>
        <v>0</v>
      </c>
      <c r="BI14" s="304"/>
      <c r="BJ14" s="181">
        <f t="shared" si="17"/>
        <v>0</v>
      </c>
      <c r="BK14" s="181">
        <f>SUMIFS('1-2 人员岗位信息'!Q:Q,'1-2 人员岗位信息'!$C:$C,"自有人员",'1-2 人员岗位信息'!$B:$B,$D14)</f>
        <v>0</v>
      </c>
      <c r="BL14" s="313"/>
      <c r="BM14" s="317"/>
      <c r="BN14" s="321"/>
    </row>
    <row r="15" s="124" customFormat="1" ht="33.95" hidden="1" customHeight="1" outlineLevel="4" spans="2:66">
      <c r="B15" s="125" t="s">
        <v>787</v>
      </c>
      <c r="C15" s="126" t="s">
        <v>67</v>
      </c>
      <c r="D15" s="124" t="s">
        <v>68</v>
      </c>
      <c r="E15" s="125"/>
      <c r="F15" s="125"/>
      <c r="G15" s="125"/>
      <c r="H15" s="125">
        <f>SUM(H16:H21)</f>
        <v>0</v>
      </c>
      <c r="I15" s="125"/>
      <c r="J15" s="125"/>
      <c r="K15" s="125"/>
      <c r="L15" s="125"/>
      <c r="M15" s="125"/>
      <c r="N15" s="125"/>
      <c r="O15" s="125"/>
      <c r="P15" s="295"/>
      <c r="Q15" s="295"/>
      <c r="R15" s="295"/>
      <c r="S15" s="295"/>
      <c r="T15" s="295"/>
      <c r="U15" s="295"/>
      <c r="V15" s="295"/>
      <c r="W15" s="295"/>
      <c r="X15" s="295"/>
      <c r="Y15" s="295"/>
      <c r="Z15" s="295"/>
      <c r="AA15" s="295"/>
      <c r="AB15" s="125">
        <f t="shared" ref="AB15:AF15" si="22">SUM(AB16:AB21)</f>
        <v>0</v>
      </c>
      <c r="AC15" s="125">
        <f t="shared" si="22"/>
        <v>0</v>
      </c>
      <c r="AD15" s="125"/>
      <c r="AE15" s="125"/>
      <c r="AF15" s="125">
        <f t="shared" si="22"/>
        <v>0</v>
      </c>
      <c r="AG15" s="125"/>
      <c r="AH15" s="125"/>
      <c r="AI15" s="125">
        <f>SUM(AI16:AI21)</f>
        <v>0</v>
      </c>
      <c r="AJ15" s="125"/>
      <c r="AK15" s="125"/>
      <c r="AL15" s="125">
        <f>SUM(AL16:AL21)</f>
        <v>0</v>
      </c>
      <c r="AM15" s="125"/>
      <c r="AN15" s="125"/>
      <c r="AO15" s="125">
        <f>SUM(AO16:AO21)</f>
        <v>0</v>
      </c>
      <c r="AP15" s="125"/>
      <c r="AQ15" s="125"/>
      <c r="AR15" s="125">
        <f>SUM(AR16:AR21)</f>
        <v>0</v>
      </c>
      <c r="AS15" s="125"/>
      <c r="AT15" s="125"/>
      <c r="AU15" s="125">
        <f>SUM(AU16:AU21)</f>
        <v>0</v>
      </c>
      <c r="AV15" s="125"/>
      <c r="AW15" s="125"/>
      <c r="AX15" s="125">
        <f>SUM(AX16:AX21)</f>
        <v>0</v>
      </c>
      <c r="AY15" s="125"/>
      <c r="AZ15" s="125"/>
      <c r="BA15" s="125">
        <f>SUM(BA16:BA21)</f>
        <v>0</v>
      </c>
      <c r="BB15" s="125"/>
      <c r="BC15" s="125"/>
      <c r="BD15" s="125">
        <f>SUM(BD16:BD21)</f>
        <v>0</v>
      </c>
      <c r="BE15" s="125"/>
      <c r="BF15" s="125"/>
      <c r="BG15" s="125">
        <f>SUM(BG16:BG21)</f>
        <v>0</v>
      </c>
      <c r="BH15" s="125"/>
      <c r="BI15" s="125"/>
      <c r="BJ15" s="125">
        <f>SUM(BJ16:BJ21)</f>
        <v>0</v>
      </c>
      <c r="BK15" s="125"/>
      <c r="BL15" s="312"/>
      <c r="BM15" s="317"/>
      <c r="BN15" s="320"/>
    </row>
    <row r="16" s="269" customFormat="1" ht="33.95" hidden="1" customHeight="1" outlineLevel="5" spans="2:66">
      <c r="B16" s="181" t="s">
        <v>792</v>
      </c>
      <c r="C16" s="289" t="s">
        <v>815</v>
      </c>
      <c r="D16" s="269" t="s">
        <v>794</v>
      </c>
      <c r="E16" s="181" t="s">
        <v>816</v>
      </c>
      <c r="F16" s="181"/>
      <c r="G16" s="181" t="s">
        <v>796</v>
      </c>
      <c r="H16" s="181">
        <f t="shared" ref="H16:H21" si="23">AB16</f>
        <v>0</v>
      </c>
      <c r="I16" s="181" t="s">
        <v>797</v>
      </c>
      <c r="J16" s="181" t="e">
        <f t="shared" ref="J16:J21" si="24">SUM(AD16,AG16,AJ16,AM16,AP16,AS16,AV16,AY16,BB16,BE16,BH16,BK16)/N16</f>
        <v>#DIV/0!</v>
      </c>
      <c r="K16" s="181" t="s">
        <v>798</v>
      </c>
      <c r="L16" s="181" t="e">
        <f t="shared" ref="L16:L21" si="25">H16/N16/J16</f>
        <v>#DIV/0!</v>
      </c>
      <c r="M16" s="181" t="s">
        <v>799</v>
      </c>
      <c r="N16" s="181">
        <f t="shared" ref="N16:N21" si="26">COUNTIF(AD16,"&gt;0")+COUNTIF(AG16,"&gt;0")+COUNTIF(AJ16,"&gt;0")+COUNTIF(AM16,"&gt;0")+COUNTIF(AP16,"&gt;0")+COUNTIF(AS16,"&gt;0")+COUNTIF(AV16,"&gt;0")+COUNTIF(AY16,"&gt;0")+COUNTIF(BB16,"&gt;0")+COUNTIF(BE16,"&gt;0")+COUNTIF(BH16,"&gt;0")+COUNTIF(BK16,"&gt;0")</f>
        <v>0</v>
      </c>
      <c r="O16" s="181"/>
      <c r="P16" s="296"/>
      <c r="Q16" s="296"/>
      <c r="R16" s="296"/>
      <c r="S16" s="296"/>
      <c r="T16" s="296"/>
      <c r="U16" s="296"/>
      <c r="V16" s="296"/>
      <c r="W16" s="296"/>
      <c r="X16" s="296"/>
      <c r="Y16" s="296"/>
      <c r="Z16" s="296"/>
      <c r="AA16" s="296"/>
      <c r="AB16" s="181">
        <f t="shared" ref="AB16:AB21" si="27">SUM(AC16,AF16,AI16,AL16,AO16,AR16,AU16,AX16,BA16,BD16,BG16,BJ16)</f>
        <v>0</v>
      </c>
      <c r="AC16" s="181">
        <f t="shared" ref="AC16:AC21" si="28">AD16*AE16</f>
        <v>0</v>
      </c>
      <c r="AD16" s="181">
        <f>'1-2 人员岗位信息'!F12</f>
        <v>0</v>
      </c>
      <c r="AE16" s="304"/>
      <c r="AF16" s="181">
        <f t="shared" ref="AF16:AF21" si="29">AG16*AH16</f>
        <v>0</v>
      </c>
      <c r="AG16" s="181">
        <f>SUMIFS('1-2 人员岗位信息'!G:G,'1-2 人员岗位信息'!$C:$C,"劳务派遣",'1-2 人员岗位信息'!$B:$B,$D16)</f>
        <v>0</v>
      </c>
      <c r="AH16" s="304"/>
      <c r="AI16" s="181">
        <f t="shared" ref="AI16:AI21" si="30">AJ16*AK16</f>
        <v>0</v>
      </c>
      <c r="AJ16" s="181">
        <f>SUMIFS('1-2 人员岗位信息'!H:H,'1-2 人员岗位信息'!$C:$C,"劳务派遣",'1-2 人员岗位信息'!$B:$B,$D16)</f>
        <v>0</v>
      </c>
      <c r="AK16" s="304"/>
      <c r="AL16" s="181">
        <f t="shared" ref="AL16:AL21" si="31">AM16*AN16</f>
        <v>0</v>
      </c>
      <c r="AM16" s="181">
        <f>SUMIFS('1-2 人员岗位信息'!I:I,'1-2 人员岗位信息'!$C:$C,"劳务派遣",'1-2 人员岗位信息'!$B:$B,$D16)</f>
        <v>0</v>
      </c>
      <c r="AN16" s="304"/>
      <c r="AO16" s="181">
        <f t="shared" ref="AO16:AO21" si="32">AP16*AQ16</f>
        <v>0</v>
      </c>
      <c r="AP16" s="181">
        <f>SUMIFS('1-2 人员岗位信息'!J:J,'1-2 人员岗位信息'!$C:$C,"劳务派遣",'1-2 人员岗位信息'!$B:$B,$D16)</f>
        <v>0</v>
      </c>
      <c r="AQ16" s="304"/>
      <c r="AR16" s="181">
        <f t="shared" ref="AR16:AR21" si="33">AS16*AT16</f>
        <v>0</v>
      </c>
      <c r="AS16" s="181">
        <f>SUMIFS('1-2 人员岗位信息'!K:K,'1-2 人员岗位信息'!$C:$C,"劳务派遣",'1-2 人员岗位信息'!$B:$B,$D16)</f>
        <v>0</v>
      </c>
      <c r="AT16" s="304"/>
      <c r="AU16" s="181">
        <f t="shared" ref="AU16:AU21" si="34">AV16*AW16</f>
        <v>0</v>
      </c>
      <c r="AV16" s="181">
        <f>SUMIFS('1-2 人员岗位信息'!L:L,'1-2 人员岗位信息'!$C:$C,"劳务派遣",'1-2 人员岗位信息'!$B:$B,$D16)</f>
        <v>0</v>
      </c>
      <c r="AW16" s="304"/>
      <c r="AX16" s="181">
        <f t="shared" ref="AX16:AX21" si="35">AY16*AZ16</f>
        <v>0</v>
      </c>
      <c r="AY16" s="181">
        <f>SUMIFS('1-2 人员岗位信息'!M:M,'1-2 人员岗位信息'!$C:$C,"劳务派遣",'1-2 人员岗位信息'!$B:$B,$D16)</f>
        <v>0</v>
      </c>
      <c r="AZ16" s="304"/>
      <c r="BA16" s="181">
        <f t="shared" ref="BA16:BA21" si="36">BB16*BC16</f>
        <v>0</v>
      </c>
      <c r="BB16" s="181">
        <f>SUMIFS('1-2 人员岗位信息'!N:N,'1-2 人员岗位信息'!$C:$C,"劳务派遣",'1-2 人员岗位信息'!$B:$B,$D16)</f>
        <v>0</v>
      </c>
      <c r="BC16" s="304"/>
      <c r="BD16" s="181">
        <f t="shared" ref="BD16:BD21" si="37">BE16*BF16</f>
        <v>0</v>
      </c>
      <c r="BE16" s="181">
        <f>SUMIFS('1-2 人员岗位信息'!O:O,'1-2 人员岗位信息'!$C:$C,"劳务派遣",'1-2 人员岗位信息'!$B:$B,$D16)</f>
        <v>0</v>
      </c>
      <c r="BF16" s="304"/>
      <c r="BG16" s="181">
        <f t="shared" ref="BG16:BG21" si="38">BH16*BI16</f>
        <v>0</v>
      </c>
      <c r="BH16" s="181">
        <f>SUMIFS('1-2 人员岗位信息'!P:P,'1-2 人员岗位信息'!$C:$C,"劳务派遣",'1-2 人员岗位信息'!$B:$B,$D16)</f>
        <v>0</v>
      </c>
      <c r="BI16" s="304"/>
      <c r="BJ16" s="181">
        <f t="shared" ref="BJ16:BJ20" si="39">BK16*BL16</f>
        <v>0</v>
      </c>
      <c r="BK16" s="181">
        <f>SUMIFS('1-2 人员岗位信息'!Q:Q,'1-2 人员岗位信息'!$C:$C,"劳务派遣",'1-2 人员岗位信息'!$B:$B,$D16)</f>
        <v>0</v>
      </c>
      <c r="BL16" s="313"/>
      <c r="BM16" s="317"/>
      <c r="BN16" s="321"/>
    </row>
    <row r="17" s="269" customFormat="1" ht="33.95" hidden="1" customHeight="1" outlineLevel="5" spans="2:66">
      <c r="B17" s="181" t="s">
        <v>792</v>
      </c>
      <c r="C17" s="289" t="s">
        <v>817</v>
      </c>
      <c r="D17" s="269" t="s">
        <v>801</v>
      </c>
      <c r="E17" s="181" t="s">
        <v>818</v>
      </c>
      <c r="F17" s="181"/>
      <c r="G17" s="181" t="s">
        <v>796</v>
      </c>
      <c r="H17" s="181">
        <f t="shared" si="23"/>
        <v>0</v>
      </c>
      <c r="I17" s="181" t="s">
        <v>797</v>
      </c>
      <c r="J17" s="181" t="e">
        <f t="shared" si="24"/>
        <v>#DIV/0!</v>
      </c>
      <c r="K17" s="181" t="s">
        <v>798</v>
      </c>
      <c r="L17" s="181" t="e">
        <f t="shared" si="25"/>
        <v>#DIV/0!</v>
      </c>
      <c r="M17" s="181" t="s">
        <v>799</v>
      </c>
      <c r="N17" s="181">
        <f t="shared" si="26"/>
        <v>0</v>
      </c>
      <c r="O17" s="181"/>
      <c r="P17" s="296"/>
      <c r="Q17" s="296"/>
      <c r="R17" s="296"/>
      <c r="S17" s="296"/>
      <c r="T17" s="296"/>
      <c r="U17" s="296"/>
      <c r="V17" s="296"/>
      <c r="W17" s="296"/>
      <c r="X17" s="296"/>
      <c r="Y17" s="296"/>
      <c r="Z17" s="296"/>
      <c r="AA17" s="296"/>
      <c r="AB17" s="181">
        <f t="shared" si="27"/>
        <v>0</v>
      </c>
      <c r="AC17" s="181">
        <f t="shared" si="28"/>
        <v>0</v>
      </c>
      <c r="AD17" s="181">
        <f>'1-2 人员岗位信息'!F16</f>
        <v>0</v>
      </c>
      <c r="AE17" s="304"/>
      <c r="AF17" s="181">
        <f t="shared" si="29"/>
        <v>0</v>
      </c>
      <c r="AG17" s="181">
        <f>SUMIFS('1-2 人员岗位信息'!G:G,'1-2 人员岗位信息'!$C:$C,"劳务派遣",'1-2 人员岗位信息'!$B:$B,$D17)</f>
        <v>0</v>
      </c>
      <c r="AH17" s="304"/>
      <c r="AI17" s="181">
        <f t="shared" si="30"/>
        <v>0</v>
      </c>
      <c r="AJ17" s="181">
        <f>SUMIFS('1-2 人员岗位信息'!H:H,'1-2 人员岗位信息'!$C:$C,"劳务派遣",'1-2 人员岗位信息'!$B:$B,$D17)</f>
        <v>0</v>
      </c>
      <c r="AK17" s="304"/>
      <c r="AL17" s="181">
        <f t="shared" si="31"/>
        <v>0</v>
      </c>
      <c r="AM17" s="181">
        <f>SUMIFS('1-2 人员岗位信息'!I:I,'1-2 人员岗位信息'!$C:$C,"劳务派遣",'1-2 人员岗位信息'!$B:$B,$D17)</f>
        <v>0</v>
      </c>
      <c r="AN17" s="304"/>
      <c r="AO17" s="181">
        <f t="shared" si="32"/>
        <v>0</v>
      </c>
      <c r="AP17" s="181">
        <f>SUMIFS('1-2 人员岗位信息'!J:J,'1-2 人员岗位信息'!$C:$C,"劳务派遣",'1-2 人员岗位信息'!$B:$B,$D17)</f>
        <v>0</v>
      </c>
      <c r="AQ17" s="304"/>
      <c r="AR17" s="181">
        <f t="shared" si="33"/>
        <v>0</v>
      </c>
      <c r="AS17" s="181">
        <f>SUMIFS('1-2 人员岗位信息'!K:K,'1-2 人员岗位信息'!$C:$C,"劳务派遣",'1-2 人员岗位信息'!$B:$B,$D17)</f>
        <v>0</v>
      </c>
      <c r="AT17" s="304"/>
      <c r="AU17" s="181">
        <f t="shared" si="34"/>
        <v>0</v>
      </c>
      <c r="AV17" s="181">
        <f>SUMIFS('1-2 人员岗位信息'!L:L,'1-2 人员岗位信息'!$C:$C,"劳务派遣",'1-2 人员岗位信息'!$B:$B,$D17)</f>
        <v>0</v>
      </c>
      <c r="AW17" s="304"/>
      <c r="AX17" s="181">
        <f t="shared" si="35"/>
        <v>0</v>
      </c>
      <c r="AY17" s="181">
        <f>SUMIFS('1-2 人员岗位信息'!M:M,'1-2 人员岗位信息'!$C:$C,"劳务派遣",'1-2 人员岗位信息'!$B:$B,$D17)</f>
        <v>0</v>
      </c>
      <c r="AZ17" s="304"/>
      <c r="BA17" s="181">
        <f t="shared" si="36"/>
        <v>0</v>
      </c>
      <c r="BB17" s="181">
        <f>SUMIFS('1-2 人员岗位信息'!N:N,'1-2 人员岗位信息'!$C:$C,"劳务派遣",'1-2 人员岗位信息'!$B:$B,$D17)</f>
        <v>0</v>
      </c>
      <c r="BC17" s="304"/>
      <c r="BD17" s="181">
        <f t="shared" si="37"/>
        <v>0</v>
      </c>
      <c r="BE17" s="181">
        <f>SUMIFS('1-2 人员岗位信息'!O:O,'1-2 人员岗位信息'!$C:$C,"劳务派遣",'1-2 人员岗位信息'!$B:$B,$D17)</f>
        <v>0</v>
      </c>
      <c r="BF17" s="304"/>
      <c r="BG17" s="181">
        <f t="shared" si="38"/>
        <v>0</v>
      </c>
      <c r="BH17" s="181">
        <f>SUMIFS('1-2 人员岗位信息'!P:P,'1-2 人员岗位信息'!$C:$C,"劳务派遣",'1-2 人员岗位信息'!$B:$B,$D17)</f>
        <v>0</v>
      </c>
      <c r="BI17" s="304"/>
      <c r="BJ17" s="181">
        <f t="shared" si="39"/>
        <v>0</v>
      </c>
      <c r="BK17" s="181">
        <f>SUMIFS('1-2 人员岗位信息'!Q:Q,'1-2 人员岗位信息'!$C:$C,"劳务派遣",'1-2 人员岗位信息'!$B:$B,$D17)</f>
        <v>0</v>
      </c>
      <c r="BL17" s="313"/>
      <c r="BM17" s="317"/>
      <c r="BN17" s="321"/>
    </row>
    <row r="18" s="269" customFormat="1" ht="33.95" hidden="1" customHeight="1" outlineLevel="5" spans="2:66">
      <c r="B18" s="181" t="s">
        <v>792</v>
      </c>
      <c r="C18" s="289" t="s">
        <v>819</v>
      </c>
      <c r="D18" s="269" t="s">
        <v>804</v>
      </c>
      <c r="E18" s="181" t="s">
        <v>805</v>
      </c>
      <c r="F18" s="181"/>
      <c r="G18" s="181" t="s">
        <v>796</v>
      </c>
      <c r="H18" s="181">
        <f t="shared" si="23"/>
        <v>0</v>
      </c>
      <c r="I18" s="181" t="s">
        <v>797</v>
      </c>
      <c r="J18" s="181" t="e">
        <f t="shared" si="24"/>
        <v>#DIV/0!</v>
      </c>
      <c r="K18" s="181" t="s">
        <v>798</v>
      </c>
      <c r="L18" s="181" t="e">
        <f t="shared" si="25"/>
        <v>#DIV/0!</v>
      </c>
      <c r="M18" s="181" t="s">
        <v>799</v>
      </c>
      <c r="N18" s="181">
        <f t="shared" si="26"/>
        <v>0</v>
      </c>
      <c r="O18" s="181"/>
      <c r="P18" s="296"/>
      <c r="Q18" s="296"/>
      <c r="R18" s="296"/>
      <c r="S18" s="296"/>
      <c r="T18" s="296"/>
      <c r="U18" s="296"/>
      <c r="V18" s="296"/>
      <c r="W18" s="296"/>
      <c r="X18" s="296"/>
      <c r="Y18" s="296"/>
      <c r="Z18" s="296"/>
      <c r="AA18" s="296"/>
      <c r="AB18" s="181">
        <f t="shared" si="27"/>
        <v>0</v>
      </c>
      <c r="AC18" s="181">
        <f t="shared" si="28"/>
        <v>0</v>
      </c>
      <c r="AD18" s="181">
        <f>'1-2 人员岗位信息'!F20</f>
        <v>0</v>
      </c>
      <c r="AE18" s="304"/>
      <c r="AF18" s="181">
        <f t="shared" si="29"/>
        <v>0</v>
      </c>
      <c r="AG18" s="181">
        <f>SUMIFS('1-2 人员岗位信息'!G:G,'1-2 人员岗位信息'!$C:$C,"劳务派遣",'1-2 人员岗位信息'!$B:$B,$D18)</f>
        <v>0</v>
      </c>
      <c r="AH18" s="304"/>
      <c r="AI18" s="181">
        <f t="shared" si="30"/>
        <v>0</v>
      </c>
      <c r="AJ18" s="181">
        <f>SUMIFS('1-2 人员岗位信息'!H:H,'1-2 人员岗位信息'!$C:$C,"劳务派遣",'1-2 人员岗位信息'!$B:$B,$D18)</f>
        <v>0</v>
      </c>
      <c r="AK18" s="304"/>
      <c r="AL18" s="181">
        <f t="shared" si="31"/>
        <v>0</v>
      </c>
      <c r="AM18" s="181">
        <f>SUMIFS('1-2 人员岗位信息'!I:I,'1-2 人员岗位信息'!$C:$C,"劳务派遣",'1-2 人员岗位信息'!$B:$B,$D18)</f>
        <v>0</v>
      </c>
      <c r="AN18" s="304"/>
      <c r="AO18" s="181">
        <f t="shared" si="32"/>
        <v>0</v>
      </c>
      <c r="AP18" s="181">
        <f>SUMIFS('1-2 人员岗位信息'!J:J,'1-2 人员岗位信息'!$C:$C,"劳务派遣",'1-2 人员岗位信息'!$B:$B,$D18)</f>
        <v>0</v>
      </c>
      <c r="AQ18" s="304"/>
      <c r="AR18" s="181">
        <f t="shared" si="33"/>
        <v>0</v>
      </c>
      <c r="AS18" s="181">
        <f>SUMIFS('1-2 人员岗位信息'!K:K,'1-2 人员岗位信息'!$C:$C,"劳务派遣",'1-2 人员岗位信息'!$B:$B,$D18)</f>
        <v>0</v>
      </c>
      <c r="AT18" s="304"/>
      <c r="AU18" s="181">
        <f t="shared" si="34"/>
        <v>0</v>
      </c>
      <c r="AV18" s="181">
        <f>SUMIFS('1-2 人员岗位信息'!L:L,'1-2 人员岗位信息'!$C:$C,"劳务派遣",'1-2 人员岗位信息'!$B:$B,$D18)</f>
        <v>0</v>
      </c>
      <c r="AW18" s="304"/>
      <c r="AX18" s="181">
        <f t="shared" si="35"/>
        <v>0</v>
      </c>
      <c r="AY18" s="181">
        <f>SUMIFS('1-2 人员岗位信息'!M:M,'1-2 人员岗位信息'!$C:$C,"劳务派遣",'1-2 人员岗位信息'!$B:$B,$D18)</f>
        <v>0</v>
      </c>
      <c r="AZ18" s="304"/>
      <c r="BA18" s="181">
        <f t="shared" si="36"/>
        <v>0</v>
      </c>
      <c r="BB18" s="181">
        <f>SUMIFS('1-2 人员岗位信息'!N:N,'1-2 人员岗位信息'!$C:$C,"劳务派遣",'1-2 人员岗位信息'!$B:$B,$D18)</f>
        <v>0</v>
      </c>
      <c r="BC18" s="304"/>
      <c r="BD18" s="181">
        <f t="shared" si="37"/>
        <v>0</v>
      </c>
      <c r="BE18" s="181">
        <f>SUMIFS('1-2 人员岗位信息'!O:O,'1-2 人员岗位信息'!$C:$C,"劳务派遣",'1-2 人员岗位信息'!$B:$B,$D18)</f>
        <v>0</v>
      </c>
      <c r="BF18" s="304"/>
      <c r="BG18" s="181">
        <f t="shared" si="38"/>
        <v>0</v>
      </c>
      <c r="BH18" s="181">
        <f>SUMIFS('1-2 人员岗位信息'!P:P,'1-2 人员岗位信息'!$C:$C,"劳务派遣",'1-2 人员岗位信息'!$B:$B,$D18)</f>
        <v>0</v>
      </c>
      <c r="BI18" s="304"/>
      <c r="BJ18" s="181">
        <f t="shared" si="39"/>
        <v>0</v>
      </c>
      <c r="BK18" s="181">
        <f>SUMIFS('1-2 人员岗位信息'!Q:Q,'1-2 人员岗位信息'!$C:$C,"劳务派遣",'1-2 人员岗位信息'!$B:$B,$D18)</f>
        <v>0</v>
      </c>
      <c r="BL18" s="304"/>
      <c r="BM18" s="317"/>
      <c r="BN18" s="321"/>
    </row>
    <row r="19" s="269" customFormat="1" ht="33.95" hidden="1" customHeight="1" outlineLevel="5" spans="2:66">
      <c r="B19" s="181" t="s">
        <v>792</v>
      </c>
      <c r="C19" s="289" t="s">
        <v>820</v>
      </c>
      <c r="D19" s="269" t="s">
        <v>807</v>
      </c>
      <c r="E19" s="181" t="s">
        <v>808</v>
      </c>
      <c r="F19" s="181"/>
      <c r="G19" s="181" t="s">
        <v>796</v>
      </c>
      <c r="H19" s="181">
        <f t="shared" si="23"/>
        <v>0</v>
      </c>
      <c r="I19" s="181" t="s">
        <v>797</v>
      </c>
      <c r="J19" s="181" t="e">
        <f t="shared" si="24"/>
        <v>#DIV/0!</v>
      </c>
      <c r="K19" s="181" t="s">
        <v>798</v>
      </c>
      <c r="L19" s="181" t="e">
        <f t="shared" si="25"/>
        <v>#DIV/0!</v>
      </c>
      <c r="M19" s="181" t="s">
        <v>799</v>
      </c>
      <c r="N19" s="181">
        <f t="shared" si="26"/>
        <v>0</v>
      </c>
      <c r="O19" s="181"/>
      <c r="P19" s="296"/>
      <c r="Q19" s="296"/>
      <c r="R19" s="296"/>
      <c r="S19" s="296"/>
      <c r="T19" s="296"/>
      <c r="U19" s="296"/>
      <c r="V19" s="296"/>
      <c r="W19" s="296"/>
      <c r="X19" s="296"/>
      <c r="Y19" s="296"/>
      <c r="Z19" s="296"/>
      <c r="AA19" s="296"/>
      <c r="AB19" s="181">
        <f t="shared" si="27"/>
        <v>0</v>
      </c>
      <c r="AC19" s="181">
        <f t="shared" si="28"/>
        <v>0</v>
      </c>
      <c r="AD19" s="181">
        <f>'1-2 人员岗位信息'!F24</f>
        <v>0</v>
      </c>
      <c r="AE19" s="304"/>
      <c r="AF19" s="181">
        <f t="shared" si="29"/>
        <v>0</v>
      </c>
      <c r="AG19" s="181">
        <f>SUMIFS('1-2 人员岗位信息'!G:G,'1-2 人员岗位信息'!$C:$C,"劳务派遣",'1-2 人员岗位信息'!$B:$B,$D19)</f>
        <v>0</v>
      </c>
      <c r="AH19" s="304"/>
      <c r="AI19" s="181">
        <f t="shared" si="30"/>
        <v>0</v>
      </c>
      <c r="AJ19" s="181">
        <f>SUMIFS('1-2 人员岗位信息'!H:H,'1-2 人员岗位信息'!$C:$C,"劳务派遣",'1-2 人员岗位信息'!$B:$B,$D19)</f>
        <v>0</v>
      </c>
      <c r="AK19" s="304"/>
      <c r="AL19" s="181">
        <f t="shared" si="31"/>
        <v>0</v>
      </c>
      <c r="AM19" s="181">
        <f>SUMIFS('1-2 人员岗位信息'!I:I,'1-2 人员岗位信息'!$C:$C,"劳务派遣",'1-2 人员岗位信息'!$B:$B,$D19)</f>
        <v>0</v>
      </c>
      <c r="AN19" s="304"/>
      <c r="AO19" s="181">
        <f t="shared" si="32"/>
        <v>0</v>
      </c>
      <c r="AP19" s="181">
        <f>SUMIFS('1-2 人员岗位信息'!J:J,'1-2 人员岗位信息'!$C:$C,"劳务派遣",'1-2 人员岗位信息'!$B:$B,$D19)</f>
        <v>0</v>
      </c>
      <c r="AQ19" s="304"/>
      <c r="AR19" s="181">
        <f t="shared" si="33"/>
        <v>0</v>
      </c>
      <c r="AS19" s="181">
        <f>SUMIFS('1-2 人员岗位信息'!K:K,'1-2 人员岗位信息'!$C:$C,"劳务派遣",'1-2 人员岗位信息'!$B:$B,$D19)</f>
        <v>0</v>
      </c>
      <c r="AT19" s="304"/>
      <c r="AU19" s="181">
        <f t="shared" si="34"/>
        <v>0</v>
      </c>
      <c r="AV19" s="181">
        <f>SUMIFS('1-2 人员岗位信息'!L:L,'1-2 人员岗位信息'!$C:$C,"劳务派遣",'1-2 人员岗位信息'!$B:$B,$D19)</f>
        <v>0</v>
      </c>
      <c r="AW19" s="304"/>
      <c r="AX19" s="181">
        <f t="shared" si="35"/>
        <v>0</v>
      </c>
      <c r="AY19" s="181">
        <f>SUMIFS('1-2 人员岗位信息'!M:M,'1-2 人员岗位信息'!$C:$C,"劳务派遣",'1-2 人员岗位信息'!$B:$B,$D19)</f>
        <v>0</v>
      </c>
      <c r="AZ19" s="304"/>
      <c r="BA19" s="181">
        <f t="shared" si="36"/>
        <v>0</v>
      </c>
      <c r="BB19" s="181">
        <f>SUMIFS('1-2 人员岗位信息'!N:N,'1-2 人员岗位信息'!$C:$C,"劳务派遣",'1-2 人员岗位信息'!$B:$B,$D19)</f>
        <v>0</v>
      </c>
      <c r="BC19" s="304"/>
      <c r="BD19" s="181">
        <f t="shared" si="37"/>
        <v>0</v>
      </c>
      <c r="BE19" s="181">
        <f>SUMIFS('1-2 人员岗位信息'!O:O,'1-2 人员岗位信息'!$C:$C,"劳务派遣",'1-2 人员岗位信息'!$B:$B,$D19)</f>
        <v>0</v>
      </c>
      <c r="BF19" s="304"/>
      <c r="BG19" s="181">
        <f t="shared" si="38"/>
        <v>0</v>
      </c>
      <c r="BH19" s="181">
        <f>SUMIFS('1-2 人员岗位信息'!P:P,'1-2 人员岗位信息'!$C:$C,"劳务派遣",'1-2 人员岗位信息'!$B:$B,$D19)</f>
        <v>0</v>
      </c>
      <c r="BI19" s="304"/>
      <c r="BJ19" s="181">
        <f t="shared" si="39"/>
        <v>0</v>
      </c>
      <c r="BK19" s="181">
        <f>SUMIFS('1-2 人员岗位信息'!Q:Q,'1-2 人员岗位信息'!$C:$C,"劳务派遣",'1-2 人员岗位信息'!$B:$B,$D19)</f>
        <v>0</v>
      </c>
      <c r="BL19" s="313"/>
      <c r="BM19" s="317"/>
      <c r="BN19" s="321"/>
    </row>
    <row r="20" s="269" customFormat="1" ht="33.95" hidden="1" customHeight="1" outlineLevel="5" spans="2:66">
      <c r="B20" s="181" t="s">
        <v>792</v>
      </c>
      <c r="C20" s="289" t="s">
        <v>821</v>
      </c>
      <c r="D20" s="269" t="s">
        <v>810</v>
      </c>
      <c r="E20" s="181" t="s">
        <v>811</v>
      </c>
      <c r="F20" s="181"/>
      <c r="G20" s="181" t="s">
        <v>796</v>
      </c>
      <c r="H20" s="181">
        <f t="shared" si="23"/>
        <v>0</v>
      </c>
      <c r="I20" s="181" t="s">
        <v>797</v>
      </c>
      <c r="J20" s="181" t="e">
        <f t="shared" si="24"/>
        <v>#DIV/0!</v>
      </c>
      <c r="K20" s="181" t="s">
        <v>798</v>
      </c>
      <c r="L20" s="181" t="e">
        <f t="shared" si="25"/>
        <v>#DIV/0!</v>
      </c>
      <c r="M20" s="181" t="s">
        <v>799</v>
      </c>
      <c r="N20" s="181">
        <f t="shared" si="26"/>
        <v>0</v>
      </c>
      <c r="O20" s="181"/>
      <c r="P20" s="296"/>
      <c r="Q20" s="296"/>
      <c r="R20" s="296"/>
      <c r="S20" s="296"/>
      <c r="T20" s="296"/>
      <c r="U20" s="296"/>
      <c r="V20" s="296"/>
      <c r="W20" s="296"/>
      <c r="X20" s="296"/>
      <c r="Y20" s="296"/>
      <c r="Z20" s="296"/>
      <c r="AA20" s="296"/>
      <c r="AB20" s="181">
        <f t="shared" si="27"/>
        <v>0</v>
      </c>
      <c r="AC20" s="181">
        <f t="shared" si="28"/>
        <v>0</v>
      </c>
      <c r="AD20" s="181">
        <f>'1-2 人员岗位信息'!F28</f>
        <v>0</v>
      </c>
      <c r="AE20" s="304"/>
      <c r="AF20" s="181">
        <f t="shared" si="29"/>
        <v>0</v>
      </c>
      <c r="AG20" s="181">
        <f>SUMIFS('1-2 人员岗位信息'!G:G,'1-2 人员岗位信息'!$C:$C,"劳务派遣",'1-2 人员岗位信息'!$B:$B,$D20)</f>
        <v>0</v>
      </c>
      <c r="AH20" s="304"/>
      <c r="AI20" s="181">
        <f t="shared" si="30"/>
        <v>0</v>
      </c>
      <c r="AJ20" s="181">
        <f>SUMIFS('1-2 人员岗位信息'!H:H,'1-2 人员岗位信息'!$C:$C,"劳务派遣",'1-2 人员岗位信息'!$B:$B,$D20)</f>
        <v>0</v>
      </c>
      <c r="AK20" s="304"/>
      <c r="AL20" s="181">
        <f t="shared" si="31"/>
        <v>0</v>
      </c>
      <c r="AM20" s="181">
        <f>SUMIFS('1-2 人员岗位信息'!I:I,'1-2 人员岗位信息'!$C:$C,"劳务派遣",'1-2 人员岗位信息'!$B:$B,$D20)</f>
        <v>0</v>
      </c>
      <c r="AN20" s="304"/>
      <c r="AO20" s="181">
        <f t="shared" si="32"/>
        <v>0</v>
      </c>
      <c r="AP20" s="181">
        <f>SUMIFS('1-2 人员岗位信息'!J:J,'1-2 人员岗位信息'!$C:$C,"劳务派遣",'1-2 人员岗位信息'!$B:$B,$D20)</f>
        <v>0</v>
      </c>
      <c r="AQ20" s="304"/>
      <c r="AR20" s="181">
        <f t="shared" si="33"/>
        <v>0</v>
      </c>
      <c r="AS20" s="181">
        <f>SUMIFS('1-2 人员岗位信息'!K:K,'1-2 人员岗位信息'!$C:$C,"劳务派遣",'1-2 人员岗位信息'!$B:$B,$D20)</f>
        <v>0</v>
      </c>
      <c r="AT20" s="304"/>
      <c r="AU20" s="181">
        <f t="shared" si="34"/>
        <v>0</v>
      </c>
      <c r="AV20" s="181">
        <f>SUMIFS('1-2 人员岗位信息'!L:L,'1-2 人员岗位信息'!$C:$C,"劳务派遣",'1-2 人员岗位信息'!$B:$B,$D20)</f>
        <v>0</v>
      </c>
      <c r="AW20" s="304"/>
      <c r="AX20" s="181">
        <f t="shared" si="35"/>
        <v>0</v>
      </c>
      <c r="AY20" s="181">
        <f>SUMIFS('1-2 人员岗位信息'!M:M,'1-2 人员岗位信息'!$C:$C,"劳务派遣",'1-2 人员岗位信息'!$B:$B,$D20)</f>
        <v>0</v>
      </c>
      <c r="AZ20" s="304"/>
      <c r="BA20" s="181">
        <f t="shared" si="36"/>
        <v>0</v>
      </c>
      <c r="BB20" s="181">
        <f>SUMIFS('1-2 人员岗位信息'!N:N,'1-2 人员岗位信息'!$C:$C,"劳务派遣",'1-2 人员岗位信息'!$B:$B,$D20)</f>
        <v>0</v>
      </c>
      <c r="BC20" s="304"/>
      <c r="BD20" s="181">
        <f t="shared" si="37"/>
        <v>0</v>
      </c>
      <c r="BE20" s="181">
        <f>SUMIFS('1-2 人员岗位信息'!O:O,'1-2 人员岗位信息'!$C:$C,"劳务派遣",'1-2 人员岗位信息'!$B:$B,$D20)</f>
        <v>0</v>
      </c>
      <c r="BF20" s="304"/>
      <c r="BG20" s="181">
        <f t="shared" si="38"/>
        <v>0</v>
      </c>
      <c r="BH20" s="181">
        <f>SUMIFS('1-2 人员岗位信息'!P:P,'1-2 人员岗位信息'!$C:$C,"劳务派遣",'1-2 人员岗位信息'!$B:$B,$D20)</f>
        <v>0</v>
      </c>
      <c r="BI20" s="304"/>
      <c r="BJ20" s="181">
        <f t="shared" si="39"/>
        <v>0</v>
      </c>
      <c r="BK20" s="181">
        <f>SUMIFS('1-2 人员岗位信息'!Q:Q,'1-2 人员岗位信息'!$C:$C,"劳务派遣",'1-2 人员岗位信息'!$B:$B,$D20)</f>
        <v>0</v>
      </c>
      <c r="BL20" s="313"/>
      <c r="BM20" s="317"/>
      <c r="BN20" s="321"/>
    </row>
    <row r="21" s="269" customFormat="1" ht="33.95" hidden="1" customHeight="1" outlineLevel="5" spans="2:66">
      <c r="B21" s="181" t="s">
        <v>792</v>
      </c>
      <c r="C21" s="289" t="s">
        <v>822</v>
      </c>
      <c r="D21" s="269" t="s">
        <v>813</v>
      </c>
      <c r="E21" s="181" t="s">
        <v>814</v>
      </c>
      <c r="F21" s="181"/>
      <c r="G21" s="181" t="s">
        <v>796</v>
      </c>
      <c r="H21" s="181">
        <f t="shared" si="23"/>
        <v>0</v>
      </c>
      <c r="I21" s="181" t="s">
        <v>797</v>
      </c>
      <c r="J21" s="181" t="e">
        <f t="shared" si="24"/>
        <v>#DIV/0!</v>
      </c>
      <c r="K21" s="181" t="s">
        <v>798</v>
      </c>
      <c r="L21" s="181" t="e">
        <f t="shared" si="25"/>
        <v>#DIV/0!</v>
      </c>
      <c r="M21" s="181" t="s">
        <v>799</v>
      </c>
      <c r="N21" s="181">
        <f t="shared" si="26"/>
        <v>0</v>
      </c>
      <c r="O21" s="181"/>
      <c r="P21" s="296"/>
      <c r="Q21" s="296"/>
      <c r="R21" s="296"/>
      <c r="S21" s="296"/>
      <c r="T21" s="296"/>
      <c r="U21" s="296"/>
      <c r="V21" s="296"/>
      <c r="W21" s="296"/>
      <c r="X21" s="296"/>
      <c r="Y21" s="296"/>
      <c r="Z21" s="296"/>
      <c r="AA21" s="296"/>
      <c r="AB21" s="181">
        <f t="shared" si="27"/>
        <v>0</v>
      </c>
      <c r="AC21" s="181">
        <f t="shared" si="28"/>
        <v>0</v>
      </c>
      <c r="AD21" s="181">
        <f>'1-2 人员岗位信息'!F32</f>
        <v>0</v>
      </c>
      <c r="AE21" s="304"/>
      <c r="AF21" s="181">
        <f t="shared" si="29"/>
        <v>0</v>
      </c>
      <c r="AG21" s="181">
        <f>SUMIFS('1-2 人员岗位信息'!G:G,'1-2 人员岗位信息'!$C:$C,"劳务派遣",'1-2 人员岗位信息'!$B:$B,$D21)</f>
        <v>0</v>
      </c>
      <c r="AH21" s="304"/>
      <c r="AI21" s="181">
        <f t="shared" si="30"/>
        <v>0</v>
      </c>
      <c r="AJ21" s="181">
        <f>SUMIFS('1-2 人员岗位信息'!H:H,'1-2 人员岗位信息'!$C:$C,"劳务派遣",'1-2 人员岗位信息'!$B:$B,$D21)</f>
        <v>0</v>
      </c>
      <c r="AK21" s="304"/>
      <c r="AL21" s="181">
        <f t="shared" si="31"/>
        <v>0</v>
      </c>
      <c r="AM21" s="181">
        <f>SUMIFS('1-2 人员岗位信息'!I:I,'1-2 人员岗位信息'!$C:$C,"劳务派遣",'1-2 人员岗位信息'!$B:$B,$D21)</f>
        <v>0</v>
      </c>
      <c r="AN21" s="304"/>
      <c r="AO21" s="181">
        <f t="shared" si="32"/>
        <v>0</v>
      </c>
      <c r="AP21" s="181">
        <f>SUMIFS('1-2 人员岗位信息'!J:J,'1-2 人员岗位信息'!$C:$C,"劳务派遣",'1-2 人员岗位信息'!$B:$B,$D21)</f>
        <v>0</v>
      </c>
      <c r="AQ21" s="304"/>
      <c r="AR21" s="181">
        <f t="shared" si="33"/>
        <v>0</v>
      </c>
      <c r="AS21" s="181">
        <f>SUMIFS('1-2 人员岗位信息'!K:K,'1-2 人员岗位信息'!$C:$C,"劳务派遣",'1-2 人员岗位信息'!$B:$B,$D21)</f>
        <v>0</v>
      </c>
      <c r="AT21" s="304"/>
      <c r="AU21" s="181">
        <f t="shared" si="34"/>
        <v>0</v>
      </c>
      <c r="AV21" s="181">
        <f>SUMIFS('1-2 人员岗位信息'!L:L,'1-2 人员岗位信息'!$C:$C,"劳务派遣",'1-2 人员岗位信息'!$B:$B,$D21)</f>
        <v>0</v>
      </c>
      <c r="AW21" s="304"/>
      <c r="AX21" s="181">
        <f t="shared" si="35"/>
        <v>0</v>
      </c>
      <c r="AY21" s="181">
        <f>SUMIFS('1-2 人员岗位信息'!M:M,'1-2 人员岗位信息'!$C:$C,"劳务派遣",'1-2 人员岗位信息'!$B:$B,$D21)</f>
        <v>0</v>
      </c>
      <c r="AZ21" s="304"/>
      <c r="BA21" s="181">
        <f t="shared" si="36"/>
        <v>0</v>
      </c>
      <c r="BB21" s="181">
        <f>SUMIFS('1-2 人员岗位信息'!N:N,'1-2 人员岗位信息'!$C:$C,"劳务派遣",'1-2 人员岗位信息'!$B:$B,$D21)</f>
        <v>0</v>
      </c>
      <c r="BC21" s="304"/>
      <c r="BD21" s="181">
        <f t="shared" si="37"/>
        <v>0</v>
      </c>
      <c r="BE21" s="181">
        <f>SUMIFS('1-2 人员岗位信息'!O:O,'1-2 人员岗位信息'!$C:$C,"劳务派遣",'1-2 人员岗位信息'!$B:$B,$D21)</f>
        <v>0</v>
      </c>
      <c r="BF21" s="304"/>
      <c r="BG21" s="181">
        <f t="shared" si="38"/>
        <v>0</v>
      </c>
      <c r="BH21" s="181">
        <f>SUMIFS('1-2 人员岗位信息'!P:P,'1-2 人员岗位信息'!$C:$C,"劳务派遣",'1-2 人员岗位信息'!$B:$B,$D21)</f>
        <v>0</v>
      </c>
      <c r="BI21" s="304"/>
      <c r="BJ21" s="181">
        <f>BK20*BL21</f>
        <v>0</v>
      </c>
      <c r="BK21" s="181">
        <f>SUMIFS('1-2 人员岗位信息'!Q:Q,'1-2 人员岗位信息'!$C:$C,"劳务派遣",'1-2 人员岗位信息'!$B:$B,$D21)</f>
        <v>0</v>
      </c>
      <c r="BL21" s="313"/>
      <c r="BM21" s="317"/>
      <c r="BN21" s="321"/>
    </row>
    <row r="22" s="124" customFormat="1" ht="33.95" hidden="1" customHeight="1" outlineLevel="4" spans="2:66">
      <c r="B22" s="125" t="s">
        <v>787</v>
      </c>
      <c r="C22" s="126" t="s">
        <v>18</v>
      </c>
      <c r="D22" s="124" t="s">
        <v>19</v>
      </c>
      <c r="E22" s="125"/>
      <c r="F22" s="125"/>
      <c r="G22" s="125"/>
      <c r="H22" s="125">
        <f>SUM(H23:H28)</f>
        <v>0</v>
      </c>
      <c r="I22" s="125"/>
      <c r="J22" s="125"/>
      <c r="K22" s="125"/>
      <c r="L22" s="125"/>
      <c r="M22" s="125"/>
      <c r="N22" s="125"/>
      <c r="O22" s="125"/>
      <c r="P22" s="295"/>
      <c r="Q22" s="295"/>
      <c r="R22" s="295"/>
      <c r="S22" s="295"/>
      <c r="T22" s="295"/>
      <c r="U22" s="295"/>
      <c r="V22" s="295"/>
      <c r="W22" s="295"/>
      <c r="X22" s="295"/>
      <c r="Y22" s="295"/>
      <c r="Z22" s="295"/>
      <c r="AA22" s="295"/>
      <c r="AB22" s="125">
        <f>SUM(AB23:AB28)</f>
        <v>0</v>
      </c>
      <c r="AC22" s="125">
        <f>SUM(AC23:AC28)</f>
        <v>0</v>
      </c>
      <c r="AD22" s="125"/>
      <c r="AE22" s="125"/>
      <c r="AF22" s="125">
        <f>SUM(AF23:AF28)</f>
        <v>0</v>
      </c>
      <c r="AG22" s="125"/>
      <c r="AH22" s="125"/>
      <c r="AI22" s="125">
        <f>SUM(AI23:AI28)</f>
        <v>0</v>
      </c>
      <c r="AJ22" s="125"/>
      <c r="AK22" s="125"/>
      <c r="AL22" s="125">
        <f>SUM(AL23:AL28)</f>
        <v>0</v>
      </c>
      <c r="AM22" s="125"/>
      <c r="AN22" s="125"/>
      <c r="AO22" s="125">
        <f>SUM(AO23:AO28)</f>
        <v>0</v>
      </c>
      <c r="AP22" s="125"/>
      <c r="AQ22" s="125"/>
      <c r="AR22" s="125">
        <f>SUM(AR23:AR28)</f>
        <v>0</v>
      </c>
      <c r="AS22" s="125"/>
      <c r="AT22" s="125"/>
      <c r="AU22" s="125">
        <f>SUM(AU23:AU28)</f>
        <v>0</v>
      </c>
      <c r="AV22" s="125"/>
      <c r="AW22" s="125"/>
      <c r="AX22" s="125">
        <f>SUM(AX23:AX28)</f>
        <v>0</v>
      </c>
      <c r="AY22" s="125"/>
      <c r="AZ22" s="125"/>
      <c r="BA22" s="125">
        <f>SUM(BA23:BA28)</f>
        <v>0</v>
      </c>
      <c r="BB22" s="125"/>
      <c r="BC22" s="125"/>
      <c r="BD22" s="125">
        <f>SUM(BD23:BD28)</f>
        <v>0</v>
      </c>
      <c r="BE22" s="125"/>
      <c r="BF22" s="125"/>
      <c r="BG22" s="125">
        <f>SUM(BG23:BG28)</f>
        <v>0</v>
      </c>
      <c r="BH22" s="125"/>
      <c r="BI22" s="125"/>
      <c r="BJ22" s="125">
        <f>SUM(BJ23:BJ28)</f>
        <v>0</v>
      </c>
      <c r="BK22" s="125"/>
      <c r="BL22" s="312"/>
      <c r="BM22" s="317"/>
      <c r="BN22" s="320"/>
    </row>
    <row r="23" s="269" customFormat="1" ht="33.95" hidden="1" customHeight="1" outlineLevel="5" spans="2:66">
      <c r="B23" s="181" t="s">
        <v>792</v>
      </c>
      <c r="C23" s="289" t="s">
        <v>823</v>
      </c>
      <c r="D23" s="269" t="s">
        <v>794</v>
      </c>
      <c r="E23" s="181" t="s">
        <v>824</v>
      </c>
      <c r="F23" s="181"/>
      <c r="G23" s="181" t="s">
        <v>796</v>
      </c>
      <c r="H23" s="181">
        <f t="shared" ref="H23:H28" si="40">AB23</f>
        <v>0</v>
      </c>
      <c r="I23" s="181" t="s">
        <v>797</v>
      </c>
      <c r="J23" s="181" t="e">
        <f t="shared" ref="J23:J28" si="41">SUM(AD23,AG23,AJ23,AM23,AP23,AS23,AV23,AY23,BB23,BE23,BH23,BK23)/N23</f>
        <v>#DIV/0!</v>
      </c>
      <c r="K23" s="181" t="s">
        <v>798</v>
      </c>
      <c r="L23" s="181" t="e">
        <f t="shared" ref="L23:L28" si="42">H23/N23/J23</f>
        <v>#DIV/0!</v>
      </c>
      <c r="M23" s="181" t="s">
        <v>799</v>
      </c>
      <c r="N23" s="181">
        <f t="shared" ref="N23:N28" si="43">COUNTIF(AD23,"&gt;0")+COUNTIF(AG23,"&gt;0")+COUNTIF(AJ23,"&gt;0")+COUNTIF(AM23,"&gt;0")+COUNTIF(AP23,"&gt;0")+COUNTIF(AS23,"&gt;0")+COUNTIF(AV23,"&gt;0")+COUNTIF(AY23,"&gt;0")+COUNTIF(BB23,"&gt;0")+COUNTIF(BE23,"&gt;0")+COUNTIF(BH23,"&gt;0")+COUNTIF(BK23,"&gt;0")</f>
        <v>0</v>
      </c>
      <c r="O23" s="181"/>
      <c r="P23" s="296"/>
      <c r="Q23" s="296"/>
      <c r="R23" s="296"/>
      <c r="S23" s="296"/>
      <c r="T23" s="296"/>
      <c r="U23" s="296"/>
      <c r="V23" s="296"/>
      <c r="W23" s="296"/>
      <c r="X23" s="296"/>
      <c r="Y23" s="296"/>
      <c r="Z23" s="296"/>
      <c r="AA23" s="296"/>
      <c r="AB23" s="181">
        <f t="shared" ref="AB23:AB28" si="44">SUM(AC23,AF23,AI23,AL23,AO23,AR23,AU23,AX23,BA23,BD23,BG23,BJ23)</f>
        <v>0</v>
      </c>
      <c r="AC23" s="181">
        <f t="shared" ref="AC23:AC28" si="45">AD23*AE23</f>
        <v>0</v>
      </c>
      <c r="AD23" s="181">
        <f>'1-2 人员岗位信息'!F13</f>
        <v>0</v>
      </c>
      <c r="AE23" s="304">
        <f>IFERROR(预算主表!P80/(12*AD23),0)</f>
        <v>0</v>
      </c>
      <c r="AF23" s="181">
        <f t="shared" ref="AF23:AF28" si="46">AG23*AH23</f>
        <v>0</v>
      </c>
      <c r="AG23" s="181">
        <f>SUMIFS('1-2 人员岗位信息'!G:G,'1-2 人员岗位信息'!$C:$C,"专业外包",'1-2 人员岗位信息'!$B:$B,$D23)</f>
        <v>0</v>
      </c>
      <c r="AH23" s="304">
        <f>AE23</f>
        <v>0</v>
      </c>
      <c r="AI23" s="181">
        <f t="shared" ref="AI23:AI28" si="47">AJ23*AK23</f>
        <v>0</v>
      </c>
      <c r="AJ23" s="181">
        <f>SUMIFS('1-2 人员岗位信息'!H:H,'1-2 人员岗位信息'!$C:$C,"专业外包",'1-2 人员岗位信息'!$B:$B,$D23)</f>
        <v>0</v>
      </c>
      <c r="AK23" s="304">
        <f>AE23</f>
        <v>0</v>
      </c>
      <c r="AL23" s="181">
        <f t="shared" ref="AL23:AL28" si="48">AM23*AN23</f>
        <v>0</v>
      </c>
      <c r="AM23" s="181">
        <f>SUMIFS('1-2 人员岗位信息'!I:I,'1-2 人员岗位信息'!$C:$C,"专业外包",'1-2 人员岗位信息'!$B:$B,$D23)</f>
        <v>0</v>
      </c>
      <c r="AN23" s="304">
        <f>AE23</f>
        <v>0</v>
      </c>
      <c r="AO23" s="181">
        <f t="shared" ref="AO23:AO28" si="49">AP23*AQ23</f>
        <v>0</v>
      </c>
      <c r="AP23" s="181">
        <f>SUMIFS('1-2 人员岗位信息'!J:J,'1-2 人员岗位信息'!$C:$C,"专业外包",'1-2 人员岗位信息'!$B:$B,$D23)</f>
        <v>0</v>
      </c>
      <c r="AQ23" s="304">
        <f>AE23</f>
        <v>0</v>
      </c>
      <c r="AR23" s="181">
        <f t="shared" ref="AR23:AR28" si="50">AS23*AT23</f>
        <v>0</v>
      </c>
      <c r="AS23" s="181">
        <f>SUMIFS('1-2 人员岗位信息'!K:K,'1-2 人员岗位信息'!$C:$C,"专业外包",'1-2 人员岗位信息'!$B:$B,$D23)</f>
        <v>0</v>
      </c>
      <c r="AT23" s="304">
        <f>AE23</f>
        <v>0</v>
      </c>
      <c r="AU23" s="181">
        <f t="shared" ref="AU23:AU28" si="51">AV23*AW23</f>
        <v>0</v>
      </c>
      <c r="AV23" s="181">
        <f>SUMIFS('1-2 人员岗位信息'!L:L,'1-2 人员岗位信息'!$C:$C,"专业外包",'1-2 人员岗位信息'!$B:$B,$D23)</f>
        <v>0</v>
      </c>
      <c r="AW23" s="304">
        <f>AE23</f>
        <v>0</v>
      </c>
      <c r="AX23" s="181">
        <f t="shared" ref="AX23:AX28" si="52">AY23*AZ23</f>
        <v>0</v>
      </c>
      <c r="AY23" s="181">
        <f>SUMIFS('1-2 人员岗位信息'!M:M,'1-2 人员岗位信息'!$C:$C,"专业外包",'1-2 人员岗位信息'!$B:$B,$D23)</f>
        <v>0</v>
      </c>
      <c r="AZ23" s="304">
        <f>AE23</f>
        <v>0</v>
      </c>
      <c r="BA23" s="181">
        <f t="shared" ref="BA23:BA28" si="53">BB23*BC23</f>
        <v>0</v>
      </c>
      <c r="BB23" s="181">
        <f>SUMIFS('1-2 人员岗位信息'!N:N,'1-2 人员岗位信息'!$C:$C,"专业外包",'1-2 人员岗位信息'!$B:$B,$D23)</f>
        <v>0</v>
      </c>
      <c r="BC23" s="304">
        <f>AE23</f>
        <v>0</v>
      </c>
      <c r="BD23" s="181">
        <f t="shared" ref="BD23:BD28" si="54">BE23*BF23</f>
        <v>0</v>
      </c>
      <c r="BE23" s="181">
        <f>SUMIFS('1-2 人员岗位信息'!O:O,'1-2 人员岗位信息'!$C:$C,"专业外包",'1-2 人员岗位信息'!$B:$B,$D23)</f>
        <v>0</v>
      </c>
      <c r="BF23" s="304">
        <f>AE23</f>
        <v>0</v>
      </c>
      <c r="BG23" s="181">
        <f t="shared" ref="BG23:BG28" si="55">BH23*BI23</f>
        <v>0</v>
      </c>
      <c r="BH23" s="181">
        <f>SUMIFS('1-2 人员岗位信息'!P:P,'1-2 人员岗位信息'!$C:$C,"专业外包",'1-2 人员岗位信息'!$B:$B,$D23)</f>
        <v>0</v>
      </c>
      <c r="BI23" s="304">
        <f>AE23</f>
        <v>0</v>
      </c>
      <c r="BJ23" s="181">
        <f t="shared" ref="BJ23:BJ28" si="56">BK23*BL23</f>
        <v>0</v>
      </c>
      <c r="BK23" s="181">
        <f>SUMIFS('1-2 人员岗位信息'!Q:Q,'1-2 人员岗位信息'!$C:$C,"专业外包",'1-2 人员岗位信息'!$B:$B,$D23)</f>
        <v>0</v>
      </c>
      <c r="BL23" s="313">
        <f>AE23</f>
        <v>0</v>
      </c>
      <c r="BM23" s="317"/>
      <c r="BN23" s="321"/>
    </row>
    <row r="24" s="269" customFormat="1" ht="33.95" hidden="1" customHeight="1" outlineLevel="5" spans="2:66">
      <c r="B24" s="181" t="s">
        <v>792</v>
      </c>
      <c r="C24" s="289" t="s">
        <v>825</v>
      </c>
      <c r="D24" s="269" t="s">
        <v>801</v>
      </c>
      <c r="E24" s="181" t="s">
        <v>826</v>
      </c>
      <c r="F24" s="181"/>
      <c r="G24" s="181" t="s">
        <v>796</v>
      </c>
      <c r="H24" s="181">
        <f t="shared" si="40"/>
        <v>0</v>
      </c>
      <c r="I24" s="181" t="s">
        <v>797</v>
      </c>
      <c r="J24" s="181" t="e">
        <f t="shared" si="41"/>
        <v>#DIV/0!</v>
      </c>
      <c r="K24" s="181" t="s">
        <v>798</v>
      </c>
      <c r="L24" s="181" t="e">
        <f t="shared" si="42"/>
        <v>#DIV/0!</v>
      </c>
      <c r="M24" s="181" t="s">
        <v>799</v>
      </c>
      <c r="N24" s="181">
        <f t="shared" si="43"/>
        <v>0</v>
      </c>
      <c r="O24" s="181"/>
      <c r="P24" s="296"/>
      <c r="Q24" s="296"/>
      <c r="R24" s="296"/>
      <c r="S24" s="296"/>
      <c r="T24" s="296"/>
      <c r="U24" s="296"/>
      <c r="V24" s="296"/>
      <c r="W24" s="296"/>
      <c r="X24" s="296"/>
      <c r="Y24" s="296"/>
      <c r="Z24" s="296"/>
      <c r="AA24" s="296"/>
      <c r="AB24" s="181">
        <f t="shared" si="44"/>
        <v>0</v>
      </c>
      <c r="AC24" s="181">
        <f t="shared" si="45"/>
        <v>0</v>
      </c>
      <c r="AD24" s="181">
        <f>'1-2 人员岗位信息'!F17</f>
        <v>0</v>
      </c>
      <c r="AE24" s="304"/>
      <c r="AF24" s="181">
        <f t="shared" si="46"/>
        <v>0</v>
      </c>
      <c r="AG24" s="181">
        <f>SUMIFS('1-2 人员岗位信息'!G:G,'1-2 人员岗位信息'!$C:$C,"专业外包",'1-2 人员岗位信息'!$B:$B,$D24)</f>
        <v>0</v>
      </c>
      <c r="AH24" s="304"/>
      <c r="AI24" s="181">
        <f t="shared" si="47"/>
        <v>0</v>
      </c>
      <c r="AJ24" s="181">
        <f>SUMIFS('1-2 人员岗位信息'!H:H,'1-2 人员岗位信息'!$C:$C,"专业外包",'1-2 人员岗位信息'!$B:$B,$D24)</f>
        <v>0</v>
      </c>
      <c r="AK24" s="304"/>
      <c r="AL24" s="181">
        <f t="shared" si="48"/>
        <v>0</v>
      </c>
      <c r="AM24" s="181">
        <f>SUMIFS('1-2 人员岗位信息'!I:I,'1-2 人员岗位信息'!$C:$C,"专业外包",'1-2 人员岗位信息'!$B:$B,$D24)</f>
        <v>0</v>
      </c>
      <c r="AN24" s="304"/>
      <c r="AO24" s="181">
        <f t="shared" si="49"/>
        <v>0</v>
      </c>
      <c r="AP24" s="181">
        <f>SUMIFS('1-2 人员岗位信息'!J:J,'1-2 人员岗位信息'!$C:$C,"专业外包",'1-2 人员岗位信息'!$B:$B,$D24)</f>
        <v>0</v>
      </c>
      <c r="AQ24" s="304"/>
      <c r="AR24" s="181">
        <f t="shared" si="50"/>
        <v>0</v>
      </c>
      <c r="AS24" s="181">
        <f>SUMIFS('1-2 人员岗位信息'!K:K,'1-2 人员岗位信息'!$C:$C,"专业外包",'1-2 人员岗位信息'!$B:$B,$D24)</f>
        <v>0</v>
      </c>
      <c r="AT24" s="304"/>
      <c r="AU24" s="181">
        <f t="shared" si="51"/>
        <v>0</v>
      </c>
      <c r="AV24" s="181">
        <f>SUMIFS('1-2 人员岗位信息'!L:L,'1-2 人员岗位信息'!$C:$C,"专业外包",'1-2 人员岗位信息'!$B:$B,$D24)</f>
        <v>0</v>
      </c>
      <c r="AW24" s="304"/>
      <c r="AX24" s="181">
        <f t="shared" si="52"/>
        <v>0</v>
      </c>
      <c r="AY24" s="181">
        <f>SUMIFS('1-2 人员岗位信息'!M:M,'1-2 人员岗位信息'!$C:$C,"专业外包",'1-2 人员岗位信息'!$B:$B,$D24)</f>
        <v>0</v>
      </c>
      <c r="AZ24" s="304"/>
      <c r="BA24" s="181">
        <f t="shared" si="53"/>
        <v>0</v>
      </c>
      <c r="BB24" s="181">
        <f>SUMIFS('1-2 人员岗位信息'!N:N,'1-2 人员岗位信息'!$C:$C,"专业外包",'1-2 人员岗位信息'!$B:$B,$D24)</f>
        <v>0</v>
      </c>
      <c r="BC24" s="304"/>
      <c r="BD24" s="181">
        <f t="shared" si="54"/>
        <v>0</v>
      </c>
      <c r="BE24" s="181">
        <f>SUMIFS('1-2 人员岗位信息'!O:O,'1-2 人员岗位信息'!$C:$C,"专业外包",'1-2 人员岗位信息'!$B:$B,$D24)</f>
        <v>0</v>
      </c>
      <c r="BF24" s="304"/>
      <c r="BG24" s="181">
        <f t="shared" si="55"/>
        <v>0</v>
      </c>
      <c r="BH24" s="181">
        <f>SUMIFS('1-2 人员岗位信息'!P:P,'1-2 人员岗位信息'!$C:$C,"专业外包",'1-2 人员岗位信息'!$B:$B,$D24)</f>
        <v>0</v>
      </c>
      <c r="BI24" s="304"/>
      <c r="BJ24" s="181">
        <f t="shared" si="56"/>
        <v>0</v>
      </c>
      <c r="BK24" s="181">
        <f>SUMIFS('1-2 人员岗位信息'!Q:Q,'1-2 人员岗位信息'!$C:$C,"专业外包",'1-2 人员岗位信息'!$B:$B,$D24)</f>
        <v>0</v>
      </c>
      <c r="BL24" s="313"/>
      <c r="BM24" s="317"/>
      <c r="BN24" s="321"/>
    </row>
    <row r="25" s="269" customFormat="1" ht="33.95" hidden="1" customHeight="1" outlineLevel="5" spans="2:66">
      <c r="B25" s="181" t="s">
        <v>792</v>
      </c>
      <c r="C25" s="289" t="s">
        <v>827</v>
      </c>
      <c r="D25" s="269" t="s">
        <v>804</v>
      </c>
      <c r="E25" s="181" t="s">
        <v>805</v>
      </c>
      <c r="F25" s="181"/>
      <c r="G25" s="181" t="s">
        <v>796</v>
      </c>
      <c r="H25" s="181">
        <f t="shared" si="40"/>
        <v>0</v>
      </c>
      <c r="I25" s="181" t="s">
        <v>797</v>
      </c>
      <c r="J25" s="181" t="e">
        <f t="shared" si="41"/>
        <v>#DIV/0!</v>
      </c>
      <c r="K25" s="181" t="s">
        <v>798</v>
      </c>
      <c r="L25" s="181" t="e">
        <f t="shared" si="42"/>
        <v>#DIV/0!</v>
      </c>
      <c r="M25" s="181" t="s">
        <v>799</v>
      </c>
      <c r="N25" s="181">
        <f t="shared" si="43"/>
        <v>0</v>
      </c>
      <c r="O25" s="181"/>
      <c r="P25" s="296"/>
      <c r="Q25" s="296"/>
      <c r="R25" s="296"/>
      <c r="S25" s="296"/>
      <c r="T25" s="296"/>
      <c r="U25" s="296"/>
      <c r="V25" s="296"/>
      <c r="W25" s="296"/>
      <c r="X25" s="296"/>
      <c r="Y25" s="296"/>
      <c r="Z25" s="296"/>
      <c r="AA25" s="296"/>
      <c r="AB25" s="181">
        <f t="shared" si="44"/>
        <v>0</v>
      </c>
      <c r="AC25" s="181">
        <f t="shared" si="45"/>
        <v>0</v>
      </c>
      <c r="AD25" s="181">
        <f>'1-2 人员岗位信息'!F21</f>
        <v>0</v>
      </c>
      <c r="AE25" s="304"/>
      <c r="AF25" s="181">
        <f t="shared" si="46"/>
        <v>0</v>
      </c>
      <c r="AG25" s="181">
        <f>SUMIFS('1-2 人员岗位信息'!G:G,'1-2 人员岗位信息'!$C:$C,"专业外包",'1-2 人员岗位信息'!$B:$B,$D25)</f>
        <v>0</v>
      </c>
      <c r="AH25" s="304"/>
      <c r="AI25" s="181">
        <f t="shared" si="47"/>
        <v>0</v>
      </c>
      <c r="AJ25" s="181">
        <f>SUMIFS('1-2 人员岗位信息'!H:H,'1-2 人员岗位信息'!$C:$C,"专业外包",'1-2 人员岗位信息'!$B:$B,$D25)</f>
        <v>0</v>
      </c>
      <c r="AK25" s="304"/>
      <c r="AL25" s="181">
        <f t="shared" si="48"/>
        <v>0</v>
      </c>
      <c r="AM25" s="181">
        <f>SUMIFS('1-2 人员岗位信息'!I:I,'1-2 人员岗位信息'!$C:$C,"专业外包",'1-2 人员岗位信息'!$B:$B,$D25)</f>
        <v>0</v>
      </c>
      <c r="AN25" s="304"/>
      <c r="AO25" s="181">
        <f t="shared" si="49"/>
        <v>0</v>
      </c>
      <c r="AP25" s="181">
        <f>SUMIFS('1-2 人员岗位信息'!J:J,'1-2 人员岗位信息'!$C:$C,"专业外包",'1-2 人员岗位信息'!$B:$B,$D25)</f>
        <v>0</v>
      </c>
      <c r="AQ25" s="304"/>
      <c r="AR25" s="181">
        <f t="shared" si="50"/>
        <v>0</v>
      </c>
      <c r="AS25" s="181">
        <f>SUMIFS('1-2 人员岗位信息'!K:K,'1-2 人员岗位信息'!$C:$C,"专业外包",'1-2 人员岗位信息'!$B:$B,$D25)</f>
        <v>0</v>
      </c>
      <c r="AT25" s="304"/>
      <c r="AU25" s="181">
        <f t="shared" si="51"/>
        <v>0</v>
      </c>
      <c r="AV25" s="181">
        <f>SUMIFS('1-2 人员岗位信息'!L:L,'1-2 人员岗位信息'!$C:$C,"专业外包",'1-2 人员岗位信息'!$B:$B,$D25)</f>
        <v>0</v>
      </c>
      <c r="AW25" s="304"/>
      <c r="AX25" s="181">
        <f t="shared" si="52"/>
        <v>0</v>
      </c>
      <c r="AY25" s="181">
        <f>SUMIFS('1-2 人员岗位信息'!M:M,'1-2 人员岗位信息'!$C:$C,"专业外包",'1-2 人员岗位信息'!$B:$B,$D25)</f>
        <v>0</v>
      </c>
      <c r="AZ25" s="304"/>
      <c r="BA25" s="181">
        <f t="shared" si="53"/>
        <v>0</v>
      </c>
      <c r="BB25" s="181">
        <f>SUMIFS('1-2 人员岗位信息'!N:N,'1-2 人员岗位信息'!$C:$C,"专业外包",'1-2 人员岗位信息'!$B:$B,$D25)</f>
        <v>0</v>
      </c>
      <c r="BC25" s="304"/>
      <c r="BD25" s="181">
        <f t="shared" si="54"/>
        <v>0</v>
      </c>
      <c r="BE25" s="181">
        <f>SUMIFS('1-2 人员岗位信息'!O:O,'1-2 人员岗位信息'!$C:$C,"专业外包",'1-2 人员岗位信息'!$B:$B,$D25)</f>
        <v>0</v>
      </c>
      <c r="BF25" s="304"/>
      <c r="BG25" s="181">
        <f t="shared" si="55"/>
        <v>0</v>
      </c>
      <c r="BH25" s="181">
        <f>SUMIFS('1-2 人员岗位信息'!P:P,'1-2 人员岗位信息'!$C:$C,"专业外包",'1-2 人员岗位信息'!$B:$B,$D25)</f>
        <v>0</v>
      </c>
      <c r="BI25" s="304"/>
      <c r="BJ25" s="181">
        <f t="shared" si="56"/>
        <v>0</v>
      </c>
      <c r="BK25" s="181">
        <f>SUMIFS('1-2 人员岗位信息'!Q:Q,'1-2 人员岗位信息'!$C:$C,"专业外包",'1-2 人员岗位信息'!$B:$B,$D25)</f>
        <v>0</v>
      </c>
      <c r="BL25" s="313"/>
      <c r="BM25" s="317"/>
      <c r="BN25" s="321"/>
    </row>
    <row r="26" s="269" customFormat="1" ht="33.95" hidden="1" customHeight="1" outlineLevel="5" spans="2:66">
      <c r="B26" s="181" t="s">
        <v>792</v>
      </c>
      <c r="C26" s="289" t="s">
        <v>828</v>
      </c>
      <c r="D26" s="269" t="s">
        <v>807</v>
      </c>
      <c r="E26" s="181" t="s">
        <v>808</v>
      </c>
      <c r="F26" s="181"/>
      <c r="G26" s="181" t="s">
        <v>796</v>
      </c>
      <c r="H26" s="181">
        <f t="shared" si="40"/>
        <v>0</v>
      </c>
      <c r="I26" s="181" t="s">
        <v>797</v>
      </c>
      <c r="J26" s="181" t="e">
        <f t="shared" si="41"/>
        <v>#DIV/0!</v>
      </c>
      <c r="K26" s="181" t="s">
        <v>798</v>
      </c>
      <c r="L26" s="181" t="e">
        <f t="shared" si="42"/>
        <v>#DIV/0!</v>
      </c>
      <c r="M26" s="181" t="s">
        <v>799</v>
      </c>
      <c r="N26" s="181">
        <f t="shared" si="43"/>
        <v>0</v>
      </c>
      <c r="O26" s="181"/>
      <c r="P26" s="296"/>
      <c r="Q26" s="296"/>
      <c r="R26" s="296"/>
      <c r="S26" s="296"/>
      <c r="T26" s="296"/>
      <c r="U26" s="296"/>
      <c r="V26" s="296"/>
      <c r="W26" s="296"/>
      <c r="X26" s="296"/>
      <c r="Y26" s="296"/>
      <c r="Z26" s="296"/>
      <c r="AA26" s="296"/>
      <c r="AB26" s="181">
        <f t="shared" si="44"/>
        <v>0</v>
      </c>
      <c r="AC26" s="181">
        <f t="shared" si="45"/>
        <v>0</v>
      </c>
      <c r="AD26" s="181">
        <f>'1-2 人员岗位信息'!F25</f>
        <v>0</v>
      </c>
      <c r="AE26" s="304"/>
      <c r="AF26" s="181">
        <f t="shared" si="46"/>
        <v>0</v>
      </c>
      <c r="AG26" s="181">
        <f>SUMIFS('1-2 人员岗位信息'!G:G,'1-2 人员岗位信息'!$C:$C,"专业外包",'1-2 人员岗位信息'!$B:$B,$D26)</f>
        <v>0</v>
      </c>
      <c r="AH26" s="304"/>
      <c r="AI26" s="181">
        <f t="shared" si="47"/>
        <v>0</v>
      </c>
      <c r="AJ26" s="181">
        <f>SUMIFS('1-2 人员岗位信息'!H:H,'1-2 人员岗位信息'!$C:$C,"专业外包",'1-2 人员岗位信息'!$B:$B,$D26)</f>
        <v>0</v>
      </c>
      <c r="AK26" s="304"/>
      <c r="AL26" s="181">
        <f t="shared" si="48"/>
        <v>0</v>
      </c>
      <c r="AM26" s="181">
        <f>SUMIFS('1-2 人员岗位信息'!I:I,'1-2 人员岗位信息'!$C:$C,"专业外包",'1-2 人员岗位信息'!$B:$B,$D26)</f>
        <v>0</v>
      </c>
      <c r="AN26" s="304"/>
      <c r="AO26" s="181">
        <f t="shared" si="49"/>
        <v>0</v>
      </c>
      <c r="AP26" s="181">
        <f>SUMIFS('1-2 人员岗位信息'!J:J,'1-2 人员岗位信息'!$C:$C,"专业外包",'1-2 人员岗位信息'!$B:$B,$D26)</f>
        <v>0</v>
      </c>
      <c r="AQ26" s="304"/>
      <c r="AR26" s="181">
        <f t="shared" si="50"/>
        <v>0</v>
      </c>
      <c r="AS26" s="181">
        <f>SUMIFS('1-2 人员岗位信息'!K:K,'1-2 人员岗位信息'!$C:$C,"专业外包",'1-2 人员岗位信息'!$B:$B,$D26)</f>
        <v>0</v>
      </c>
      <c r="AT26" s="304"/>
      <c r="AU26" s="181">
        <f t="shared" si="51"/>
        <v>0</v>
      </c>
      <c r="AV26" s="181">
        <f>SUMIFS('1-2 人员岗位信息'!L:L,'1-2 人员岗位信息'!$C:$C,"专业外包",'1-2 人员岗位信息'!$B:$B,$D26)</f>
        <v>0</v>
      </c>
      <c r="AW26" s="304"/>
      <c r="AX26" s="181">
        <f t="shared" si="52"/>
        <v>0</v>
      </c>
      <c r="AY26" s="181">
        <f>SUMIFS('1-2 人员岗位信息'!M:M,'1-2 人员岗位信息'!$C:$C,"专业外包",'1-2 人员岗位信息'!$B:$B,$D26)</f>
        <v>0</v>
      </c>
      <c r="AZ26" s="304"/>
      <c r="BA26" s="181">
        <f t="shared" si="53"/>
        <v>0</v>
      </c>
      <c r="BB26" s="181">
        <f>SUMIFS('1-2 人员岗位信息'!N:N,'1-2 人员岗位信息'!$C:$C,"专业外包",'1-2 人员岗位信息'!$B:$B,$D26)</f>
        <v>0</v>
      </c>
      <c r="BC26" s="304"/>
      <c r="BD26" s="181">
        <f t="shared" si="54"/>
        <v>0</v>
      </c>
      <c r="BE26" s="181">
        <f>SUMIFS('1-2 人员岗位信息'!O:O,'1-2 人员岗位信息'!$C:$C,"专业外包",'1-2 人员岗位信息'!$B:$B,$D26)</f>
        <v>0</v>
      </c>
      <c r="BF26" s="304"/>
      <c r="BG26" s="181">
        <f t="shared" si="55"/>
        <v>0</v>
      </c>
      <c r="BH26" s="181">
        <f>SUMIFS('1-2 人员岗位信息'!P:P,'1-2 人员岗位信息'!$C:$C,"专业外包",'1-2 人员岗位信息'!$B:$B,$D26)</f>
        <v>0</v>
      </c>
      <c r="BI26" s="304"/>
      <c r="BJ26" s="181">
        <f t="shared" si="56"/>
        <v>0</v>
      </c>
      <c r="BK26" s="181">
        <f>SUMIFS('1-2 人员岗位信息'!Q:Q,'1-2 人员岗位信息'!$C:$C,"专业外包",'1-2 人员岗位信息'!$B:$B,$D26)</f>
        <v>0</v>
      </c>
      <c r="BL26" s="313"/>
      <c r="BM26" s="317"/>
      <c r="BN26" s="321"/>
    </row>
    <row r="27" s="269" customFormat="1" ht="33.95" hidden="1" customHeight="1" outlineLevel="5" spans="2:66">
      <c r="B27" s="181" t="s">
        <v>792</v>
      </c>
      <c r="C27" s="289" t="s">
        <v>829</v>
      </c>
      <c r="D27" s="269" t="s">
        <v>810</v>
      </c>
      <c r="E27" s="181" t="s">
        <v>811</v>
      </c>
      <c r="F27" s="181"/>
      <c r="G27" s="181" t="s">
        <v>796</v>
      </c>
      <c r="H27" s="181">
        <f t="shared" si="40"/>
        <v>0</v>
      </c>
      <c r="I27" s="181" t="s">
        <v>797</v>
      </c>
      <c r="J27" s="181" t="e">
        <f t="shared" si="41"/>
        <v>#DIV/0!</v>
      </c>
      <c r="K27" s="181" t="s">
        <v>798</v>
      </c>
      <c r="L27" s="181" t="e">
        <f t="shared" si="42"/>
        <v>#DIV/0!</v>
      </c>
      <c r="M27" s="181" t="s">
        <v>799</v>
      </c>
      <c r="N27" s="181">
        <f t="shared" si="43"/>
        <v>0</v>
      </c>
      <c r="O27" s="181"/>
      <c r="P27" s="296"/>
      <c r="Q27" s="296"/>
      <c r="R27" s="296"/>
      <c r="S27" s="296"/>
      <c r="T27" s="296"/>
      <c r="U27" s="296"/>
      <c r="V27" s="296"/>
      <c r="W27" s="296"/>
      <c r="X27" s="296"/>
      <c r="Y27" s="296"/>
      <c r="Z27" s="296"/>
      <c r="AA27" s="296"/>
      <c r="AB27" s="181">
        <f t="shared" si="44"/>
        <v>0</v>
      </c>
      <c r="AC27" s="181">
        <f t="shared" si="45"/>
        <v>0</v>
      </c>
      <c r="AD27" s="181">
        <f>'1-2 人员岗位信息'!F29</f>
        <v>0</v>
      </c>
      <c r="AE27" s="304"/>
      <c r="AF27" s="181">
        <f t="shared" si="46"/>
        <v>0</v>
      </c>
      <c r="AG27" s="181">
        <f>SUMIFS('1-2 人员岗位信息'!G:G,'1-2 人员岗位信息'!$C:$C,"专业外包",'1-2 人员岗位信息'!$B:$B,$D27)</f>
        <v>0</v>
      </c>
      <c r="AH27" s="304"/>
      <c r="AI27" s="181">
        <f t="shared" si="47"/>
        <v>0</v>
      </c>
      <c r="AJ27" s="181">
        <f>SUMIFS('1-2 人员岗位信息'!H:H,'1-2 人员岗位信息'!$C:$C,"专业外包",'1-2 人员岗位信息'!$B:$B,$D27)</f>
        <v>0</v>
      </c>
      <c r="AK27" s="304"/>
      <c r="AL27" s="181">
        <f t="shared" si="48"/>
        <v>0</v>
      </c>
      <c r="AM27" s="181">
        <f>SUMIFS('1-2 人员岗位信息'!I:I,'1-2 人员岗位信息'!$C:$C,"专业外包",'1-2 人员岗位信息'!$B:$B,$D27)</f>
        <v>0</v>
      </c>
      <c r="AN27" s="304"/>
      <c r="AO27" s="181">
        <f t="shared" si="49"/>
        <v>0</v>
      </c>
      <c r="AP27" s="181">
        <f>SUMIFS('1-2 人员岗位信息'!J:J,'1-2 人员岗位信息'!$C:$C,"专业外包",'1-2 人员岗位信息'!$B:$B,$D27)</f>
        <v>0</v>
      </c>
      <c r="AQ27" s="304"/>
      <c r="AR27" s="181">
        <f t="shared" si="50"/>
        <v>0</v>
      </c>
      <c r="AS27" s="181">
        <f>SUMIFS('1-2 人员岗位信息'!K:K,'1-2 人员岗位信息'!$C:$C,"专业外包",'1-2 人员岗位信息'!$B:$B,$D27)</f>
        <v>0</v>
      </c>
      <c r="AT27" s="304"/>
      <c r="AU27" s="181">
        <f t="shared" si="51"/>
        <v>0</v>
      </c>
      <c r="AV27" s="181">
        <f>SUMIFS('1-2 人员岗位信息'!L:L,'1-2 人员岗位信息'!$C:$C,"专业外包",'1-2 人员岗位信息'!$B:$B,$D27)</f>
        <v>0</v>
      </c>
      <c r="AW27" s="304"/>
      <c r="AX27" s="181">
        <f t="shared" si="52"/>
        <v>0</v>
      </c>
      <c r="AY27" s="181">
        <f>SUMIFS('1-2 人员岗位信息'!M:M,'1-2 人员岗位信息'!$C:$C,"专业外包",'1-2 人员岗位信息'!$B:$B,$D27)</f>
        <v>0</v>
      </c>
      <c r="AZ27" s="304"/>
      <c r="BA27" s="181">
        <f t="shared" si="53"/>
        <v>0</v>
      </c>
      <c r="BB27" s="181">
        <f>SUMIFS('1-2 人员岗位信息'!N:N,'1-2 人员岗位信息'!$C:$C,"专业外包",'1-2 人员岗位信息'!$B:$B,$D27)</f>
        <v>0</v>
      </c>
      <c r="BC27" s="304"/>
      <c r="BD27" s="181">
        <f t="shared" si="54"/>
        <v>0</v>
      </c>
      <c r="BE27" s="181">
        <f>SUMIFS('1-2 人员岗位信息'!O:O,'1-2 人员岗位信息'!$C:$C,"专业外包",'1-2 人员岗位信息'!$B:$B,$D27)</f>
        <v>0</v>
      </c>
      <c r="BF27" s="304"/>
      <c r="BG27" s="181">
        <f t="shared" si="55"/>
        <v>0</v>
      </c>
      <c r="BH27" s="181">
        <f>SUMIFS('1-2 人员岗位信息'!P:P,'1-2 人员岗位信息'!$C:$C,"专业外包",'1-2 人员岗位信息'!$B:$B,$D27)</f>
        <v>0</v>
      </c>
      <c r="BI27" s="304"/>
      <c r="BJ27" s="181">
        <f t="shared" si="56"/>
        <v>0</v>
      </c>
      <c r="BK27" s="181">
        <f>SUMIFS('1-2 人员岗位信息'!Q:Q,'1-2 人员岗位信息'!$C:$C,"专业外包",'1-2 人员岗位信息'!$B:$B,$D27)</f>
        <v>0</v>
      </c>
      <c r="BL27" s="313"/>
      <c r="BM27" s="317"/>
      <c r="BN27" s="321"/>
    </row>
    <row r="28" s="269" customFormat="1" ht="33.95" hidden="1" customHeight="1" outlineLevel="5" spans="2:66">
      <c r="B28" s="181" t="s">
        <v>792</v>
      </c>
      <c r="C28" s="289" t="s">
        <v>830</v>
      </c>
      <c r="D28" s="269" t="s">
        <v>813</v>
      </c>
      <c r="E28" s="181" t="s">
        <v>814</v>
      </c>
      <c r="F28" s="181"/>
      <c r="G28" s="181" t="s">
        <v>796</v>
      </c>
      <c r="H28" s="181">
        <f t="shared" si="40"/>
        <v>0</v>
      </c>
      <c r="I28" s="181" t="s">
        <v>797</v>
      </c>
      <c r="J28" s="181" t="e">
        <f t="shared" si="41"/>
        <v>#DIV/0!</v>
      </c>
      <c r="K28" s="181" t="s">
        <v>798</v>
      </c>
      <c r="L28" s="181" t="e">
        <f t="shared" si="42"/>
        <v>#DIV/0!</v>
      </c>
      <c r="M28" s="181" t="s">
        <v>799</v>
      </c>
      <c r="N28" s="181">
        <f t="shared" si="43"/>
        <v>0</v>
      </c>
      <c r="O28" s="181"/>
      <c r="P28" s="296"/>
      <c r="Q28" s="296"/>
      <c r="R28" s="296"/>
      <c r="S28" s="296"/>
      <c r="T28" s="296"/>
      <c r="U28" s="296"/>
      <c r="V28" s="296"/>
      <c r="W28" s="296"/>
      <c r="X28" s="296"/>
      <c r="Y28" s="296"/>
      <c r="Z28" s="296"/>
      <c r="AA28" s="296"/>
      <c r="AB28" s="181">
        <f t="shared" si="44"/>
        <v>0</v>
      </c>
      <c r="AC28" s="181">
        <f t="shared" si="45"/>
        <v>0</v>
      </c>
      <c r="AD28" s="181">
        <f>'1-2 人员岗位信息'!F33</f>
        <v>0</v>
      </c>
      <c r="AE28" s="304"/>
      <c r="AF28" s="181">
        <f t="shared" si="46"/>
        <v>0</v>
      </c>
      <c r="AG28" s="181">
        <f>SUMIFS('1-2 人员岗位信息'!G:G,'1-2 人员岗位信息'!$C:$C,"专业外包",'1-2 人员岗位信息'!$B:$B,$D28)</f>
        <v>0</v>
      </c>
      <c r="AH28" s="304"/>
      <c r="AI28" s="181">
        <f t="shared" si="47"/>
        <v>0</v>
      </c>
      <c r="AJ28" s="181">
        <f>SUMIFS('1-2 人员岗位信息'!H:H,'1-2 人员岗位信息'!$C:$C,"专业外包",'1-2 人员岗位信息'!$B:$B,$D28)</f>
        <v>0</v>
      </c>
      <c r="AK28" s="304"/>
      <c r="AL28" s="181">
        <f t="shared" si="48"/>
        <v>0</v>
      </c>
      <c r="AM28" s="181">
        <f>SUMIFS('1-2 人员岗位信息'!I:I,'1-2 人员岗位信息'!$C:$C,"专业外包",'1-2 人员岗位信息'!$B:$B,$D28)</f>
        <v>0</v>
      </c>
      <c r="AN28" s="304"/>
      <c r="AO28" s="181">
        <f t="shared" si="49"/>
        <v>0</v>
      </c>
      <c r="AP28" s="181">
        <f>SUMIFS('1-2 人员岗位信息'!J:J,'1-2 人员岗位信息'!$C:$C,"专业外包",'1-2 人员岗位信息'!$B:$B,$D28)</f>
        <v>0</v>
      </c>
      <c r="AQ28" s="304"/>
      <c r="AR28" s="181">
        <f t="shared" si="50"/>
        <v>0</v>
      </c>
      <c r="AS28" s="181">
        <f>SUMIFS('1-2 人员岗位信息'!K:K,'1-2 人员岗位信息'!$C:$C,"专业外包",'1-2 人员岗位信息'!$B:$B,$D28)</f>
        <v>0</v>
      </c>
      <c r="AT28" s="304"/>
      <c r="AU28" s="181">
        <f t="shared" si="51"/>
        <v>0</v>
      </c>
      <c r="AV28" s="181">
        <f>SUMIFS('1-2 人员岗位信息'!L:L,'1-2 人员岗位信息'!$C:$C,"专业外包",'1-2 人员岗位信息'!$B:$B,$D28)</f>
        <v>0</v>
      </c>
      <c r="AW28" s="304"/>
      <c r="AX28" s="181">
        <f t="shared" si="52"/>
        <v>0</v>
      </c>
      <c r="AY28" s="181">
        <f>SUMIFS('1-2 人员岗位信息'!M:M,'1-2 人员岗位信息'!$C:$C,"专业外包",'1-2 人员岗位信息'!$B:$B,$D28)</f>
        <v>0</v>
      </c>
      <c r="AZ28" s="304"/>
      <c r="BA28" s="181">
        <f t="shared" si="53"/>
        <v>0</v>
      </c>
      <c r="BB28" s="181">
        <f>SUMIFS('1-2 人员岗位信息'!N:N,'1-2 人员岗位信息'!$C:$C,"专业外包",'1-2 人员岗位信息'!$B:$B,$D28)</f>
        <v>0</v>
      </c>
      <c r="BC28" s="304"/>
      <c r="BD28" s="181">
        <f t="shared" si="54"/>
        <v>0</v>
      </c>
      <c r="BE28" s="181">
        <f>SUMIFS('1-2 人员岗位信息'!O:O,'1-2 人员岗位信息'!$C:$C,"专业外包",'1-2 人员岗位信息'!$B:$B,$D28)</f>
        <v>0</v>
      </c>
      <c r="BF28" s="304"/>
      <c r="BG28" s="181">
        <f t="shared" si="55"/>
        <v>0</v>
      </c>
      <c r="BH28" s="181">
        <f>SUMIFS('1-2 人员岗位信息'!P:P,'1-2 人员岗位信息'!$C:$C,"专业外包",'1-2 人员岗位信息'!$B:$B,$D28)</f>
        <v>0</v>
      </c>
      <c r="BI28" s="304"/>
      <c r="BJ28" s="181">
        <f t="shared" si="56"/>
        <v>0</v>
      </c>
      <c r="BK28" s="181">
        <f>SUMIFS('1-2 人员岗位信息'!Q:Q,'1-2 人员岗位信息'!$C:$C,"专业外包",'1-2 人员岗位信息'!$B:$B,$D28)</f>
        <v>0</v>
      </c>
      <c r="BL28" s="313"/>
      <c r="BM28" s="317"/>
      <c r="BN28" s="321"/>
    </row>
    <row r="29" s="43" customFormat="1" ht="33.95" customHeight="1" outlineLevel="3" collapsed="1" spans="2:66">
      <c r="B29" s="121" t="s">
        <v>787</v>
      </c>
      <c r="C29" s="122" t="s">
        <v>831</v>
      </c>
      <c r="D29" s="43" t="s">
        <v>832</v>
      </c>
      <c r="E29" s="121"/>
      <c r="F29" s="121"/>
      <c r="G29" s="121"/>
      <c r="H29" s="121">
        <f>H30+H39+H48</f>
        <v>568218.79</v>
      </c>
      <c r="I29" s="121"/>
      <c r="J29" s="121"/>
      <c r="K29" s="121"/>
      <c r="L29" s="121"/>
      <c r="M29" s="121"/>
      <c r="N29" s="121"/>
      <c r="O29" s="121"/>
      <c r="P29" s="294"/>
      <c r="Q29" s="294"/>
      <c r="R29" s="294"/>
      <c r="S29" s="294"/>
      <c r="T29" s="294"/>
      <c r="U29" s="294"/>
      <c r="V29" s="294"/>
      <c r="W29" s="294"/>
      <c r="X29" s="294"/>
      <c r="Y29" s="294"/>
      <c r="Z29" s="294"/>
      <c r="AA29" s="294"/>
      <c r="AB29" s="121">
        <f t="shared" ref="AB29:AF29" si="57">AB30+AB39+AB48</f>
        <v>568218.79</v>
      </c>
      <c r="AC29" s="121">
        <f t="shared" si="57"/>
        <v>568218.79</v>
      </c>
      <c r="AD29" s="121"/>
      <c r="AE29" s="121"/>
      <c r="AF29" s="121">
        <f t="shared" si="57"/>
        <v>0</v>
      </c>
      <c r="AG29" s="121"/>
      <c r="AH29" s="121"/>
      <c r="AI29" s="121">
        <f>AI30+AI39+AI48</f>
        <v>0</v>
      </c>
      <c r="AJ29" s="121"/>
      <c r="AK29" s="121"/>
      <c r="AL29" s="121">
        <f>AL30+AL39+AL48</f>
        <v>0</v>
      </c>
      <c r="AM29" s="121"/>
      <c r="AN29" s="121"/>
      <c r="AO29" s="121">
        <f>AO30+AO39+AO48</f>
        <v>0</v>
      </c>
      <c r="AP29" s="121"/>
      <c r="AQ29" s="121"/>
      <c r="AR29" s="121">
        <f>AR30+AR39+AR48</f>
        <v>0</v>
      </c>
      <c r="AS29" s="121"/>
      <c r="AT29" s="121"/>
      <c r="AU29" s="121">
        <f>AU30+AU39+AU48</f>
        <v>0</v>
      </c>
      <c r="AV29" s="121"/>
      <c r="AW29" s="121"/>
      <c r="AX29" s="121">
        <f>AX30+AX39+AX48</f>
        <v>0</v>
      </c>
      <c r="AY29" s="121"/>
      <c r="AZ29" s="121"/>
      <c r="BA29" s="121">
        <f>BA30+BA39+BA48</f>
        <v>0</v>
      </c>
      <c r="BB29" s="121"/>
      <c r="BC29" s="121"/>
      <c r="BD29" s="121">
        <f>BD30+BD39+BD48</f>
        <v>0</v>
      </c>
      <c r="BE29" s="121"/>
      <c r="BF29" s="121"/>
      <c r="BG29" s="121">
        <f>BG30+BG39+BG48</f>
        <v>0</v>
      </c>
      <c r="BH29" s="121"/>
      <c r="BI29" s="121"/>
      <c r="BJ29" s="121">
        <f>BJ30+BJ39+BJ48</f>
        <v>0</v>
      </c>
      <c r="BK29" s="121"/>
      <c r="BL29" s="311"/>
      <c r="BM29" s="317"/>
      <c r="BN29" s="319"/>
    </row>
    <row r="30" s="124" customFormat="1" ht="33.95" hidden="1" customHeight="1" outlineLevel="4" spans="2:66">
      <c r="B30" s="125" t="s">
        <v>787</v>
      </c>
      <c r="C30" s="126" t="s">
        <v>112</v>
      </c>
      <c r="D30" s="124" t="s">
        <v>109</v>
      </c>
      <c r="E30" s="125"/>
      <c r="F30" s="125"/>
      <c r="G30" s="125"/>
      <c r="H30" s="125">
        <f>SUM(H31:H38)</f>
        <v>568218.79</v>
      </c>
      <c r="I30" s="125"/>
      <c r="J30" s="125"/>
      <c r="K30" s="125"/>
      <c r="L30" s="125"/>
      <c r="M30" s="125"/>
      <c r="N30" s="125"/>
      <c r="O30" s="125"/>
      <c r="P30" s="295"/>
      <c r="Q30" s="295"/>
      <c r="R30" s="295"/>
      <c r="S30" s="295"/>
      <c r="T30" s="295"/>
      <c r="U30" s="295"/>
      <c r="V30" s="295"/>
      <c r="W30" s="295"/>
      <c r="X30" s="295"/>
      <c r="Y30" s="295"/>
      <c r="Z30" s="295"/>
      <c r="AA30" s="295"/>
      <c r="AB30" s="125">
        <f t="shared" ref="AB30:AF30" si="58">SUM(AB31:AB38)</f>
        <v>568218.79</v>
      </c>
      <c r="AC30" s="125">
        <f t="shared" si="58"/>
        <v>568218.79</v>
      </c>
      <c r="AD30" s="125"/>
      <c r="AE30" s="125"/>
      <c r="AF30" s="125">
        <f t="shared" si="58"/>
        <v>0</v>
      </c>
      <c r="AG30" s="125"/>
      <c r="AH30" s="125"/>
      <c r="AI30" s="125">
        <f>SUM(AI31:AI38)</f>
        <v>0</v>
      </c>
      <c r="AJ30" s="125"/>
      <c r="AK30" s="125"/>
      <c r="AL30" s="125">
        <f>SUM(AL31:AL38)</f>
        <v>0</v>
      </c>
      <c r="AM30" s="125"/>
      <c r="AN30" s="125"/>
      <c r="AO30" s="125">
        <f>SUM(AO31:AO38)</f>
        <v>0</v>
      </c>
      <c r="AP30" s="125"/>
      <c r="AQ30" s="125"/>
      <c r="AR30" s="125">
        <f>SUM(AR31:AR38)</f>
        <v>0</v>
      </c>
      <c r="AS30" s="125"/>
      <c r="AT30" s="125"/>
      <c r="AU30" s="125">
        <f>SUM(AU31:AU38)</f>
        <v>0</v>
      </c>
      <c r="AV30" s="125"/>
      <c r="AW30" s="125"/>
      <c r="AX30" s="125">
        <f>SUM(AX31:AX38)</f>
        <v>0</v>
      </c>
      <c r="AY30" s="125"/>
      <c r="AZ30" s="125"/>
      <c r="BA30" s="125">
        <f>SUM(BA31:BA38)</f>
        <v>0</v>
      </c>
      <c r="BB30" s="125"/>
      <c r="BC30" s="125"/>
      <c r="BD30" s="125">
        <f>SUM(BD31:BD38)</f>
        <v>0</v>
      </c>
      <c r="BE30" s="125"/>
      <c r="BF30" s="125"/>
      <c r="BG30" s="125">
        <f>SUM(BG31:BG38)</f>
        <v>0</v>
      </c>
      <c r="BH30" s="125"/>
      <c r="BI30" s="125"/>
      <c r="BJ30" s="125">
        <f>SUM(BJ31:BJ38)</f>
        <v>0</v>
      </c>
      <c r="BK30" s="125"/>
      <c r="BL30" s="312"/>
      <c r="BM30" s="317"/>
      <c r="BN30" s="320"/>
    </row>
    <row r="31" s="269" customFormat="1" ht="33.95" hidden="1" customHeight="1" outlineLevel="5" spans="2:66">
      <c r="B31" s="181" t="s">
        <v>792</v>
      </c>
      <c r="C31" s="289" t="s">
        <v>833</v>
      </c>
      <c r="D31" s="269" t="s">
        <v>834</v>
      </c>
      <c r="E31" s="181" t="s">
        <v>835</v>
      </c>
      <c r="F31" s="181"/>
      <c r="G31" s="181" t="s">
        <v>796</v>
      </c>
      <c r="H31" s="181">
        <f t="shared" ref="H31:H38" si="59">AB31</f>
        <v>568218.79</v>
      </c>
      <c r="I31" s="181" t="s">
        <v>797</v>
      </c>
      <c r="J31" s="181">
        <f t="shared" ref="J31:J38" si="60">SUM(AD31,AG31,AJ31,AM31,AP31,AS31,AV31,AY31,BB31,BE31,BH31,BK31)/N31</f>
        <v>66</v>
      </c>
      <c r="K31" s="181" t="s">
        <v>798</v>
      </c>
      <c r="L31" s="181">
        <f t="shared" ref="L31:L38" si="61">H31/N31/J31</f>
        <v>717.447967171717</v>
      </c>
      <c r="M31" s="181" t="s">
        <v>799</v>
      </c>
      <c r="N31" s="181">
        <f t="shared" ref="N31:N38" si="62">COUNTIF(AD31,"&gt;0")+COUNTIF(AG31,"&gt;0")+COUNTIF(AJ31,"&gt;0")+COUNTIF(AM31,"&gt;0")+COUNTIF(AP31,"&gt;0")+COUNTIF(AS31,"&gt;0")+COUNTIF(AV31,"&gt;0")+COUNTIF(AY31,"&gt;0")+COUNTIF(BB31,"&gt;0")+COUNTIF(BE31,"&gt;0")+COUNTIF(BH31,"&gt;0")+COUNTIF(BK31,"&gt;0")</f>
        <v>12</v>
      </c>
      <c r="O31" s="181"/>
      <c r="P31" s="296"/>
      <c r="Q31" s="296"/>
      <c r="R31" s="296"/>
      <c r="S31" s="296"/>
      <c r="T31" s="296"/>
      <c r="U31" s="296"/>
      <c r="V31" s="296"/>
      <c r="W31" s="296"/>
      <c r="X31" s="296"/>
      <c r="Y31" s="296"/>
      <c r="Z31" s="296"/>
      <c r="AA31" s="296"/>
      <c r="AB31" s="181">
        <f t="shared" ref="AB31:AB38" si="63">SUM(AC31,AF31,AI31,AL31,AO31,AR31,AU31,AX31,BA31,BD31,BG31,BJ31)</f>
        <v>568218.79</v>
      </c>
      <c r="AC31" s="181">
        <f t="shared" ref="AC31:AC38" si="64">AD31*AE31</f>
        <v>568218.79</v>
      </c>
      <c r="AD31" s="181">
        <f>SUMIFS('1-2 人员岗位信息'!F:F,'1-2 人员岗位信息'!$C:$C,"自有人员",'1-2 人员岗位信息'!$B:$B,$D31)</f>
        <v>66</v>
      </c>
      <c r="AE31" s="304">
        <f>自有人工预算!E28/AD31</f>
        <v>8609.37560606061</v>
      </c>
      <c r="AF31" s="181">
        <f t="shared" ref="AF31:AF38" si="65">AG31*AH31</f>
        <v>0</v>
      </c>
      <c r="AG31" s="181">
        <f>SUMIFS('1-2 人员岗位信息'!G:G,'1-2 人员岗位信息'!$C:$C,"自有人员",'1-2 人员岗位信息'!$B:$B,$D31)</f>
        <v>66</v>
      </c>
      <c r="AH31" s="304">
        <f>自有人工预算!F28/AG31</f>
        <v>0</v>
      </c>
      <c r="AI31" s="181">
        <f t="shared" ref="AI31:AI38" si="66">AJ31*AK31</f>
        <v>0</v>
      </c>
      <c r="AJ31" s="181">
        <f>SUMIFS('1-2 人员岗位信息'!H:H,'1-2 人员岗位信息'!$C:$C,"自有人员",'1-2 人员岗位信息'!$B:$B,$D31)</f>
        <v>66</v>
      </c>
      <c r="AK31" s="304">
        <f>自有人工预算!G28/AJ31</f>
        <v>0</v>
      </c>
      <c r="AL31" s="181">
        <f t="shared" ref="AL31:AL38" si="67">AM31*AN31</f>
        <v>0</v>
      </c>
      <c r="AM31" s="181">
        <f>SUMIFS('1-2 人员岗位信息'!I:I,'1-2 人员岗位信息'!$C:$C,"自有人员",'1-2 人员岗位信息'!$B:$B,$D31)</f>
        <v>66</v>
      </c>
      <c r="AN31" s="304">
        <f>自有人工预算!H28/AM31</f>
        <v>0</v>
      </c>
      <c r="AO31" s="181">
        <f t="shared" ref="AO31:AO38" si="68">AP31*AQ31</f>
        <v>0</v>
      </c>
      <c r="AP31" s="181">
        <f>SUMIFS('1-2 人员岗位信息'!J:J,'1-2 人员岗位信息'!$C:$C,"自有人员",'1-2 人员岗位信息'!$B:$B,$D31)</f>
        <v>66</v>
      </c>
      <c r="AQ31" s="304">
        <f>自有人工预算!I28/AP31</f>
        <v>0</v>
      </c>
      <c r="AR31" s="181">
        <f t="shared" ref="AR31:AR38" si="69">AS31*AT31</f>
        <v>0</v>
      </c>
      <c r="AS31" s="181">
        <f>SUMIFS('1-2 人员岗位信息'!K:K,'1-2 人员岗位信息'!$C:$C,"自有人员",'1-2 人员岗位信息'!$B:$B,$D31)</f>
        <v>66</v>
      </c>
      <c r="AT31" s="304">
        <f>自有人工预算!J28/AS31</f>
        <v>0</v>
      </c>
      <c r="AU31" s="181">
        <f t="shared" ref="AU31:AU38" si="70">AV31*AW31</f>
        <v>0</v>
      </c>
      <c r="AV31" s="181">
        <f>SUMIFS('1-2 人员岗位信息'!L:L,'1-2 人员岗位信息'!$C:$C,"自有人员",'1-2 人员岗位信息'!$B:$B,$D31)</f>
        <v>66</v>
      </c>
      <c r="AW31" s="304">
        <f>自有人工预算!K28/AV31</f>
        <v>0</v>
      </c>
      <c r="AX31" s="181">
        <f t="shared" ref="AX31:AX38" si="71">AY31*AZ31</f>
        <v>0</v>
      </c>
      <c r="AY31" s="181">
        <f>SUMIFS('1-2 人员岗位信息'!M:M,'1-2 人员岗位信息'!$C:$C,"自有人员",'1-2 人员岗位信息'!$B:$B,$D31)</f>
        <v>66</v>
      </c>
      <c r="AZ31" s="304">
        <f>自有人工预算!L28/AY31</f>
        <v>0</v>
      </c>
      <c r="BA31" s="181">
        <f t="shared" ref="BA31:BA38" si="72">BB31*BC31</f>
        <v>0</v>
      </c>
      <c r="BB31" s="181">
        <f>SUMIFS('1-2 人员岗位信息'!N:N,'1-2 人员岗位信息'!$C:$C,"自有人员",'1-2 人员岗位信息'!$B:$B,$D31)</f>
        <v>66</v>
      </c>
      <c r="BC31" s="304">
        <f>自有人工预算!M28/BB31</f>
        <v>0</v>
      </c>
      <c r="BD31" s="181">
        <f t="shared" ref="BD31:BD38" si="73">BE31*BF31</f>
        <v>0</v>
      </c>
      <c r="BE31" s="181">
        <f>SUMIFS('1-2 人员岗位信息'!O:O,'1-2 人员岗位信息'!$C:$C,"自有人员",'1-2 人员岗位信息'!$B:$B,$D31)</f>
        <v>66</v>
      </c>
      <c r="BF31" s="304">
        <f>自有人工预算!N28/BE31</f>
        <v>0</v>
      </c>
      <c r="BG31" s="181">
        <f t="shared" ref="BG31:BG38" si="74">BH31*BI31</f>
        <v>0</v>
      </c>
      <c r="BH31" s="181">
        <f>SUMIFS('1-2 人员岗位信息'!P:P,'1-2 人员岗位信息'!$C:$C,"自有人员",'1-2 人员岗位信息'!$B:$B,$D31)</f>
        <v>66</v>
      </c>
      <c r="BI31" s="304">
        <f>自有人工预算!O28/BH31</f>
        <v>0</v>
      </c>
      <c r="BJ31" s="181">
        <f t="shared" ref="BJ31:BJ38" si="75">BK31*BL31</f>
        <v>0</v>
      </c>
      <c r="BK31" s="181">
        <f>SUMIFS('1-2 人员岗位信息'!Q:Q,'1-2 人员岗位信息'!$C:$C,"自有人员",'1-2 人员岗位信息'!$B:$B,$D31)</f>
        <v>66</v>
      </c>
      <c r="BL31" s="304">
        <f>自有人工预算!P28/BK31</f>
        <v>0</v>
      </c>
      <c r="BM31" s="317"/>
      <c r="BN31" s="321"/>
    </row>
    <row r="32" s="269" customFormat="1" ht="33.95" hidden="1" customHeight="1" outlineLevel="5" spans="2:66">
      <c r="B32" s="181" t="s">
        <v>792</v>
      </c>
      <c r="C32" s="289" t="s">
        <v>836</v>
      </c>
      <c r="D32" s="269" t="s">
        <v>837</v>
      </c>
      <c r="E32" s="181" t="s">
        <v>835</v>
      </c>
      <c r="F32" s="181"/>
      <c r="G32" s="181" t="s">
        <v>796</v>
      </c>
      <c r="H32" s="181">
        <f t="shared" si="59"/>
        <v>0</v>
      </c>
      <c r="I32" s="181" t="s">
        <v>797</v>
      </c>
      <c r="J32" s="181" t="e">
        <f t="shared" si="60"/>
        <v>#DIV/0!</v>
      </c>
      <c r="K32" s="181" t="s">
        <v>798</v>
      </c>
      <c r="L32" s="181" t="e">
        <f t="shared" si="61"/>
        <v>#DIV/0!</v>
      </c>
      <c r="M32" s="181" t="s">
        <v>799</v>
      </c>
      <c r="N32" s="181">
        <f t="shared" si="62"/>
        <v>0</v>
      </c>
      <c r="O32" s="181"/>
      <c r="P32" s="296"/>
      <c r="Q32" s="296"/>
      <c r="R32" s="296"/>
      <c r="S32" s="296"/>
      <c r="T32" s="296"/>
      <c r="U32" s="296"/>
      <c r="V32" s="296"/>
      <c r="W32" s="296"/>
      <c r="X32" s="296"/>
      <c r="Y32" s="296"/>
      <c r="Z32" s="296"/>
      <c r="AA32" s="296"/>
      <c r="AB32" s="181">
        <f t="shared" si="63"/>
        <v>0</v>
      </c>
      <c r="AC32" s="181">
        <f t="shared" si="64"/>
        <v>0</v>
      </c>
      <c r="AD32" s="181">
        <f>SUMIFS('1-2 人员岗位信息'!F:F,'1-2 人员岗位信息'!$C:$C,"自有人员",'1-2 人员岗位信息'!$B:$B,$D32)</f>
        <v>0</v>
      </c>
      <c r="AE32" s="304"/>
      <c r="AF32" s="181">
        <f t="shared" si="65"/>
        <v>0</v>
      </c>
      <c r="AG32" s="181">
        <f>SUMIFS('1-2 人员岗位信息'!G:G,'1-2 人员岗位信息'!$C:$C,"自有人员",'1-2 人员岗位信息'!$B:$B,$D32)</f>
        <v>0</v>
      </c>
      <c r="AH32" s="304"/>
      <c r="AI32" s="181">
        <f t="shared" si="66"/>
        <v>0</v>
      </c>
      <c r="AJ32" s="181">
        <f>SUMIFS('1-2 人员岗位信息'!H:H,'1-2 人员岗位信息'!$C:$C,"自有人员",'1-2 人员岗位信息'!$B:$B,$D32)</f>
        <v>0</v>
      </c>
      <c r="AK32" s="304"/>
      <c r="AL32" s="181">
        <f t="shared" si="67"/>
        <v>0</v>
      </c>
      <c r="AM32" s="181">
        <f>SUMIFS('1-2 人员岗位信息'!I:I,'1-2 人员岗位信息'!$C:$C,"自有人员",'1-2 人员岗位信息'!$B:$B,$D32)</f>
        <v>0</v>
      </c>
      <c r="AN32" s="304"/>
      <c r="AO32" s="181">
        <f t="shared" si="68"/>
        <v>0</v>
      </c>
      <c r="AP32" s="181">
        <f>SUMIFS('1-2 人员岗位信息'!J:J,'1-2 人员岗位信息'!$C:$C,"自有人员",'1-2 人员岗位信息'!$B:$B,$D32)</f>
        <v>0</v>
      </c>
      <c r="AQ32" s="304"/>
      <c r="AR32" s="181">
        <f t="shared" si="69"/>
        <v>0</v>
      </c>
      <c r="AS32" s="181">
        <f>SUMIFS('1-2 人员岗位信息'!K:K,'1-2 人员岗位信息'!$C:$C,"自有人员",'1-2 人员岗位信息'!$B:$B,$D32)</f>
        <v>0</v>
      </c>
      <c r="AT32" s="304"/>
      <c r="AU32" s="181">
        <f t="shared" si="70"/>
        <v>0</v>
      </c>
      <c r="AV32" s="181">
        <f>SUMIFS('1-2 人员岗位信息'!L:L,'1-2 人员岗位信息'!$C:$C,"自有人员",'1-2 人员岗位信息'!$B:$B,$D32)</f>
        <v>0</v>
      </c>
      <c r="AW32" s="304"/>
      <c r="AX32" s="181">
        <f t="shared" si="71"/>
        <v>0</v>
      </c>
      <c r="AY32" s="181">
        <f>SUMIFS('1-2 人员岗位信息'!M:M,'1-2 人员岗位信息'!$C:$C,"自有人员",'1-2 人员岗位信息'!$B:$B,$D32)</f>
        <v>0</v>
      </c>
      <c r="AZ32" s="304"/>
      <c r="BA32" s="181">
        <f t="shared" si="72"/>
        <v>0</v>
      </c>
      <c r="BB32" s="181">
        <f>SUMIFS('1-2 人员岗位信息'!N:N,'1-2 人员岗位信息'!$C:$C,"自有人员",'1-2 人员岗位信息'!$B:$B,$D32)</f>
        <v>0</v>
      </c>
      <c r="BC32" s="304"/>
      <c r="BD32" s="181">
        <f t="shared" si="73"/>
        <v>0</v>
      </c>
      <c r="BE32" s="181">
        <f>SUMIFS('1-2 人员岗位信息'!O:O,'1-2 人员岗位信息'!$C:$C,"自有人员",'1-2 人员岗位信息'!$B:$B,$D32)</f>
        <v>0</v>
      </c>
      <c r="BF32" s="304"/>
      <c r="BG32" s="181">
        <f t="shared" si="74"/>
        <v>0</v>
      </c>
      <c r="BH32" s="181">
        <f>SUMIFS('1-2 人员岗位信息'!P:P,'1-2 人员岗位信息'!$C:$C,"自有人员",'1-2 人员岗位信息'!$B:$B,$D32)</f>
        <v>0</v>
      </c>
      <c r="BI32" s="304"/>
      <c r="BJ32" s="181">
        <f t="shared" si="75"/>
        <v>0</v>
      </c>
      <c r="BK32" s="181">
        <f>SUMIFS('1-2 人员岗位信息'!Q:Q,'1-2 人员岗位信息'!$C:$C,"自有人员",'1-2 人员岗位信息'!$B:$B,$D32)</f>
        <v>0</v>
      </c>
      <c r="BL32" s="313"/>
      <c r="BM32" s="317"/>
      <c r="BN32" s="321"/>
    </row>
    <row r="33" s="269" customFormat="1" ht="33.95" hidden="1" customHeight="1" outlineLevel="5" spans="2:66">
      <c r="B33" s="181" t="s">
        <v>792</v>
      </c>
      <c r="C33" s="289" t="s">
        <v>838</v>
      </c>
      <c r="D33" s="269" t="s">
        <v>839</v>
      </c>
      <c r="E33" s="181" t="s">
        <v>840</v>
      </c>
      <c r="F33" s="181"/>
      <c r="G33" s="181" t="s">
        <v>796</v>
      </c>
      <c r="H33" s="181">
        <f t="shared" si="59"/>
        <v>0</v>
      </c>
      <c r="I33" s="181" t="s">
        <v>797</v>
      </c>
      <c r="J33" s="181" t="e">
        <f t="shared" si="60"/>
        <v>#DIV/0!</v>
      </c>
      <c r="K33" s="181" t="s">
        <v>798</v>
      </c>
      <c r="L33" s="181" t="e">
        <f t="shared" si="61"/>
        <v>#DIV/0!</v>
      </c>
      <c r="M33" s="181" t="s">
        <v>799</v>
      </c>
      <c r="N33" s="181">
        <f t="shared" si="62"/>
        <v>0</v>
      </c>
      <c r="O33" s="181"/>
      <c r="P33" s="296"/>
      <c r="Q33" s="296"/>
      <c r="R33" s="296"/>
      <c r="S33" s="296"/>
      <c r="T33" s="296"/>
      <c r="U33" s="296"/>
      <c r="V33" s="296"/>
      <c r="W33" s="296"/>
      <c r="X33" s="296"/>
      <c r="Y33" s="296"/>
      <c r="Z33" s="296"/>
      <c r="AA33" s="296"/>
      <c r="AB33" s="181">
        <f t="shared" si="63"/>
        <v>0</v>
      </c>
      <c r="AC33" s="181">
        <f t="shared" si="64"/>
        <v>0</v>
      </c>
      <c r="AD33" s="181">
        <f>SUMIFS('1-2 人员岗位信息'!F:F,'1-2 人员岗位信息'!$C:$C,"自有人员",'1-2 人员岗位信息'!$B:$B,$D33)</f>
        <v>0</v>
      </c>
      <c r="AE33" s="304"/>
      <c r="AF33" s="181">
        <f t="shared" si="65"/>
        <v>0</v>
      </c>
      <c r="AG33" s="181">
        <f>SUMIFS('1-2 人员岗位信息'!G:G,'1-2 人员岗位信息'!$C:$C,"自有人员",'1-2 人员岗位信息'!$B:$B,$D33)</f>
        <v>0</v>
      </c>
      <c r="AH33" s="304"/>
      <c r="AI33" s="181">
        <f t="shared" si="66"/>
        <v>0</v>
      </c>
      <c r="AJ33" s="181">
        <f>SUMIFS('1-2 人员岗位信息'!H:H,'1-2 人员岗位信息'!$C:$C,"自有人员",'1-2 人员岗位信息'!$B:$B,$D33)</f>
        <v>0</v>
      </c>
      <c r="AK33" s="304"/>
      <c r="AL33" s="181">
        <f t="shared" si="67"/>
        <v>0</v>
      </c>
      <c r="AM33" s="181">
        <f>SUMIFS('1-2 人员岗位信息'!I:I,'1-2 人员岗位信息'!$C:$C,"自有人员",'1-2 人员岗位信息'!$B:$B,$D33)</f>
        <v>0</v>
      </c>
      <c r="AN33" s="304"/>
      <c r="AO33" s="181">
        <f t="shared" si="68"/>
        <v>0</v>
      </c>
      <c r="AP33" s="181">
        <f>SUMIFS('1-2 人员岗位信息'!J:J,'1-2 人员岗位信息'!$C:$C,"自有人员",'1-2 人员岗位信息'!$B:$B,$D33)</f>
        <v>0</v>
      </c>
      <c r="AQ33" s="304"/>
      <c r="AR33" s="181">
        <f t="shared" si="69"/>
        <v>0</v>
      </c>
      <c r="AS33" s="181">
        <f>SUMIFS('1-2 人员岗位信息'!K:K,'1-2 人员岗位信息'!$C:$C,"自有人员",'1-2 人员岗位信息'!$B:$B,$D33)</f>
        <v>0</v>
      </c>
      <c r="AT33" s="304"/>
      <c r="AU33" s="181">
        <f t="shared" si="70"/>
        <v>0</v>
      </c>
      <c r="AV33" s="181">
        <f>SUMIFS('1-2 人员岗位信息'!L:L,'1-2 人员岗位信息'!$C:$C,"自有人员",'1-2 人员岗位信息'!$B:$B,$D33)</f>
        <v>0</v>
      </c>
      <c r="AW33" s="304"/>
      <c r="AX33" s="181">
        <f t="shared" si="71"/>
        <v>0</v>
      </c>
      <c r="AY33" s="181">
        <f>SUMIFS('1-2 人员岗位信息'!M:M,'1-2 人员岗位信息'!$C:$C,"自有人员",'1-2 人员岗位信息'!$B:$B,$D33)</f>
        <v>0</v>
      </c>
      <c r="AZ33" s="304"/>
      <c r="BA33" s="181">
        <f t="shared" si="72"/>
        <v>0</v>
      </c>
      <c r="BB33" s="181">
        <f>SUMIFS('1-2 人员岗位信息'!N:N,'1-2 人员岗位信息'!$C:$C,"自有人员",'1-2 人员岗位信息'!$B:$B,$D33)</f>
        <v>0</v>
      </c>
      <c r="BC33" s="304"/>
      <c r="BD33" s="181">
        <f t="shared" si="73"/>
        <v>0</v>
      </c>
      <c r="BE33" s="181">
        <f>SUMIFS('1-2 人员岗位信息'!O:O,'1-2 人员岗位信息'!$C:$C,"自有人员",'1-2 人员岗位信息'!$B:$B,$D33)</f>
        <v>0</v>
      </c>
      <c r="BF33" s="304"/>
      <c r="BG33" s="181">
        <f t="shared" si="74"/>
        <v>0</v>
      </c>
      <c r="BH33" s="181">
        <f>SUMIFS('1-2 人员岗位信息'!P:P,'1-2 人员岗位信息'!$C:$C,"自有人员",'1-2 人员岗位信息'!$B:$B,$D33)</f>
        <v>0</v>
      </c>
      <c r="BI33" s="304"/>
      <c r="BJ33" s="181">
        <f t="shared" si="75"/>
        <v>0</v>
      </c>
      <c r="BK33" s="181">
        <f>SUMIFS('1-2 人员岗位信息'!Q:Q,'1-2 人员岗位信息'!$C:$C,"自有人员",'1-2 人员岗位信息'!$B:$B,$D33)</f>
        <v>0</v>
      </c>
      <c r="BL33" s="313"/>
      <c r="BM33" s="317"/>
      <c r="BN33" s="321"/>
    </row>
    <row r="34" s="269" customFormat="1" ht="33.95" hidden="1" customHeight="1" outlineLevel="5" spans="2:66">
      <c r="B34" s="181" t="s">
        <v>792</v>
      </c>
      <c r="C34" s="289" t="s">
        <v>841</v>
      </c>
      <c r="D34" s="269" t="s">
        <v>842</v>
      </c>
      <c r="E34" s="181" t="s">
        <v>843</v>
      </c>
      <c r="F34" s="181"/>
      <c r="G34" s="181" t="s">
        <v>796</v>
      </c>
      <c r="H34" s="181">
        <f t="shared" si="59"/>
        <v>0</v>
      </c>
      <c r="I34" s="181" t="s">
        <v>797</v>
      </c>
      <c r="J34" s="181" t="e">
        <f t="shared" si="60"/>
        <v>#DIV/0!</v>
      </c>
      <c r="K34" s="181" t="s">
        <v>798</v>
      </c>
      <c r="L34" s="181" t="e">
        <f t="shared" si="61"/>
        <v>#DIV/0!</v>
      </c>
      <c r="M34" s="181" t="s">
        <v>799</v>
      </c>
      <c r="N34" s="181">
        <f t="shared" si="62"/>
        <v>0</v>
      </c>
      <c r="O34" s="181"/>
      <c r="P34" s="296"/>
      <c r="Q34" s="296"/>
      <c r="R34" s="296"/>
      <c r="S34" s="296"/>
      <c r="T34" s="296"/>
      <c r="U34" s="296"/>
      <c r="V34" s="296"/>
      <c r="W34" s="296"/>
      <c r="X34" s="296"/>
      <c r="Y34" s="296"/>
      <c r="Z34" s="296"/>
      <c r="AA34" s="296"/>
      <c r="AB34" s="181">
        <f t="shared" si="63"/>
        <v>0</v>
      </c>
      <c r="AC34" s="181">
        <f t="shared" si="64"/>
        <v>0</v>
      </c>
      <c r="AD34" s="181">
        <f>SUMIFS('1-2 人员岗位信息'!F:F,'1-2 人员岗位信息'!$C:$C,"自有人员",'1-2 人员岗位信息'!$B:$B,$D34)</f>
        <v>0</v>
      </c>
      <c r="AE34" s="304"/>
      <c r="AF34" s="181">
        <f t="shared" si="65"/>
        <v>0</v>
      </c>
      <c r="AG34" s="181">
        <f>SUMIFS('1-2 人员岗位信息'!G:G,'1-2 人员岗位信息'!$C:$C,"自有人员",'1-2 人员岗位信息'!$B:$B,$D34)</f>
        <v>0</v>
      </c>
      <c r="AH34" s="304"/>
      <c r="AI34" s="181">
        <f t="shared" si="66"/>
        <v>0</v>
      </c>
      <c r="AJ34" s="181">
        <f>SUMIFS('1-2 人员岗位信息'!H:H,'1-2 人员岗位信息'!$C:$C,"自有人员",'1-2 人员岗位信息'!$B:$B,$D34)</f>
        <v>0</v>
      </c>
      <c r="AK34" s="304"/>
      <c r="AL34" s="181">
        <f t="shared" si="67"/>
        <v>0</v>
      </c>
      <c r="AM34" s="181">
        <f>SUMIFS('1-2 人员岗位信息'!I:I,'1-2 人员岗位信息'!$C:$C,"自有人员",'1-2 人员岗位信息'!$B:$B,$D34)</f>
        <v>0</v>
      </c>
      <c r="AN34" s="304"/>
      <c r="AO34" s="181">
        <f t="shared" si="68"/>
        <v>0</v>
      </c>
      <c r="AP34" s="181">
        <f>SUMIFS('1-2 人员岗位信息'!J:J,'1-2 人员岗位信息'!$C:$C,"自有人员",'1-2 人员岗位信息'!$B:$B,$D34)</f>
        <v>0</v>
      </c>
      <c r="AQ34" s="304"/>
      <c r="AR34" s="181">
        <f t="shared" si="69"/>
        <v>0</v>
      </c>
      <c r="AS34" s="181">
        <f>SUMIFS('1-2 人员岗位信息'!K:K,'1-2 人员岗位信息'!$C:$C,"自有人员",'1-2 人员岗位信息'!$B:$B,$D34)</f>
        <v>0</v>
      </c>
      <c r="AT34" s="304"/>
      <c r="AU34" s="181">
        <f t="shared" si="70"/>
        <v>0</v>
      </c>
      <c r="AV34" s="181">
        <f>SUMIFS('1-2 人员岗位信息'!L:L,'1-2 人员岗位信息'!$C:$C,"自有人员",'1-2 人员岗位信息'!$B:$B,$D34)</f>
        <v>0</v>
      </c>
      <c r="AW34" s="304"/>
      <c r="AX34" s="181">
        <f t="shared" si="71"/>
        <v>0</v>
      </c>
      <c r="AY34" s="181">
        <f>SUMIFS('1-2 人员岗位信息'!M:M,'1-2 人员岗位信息'!$C:$C,"自有人员",'1-2 人员岗位信息'!$B:$B,$D34)</f>
        <v>0</v>
      </c>
      <c r="AZ34" s="304"/>
      <c r="BA34" s="181">
        <f t="shared" si="72"/>
        <v>0</v>
      </c>
      <c r="BB34" s="181">
        <f>SUMIFS('1-2 人员岗位信息'!N:N,'1-2 人员岗位信息'!$C:$C,"自有人员",'1-2 人员岗位信息'!$B:$B,$D34)</f>
        <v>0</v>
      </c>
      <c r="BC34" s="304"/>
      <c r="BD34" s="181">
        <f t="shared" si="73"/>
        <v>0</v>
      </c>
      <c r="BE34" s="181">
        <f>SUMIFS('1-2 人员岗位信息'!O:O,'1-2 人员岗位信息'!$C:$C,"自有人员",'1-2 人员岗位信息'!$B:$B,$D34)</f>
        <v>0</v>
      </c>
      <c r="BF34" s="304"/>
      <c r="BG34" s="181">
        <f t="shared" si="74"/>
        <v>0</v>
      </c>
      <c r="BH34" s="181">
        <f>SUMIFS('1-2 人员岗位信息'!P:P,'1-2 人员岗位信息'!$C:$C,"自有人员",'1-2 人员岗位信息'!$B:$B,$D34)</f>
        <v>0</v>
      </c>
      <c r="BI34" s="304"/>
      <c r="BJ34" s="181">
        <f t="shared" si="75"/>
        <v>0</v>
      </c>
      <c r="BK34" s="181">
        <f>SUMIFS('1-2 人员岗位信息'!Q:Q,'1-2 人员岗位信息'!$C:$C,"自有人员",'1-2 人员岗位信息'!$B:$B,$D34)</f>
        <v>0</v>
      </c>
      <c r="BL34" s="313"/>
      <c r="BM34" s="317"/>
      <c r="BN34" s="321"/>
    </row>
    <row r="35" s="269" customFormat="1" ht="33.95" hidden="1" customHeight="1" outlineLevel="5" spans="2:66">
      <c r="B35" s="181" t="s">
        <v>792</v>
      </c>
      <c r="C35" s="289" t="s">
        <v>844</v>
      </c>
      <c r="D35" s="269" t="s">
        <v>845</v>
      </c>
      <c r="E35" s="181" t="s">
        <v>846</v>
      </c>
      <c r="F35" s="181"/>
      <c r="G35" s="181" t="s">
        <v>796</v>
      </c>
      <c r="H35" s="181">
        <f t="shared" si="59"/>
        <v>0</v>
      </c>
      <c r="I35" s="181" t="s">
        <v>797</v>
      </c>
      <c r="J35" s="181" t="e">
        <f t="shared" si="60"/>
        <v>#DIV/0!</v>
      </c>
      <c r="K35" s="181" t="s">
        <v>798</v>
      </c>
      <c r="L35" s="181" t="e">
        <f t="shared" si="61"/>
        <v>#DIV/0!</v>
      </c>
      <c r="M35" s="181" t="s">
        <v>799</v>
      </c>
      <c r="N35" s="181">
        <f t="shared" si="62"/>
        <v>0</v>
      </c>
      <c r="O35" s="181"/>
      <c r="P35" s="296"/>
      <c r="Q35" s="296"/>
      <c r="R35" s="296"/>
      <c r="S35" s="296"/>
      <c r="T35" s="296"/>
      <c r="U35" s="296"/>
      <c r="V35" s="296"/>
      <c r="W35" s="296"/>
      <c r="X35" s="296"/>
      <c r="Y35" s="296"/>
      <c r="Z35" s="296"/>
      <c r="AA35" s="296"/>
      <c r="AB35" s="181">
        <f t="shared" si="63"/>
        <v>0</v>
      </c>
      <c r="AC35" s="181">
        <f t="shared" si="64"/>
        <v>0</v>
      </c>
      <c r="AD35" s="181">
        <f>SUMIFS('1-2 人员岗位信息'!F:F,'1-2 人员岗位信息'!$C:$C,"自有人员",'1-2 人员岗位信息'!$B:$B,$D35)</f>
        <v>0</v>
      </c>
      <c r="AE35" s="304"/>
      <c r="AF35" s="181">
        <f t="shared" si="65"/>
        <v>0</v>
      </c>
      <c r="AG35" s="181">
        <f>SUMIFS('1-2 人员岗位信息'!G:G,'1-2 人员岗位信息'!$C:$C,"自有人员",'1-2 人员岗位信息'!$B:$B,$D35)</f>
        <v>0</v>
      </c>
      <c r="AH35" s="304"/>
      <c r="AI35" s="181">
        <f t="shared" si="66"/>
        <v>0</v>
      </c>
      <c r="AJ35" s="181">
        <f>SUMIFS('1-2 人员岗位信息'!H:H,'1-2 人员岗位信息'!$C:$C,"自有人员",'1-2 人员岗位信息'!$B:$B,$D35)</f>
        <v>0</v>
      </c>
      <c r="AK35" s="304"/>
      <c r="AL35" s="181">
        <f t="shared" si="67"/>
        <v>0</v>
      </c>
      <c r="AM35" s="181">
        <f>SUMIFS('1-2 人员岗位信息'!I:I,'1-2 人员岗位信息'!$C:$C,"自有人员",'1-2 人员岗位信息'!$B:$B,$D35)</f>
        <v>0</v>
      </c>
      <c r="AN35" s="304"/>
      <c r="AO35" s="181">
        <f t="shared" si="68"/>
        <v>0</v>
      </c>
      <c r="AP35" s="181">
        <f>SUMIFS('1-2 人员岗位信息'!J:J,'1-2 人员岗位信息'!$C:$C,"自有人员",'1-2 人员岗位信息'!$B:$B,$D35)</f>
        <v>0</v>
      </c>
      <c r="AQ35" s="304"/>
      <c r="AR35" s="181">
        <f t="shared" si="69"/>
        <v>0</v>
      </c>
      <c r="AS35" s="181">
        <f>SUMIFS('1-2 人员岗位信息'!K:K,'1-2 人员岗位信息'!$C:$C,"自有人员",'1-2 人员岗位信息'!$B:$B,$D35)</f>
        <v>0</v>
      </c>
      <c r="AT35" s="304"/>
      <c r="AU35" s="181">
        <f t="shared" si="70"/>
        <v>0</v>
      </c>
      <c r="AV35" s="181">
        <f>SUMIFS('1-2 人员岗位信息'!L:L,'1-2 人员岗位信息'!$C:$C,"自有人员",'1-2 人员岗位信息'!$B:$B,$D35)</f>
        <v>0</v>
      </c>
      <c r="AW35" s="304"/>
      <c r="AX35" s="181">
        <f t="shared" si="71"/>
        <v>0</v>
      </c>
      <c r="AY35" s="181">
        <f>SUMIFS('1-2 人员岗位信息'!M:M,'1-2 人员岗位信息'!$C:$C,"自有人员",'1-2 人员岗位信息'!$B:$B,$D35)</f>
        <v>0</v>
      </c>
      <c r="AZ35" s="304"/>
      <c r="BA35" s="181">
        <f t="shared" si="72"/>
        <v>0</v>
      </c>
      <c r="BB35" s="181">
        <f>SUMIFS('1-2 人员岗位信息'!N:N,'1-2 人员岗位信息'!$C:$C,"自有人员",'1-2 人员岗位信息'!$B:$B,$D35)</f>
        <v>0</v>
      </c>
      <c r="BC35" s="304"/>
      <c r="BD35" s="181">
        <f t="shared" si="73"/>
        <v>0</v>
      </c>
      <c r="BE35" s="181">
        <f>SUMIFS('1-2 人员岗位信息'!O:O,'1-2 人员岗位信息'!$C:$C,"自有人员",'1-2 人员岗位信息'!$B:$B,$D35)</f>
        <v>0</v>
      </c>
      <c r="BF35" s="304"/>
      <c r="BG35" s="181">
        <f t="shared" si="74"/>
        <v>0</v>
      </c>
      <c r="BH35" s="181">
        <f>SUMIFS('1-2 人员岗位信息'!P:P,'1-2 人员岗位信息'!$C:$C,"自有人员",'1-2 人员岗位信息'!$B:$B,$D35)</f>
        <v>0</v>
      </c>
      <c r="BI35" s="304"/>
      <c r="BJ35" s="181">
        <f t="shared" si="75"/>
        <v>0</v>
      </c>
      <c r="BK35" s="181">
        <f>SUMIFS('1-2 人员岗位信息'!Q:Q,'1-2 人员岗位信息'!$C:$C,"自有人员",'1-2 人员岗位信息'!$B:$B,$D35)</f>
        <v>0</v>
      </c>
      <c r="BL35" s="313"/>
      <c r="BM35" s="317"/>
      <c r="BN35" s="321"/>
    </row>
    <row r="36" s="269" customFormat="1" ht="33.95" hidden="1" customHeight="1" outlineLevel="5" spans="2:66">
      <c r="B36" s="181" t="s">
        <v>792</v>
      </c>
      <c r="C36" s="289" t="s">
        <v>847</v>
      </c>
      <c r="D36" s="269" t="s">
        <v>848</v>
      </c>
      <c r="E36" s="181" t="s">
        <v>849</v>
      </c>
      <c r="F36" s="181"/>
      <c r="G36" s="181" t="s">
        <v>796</v>
      </c>
      <c r="H36" s="181">
        <f t="shared" si="59"/>
        <v>0</v>
      </c>
      <c r="I36" s="181" t="s">
        <v>797</v>
      </c>
      <c r="J36" s="181" t="e">
        <f t="shared" si="60"/>
        <v>#DIV/0!</v>
      </c>
      <c r="K36" s="181" t="s">
        <v>798</v>
      </c>
      <c r="L36" s="181" t="e">
        <f t="shared" si="61"/>
        <v>#DIV/0!</v>
      </c>
      <c r="M36" s="181" t="s">
        <v>799</v>
      </c>
      <c r="N36" s="181">
        <f t="shared" si="62"/>
        <v>0</v>
      </c>
      <c r="O36" s="181"/>
      <c r="P36" s="296"/>
      <c r="Q36" s="296"/>
      <c r="R36" s="296"/>
      <c r="S36" s="296"/>
      <c r="T36" s="296"/>
      <c r="U36" s="296"/>
      <c r="V36" s="296"/>
      <c r="W36" s="296"/>
      <c r="X36" s="296"/>
      <c r="Y36" s="296"/>
      <c r="Z36" s="296"/>
      <c r="AA36" s="296"/>
      <c r="AB36" s="181">
        <f t="shared" si="63"/>
        <v>0</v>
      </c>
      <c r="AC36" s="181">
        <f t="shared" si="64"/>
        <v>0</v>
      </c>
      <c r="AD36" s="181">
        <f>SUMIFS('1-2 人员岗位信息'!F:F,'1-2 人员岗位信息'!$C:$C,"自有人员",'1-2 人员岗位信息'!$B:$B,$D36)</f>
        <v>0</v>
      </c>
      <c r="AE36" s="304"/>
      <c r="AF36" s="181">
        <f t="shared" si="65"/>
        <v>0</v>
      </c>
      <c r="AG36" s="181">
        <f>SUMIFS('1-2 人员岗位信息'!G:G,'1-2 人员岗位信息'!$C:$C,"自有人员",'1-2 人员岗位信息'!$B:$B,$D36)</f>
        <v>0</v>
      </c>
      <c r="AH36" s="304"/>
      <c r="AI36" s="181">
        <f t="shared" si="66"/>
        <v>0</v>
      </c>
      <c r="AJ36" s="181">
        <f>SUMIFS('1-2 人员岗位信息'!H:H,'1-2 人员岗位信息'!$C:$C,"自有人员",'1-2 人员岗位信息'!$B:$B,$D36)</f>
        <v>0</v>
      </c>
      <c r="AK36" s="304"/>
      <c r="AL36" s="181">
        <f t="shared" si="67"/>
        <v>0</v>
      </c>
      <c r="AM36" s="181">
        <f>SUMIFS('1-2 人员岗位信息'!I:I,'1-2 人员岗位信息'!$C:$C,"自有人员",'1-2 人员岗位信息'!$B:$B,$D36)</f>
        <v>0</v>
      </c>
      <c r="AN36" s="304"/>
      <c r="AO36" s="181">
        <f t="shared" si="68"/>
        <v>0</v>
      </c>
      <c r="AP36" s="181">
        <f>SUMIFS('1-2 人员岗位信息'!J:J,'1-2 人员岗位信息'!$C:$C,"自有人员",'1-2 人员岗位信息'!$B:$B,$D36)</f>
        <v>0</v>
      </c>
      <c r="AQ36" s="304"/>
      <c r="AR36" s="181">
        <f t="shared" si="69"/>
        <v>0</v>
      </c>
      <c r="AS36" s="181">
        <f>SUMIFS('1-2 人员岗位信息'!K:K,'1-2 人员岗位信息'!$C:$C,"自有人员",'1-2 人员岗位信息'!$B:$B,$D36)</f>
        <v>0</v>
      </c>
      <c r="AT36" s="304"/>
      <c r="AU36" s="181">
        <f t="shared" si="70"/>
        <v>0</v>
      </c>
      <c r="AV36" s="181">
        <f>SUMIFS('1-2 人员岗位信息'!L:L,'1-2 人员岗位信息'!$C:$C,"自有人员",'1-2 人员岗位信息'!$B:$B,$D36)</f>
        <v>0</v>
      </c>
      <c r="AW36" s="304"/>
      <c r="AX36" s="181">
        <f t="shared" si="71"/>
        <v>0</v>
      </c>
      <c r="AY36" s="181">
        <f>SUMIFS('1-2 人员岗位信息'!M:M,'1-2 人员岗位信息'!$C:$C,"自有人员",'1-2 人员岗位信息'!$B:$B,$D36)</f>
        <v>0</v>
      </c>
      <c r="AZ36" s="304"/>
      <c r="BA36" s="181">
        <f t="shared" si="72"/>
        <v>0</v>
      </c>
      <c r="BB36" s="181">
        <f>SUMIFS('1-2 人员岗位信息'!N:N,'1-2 人员岗位信息'!$C:$C,"自有人员",'1-2 人员岗位信息'!$B:$B,$D36)</f>
        <v>0</v>
      </c>
      <c r="BC36" s="304"/>
      <c r="BD36" s="181">
        <f t="shared" si="73"/>
        <v>0</v>
      </c>
      <c r="BE36" s="181">
        <f>SUMIFS('1-2 人员岗位信息'!O:O,'1-2 人员岗位信息'!$C:$C,"自有人员",'1-2 人员岗位信息'!$B:$B,$D36)</f>
        <v>0</v>
      </c>
      <c r="BF36" s="304"/>
      <c r="BG36" s="181">
        <f t="shared" si="74"/>
        <v>0</v>
      </c>
      <c r="BH36" s="181">
        <f>SUMIFS('1-2 人员岗位信息'!P:P,'1-2 人员岗位信息'!$C:$C,"自有人员",'1-2 人员岗位信息'!$B:$B,$D36)</f>
        <v>0</v>
      </c>
      <c r="BI36" s="304"/>
      <c r="BJ36" s="181">
        <f t="shared" si="75"/>
        <v>0</v>
      </c>
      <c r="BK36" s="181">
        <f>SUMIFS('1-2 人员岗位信息'!Q:Q,'1-2 人员岗位信息'!$C:$C,"自有人员",'1-2 人员岗位信息'!$B:$B,$D36)</f>
        <v>0</v>
      </c>
      <c r="BL36" s="313"/>
      <c r="BM36" s="317"/>
      <c r="BN36" s="321"/>
    </row>
    <row r="37" s="269" customFormat="1" ht="33.95" hidden="1" customHeight="1" outlineLevel="5" spans="2:66">
      <c r="B37" s="181" t="s">
        <v>792</v>
      </c>
      <c r="C37" s="289" t="s">
        <v>850</v>
      </c>
      <c r="D37" s="269" t="s">
        <v>851</v>
      </c>
      <c r="E37" s="181" t="s">
        <v>852</v>
      </c>
      <c r="F37" s="181"/>
      <c r="G37" s="181" t="s">
        <v>796</v>
      </c>
      <c r="H37" s="181">
        <f t="shared" si="59"/>
        <v>0</v>
      </c>
      <c r="I37" s="181" t="s">
        <v>797</v>
      </c>
      <c r="J37" s="181" t="e">
        <f t="shared" si="60"/>
        <v>#DIV/0!</v>
      </c>
      <c r="K37" s="181" t="s">
        <v>798</v>
      </c>
      <c r="L37" s="181" t="e">
        <f t="shared" si="61"/>
        <v>#DIV/0!</v>
      </c>
      <c r="M37" s="181" t="s">
        <v>799</v>
      </c>
      <c r="N37" s="181">
        <f t="shared" si="62"/>
        <v>0</v>
      </c>
      <c r="O37" s="181"/>
      <c r="P37" s="296"/>
      <c r="Q37" s="296"/>
      <c r="R37" s="296"/>
      <c r="S37" s="296"/>
      <c r="T37" s="296"/>
      <c r="U37" s="296"/>
      <c r="V37" s="296"/>
      <c r="W37" s="296"/>
      <c r="X37" s="296"/>
      <c r="Y37" s="296"/>
      <c r="Z37" s="296"/>
      <c r="AA37" s="296"/>
      <c r="AB37" s="181">
        <f t="shared" si="63"/>
        <v>0</v>
      </c>
      <c r="AC37" s="181">
        <f t="shared" si="64"/>
        <v>0</v>
      </c>
      <c r="AD37" s="181">
        <f>SUMIFS('1-2 人员岗位信息'!F:F,'1-2 人员岗位信息'!$C:$C,"自有人员",'1-2 人员岗位信息'!$B:$B,$D37)</f>
        <v>0</v>
      </c>
      <c r="AE37" s="304"/>
      <c r="AF37" s="181">
        <f t="shared" si="65"/>
        <v>0</v>
      </c>
      <c r="AG37" s="181">
        <f>SUMIFS('1-2 人员岗位信息'!G:G,'1-2 人员岗位信息'!$C:$C,"自有人员",'1-2 人员岗位信息'!$B:$B,$D37)</f>
        <v>0</v>
      </c>
      <c r="AH37" s="304"/>
      <c r="AI37" s="181">
        <f t="shared" si="66"/>
        <v>0</v>
      </c>
      <c r="AJ37" s="181">
        <f>SUMIFS('1-2 人员岗位信息'!H:H,'1-2 人员岗位信息'!$C:$C,"自有人员",'1-2 人员岗位信息'!$B:$B,$D37)</f>
        <v>0</v>
      </c>
      <c r="AK37" s="304"/>
      <c r="AL37" s="181">
        <f t="shared" si="67"/>
        <v>0</v>
      </c>
      <c r="AM37" s="181">
        <f>SUMIFS('1-2 人员岗位信息'!I:I,'1-2 人员岗位信息'!$C:$C,"自有人员",'1-2 人员岗位信息'!$B:$B,$D37)</f>
        <v>0</v>
      </c>
      <c r="AN37" s="304"/>
      <c r="AO37" s="181">
        <f t="shared" si="68"/>
        <v>0</v>
      </c>
      <c r="AP37" s="181">
        <f>SUMIFS('1-2 人员岗位信息'!J:J,'1-2 人员岗位信息'!$C:$C,"自有人员",'1-2 人员岗位信息'!$B:$B,$D37)</f>
        <v>0</v>
      </c>
      <c r="AQ37" s="304"/>
      <c r="AR37" s="181">
        <f t="shared" si="69"/>
        <v>0</v>
      </c>
      <c r="AS37" s="181">
        <f>SUMIFS('1-2 人员岗位信息'!K:K,'1-2 人员岗位信息'!$C:$C,"自有人员",'1-2 人员岗位信息'!$B:$B,$D37)</f>
        <v>0</v>
      </c>
      <c r="AT37" s="304"/>
      <c r="AU37" s="181">
        <f t="shared" si="70"/>
        <v>0</v>
      </c>
      <c r="AV37" s="181">
        <f>SUMIFS('1-2 人员岗位信息'!L:L,'1-2 人员岗位信息'!$C:$C,"自有人员",'1-2 人员岗位信息'!$B:$B,$D37)</f>
        <v>0</v>
      </c>
      <c r="AW37" s="304"/>
      <c r="AX37" s="181">
        <f t="shared" si="71"/>
        <v>0</v>
      </c>
      <c r="AY37" s="181">
        <f>SUMIFS('1-2 人员岗位信息'!M:M,'1-2 人员岗位信息'!$C:$C,"自有人员",'1-2 人员岗位信息'!$B:$B,$D37)</f>
        <v>0</v>
      </c>
      <c r="AZ37" s="304"/>
      <c r="BA37" s="181">
        <f t="shared" si="72"/>
        <v>0</v>
      </c>
      <c r="BB37" s="181">
        <f>SUMIFS('1-2 人员岗位信息'!N:N,'1-2 人员岗位信息'!$C:$C,"自有人员",'1-2 人员岗位信息'!$B:$B,$D37)</f>
        <v>0</v>
      </c>
      <c r="BC37" s="304"/>
      <c r="BD37" s="181">
        <f t="shared" si="73"/>
        <v>0</v>
      </c>
      <c r="BE37" s="181">
        <f>SUMIFS('1-2 人员岗位信息'!O:O,'1-2 人员岗位信息'!$C:$C,"自有人员",'1-2 人员岗位信息'!$B:$B,$D37)</f>
        <v>0</v>
      </c>
      <c r="BF37" s="304"/>
      <c r="BG37" s="181">
        <f t="shared" si="74"/>
        <v>0</v>
      </c>
      <c r="BH37" s="181">
        <f>SUMIFS('1-2 人员岗位信息'!P:P,'1-2 人员岗位信息'!$C:$C,"自有人员",'1-2 人员岗位信息'!$B:$B,$D37)</f>
        <v>0</v>
      </c>
      <c r="BI37" s="304"/>
      <c r="BJ37" s="181">
        <f t="shared" si="75"/>
        <v>0</v>
      </c>
      <c r="BK37" s="181">
        <f>SUMIFS('1-2 人员岗位信息'!Q:Q,'1-2 人员岗位信息'!$C:$C,"自有人员",'1-2 人员岗位信息'!$B:$B,$D37)</f>
        <v>0</v>
      </c>
      <c r="BL37" s="313"/>
      <c r="BM37" s="317"/>
      <c r="BN37" s="321"/>
    </row>
    <row r="38" s="269" customFormat="1" ht="33.95" hidden="1" customHeight="1" outlineLevel="5" spans="2:66">
      <c r="B38" s="181" t="s">
        <v>792</v>
      </c>
      <c r="C38" s="289" t="s">
        <v>853</v>
      </c>
      <c r="D38" s="269" t="s">
        <v>854</v>
      </c>
      <c r="E38" s="181" t="s">
        <v>814</v>
      </c>
      <c r="F38" s="181"/>
      <c r="G38" s="181" t="s">
        <v>796</v>
      </c>
      <c r="H38" s="181">
        <f t="shared" si="59"/>
        <v>0</v>
      </c>
      <c r="I38" s="181" t="s">
        <v>797</v>
      </c>
      <c r="J38" s="181" t="e">
        <f t="shared" si="60"/>
        <v>#DIV/0!</v>
      </c>
      <c r="K38" s="181" t="s">
        <v>798</v>
      </c>
      <c r="L38" s="181" t="e">
        <f t="shared" si="61"/>
        <v>#DIV/0!</v>
      </c>
      <c r="M38" s="181" t="s">
        <v>799</v>
      </c>
      <c r="N38" s="181">
        <f t="shared" si="62"/>
        <v>0</v>
      </c>
      <c r="O38" s="181"/>
      <c r="P38" s="296"/>
      <c r="Q38" s="296"/>
      <c r="R38" s="296"/>
      <c r="S38" s="296"/>
      <c r="T38" s="296"/>
      <c r="U38" s="296"/>
      <c r="V38" s="296"/>
      <c r="W38" s="296"/>
      <c r="X38" s="296"/>
      <c r="Y38" s="296"/>
      <c r="Z38" s="296"/>
      <c r="AA38" s="296"/>
      <c r="AB38" s="181">
        <f t="shared" si="63"/>
        <v>0</v>
      </c>
      <c r="AC38" s="181">
        <f t="shared" si="64"/>
        <v>0</v>
      </c>
      <c r="AD38" s="181">
        <f>SUMIFS('1-2 人员岗位信息'!F:F,'1-2 人员岗位信息'!$C:$C,"自有人员",'1-2 人员岗位信息'!$B:$B,$D38)</f>
        <v>0</v>
      </c>
      <c r="AE38" s="304"/>
      <c r="AF38" s="181">
        <f t="shared" si="65"/>
        <v>0</v>
      </c>
      <c r="AG38" s="181">
        <f>SUMIFS('1-2 人员岗位信息'!G:G,'1-2 人员岗位信息'!$C:$C,"自有人员",'1-2 人员岗位信息'!$B:$B,$D38)</f>
        <v>0</v>
      </c>
      <c r="AH38" s="304"/>
      <c r="AI38" s="181">
        <f t="shared" si="66"/>
        <v>0</v>
      </c>
      <c r="AJ38" s="181">
        <f>SUMIFS('1-2 人员岗位信息'!H:H,'1-2 人员岗位信息'!$C:$C,"自有人员",'1-2 人员岗位信息'!$B:$B,$D38)</f>
        <v>0</v>
      </c>
      <c r="AK38" s="304"/>
      <c r="AL38" s="181">
        <f t="shared" si="67"/>
        <v>0</v>
      </c>
      <c r="AM38" s="181">
        <f>SUMIFS('1-2 人员岗位信息'!I:I,'1-2 人员岗位信息'!$C:$C,"自有人员",'1-2 人员岗位信息'!$B:$B,$D38)</f>
        <v>0</v>
      </c>
      <c r="AN38" s="304"/>
      <c r="AO38" s="181">
        <f t="shared" si="68"/>
        <v>0</v>
      </c>
      <c r="AP38" s="181">
        <f>SUMIFS('1-2 人员岗位信息'!J:J,'1-2 人员岗位信息'!$C:$C,"自有人员",'1-2 人员岗位信息'!$B:$B,$D38)</f>
        <v>0</v>
      </c>
      <c r="AQ38" s="304"/>
      <c r="AR38" s="181">
        <f t="shared" si="69"/>
        <v>0</v>
      </c>
      <c r="AS38" s="181">
        <f>SUMIFS('1-2 人员岗位信息'!K:K,'1-2 人员岗位信息'!$C:$C,"自有人员",'1-2 人员岗位信息'!$B:$B,$D38)</f>
        <v>0</v>
      </c>
      <c r="AT38" s="304"/>
      <c r="AU38" s="181">
        <f t="shared" si="70"/>
        <v>0</v>
      </c>
      <c r="AV38" s="181">
        <f>SUMIFS('1-2 人员岗位信息'!L:L,'1-2 人员岗位信息'!$C:$C,"自有人员",'1-2 人员岗位信息'!$B:$B,$D38)</f>
        <v>0</v>
      </c>
      <c r="AW38" s="304"/>
      <c r="AX38" s="181">
        <f t="shared" si="71"/>
        <v>0</v>
      </c>
      <c r="AY38" s="181">
        <f>SUMIFS('1-2 人员岗位信息'!M:M,'1-2 人员岗位信息'!$C:$C,"自有人员",'1-2 人员岗位信息'!$B:$B,$D38)</f>
        <v>0</v>
      </c>
      <c r="AZ38" s="304"/>
      <c r="BA38" s="181">
        <f t="shared" si="72"/>
        <v>0</v>
      </c>
      <c r="BB38" s="181">
        <f>SUMIFS('1-2 人员岗位信息'!N:N,'1-2 人员岗位信息'!$C:$C,"自有人员",'1-2 人员岗位信息'!$B:$B,$D38)</f>
        <v>0</v>
      </c>
      <c r="BC38" s="304"/>
      <c r="BD38" s="181">
        <f t="shared" si="73"/>
        <v>0</v>
      </c>
      <c r="BE38" s="181">
        <f>SUMIFS('1-2 人员岗位信息'!O:O,'1-2 人员岗位信息'!$C:$C,"自有人员",'1-2 人员岗位信息'!$B:$B,$D38)</f>
        <v>0</v>
      </c>
      <c r="BF38" s="304"/>
      <c r="BG38" s="181">
        <f t="shared" si="74"/>
        <v>0</v>
      </c>
      <c r="BH38" s="181">
        <f>SUMIFS('1-2 人员岗位信息'!P:P,'1-2 人员岗位信息'!$C:$C,"自有人员",'1-2 人员岗位信息'!$B:$B,$D38)</f>
        <v>0</v>
      </c>
      <c r="BI38" s="304"/>
      <c r="BJ38" s="181">
        <f t="shared" si="75"/>
        <v>0</v>
      </c>
      <c r="BK38" s="181">
        <f>SUMIFS('1-2 人员岗位信息'!Q:Q,'1-2 人员岗位信息'!$C:$C,"自有人员",'1-2 人员岗位信息'!$B:$B,$D38)</f>
        <v>0</v>
      </c>
      <c r="BL38" s="313"/>
      <c r="BM38" s="317"/>
      <c r="BN38" s="321"/>
    </row>
    <row r="39" s="124" customFormat="1" ht="33.95" hidden="1" customHeight="1" outlineLevel="4" spans="2:66">
      <c r="B39" s="125" t="s">
        <v>787</v>
      </c>
      <c r="C39" s="126" t="s">
        <v>69</v>
      </c>
      <c r="D39" s="124" t="s">
        <v>68</v>
      </c>
      <c r="E39" s="125"/>
      <c r="F39" s="125"/>
      <c r="G39" s="125"/>
      <c r="H39" s="125">
        <f>SUM(H40:H47)</f>
        <v>0</v>
      </c>
      <c r="I39" s="125"/>
      <c r="J39" s="125"/>
      <c r="K39" s="125"/>
      <c r="L39" s="125"/>
      <c r="M39" s="125"/>
      <c r="N39" s="125"/>
      <c r="O39" s="125"/>
      <c r="P39" s="295"/>
      <c r="Q39" s="295"/>
      <c r="R39" s="295"/>
      <c r="S39" s="295"/>
      <c r="T39" s="295"/>
      <c r="U39" s="295"/>
      <c r="V39" s="295"/>
      <c r="W39" s="295"/>
      <c r="X39" s="295"/>
      <c r="Y39" s="295"/>
      <c r="Z39" s="295"/>
      <c r="AA39" s="295"/>
      <c r="AB39" s="125">
        <f t="shared" ref="AB39:AF39" si="76">SUM(AB40:AB47)</f>
        <v>0</v>
      </c>
      <c r="AC39" s="125">
        <f t="shared" si="76"/>
        <v>0</v>
      </c>
      <c r="AD39" s="125"/>
      <c r="AE39" s="125"/>
      <c r="AF39" s="125">
        <f t="shared" si="76"/>
        <v>0</v>
      </c>
      <c r="AG39" s="125"/>
      <c r="AH39" s="125"/>
      <c r="AI39" s="125">
        <f>SUM(AI40:AI47)</f>
        <v>0</v>
      </c>
      <c r="AJ39" s="125"/>
      <c r="AK39" s="125"/>
      <c r="AL39" s="125">
        <f>SUM(AL40:AL47)</f>
        <v>0</v>
      </c>
      <c r="AM39" s="125"/>
      <c r="AN39" s="125"/>
      <c r="AO39" s="125">
        <f>SUM(AO40:AO47)</f>
        <v>0</v>
      </c>
      <c r="AP39" s="125"/>
      <c r="AQ39" s="125"/>
      <c r="AR39" s="125">
        <f>SUM(AR40:AR47)</f>
        <v>0</v>
      </c>
      <c r="AS39" s="125"/>
      <c r="AT39" s="125"/>
      <c r="AU39" s="125">
        <f>SUM(AU40:AU47)</f>
        <v>0</v>
      </c>
      <c r="AV39" s="125"/>
      <c r="AW39" s="125"/>
      <c r="AX39" s="125">
        <f>SUM(AX40:AX47)</f>
        <v>0</v>
      </c>
      <c r="AY39" s="125"/>
      <c r="AZ39" s="125"/>
      <c r="BA39" s="125">
        <f>SUM(BA40:BA47)</f>
        <v>0</v>
      </c>
      <c r="BB39" s="125"/>
      <c r="BC39" s="125"/>
      <c r="BD39" s="125">
        <f>SUM(BD40:BD47)</f>
        <v>0</v>
      </c>
      <c r="BE39" s="125"/>
      <c r="BF39" s="125"/>
      <c r="BG39" s="125">
        <f>SUM(BG40:BG47)</f>
        <v>0</v>
      </c>
      <c r="BH39" s="125"/>
      <c r="BI39" s="125"/>
      <c r="BJ39" s="125">
        <f>SUM(BJ40:BJ47)</f>
        <v>0</v>
      </c>
      <c r="BK39" s="125"/>
      <c r="BL39" s="312"/>
      <c r="BM39" s="317"/>
      <c r="BN39" s="320"/>
    </row>
    <row r="40" s="269" customFormat="1" ht="33.95" hidden="1" customHeight="1" outlineLevel="5" spans="2:66">
      <c r="B40" s="181" t="s">
        <v>792</v>
      </c>
      <c r="C40" s="289" t="s">
        <v>855</v>
      </c>
      <c r="D40" s="269" t="s">
        <v>834</v>
      </c>
      <c r="E40" s="181" t="s">
        <v>856</v>
      </c>
      <c r="F40" s="181"/>
      <c r="G40" s="181" t="s">
        <v>796</v>
      </c>
      <c r="H40" s="181">
        <f t="shared" ref="H40:H47" si="77">AB40</f>
        <v>0</v>
      </c>
      <c r="I40" s="181" t="s">
        <v>797</v>
      </c>
      <c r="J40" s="181" t="e">
        <f t="shared" ref="J40:J47" si="78">SUM(AD40,AG40,AJ40,AM40,AP40,AS40,AV40,AY40,BB40,BE40,BH40,BK40)/N40</f>
        <v>#DIV/0!</v>
      </c>
      <c r="K40" s="181" t="s">
        <v>798</v>
      </c>
      <c r="L40" s="181" t="e">
        <f t="shared" ref="L40:L47" si="79">H40/N40/J40</f>
        <v>#DIV/0!</v>
      </c>
      <c r="M40" s="181" t="s">
        <v>799</v>
      </c>
      <c r="N40" s="181">
        <f t="shared" ref="N40:N47" si="80">COUNTIF(AD40,"&gt;0")+COUNTIF(AG40,"&gt;0")+COUNTIF(AJ40,"&gt;0")+COUNTIF(AM40,"&gt;0")+COUNTIF(AP40,"&gt;0")+COUNTIF(AS40,"&gt;0")+COUNTIF(AV40,"&gt;0")+COUNTIF(AY40,"&gt;0")+COUNTIF(BB40,"&gt;0")+COUNTIF(BE40,"&gt;0")+COUNTIF(BH40,"&gt;0")+COUNTIF(BK40,"&gt;0")</f>
        <v>0</v>
      </c>
      <c r="O40" s="181"/>
      <c r="P40" s="296"/>
      <c r="Q40" s="296"/>
      <c r="R40" s="296"/>
      <c r="S40" s="296"/>
      <c r="T40" s="296"/>
      <c r="U40" s="296"/>
      <c r="V40" s="296"/>
      <c r="W40" s="296"/>
      <c r="X40" s="296"/>
      <c r="Y40" s="296"/>
      <c r="Z40" s="296"/>
      <c r="AA40" s="296"/>
      <c r="AB40" s="181">
        <f t="shared" ref="AB40:AB47" si="81">SUM(AC40,AF40,AI40,AL40,AO40,AR40,AU40,AX40,BA40,BD40,BG40,BJ40)</f>
        <v>0</v>
      </c>
      <c r="AC40" s="181">
        <f t="shared" ref="AC40:AC47" si="82">AD40*AE40</f>
        <v>0</v>
      </c>
      <c r="AD40" s="181">
        <f>SUMIFS('1-2 人员岗位信息'!F:F,'1-2 人员岗位信息'!$C:$C,"劳务派遣",'1-2 人员岗位信息'!$B:$B,$D40)</f>
        <v>0</v>
      </c>
      <c r="AE40" s="304"/>
      <c r="AF40" s="181">
        <f t="shared" ref="AF40:AF47" si="83">AG40*AH40</f>
        <v>0</v>
      </c>
      <c r="AG40" s="181">
        <f>SUMIFS('1-2 人员岗位信息'!G:G,'1-2 人员岗位信息'!$C:$C,"劳务派遣",'1-2 人员岗位信息'!$B:$B,$D40)</f>
        <v>0</v>
      </c>
      <c r="AH40" s="304"/>
      <c r="AI40" s="181">
        <f t="shared" ref="AI40:AI47" si="84">AJ40*AK40</f>
        <v>0</v>
      </c>
      <c r="AJ40" s="181">
        <f>SUMIFS('1-2 人员岗位信息'!H:H,'1-2 人员岗位信息'!$C:$C,"劳务派遣",'1-2 人员岗位信息'!$B:$B,$D40)</f>
        <v>0</v>
      </c>
      <c r="AK40" s="304"/>
      <c r="AL40" s="181">
        <f t="shared" ref="AL40:AL47" si="85">AM40*AN40</f>
        <v>0</v>
      </c>
      <c r="AM40" s="181">
        <f>SUMIFS('1-2 人员岗位信息'!I:I,'1-2 人员岗位信息'!$C:$C,"劳务派遣",'1-2 人员岗位信息'!$B:$B,$D40)</f>
        <v>0</v>
      </c>
      <c r="AN40" s="304"/>
      <c r="AO40" s="181">
        <f t="shared" ref="AO40:AO47" si="86">AP40*AQ40</f>
        <v>0</v>
      </c>
      <c r="AP40" s="181">
        <f>SUMIFS('1-2 人员岗位信息'!J:J,'1-2 人员岗位信息'!$C:$C,"劳务派遣",'1-2 人员岗位信息'!$B:$B,$D40)</f>
        <v>0</v>
      </c>
      <c r="AQ40" s="304"/>
      <c r="AR40" s="181">
        <f t="shared" ref="AR40:AR47" si="87">AS40*AT40</f>
        <v>0</v>
      </c>
      <c r="AS40" s="181">
        <f>SUMIFS('1-2 人员岗位信息'!K:K,'1-2 人员岗位信息'!$C:$C,"劳务派遣",'1-2 人员岗位信息'!$B:$B,$D40)</f>
        <v>0</v>
      </c>
      <c r="AT40" s="304"/>
      <c r="AU40" s="181">
        <f t="shared" ref="AU40:AU47" si="88">AV40*AW40</f>
        <v>0</v>
      </c>
      <c r="AV40" s="181">
        <f>SUMIFS('1-2 人员岗位信息'!L:L,'1-2 人员岗位信息'!$C:$C,"劳务派遣",'1-2 人员岗位信息'!$B:$B,$D40)</f>
        <v>0</v>
      </c>
      <c r="AW40" s="304"/>
      <c r="AX40" s="181">
        <f t="shared" ref="AX40:AX47" si="89">AY40*AZ40</f>
        <v>0</v>
      </c>
      <c r="AY40" s="181">
        <f>SUMIFS('1-2 人员岗位信息'!M:M,'1-2 人员岗位信息'!$C:$C,"劳务派遣",'1-2 人员岗位信息'!$B:$B,$D40)</f>
        <v>0</v>
      </c>
      <c r="AZ40" s="304"/>
      <c r="BA40" s="181">
        <f t="shared" ref="BA40:BA47" si="90">BB40*BC40</f>
        <v>0</v>
      </c>
      <c r="BB40" s="181">
        <f>SUMIFS('1-2 人员岗位信息'!N:N,'1-2 人员岗位信息'!$C:$C,"劳务派遣",'1-2 人员岗位信息'!$B:$B,$D40)</f>
        <v>0</v>
      </c>
      <c r="BC40" s="304"/>
      <c r="BD40" s="181">
        <f t="shared" ref="BD40:BD47" si="91">BE40*BF40</f>
        <v>0</v>
      </c>
      <c r="BE40" s="181">
        <f>SUMIFS('1-2 人员岗位信息'!O:O,'1-2 人员岗位信息'!$C:$C,"劳务派遣",'1-2 人员岗位信息'!$B:$B,$D40)</f>
        <v>0</v>
      </c>
      <c r="BF40" s="304"/>
      <c r="BG40" s="181">
        <f t="shared" ref="BG40:BG47" si="92">BH40*BI40</f>
        <v>0</v>
      </c>
      <c r="BH40" s="181">
        <f>SUMIFS('1-2 人员岗位信息'!P:P,'1-2 人员岗位信息'!$C:$C,"劳务派遣",'1-2 人员岗位信息'!$B:$B,$D40)</f>
        <v>0</v>
      </c>
      <c r="BI40" s="304"/>
      <c r="BJ40" s="181">
        <f t="shared" ref="BJ40:BJ47" si="93">BK40*BL40</f>
        <v>0</v>
      </c>
      <c r="BK40" s="181">
        <f>SUMIFS('1-2 人员岗位信息'!Q:Q,'1-2 人员岗位信息'!$C:$C,"劳务派遣",'1-2 人员岗位信息'!$B:$B,$D40)</f>
        <v>0</v>
      </c>
      <c r="BL40" s="313"/>
      <c r="BM40" s="317"/>
      <c r="BN40" s="321"/>
    </row>
    <row r="41" s="269" customFormat="1" ht="33.95" hidden="1" customHeight="1" outlineLevel="5" spans="2:66">
      <c r="B41" s="181" t="s">
        <v>792</v>
      </c>
      <c r="C41" s="289" t="s">
        <v>857</v>
      </c>
      <c r="D41" s="269" t="s">
        <v>837</v>
      </c>
      <c r="E41" s="181" t="s">
        <v>856</v>
      </c>
      <c r="F41" s="181"/>
      <c r="G41" s="181" t="s">
        <v>796</v>
      </c>
      <c r="H41" s="181">
        <f t="shared" si="77"/>
        <v>0</v>
      </c>
      <c r="I41" s="181" t="s">
        <v>797</v>
      </c>
      <c r="J41" s="181" t="e">
        <f t="shared" si="78"/>
        <v>#DIV/0!</v>
      </c>
      <c r="K41" s="181" t="s">
        <v>798</v>
      </c>
      <c r="L41" s="181" t="e">
        <f t="shared" si="79"/>
        <v>#DIV/0!</v>
      </c>
      <c r="M41" s="181" t="s">
        <v>799</v>
      </c>
      <c r="N41" s="181">
        <f t="shared" si="80"/>
        <v>0</v>
      </c>
      <c r="O41" s="181"/>
      <c r="P41" s="296"/>
      <c r="Q41" s="296"/>
      <c r="R41" s="296"/>
      <c r="S41" s="296"/>
      <c r="T41" s="296"/>
      <c r="U41" s="296"/>
      <c r="V41" s="296"/>
      <c r="W41" s="296"/>
      <c r="X41" s="296"/>
      <c r="Y41" s="296"/>
      <c r="Z41" s="296"/>
      <c r="AA41" s="296"/>
      <c r="AB41" s="181">
        <f t="shared" si="81"/>
        <v>0</v>
      </c>
      <c r="AC41" s="181">
        <f t="shared" si="82"/>
        <v>0</v>
      </c>
      <c r="AD41" s="181">
        <f>SUMIFS('1-2 人员岗位信息'!F:F,'1-2 人员岗位信息'!$C:$C,"劳务派遣",'1-2 人员岗位信息'!$B:$B,$D41)</f>
        <v>0</v>
      </c>
      <c r="AE41" s="304"/>
      <c r="AF41" s="181">
        <f t="shared" si="83"/>
        <v>0</v>
      </c>
      <c r="AG41" s="181">
        <f>SUMIFS('1-2 人员岗位信息'!G:G,'1-2 人员岗位信息'!$C:$C,"劳务派遣",'1-2 人员岗位信息'!$B:$B,$D41)</f>
        <v>0</v>
      </c>
      <c r="AH41" s="304"/>
      <c r="AI41" s="181">
        <f t="shared" si="84"/>
        <v>0</v>
      </c>
      <c r="AJ41" s="181">
        <f>SUMIFS('1-2 人员岗位信息'!H:H,'1-2 人员岗位信息'!$C:$C,"劳务派遣",'1-2 人员岗位信息'!$B:$B,$D41)</f>
        <v>0</v>
      </c>
      <c r="AK41" s="304"/>
      <c r="AL41" s="181">
        <f t="shared" si="85"/>
        <v>0</v>
      </c>
      <c r="AM41" s="181">
        <f>SUMIFS('1-2 人员岗位信息'!I:I,'1-2 人员岗位信息'!$C:$C,"劳务派遣",'1-2 人员岗位信息'!$B:$B,$D41)</f>
        <v>0</v>
      </c>
      <c r="AN41" s="304"/>
      <c r="AO41" s="181">
        <f t="shared" si="86"/>
        <v>0</v>
      </c>
      <c r="AP41" s="181">
        <f>SUMIFS('1-2 人员岗位信息'!J:J,'1-2 人员岗位信息'!$C:$C,"劳务派遣",'1-2 人员岗位信息'!$B:$B,$D41)</f>
        <v>0</v>
      </c>
      <c r="AQ41" s="304"/>
      <c r="AR41" s="181">
        <f t="shared" si="87"/>
        <v>0</v>
      </c>
      <c r="AS41" s="181">
        <f>SUMIFS('1-2 人员岗位信息'!K:K,'1-2 人员岗位信息'!$C:$C,"劳务派遣",'1-2 人员岗位信息'!$B:$B,$D41)</f>
        <v>0</v>
      </c>
      <c r="AT41" s="304"/>
      <c r="AU41" s="181">
        <f t="shared" si="88"/>
        <v>0</v>
      </c>
      <c r="AV41" s="181">
        <f>SUMIFS('1-2 人员岗位信息'!L:L,'1-2 人员岗位信息'!$C:$C,"劳务派遣",'1-2 人员岗位信息'!$B:$B,$D41)</f>
        <v>0</v>
      </c>
      <c r="AW41" s="304"/>
      <c r="AX41" s="181">
        <f t="shared" si="89"/>
        <v>0</v>
      </c>
      <c r="AY41" s="181">
        <f>SUMIFS('1-2 人员岗位信息'!M:M,'1-2 人员岗位信息'!$C:$C,"劳务派遣",'1-2 人员岗位信息'!$B:$B,$D41)</f>
        <v>0</v>
      </c>
      <c r="AZ41" s="304"/>
      <c r="BA41" s="181">
        <f t="shared" si="90"/>
        <v>0</v>
      </c>
      <c r="BB41" s="181">
        <f>SUMIFS('1-2 人员岗位信息'!N:N,'1-2 人员岗位信息'!$C:$C,"劳务派遣",'1-2 人员岗位信息'!$B:$B,$D41)</f>
        <v>0</v>
      </c>
      <c r="BC41" s="304"/>
      <c r="BD41" s="181">
        <f t="shared" si="91"/>
        <v>0</v>
      </c>
      <c r="BE41" s="181">
        <f>SUMIFS('1-2 人员岗位信息'!O:O,'1-2 人员岗位信息'!$C:$C,"劳务派遣",'1-2 人员岗位信息'!$B:$B,$D41)</f>
        <v>0</v>
      </c>
      <c r="BF41" s="304"/>
      <c r="BG41" s="181">
        <f t="shared" si="92"/>
        <v>0</v>
      </c>
      <c r="BH41" s="181">
        <f>SUMIFS('1-2 人员岗位信息'!P:P,'1-2 人员岗位信息'!$C:$C,"劳务派遣",'1-2 人员岗位信息'!$B:$B,$D41)</f>
        <v>0</v>
      </c>
      <c r="BI41" s="304"/>
      <c r="BJ41" s="181">
        <f t="shared" si="93"/>
        <v>0</v>
      </c>
      <c r="BK41" s="181">
        <f>SUMIFS('1-2 人员岗位信息'!Q:Q,'1-2 人员岗位信息'!$C:$C,"劳务派遣",'1-2 人员岗位信息'!$B:$B,$D41)</f>
        <v>0</v>
      </c>
      <c r="BL41" s="313"/>
      <c r="BM41" s="317"/>
      <c r="BN41" s="321"/>
    </row>
    <row r="42" s="269" customFormat="1" ht="33.95" hidden="1" customHeight="1" outlineLevel="5" spans="2:66">
      <c r="B42" s="181" t="s">
        <v>792</v>
      </c>
      <c r="C42" s="289" t="s">
        <v>858</v>
      </c>
      <c r="D42" s="269" t="s">
        <v>839</v>
      </c>
      <c r="E42" s="181" t="s">
        <v>840</v>
      </c>
      <c r="F42" s="181"/>
      <c r="G42" s="181" t="s">
        <v>796</v>
      </c>
      <c r="H42" s="181">
        <f t="shared" si="77"/>
        <v>0</v>
      </c>
      <c r="I42" s="181" t="s">
        <v>797</v>
      </c>
      <c r="J42" s="181" t="e">
        <f t="shared" si="78"/>
        <v>#DIV/0!</v>
      </c>
      <c r="K42" s="181" t="s">
        <v>798</v>
      </c>
      <c r="L42" s="181" t="e">
        <f t="shared" si="79"/>
        <v>#DIV/0!</v>
      </c>
      <c r="M42" s="181" t="s">
        <v>799</v>
      </c>
      <c r="N42" s="181">
        <f t="shared" si="80"/>
        <v>0</v>
      </c>
      <c r="O42" s="181"/>
      <c r="P42" s="296"/>
      <c r="Q42" s="296"/>
      <c r="R42" s="296"/>
      <c r="S42" s="296"/>
      <c r="T42" s="296"/>
      <c r="U42" s="296"/>
      <c r="V42" s="296"/>
      <c r="W42" s="296"/>
      <c r="X42" s="296"/>
      <c r="Y42" s="296"/>
      <c r="Z42" s="296"/>
      <c r="AA42" s="296"/>
      <c r="AB42" s="181">
        <f t="shared" si="81"/>
        <v>0</v>
      </c>
      <c r="AC42" s="181">
        <f t="shared" si="82"/>
        <v>0</v>
      </c>
      <c r="AD42" s="181">
        <f>SUMIFS('1-2 人员岗位信息'!F:F,'1-2 人员岗位信息'!$C:$C,"劳务派遣",'1-2 人员岗位信息'!$B:$B,$D42)</f>
        <v>0</v>
      </c>
      <c r="AE42" s="304"/>
      <c r="AF42" s="181">
        <f t="shared" si="83"/>
        <v>0</v>
      </c>
      <c r="AG42" s="181">
        <f>SUMIFS('1-2 人员岗位信息'!G:G,'1-2 人员岗位信息'!$C:$C,"劳务派遣",'1-2 人员岗位信息'!$B:$B,$D42)</f>
        <v>0</v>
      </c>
      <c r="AH42" s="304"/>
      <c r="AI42" s="181">
        <f t="shared" si="84"/>
        <v>0</v>
      </c>
      <c r="AJ42" s="181">
        <f>SUMIFS('1-2 人员岗位信息'!H:H,'1-2 人员岗位信息'!$C:$C,"劳务派遣",'1-2 人员岗位信息'!$B:$B,$D42)</f>
        <v>0</v>
      </c>
      <c r="AK42" s="304"/>
      <c r="AL42" s="181">
        <f t="shared" si="85"/>
        <v>0</v>
      </c>
      <c r="AM42" s="181">
        <f>SUMIFS('1-2 人员岗位信息'!I:I,'1-2 人员岗位信息'!$C:$C,"劳务派遣",'1-2 人员岗位信息'!$B:$B,$D42)</f>
        <v>0</v>
      </c>
      <c r="AN42" s="304"/>
      <c r="AO42" s="181">
        <f t="shared" si="86"/>
        <v>0</v>
      </c>
      <c r="AP42" s="181">
        <f>SUMIFS('1-2 人员岗位信息'!J:J,'1-2 人员岗位信息'!$C:$C,"劳务派遣",'1-2 人员岗位信息'!$B:$B,$D42)</f>
        <v>0</v>
      </c>
      <c r="AQ42" s="304"/>
      <c r="AR42" s="181">
        <f t="shared" si="87"/>
        <v>0</v>
      </c>
      <c r="AS42" s="181">
        <f>SUMIFS('1-2 人员岗位信息'!K:K,'1-2 人员岗位信息'!$C:$C,"劳务派遣",'1-2 人员岗位信息'!$B:$B,$D42)</f>
        <v>0</v>
      </c>
      <c r="AT42" s="304"/>
      <c r="AU42" s="181">
        <f t="shared" si="88"/>
        <v>0</v>
      </c>
      <c r="AV42" s="181">
        <f>SUMIFS('1-2 人员岗位信息'!L:L,'1-2 人员岗位信息'!$C:$C,"劳务派遣",'1-2 人员岗位信息'!$B:$B,$D42)</f>
        <v>0</v>
      </c>
      <c r="AW42" s="304"/>
      <c r="AX42" s="181">
        <f t="shared" si="89"/>
        <v>0</v>
      </c>
      <c r="AY42" s="181">
        <f>SUMIFS('1-2 人员岗位信息'!M:M,'1-2 人员岗位信息'!$C:$C,"劳务派遣",'1-2 人员岗位信息'!$B:$B,$D42)</f>
        <v>0</v>
      </c>
      <c r="AZ42" s="304"/>
      <c r="BA42" s="181">
        <f t="shared" si="90"/>
        <v>0</v>
      </c>
      <c r="BB42" s="181">
        <f>SUMIFS('1-2 人员岗位信息'!N:N,'1-2 人员岗位信息'!$C:$C,"劳务派遣",'1-2 人员岗位信息'!$B:$B,$D42)</f>
        <v>0</v>
      </c>
      <c r="BC42" s="304"/>
      <c r="BD42" s="181">
        <f t="shared" si="91"/>
        <v>0</v>
      </c>
      <c r="BE42" s="181">
        <f>SUMIFS('1-2 人员岗位信息'!O:O,'1-2 人员岗位信息'!$C:$C,"劳务派遣",'1-2 人员岗位信息'!$B:$B,$D42)</f>
        <v>0</v>
      </c>
      <c r="BF42" s="304"/>
      <c r="BG42" s="181">
        <f t="shared" si="92"/>
        <v>0</v>
      </c>
      <c r="BH42" s="181">
        <f>SUMIFS('1-2 人员岗位信息'!P:P,'1-2 人员岗位信息'!$C:$C,"劳务派遣",'1-2 人员岗位信息'!$B:$B,$D42)</f>
        <v>0</v>
      </c>
      <c r="BI42" s="304"/>
      <c r="BJ42" s="181">
        <f t="shared" si="93"/>
        <v>0</v>
      </c>
      <c r="BK42" s="181">
        <f>SUMIFS('1-2 人员岗位信息'!Q:Q,'1-2 人员岗位信息'!$C:$C,"劳务派遣",'1-2 人员岗位信息'!$B:$B,$D42)</f>
        <v>0</v>
      </c>
      <c r="BL42" s="313"/>
      <c r="BM42" s="317"/>
      <c r="BN42" s="321"/>
    </row>
    <row r="43" s="269" customFormat="1" ht="33.95" hidden="1" customHeight="1" outlineLevel="5" spans="2:66">
      <c r="B43" s="181" t="s">
        <v>792</v>
      </c>
      <c r="C43" s="289" t="s">
        <v>859</v>
      </c>
      <c r="D43" s="269" t="s">
        <v>842</v>
      </c>
      <c r="E43" s="181" t="s">
        <v>843</v>
      </c>
      <c r="F43" s="181"/>
      <c r="G43" s="181" t="s">
        <v>796</v>
      </c>
      <c r="H43" s="181">
        <f t="shared" si="77"/>
        <v>0</v>
      </c>
      <c r="I43" s="181" t="s">
        <v>797</v>
      </c>
      <c r="J43" s="181" t="e">
        <f t="shared" si="78"/>
        <v>#DIV/0!</v>
      </c>
      <c r="K43" s="181" t="s">
        <v>798</v>
      </c>
      <c r="L43" s="181" t="e">
        <f t="shared" si="79"/>
        <v>#DIV/0!</v>
      </c>
      <c r="M43" s="181" t="s">
        <v>799</v>
      </c>
      <c r="N43" s="181">
        <f t="shared" si="80"/>
        <v>0</v>
      </c>
      <c r="O43" s="181"/>
      <c r="P43" s="296"/>
      <c r="Q43" s="296"/>
      <c r="R43" s="296"/>
      <c r="S43" s="296"/>
      <c r="T43" s="296"/>
      <c r="U43" s="296"/>
      <c r="V43" s="296"/>
      <c r="W43" s="296"/>
      <c r="X43" s="296"/>
      <c r="Y43" s="296"/>
      <c r="Z43" s="296"/>
      <c r="AA43" s="296"/>
      <c r="AB43" s="181">
        <f t="shared" si="81"/>
        <v>0</v>
      </c>
      <c r="AC43" s="181">
        <f t="shared" si="82"/>
        <v>0</v>
      </c>
      <c r="AD43" s="181">
        <f>SUMIFS('1-2 人员岗位信息'!F:F,'1-2 人员岗位信息'!$C:$C,"劳务派遣",'1-2 人员岗位信息'!$B:$B,$D43)</f>
        <v>0</v>
      </c>
      <c r="AE43" s="304"/>
      <c r="AF43" s="181">
        <f t="shared" si="83"/>
        <v>0</v>
      </c>
      <c r="AG43" s="181">
        <f>SUMIFS('1-2 人员岗位信息'!G:G,'1-2 人员岗位信息'!$C:$C,"劳务派遣",'1-2 人员岗位信息'!$B:$B,$D43)</f>
        <v>0</v>
      </c>
      <c r="AH43" s="304"/>
      <c r="AI43" s="181">
        <f t="shared" si="84"/>
        <v>0</v>
      </c>
      <c r="AJ43" s="181">
        <f>SUMIFS('1-2 人员岗位信息'!H:H,'1-2 人员岗位信息'!$C:$C,"劳务派遣",'1-2 人员岗位信息'!$B:$B,$D43)</f>
        <v>0</v>
      </c>
      <c r="AK43" s="304"/>
      <c r="AL43" s="181">
        <f t="shared" si="85"/>
        <v>0</v>
      </c>
      <c r="AM43" s="181">
        <f>SUMIFS('1-2 人员岗位信息'!I:I,'1-2 人员岗位信息'!$C:$C,"劳务派遣",'1-2 人员岗位信息'!$B:$B,$D43)</f>
        <v>0</v>
      </c>
      <c r="AN43" s="304"/>
      <c r="AO43" s="181">
        <f t="shared" si="86"/>
        <v>0</v>
      </c>
      <c r="AP43" s="181">
        <f>SUMIFS('1-2 人员岗位信息'!J:J,'1-2 人员岗位信息'!$C:$C,"劳务派遣",'1-2 人员岗位信息'!$B:$B,$D43)</f>
        <v>0</v>
      </c>
      <c r="AQ43" s="304"/>
      <c r="AR43" s="181">
        <f t="shared" si="87"/>
        <v>0</v>
      </c>
      <c r="AS43" s="181">
        <f>SUMIFS('1-2 人员岗位信息'!K:K,'1-2 人员岗位信息'!$C:$C,"劳务派遣",'1-2 人员岗位信息'!$B:$B,$D43)</f>
        <v>0</v>
      </c>
      <c r="AT43" s="304"/>
      <c r="AU43" s="181">
        <f t="shared" si="88"/>
        <v>0</v>
      </c>
      <c r="AV43" s="181">
        <f>SUMIFS('1-2 人员岗位信息'!L:L,'1-2 人员岗位信息'!$C:$C,"劳务派遣",'1-2 人员岗位信息'!$B:$B,$D43)</f>
        <v>0</v>
      </c>
      <c r="AW43" s="304"/>
      <c r="AX43" s="181">
        <f t="shared" si="89"/>
        <v>0</v>
      </c>
      <c r="AY43" s="181">
        <f>SUMIFS('1-2 人员岗位信息'!M:M,'1-2 人员岗位信息'!$C:$C,"劳务派遣",'1-2 人员岗位信息'!$B:$B,$D43)</f>
        <v>0</v>
      </c>
      <c r="AZ43" s="304"/>
      <c r="BA43" s="181">
        <f t="shared" si="90"/>
        <v>0</v>
      </c>
      <c r="BB43" s="181">
        <f>SUMIFS('1-2 人员岗位信息'!N:N,'1-2 人员岗位信息'!$C:$C,"劳务派遣",'1-2 人员岗位信息'!$B:$B,$D43)</f>
        <v>0</v>
      </c>
      <c r="BC43" s="304"/>
      <c r="BD43" s="181">
        <f t="shared" si="91"/>
        <v>0</v>
      </c>
      <c r="BE43" s="181">
        <f>SUMIFS('1-2 人员岗位信息'!O:O,'1-2 人员岗位信息'!$C:$C,"劳务派遣",'1-2 人员岗位信息'!$B:$B,$D43)</f>
        <v>0</v>
      </c>
      <c r="BF43" s="304"/>
      <c r="BG43" s="181">
        <f t="shared" si="92"/>
        <v>0</v>
      </c>
      <c r="BH43" s="181">
        <f>SUMIFS('1-2 人员岗位信息'!P:P,'1-2 人员岗位信息'!$C:$C,"劳务派遣",'1-2 人员岗位信息'!$B:$B,$D43)</f>
        <v>0</v>
      </c>
      <c r="BI43" s="304"/>
      <c r="BJ43" s="181">
        <f t="shared" si="93"/>
        <v>0</v>
      </c>
      <c r="BK43" s="181">
        <f>SUMIFS('1-2 人员岗位信息'!Q:Q,'1-2 人员岗位信息'!$C:$C,"劳务派遣",'1-2 人员岗位信息'!$B:$B,$D43)</f>
        <v>0</v>
      </c>
      <c r="BL43" s="313"/>
      <c r="BM43" s="317"/>
      <c r="BN43" s="321"/>
    </row>
    <row r="44" s="269" customFormat="1" ht="33.95" hidden="1" customHeight="1" outlineLevel="5" spans="2:66">
      <c r="B44" s="181" t="s">
        <v>792</v>
      </c>
      <c r="C44" s="289" t="s">
        <v>860</v>
      </c>
      <c r="D44" s="269" t="s">
        <v>845</v>
      </c>
      <c r="E44" s="181" t="s">
        <v>846</v>
      </c>
      <c r="F44" s="181"/>
      <c r="G44" s="181" t="s">
        <v>796</v>
      </c>
      <c r="H44" s="181">
        <f t="shared" si="77"/>
        <v>0</v>
      </c>
      <c r="I44" s="181" t="s">
        <v>797</v>
      </c>
      <c r="J44" s="181" t="e">
        <f t="shared" si="78"/>
        <v>#DIV/0!</v>
      </c>
      <c r="K44" s="181" t="s">
        <v>798</v>
      </c>
      <c r="L44" s="181" t="e">
        <f t="shared" si="79"/>
        <v>#DIV/0!</v>
      </c>
      <c r="M44" s="181" t="s">
        <v>799</v>
      </c>
      <c r="N44" s="181">
        <f t="shared" si="80"/>
        <v>0</v>
      </c>
      <c r="O44" s="181"/>
      <c r="P44" s="296"/>
      <c r="Q44" s="296"/>
      <c r="R44" s="296"/>
      <c r="S44" s="296"/>
      <c r="T44" s="296"/>
      <c r="U44" s="296"/>
      <c r="V44" s="296"/>
      <c r="W44" s="296"/>
      <c r="X44" s="296"/>
      <c r="Y44" s="296"/>
      <c r="Z44" s="296"/>
      <c r="AA44" s="296"/>
      <c r="AB44" s="181">
        <f t="shared" si="81"/>
        <v>0</v>
      </c>
      <c r="AC44" s="181">
        <f t="shared" si="82"/>
        <v>0</v>
      </c>
      <c r="AD44" s="181">
        <f>SUMIFS('1-2 人员岗位信息'!F:F,'1-2 人员岗位信息'!$C:$C,"劳务派遣",'1-2 人员岗位信息'!$B:$B,$D44)</f>
        <v>0</v>
      </c>
      <c r="AE44" s="304"/>
      <c r="AF44" s="181">
        <f t="shared" si="83"/>
        <v>0</v>
      </c>
      <c r="AG44" s="181">
        <f>SUMIFS('1-2 人员岗位信息'!G:G,'1-2 人员岗位信息'!$C:$C,"劳务派遣",'1-2 人员岗位信息'!$B:$B,$D44)</f>
        <v>0</v>
      </c>
      <c r="AH44" s="304"/>
      <c r="AI44" s="181">
        <f t="shared" si="84"/>
        <v>0</v>
      </c>
      <c r="AJ44" s="181">
        <f>SUMIFS('1-2 人员岗位信息'!H:H,'1-2 人员岗位信息'!$C:$C,"劳务派遣",'1-2 人员岗位信息'!$B:$B,$D44)</f>
        <v>0</v>
      </c>
      <c r="AK44" s="304"/>
      <c r="AL44" s="181">
        <f t="shared" si="85"/>
        <v>0</v>
      </c>
      <c r="AM44" s="181">
        <f>SUMIFS('1-2 人员岗位信息'!I:I,'1-2 人员岗位信息'!$C:$C,"劳务派遣",'1-2 人员岗位信息'!$B:$B,$D44)</f>
        <v>0</v>
      </c>
      <c r="AN44" s="304"/>
      <c r="AO44" s="181">
        <f t="shared" si="86"/>
        <v>0</v>
      </c>
      <c r="AP44" s="181">
        <f>SUMIFS('1-2 人员岗位信息'!J:J,'1-2 人员岗位信息'!$C:$C,"劳务派遣",'1-2 人员岗位信息'!$B:$B,$D44)</f>
        <v>0</v>
      </c>
      <c r="AQ44" s="304"/>
      <c r="AR44" s="181">
        <f t="shared" si="87"/>
        <v>0</v>
      </c>
      <c r="AS44" s="181">
        <f>SUMIFS('1-2 人员岗位信息'!K:K,'1-2 人员岗位信息'!$C:$C,"劳务派遣",'1-2 人员岗位信息'!$B:$B,$D44)</f>
        <v>0</v>
      </c>
      <c r="AT44" s="304"/>
      <c r="AU44" s="181">
        <f t="shared" si="88"/>
        <v>0</v>
      </c>
      <c r="AV44" s="181">
        <f>SUMIFS('1-2 人员岗位信息'!L:L,'1-2 人员岗位信息'!$C:$C,"劳务派遣",'1-2 人员岗位信息'!$B:$B,$D44)</f>
        <v>0</v>
      </c>
      <c r="AW44" s="304"/>
      <c r="AX44" s="181">
        <f t="shared" si="89"/>
        <v>0</v>
      </c>
      <c r="AY44" s="181">
        <f>SUMIFS('1-2 人员岗位信息'!M:M,'1-2 人员岗位信息'!$C:$C,"劳务派遣",'1-2 人员岗位信息'!$B:$B,$D44)</f>
        <v>0</v>
      </c>
      <c r="AZ44" s="304"/>
      <c r="BA44" s="181">
        <f t="shared" si="90"/>
        <v>0</v>
      </c>
      <c r="BB44" s="181">
        <f>SUMIFS('1-2 人员岗位信息'!N:N,'1-2 人员岗位信息'!$C:$C,"劳务派遣",'1-2 人员岗位信息'!$B:$B,$D44)</f>
        <v>0</v>
      </c>
      <c r="BC44" s="304"/>
      <c r="BD44" s="181">
        <f t="shared" si="91"/>
        <v>0</v>
      </c>
      <c r="BE44" s="181">
        <f>SUMIFS('1-2 人员岗位信息'!O:O,'1-2 人员岗位信息'!$C:$C,"劳务派遣",'1-2 人员岗位信息'!$B:$B,$D44)</f>
        <v>0</v>
      </c>
      <c r="BF44" s="304"/>
      <c r="BG44" s="181">
        <f t="shared" si="92"/>
        <v>0</v>
      </c>
      <c r="BH44" s="181">
        <f>SUMIFS('1-2 人员岗位信息'!P:P,'1-2 人员岗位信息'!$C:$C,"劳务派遣",'1-2 人员岗位信息'!$B:$B,$D44)</f>
        <v>0</v>
      </c>
      <c r="BI44" s="304"/>
      <c r="BJ44" s="181">
        <f t="shared" si="93"/>
        <v>0</v>
      </c>
      <c r="BK44" s="181">
        <f>SUMIFS('1-2 人员岗位信息'!Q:Q,'1-2 人员岗位信息'!$C:$C,"劳务派遣",'1-2 人员岗位信息'!$B:$B,$D44)</f>
        <v>0</v>
      </c>
      <c r="BL44" s="313"/>
      <c r="BM44" s="317"/>
      <c r="BN44" s="321"/>
    </row>
    <row r="45" s="269" customFormat="1" ht="33.95" hidden="1" customHeight="1" outlineLevel="5" spans="2:66">
      <c r="B45" s="181" t="s">
        <v>792</v>
      </c>
      <c r="C45" s="289" t="s">
        <v>861</v>
      </c>
      <c r="D45" s="269" t="s">
        <v>848</v>
      </c>
      <c r="E45" s="181" t="s">
        <v>849</v>
      </c>
      <c r="F45" s="181"/>
      <c r="G45" s="181" t="s">
        <v>796</v>
      </c>
      <c r="H45" s="181">
        <f t="shared" si="77"/>
        <v>0</v>
      </c>
      <c r="I45" s="181" t="s">
        <v>797</v>
      </c>
      <c r="J45" s="181" t="e">
        <f t="shared" si="78"/>
        <v>#DIV/0!</v>
      </c>
      <c r="K45" s="181" t="s">
        <v>798</v>
      </c>
      <c r="L45" s="181" t="e">
        <f t="shared" si="79"/>
        <v>#DIV/0!</v>
      </c>
      <c r="M45" s="181" t="s">
        <v>799</v>
      </c>
      <c r="N45" s="181">
        <f t="shared" si="80"/>
        <v>0</v>
      </c>
      <c r="O45" s="181"/>
      <c r="P45" s="296"/>
      <c r="Q45" s="296"/>
      <c r="R45" s="296"/>
      <c r="S45" s="296"/>
      <c r="T45" s="296"/>
      <c r="U45" s="296"/>
      <c r="V45" s="296"/>
      <c r="W45" s="296"/>
      <c r="X45" s="296"/>
      <c r="Y45" s="296"/>
      <c r="Z45" s="296"/>
      <c r="AA45" s="296"/>
      <c r="AB45" s="181">
        <f t="shared" si="81"/>
        <v>0</v>
      </c>
      <c r="AC45" s="181">
        <f t="shared" si="82"/>
        <v>0</v>
      </c>
      <c r="AD45" s="181">
        <f>SUMIFS('1-2 人员岗位信息'!F:F,'1-2 人员岗位信息'!$C:$C,"劳务派遣",'1-2 人员岗位信息'!$B:$B,$D45)</f>
        <v>0</v>
      </c>
      <c r="AE45" s="304"/>
      <c r="AF45" s="181">
        <f t="shared" si="83"/>
        <v>0</v>
      </c>
      <c r="AG45" s="181">
        <f>SUMIFS('1-2 人员岗位信息'!G:G,'1-2 人员岗位信息'!$C:$C,"劳务派遣",'1-2 人员岗位信息'!$B:$B,$D45)</f>
        <v>0</v>
      </c>
      <c r="AH45" s="304"/>
      <c r="AI45" s="181">
        <f t="shared" si="84"/>
        <v>0</v>
      </c>
      <c r="AJ45" s="181">
        <f>SUMIFS('1-2 人员岗位信息'!H:H,'1-2 人员岗位信息'!$C:$C,"劳务派遣",'1-2 人员岗位信息'!$B:$B,$D45)</f>
        <v>0</v>
      </c>
      <c r="AK45" s="304"/>
      <c r="AL45" s="181">
        <f t="shared" si="85"/>
        <v>0</v>
      </c>
      <c r="AM45" s="181">
        <f>SUMIFS('1-2 人员岗位信息'!I:I,'1-2 人员岗位信息'!$C:$C,"劳务派遣",'1-2 人员岗位信息'!$B:$B,$D45)</f>
        <v>0</v>
      </c>
      <c r="AN45" s="304"/>
      <c r="AO45" s="181">
        <f t="shared" si="86"/>
        <v>0</v>
      </c>
      <c r="AP45" s="181">
        <f>SUMIFS('1-2 人员岗位信息'!J:J,'1-2 人员岗位信息'!$C:$C,"劳务派遣",'1-2 人员岗位信息'!$B:$B,$D45)</f>
        <v>0</v>
      </c>
      <c r="AQ45" s="304"/>
      <c r="AR45" s="181">
        <f t="shared" si="87"/>
        <v>0</v>
      </c>
      <c r="AS45" s="181">
        <f>SUMIFS('1-2 人员岗位信息'!K:K,'1-2 人员岗位信息'!$C:$C,"劳务派遣",'1-2 人员岗位信息'!$B:$B,$D45)</f>
        <v>0</v>
      </c>
      <c r="AT45" s="304"/>
      <c r="AU45" s="181">
        <f t="shared" si="88"/>
        <v>0</v>
      </c>
      <c r="AV45" s="181">
        <f>SUMIFS('1-2 人员岗位信息'!L:L,'1-2 人员岗位信息'!$C:$C,"劳务派遣",'1-2 人员岗位信息'!$B:$B,$D45)</f>
        <v>0</v>
      </c>
      <c r="AW45" s="304"/>
      <c r="AX45" s="181">
        <f t="shared" si="89"/>
        <v>0</v>
      </c>
      <c r="AY45" s="181">
        <f>SUMIFS('1-2 人员岗位信息'!M:M,'1-2 人员岗位信息'!$C:$C,"劳务派遣",'1-2 人员岗位信息'!$B:$B,$D45)</f>
        <v>0</v>
      </c>
      <c r="AZ45" s="304"/>
      <c r="BA45" s="181">
        <f t="shared" si="90"/>
        <v>0</v>
      </c>
      <c r="BB45" s="181">
        <f>SUMIFS('1-2 人员岗位信息'!N:N,'1-2 人员岗位信息'!$C:$C,"劳务派遣",'1-2 人员岗位信息'!$B:$B,$D45)</f>
        <v>0</v>
      </c>
      <c r="BC45" s="304"/>
      <c r="BD45" s="181">
        <f t="shared" si="91"/>
        <v>0</v>
      </c>
      <c r="BE45" s="181">
        <f>SUMIFS('1-2 人员岗位信息'!O:O,'1-2 人员岗位信息'!$C:$C,"劳务派遣",'1-2 人员岗位信息'!$B:$B,$D45)</f>
        <v>0</v>
      </c>
      <c r="BF45" s="304"/>
      <c r="BG45" s="181">
        <f t="shared" si="92"/>
        <v>0</v>
      </c>
      <c r="BH45" s="181">
        <f>SUMIFS('1-2 人员岗位信息'!P:P,'1-2 人员岗位信息'!$C:$C,"劳务派遣",'1-2 人员岗位信息'!$B:$B,$D45)</f>
        <v>0</v>
      </c>
      <c r="BI45" s="304"/>
      <c r="BJ45" s="181">
        <f t="shared" si="93"/>
        <v>0</v>
      </c>
      <c r="BK45" s="181">
        <f>SUMIFS('1-2 人员岗位信息'!Q:Q,'1-2 人员岗位信息'!$C:$C,"劳务派遣",'1-2 人员岗位信息'!$B:$B,$D45)</f>
        <v>0</v>
      </c>
      <c r="BL45" s="313"/>
      <c r="BM45" s="317"/>
      <c r="BN45" s="321"/>
    </row>
    <row r="46" s="269" customFormat="1" ht="33.95" hidden="1" customHeight="1" outlineLevel="5" spans="2:66">
      <c r="B46" s="181" t="s">
        <v>792</v>
      </c>
      <c r="C46" s="289" t="s">
        <v>862</v>
      </c>
      <c r="D46" s="269" t="s">
        <v>851</v>
      </c>
      <c r="E46" s="181" t="s">
        <v>852</v>
      </c>
      <c r="F46" s="181"/>
      <c r="G46" s="181" t="s">
        <v>796</v>
      </c>
      <c r="H46" s="181">
        <f t="shared" si="77"/>
        <v>0</v>
      </c>
      <c r="I46" s="181" t="s">
        <v>797</v>
      </c>
      <c r="J46" s="181" t="e">
        <f t="shared" si="78"/>
        <v>#DIV/0!</v>
      </c>
      <c r="K46" s="181" t="s">
        <v>798</v>
      </c>
      <c r="L46" s="181" t="e">
        <f t="shared" si="79"/>
        <v>#DIV/0!</v>
      </c>
      <c r="M46" s="181" t="s">
        <v>799</v>
      </c>
      <c r="N46" s="181">
        <f t="shared" si="80"/>
        <v>0</v>
      </c>
      <c r="O46" s="181"/>
      <c r="P46" s="296"/>
      <c r="Q46" s="296"/>
      <c r="R46" s="296"/>
      <c r="S46" s="296"/>
      <c r="T46" s="296"/>
      <c r="U46" s="296"/>
      <c r="V46" s="296"/>
      <c r="W46" s="296"/>
      <c r="X46" s="296"/>
      <c r="Y46" s="296"/>
      <c r="Z46" s="296"/>
      <c r="AA46" s="296"/>
      <c r="AB46" s="181">
        <f t="shared" si="81"/>
        <v>0</v>
      </c>
      <c r="AC46" s="181">
        <f t="shared" si="82"/>
        <v>0</v>
      </c>
      <c r="AD46" s="181">
        <f>SUMIFS('1-2 人员岗位信息'!F:F,'1-2 人员岗位信息'!$C:$C,"劳务派遣",'1-2 人员岗位信息'!$B:$B,$D46)</f>
        <v>0</v>
      </c>
      <c r="AE46" s="304"/>
      <c r="AF46" s="181">
        <f t="shared" si="83"/>
        <v>0</v>
      </c>
      <c r="AG46" s="181">
        <f>SUMIFS('1-2 人员岗位信息'!G:G,'1-2 人员岗位信息'!$C:$C,"劳务派遣",'1-2 人员岗位信息'!$B:$B,$D46)</f>
        <v>0</v>
      </c>
      <c r="AH46" s="304"/>
      <c r="AI46" s="181">
        <f t="shared" si="84"/>
        <v>0</v>
      </c>
      <c r="AJ46" s="181">
        <f>SUMIFS('1-2 人员岗位信息'!H:H,'1-2 人员岗位信息'!$C:$C,"劳务派遣",'1-2 人员岗位信息'!$B:$B,$D46)</f>
        <v>0</v>
      </c>
      <c r="AK46" s="304"/>
      <c r="AL46" s="181">
        <f t="shared" si="85"/>
        <v>0</v>
      </c>
      <c r="AM46" s="181">
        <f>SUMIFS('1-2 人员岗位信息'!I:I,'1-2 人员岗位信息'!$C:$C,"劳务派遣",'1-2 人员岗位信息'!$B:$B,$D46)</f>
        <v>0</v>
      </c>
      <c r="AN46" s="304"/>
      <c r="AO46" s="181">
        <f t="shared" si="86"/>
        <v>0</v>
      </c>
      <c r="AP46" s="181">
        <f>SUMIFS('1-2 人员岗位信息'!J:J,'1-2 人员岗位信息'!$C:$C,"劳务派遣",'1-2 人员岗位信息'!$B:$B,$D46)</f>
        <v>0</v>
      </c>
      <c r="AQ46" s="304"/>
      <c r="AR46" s="181">
        <f t="shared" si="87"/>
        <v>0</v>
      </c>
      <c r="AS46" s="181">
        <f>SUMIFS('1-2 人员岗位信息'!K:K,'1-2 人员岗位信息'!$C:$C,"劳务派遣",'1-2 人员岗位信息'!$B:$B,$D46)</f>
        <v>0</v>
      </c>
      <c r="AT46" s="304"/>
      <c r="AU46" s="181">
        <f t="shared" si="88"/>
        <v>0</v>
      </c>
      <c r="AV46" s="181">
        <f>SUMIFS('1-2 人员岗位信息'!L:L,'1-2 人员岗位信息'!$C:$C,"劳务派遣",'1-2 人员岗位信息'!$B:$B,$D46)</f>
        <v>0</v>
      </c>
      <c r="AW46" s="304"/>
      <c r="AX46" s="181">
        <f t="shared" si="89"/>
        <v>0</v>
      </c>
      <c r="AY46" s="181">
        <f>SUMIFS('1-2 人员岗位信息'!M:M,'1-2 人员岗位信息'!$C:$C,"劳务派遣",'1-2 人员岗位信息'!$B:$B,$D46)</f>
        <v>0</v>
      </c>
      <c r="AZ46" s="304"/>
      <c r="BA46" s="181">
        <f t="shared" si="90"/>
        <v>0</v>
      </c>
      <c r="BB46" s="181">
        <f>SUMIFS('1-2 人员岗位信息'!N:N,'1-2 人员岗位信息'!$C:$C,"劳务派遣",'1-2 人员岗位信息'!$B:$B,$D46)</f>
        <v>0</v>
      </c>
      <c r="BC46" s="304"/>
      <c r="BD46" s="181">
        <f t="shared" si="91"/>
        <v>0</v>
      </c>
      <c r="BE46" s="181">
        <f>SUMIFS('1-2 人员岗位信息'!O:O,'1-2 人员岗位信息'!$C:$C,"劳务派遣",'1-2 人员岗位信息'!$B:$B,$D46)</f>
        <v>0</v>
      </c>
      <c r="BF46" s="304"/>
      <c r="BG46" s="181">
        <f t="shared" si="92"/>
        <v>0</v>
      </c>
      <c r="BH46" s="181">
        <f>SUMIFS('1-2 人员岗位信息'!P:P,'1-2 人员岗位信息'!$C:$C,"劳务派遣",'1-2 人员岗位信息'!$B:$B,$D46)</f>
        <v>0</v>
      </c>
      <c r="BI46" s="304"/>
      <c r="BJ46" s="181">
        <f t="shared" si="93"/>
        <v>0</v>
      </c>
      <c r="BK46" s="181">
        <f>SUMIFS('1-2 人员岗位信息'!Q:Q,'1-2 人员岗位信息'!$C:$C,"劳务派遣",'1-2 人员岗位信息'!$B:$B,$D46)</f>
        <v>0</v>
      </c>
      <c r="BL46" s="313"/>
      <c r="BM46" s="317"/>
      <c r="BN46" s="321"/>
    </row>
    <row r="47" s="269" customFormat="1" ht="33.95" hidden="1" customHeight="1" outlineLevel="5" spans="2:66">
      <c r="B47" s="181" t="s">
        <v>792</v>
      </c>
      <c r="C47" s="289" t="s">
        <v>863</v>
      </c>
      <c r="D47" s="269" t="s">
        <v>854</v>
      </c>
      <c r="E47" s="181" t="s">
        <v>814</v>
      </c>
      <c r="F47" s="181"/>
      <c r="G47" s="181" t="s">
        <v>796</v>
      </c>
      <c r="H47" s="181">
        <f t="shared" si="77"/>
        <v>0</v>
      </c>
      <c r="I47" s="181" t="s">
        <v>797</v>
      </c>
      <c r="J47" s="181" t="e">
        <f t="shared" si="78"/>
        <v>#DIV/0!</v>
      </c>
      <c r="K47" s="181" t="s">
        <v>798</v>
      </c>
      <c r="L47" s="181" t="e">
        <f t="shared" si="79"/>
        <v>#DIV/0!</v>
      </c>
      <c r="M47" s="181" t="s">
        <v>799</v>
      </c>
      <c r="N47" s="181">
        <f t="shared" si="80"/>
        <v>0</v>
      </c>
      <c r="O47" s="181"/>
      <c r="P47" s="296"/>
      <c r="Q47" s="296"/>
      <c r="R47" s="296"/>
      <c r="S47" s="296"/>
      <c r="T47" s="296"/>
      <c r="U47" s="296"/>
      <c r="V47" s="296"/>
      <c r="W47" s="296"/>
      <c r="X47" s="296"/>
      <c r="Y47" s="296"/>
      <c r="Z47" s="296"/>
      <c r="AA47" s="296"/>
      <c r="AB47" s="181">
        <f t="shared" si="81"/>
        <v>0</v>
      </c>
      <c r="AC47" s="181">
        <f t="shared" si="82"/>
        <v>0</v>
      </c>
      <c r="AD47" s="181">
        <f>SUMIFS('1-2 人员岗位信息'!F:F,'1-2 人员岗位信息'!$C:$C,"劳务派遣",'1-2 人员岗位信息'!$B:$B,$D47)</f>
        <v>0</v>
      </c>
      <c r="AE47" s="304"/>
      <c r="AF47" s="181">
        <f t="shared" si="83"/>
        <v>0</v>
      </c>
      <c r="AG47" s="181">
        <f>SUMIFS('1-2 人员岗位信息'!G:G,'1-2 人员岗位信息'!$C:$C,"劳务派遣",'1-2 人员岗位信息'!$B:$B,$D47)</f>
        <v>0</v>
      </c>
      <c r="AH47" s="304"/>
      <c r="AI47" s="181">
        <f t="shared" si="84"/>
        <v>0</v>
      </c>
      <c r="AJ47" s="181">
        <f>SUMIFS('1-2 人员岗位信息'!H:H,'1-2 人员岗位信息'!$C:$C,"劳务派遣",'1-2 人员岗位信息'!$B:$B,$D47)</f>
        <v>0</v>
      </c>
      <c r="AK47" s="304"/>
      <c r="AL47" s="181">
        <f t="shared" si="85"/>
        <v>0</v>
      </c>
      <c r="AM47" s="181">
        <f>SUMIFS('1-2 人员岗位信息'!I:I,'1-2 人员岗位信息'!$C:$C,"劳务派遣",'1-2 人员岗位信息'!$B:$B,$D47)</f>
        <v>0</v>
      </c>
      <c r="AN47" s="304"/>
      <c r="AO47" s="181">
        <f t="shared" si="86"/>
        <v>0</v>
      </c>
      <c r="AP47" s="181">
        <f>SUMIFS('1-2 人员岗位信息'!J:J,'1-2 人员岗位信息'!$C:$C,"劳务派遣",'1-2 人员岗位信息'!$B:$B,$D47)</f>
        <v>0</v>
      </c>
      <c r="AQ47" s="304"/>
      <c r="AR47" s="181">
        <f t="shared" si="87"/>
        <v>0</v>
      </c>
      <c r="AS47" s="181">
        <f>SUMIFS('1-2 人员岗位信息'!K:K,'1-2 人员岗位信息'!$C:$C,"劳务派遣",'1-2 人员岗位信息'!$B:$B,$D47)</f>
        <v>0</v>
      </c>
      <c r="AT47" s="304"/>
      <c r="AU47" s="181">
        <f t="shared" si="88"/>
        <v>0</v>
      </c>
      <c r="AV47" s="181">
        <f>SUMIFS('1-2 人员岗位信息'!L:L,'1-2 人员岗位信息'!$C:$C,"劳务派遣",'1-2 人员岗位信息'!$B:$B,$D47)</f>
        <v>0</v>
      </c>
      <c r="AW47" s="304"/>
      <c r="AX47" s="181">
        <f t="shared" si="89"/>
        <v>0</v>
      </c>
      <c r="AY47" s="181">
        <f>SUMIFS('1-2 人员岗位信息'!M:M,'1-2 人员岗位信息'!$C:$C,"劳务派遣",'1-2 人员岗位信息'!$B:$B,$D47)</f>
        <v>0</v>
      </c>
      <c r="AZ47" s="304"/>
      <c r="BA47" s="181">
        <f t="shared" si="90"/>
        <v>0</v>
      </c>
      <c r="BB47" s="181">
        <f>SUMIFS('1-2 人员岗位信息'!N:N,'1-2 人员岗位信息'!$C:$C,"劳务派遣",'1-2 人员岗位信息'!$B:$B,$D47)</f>
        <v>0</v>
      </c>
      <c r="BC47" s="304"/>
      <c r="BD47" s="181">
        <f t="shared" si="91"/>
        <v>0</v>
      </c>
      <c r="BE47" s="181">
        <f>SUMIFS('1-2 人员岗位信息'!O:O,'1-2 人员岗位信息'!$C:$C,"劳务派遣",'1-2 人员岗位信息'!$B:$B,$D47)</f>
        <v>0</v>
      </c>
      <c r="BF47" s="304"/>
      <c r="BG47" s="181">
        <f t="shared" si="92"/>
        <v>0</v>
      </c>
      <c r="BH47" s="181">
        <f>SUMIFS('1-2 人员岗位信息'!P:P,'1-2 人员岗位信息'!$C:$C,"劳务派遣",'1-2 人员岗位信息'!$B:$B,$D47)</f>
        <v>0</v>
      </c>
      <c r="BI47" s="304"/>
      <c r="BJ47" s="181">
        <f t="shared" si="93"/>
        <v>0</v>
      </c>
      <c r="BK47" s="181">
        <f>SUMIFS('1-2 人员岗位信息'!Q:Q,'1-2 人员岗位信息'!$C:$C,"劳务派遣",'1-2 人员岗位信息'!$B:$B,$D47)</f>
        <v>0</v>
      </c>
      <c r="BL47" s="313"/>
      <c r="BM47" s="317"/>
      <c r="BN47" s="321"/>
    </row>
    <row r="48" s="124" customFormat="1" ht="33.95" hidden="1" customHeight="1" outlineLevel="4" spans="2:66">
      <c r="B48" s="125" t="s">
        <v>787</v>
      </c>
      <c r="C48" s="126" t="s">
        <v>864</v>
      </c>
      <c r="D48" s="124" t="s">
        <v>19</v>
      </c>
      <c r="E48" s="125"/>
      <c r="F48" s="125"/>
      <c r="G48" s="125"/>
      <c r="H48" s="125">
        <f>SUM(H49:H56)</f>
        <v>0</v>
      </c>
      <c r="I48" s="125"/>
      <c r="J48" s="125"/>
      <c r="K48" s="125"/>
      <c r="L48" s="125"/>
      <c r="M48" s="125"/>
      <c r="N48" s="125"/>
      <c r="O48" s="125"/>
      <c r="P48" s="295"/>
      <c r="Q48" s="295"/>
      <c r="R48" s="295"/>
      <c r="S48" s="295"/>
      <c r="T48" s="295"/>
      <c r="U48" s="295"/>
      <c r="V48" s="295"/>
      <c r="W48" s="295"/>
      <c r="X48" s="295"/>
      <c r="Y48" s="295"/>
      <c r="Z48" s="295"/>
      <c r="AA48" s="295"/>
      <c r="AB48" s="125">
        <f t="shared" ref="AB48:AF48" si="94">SUM(AB49:AB56)</f>
        <v>0</v>
      </c>
      <c r="AC48" s="125">
        <f t="shared" si="94"/>
        <v>0</v>
      </c>
      <c r="AD48" s="125"/>
      <c r="AE48" s="125"/>
      <c r="AF48" s="125">
        <f t="shared" si="94"/>
        <v>0</v>
      </c>
      <c r="AG48" s="125"/>
      <c r="AH48" s="125"/>
      <c r="AI48" s="125">
        <f>SUM(AI49:AI56)</f>
        <v>0</v>
      </c>
      <c r="AJ48" s="125"/>
      <c r="AK48" s="125"/>
      <c r="AL48" s="125">
        <f>SUM(AL49:AL56)</f>
        <v>0</v>
      </c>
      <c r="AM48" s="125"/>
      <c r="AN48" s="125"/>
      <c r="AO48" s="125">
        <f>SUM(AO49:AO56)</f>
        <v>0</v>
      </c>
      <c r="AP48" s="125"/>
      <c r="AQ48" s="125"/>
      <c r="AR48" s="125">
        <f>SUM(AR49:AR56)</f>
        <v>0</v>
      </c>
      <c r="AS48" s="125"/>
      <c r="AT48" s="125"/>
      <c r="AU48" s="125">
        <f>SUM(AU49:AU56)</f>
        <v>0</v>
      </c>
      <c r="AV48" s="125"/>
      <c r="AW48" s="125"/>
      <c r="AX48" s="125">
        <f>SUM(AX49:AX56)</f>
        <v>0</v>
      </c>
      <c r="AY48" s="125"/>
      <c r="AZ48" s="125"/>
      <c r="BA48" s="125">
        <f>SUM(BA49:BA56)</f>
        <v>0</v>
      </c>
      <c r="BB48" s="125"/>
      <c r="BC48" s="125"/>
      <c r="BD48" s="125">
        <f>SUM(BD49:BD56)</f>
        <v>0</v>
      </c>
      <c r="BE48" s="125"/>
      <c r="BF48" s="125"/>
      <c r="BG48" s="125">
        <f>SUM(BG49:BG56)</f>
        <v>0</v>
      </c>
      <c r="BH48" s="125"/>
      <c r="BI48" s="125"/>
      <c r="BJ48" s="125">
        <f>SUM(BJ49:BJ56)</f>
        <v>0</v>
      </c>
      <c r="BK48" s="125"/>
      <c r="BL48" s="312"/>
      <c r="BM48" s="317"/>
      <c r="BN48" s="320"/>
    </row>
    <row r="49" s="269" customFormat="1" ht="33.95" hidden="1" customHeight="1" outlineLevel="5" spans="2:66">
      <c r="B49" s="181" t="s">
        <v>792</v>
      </c>
      <c r="C49" s="289" t="s">
        <v>865</v>
      </c>
      <c r="D49" s="269" t="s">
        <v>834</v>
      </c>
      <c r="E49" s="181" t="s">
        <v>866</v>
      </c>
      <c r="F49" s="181"/>
      <c r="G49" s="181" t="s">
        <v>796</v>
      </c>
      <c r="H49" s="181">
        <f t="shared" ref="H49:H56" si="95">AB49</f>
        <v>0</v>
      </c>
      <c r="I49" s="181" t="s">
        <v>797</v>
      </c>
      <c r="J49" s="181" t="e">
        <f t="shared" ref="J49:J56" si="96">SUM(AD49,AG49,AJ49,AM49,AP49,AS49,AV49,AY49,BB49,BE49,BH49,BK49)/N49</f>
        <v>#DIV/0!</v>
      </c>
      <c r="K49" s="181" t="s">
        <v>798</v>
      </c>
      <c r="L49" s="181" t="e">
        <f t="shared" ref="L49:L56" si="97">H49/N49/J49</f>
        <v>#DIV/0!</v>
      </c>
      <c r="M49" s="181" t="s">
        <v>799</v>
      </c>
      <c r="N49" s="181">
        <f t="shared" ref="N49:N56" si="98">COUNTIF(AD49,"&gt;0")+COUNTIF(AG49,"&gt;0")+COUNTIF(AJ49,"&gt;0")+COUNTIF(AM49,"&gt;0")+COUNTIF(AP49,"&gt;0")+COUNTIF(AS49,"&gt;0")+COUNTIF(AV49,"&gt;0")+COUNTIF(AY49,"&gt;0")+COUNTIF(BB49,"&gt;0")+COUNTIF(BE49,"&gt;0")+COUNTIF(BH49,"&gt;0")+COUNTIF(BK49,"&gt;0")</f>
        <v>0</v>
      </c>
      <c r="O49" s="181"/>
      <c r="P49" s="296"/>
      <c r="Q49" s="296"/>
      <c r="R49" s="296"/>
      <c r="S49" s="296"/>
      <c r="T49" s="296"/>
      <c r="U49" s="296"/>
      <c r="V49" s="296"/>
      <c r="W49" s="296"/>
      <c r="X49" s="296"/>
      <c r="Y49" s="296"/>
      <c r="Z49" s="296"/>
      <c r="AA49" s="296"/>
      <c r="AB49" s="181">
        <f t="shared" ref="AB49:AB56" si="99">SUM(AC49,AF49,AI49,AL49,AO49,AR49,AU49,AX49,BA49,BD49,BG49,BJ49)</f>
        <v>0</v>
      </c>
      <c r="AC49" s="181">
        <f t="shared" ref="AC49:AC56" si="100">AD49*AE49</f>
        <v>0</v>
      </c>
      <c r="AD49" s="181">
        <f>SUMIFS('1-2 人员岗位信息'!F:F,'1-2 人员岗位信息'!$C:$C,"专业外包",'1-2 人员岗位信息'!$B:$B,$D49)</f>
        <v>0</v>
      </c>
      <c r="AE49" s="304"/>
      <c r="AF49" s="181">
        <f t="shared" ref="AF49:AF56" si="101">AG49*AH49</f>
        <v>0</v>
      </c>
      <c r="AG49" s="181">
        <f>SUMIFS('1-2 人员岗位信息'!G:G,'1-2 人员岗位信息'!$C:$C,"专业外包",'1-2 人员岗位信息'!$B:$B,$D49)</f>
        <v>0</v>
      </c>
      <c r="AH49" s="304"/>
      <c r="AI49" s="181">
        <f t="shared" ref="AI49:AI56" si="102">AJ49*AK49</f>
        <v>0</v>
      </c>
      <c r="AJ49" s="181">
        <f>SUMIFS('1-2 人员岗位信息'!H:H,'1-2 人员岗位信息'!$C:$C,"专业外包",'1-2 人员岗位信息'!$B:$B,$D49)</f>
        <v>0</v>
      </c>
      <c r="AK49" s="304"/>
      <c r="AL49" s="181">
        <f t="shared" ref="AL49:AL56" si="103">AM49*AN49</f>
        <v>0</v>
      </c>
      <c r="AM49" s="181">
        <f>SUMIFS('1-2 人员岗位信息'!I:I,'1-2 人员岗位信息'!$C:$C,"专业外包",'1-2 人员岗位信息'!$B:$B,$D49)</f>
        <v>0</v>
      </c>
      <c r="AN49" s="304"/>
      <c r="AO49" s="181">
        <f t="shared" ref="AO49:AO56" si="104">AP49*AQ49</f>
        <v>0</v>
      </c>
      <c r="AP49" s="181">
        <f>SUMIFS('1-2 人员岗位信息'!J:J,'1-2 人员岗位信息'!$C:$C,"专业外包",'1-2 人员岗位信息'!$B:$B,$D49)</f>
        <v>0</v>
      </c>
      <c r="AQ49" s="304"/>
      <c r="AR49" s="181">
        <f t="shared" ref="AR49:AR56" si="105">AS49*AT49</f>
        <v>0</v>
      </c>
      <c r="AS49" s="181">
        <f>SUMIFS('1-2 人员岗位信息'!K:K,'1-2 人员岗位信息'!$C:$C,"专业外包",'1-2 人员岗位信息'!$B:$B,$D49)</f>
        <v>0</v>
      </c>
      <c r="AT49" s="304"/>
      <c r="AU49" s="181">
        <f t="shared" ref="AU49:AU56" si="106">AV49*AW49</f>
        <v>0</v>
      </c>
      <c r="AV49" s="181">
        <f>SUMIFS('1-2 人员岗位信息'!L:L,'1-2 人员岗位信息'!$C:$C,"专业外包",'1-2 人员岗位信息'!$B:$B,$D49)</f>
        <v>0</v>
      </c>
      <c r="AW49" s="304"/>
      <c r="AX49" s="181">
        <f t="shared" ref="AX49:AX56" si="107">AY49*AZ49</f>
        <v>0</v>
      </c>
      <c r="AY49" s="181">
        <f>SUMIFS('1-2 人员岗位信息'!M:M,'1-2 人员岗位信息'!$C:$C,"专业外包",'1-2 人员岗位信息'!$B:$B,$D49)</f>
        <v>0</v>
      </c>
      <c r="AZ49" s="304"/>
      <c r="BA49" s="181">
        <f t="shared" ref="BA49:BA56" si="108">BB49*BC49</f>
        <v>0</v>
      </c>
      <c r="BB49" s="181">
        <f>SUMIFS('1-2 人员岗位信息'!N:N,'1-2 人员岗位信息'!$C:$C,"专业外包",'1-2 人员岗位信息'!$B:$B,$D49)</f>
        <v>0</v>
      </c>
      <c r="BC49" s="304"/>
      <c r="BD49" s="181">
        <f t="shared" ref="BD49:BD56" si="109">BE49*BF49</f>
        <v>0</v>
      </c>
      <c r="BE49" s="181">
        <f>SUMIFS('1-2 人员岗位信息'!O:O,'1-2 人员岗位信息'!$C:$C,"专业外包",'1-2 人员岗位信息'!$B:$B,$D49)</f>
        <v>0</v>
      </c>
      <c r="BF49" s="304"/>
      <c r="BG49" s="181">
        <f t="shared" ref="BG49:BG56" si="110">BH49*BI49</f>
        <v>0</v>
      </c>
      <c r="BH49" s="181">
        <f>SUMIFS('1-2 人员岗位信息'!P:P,'1-2 人员岗位信息'!$C:$C,"专业外包",'1-2 人员岗位信息'!$B:$B,$D49)</f>
        <v>0</v>
      </c>
      <c r="BI49" s="304"/>
      <c r="BJ49" s="181">
        <f t="shared" ref="BJ49:BJ56" si="111">BK49*BL49</f>
        <v>0</v>
      </c>
      <c r="BK49" s="181">
        <f>SUMIFS('1-2 人员岗位信息'!Q:Q,'1-2 人员岗位信息'!$C:$C,"专业外包",'1-2 人员岗位信息'!$B:$B,$D49)</f>
        <v>0</v>
      </c>
      <c r="BL49" s="313"/>
      <c r="BM49" s="317"/>
      <c r="BN49" s="321"/>
    </row>
    <row r="50" s="269" customFormat="1" ht="33.95" hidden="1" customHeight="1" outlineLevel="5" spans="2:66">
      <c r="B50" s="181" t="s">
        <v>792</v>
      </c>
      <c r="C50" s="289" t="s">
        <v>867</v>
      </c>
      <c r="D50" s="269" t="s">
        <v>837</v>
      </c>
      <c r="E50" s="181" t="s">
        <v>868</v>
      </c>
      <c r="F50" s="181"/>
      <c r="G50" s="181" t="s">
        <v>796</v>
      </c>
      <c r="H50" s="181">
        <f t="shared" si="95"/>
        <v>0</v>
      </c>
      <c r="I50" s="181" t="s">
        <v>797</v>
      </c>
      <c r="J50" s="181" t="e">
        <f t="shared" si="96"/>
        <v>#DIV/0!</v>
      </c>
      <c r="K50" s="181" t="s">
        <v>798</v>
      </c>
      <c r="L50" s="181" t="e">
        <f t="shared" si="97"/>
        <v>#DIV/0!</v>
      </c>
      <c r="M50" s="181" t="s">
        <v>799</v>
      </c>
      <c r="N50" s="181">
        <f t="shared" si="98"/>
        <v>0</v>
      </c>
      <c r="O50" s="181"/>
      <c r="P50" s="296"/>
      <c r="Q50" s="296"/>
      <c r="R50" s="296"/>
      <c r="S50" s="296"/>
      <c r="T50" s="296"/>
      <c r="U50" s="296"/>
      <c r="V50" s="296"/>
      <c r="W50" s="296"/>
      <c r="X50" s="296"/>
      <c r="Y50" s="296"/>
      <c r="Z50" s="296"/>
      <c r="AA50" s="296"/>
      <c r="AB50" s="181">
        <f t="shared" si="99"/>
        <v>0</v>
      </c>
      <c r="AC50" s="181">
        <f t="shared" si="100"/>
        <v>0</v>
      </c>
      <c r="AD50" s="181">
        <f>SUMIFS('1-2 人员岗位信息'!F:F,'1-2 人员岗位信息'!$C:$C,"专业外包",'1-2 人员岗位信息'!$B:$B,$D50)</f>
        <v>0</v>
      </c>
      <c r="AE50" s="304"/>
      <c r="AF50" s="181">
        <f t="shared" si="101"/>
        <v>0</v>
      </c>
      <c r="AG50" s="181">
        <f>SUMIFS('1-2 人员岗位信息'!G:G,'1-2 人员岗位信息'!$C:$C,"专业外包",'1-2 人员岗位信息'!$B:$B,$D50)</f>
        <v>0</v>
      </c>
      <c r="AH50" s="304"/>
      <c r="AI50" s="181">
        <f t="shared" si="102"/>
        <v>0</v>
      </c>
      <c r="AJ50" s="181">
        <f>SUMIFS('1-2 人员岗位信息'!H:H,'1-2 人员岗位信息'!$C:$C,"专业外包",'1-2 人员岗位信息'!$B:$B,$D50)</f>
        <v>0</v>
      </c>
      <c r="AK50" s="304"/>
      <c r="AL50" s="181">
        <f t="shared" si="103"/>
        <v>0</v>
      </c>
      <c r="AM50" s="181">
        <f>SUMIFS('1-2 人员岗位信息'!I:I,'1-2 人员岗位信息'!$C:$C,"专业外包",'1-2 人员岗位信息'!$B:$B,$D50)</f>
        <v>0</v>
      </c>
      <c r="AN50" s="304"/>
      <c r="AO50" s="181">
        <f t="shared" si="104"/>
        <v>0</v>
      </c>
      <c r="AP50" s="181">
        <f>SUMIFS('1-2 人员岗位信息'!J:J,'1-2 人员岗位信息'!$C:$C,"专业外包",'1-2 人员岗位信息'!$B:$B,$D50)</f>
        <v>0</v>
      </c>
      <c r="AQ50" s="304"/>
      <c r="AR50" s="181">
        <f t="shared" si="105"/>
        <v>0</v>
      </c>
      <c r="AS50" s="181">
        <f>SUMIFS('1-2 人员岗位信息'!K:K,'1-2 人员岗位信息'!$C:$C,"专业外包",'1-2 人员岗位信息'!$B:$B,$D50)</f>
        <v>0</v>
      </c>
      <c r="AT50" s="304"/>
      <c r="AU50" s="181">
        <f t="shared" si="106"/>
        <v>0</v>
      </c>
      <c r="AV50" s="181">
        <f>SUMIFS('1-2 人员岗位信息'!L:L,'1-2 人员岗位信息'!$C:$C,"专业外包",'1-2 人员岗位信息'!$B:$B,$D50)</f>
        <v>0</v>
      </c>
      <c r="AW50" s="304"/>
      <c r="AX50" s="181">
        <f t="shared" si="107"/>
        <v>0</v>
      </c>
      <c r="AY50" s="181">
        <f>SUMIFS('1-2 人员岗位信息'!M:M,'1-2 人员岗位信息'!$C:$C,"专业外包",'1-2 人员岗位信息'!$B:$B,$D50)</f>
        <v>0</v>
      </c>
      <c r="AZ50" s="304"/>
      <c r="BA50" s="181">
        <f t="shared" si="108"/>
        <v>0</v>
      </c>
      <c r="BB50" s="181">
        <f>SUMIFS('1-2 人员岗位信息'!N:N,'1-2 人员岗位信息'!$C:$C,"专业外包",'1-2 人员岗位信息'!$B:$B,$D50)</f>
        <v>0</v>
      </c>
      <c r="BC50" s="304"/>
      <c r="BD50" s="181">
        <f t="shared" si="109"/>
        <v>0</v>
      </c>
      <c r="BE50" s="181">
        <f>SUMIFS('1-2 人员岗位信息'!O:O,'1-2 人员岗位信息'!$C:$C,"专业外包",'1-2 人员岗位信息'!$B:$B,$D50)</f>
        <v>0</v>
      </c>
      <c r="BF50" s="304"/>
      <c r="BG50" s="181">
        <f t="shared" si="110"/>
        <v>0</v>
      </c>
      <c r="BH50" s="181">
        <f>SUMIFS('1-2 人员岗位信息'!P:P,'1-2 人员岗位信息'!$C:$C,"专业外包",'1-2 人员岗位信息'!$B:$B,$D50)</f>
        <v>0</v>
      </c>
      <c r="BI50" s="304"/>
      <c r="BJ50" s="181">
        <f t="shared" si="111"/>
        <v>0</v>
      </c>
      <c r="BK50" s="181">
        <f>SUMIFS('1-2 人员岗位信息'!Q:Q,'1-2 人员岗位信息'!$C:$C,"专业外包",'1-2 人员岗位信息'!$B:$B,$D50)</f>
        <v>0</v>
      </c>
      <c r="BL50" s="313"/>
      <c r="BM50" s="317"/>
      <c r="BN50" s="321"/>
    </row>
    <row r="51" s="269" customFormat="1" ht="33.95" hidden="1" customHeight="1" outlineLevel="5" spans="2:66">
      <c r="B51" s="181" t="s">
        <v>792</v>
      </c>
      <c r="C51" s="289" t="s">
        <v>869</v>
      </c>
      <c r="D51" s="269" t="s">
        <v>839</v>
      </c>
      <c r="E51" s="181" t="s">
        <v>840</v>
      </c>
      <c r="F51" s="181"/>
      <c r="G51" s="181" t="s">
        <v>796</v>
      </c>
      <c r="H51" s="181">
        <f t="shared" si="95"/>
        <v>0</v>
      </c>
      <c r="I51" s="181" t="s">
        <v>797</v>
      </c>
      <c r="J51" s="181" t="e">
        <f t="shared" si="96"/>
        <v>#DIV/0!</v>
      </c>
      <c r="K51" s="181" t="s">
        <v>798</v>
      </c>
      <c r="L51" s="181" t="e">
        <f t="shared" si="97"/>
        <v>#DIV/0!</v>
      </c>
      <c r="M51" s="181" t="s">
        <v>799</v>
      </c>
      <c r="N51" s="181">
        <f t="shared" si="98"/>
        <v>0</v>
      </c>
      <c r="O51" s="181"/>
      <c r="P51" s="296"/>
      <c r="Q51" s="296"/>
      <c r="R51" s="296"/>
      <c r="S51" s="296"/>
      <c r="T51" s="296"/>
      <c r="U51" s="296"/>
      <c r="V51" s="296"/>
      <c r="W51" s="296"/>
      <c r="X51" s="296"/>
      <c r="Y51" s="296"/>
      <c r="Z51" s="296"/>
      <c r="AA51" s="296"/>
      <c r="AB51" s="181">
        <f t="shared" si="99"/>
        <v>0</v>
      </c>
      <c r="AC51" s="181">
        <f t="shared" si="100"/>
        <v>0</v>
      </c>
      <c r="AD51" s="181">
        <f>SUMIFS('1-2 人员岗位信息'!F:F,'1-2 人员岗位信息'!$C:$C,"专业外包",'1-2 人员岗位信息'!$B:$B,$D51)</f>
        <v>0</v>
      </c>
      <c r="AE51" s="304"/>
      <c r="AF51" s="181">
        <f t="shared" si="101"/>
        <v>0</v>
      </c>
      <c r="AG51" s="181">
        <f>SUMIFS('1-2 人员岗位信息'!G:G,'1-2 人员岗位信息'!$C:$C,"专业外包",'1-2 人员岗位信息'!$B:$B,$D51)</f>
        <v>0</v>
      </c>
      <c r="AH51" s="304"/>
      <c r="AI51" s="181">
        <f t="shared" si="102"/>
        <v>0</v>
      </c>
      <c r="AJ51" s="181">
        <f>SUMIFS('1-2 人员岗位信息'!H:H,'1-2 人员岗位信息'!$C:$C,"专业外包",'1-2 人员岗位信息'!$B:$B,$D51)</f>
        <v>0</v>
      </c>
      <c r="AK51" s="304"/>
      <c r="AL51" s="181">
        <f t="shared" si="103"/>
        <v>0</v>
      </c>
      <c r="AM51" s="181">
        <f>SUMIFS('1-2 人员岗位信息'!I:I,'1-2 人员岗位信息'!$C:$C,"专业外包",'1-2 人员岗位信息'!$B:$B,$D51)</f>
        <v>0</v>
      </c>
      <c r="AN51" s="304"/>
      <c r="AO51" s="181">
        <f t="shared" si="104"/>
        <v>0</v>
      </c>
      <c r="AP51" s="181">
        <f>SUMIFS('1-2 人员岗位信息'!J:J,'1-2 人员岗位信息'!$C:$C,"专业外包",'1-2 人员岗位信息'!$B:$B,$D51)</f>
        <v>0</v>
      </c>
      <c r="AQ51" s="304"/>
      <c r="AR51" s="181">
        <f t="shared" si="105"/>
        <v>0</v>
      </c>
      <c r="AS51" s="181">
        <f>SUMIFS('1-2 人员岗位信息'!K:K,'1-2 人员岗位信息'!$C:$C,"专业外包",'1-2 人员岗位信息'!$B:$B,$D51)</f>
        <v>0</v>
      </c>
      <c r="AT51" s="304"/>
      <c r="AU51" s="181">
        <f t="shared" si="106"/>
        <v>0</v>
      </c>
      <c r="AV51" s="181">
        <f>SUMIFS('1-2 人员岗位信息'!L:L,'1-2 人员岗位信息'!$C:$C,"专业外包",'1-2 人员岗位信息'!$B:$B,$D51)</f>
        <v>0</v>
      </c>
      <c r="AW51" s="304"/>
      <c r="AX51" s="181">
        <f t="shared" si="107"/>
        <v>0</v>
      </c>
      <c r="AY51" s="181">
        <f>SUMIFS('1-2 人员岗位信息'!M:M,'1-2 人员岗位信息'!$C:$C,"专业外包",'1-2 人员岗位信息'!$B:$B,$D51)</f>
        <v>0</v>
      </c>
      <c r="AZ51" s="304"/>
      <c r="BA51" s="181">
        <f t="shared" si="108"/>
        <v>0</v>
      </c>
      <c r="BB51" s="181">
        <f>SUMIFS('1-2 人员岗位信息'!N:N,'1-2 人员岗位信息'!$C:$C,"专业外包",'1-2 人员岗位信息'!$B:$B,$D51)</f>
        <v>0</v>
      </c>
      <c r="BC51" s="304"/>
      <c r="BD51" s="181">
        <f t="shared" si="109"/>
        <v>0</v>
      </c>
      <c r="BE51" s="181">
        <f>SUMIFS('1-2 人员岗位信息'!O:O,'1-2 人员岗位信息'!$C:$C,"专业外包",'1-2 人员岗位信息'!$B:$B,$D51)</f>
        <v>0</v>
      </c>
      <c r="BF51" s="304"/>
      <c r="BG51" s="181">
        <f t="shared" si="110"/>
        <v>0</v>
      </c>
      <c r="BH51" s="181">
        <f>SUMIFS('1-2 人员岗位信息'!P:P,'1-2 人员岗位信息'!$C:$C,"专业外包",'1-2 人员岗位信息'!$B:$B,$D51)</f>
        <v>0</v>
      </c>
      <c r="BI51" s="304"/>
      <c r="BJ51" s="181">
        <f t="shared" si="111"/>
        <v>0</v>
      </c>
      <c r="BK51" s="181">
        <f>SUMIFS('1-2 人员岗位信息'!Q:Q,'1-2 人员岗位信息'!$C:$C,"专业外包",'1-2 人员岗位信息'!$B:$B,$D51)</f>
        <v>0</v>
      </c>
      <c r="BL51" s="313"/>
      <c r="BM51" s="317"/>
      <c r="BN51" s="321"/>
    </row>
    <row r="52" s="269" customFormat="1" ht="33.95" hidden="1" customHeight="1" outlineLevel="5" spans="2:66">
      <c r="B52" s="181" t="s">
        <v>792</v>
      </c>
      <c r="C52" s="289" t="s">
        <v>870</v>
      </c>
      <c r="D52" s="269" t="s">
        <v>842</v>
      </c>
      <c r="E52" s="181" t="s">
        <v>843</v>
      </c>
      <c r="F52" s="181"/>
      <c r="G52" s="181" t="s">
        <v>796</v>
      </c>
      <c r="H52" s="181">
        <f t="shared" si="95"/>
        <v>0</v>
      </c>
      <c r="I52" s="181" t="s">
        <v>797</v>
      </c>
      <c r="J52" s="181" t="e">
        <f t="shared" si="96"/>
        <v>#DIV/0!</v>
      </c>
      <c r="K52" s="181" t="s">
        <v>798</v>
      </c>
      <c r="L52" s="181" t="e">
        <f t="shared" si="97"/>
        <v>#DIV/0!</v>
      </c>
      <c r="M52" s="181" t="s">
        <v>799</v>
      </c>
      <c r="N52" s="181">
        <f t="shared" si="98"/>
        <v>0</v>
      </c>
      <c r="O52" s="181"/>
      <c r="P52" s="296"/>
      <c r="Q52" s="296"/>
      <c r="R52" s="296"/>
      <c r="S52" s="296"/>
      <c r="T52" s="296"/>
      <c r="U52" s="296"/>
      <c r="V52" s="296"/>
      <c r="W52" s="296"/>
      <c r="X52" s="296"/>
      <c r="Y52" s="296"/>
      <c r="Z52" s="296"/>
      <c r="AA52" s="296"/>
      <c r="AB52" s="181">
        <f t="shared" si="99"/>
        <v>0</v>
      </c>
      <c r="AC52" s="181">
        <f t="shared" si="100"/>
        <v>0</v>
      </c>
      <c r="AD52" s="181">
        <f>SUMIFS('1-2 人员岗位信息'!F:F,'1-2 人员岗位信息'!$C:$C,"专业外包",'1-2 人员岗位信息'!$B:$B,$D52)</f>
        <v>0</v>
      </c>
      <c r="AE52" s="304"/>
      <c r="AF52" s="181">
        <f t="shared" si="101"/>
        <v>0</v>
      </c>
      <c r="AG52" s="181">
        <f>SUMIFS('1-2 人员岗位信息'!G:G,'1-2 人员岗位信息'!$C:$C,"专业外包",'1-2 人员岗位信息'!$B:$B,$D52)</f>
        <v>0</v>
      </c>
      <c r="AH52" s="304"/>
      <c r="AI52" s="181">
        <f t="shared" si="102"/>
        <v>0</v>
      </c>
      <c r="AJ52" s="181">
        <f>SUMIFS('1-2 人员岗位信息'!H:H,'1-2 人员岗位信息'!$C:$C,"专业外包",'1-2 人员岗位信息'!$B:$B,$D52)</f>
        <v>0</v>
      </c>
      <c r="AK52" s="304"/>
      <c r="AL52" s="181">
        <f t="shared" si="103"/>
        <v>0</v>
      </c>
      <c r="AM52" s="181">
        <f>SUMIFS('1-2 人员岗位信息'!I:I,'1-2 人员岗位信息'!$C:$C,"专业外包",'1-2 人员岗位信息'!$B:$B,$D52)</f>
        <v>0</v>
      </c>
      <c r="AN52" s="304"/>
      <c r="AO52" s="181">
        <f t="shared" si="104"/>
        <v>0</v>
      </c>
      <c r="AP52" s="181">
        <f>SUMIFS('1-2 人员岗位信息'!J:J,'1-2 人员岗位信息'!$C:$C,"专业外包",'1-2 人员岗位信息'!$B:$B,$D52)</f>
        <v>0</v>
      </c>
      <c r="AQ52" s="304"/>
      <c r="AR52" s="181">
        <f t="shared" si="105"/>
        <v>0</v>
      </c>
      <c r="AS52" s="181">
        <f>SUMIFS('1-2 人员岗位信息'!K:K,'1-2 人员岗位信息'!$C:$C,"专业外包",'1-2 人员岗位信息'!$B:$B,$D52)</f>
        <v>0</v>
      </c>
      <c r="AT52" s="304"/>
      <c r="AU52" s="181">
        <f t="shared" si="106"/>
        <v>0</v>
      </c>
      <c r="AV52" s="181">
        <f>SUMIFS('1-2 人员岗位信息'!L:L,'1-2 人员岗位信息'!$C:$C,"专业外包",'1-2 人员岗位信息'!$B:$B,$D52)</f>
        <v>0</v>
      </c>
      <c r="AW52" s="304"/>
      <c r="AX52" s="181">
        <f t="shared" si="107"/>
        <v>0</v>
      </c>
      <c r="AY52" s="181">
        <f>SUMIFS('1-2 人员岗位信息'!M:M,'1-2 人员岗位信息'!$C:$C,"专业外包",'1-2 人员岗位信息'!$B:$B,$D52)</f>
        <v>0</v>
      </c>
      <c r="AZ52" s="304"/>
      <c r="BA52" s="181">
        <f t="shared" si="108"/>
        <v>0</v>
      </c>
      <c r="BB52" s="181">
        <f>SUMIFS('1-2 人员岗位信息'!N:N,'1-2 人员岗位信息'!$C:$C,"专业外包",'1-2 人员岗位信息'!$B:$B,$D52)</f>
        <v>0</v>
      </c>
      <c r="BC52" s="304"/>
      <c r="BD52" s="181">
        <f t="shared" si="109"/>
        <v>0</v>
      </c>
      <c r="BE52" s="181">
        <f>SUMIFS('1-2 人员岗位信息'!O:O,'1-2 人员岗位信息'!$C:$C,"专业外包",'1-2 人员岗位信息'!$B:$B,$D52)</f>
        <v>0</v>
      </c>
      <c r="BF52" s="304"/>
      <c r="BG52" s="181">
        <f t="shared" si="110"/>
        <v>0</v>
      </c>
      <c r="BH52" s="181">
        <f>SUMIFS('1-2 人员岗位信息'!P:P,'1-2 人员岗位信息'!$C:$C,"专业外包",'1-2 人员岗位信息'!$B:$B,$D52)</f>
        <v>0</v>
      </c>
      <c r="BI52" s="304"/>
      <c r="BJ52" s="181">
        <f t="shared" si="111"/>
        <v>0</v>
      </c>
      <c r="BK52" s="181">
        <f>SUMIFS('1-2 人员岗位信息'!Q:Q,'1-2 人员岗位信息'!$C:$C,"专业外包",'1-2 人员岗位信息'!$B:$B,$D52)</f>
        <v>0</v>
      </c>
      <c r="BL52" s="313"/>
      <c r="BM52" s="317"/>
      <c r="BN52" s="321"/>
    </row>
    <row r="53" s="269" customFormat="1" ht="33.95" hidden="1" customHeight="1" outlineLevel="5" spans="2:66">
      <c r="B53" s="181" t="s">
        <v>792</v>
      </c>
      <c r="C53" s="289" t="s">
        <v>871</v>
      </c>
      <c r="D53" s="269" t="s">
        <v>845</v>
      </c>
      <c r="E53" s="181" t="s">
        <v>846</v>
      </c>
      <c r="F53" s="181"/>
      <c r="G53" s="181" t="s">
        <v>796</v>
      </c>
      <c r="H53" s="181">
        <f t="shared" si="95"/>
        <v>0</v>
      </c>
      <c r="I53" s="181" t="s">
        <v>797</v>
      </c>
      <c r="J53" s="181" t="e">
        <f t="shared" si="96"/>
        <v>#DIV/0!</v>
      </c>
      <c r="K53" s="181" t="s">
        <v>798</v>
      </c>
      <c r="L53" s="181" t="e">
        <f t="shared" si="97"/>
        <v>#DIV/0!</v>
      </c>
      <c r="M53" s="181" t="s">
        <v>799</v>
      </c>
      <c r="N53" s="181">
        <f t="shared" si="98"/>
        <v>0</v>
      </c>
      <c r="O53" s="181"/>
      <c r="P53" s="296"/>
      <c r="Q53" s="296"/>
      <c r="R53" s="296"/>
      <c r="S53" s="296"/>
      <c r="T53" s="296"/>
      <c r="U53" s="296"/>
      <c r="V53" s="296"/>
      <c r="W53" s="296"/>
      <c r="X53" s="296"/>
      <c r="Y53" s="296"/>
      <c r="Z53" s="296"/>
      <c r="AA53" s="296"/>
      <c r="AB53" s="181">
        <f t="shared" si="99"/>
        <v>0</v>
      </c>
      <c r="AC53" s="181">
        <f t="shared" si="100"/>
        <v>0</v>
      </c>
      <c r="AD53" s="181">
        <f>SUMIFS('1-2 人员岗位信息'!F:F,'1-2 人员岗位信息'!$C:$C,"专业外包",'1-2 人员岗位信息'!$B:$B,$D53)</f>
        <v>0</v>
      </c>
      <c r="AE53" s="304"/>
      <c r="AF53" s="181">
        <f t="shared" si="101"/>
        <v>0</v>
      </c>
      <c r="AG53" s="181">
        <f>SUMIFS('1-2 人员岗位信息'!G:G,'1-2 人员岗位信息'!$C:$C,"专业外包",'1-2 人员岗位信息'!$B:$B,$D53)</f>
        <v>0</v>
      </c>
      <c r="AH53" s="304"/>
      <c r="AI53" s="181">
        <f t="shared" si="102"/>
        <v>0</v>
      </c>
      <c r="AJ53" s="181">
        <f>SUMIFS('1-2 人员岗位信息'!H:H,'1-2 人员岗位信息'!$C:$C,"专业外包",'1-2 人员岗位信息'!$B:$B,$D53)</f>
        <v>0</v>
      </c>
      <c r="AK53" s="304"/>
      <c r="AL53" s="181">
        <f t="shared" si="103"/>
        <v>0</v>
      </c>
      <c r="AM53" s="181">
        <f>SUMIFS('1-2 人员岗位信息'!I:I,'1-2 人员岗位信息'!$C:$C,"专业外包",'1-2 人员岗位信息'!$B:$B,$D53)</f>
        <v>0</v>
      </c>
      <c r="AN53" s="304"/>
      <c r="AO53" s="181">
        <f t="shared" si="104"/>
        <v>0</v>
      </c>
      <c r="AP53" s="181">
        <f>SUMIFS('1-2 人员岗位信息'!J:J,'1-2 人员岗位信息'!$C:$C,"专业外包",'1-2 人员岗位信息'!$B:$B,$D53)</f>
        <v>0</v>
      </c>
      <c r="AQ53" s="304"/>
      <c r="AR53" s="181">
        <f t="shared" si="105"/>
        <v>0</v>
      </c>
      <c r="AS53" s="181">
        <f>SUMIFS('1-2 人员岗位信息'!K:K,'1-2 人员岗位信息'!$C:$C,"专业外包",'1-2 人员岗位信息'!$B:$B,$D53)</f>
        <v>0</v>
      </c>
      <c r="AT53" s="304"/>
      <c r="AU53" s="181">
        <f t="shared" si="106"/>
        <v>0</v>
      </c>
      <c r="AV53" s="181">
        <f>SUMIFS('1-2 人员岗位信息'!L:L,'1-2 人员岗位信息'!$C:$C,"专业外包",'1-2 人员岗位信息'!$B:$B,$D53)</f>
        <v>0</v>
      </c>
      <c r="AW53" s="304"/>
      <c r="AX53" s="181">
        <f t="shared" si="107"/>
        <v>0</v>
      </c>
      <c r="AY53" s="181">
        <f>SUMIFS('1-2 人员岗位信息'!M:M,'1-2 人员岗位信息'!$C:$C,"专业外包",'1-2 人员岗位信息'!$B:$B,$D53)</f>
        <v>0</v>
      </c>
      <c r="AZ53" s="304"/>
      <c r="BA53" s="181">
        <f t="shared" si="108"/>
        <v>0</v>
      </c>
      <c r="BB53" s="181">
        <f>SUMIFS('1-2 人员岗位信息'!N:N,'1-2 人员岗位信息'!$C:$C,"专业外包",'1-2 人员岗位信息'!$B:$B,$D53)</f>
        <v>0</v>
      </c>
      <c r="BC53" s="304"/>
      <c r="BD53" s="181">
        <f t="shared" si="109"/>
        <v>0</v>
      </c>
      <c r="BE53" s="181">
        <f>SUMIFS('1-2 人员岗位信息'!O:O,'1-2 人员岗位信息'!$C:$C,"专业外包",'1-2 人员岗位信息'!$B:$B,$D53)</f>
        <v>0</v>
      </c>
      <c r="BF53" s="304"/>
      <c r="BG53" s="181">
        <f t="shared" si="110"/>
        <v>0</v>
      </c>
      <c r="BH53" s="181">
        <f>SUMIFS('1-2 人员岗位信息'!P:P,'1-2 人员岗位信息'!$C:$C,"专业外包",'1-2 人员岗位信息'!$B:$B,$D53)</f>
        <v>0</v>
      </c>
      <c r="BI53" s="304"/>
      <c r="BJ53" s="181">
        <f t="shared" si="111"/>
        <v>0</v>
      </c>
      <c r="BK53" s="181">
        <f>SUMIFS('1-2 人员岗位信息'!Q:Q,'1-2 人员岗位信息'!$C:$C,"专业外包",'1-2 人员岗位信息'!$B:$B,$D53)</f>
        <v>0</v>
      </c>
      <c r="BL53" s="313"/>
      <c r="BM53" s="317"/>
      <c r="BN53" s="321"/>
    </row>
    <row r="54" s="269" customFormat="1" ht="33.95" hidden="1" customHeight="1" outlineLevel="5" spans="2:66">
      <c r="B54" s="181" t="s">
        <v>792</v>
      </c>
      <c r="C54" s="289" t="s">
        <v>872</v>
      </c>
      <c r="D54" s="269" t="s">
        <v>848</v>
      </c>
      <c r="E54" s="181" t="s">
        <v>849</v>
      </c>
      <c r="F54" s="181"/>
      <c r="G54" s="181" t="s">
        <v>796</v>
      </c>
      <c r="H54" s="181">
        <f t="shared" si="95"/>
        <v>0</v>
      </c>
      <c r="I54" s="181" t="s">
        <v>797</v>
      </c>
      <c r="J54" s="181" t="e">
        <f t="shared" si="96"/>
        <v>#DIV/0!</v>
      </c>
      <c r="K54" s="181" t="s">
        <v>798</v>
      </c>
      <c r="L54" s="181" t="e">
        <f t="shared" si="97"/>
        <v>#DIV/0!</v>
      </c>
      <c r="M54" s="181" t="s">
        <v>799</v>
      </c>
      <c r="N54" s="181">
        <f t="shared" si="98"/>
        <v>0</v>
      </c>
      <c r="O54" s="181"/>
      <c r="P54" s="296"/>
      <c r="Q54" s="296"/>
      <c r="R54" s="296"/>
      <c r="S54" s="296"/>
      <c r="T54" s="296"/>
      <c r="U54" s="296"/>
      <c r="V54" s="296"/>
      <c r="W54" s="296"/>
      <c r="X54" s="296"/>
      <c r="Y54" s="296"/>
      <c r="Z54" s="296"/>
      <c r="AA54" s="296"/>
      <c r="AB54" s="181">
        <f t="shared" si="99"/>
        <v>0</v>
      </c>
      <c r="AC54" s="181">
        <f t="shared" si="100"/>
        <v>0</v>
      </c>
      <c r="AD54" s="181">
        <f>SUMIFS('1-2 人员岗位信息'!F:F,'1-2 人员岗位信息'!$C:$C,"专业外包",'1-2 人员岗位信息'!$B:$B,$D54)</f>
        <v>0</v>
      </c>
      <c r="AE54" s="304"/>
      <c r="AF54" s="181">
        <f t="shared" si="101"/>
        <v>0</v>
      </c>
      <c r="AG54" s="181">
        <f>SUMIFS('1-2 人员岗位信息'!G:G,'1-2 人员岗位信息'!$C:$C,"专业外包",'1-2 人员岗位信息'!$B:$B,$D54)</f>
        <v>0</v>
      </c>
      <c r="AH54" s="304"/>
      <c r="AI54" s="181">
        <f t="shared" si="102"/>
        <v>0</v>
      </c>
      <c r="AJ54" s="181">
        <f>SUMIFS('1-2 人员岗位信息'!H:H,'1-2 人员岗位信息'!$C:$C,"专业外包",'1-2 人员岗位信息'!$B:$B,$D54)</f>
        <v>0</v>
      </c>
      <c r="AK54" s="304"/>
      <c r="AL54" s="181">
        <f t="shared" si="103"/>
        <v>0</v>
      </c>
      <c r="AM54" s="181">
        <f>SUMIFS('1-2 人员岗位信息'!I:I,'1-2 人员岗位信息'!$C:$C,"专业外包",'1-2 人员岗位信息'!$B:$B,$D54)</f>
        <v>0</v>
      </c>
      <c r="AN54" s="304"/>
      <c r="AO54" s="181">
        <f t="shared" si="104"/>
        <v>0</v>
      </c>
      <c r="AP54" s="181">
        <f>SUMIFS('1-2 人员岗位信息'!J:J,'1-2 人员岗位信息'!$C:$C,"专业外包",'1-2 人员岗位信息'!$B:$B,$D54)</f>
        <v>0</v>
      </c>
      <c r="AQ54" s="304"/>
      <c r="AR54" s="181">
        <f t="shared" si="105"/>
        <v>0</v>
      </c>
      <c r="AS54" s="181">
        <f>SUMIFS('1-2 人员岗位信息'!K:K,'1-2 人员岗位信息'!$C:$C,"专业外包",'1-2 人员岗位信息'!$B:$B,$D54)</f>
        <v>0</v>
      </c>
      <c r="AT54" s="304"/>
      <c r="AU54" s="181">
        <f t="shared" si="106"/>
        <v>0</v>
      </c>
      <c r="AV54" s="181">
        <f>SUMIFS('1-2 人员岗位信息'!L:L,'1-2 人员岗位信息'!$C:$C,"专业外包",'1-2 人员岗位信息'!$B:$B,$D54)</f>
        <v>0</v>
      </c>
      <c r="AW54" s="304"/>
      <c r="AX54" s="181">
        <f t="shared" si="107"/>
        <v>0</v>
      </c>
      <c r="AY54" s="181">
        <f>SUMIFS('1-2 人员岗位信息'!M:M,'1-2 人员岗位信息'!$C:$C,"专业外包",'1-2 人员岗位信息'!$B:$B,$D54)</f>
        <v>0</v>
      </c>
      <c r="AZ54" s="304"/>
      <c r="BA54" s="181">
        <f t="shared" si="108"/>
        <v>0</v>
      </c>
      <c r="BB54" s="181">
        <f>SUMIFS('1-2 人员岗位信息'!N:N,'1-2 人员岗位信息'!$C:$C,"专业外包",'1-2 人员岗位信息'!$B:$B,$D54)</f>
        <v>0</v>
      </c>
      <c r="BC54" s="304"/>
      <c r="BD54" s="181">
        <f t="shared" si="109"/>
        <v>0</v>
      </c>
      <c r="BE54" s="181">
        <f>SUMIFS('1-2 人员岗位信息'!O:O,'1-2 人员岗位信息'!$C:$C,"专业外包",'1-2 人员岗位信息'!$B:$B,$D54)</f>
        <v>0</v>
      </c>
      <c r="BF54" s="304"/>
      <c r="BG54" s="181">
        <f t="shared" si="110"/>
        <v>0</v>
      </c>
      <c r="BH54" s="181">
        <f>SUMIFS('1-2 人员岗位信息'!P:P,'1-2 人员岗位信息'!$C:$C,"专业外包",'1-2 人员岗位信息'!$B:$B,$D54)</f>
        <v>0</v>
      </c>
      <c r="BI54" s="304"/>
      <c r="BJ54" s="181">
        <f t="shared" si="111"/>
        <v>0</v>
      </c>
      <c r="BK54" s="181">
        <f>SUMIFS('1-2 人员岗位信息'!Q:Q,'1-2 人员岗位信息'!$C:$C,"专业外包",'1-2 人员岗位信息'!$B:$B,$D54)</f>
        <v>0</v>
      </c>
      <c r="BL54" s="313"/>
      <c r="BM54" s="317"/>
      <c r="BN54" s="321"/>
    </row>
    <row r="55" s="269" customFormat="1" ht="33.95" hidden="1" customHeight="1" outlineLevel="5" spans="2:66">
      <c r="B55" s="181" t="s">
        <v>792</v>
      </c>
      <c r="C55" s="289" t="s">
        <v>873</v>
      </c>
      <c r="D55" s="269" t="s">
        <v>851</v>
      </c>
      <c r="E55" s="181" t="s">
        <v>852</v>
      </c>
      <c r="F55" s="181"/>
      <c r="G55" s="181" t="s">
        <v>796</v>
      </c>
      <c r="H55" s="181">
        <f t="shared" si="95"/>
        <v>0</v>
      </c>
      <c r="I55" s="181" t="s">
        <v>797</v>
      </c>
      <c r="J55" s="181" t="e">
        <f t="shared" si="96"/>
        <v>#DIV/0!</v>
      </c>
      <c r="K55" s="181" t="s">
        <v>798</v>
      </c>
      <c r="L55" s="181" t="e">
        <f t="shared" si="97"/>
        <v>#DIV/0!</v>
      </c>
      <c r="M55" s="181" t="s">
        <v>799</v>
      </c>
      <c r="N55" s="181">
        <f t="shared" si="98"/>
        <v>0</v>
      </c>
      <c r="O55" s="181"/>
      <c r="P55" s="296"/>
      <c r="Q55" s="296"/>
      <c r="R55" s="296"/>
      <c r="S55" s="296"/>
      <c r="T55" s="296"/>
      <c r="U55" s="296"/>
      <c r="V55" s="296"/>
      <c r="W55" s="296"/>
      <c r="X55" s="296"/>
      <c r="Y55" s="296"/>
      <c r="Z55" s="296"/>
      <c r="AA55" s="296"/>
      <c r="AB55" s="181">
        <f t="shared" si="99"/>
        <v>0</v>
      </c>
      <c r="AC55" s="181">
        <f t="shared" si="100"/>
        <v>0</v>
      </c>
      <c r="AD55" s="181">
        <f>SUMIFS('1-2 人员岗位信息'!F:F,'1-2 人员岗位信息'!$C:$C,"专业外包",'1-2 人员岗位信息'!$B:$B,$D55)</f>
        <v>0</v>
      </c>
      <c r="AE55" s="304"/>
      <c r="AF55" s="181">
        <f t="shared" si="101"/>
        <v>0</v>
      </c>
      <c r="AG55" s="181">
        <f>SUMIFS('1-2 人员岗位信息'!G:G,'1-2 人员岗位信息'!$C:$C,"专业外包",'1-2 人员岗位信息'!$B:$B,$D55)</f>
        <v>0</v>
      </c>
      <c r="AH55" s="304"/>
      <c r="AI55" s="181">
        <f t="shared" si="102"/>
        <v>0</v>
      </c>
      <c r="AJ55" s="181">
        <f>SUMIFS('1-2 人员岗位信息'!H:H,'1-2 人员岗位信息'!$C:$C,"专业外包",'1-2 人员岗位信息'!$B:$B,$D55)</f>
        <v>0</v>
      </c>
      <c r="AK55" s="304"/>
      <c r="AL55" s="181">
        <f t="shared" si="103"/>
        <v>0</v>
      </c>
      <c r="AM55" s="181">
        <f>SUMIFS('1-2 人员岗位信息'!I:I,'1-2 人员岗位信息'!$C:$C,"专业外包",'1-2 人员岗位信息'!$B:$B,$D55)</f>
        <v>0</v>
      </c>
      <c r="AN55" s="304"/>
      <c r="AO55" s="181">
        <f t="shared" si="104"/>
        <v>0</v>
      </c>
      <c r="AP55" s="181">
        <f>SUMIFS('1-2 人员岗位信息'!J:J,'1-2 人员岗位信息'!$C:$C,"专业外包",'1-2 人员岗位信息'!$B:$B,$D55)</f>
        <v>0</v>
      </c>
      <c r="AQ55" s="304"/>
      <c r="AR55" s="181">
        <f t="shared" si="105"/>
        <v>0</v>
      </c>
      <c r="AS55" s="181">
        <f>SUMIFS('1-2 人员岗位信息'!K:K,'1-2 人员岗位信息'!$C:$C,"专业外包",'1-2 人员岗位信息'!$B:$B,$D55)</f>
        <v>0</v>
      </c>
      <c r="AT55" s="304"/>
      <c r="AU55" s="181">
        <f t="shared" si="106"/>
        <v>0</v>
      </c>
      <c r="AV55" s="181">
        <f>SUMIFS('1-2 人员岗位信息'!L:L,'1-2 人员岗位信息'!$C:$C,"专业外包",'1-2 人员岗位信息'!$B:$B,$D55)</f>
        <v>0</v>
      </c>
      <c r="AW55" s="304"/>
      <c r="AX55" s="181">
        <f t="shared" si="107"/>
        <v>0</v>
      </c>
      <c r="AY55" s="181">
        <f>SUMIFS('1-2 人员岗位信息'!M:M,'1-2 人员岗位信息'!$C:$C,"专业外包",'1-2 人员岗位信息'!$B:$B,$D55)</f>
        <v>0</v>
      </c>
      <c r="AZ55" s="304"/>
      <c r="BA55" s="181">
        <f t="shared" si="108"/>
        <v>0</v>
      </c>
      <c r="BB55" s="181">
        <f>SUMIFS('1-2 人员岗位信息'!N:N,'1-2 人员岗位信息'!$C:$C,"专业外包",'1-2 人员岗位信息'!$B:$B,$D55)</f>
        <v>0</v>
      </c>
      <c r="BC55" s="304"/>
      <c r="BD55" s="181">
        <f t="shared" si="109"/>
        <v>0</v>
      </c>
      <c r="BE55" s="181">
        <f>SUMIFS('1-2 人员岗位信息'!O:O,'1-2 人员岗位信息'!$C:$C,"专业外包",'1-2 人员岗位信息'!$B:$B,$D55)</f>
        <v>0</v>
      </c>
      <c r="BF55" s="304"/>
      <c r="BG55" s="181">
        <f t="shared" si="110"/>
        <v>0</v>
      </c>
      <c r="BH55" s="181">
        <f>SUMIFS('1-2 人员岗位信息'!P:P,'1-2 人员岗位信息'!$C:$C,"专业外包",'1-2 人员岗位信息'!$B:$B,$D55)</f>
        <v>0</v>
      </c>
      <c r="BI55" s="304"/>
      <c r="BJ55" s="181">
        <f t="shared" si="111"/>
        <v>0</v>
      </c>
      <c r="BK55" s="181">
        <f>SUMIFS('1-2 人员岗位信息'!Q:Q,'1-2 人员岗位信息'!$C:$C,"专业外包",'1-2 人员岗位信息'!$B:$B,$D55)</f>
        <v>0</v>
      </c>
      <c r="BL55" s="313"/>
      <c r="BM55" s="317"/>
      <c r="BN55" s="321"/>
    </row>
    <row r="56" s="269" customFormat="1" ht="33.95" hidden="1" customHeight="1" outlineLevel="5" spans="2:66">
      <c r="B56" s="181" t="s">
        <v>792</v>
      </c>
      <c r="C56" s="289" t="s">
        <v>874</v>
      </c>
      <c r="D56" s="269" t="s">
        <v>854</v>
      </c>
      <c r="E56" s="181" t="s">
        <v>814</v>
      </c>
      <c r="F56" s="181"/>
      <c r="G56" s="181" t="s">
        <v>796</v>
      </c>
      <c r="H56" s="181">
        <f t="shared" si="95"/>
        <v>0</v>
      </c>
      <c r="I56" s="181" t="s">
        <v>797</v>
      </c>
      <c r="J56" s="181" t="e">
        <f t="shared" si="96"/>
        <v>#DIV/0!</v>
      </c>
      <c r="K56" s="181" t="s">
        <v>798</v>
      </c>
      <c r="L56" s="181" t="e">
        <f t="shared" si="97"/>
        <v>#DIV/0!</v>
      </c>
      <c r="M56" s="181" t="s">
        <v>799</v>
      </c>
      <c r="N56" s="181">
        <f t="shared" si="98"/>
        <v>0</v>
      </c>
      <c r="O56" s="181"/>
      <c r="P56" s="296"/>
      <c r="Q56" s="296"/>
      <c r="R56" s="296"/>
      <c r="S56" s="296"/>
      <c r="T56" s="296"/>
      <c r="U56" s="296"/>
      <c r="V56" s="296"/>
      <c r="W56" s="296"/>
      <c r="X56" s="296"/>
      <c r="Y56" s="296"/>
      <c r="Z56" s="296"/>
      <c r="AA56" s="296"/>
      <c r="AB56" s="181">
        <f t="shared" si="99"/>
        <v>0</v>
      </c>
      <c r="AC56" s="181">
        <f t="shared" si="100"/>
        <v>0</v>
      </c>
      <c r="AD56" s="181">
        <f>SUMIFS('1-2 人员岗位信息'!F:F,'1-2 人员岗位信息'!$C:$C,"专业外包",'1-2 人员岗位信息'!$B:$B,$D56)</f>
        <v>0</v>
      </c>
      <c r="AE56" s="304"/>
      <c r="AF56" s="181">
        <f t="shared" si="101"/>
        <v>0</v>
      </c>
      <c r="AG56" s="181">
        <f>SUMIFS('1-2 人员岗位信息'!G:G,'1-2 人员岗位信息'!$C:$C,"专业外包",'1-2 人员岗位信息'!$B:$B,$D56)</f>
        <v>0</v>
      </c>
      <c r="AH56" s="304"/>
      <c r="AI56" s="181">
        <f t="shared" si="102"/>
        <v>0</v>
      </c>
      <c r="AJ56" s="181">
        <f>SUMIFS('1-2 人员岗位信息'!H:H,'1-2 人员岗位信息'!$C:$C,"专业外包",'1-2 人员岗位信息'!$B:$B,$D56)</f>
        <v>0</v>
      </c>
      <c r="AK56" s="304"/>
      <c r="AL56" s="181">
        <f t="shared" si="103"/>
        <v>0</v>
      </c>
      <c r="AM56" s="181">
        <f>SUMIFS('1-2 人员岗位信息'!I:I,'1-2 人员岗位信息'!$C:$C,"专业外包",'1-2 人员岗位信息'!$B:$B,$D56)</f>
        <v>0</v>
      </c>
      <c r="AN56" s="304"/>
      <c r="AO56" s="181">
        <f t="shared" si="104"/>
        <v>0</v>
      </c>
      <c r="AP56" s="181">
        <f>SUMIFS('1-2 人员岗位信息'!J:J,'1-2 人员岗位信息'!$C:$C,"专业外包",'1-2 人员岗位信息'!$B:$B,$D56)</f>
        <v>0</v>
      </c>
      <c r="AQ56" s="304"/>
      <c r="AR56" s="181">
        <f t="shared" si="105"/>
        <v>0</v>
      </c>
      <c r="AS56" s="181">
        <f>SUMIFS('1-2 人员岗位信息'!K:K,'1-2 人员岗位信息'!$C:$C,"专业外包",'1-2 人员岗位信息'!$B:$B,$D56)</f>
        <v>0</v>
      </c>
      <c r="AT56" s="304"/>
      <c r="AU56" s="181">
        <f t="shared" si="106"/>
        <v>0</v>
      </c>
      <c r="AV56" s="181">
        <f>SUMIFS('1-2 人员岗位信息'!L:L,'1-2 人员岗位信息'!$C:$C,"专业外包",'1-2 人员岗位信息'!$B:$B,$D56)</f>
        <v>0</v>
      </c>
      <c r="AW56" s="304"/>
      <c r="AX56" s="181">
        <f t="shared" si="107"/>
        <v>0</v>
      </c>
      <c r="AY56" s="181">
        <f>SUMIFS('1-2 人员岗位信息'!M:M,'1-2 人员岗位信息'!$C:$C,"专业外包",'1-2 人员岗位信息'!$B:$B,$D56)</f>
        <v>0</v>
      </c>
      <c r="AZ56" s="304"/>
      <c r="BA56" s="181">
        <f t="shared" si="108"/>
        <v>0</v>
      </c>
      <c r="BB56" s="181">
        <f>SUMIFS('1-2 人员岗位信息'!N:N,'1-2 人员岗位信息'!$C:$C,"专业外包",'1-2 人员岗位信息'!$B:$B,$D56)</f>
        <v>0</v>
      </c>
      <c r="BC56" s="304"/>
      <c r="BD56" s="181">
        <f t="shared" si="109"/>
        <v>0</v>
      </c>
      <c r="BE56" s="181">
        <f>SUMIFS('1-2 人员岗位信息'!O:O,'1-2 人员岗位信息'!$C:$C,"专业外包",'1-2 人员岗位信息'!$B:$B,$D56)</f>
        <v>0</v>
      </c>
      <c r="BF56" s="304"/>
      <c r="BG56" s="181">
        <f t="shared" si="110"/>
        <v>0</v>
      </c>
      <c r="BH56" s="181">
        <f>SUMIFS('1-2 人员岗位信息'!P:P,'1-2 人员岗位信息'!$C:$C,"专业外包",'1-2 人员岗位信息'!$B:$B,$D56)</f>
        <v>0</v>
      </c>
      <c r="BI56" s="304"/>
      <c r="BJ56" s="181">
        <f t="shared" si="111"/>
        <v>0</v>
      </c>
      <c r="BK56" s="181">
        <f>SUMIFS('1-2 人员岗位信息'!Q:Q,'1-2 人员岗位信息'!$C:$C,"专业外包",'1-2 人员岗位信息'!$B:$B,$D56)</f>
        <v>0</v>
      </c>
      <c r="BL56" s="313"/>
      <c r="BM56" s="317"/>
      <c r="BN56" s="321"/>
    </row>
    <row r="57" s="43" customFormat="1" ht="33.95" customHeight="1" outlineLevel="3" spans="2:66">
      <c r="B57" s="121" t="s">
        <v>787</v>
      </c>
      <c r="C57" s="122" t="s">
        <v>875</v>
      </c>
      <c r="D57" s="43" t="s">
        <v>876</v>
      </c>
      <c r="E57" s="121"/>
      <c r="F57" s="121"/>
      <c r="G57" s="121"/>
      <c r="H57" s="121">
        <f>H58+H69+H80+H91</f>
        <v>6881089.49433962</v>
      </c>
      <c r="I57" s="121"/>
      <c r="J57" s="121"/>
      <c r="K57" s="121"/>
      <c r="L57" s="121"/>
      <c r="M57" s="121"/>
      <c r="N57" s="121"/>
      <c r="O57" s="121"/>
      <c r="P57" s="294"/>
      <c r="Q57" s="294"/>
      <c r="R57" s="294"/>
      <c r="S57" s="294"/>
      <c r="T57" s="294"/>
      <c r="U57" s="294"/>
      <c r="V57" s="294"/>
      <c r="W57" s="294"/>
      <c r="X57" s="294"/>
      <c r="Y57" s="294"/>
      <c r="Z57" s="294"/>
      <c r="AA57" s="294"/>
      <c r="AB57" s="121">
        <f t="shared" ref="AB57:AF57" si="112">AB58+AB69+AB80+AB91</f>
        <v>6881089.49433962</v>
      </c>
      <c r="AC57" s="121">
        <f t="shared" si="112"/>
        <v>673168.457861635</v>
      </c>
      <c r="AD57" s="121"/>
      <c r="AE57" s="121"/>
      <c r="AF57" s="121">
        <f t="shared" si="112"/>
        <v>564356.457861635</v>
      </c>
      <c r="AG57" s="121"/>
      <c r="AH57" s="121"/>
      <c r="AI57" s="121">
        <f>AI58+AI69+AI80+AI91</f>
        <v>564356.457861635</v>
      </c>
      <c r="AJ57" s="121"/>
      <c r="AK57" s="121"/>
      <c r="AL57" s="121">
        <f>AL58+AL69+AL80+AL91</f>
        <v>564356.457861635</v>
      </c>
      <c r="AM57" s="121"/>
      <c r="AN57" s="121"/>
      <c r="AO57" s="121">
        <f>AO58+AO69+AO80+AO91</f>
        <v>564356.457861635</v>
      </c>
      <c r="AP57" s="121"/>
      <c r="AQ57" s="121"/>
      <c r="AR57" s="121">
        <f>AR58+AR69+AR80+AR91</f>
        <v>564356.457861635</v>
      </c>
      <c r="AS57" s="121"/>
      <c r="AT57" s="121"/>
      <c r="AU57" s="121">
        <f>AU58+AU69+AU80+AU91</f>
        <v>564356.457861635</v>
      </c>
      <c r="AV57" s="121"/>
      <c r="AW57" s="121"/>
      <c r="AX57" s="121">
        <f>AX58+AX69+AX80+AX91</f>
        <v>564356.457861635</v>
      </c>
      <c r="AY57" s="121"/>
      <c r="AZ57" s="121"/>
      <c r="BA57" s="121">
        <f>BA58+BA69+BA80+BA91</f>
        <v>564356.457861635</v>
      </c>
      <c r="BB57" s="121"/>
      <c r="BC57" s="121"/>
      <c r="BD57" s="121">
        <f>BD58+BD69+BD80+BD91</f>
        <v>564356.457861635</v>
      </c>
      <c r="BE57" s="121"/>
      <c r="BF57" s="121"/>
      <c r="BG57" s="121">
        <f>BG58+BG69+BG80+BG91</f>
        <v>564356.457861635</v>
      </c>
      <c r="BH57" s="121"/>
      <c r="BI57" s="121"/>
      <c r="BJ57" s="121">
        <f>BJ58+BJ69+BJ80+BJ91</f>
        <v>564356.457861635</v>
      </c>
      <c r="BK57" s="121"/>
      <c r="BL57" s="311"/>
      <c r="BM57" s="317"/>
      <c r="BN57" s="319"/>
    </row>
    <row r="58" s="124" customFormat="1" ht="33.95" customHeight="1" outlineLevel="4" spans="2:66">
      <c r="B58" s="125" t="s">
        <v>787</v>
      </c>
      <c r="C58" s="126" t="s">
        <v>115</v>
      </c>
      <c r="D58" s="124" t="s">
        <v>109</v>
      </c>
      <c r="E58" s="125"/>
      <c r="F58" s="125"/>
      <c r="G58" s="125"/>
      <c r="H58" s="125">
        <f>SUM(H59:H68)</f>
        <v>1037780</v>
      </c>
      <c r="I58" s="125"/>
      <c r="J58" s="125"/>
      <c r="K58" s="125"/>
      <c r="L58" s="125"/>
      <c r="M58" s="125"/>
      <c r="N58" s="125"/>
      <c r="O58" s="125"/>
      <c r="P58" s="295"/>
      <c r="Q58" s="295"/>
      <c r="R58" s="295"/>
      <c r="S58" s="295"/>
      <c r="T58" s="295"/>
      <c r="U58" s="295"/>
      <c r="V58" s="295"/>
      <c r="W58" s="295"/>
      <c r="X58" s="295"/>
      <c r="Y58" s="295"/>
      <c r="Z58" s="295"/>
      <c r="AA58" s="295"/>
      <c r="AB58" s="125">
        <f t="shared" ref="AB58:AF58" si="113">SUM(AB59:AB68)</f>
        <v>1037780</v>
      </c>
      <c r="AC58" s="125">
        <f t="shared" si="113"/>
        <v>186226</v>
      </c>
      <c r="AD58" s="125"/>
      <c r="AE58" s="125"/>
      <c r="AF58" s="125">
        <f t="shared" si="113"/>
        <v>77414</v>
      </c>
      <c r="AG58" s="125"/>
      <c r="AH58" s="125"/>
      <c r="AI58" s="125">
        <f>SUM(AI59:AI68)</f>
        <v>77414</v>
      </c>
      <c r="AJ58" s="125"/>
      <c r="AK58" s="125"/>
      <c r="AL58" s="125">
        <f>SUM(AL59:AL68)</f>
        <v>77414</v>
      </c>
      <c r="AM58" s="125"/>
      <c r="AN58" s="125"/>
      <c r="AO58" s="125">
        <f>SUM(AO59:AO68)</f>
        <v>77414</v>
      </c>
      <c r="AP58" s="125"/>
      <c r="AQ58" s="125"/>
      <c r="AR58" s="125">
        <f>SUM(AR59:AR68)</f>
        <v>77414</v>
      </c>
      <c r="AS58" s="125"/>
      <c r="AT58" s="125"/>
      <c r="AU58" s="125">
        <f>SUM(AU59:AU68)</f>
        <v>77414</v>
      </c>
      <c r="AV58" s="125"/>
      <c r="AW58" s="125"/>
      <c r="AX58" s="125">
        <f>SUM(AX59:AX68)</f>
        <v>77414</v>
      </c>
      <c r="AY58" s="125"/>
      <c r="AZ58" s="125"/>
      <c r="BA58" s="125">
        <f>SUM(BA59:BA68)</f>
        <v>77414</v>
      </c>
      <c r="BB58" s="125"/>
      <c r="BC58" s="125"/>
      <c r="BD58" s="125">
        <f>SUM(BD59:BD68)</f>
        <v>77414</v>
      </c>
      <c r="BE58" s="125"/>
      <c r="BF58" s="125"/>
      <c r="BG58" s="125">
        <f>SUM(BG59:BG68)</f>
        <v>77414</v>
      </c>
      <c r="BH58" s="125"/>
      <c r="BI58" s="125"/>
      <c r="BJ58" s="125">
        <f>SUM(BJ59:BJ68)</f>
        <v>77414</v>
      </c>
      <c r="BK58" s="125"/>
      <c r="BL58" s="312"/>
      <c r="BM58" s="317"/>
      <c r="BN58" s="320"/>
    </row>
    <row r="59" s="269" customFormat="1" ht="33.95" customHeight="1" outlineLevel="5" spans="2:66">
      <c r="B59" s="181" t="s">
        <v>792</v>
      </c>
      <c r="C59" s="289" t="s">
        <v>877</v>
      </c>
      <c r="D59" s="269" t="s">
        <v>878</v>
      </c>
      <c r="E59" s="181" t="s">
        <v>879</v>
      </c>
      <c r="F59" s="181"/>
      <c r="G59" s="181" t="s">
        <v>796</v>
      </c>
      <c r="H59" s="181">
        <f t="shared" ref="H59:H68" si="114">AB59</f>
        <v>1037780</v>
      </c>
      <c r="I59" s="181" t="s">
        <v>797</v>
      </c>
      <c r="J59" s="181">
        <f t="shared" ref="J59:J68" si="115">SUM(AD59,AG59,AJ59,AM59,AP59,AS59,AV59,AY59,BB59,BE59,BH59,BK59)/N59</f>
        <v>1</v>
      </c>
      <c r="K59" s="181" t="s">
        <v>798</v>
      </c>
      <c r="L59" s="181">
        <f t="shared" ref="L59:L68" si="116">H59/N59/J59</f>
        <v>86481.6666666667</v>
      </c>
      <c r="M59" s="181" t="s">
        <v>799</v>
      </c>
      <c r="N59" s="181">
        <f t="shared" ref="N59:N68" si="117">COUNTIF(AD59,"&gt;0")+COUNTIF(AG59,"&gt;0")+COUNTIF(AJ59,"&gt;0")+COUNTIF(AM59,"&gt;0")+COUNTIF(AP59,"&gt;0")+COUNTIF(AS59,"&gt;0")+COUNTIF(AV59,"&gt;0")+COUNTIF(AY59,"&gt;0")+COUNTIF(BB59,"&gt;0")+COUNTIF(BE59,"&gt;0")+COUNTIF(BH59,"&gt;0")+COUNTIF(BK59,"&gt;0")</f>
        <v>12</v>
      </c>
      <c r="O59" s="181"/>
      <c r="P59" s="296"/>
      <c r="Q59" s="296"/>
      <c r="R59" s="296"/>
      <c r="S59" s="296"/>
      <c r="T59" s="296"/>
      <c r="U59" s="296"/>
      <c r="V59" s="296"/>
      <c r="W59" s="296"/>
      <c r="X59" s="296"/>
      <c r="Y59" s="296"/>
      <c r="Z59" s="296"/>
      <c r="AA59" s="296"/>
      <c r="AB59" s="181">
        <f t="shared" ref="AB59:AB68" si="118">SUM(AC59,AF59,AI59,AL59,AO59,AR59,AU59,AX59,BA59,BD59,BG59,BJ59)</f>
        <v>1037780</v>
      </c>
      <c r="AC59" s="181">
        <f t="shared" ref="AC59:AC68" si="119">AD59*AE59</f>
        <v>186226</v>
      </c>
      <c r="AD59" s="181">
        <f>SUMIFS('1-2 人员岗位信息'!F:F,'1-2 人员岗位信息'!$C:$C,"自有人员",'1-2 人员岗位信息'!$B:$B,$D59)</f>
        <v>1</v>
      </c>
      <c r="AE59" s="304">
        <f>自有人工预算!E27</f>
        <v>186226</v>
      </c>
      <c r="AF59" s="181">
        <f t="shared" ref="AF59:AF68" si="120">AG59*AH59</f>
        <v>77414</v>
      </c>
      <c r="AG59" s="181">
        <f>SUMIFS('1-2 人员岗位信息'!G:G,'1-2 人员岗位信息'!$C:$C,"自有人员",'1-2 人员岗位信息'!$B:$B,$D59)</f>
        <v>1</v>
      </c>
      <c r="AH59" s="304">
        <f>自有人工预算!F27</f>
        <v>77414</v>
      </c>
      <c r="AI59" s="181">
        <f t="shared" ref="AI59:AI68" si="121">AJ59*AK59</f>
        <v>77414</v>
      </c>
      <c r="AJ59" s="181">
        <f>SUMIFS('1-2 人员岗位信息'!H:H,'1-2 人员岗位信息'!$C:$C,"自有人员",'1-2 人员岗位信息'!$B:$B,$D59)</f>
        <v>1</v>
      </c>
      <c r="AK59" s="304">
        <v>77414</v>
      </c>
      <c r="AL59" s="181">
        <f t="shared" ref="AL59:AL68" si="122">AM59*AN59</f>
        <v>77414</v>
      </c>
      <c r="AM59" s="181">
        <f>SUMIFS('1-2 人员岗位信息'!I:I,'1-2 人员岗位信息'!$C:$C,"自有人员",'1-2 人员岗位信息'!$B:$B,$D59)</f>
        <v>1</v>
      </c>
      <c r="AN59" s="304">
        <v>77414</v>
      </c>
      <c r="AO59" s="181">
        <f t="shared" ref="AO59:AO68" si="123">AP59*AQ59</f>
        <v>77414</v>
      </c>
      <c r="AP59" s="181">
        <f>SUMIFS('1-2 人员岗位信息'!J:J,'1-2 人员岗位信息'!$C:$C,"自有人员",'1-2 人员岗位信息'!$B:$B,$D59)</f>
        <v>1</v>
      </c>
      <c r="AQ59" s="304">
        <v>77414</v>
      </c>
      <c r="AR59" s="181">
        <f t="shared" ref="AR59:AR68" si="124">AS59*AT59</f>
        <v>77414</v>
      </c>
      <c r="AS59" s="181">
        <f>SUMIFS('1-2 人员岗位信息'!K:K,'1-2 人员岗位信息'!$C:$C,"自有人员",'1-2 人员岗位信息'!$B:$B,$D59)</f>
        <v>1</v>
      </c>
      <c r="AT59" s="304">
        <v>77414</v>
      </c>
      <c r="AU59" s="181">
        <f t="shared" ref="AU59:AU68" si="125">AV59*AW59</f>
        <v>77414</v>
      </c>
      <c r="AV59" s="181">
        <f>SUMIFS('1-2 人员岗位信息'!L:L,'1-2 人员岗位信息'!$C:$C,"自有人员",'1-2 人员岗位信息'!$B:$B,$D59)</f>
        <v>1</v>
      </c>
      <c r="AW59" s="304">
        <v>77414</v>
      </c>
      <c r="AX59" s="181">
        <f t="shared" ref="AX59:AX68" si="126">AY59*AZ59</f>
        <v>77414</v>
      </c>
      <c r="AY59" s="181">
        <f>SUMIFS('1-2 人员岗位信息'!M:M,'1-2 人员岗位信息'!$C:$C,"自有人员",'1-2 人员岗位信息'!$B:$B,$D59)</f>
        <v>1</v>
      </c>
      <c r="AZ59" s="304">
        <v>77414</v>
      </c>
      <c r="BA59" s="181">
        <f t="shared" ref="BA59:BA68" si="127">BB59*BC59</f>
        <v>77414</v>
      </c>
      <c r="BB59" s="181">
        <f>SUMIFS('1-2 人员岗位信息'!N:N,'1-2 人员岗位信息'!$C:$C,"自有人员",'1-2 人员岗位信息'!$B:$B,$D59)</f>
        <v>1</v>
      </c>
      <c r="BC59" s="304">
        <v>77414</v>
      </c>
      <c r="BD59" s="181">
        <f t="shared" ref="BD59:BD68" si="128">BE59*BF59</f>
        <v>77414</v>
      </c>
      <c r="BE59" s="181">
        <f>SUMIFS('1-2 人员岗位信息'!O:O,'1-2 人员岗位信息'!$C:$C,"自有人员",'1-2 人员岗位信息'!$B:$B,$D59)</f>
        <v>1</v>
      </c>
      <c r="BF59" s="304">
        <v>77414</v>
      </c>
      <c r="BG59" s="181">
        <f t="shared" ref="BG59:BG68" si="129">BH59*BI59</f>
        <v>77414</v>
      </c>
      <c r="BH59" s="181">
        <f>SUMIFS('1-2 人员岗位信息'!P:P,'1-2 人员岗位信息'!$C:$C,"自有人员",'1-2 人员岗位信息'!$B:$B,$D59)</f>
        <v>1</v>
      </c>
      <c r="BI59" s="304">
        <v>77414</v>
      </c>
      <c r="BJ59" s="181">
        <f t="shared" ref="BJ59:BJ68" si="130">BK59*BL59</f>
        <v>77414</v>
      </c>
      <c r="BK59" s="181">
        <f>SUMIFS('1-2 人员岗位信息'!Q:Q,'1-2 人员岗位信息'!$C:$C,"自有人员",'1-2 人员岗位信息'!$B:$B,$D59)</f>
        <v>1</v>
      </c>
      <c r="BL59" s="304">
        <v>77414</v>
      </c>
      <c r="BM59" s="317"/>
      <c r="BN59" s="321"/>
    </row>
    <row r="60" s="269" customFormat="1" ht="33.95" customHeight="1" outlineLevel="5" spans="2:66">
      <c r="B60" s="181" t="s">
        <v>792</v>
      </c>
      <c r="C60" s="289" t="s">
        <v>880</v>
      </c>
      <c r="D60" s="269" t="s">
        <v>881</v>
      </c>
      <c r="E60" s="181" t="s">
        <v>882</v>
      </c>
      <c r="F60" s="181"/>
      <c r="G60" s="181" t="s">
        <v>796</v>
      </c>
      <c r="H60" s="181">
        <f t="shared" si="114"/>
        <v>0</v>
      </c>
      <c r="I60" s="181" t="s">
        <v>797</v>
      </c>
      <c r="J60" s="181" t="e">
        <f t="shared" si="115"/>
        <v>#DIV/0!</v>
      </c>
      <c r="K60" s="181" t="s">
        <v>798</v>
      </c>
      <c r="L60" s="181" t="e">
        <f t="shared" si="116"/>
        <v>#DIV/0!</v>
      </c>
      <c r="M60" s="181" t="s">
        <v>799</v>
      </c>
      <c r="N60" s="181">
        <f t="shared" si="117"/>
        <v>0</v>
      </c>
      <c r="O60" s="181"/>
      <c r="P60" s="296"/>
      <c r="Q60" s="296"/>
      <c r="R60" s="296"/>
      <c r="S60" s="296"/>
      <c r="T60" s="296"/>
      <c r="U60" s="296"/>
      <c r="V60" s="296"/>
      <c r="W60" s="296"/>
      <c r="X60" s="296"/>
      <c r="Y60" s="296"/>
      <c r="Z60" s="296"/>
      <c r="AA60" s="296"/>
      <c r="AB60" s="181">
        <f t="shared" si="118"/>
        <v>0</v>
      </c>
      <c r="AC60" s="181">
        <f t="shared" si="119"/>
        <v>0</v>
      </c>
      <c r="AD60" s="181">
        <f>SUMIFS('1-2 人员岗位信息'!F:F,'1-2 人员岗位信息'!$C:$C,"自有人员",'1-2 人员岗位信息'!$B:$B,$D60)</f>
        <v>0</v>
      </c>
      <c r="AE60" s="304"/>
      <c r="AF60" s="181">
        <f t="shared" si="120"/>
        <v>0</v>
      </c>
      <c r="AG60" s="181">
        <f>SUMIFS('1-2 人员岗位信息'!G:G,'1-2 人员岗位信息'!$C:$C,"自有人员",'1-2 人员岗位信息'!$B:$B,$D60)</f>
        <v>0</v>
      </c>
      <c r="AH60" s="304"/>
      <c r="AI60" s="181">
        <f t="shared" si="121"/>
        <v>0</v>
      </c>
      <c r="AJ60" s="181">
        <f>SUMIFS('1-2 人员岗位信息'!H:H,'1-2 人员岗位信息'!$C:$C,"自有人员",'1-2 人员岗位信息'!$B:$B,$D60)</f>
        <v>0</v>
      </c>
      <c r="AK60" s="304"/>
      <c r="AL60" s="181">
        <f t="shared" si="122"/>
        <v>0</v>
      </c>
      <c r="AM60" s="181">
        <f>SUMIFS('1-2 人员岗位信息'!I:I,'1-2 人员岗位信息'!$C:$C,"自有人员",'1-2 人员岗位信息'!$B:$B,$D60)</f>
        <v>0</v>
      </c>
      <c r="AN60" s="304"/>
      <c r="AO60" s="181">
        <f t="shared" si="123"/>
        <v>0</v>
      </c>
      <c r="AP60" s="181">
        <f>SUMIFS('1-2 人员岗位信息'!J:J,'1-2 人员岗位信息'!$C:$C,"自有人员",'1-2 人员岗位信息'!$B:$B,$D60)</f>
        <v>0</v>
      </c>
      <c r="AQ60" s="304"/>
      <c r="AR60" s="181">
        <f t="shared" si="124"/>
        <v>0</v>
      </c>
      <c r="AS60" s="181">
        <f>SUMIFS('1-2 人员岗位信息'!K:K,'1-2 人员岗位信息'!$C:$C,"自有人员",'1-2 人员岗位信息'!$B:$B,$D60)</f>
        <v>0</v>
      </c>
      <c r="AT60" s="304"/>
      <c r="AU60" s="181">
        <f t="shared" si="125"/>
        <v>0</v>
      </c>
      <c r="AV60" s="181">
        <f>SUMIFS('1-2 人员岗位信息'!L:L,'1-2 人员岗位信息'!$C:$C,"自有人员",'1-2 人员岗位信息'!$B:$B,$D60)</f>
        <v>0</v>
      </c>
      <c r="AW60" s="304"/>
      <c r="AX60" s="181">
        <f t="shared" si="126"/>
        <v>0</v>
      </c>
      <c r="AY60" s="181">
        <f>SUMIFS('1-2 人员岗位信息'!M:M,'1-2 人员岗位信息'!$C:$C,"自有人员",'1-2 人员岗位信息'!$B:$B,$D60)</f>
        <v>0</v>
      </c>
      <c r="AZ60" s="304"/>
      <c r="BA60" s="181">
        <f t="shared" si="127"/>
        <v>0</v>
      </c>
      <c r="BB60" s="181">
        <f>SUMIFS('1-2 人员岗位信息'!N:N,'1-2 人员岗位信息'!$C:$C,"自有人员",'1-2 人员岗位信息'!$B:$B,$D60)</f>
        <v>0</v>
      </c>
      <c r="BC60" s="304"/>
      <c r="BD60" s="181">
        <f t="shared" si="128"/>
        <v>0</v>
      </c>
      <c r="BE60" s="181">
        <f>SUMIFS('1-2 人员岗位信息'!O:O,'1-2 人员岗位信息'!$C:$C,"自有人员",'1-2 人员岗位信息'!$B:$B,$D60)</f>
        <v>0</v>
      </c>
      <c r="BF60" s="304"/>
      <c r="BG60" s="181">
        <f t="shared" si="129"/>
        <v>0</v>
      </c>
      <c r="BH60" s="181">
        <f>SUMIFS('1-2 人员岗位信息'!P:P,'1-2 人员岗位信息'!$C:$C,"自有人员",'1-2 人员岗位信息'!$B:$B,$D60)</f>
        <v>0</v>
      </c>
      <c r="BI60" s="304"/>
      <c r="BJ60" s="181">
        <f t="shared" si="130"/>
        <v>0</v>
      </c>
      <c r="BK60" s="181">
        <f>SUMIFS('1-2 人员岗位信息'!Q:Q,'1-2 人员岗位信息'!$C:$C,"自有人员",'1-2 人员岗位信息'!$B:$B,$D60)</f>
        <v>0</v>
      </c>
      <c r="BL60" s="313"/>
      <c r="BM60" s="317"/>
      <c r="BN60" s="321"/>
    </row>
    <row r="61" s="269" customFormat="1" ht="33.95" customHeight="1" outlineLevel="5" spans="2:66">
      <c r="B61" s="181" t="s">
        <v>792</v>
      </c>
      <c r="C61" s="289" t="s">
        <v>883</v>
      </c>
      <c r="D61" s="269" t="s">
        <v>884</v>
      </c>
      <c r="E61" s="181" t="s">
        <v>885</v>
      </c>
      <c r="F61" s="181"/>
      <c r="G61" s="181" t="s">
        <v>796</v>
      </c>
      <c r="H61" s="181">
        <f t="shared" si="114"/>
        <v>0</v>
      </c>
      <c r="I61" s="181" t="s">
        <v>797</v>
      </c>
      <c r="J61" s="181" t="e">
        <f t="shared" si="115"/>
        <v>#DIV/0!</v>
      </c>
      <c r="K61" s="181" t="s">
        <v>798</v>
      </c>
      <c r="L61" s="181" t="e">
        <f t="shared" si="116"/>
        <v>#DIV/0!</v>
      </c>
      <c r="M61" s="181" t="s">
        <v>799</v>
      </c>
      <c r="N61" s="181">
        <f t="shared" si="117"/>
        <v>0</v>
      </c>
      <c r="O61" s="181"/>
      <c r="P61" s="296"/>
      <c r="Q61" s="296"/>
      <c r="R61" s="296"/>
      <c r="S61" s="296"/>
      <c r="T61" s="296"/>
      <c r="U61" s="296"/>
      <c r="V61" s="296"/>
      <c r="W61" s="296"/>
      <c r="X61" s="296"/>
      <c r="Y61" s="296"/>
      <c r="Z61" s="296"/>
      <c r="AA61" s="296"/>
      <c r="AB61" s="181">
        <f t="shared" si="118"/>
        <v>0</v>
      </c>
      <c r="AC61" s="181">
        <f t="shared" si="119"/>
        <v>0</v>
      </c>
      <c r="AD61" s="181">
        <f>SUMIFS('1-2 人员岗位信息'!F:F,'1-2 人员岗位信息'!$C:$C,"自有人员",'1-2 人员岗位信息'!$B:$B,$D61)</f>
        <v>0</v>
      </c>
      <c r="AE61" s="304"/>
      <c r="AF61" s="181">
        <f t="shared" si="120"/>
        <v>0</v>
      </c>
      <c r="AG61" s="181">
        <f>SUMIFS('1-2 人员岗位信息'!G:G,'1-2 人员岗位信息'!$C:$C,"自有人员",'1-2 人员岗位信息'!$B:$B,$D61)</f>
        <v>0</v>
      </c>
      <c r="AH61" s="304"/>
      <c r="AI61" s="181">
        <f t="shared" si="121"/>
        <v>0</v>
      </c>
      <c r="AJ61" s="181">
        <f>SUMIFS('1-2 人员岗位信息'!H:H,'1-2 人员岗位信息'!$C:$C,"自有人员",'1-2 人员岗位信息'!$B:$B,$D61)</f>
        <v>0</v>
      </c>
      <c r="AK61" s="304"/>
      <c r="AL61" s="181">
        <f t="shared" si="122"/>
        <v>0</v>
      </c>
      <c r="AM61" s="181">
        <f>SUMIFS('1-2 人员岗位信息'!I:I,'1-2 人员岗位信息'!$C:$C,"自有人员",'1-2 人员岗位信息'!$B:$B,$D61)</f>
        <v>0</v>
      </c>
      <c r="AN61" s="304"/>
      <c r="AO61" s="181">
        <f t="shared" si="123"/>
        <v>0</v>
      </c>
      <c r="AP61" s="181">
        <f>SUMIFS('1-2 人员岗位信息'!J:J,'1-2 人员岗位信息'!$C:$C,"自有人员",'1-2 人员岗位信息'!$B:$B,$D61)</f>
        <v>0</v>
      </c>
      <c r="AQ61" s="304"/>
      <c r="AR61" s="181">
        <f t="shared" si="124"/>
        <v>0</v>
      </c>
      <c r="AS61" s="181">
        <f>SUMIFS('1-2 人员岗位信息'!K:K,'1-2 人员岗位信息'!$C:$C,"自有人员",'1-2 人员岗位信息'!$B:$B,$D61)</f>
        <v>0</v>
      </c>
      <c r="AT61" s="304"/>
      <c r="AU61" s="181">
        <f t="shared" si="125"/>
        <v>0</v>
      </c>
      <c r="AV61" s="181">
        <f>SUMIFS('1-2 人员岗位信息'!L:L,'1-2 人员岗位信息'!$C:$C,"自有人员",'1-2 人员岗位信息'!$B:$B,$D61)</f>
        <v>0</v>
      </c>
      <c r="AW61" s="304"/>
      <c r="AX61" s="181">
        <f t="shared" si="126"/>
        <v>0</v>
      </c>
      <c r="AY61" s="181">
        <f>SUMIFS('1-2 人员岗位信息'!M:M,'1-2 人员岗位信息'!$C:$C,"自有人员",'1-2 人员岗位信息'!$B:$B,$D61)</f>
        <v>0</v>
      </c>
      <c r="AZ61" s="304"/>
      <c r="BA61" s="181">
        <f t="shared" si="127"/>
        <v>0</v>
      </c>
      <c r="BB61" s="181">
        <f>SUMIFS('1-2 人员岗位信息'!N:N,'1-2 人员岗位信息'!$C:$C,"自有人员",'1-2 人员岗位信息'!$B:$B,$D61)</f>
        <v>0</v>
      </c>
      <c r="BC61" s="304"/>
      <c r="BD61" s="181">
        <f t="shared" si="128"/>
        <v>0</v>
      </c>
      <c r="BE61" s="181">
        <f>SUMIFS('1-2 人员岗位信息'!O:O,'1-2 人员岗位信息'!$C:$C,"自有人员",'1-2 人员岗位信息'!$B:$B,$D61)</f>
        <v>0</v>
      </c>
      <c r="BF61" s="304"/>
      <c r="BG61" s="181">
        <f t="shared" si="129"/>
        <v>0</v>
      </c>
      <c r="BH61" s="181">
        <f>SUMIFS('1-2 人员岗位信息'!P:P,'1-2 人员岗位信息'!$C:$C,"自有人员",'1-2 人员岗位信息'!$B:$B,$D61)</f>
        <v>0</v>
      </c>
      <c r="BI61" s="304"/>
      <c r="BJ61" s="181">
        <f t="shared" si="130"/>
        <v>0</v>
      </c>
      <c r="BK61" s="181">
        <f>SUMIFS('1-2 人员岗位信息'!Q:Q,'1-2 人员岗位信息'!$C:$C,"自有人员",'1-2 人员岗位信息'!$B:$B,$D61)</f>
        <v>0</v>
      </c>
      <c r="BL61" s="313"/>
      <c r="BM61" s="317"/>
      <c r="BN61" s="321"/>
    </row>
    <row r="62" s="269" customFormat="1" ht="33.95" customHeight="1" outlineLevel="5" spans="2:66">
      <c r="B62" s="181" t="s">
        <v>792</v>
      </c>
      <c r="C62" s="289" t="s">
        <v>886</v>
      </c>
      <c r="D62" s="269" t="s">
        <v>887</v>
      </c>
      <c r="E62" s="181" t="s">
        <v>888</v>
      </c>
      <c r="F62" s="181"/>
      <c r="G62" s="181" t="s">
        <v>796</v>
      </c>
      <c r="H62" s="181">
        <f t="shared" si="114"/>
        <v>0</v>
      </c>
      <c r="I62" s="181" t="s">
        <v>797</v>
      </c>
      <c r="J62" s="181" t="e">
        <f t="shared" si="115"/>
        <v>#DIV/0!</v>
      </c>
      <c r="K62" s="181" t="s">
        <v>798</v>
      </c>
      <c r="L62" s="181" t="e">
        <f t="shared" si="116"/>
        <v>#DIV/0!</v>
      </c>
      <c r="M62" s="181" t="s">
        <v>799</v>
      </c>
      <c r="N62" s="181">
        <f t="shared" si="117"/>
        <v>0</v>
      </c>
      <c r="O62" s="181"/>
      <c r="P62" s="296"/>
      <c r="Q62" s="296"/>
      <c r="R62" s="296"/>
      <c r="S62" s="296"/>
      <c r="T62" s="296"/>
      <c r="U62" s="296"/>
      <c r="V62" s="296"/>
      <c r="W62" s="296"/>
      <c r="X62" s="296"/>
      <c r="Y62" s="296"/>
      <c r="Z62" s="296"/>
      <c r="AA62" s="296"/>
      <c r="AB62" s="181">
        <f t="shared" si="118"/>
        <v>0</v>
      </c>
      <c r="AC62" s="181">
        <f t="shared" si="119"/>
        <v>0</v>
      </c>
      <c r="AD62" s="181">
        <f>SUMIFS('1-2 人员岗位信息'!F:F,'1-2 人员岗位信息'!$C:$C,"自有人员",'1-2 人员岗位信息'!$B:$B,$D62)</f>
        <v>0</v>
      </c>
      <c r="AE62" s="304"/>
      <c r="AF62" s="181">
        <f t="shared" si="120"/>
        <v>0</v>
      </c>
      <c r="AG62" s="181">
        <f>SUMIFS('1-2 人员岗位信息'!G:G,'1-2 人员岗位信息'!$C:$C,"自有人员",'1-2 人员岗位信息'!$B:$B,$D62)</f>
        <v>0</v>
      </c>
      <c r="AH62" s="304"/>
      <c r="AI62" s="181">
        <f t="shared" si="121"/>
        <v>0</v>
      </c>
      <c r="AJ62" s="181">
        <f>SUMIFS('1-2 人员岗位信息'!H:H,'1-2 人员岗位信息'!$C:$C,"自有人员",'1-2 人员岗位信息'!$B:$B,$D62)</f>
        <v>0</v>
      </c>
      <c r="AK62" s="304"/>
      <c r="AL62" s="181">
        <f t="shared" si="122"/>
        <v>0</v>
      </c>
      <c r="AM62" s="181">
        <f>SUMIFS('1-2 人员岗位信息'!I:I,'1-2 人员岗位信息'!$C:$C,"自有人员",'1-2 人员岗位信息'!$B:$B,$D62)</f>
        <v>0</v>
      </c>
      <c r="AN62" s="304"/>
      <c r="AO62" s="181">
        <f t="shared" si="123"/>
        <v>0</v>
      </c>
      <c r="AP62" s="181">
        <f>SUMIFS('1-2 人员岗位信息'!J:J,'1-2 人员岗位信息'!$C:$C,"自有人员",'1-2 人员岗位信息'!$B:$B,$D62)</f>
        <v>0</v>
      </c>
      <c r="AQ62" s="304"/>
      <c r="AR62" s="181">
        <f t="shared" si="124"/>
        <v>0</v>
      </c>
      <c r="AS62" s="181">
        <f>SUMIFS('1-2 人员岗位信息'!K:K,'1-2 人员岗位信息'!$C:$C,"自有人员",'1-2 人员岗位信息'!$B:$B,$D62)</f>
        <v>0</v>
      </c>
      <c r="AT62" s="304"/>
      <c r="AU62" s="181">
        <f t="shared" si="125"/>
        <v>0</v>
      </c>
      <c r="AV62" s="181">
        <f>SUMIFS('1-2 人员岗位信息'!L:L,'1-2 人员岗位信息'!$C:$C,"自有人员",'1-2 人员岗位信息'!$B:$B,$D62)</f>
        <v>0</v>
      </c>
      <c r="AW62" s="304"/>
      <c r="AX62" s="181">
        <f t="shared" si="126"/>
        <v>0</v>
      </c>
      <c r="AY62" s="181">
        <f>SUMIFS('1-2 人员岗位信息'!M:M,'1-2 人员岗位信息'!$C:$C,"自有人员",'1-2 人员岗位信息'!$B:$B,$D62)</f>
        <v>0</v>
      </c>
      <c r="AZ62" s="304"/>
      <c r="BA62" s="181">
        <f t="shared" si="127"/>
        <v>0</v>
      </c>
      <c r="BB62" s="181">
        <f>SUMIFS('1-2 人员岗位信息'!N:N,'1-2 人员岗位信息'!$C:$C,"自有人员",'1-2 人员岗位信息'!$B:$B,$D62)</f>
        <v>0</v>
      </c>
      <c r="BC62" s="304"/>
      <c r="BD62" s="181">
        <f t="shared" si="128"/>
        <v>0</v>
      </c>
      <c r="BE62" s="181">
        <f>SUMIFS('1-2 人员岗位信息'!O:O,'1-2 人员岗位信息'!$C:$C,"自有人员",'1-2 人员岗位信息'!$B:$B,$D62)</f>
        <v>0</v>
      </c>
      <c r="BF62" s="304"/>
      <c r="BG62" s="181">
        <f t="shared" si="129"/>
        <v>0</v>
      </c>
      <c r="BH62" s="181">
        <f>SUMIFS('1-2 人员岗位信息'!P:P,'1-2 人员岗位信息'!$C:$C,"自有人员",'1-2 人员岗位信息'!$B:$B,$D62)</f>
        <v>0</v>
      </c>
      <c r="BI62" s="304"/>
      <c r="BJ62" s="181">
        <f t="shared" si="130"/>
        <v>0</v>
      </c>
      <c r="BK62" s="181">
        <f>SUMIFS('1-2 人员岗位信息'!Q:Q,'1-2 人员岗位信息'!$C:$C,"自有人员",'1-2 人员岗位信息'!$B:$B,$D62)</f>
        <v>0</v>
      </c>
      <c r="BL62" s="313"/>
      <c r="BM62" s="317"/>
      <c r="BN62" s="321"/>
    </row>
    <row r="63" s="269" customFormat="1" ht="33.95" customHeight="1" outlineLevel="5" spans="2:66">
      <c r="B63" s="181" t="s">
        <v>792</v>
      </c>
      <c r="C63" s="289" t="s">
        <v>889</v>
      </c>
      <c r="D63" s="269" t="s">
        <v>890</v>
      </c>
      <c r="E63" s="181" t="s">
        <v>891</v>
      </c>
      <c r="F63" s="181"/>
      <c r="G63" s="181" t="s">
        <v>796</v>
      </c>
      <c r="H63" s="181">
        <f t="shared" si="114"/>
        <v>0</v>
      </c>
      <c r="I63" s="181" t="s">
        <v>797</v>
      </c>
      <c r="J63" s="181" t="e">
        <f t="shared" si="115"/>
        <v>#DIV/0!</v>
      </c>
      <c r="K63" s="181" t="s">
        <v>798</v>
      </c>
      <c r="L63" s="181" t="e">
        <f t="shared" si="116"/>
        <v>#DIV/0!</v>
      </c>
      <c r="M63" s="181" t="s">
        <v>799</v>
      </c>
      <c r="N63" s="181">
        <f t="shared" si="117"/>
        <v>0</v>
      </c>
      <c r="O63" s="181"/>
      <c r="P63" s="296"/>
      <c r="Q63" s="296"/>
      <c r="R63" s="296"/>
      <c r="S63" s="296"/>
      <c r="T63" s="296"/>
      <c r="U63" s="296"/>
      <c r="V63" s="296"/>
      <c r="W63" s="296"/>
      <c r="X63" s="296"/>
      <c r="Y63" s="296"/>
      <c r="Z63" s="296"/>
      <c r="AA63" s="296"/>
      <c r="AB63" s="181">
        <f t="shared" si="118"/>
        <v>0</v>
      </c>
      <c r="AC63" s="181">
        <f t="shared" si="119"/>
        <v>0</v>
      </c>
      <c r="AD63" s="181">
        <f>SUMIFS('1-2 人员岗位信息'!F:F,'1-2 人员岗位信息'!$C:$C,"自有人员",'1-2 人员岗位信息'!$B:$B,$D63)</f>
        <v>0</v>
      </c>
      <c r="AE63" s="304"/>
      <c r="AF63" s="181">
        <f t="shared" si="120"/>
        <v>0</v>
      </c>
      <c r="AG63" s="181">
        <f>SUMIFS('1-2 人员岗位信息'!G:G,'1-2 人员岗位信息'!$C:$C,"自有人员",'1-2 人员岗位信息'!$B:$B,$D63)</f>
        <v>0</v>
      </c>
      <c r="AH63" s="304"/>
      <c r="AI63" s="181">
        <f t="shared" si="121"/>
        <v>0</v>
      </c>
      <c r="AJ63" s="181">
        <f>SUMIFS('1-2 人员岗位信息'!H:H,'1-2 人员岗位信息'!$C:$C,"自有人员",'1-2 人员岗位信息'!$B:$B,$D63)</f>
        <v>0</v>
      </c>
      <c r="AK63" s="304"/>
      <c r="AL63" s="181">
        <f t="shared" si="122"/>
        <v>0</v>
      </c>
      <c r="AM63" s="181">
        <f>SUMIFS('1-2 人员岗位信息'!I:I,'1-2 人员岗位信息'!$C:$C,"自有人员",'1-2 人员岗位信息'!$B:$B,$D63)</f>
        <v>0</v>
      </c>
      <c r="AN63" s="304"/>
      <c r="AO63" s="181">
        <f t="shared" si="123"/>
        <v>0</v>
      </c>
      <c r="AP63" s="181">
        <f>SUMIFS('1-2 人员岗位信息'!J:J,'1-2 人员岗位信息'!$C:$C,"自有人员",'1-2 人员岗位信息'!$B:$B,$D63)</f>
        <v>0</v>
      </c>
      <c r="AQ63" s="304"/>
      <c r="AR63" s="181">
        <f t="shared" si="124"/>
        <v>0</v>
      </c>
      <c r="AS63" s="181">
        <f>SUMIFS('1-2 人员岗位信息'!K:K,'1-2 人员岗位信息'!$C:$C,"自有人员",'1-2 人员岗位信息'!$B:$B,$D63)</f>
        <v>0</v>
      </c>
      <c r="AT63" s="304"/>
      <c r="AU63" s="181">
        <f t="shared" si="125"/>
        <v>0</v>
      </c>
      <c r="AV63" s="181">
        <f>SUMIFS('1-2 人员岗位信息'!L:L,'1-2 人员岗位信息'!$C:$C,"自有人员",'1-2 人员岗位信息'!$B:$B,$D63)</f>
        <v>0</v>
      </c>
      <c r="AW63" s="304"/>
      <c r="AX63" s="181">
        <f t="shared" si="126"/>
        <v>0</v>
      </c>
      <c r="AY63" s="181">
        <f>SUMIFS('1-2 人员岗位信息'!M:M,'1-2 人员岗位信息'!$C:$C,"自有人员",'1-2 人员岗位信息'!$B:$B,$D63)</f>
        <v>0</v>
      </c>
      <c r="AZ63" s="304"/>
      <c r="BA63" s="181">
        <f t="shared" si="127"/>
        <v>0</v>
      </c>
      <c r="BB63" s="181">
        <f>SUMIFS('1-2 人员岗位信息'!N:N,'1-2 人员岗位信息'!$C:$C,"自有人员",'1-2 人员岗位信息'!$B:$B,$D63)</f>
        <v>0</v>
      </c>
      <c r="BC63" s="304"/>
      <c r="BD63" s="181">
        <f t="shared" si="128"/>
        <v>0</v>
      </c>
      <c r="BE63" s="181">
        <f>SUMIFS('1-2 人员岗位信息'!O:O,'1-2 人员岗位信息'!$C:$C,"自有人员",'1-2 人员岗位信息'!$B:$B,$D63)</f>
        <v>0</v>
      </c>
      <c r="BF63" s="304"/>
      <c r="BG63" s="181">
        <f t="shared" si="129"/>
        <v>0</v>
      </c>
      <c r="BH63" s="181">
        <f>SUMIFS('1-2 人员岗位信息'!P:P,'1-2 人员岗位信息'!$C:$C,"自有人员",'1-2 人员岗位信息'!$B:$B,$D63)</f>
        <v>0</v>
      </c>
      <c r="BI63" s="304"/>
      <c r="BJ63" s="181">
        <f t="shared" si="130"/>
        <v>0</v>
      </c>
      <c r="BK63" s="181">
        <f>SUMIFS('1-2 人员岗位信息'!Q:Q,'1-2 人员岗位信息'!$C:$C,"自有人员",'1-2 人员岗位信息'!$B:$B,$D63)</f>
        <v>0</v>
      </c>
      <c r="BL63" s="313"/>
      <c r="BM63" s="317"/>
      <c r="BN63" s="321"/>
    </row>
    <row r="64" s="269" customFormat="1" ht="33.95" customHeight="1" outlineLevel="5" spans="2:66">
      <c r="B64" s="181" t="s">
        <v>792</v>
      </c>
      <c r="C64" s="289" t="s">
        <v>892</v>
      </c>
      <c r="D64" s="269" t="s">
        <v>893</v>
      </c>
      <c r="E64" s="181" t="s">
        <v>894</v>
      </c>
      <c r="F64" s="181"/>
      <c r="G64" s="181" t="s">
        <v>796</v>
      </c>
      <c r="H64" s="181">
        <f t="shared" si="114"/>
        <v>0</v>
      </c>
      <c r="I64" s="181" t="s">
        <v>797</v>
      </c>
      <c r="J64" s="181" t="e">
        <f t="shared" si="115"/>
        <v>#DIV/0!</v>
      </c>
      <c r="K64" s="181" t="s">
        <v>798</v>
      </c>
      <c r="L64" s="181" t="e">
        <f t="shared" si="116"/>
        <v>#DIV/0!</v>
      </c>
      <c r="M64" s="181" t="s">
        <v>799</v>
      </c>
      <c r="N64" s="181">
        <f t="shared" si="117"/>
        <v>0</v>
      </c>
      <c r="O64" s="181"/>
      <c r="P64" s="296"/>
      <c r="Q64" s="296"/>
      <c r="R64" s="296"/>
      <c r="S64" s="296"/>
      <c r="T64" s="296"/>
      <c r="U64" s="296"/>
      <c r="V64" s="296"/>
      <c r="W64" s="296"/>
      <c r="X64" s="296"/>
      <c r="Y64" s="296"/>
      <c r="Z64" s="296"/>
      <c r="AA64" s="296"/>
      <c r="AB64" s="181">
        <f t="shared" si="118"/>
        <v>0</v>
      </c>
      <c r="AC64" s="181">
        <f t="shared" si="119"/>
        <v>0</v>
      </c>
      <c r="AD64" s="181">
        <f>SUMIFS('1-2 人员岗位信息'!F:F,'1-2 人员岗位信息'!$C:$C,"自有人员",'1-2 人员岗位信息'!$B:$B,$D64)</f>
        <v>0</v>
      </c>
      <c r="AE64" s="304"/>
      <c r="AF64" s="181">
        <f t="shared" si="120"/>
        <v>0</v>
      </c>
      <c r="AG64" s="181">
        <f>SUMIFS('1-2 人员岗位信息'!G:G,'1-2 人员岗位信息'!$C:$C,"自有人员",'1-2 人员岗位信息'!$B:$B,$D64)</f>
        <v>0</v>
      </c>
      <c r="AH64" s="304"/>
      <c r="AI64" s="181">
        <f t="shared" si="121"/>
        <v>0</v>
      </c>
      <c r="AJ64" s="181">
        <f>SUMIFS('1-2 人员岗位信息'!H:H,'1-2 人员岗位信息'!$C:$C,"自有人员",'1-2 人员岗位信息'!$B:$B,$D64)</f>
        <v>0</v>
      </c>
      <c r="AK64" s="304"/>
      <c r="AL64" s="181">
        <f t="shared" si="122"/>
        <v>0</v>
      </c>
      <c r="AM64" s="181">
        <f>SUMIFS('1-2 人员岗位信息'!I:I,'1-2 人员岗位信息'!$C:$C,"自有人员",'1-2 人员岗位信息'!$B:$B,$D64)</f>
        <v>0</v>
      </c>
      <c r="AN64" s="304"/>
      <c r="AO64" s="181">
        <f t="shared" si="123"/>
        <v>0</v>
      </c>
      <c r="AP64" s="181">
        <f>SUMIFS('1-2 人员岗位信息'!J:J,'1-2 人员岗位信息'!$C:$C,"自有人员",'1-2 人员岗位信息'!$B:$B,$D64)</f>
        <v>0</v>
      </c>
      <c r="AQ64" s="304"/>
      <c r="AR64" s="181">
        <f t="shared" si="124"/>
        <v>0</v>
      </c>
      <c r="AS64" s="181">
        <f>SUMIFS('1-2 人员岗位信息'!K:K,'1-2 人员岗位信息'!$C:$C,"自有人员",'1-2 人员岗位信息'!$B:$B,$D64)</f>
        <v>0</v>
      </c>
      <c r="AT64" s="304"/>
      <c r="AU64" s="181">
        <f t="shared" si="125"/>
        <v>0</v>
      </c>
      <c r="AV64" s="181">
        <f>SUMIFS('1-2 人员岗位信息'!L:L,'1-2 人员岗位信息'!$C:$C,"自有人员",'1-2 人员岗位信息'!$B:$B,$D64)</f>
        <v>0</v>
      </c>
      <c r="AW64" s="304"/>
      <c r="AX64" s="181">
        <f t="shared" si="126"/>
        <v>0</v>
      </c>
      <c r="AY64" s="181">
        <f>SUMIFS('1-2 人员岗位信息'!M:M,'1-2 人员岗位信息'!$C:$C,"自有人员",'1-2 人员岗位信息'!$B:$B,$D64)</f>
        <v>0</v>
      </c>
      <c r="AZ64" s="304"/>
      <c r="BA64" s="181">
        <f t="shared" si="127"/>
        <v>0</v>
      </c>
      <c r="BB64" s="181">
        <f>SUMIFS('1-2 人员岗位信息'!N:N,'1-2 人员岗位信息'!$C:$C,"自有人员",'1-2 人员岗位信息'!$B:$B,$D64)</f>
        <v>0</v>
      </c>
      <c r="BC64" s="304"/>
      <c r="BD64" s="181">
        <f t="shared" si="128"/>
        <v>0</v>
      </c>
      <c r="BE64" s="181">
        <f>SUMIFS('1-2 人员岗位信息'!O:O,'1-2 人员岗位信息'!$C:$C,"自有人员",'1-2 人员岗位信息'!$B:$B,$D64)</f>
        <v>0</v>
      </c>
      <c r="BF64" s="304"/>
      <c r="BG64" s="181">
        <f t="shared" si="129"/>
        <v>0</v>
      </c>
      <c r="BH64" s="181">
        <f>SUMIFS('1-2 人员岗位信息'!P:P,'1-2 人员岗位信息'!$C:$C,"自有人员",'1-2 人员岗位信息'!$B:$B,$D64)</f>
        <v>0</v>
      </c>
      <c r="BI64" s="304"/>
      <c r="BJ64" s="181">
        <f t="shared" si="130"/>
        <v>0</v>
      </c>
      <c r="BK64" s="181">
        <f>SUMIFS('1-2 人员岗位信息'!Q:Q,'1-2 人员岗位信息'!$C:$C,"自有人员",'1-2 人员岗位信息'!$B:$B,$D64)</f>
        <v>0</v>
      </c>
      <c r="BL64" s="313"/>
      <c r="BM64" s="317"/>
      <c r="BN64" s="321"/>
    </row>
    <row r="65" s="269" customFormat="1" ht="33.95" customHeight="1" outlineLevel="5" spans="2:66">
      <c r="B65" s="181" t="s">
        <v>792</v>
      </c>
      <c r="C65" s="289" t="s">
        <v>895</v>
      </c>
      <c r="D65" s="269" t="s">
        <v>896</v>
      </c>
      <c r="E65" s="181" t="s">
        <v>897</v>
      </c>
      <c r="F65" s="181"/>
      <c r="G65" s="181" t="s">
        <v>796</v>
      </c>
      <c r="H65" s="181">
        <f t="shared" si="114"/>
        <v>0</v>
      </c>
      <c r="I65" s="181" t="s">
        <v>797</v>
      </c>
      <c r="J65" s="181" t="e">
        <f t="shared" si="115"/>
        <v>#DIV/0!</v>
      </c>
      <c r="K65" s="181" t="s">
        <v>798</v>
      </c>
      <c r="L65" s="181" t="e">
        <f t="shared" si="116"/>
        <v>#DIV/0!</v>
      </c>
      <c r="M65" s="181" t="s">
        <v>799</v>
      </c>
      <c r="N65" s="181">
        <f t="shared" si="117"/>
        <v>0</v>
      </c>
      <c r="O65" s="181"/>
      <c r="P65" s="296"/>
      <c r="Q65" s="296"/>
      <c r="R65" s="296"/>
      <c r="S65" s="296"/>
      <c r="T65" s="296"/>
      <c r="U65" s="296"/>
      <c r="V65" s="296"/>
      <c r="W65" s="296"/>
      <c r="X65" s="296"/>
      <c r="Y65" s="296"/>
      <c r="Z65" s="296"/>
      <c r="AA65" s="296"/>
      <c r="AB65" s="181">
        <f t="shared" si="118"/>
        <v>0</v>
      </c>
      <c r="AC65" s="181">
        <f t="shared" si="119"/>
        <v>0</v>
      </c>
      <c r="AD65" s="181">
        <f>SUMIFS('1-2 人员岗位信息'!F:F,'1-2 人员岗位信息'!$C:$C,"自有人员",'1-2 人员岗位信息'!$B:$B,$D65)</f>
        <v>0</v>
      </c>
      <c r="AE65" s="304"/>
      <c r="AF65" s="181">
        <f t="shared" si="120"/>
        <v>0</v>
      </c>
      <c r="AG65" s="181">
        <f>SUMIFS('1-2 人员岗位信息'!G:G,'1-2 人员岗位信息'!$C:$C,"自有人员",'1-2 人员岗位信息'!$B:$B,$D65)</f>
        <v>0</v>
      </c>
      <c r="AH65" s="304"/>
      <c r="AI65" s="181">
        <f t="shared" si="121"/>
        <v>0</v>
      </c>
      <c r="AJ65" s="181">
        <f>SUMIFS('1-2 人员岗位信息'!H:H,'1-2 人员岗位信息'!$C:$C,"自有人员",'1-2 人员岗位信息'!$B:$B,$D65)</f>
        <v>0</v>
      </c>
      <c r="AK65" s="304"/>
      <c r="AL65" s="181">
        <f t="shared" si="122"/>
        <v>0</v>
      </c>
      <c r="AM65" s="181">
        <f>SUMIFS('1-2 人员岗位信息'!I:I,'1-2 人员岗位信息'!$C:$C,"自有人员",'1-2 人员岗位信息'!$B:$B,$D65)</f>
        <v>0</v>
      </c>
      <c r="AN65" s="304"/>
      <c r="AO65" s="181">
        <f t="shared" si="123"/>
        <v>0</v>
      </c>
      <c r="AP65" s="181">
        <f>SUMIFS('1-2 人员岗位信息'!J:J,'1-2 人员岗位信息'!$C:$C,"自有人员",'1-2 人员岗位信息'!$B:$B,$D65)</f>
        <v>0</v>
      </c>
      <c r="AQ65" s="304"/>
      <c r="AR65" s="181">
        <f t="shared" si="124"/>
        <v>0</v>
      </c>
      <c r="AS65" s="181">
        <f>SUMIFS('1-2 人员岗位信息'!K:K,'1-2 人员岗位信息'!$C:$C,"自有人员",'1-2 人员岗位信息'!$B:$B,$D65)</f>
        <v>0</v>
      </c>
      <c r="AT65" s="304"/>
      <c r="AU65" s="181">
        <f t="shared" si="125"/>
        <v>0</v>
      </c>
      <c r="AV65" s="181">
        <f>SUMIFS('1-2 人员岗位信息'!L:L,'1-2 人员岗位信息'!$C:$C,"自有人员",'1-2 人员岗位信息'!$B:$B,$D65)</f>
        <v>0</v>
      </c>
      <c r="AW65" s="304"/>
      <c r="AX65" s="181">
        <f t="shared" si="126"/>
        <v>0</v>
      </c>
      <c r="AY65" s="181">
        <f>SUMIFS('1-2 人员岗位信息'!M:M,'1-2 人员岗位信息'!$C:$C,"自有人员",'1-2 人员岗位信息'!$B:$B,$D65)</f>
        <v>0</v>
      </c>
      <c r="AZ65" s="304"/>
      <c r="BA65" s="181">
        <f t="shared" si="127"/>
        <v>0</v>
      </c>
      <c r="BB65" s="181">
        <f>SUMIFS('1-2 人员岗位信息'!N:N,'1-2 人员岗位信息'!$C:$C,"自有人员",'1-2 人员岗位信息'!$B:$B,$D65)</f>
        <v>0</v>
      </c>
      <c r="BC65" s="304"/>
      <c r="BD65" s="181">
        <f t="shared" si="128"/>
        <v>0</v>
      </c>
      <c r="BE65" s="181">
        <f>SUMIFS('1-2 人员岗位信息'!O:O,'1-2 人员岗位信息'!$C:$C,"自有人员",'1-2 人员岗位信息'!$B:$B,$D65)</f>
        <v>0</v>
      </c>
      <c r="BF65" s="304"/>
      <c r="BG65" s="181">
        <f t="shared" si="129"/>
        <v>0</v>
      </c>
      <c r="BH65" s="181">
        <f>SUMIFS('1-2 人员岗位信息'!P:P,'1-2 人员岗位信息'!$C:$C,"自有人员",'1-2 人员岗位信息'!$B:$B,$D65)</f>
        <v>0</v>
      </c>
      <c r="BI65" s="304"/>
      <c r="BJ65" s="181">
        <f t="shared" si="130"/>
        <v>0</v>
      </c>
      <c r="BK65" s="181">
        <f>SUMIFS('1-2 人员岗位信息'!Q:Q,'1-2 人员岗位信息'!$C:$C,"自有人员",'1-2 人员岗位信息'!$B:$B,$D65)</f>
        <v>0</v>
      </c>
      <c r="BL65" s="313"/>
      <c r="BM65" s="317"/>
      <c r="BN65" s="321"/>
    </row>
    <row r="66" s="269" customFormat="1" ht="33.95" customHeight="1" outlineLevel="5" spans="2:66">
      <c r="B66" s="181" t="s">
        <v>792</v>
      </c>
      <c r="C66" s="289" t="s">
        <v>898</v>
      </c>
      <c r="D66" s="269" t="s">
        <v>899</v>
      </c>
      <c r="E66" s="181" t="s">
        <v>900</v>
      </c>
      <c r="F66" s="181"/>
      <c r="G66" s="181" t="s">
        <v>796</v>
      </c>
      <c r="H66" s="181">
        <f t="shared" si="114"/>
        <v>0</v>
      </c>
      <c r="I66" s="181" t="s">
        <v>797</v>
      </c>
      <c r="J66" s="181" t="e">
        <f t="shared" si="115"/>
        <v>#DIV/0!</v>
      </c>
      <c r="K66" s="181" t="s">
        <v>798</v>
      </c>
      <c r="L66" s="181" t="e">
        <f t="shared" si="116"/>
        <v>#DIV/0!</v>
      </c>
      <c r="M66" s="181" t="s">
        <v>799</v>
      </c>
      <c r="N66" s="181">
        <f t="shared" si="117"/>
        <v>0</v>
      </c>
      <c r="O66" s="181"/>
      <c r="P66" s="296"/>
      <c r="Q66" s="296"/>
      <c r="R66" s="296"/>
      <c r="S66" s="296"/>
      <c r="T66" s="296"/>
      <c r="U66" s="296"/>
      <c r="V66" s="296"/>
      <c r="W66" s="296"/>
      <c r="X66" s="296"/>
      <c r="Y66" s="296"/>
      <c r="Z66" s="296"/>
      <c r="AA66" s="296"/>
      <c r="AB66" s="181">
        <f t="shared" si="118"/>
        <v>0</v>
      </c>
      <c r="AC66" s="181">
        <f t="shared" si="119"/>
        <v>0</v>
      </c>
      <c r="AD66" s="181">
        <f>SUMIFS('1-2 人员岗位信息'!F:F,'1-2 人员岗位信息'!$C:$C,"自有人员",'1-2 人员岗位信息'!$B:$B,$D66)</f>
        <v>0</v>
      </c>
      <c r="AE66" s="304"/>
      <c r="AF66" s="181">
        <f t="shared" si="120"/>
        <v>0</v>
      </c>
      <c r="AG66" s="181">
        <f>SUMIFS('1-2 人员岗位信息'!G:G,'1-2 人员岗位信息'!$C:$C,"自有人员",'1-2 人员岗位信息'!$B:$B,$D66)</f>
        <v>0</v>
      </c>
      <c r="AH66" s="304"/>
      <c r="AI66" s="181">
        <f t="shared" si="121"/>
        <v>0</v>
      </c>
      <c r="AJ66" s="181">
        <f>SUMIFS('1-2 人员岗位信息'!H:H,'1-2 人员岗位信息'!$C:$C,"自有人员",'1-2 人员岗位信息'!$B:$B,$D66)</f>
        <v>0</v>
      </c>
      <c r="AK66" s="304"/>
      <c r="AL66" s="181">
        <f t="shared" si="122"/>
        <v>0</v>
      </c>
      <c r="AM66" s="181">
        <f>SUMIFS('1-2 人员岗位信息'!I:I,'1-2 人员岗位信息'!$C:$C,"自有人员",'1-2 人员岗位信息'!$B:$B,$D66)</f>
        <v>0</v>
      </c>
      <c r="AN66" s="304"/>
      <c r="AO66" s="181">
        <f t="shared" si="123"/>
        <v>0</v>
      </c>
      <c r="AP66" s="181">
        <f>SUMIFS('1-2 人员岗位信息'!J:J,'1-2 人员岗位信息'!$C:$C,"自有人员",'1-2 人员岗位信息'!$B:$B,$D66)</f>
        <v>0</v>
      </c>
      <c r="AQ66" s="304"/>
      <c r="AR66" s="181">
        <f t="shared" si="124"/>
        <v>0</v>
      </c>
      <c r="AS66" s="181">
        <f>SUMIFS('1-2 人员岗位信息'!K:K,'1-2 人员岗位信息'!$C:$C,"自有人员",'1-2 人员岗位信息'!$B:$B,$D66)</f>
        <v>0</v>
      </c>
      <c r="AT66" s="304"/>
      <c r="AU66" s="181">
        <f t="shared" si="125"/>
        <v>0</v>
      </c>
      <c r="AV66" s="181">
        <f>SUMIFS('1-2 人员岗位信息'!L:L,'1-2 人员岗位信息'!$C:$C,"自有人员",'1-2 人员岗位信息'!$B:$B,$D66)</f>
        <v>0</v>
      </c>
      <c r="AW66" s="304"/>
      <c r="AX66" s="181">
        <f t="shared" si="126"/>
        <v>0</v>
      </c>
      <c r="AY66" s="181">
        <f>SUMIFS('1-2 人员岗位信息'!M:M,'1-2 人员岗位信息'!$C:$C,"自有人员",'1-2 人员岗位信息'!$B:$B,$D66)</f>
        <v>0</v>
      </c>
      <c r="AZ66" s="304"/>
      <c r="BA66" s="181">
        <f t="shared" si="127"/>
        <v>0</v>
      </c>
      <c r="BB66" s="181">
        <f>SUMIFS('1-2 人员岗位信息'!N:N,'1-2 人员岗位信息'!$C:$C,"自有人员",'1-2 人员岗位信息'!$B:$B,$D66)</f>
        <v>0</v>
      </c>
      <c r="BC66" s="304"/>
      <c r="BD66" s="181">
        <f t="shared" si="128"/>
        <v>0</v>
      </c>
      <c r="BE66" s="181">
        <f>SUMIFS('1-2 人员岗位信息'!O:O,'1-2 人员岗位信息'!$C:$C,"自有人员",'1-2 人员岗位信息'!$B:$B,$D66)</f>
        <v>0</v>
      </c>
      <c r="BF66" s="304"/>
      <c r="BG66" s="181">
        <f t="shared" si="129"/>
        <v>0</v>
      </c>
      <c r="BH66" s="181">
        <f>SUMIFS('1-2 人员岗位信息'!P:P,'1-2 人员岗位信息'!$C:$C,"自有人员",'1-2 人员岗位信息'!$B:$B,$D66)</f>
        <v>0</v>
      </c>
      <c r="BI66" s="304"/>
      <c r="BJ66" s="181">
        <f t="shared" si="130"/>
        <v>0</v>
      </c>
      <c r="BK66" s="181">
        <f>SUMIFS('1-2 人员岗位信息'!Q:Q,'1-2 人员岗位信息'!$C:$C,"自有人员",'1-2 人员岗位信息'!$B:$B,$D66)</f>
        <v>0</v>
      </c>
      <c r="BL66" s="313"/>
      <c r="BM66" s="317"/>
      <c r="BN66" s="321"/>
    </row>
    <row r="67" s="269" customFormat="1" ht="33.95" customHeight="1" outlineLevel="5" spans="2:66">
      <c r="B67" s="181" t="s">
        <v>792</v>
      </c>
      <c r="C67" s="289" t="s">
        <v>901</v>
      </c>
      <c r="D67" s="269" t="s">
        <v>902</v>
      </c>
      <c r="E67" s="181" t="s">
        <v>903</v>
      </c>
      <c r="F67" s="181"/>
      <c r="G67" s="181" t="s">
        <v>796</v>
      </c>
      <c r="H67" s="181">
        <f t="shared" si="114"/>
        <v>0</v>
      </c>
      <c r="I67" s="181" t="s">
        <v>797</v>
      </c>
      <c r="J67" s="181" t="e">
        <f t="shared" si="115"/>
        <v>#DIV/0!</v>
      </c>
      <c r="K67" s="181" t="s">
        <v>798</v>
      </c>
      <c r="L67" s="181" t="e">
        <f t="shared" si="116"/>
        <v>#DIV/0!</v>
      </c>
      <c r="M67" s="181" t="s">
        <v>799</v>
      </c>
      <c r="N67" s="181">
        <f t="shared" si="117"/>
        <v>0</v>
      </c>
      <c r="O67" s="181"/>
      <c r="P67" s="296"/>
      <c r="Q67" s="296"/>
      <c r="R67" s="296"/>
      <c r="S67" s="296"/>
      <c r="T67" s="296"/>
      <c r="U67" s="296"/>
      <c r="V67" s="296"/>
      <c r="W67" s="296"/>
      <c r="X67" s="296"/>
      <c r="Y67" s="296"/>
      <c r="Z67" s="296"/>
      <c r="AA67" s="296"/>
      <c r="AB67" s="181">
        <f t="shared" si="118"/>
        <v>0</v>
      </c>
      <c r="AC67" s="181">
        <f t="shared" si="119"/>
        <v>0</v>
      </c>
      <c r="AD67" s="181">
        <f>SUMIFS('1-2 人员岗位信息'!F:F,'1-2 人员岗位信息'!$C:$C,"自有人员",'1-2 人员岗位信息'!$B:$B,$D67)</f>
        <v>0</v>
      </c>
      <c r="AE67" s="304"/>
      <c r="AF67" s="181">
        <f t="shared" si="120"/>
        <v>0</v>
      </c>
      <c r="AG67" s="181">
        <f>SUMIFS('1-2 人员岗位信息'!G:G,'1-2 人员岗位信息'!$C:$C,"自有人员",'1-2 人员岗位信息'!$B:$B,$D67)</f>
        <v>0</v>
      </c>
      <c r="AH67" s="304"/>
      <c r="AI67" s="181">
        <f t="shared" si="121"/>
        <v>0</v>
      </c>
      <c r="AJ67" s="181">
        <f>SUMIFS('1-2 人员岗位信息'!H:H,'1-2 人员岗位信息'!$C:$C,"自有人员",'1-2 人员岗位信息'!$B:$B,$D67)</f>
        <v>0</v>
      </c>
      <c r="AK67" s="304"/>
      <c r="AL67" s="181">
        <f t="shared" si="122"/>
        <v>0</v>
      </c>
      <c r="AM67" s="181">
        <f>SUMIFS('1-2 人员岗位信息'!I:I,'1-2 人员岗位信息'!$C:$C,"自有人员",'1-2 人员岗位信息'!$B:$B,$D67)</f>
        <v>0</v>
      </c>
      <c r="AN67" s="304"/>
      <c r="AO67" s="181">
        <f t="shared" si="123"/>
        <v>0</v>
      </c>
      <c r="AP67" s="181">
        <f>SUMIFS('1-2 人员岗位信息'!J:J,'1-2 人员岗位信息'!$C:$C,"自有人员",'1-2 人员岗位信息'!$B:$B,$D67)</f>
        <v>0</v>
      </c>
      <c r="AQ67" s="304"/>
      <c r="AR67" s="181">
        <f t="shared" si="124"/>
        <v>0</v>
      </c>
      <c r="AS67" s="181">
        <f>SUMIFS('1-2 人员岗位信息'!K:K,'1-2 人员岗位信息'!$C:$C,"自有人员",'1-2 人员岗位信息'!$B:$B,$D67)</f>
        <v>0</v>
      </c>
      <c r="AT67" s="304"/>
      <c r="AU67" s="181">
        <f t="shared" si="125"/>
        <v>0</v>
      </c>
      <c r="AV67" s="181">
        <f>SUMIFS('1-2 人员岗位信息'!L:L,'1-2 人员岗位信息'!$C:$C,"自有人员",'1-2 人员岗位信息'!$B:$B,$D67)</f>
        <v>0</v>
      </c>
      <c r="AW67" s="304"/>
      <c r="AX67" s="181">
        <f t="shared" si="126"/>
        <v>0</v>
      </c>
      <c r="AY67" s="181">
        <f>SUMIFS('1-2 人员岗位信息'!M:M,'1-2 人员岗位信息'!$C:$C,"自有人员",'1-2 人员岗位信息'!$B:$B,$D67)</f>
        <v>0</v>
      </c>
      <c r="AZ67" s="304"/>
      <c r="BA67" s="181">
        <f t="shared" si="127"/>
        <v>0</v>
      </c>
      <c r="BB67" s="181">
        <f>SUMIFS('1-2 人员岗位信息'!N:N,'1-2 人员岗位信息'!$C:$C,"自有人员",'1-2 人员岗位信息'!$B:$B,$D67)</f>
        <v>0</v>
      </c>
      <c r="BC67" s="304"/>
      <c r="BD67" s="181">
        <f t="shared" si="128"/>
        <v>0</v>
      </c>
      <c r="BE67" s="181">
        <f>SUMIFS('1-2 人员岗位信息'!O:O,'1-2 人员岗位信息'!$C:$C,"自有人员",'1-2 人员岗位信息'!$B:$B,$D67)</f>
        <v>0</v>
      </c>
      <c r="BF67" s="304"/>
      <c r="BG67" s="181">
        <f t="shared" si="129"/>
        <v>0</v>
      </c>
      <c r="BH67" s="181">
        <f>SUMIFS('1-2 人员岗位信息'!P:P,'1-2 人员岗位信息'!$C:$C,"自有人员",'1-2 人员岗位信息'!$B:$B,$D67)</f>
        <v>0</v>
      </c>
      <c r="BI67" s="304"/>
      <c r="BJ67" s="181">
        <f t="shared" si="130"/>
        <v>0</v>
      </c>
      <c r="BK67" s="181">
        <f>SUMIFS('1-2 人员岗位信息'!Q:Q,'1-2 人员岗位信息'!$C:$C,"自有人员",'1-2 人员岗位信息'!$B:$B,$D67)</f>
        <v>0</v>
      </c>
      <c r="BL67" s="313"/>
      <c r="BM67" s="317"/>
      <c r="BN67" s="321"/>
    </row>
    <row r="68" s="269" customFormat="1" ht="33.95" customHeight="1" outlineLevel="5" spans="2:66">
      <c r="B68" s="181" t="s">
        <v>792</v>
      </c>
      <c r="C68" s="289" t="s">
        <v>904</v>
      </c>
      <c r="D68" s="269" t="s">
        <v>905</v>
      </c>
      <c r="E68" s="181" t="s">
        <v>814</v>
      </c>
      <c r="F68" s="181"/>
      <c r="G68" s="181" t="s">
        <v>796</v>
      </c>
      <c r="H68" s="181">
        <f t="shared" si="114"/>
        <v>0</v>
      </c>
      <c r="I68" s="181" t="s">
        <v>797</v>
      </c>
      <c r="J68" s="181" t="e">
        <f t="shared" si="115"/>
        <v>#DIV/0!</v>
      </c>
      <c r="K68" s="181" t="s">
        <v>798</v>
      </c>
      <c r="L68" s="181" t="e">
        <f t="shared" si="116"/>
        <v>#DIV/0!</v>
      </c>
      <c r="M68" s="181" t="s">
        <v>799</v>
      </c>
      <c r="N68" s="181">
        <f t="shared" si="117"/>
        <v>0</v>
      </c>
      <c r="O68" s="181"/>
      <c r="P68" s="296"/>
      <c r="Q68" s="296"/>
      <c r="R68" s="296"/>
      <c r="S68" s="296"/>
      <c r="T68" s="296"/>
      <c r="U68" s="296"/>
      <c r="V68" s="296"/>
      <c r="W68" s="296"/>
      <c r="X68" s="296"/>
      <c r="Y68" s="296"/>
      <c r="Z68" s="296"/>
      <c r="AA68" s="296"/>
      <c r="AB68" s="181">
        <f t="shared" si="118"/>
        <v>0</v>
      </c>
      <c r="AC68" s="181">
        <f t="shared" si="119"/>
        <v>0</v>
      </c>
      <c r="AD68" s="181">
        <f>SUMIFS('1-2 人员岗位信息'!F:F,'1-2 人员岗位信息'!$C:$C,"自有人员",'1-2 人员岗位信息'!$B:$B,$D68)</f>
        <v>0</v>
      </c>
      <c r="AE68" s="304"/>
      <c r="AF68" s="181">
        <f t="shared" si="120"/>
        <v>0</v>
      </c>
      <c r="AG68" s="181">
        <f>SUMIFS('1-2 人员岗位信息'!G:G,'1-2 人员岗位信息'!$C:$C,"自有人员",'1-2 人员岗位信息'!$B:$B,$D68)</f>
        <v>0</v>
      </c>
      <c r="AH68" s="304"/>
      <c r="AI68" s="181">
        <f t="shared" si="121"/>
        <v>0</v>
      </c>
      <c r="AJ68" s="181">
        <f>SUMIFS('1-2 人员岗位信息'!H:H,'1-2 人员岗位信息'!$C:$C,"自有人员",'1-2 人员岗位信息'!$B:$B,$D68)</f>
        <v>0</v>
      </c>
      <c r="AK68" s="304"/>
      <c r="AL68" s="181">
        <f t="shared" si="122"/>
        <v>0</v>
      </c>
      <c r="AM68" s="181">
        <f>SUMIFS('1-2 人员岗位信息'!I:I,'1-2 人员岗位信息'!$C:$C,"自有人员",'1-2 人员岗位信息'!$B:$B,$D68)</f>
        <v>0</v>
      </c>
      <c r="AN68" s="304"/>
      <c r="AO68" s="181">
        <f t="shared" si="123"/>
        <v>0</v>
      </c>
      <c r="AP68" s="181">
        <f>SUMIFS('1-2 人员岗位信息'!J:J,'1-2 人员岗位信息'!$C:$C,"自有人员",'1-2 人员岗位信息'!$B:$B,$D68)</f>
        <v>0</v>
      </c>
      <c r="AQ68" s="304"/>
      <c r="AR68" s="181">
        <f t="shared" si="124"/>
        <v>0</v>
      </c>
      <c r="AS68" s="181">
        <f>SUMIFS('1-2 人员岗位信息'!K:K,'1-2 人员岗位信息'!$C:$C,"自有人员",'1-2 人员岗位信息'!$B:$B,$D68)</f>
        <v>0</v>
      </c>
      <c r="AT68" s="304"/>
      <c r="AU68" s="181">
        <f t="shared" si="125"/>
        <v>0</v>
      </c>
      <c r="AV68" s="181">
        <f>SUMIFS('1-2 人员岗位信息'!L:L,'1-2 人员岗位信息'!$C:$C,"自有人员",'1-2 人员岗位信息'!$B:$B,$D68)</f>
        <v>0</v>
      </c>
      <c r="AW68" s="304"/>
      <c r="AX68" s="181">
        <f t="shared" si="126"/>
        <v>0</v>
      </c>
      <c r="AY68" s="181">
        <f>SUMIFS('1-2 人员岗位信息'!M:M,'1-2 人员岗位信息'!$C:$C,"自有人员",'1-2 人员岗位信息'!$B:$B,$D68)</f>
        <v>0</v>
      </c>
      <c r="AZ68" s="304"/>
      <c r="BA68" s="181">
        <f t="shared" si="127"/>
        <v>0</v>
      </c>
      <c r="BB68" s="181">
        <f>SUMIFS('1-2 人员岗位信息'!N:N,'1-2 人员岗位信息'!$C:$C,"自有人员",'1-2 人员岗位信息'!$B:$B,$D68)</f>
        <v>0</v>
      </c>
      <c r="BC68" s="304"/>
      <c r="BD68" s="181">
        <f t="shared" si="128"/>
        <v>0</v>
      </c>
      <c r="BE68" s="181">
        <f>SUMIFS('1-2 人员岗位信息'!O:O,'1-2 人员岗位信息'!$C:$C,"自有人员",'1-2 人员岗位信息'!$B:$B,$D68)</f>
        <v>0</v>
      </c>
      <c r="BF68" s="304"/>
      <c r="BG68" s="181">
        <f t="shared" si="129"/>
        <v>0</v>
      </c>
      <c r="BH68" s="181">
        <f>SUMIFS('1-2 人员岗位信息'!P:P,'1-2 人员岗位信息'!$C:$C,"自有人员",'1-2 人员岗位信息'!$B:$B,$D68)</f>
        <v>0</v>
      </c>
      <c r="BI68" s="304"/>
      <c r="BJ68" s="181">
        <f t="shared" si="130"/>
        <v>0</v>
      </c>
      <c r="BK68" s="181">
        <f>SUMIFS('1-2 人员岗位信息'!Q:Q,'1-2 人员岗位信息'!$C:$C,"自有人员",'1-2 人员岗位信息'!$B:$B,$D68)</f>
        <v>0</v>
      </c>
      <c r="BL68" s="313"/>
      <c r="BM68" s="317"/>
      <c r="BN68" s="321"/>
    </row>
    <row r="69" s="124" customFormat="1" ht="33.95" customHeight="1" outlineLevel="4" spans="2:66">
      <c r="B69" s="125" t="s">
        <v>787</v>
      </c>
      <c r="C69" s="126" t="s">
        <v>70</v>
      </c>
      <c r="D69" s="124" t="s">
        <v>68</v>
      </c>
      <c r="E69" s="125"/>
      <c r="F69" s="125"/>
      <c r="G69" s="125"/>
      <c r="H69" s="125">
        <f>SUM(H70:H79)</f>
        <v>0</v>
      </c>
      <c r="I69" s="125"/>
      <c r="J69" s="125"/>
      <c r="K69" s="125"/>
      <c r="L69" s="125"/>
      <c r="M69" s="125"/>
      <c r="N69" s="125"/>
      <c r="O69" s="125"/>
      <c r="P69" s="295"/>
      <c r="Q69" s="295"/>
      <c r="R69" s="295"/>
      <c r="S69" s="295"/>
      <c r="T69" s="295"/>
      <c r="U69" s="295"/>
      <c r="V69" s="295"/>
      <c r="W69" s="295"/>
      <c r="X69" s="295"/>
      <c r="Y69" s="295"/>
      <c r="Z69" s="295"/>
      <c r="AA69" s="295"/>
      <c r="AB69" s="125">
        <f t="shared" ref="AB69:AF69" si="131">SUM(AB70:AB79)</f>
        <v>0</v>
      </c>
      <c r="AC69" s="125">
        <f t="shared" si="131"/>
        <v>0</v>
      </c>
      <c r="AD69" s="125"/>
      <c r="AE69" s="125"/>
      <c r="AF69" s="125">
        <f t="shared" si="131"/>
        <v>0</v>
      </c>
      <c r="AG69" s="125"/>
      <c r="AH69" s="125"/>
      <c r="AI69" s="125">
        <f>SUM(AI70:AI79)</f>
        <v>0</v>
      </c>
      <c r="AJ69" s="125"/>
      <c r="AK69" s="125"/>
      <c r="AL69" s="125">
        <f>SUM(AL70:AL79)</f>
        <v>0</v>
      </c>
      <c r="AM69" s="125"/>
      <c r="AN69" s="125"/>
      <c r="AO69" s="125">
        <f>SUM(AO70:AO79)</f>
        <v>0</v>
      </c>
      <c r="AP69" s="125"/>
      <c r="AQ69" s="125"/>
      <c r="AR69" s="125">
        <f>SUM(AR70:AR79)</f>
        <v>0</v>
      </c>
      <c r="AS69" s="125"/>
      <c r="AT69" s="125"/>
      <c r="AU69" s="125">
        <f>SUM(AU70:AU79)</f>
        <v>0</v>
      </c>
      <c r="AV69" s="125"/>
      <c r="AW69" s="125"/>
      <c r="AX69" s="125">
        <f>SUM(AX70:AX79)</f>
        <v>0</v>
      </c>
      <c r="AY69" s="125"/>
      <c r="AZ69" s="125"/>
      <c r="BA69" s="125">
        <f>SUM(BA70:BA79)</f>
        <v>0</v>
      </c>
      <c r="BB69" s="125"/>
      <c r="BC69" s="125"/>
      <c r="BD69" s="125">
        <f>SUM(BD70:BD79)</f>
        <v>0</v>
      </c>
      <c r="BE69" s="125"/>
      <c r="BF69" s="125"/>
      <c r="BG69" s="125">
        <f>SUM(BG70:BG79)</f>
        <v>0</v>
      </c>
      <c r="BH69" s="125"/>
      <c r="BI69" s="125"/>
      <c r="BJ69" s="125">
        <f>SUM(BJ70:BJ79)</f>
        <v>0</v>
      </c>
      <c r="BK69" s="125"/>
      <c r="BL69" s="312"/>
      <c r="BM69" s="317"/>
      <c r="BN69" s="320"/>
    </row>
    <row r="70" s="269" customFormat="1" ht="33.95" customHeight="1" outlineLevel="5" spans="2:66">
      <c r="B70" s="181" t="s">
        <v>792</v>
      </c>
      <c r="C70" s="289" t="s">
        <v>906</v>
      </c>
      <c r="D70" s="269" t="s">
        <v>878</v>
      </c>
      <c r="E70" s="181" t="s">
        <v>907</v>
      </c>
      <c r="F70" s="181"/>
      <c r="G70" s="181" t="s">
        <v>796</v>
      </c>
      <c r="H70" s="181">
        <f t="shared" ref="H70:H79" si="132">AB70</f>
        <v>0</v>
      </c>
      <c r="I70" s="181" t="s">
        <v>797</v>
      </c>
      <c r="J70" s="181" t="e">
        <f t="shared" ref="J70:J79" si="133">SUM(AD70,AG70,AJ70,AM70,AP70,AS70,AV70,AY70,BB70,BE70,BH70,BK70)/N70</f>
        <v>#DIV/0!</v>
      </c>
      <c r="K70" s="181" t="s">
        <v>798</v>
      </c>
      <c r="L70" s="181" t="e">
        <f t="shared" ref="L70:L79" si="134">H70/N70/J70</f>
        <v>#DIV/0!</v>
      </c>
      <c r="M70" s="181" t="s">
        <v>799</v>
      </c>
      <c r="N70" s="181">
        <f t="shared" ref="N70:N79" si="135">COUNTIF(AD70,"&gt;0")+COUNTIF(AG70,"&gt;0")+COUNTIF(AJ70,"&gt;0")+COUNTIF(AM70,"&gt;0")+COUNTIF(AP70,"&gt;0")+COUNTIF(AS70,"&gt;0")+COUNTIF(AV70,"&gt;0")+COUNTIF(AY70,"&gt;0")+COUNTIF(BB70,"&gt;0")+COUNTIF(BE70,"&gt;0")+COUNTIF(BH70,"&gt;0")+COUNTIF(BK70,"&gt;0")</f>
        <v>0</v>
      </c>
      <c r="O70" s="181"/>
      <c r="P70" s="296"/>
      <c r="Q70" s="296"/>
      <c r="R70" s="296"/>
      <c r="S70" s="296"/>
      <c r="T70" s="296"/>
      <c r="U70" s="296"/>
      <c r="V70" s="296"/>
      <c r="W70" s="296"/>
      <c r="X70" s="296"/>
      <c r="Y70" s="296"/>
      <c r="Z70" s="296"/>
      <c r="AA70" s="296"/>
      <c r="AB70" s="181">
        <f t="shared" ref="AB70:AB79" si="136">SUM(AC70,AF70,AI70,AL70,AO70,AR70,AU70,AX70,BA70,BD70,BG70,BJ70)</f>
        <v>0</v>
      </c>
      <c r="AC70" s="181">
        <f t="shared" ref="AC70:AC79" si="137">AD70*AE70</f>
        <v>0</v>
      </c>
      <c r="AD70" s="181">
        <f>SUMIFS('1-2 人员岗位信息'!F:F,'1-2 人员岗位信息'!$C:$C,"劳务派遣",'1-2 人员岗位信息'!$B:$B,$D70)</f>
        <v>0</v>
      </c>
      <c r="AE70" s="304"/>
      <c r="AF70" s="181">
        <f t="shared" ref="AF70:AF79" si="138">AG70*AH70</f>
        <v>0</v>
      </c>
      <c r="AG70" s="181">
        <f>SUMIFS('1-2 人员岗位信息'!G:G,'1-2 人员岗位信息'!$C:$C,"劳务派遣",'1-2 人员岗位信息'!$B:$B,$D70)</f>
        <v>0</v>
      </c>
      <c r="AH70" s="304"/>
      <c r="AI70" s="181">
        <f t="shared" ref="AI70:AI79" si="139">AJ70*AK70</f>
        <v>0</v>
      </c>
      <c r="AJ70" s="181">
        <f>SUMIFS('1-2 人员岗位信息'!H:H,'1-2 人员岗位信息'!$C:$C,"劳务派遣",'1-2 人员岗位信息'!$B:$B,$D70)</f>
        <v>0</v>
      </c>
      <c r="AK70" s="304"/>
      <c r="AL70" s="181">
        <f t="shared" ref="AL70:AL79" si="140">AM70*AN70</f>
        <v>0</v>
      </c>
      <c r="AM70" s="181">
        <f>SUMIFS('1-2 人员岗位信息'!I:I,'1-2 人员岗位信息'!$C:$C,"劳务派遣",'1-2 人员岗位信息'!$B:$B,$D70)</f>
        <v>0</v>
      </c>
      <c r="AN70" s="304"/>
      <c r="AO70" s="181">
        <f t="shared" ref="AO70:AO79" si="141">AP70*AQ70</f>
        <v>0</v>
      </c>
      <c r="AP70" s="181">
        <f>SUMIFS('1-2 人员岗位信息'!J:J,'1-2 人员岗位信息'!$C:$C,"劳务派遣",'1-2 人员岗位信息'!$B:$B,$D70)</f>
        <v>0</v>
      </c>
      <c r="AQ70" s="304"/>
      <c r="AR70" s="181">
        <f t="shared" ref="AR70:AR79" si="142">AS70*AT70</f>
        <v>0</v>
      </c>
      <c r="AS70" s="181">
        <f>SUMIFS('1-2 人员岗位信息'!K:K,'1-2 人员岗位信息'!$C:$C,"劳务派遣",'1-2 人员岗位信息'!$B:$B,$D70)</f>
        <v>0</v>
      </c>
      <c r="AT70" s="304"/>
      <c r="AU70" s="181">
        <f t="shared" ref="AU70:AU79" si="143">AV70*AW70</f>
        <v>0</v>
      </c>
      <c r="AV70" s="181">
        <f>SUMIFS('1-2 人员岗位信息'!L:L,'1-2 人员岗位信息'!$C:$C,"劳务派遣",'1-2 人员岗位信息'!$B:$B,$D70)</f>
        <v>0</v>
      </c>
      <c r="AW70" s="304"/>
      <c r="AX70" s="181">
        <f t="shared" ref="AX70:AX79" si="144">AY70*AZ70</f>
        <v>0</v>
      </c>
      <c r="AY70" s="181">
        <f>SUMIFS('1-2 人员岗位信息'!M:M,'1-2 人员岗位信息'!$C:$C,"劳务派遣",'1-2 人员岗位信息'!$B:$B,$D70)</f>
        <v>0</v>
      </c>
      <c r="AZ70" s="304"/>
      <c r="BA70" s="181">
        <f t="shared" ref="BA70:BA79" si="145">BB70*BC70</f>
        <v>0</v>
      </c>
      <c r="BB70" s="181">
        <f>SUMIFS('1-2 人员岗位信息'!N:N,'1-2 人员岗位信息'!$C:$C,"劳务派遣",'1-2 人员岗位信息'!$B:$B,$D70)</f>
        <v>0</v>
      </c>
      <c r="BC70" s="304"/>
      <c r="BD70" s="181">
        <f t="shared" ref="BD70:BD79" si="146">BE70*BF70</f>
        <v>0</v>
      </c>
      <c r="BE70" s="181">
        <f>SUMIFS('1-2 人员岗位信息'!O:O,'1-2 人员岗位信息'!$C:$C,"劳务派遣",'1-2 人员岗位信息'!$B:$B,$D70)</f>
        <v>0</v>
      </c>
      <c r="BF70" s="304"/>
      <c r="BG70" s="181">
        <f t="shared" ref="BG70:BG79" si="147">BH70*BI70</f>
        <v>0</v>
      </c>
      <c r="BH70" s="181">
        <f>SUMIFS('1-2 人员岗位信息'!P:P,'1-2 人员岗位信息'!$C:$C,"劳务派遣",'1-2 人员岗位信息'!$B:$B,$D70)</f>
        <v>0</v>
      </c>
      <c r="BI70" s="304"/>
      <c r="BJ70" s="181">
        <f t="shared" ref="BJ70:BJ79" si="148">BK70*BL70</f>
        <v>0</v>
      </c>
      <c r="BK70" s="181">
        <f>SUMIFS('1-2 人员岗位信息'!Q:Q,'1-2 人员岗位信息'!$C:$C,"劳务派遣",'1-2 人员岗位信息'!$B:$B,$D70)</f>
        <v>0</v>
      </c>
      <c r="BL70" s="313"/>
      <c r="BM70" s="317"/>
      <c r="BN70" s="321"/>
    </row>
    <row r="71" s="269" customFormat="1" ht="33.95" customHeight="1" outlineLevel="5" spans="2:66">
      <c r="B71" s="181" t="s">
        <v>792</v>
      </c>
      <c r="C71" s="289" t="s">
        <v>908</v>
      </c>
      <c r="D71" s="269" t="s">
        <v>881</v>
      </c>
      <c r="E71" s="181" t="s">
        <v>909</v>
      </c>
      <c r="F71" s="181"/>
      <c r="G71" s="181" t="s">
        <v>796</v>
      </c>
      <c r="H71" s="181">
        <f t="shared" si="132"/>
        <v>0</v>
      </c>
      <c r="I71" s="181" t="s">
        <v>797</v>
      </c>
      <c r="J71" s="181" t="e">
        <f t="shared" si="133"/>
        <v>#DIV/0!</v>
      </c>
      <c r="K71" s="181" t="s">
        <v>798</v>
      </c>
      <c r="L71" s="181" t="e">
        <f t="shared" si="134"/>
        <v>#DIV/0!</v>
      </c>
      <c r="M71" s="181" t="s">
        <v>799</v>
      </c>
      <c r="N71" s="181">
        <f t="shared" si="135"/>
        <v>0</v>
      </c>
      <c r="O71" s="181"/>
      <c r="P71" s="296"/>
      <c r="Q71" s="296"/>
      <c r="R71" s="296"/>
      <c r="S71" s="296"/>
      <c r="T71" s="296"/>
      <c r="U71" s="296"/>
      <c r="V71" s="296"/>
      <c r="W71" s="296"/>
      <c r="X71" s="296"/>
      <c r="Y71" s="296"/>
      <c r="Z71" s="296"/>
      <c r="AA71" s="296"/>
      <c r="AB71" s="181">
        <f t="shared" si="136"/>
        <v>0</v>
      </c>
      <c r="AC71" s="181">
        <f t="shared" si="137"/>
        <v>0</v>
      </c>
      <c r="AD71" s="181">
        <f>SUMIFS('1-2 人员岗位信息'!F:F,'1-2 人员岗位信息'!$C:$C,"劳务派遣",'1-2 人员岗位信息'!$B:$B,$D71)</f>
        <v>0</v>
      </c>
      <c r="AE71" s="304"/>
      <c r="AF71" s="181">
        <f t="shared" si="138"/>
        <v>0</v>
      </c>
      <c r="AG71" s="181">
        <f>SUMIFS('1-2 人员岗位信息'!G:G,'1-2 人员岗位信息'!$C:$C,"劳务派遣",'1-2 人员岗位信息'!$B:$B,$D71)</f>
        <v>0</v>
      </c>
      <c r="AH71" s="304"/>
      <c r="AI71" s="181">
        <f t="shared" si="139"/>
        <v>0</v>
      </c>
      <c r="AJ71" s="181">
        <f>SUMIFS('1-2 人员岗位信息'!H:H,'1-2 人员岗位信息'!$C:$C,"劳务派遣",'1-2 人员岗位信息'!$B:$B,$D71)</f>
        <v>0</v>
      </c>
      <c r="AK71" s="304"/>
      <c r="AL71" s="181">
        <f t="shared" si="140"/>
        <v>0</v>
      </c>
      <c r="AM71" s="181">
        <f>SUMIFS('1-2 人员岗位信息'!I:I,'1-2 人员岗位信息'!$C:$C,"劳务派遣",'1-2 人员岗位信息'!$B:$B,$D71)</f>
        <v>0</v>
      </c>
      <c r="AN71" s="304"/>
      <c r="AO71" s="181">
        <f t="shared" si="141"/>
        <v>0</v>
      </c>
      <c r="AP71" s="181">
        <f>SUMIFS('1-2 人员岗位信息'!J:J,'1-2 人员岗位信息'!$C:$C,"劳务派遣",'1-2 人员岗位信息'!$B:$B,$D71)</f>
        <v>0</v>
      </c>
      <c r="AQ71" s="304"/>
      <c r="AR71" s="181">
        <f t="shared" si="142"/>
        <v>0</v>
      </c>
      <c r="AS71" s="181">
        <f>SUMIFS('1-2 人员岗位信息'!K:K,'1-2 人员岗位信息'!$C:$C,"劳务派遣",'1-2 人员岗位信息'!$B:$B,$D71)</f>
        <v>0</v>
      </c>
      <c r="AT71" s="304"/>
      <c r="AU71" s="181">
        <f t="shared" si="143"/>
        <v>0</v>
      </c>
      <c r="AV71" s="181">
        <f>SUMIFS('1-2 人员岗位信息'!L:L,'1-2 人员岗位信息'!$C:$C,"劳务派遣",'1-2 人员岗位信息'!$B:$B,$D71)</f>
        <v>0</v>
      </c>
      <c r="AW71" s="304"/>
      <c r="AX71" s="181">
        <f t="shared" si="144"/>
        <v>0</v>
      </c>
      <c r="AY71" s="181">
        <f>SUMIFS('1-2 人员岗位信息'!M:M,'1-2 人员岗位信息'!$C:$C,"劳务派遣",'1-2 人员岗位信息'!$B:$B,$D71)</f>
        <v>0</v>
      </c>
      <c r="AZ71" s="304"/>
      <c r="BA71" s="181">
        <f t="shared" si="145"/>
        <v>0</v>
      </c>
      <c r="BB71" s="181">
        <f>SUMIFS('1-2 人员岗位信息'!N:N,'1-2 人员岗位信息'!$C:$C,"劳务派遣",'1-2 人员岗位信息'!$B:$B,$D71)</f>
        <v>0</v>
      </c>
      <c r="BC71" s="304"/>
      <c r="BD71" s="181">
        <f t="shared" si="146"/>
        <v>0</v>
      </c>
      <c r="BE71" s="181">
        <f>SUMIFS('1-2 人员岗位信息'!O:O,'1-2 人员岗位信息'!$C:$C,"劳务派遣",'1-2 人员岗位信息'!$B:$B,$D71)</f>
        <v>0</v>
      </c>
      <c r="BF71" s="304"/>
      <c r="BG71" s="181">
        <f t="shared" si="147"/>
        <v>0</v>
      </c>
      <c r="BH71" s="181">
        <f>SUMIFS('1-2 人员岗位信息'!P:P,'1-2 人员岗位信息'!$C:$C,"劳务派遣",'1-2 人员岗位信息'!$B:$B,$D71)</f>
        <v>0</v>
      </c>
      <c r="BI71" s="304"/>
      <c r="BJ71" s="181">
        <f t="shared" si="148"/>
        <v>0</v>
      </c>
      <c r="BK71" s="181">
        <f>SUMIFS('1-2 人员岗位信息'!Q:Q,'1-2 人员岗位信息'!$C:$C,"劳务派遣",'1-2 人员岗位信息'!$B:$B,$D71)</f>
        <v>0</v>
      </c>
      <c r="BL71" s="313"/>
      <c r="BM71" s="317"/>
      <c r="BN71" s="321"/>
    </row>
    <row r="72" s="269" customFormat="1" ht="33.95" customHeight="1" outlineLevel="5" spans="2:66">
      <c r="B72" s="181" t="s">
        <v>792</v>
      </c>
      <c r="C72" s="289" t="s">
        <v>910</v>
      </c>
      <c r="D72" s="269" t="s">
        <v>884</v>
      </c>
      <c r="E72" s="181" t="s">
        <v>885</v>
      </c>
      <c r="F72" s="181"/>
      <c r="G72" s="181" t="s">
        <v>796</v>
      </c>
      <c r="H72" s="181">
        <f t="shared" si="132"/>
        <v>0</v>
      </c>
      <c r="I72" s="181" t="s">
        <v>797</v>
      </c>
      <c r="J72" s="181" t="e">
        <f t="shared" si="133"/>
        <v>#DIV/0!</v>
      </c>
      <c r="K72" s="181" t="s">
        <v>798</v>
      </c>
      <c r="L72" s="181" t="e">
        <f t="shared" si="134"/>
        <v>#DIV/0!</v>
      </c>
      <c r="M72" s="181" t="s">
        <v>799</v>
      </c>
      <c r="N72" s="181">
        <f t="shared" si="135"/>
        <v>0</v>
      </c>
      <c r="O72" s="181"/>
      <c r="P72" s="296"/>
      <c r="Q72" s="296"/>
      <c r="R72" s="296"/>
      <c r="S72" s="296"/>
      <c r="T72" s="296"/>
      <c r="U72" s="296"/>
      <c r="V72" s="296"/>
      <c r="W72" s="296"/>
      <c r="X72" s="296"/>
      <c r="Y72" s="296"/>
      <c r="Z72" s="296"/>
      <c r="AA72" s="296"/>
      <c r="AB72" s="181">
        <f t="shared" si="136"/>
        <v>0</v>
      </c>
      <c r="AC72" s="181">
        <f t="shared" si="137"/>
        <v>0</v>
      </c>
      <c r="AD72" s="181">
        <f>SUMIFS('1-2 人员岗位信息'!F:F,'1-2 人员岗位信息'!$C:$C,"劳务派遣",'1-2 人员岗位信息'!$B:$B,$D72)</f>
        <v>0</v>
      </c>
      <c r="AE72" s="304"/>
      <c r="AF72" s="181">
        <f t="shared" si="138"/>
        <v>0</v>
      </c>
      <c r="AG72" s="181">
        <f>SUMIFS('1-2 人员岗位信息'!G:G,'1-2 人员岗位信息'!$C:$C,"劳务派遣",'1-2 人员岗位信息'!$B:$B,$D72)</f>
        <v>0</v>
      </c>
      <c r="AH72" s="304"/>
      <c r="AI72" s="181">
        <f t="shared" si="139"/>
        <v>0</v>
      </c>
      <c r="AJ72" s="181">
        <f>SUMIFS('1-2 人员岗位信息'!H:H,'1-2 人员岗位信息'!$C:$C,"劳务派遣",'1-2 人员岗位信息'!$B:$B,$D72)</f>
        <v>0</v>
      </c>
      <c r="AK72" s="304"/>
      <c r="AL72" s="181">
        <f t="shared" si="140"/>
        <v>0</v>
      </c>
      <c r="AM72" s="181">
        <f>SUMIFS('1-2 人员岗位信息'!I:I,'1-2 人员岗位信息'!$C:$C,"劳务派遣",'1-2 人员岗位信息'!$B:$B,$D72)</f>
        <v>0</v>
      </c>
      <c r="AN72" s="304"/>
      <c r="AO72" s="181">
        <f t="shared" si="141"/>
        <v>0</v>
      </c>
      <c r="AP72" s="181">
        <f>SUMIFS('1-2 人员岗位信息'!J:J,'1-2 人员岗位信息'!$C:$C,"劳务派遣",'1-2 人员岗位信息'!$B:$B,$D72)</f>
        <v>0</v>
      </c>
      <c r="AQ72" s="304"/>
      <c r="AR72" s="181">
        <f t="shared" si="142"/>
        <v>0</v>
      </c>
      <c r="AS72" s="181">
        <f>SUMIFS('1-2 人员岗位信息'!K:K,'1-2 人员岗位信息'!$C:$C,"劳务派遣",'1-2 人员岗位信息'!$B:$B,$D72)</f>
        <v>0</v>
      </c>
      <c r="AT72" s="304"/>
      <c r="AU72" s="181">
        <f t="shared" si="143"/>
        <v>0</v>
      </c>
      <c r="AV72" s="181">
        <f>SUMIFS('1-2 人员岗位信息'!L:L,'1-2 人员岗位信息'!$C:$C,"劳务派遣",'1-2 人员岗位信息'!$B:$B,$D72)</f>
        <v>0</v>
      </c>
      <c r="AW72" s="304"/>
      <c r="AX72" s="181">
        <f t="shared" si="144"/>
        <v>0</v>
      </c>
      <c r="AY72" s="181">
        <f>SUMIFS('1-2 人员岗位信息'!M:M,'1-2 人员岗位信息'!$C:$C,"劳务派遣",'1-2 人员岗位信息'!$B:$B,$D72)</f>
        <v>0</v>
      </c>
      <c r="AZ72" s="304"/>
      <c r="BA72" s="181">
        <f t="shared" si="145"/>
        <v>0</v>
      </c>
      <c r="BB72" s="181">
        <f>SUMIFS('1-2 人员岗位信息'!N:N,'1-2 人员岗位信息'!$C:$C,"劳务派遣",'1-2 人员岗位信息'!$B:$B,$D72)</f>
        <v>0</v>
      </c>
      <c r="BC72" s="304"/>
      <c r="BD72" s="181">
        <f t="shared" si="146"/>
        <v>0</v>
      </c>
      <c r="BE72" s="181">
        <f>SUMIFS('1-2 人员岗位信息'!O:O,'1-2 人员岗位信息'!$C:$C,"劳务派遣",'1-2 人员岗位信息'!$B:$B,$D72)</f>
        <v>0</v>
      </c>
      <c r="BF72" s="304"/>
      <c r="BG72" s="181">
        <f t="shared" si="147"/>
        <v>0</v>
      </c>
      <c r="BH72" s="181">
        <f>SUMIFS('1-2 人员岗位信息'!P:P,'1-2 人员岗位信息'!$C:$C,"劳务派遣",'1-2 人员岗位信息'!$B:$B,$D72)</f>
        <v>0</v>
      </c>
      <c r="BI72" s="304"/>
      <c r="BJ72" s="181">
        <f t="shared" si="148"/>
        <v>0</v>
      </c>
      <c r="BK72" s="181">
        <f>SUMIFS('1-2 人员岗位信息'!Q:Q,'1-2 人员岗位信息'!$C:$C,"劳务派遣",'1-2 人员岗位信息'!$B:$B,$D72)</f>
        <v>0</v>
      </c>
      <c r="BL72" s="313"/>
      <c r="BM72" s="317"/>
      <c r="BN72" s="321"/>
    </row>
    <row r="73" s="269" customFormat="1" ht="33.95" customHeight="1" outlineLevel="5" spans="2:66">
      <c r="B73" s="181" t="s">
        <v>792</v>
      </c>
      <c r="C73" s="289" t="s">
        <v>911</v>
      </c>
      <c r="D73" s="269" t="s">
        <v>887</v>
      </c>
      <c r="E73" s="181" t="s">
        <v>888</v>
      </c>
      <c r="F73" s="181"/>
      <c r="G73" s="181" t="s">
        <v>796</v>
      </c>
      <c r="H73" s="181">
        <f t="shared" si="132"/>
        <v>0</v>
      </c>
      <c r="I73" s="181" t="s">
        <v>797</v>
      </c>
      <c r="J73" s="181" t="e">
        <f t="shared" si="133"/>
        <v>#DIV/0!</v>
      </c>
      <c r="K73" s="181" t="s">
        <v>798</v>
      </c>
      <c r="L73" s="181" t="e">
        <f t="shared" si="134"/>
        <v>#DIV/0!</v>
      </c>
      <c r="M73" s="181" t="s">
        <v>799</v>
      </c>
      <c r="N73" s="181">
        <f t="shared" si="135"/>
        <v>0</v>
      </c>
      <c r="O73" s="181"/>
      <c r="P73" s="296"/>
      <c r="Q73" s="296"/>
      <c r="R73" s="296"/>
      <c r="S73" s="296"/>
      <c r="T73" s="296"/>
      <c r="U73" s="296"/>
      <c r="V73" s="296"/>
      <c r="W73" s="296"/>
      <c r="X73" s="296"/>
      <c r="Y73" s="296"/>
      <c r="Z73" s="296"/>
      <c r="AA73" s="296"/>
      <c r="AB73" s="181">
        <f t="shared" si="136"/>
        <v>0</v>
      </c>
      <c r="AC73" s="181">
        <f t="shared" si="137"/>
        <v>0</v>
      </c>
      <c r="AD73" s="181">
        <f>SUMIFS('1-2 人员岗位信息'!F:F,'1-2 人员岗位信息'!$C:$C,"劳务派遣",'1-2 人员岗位信息'!$B:$B,$D73)</f>
        <v>0</v>
      </c>
      <c r="AE73" s="304"/>
      <c r="AF73" s="181">
        <f t="shared" si="138"/>
        <v>0</v>
      </c>
      <c r="AG73" s="181">
        <f>SUMIFS('1-2 人员岗位信息'!G:G,'1-2 人员岗位信息'!$C:$C,"劳务派遣",'1-2 人员岗位信息'!$B:$B,$D73)</f>
        <v>0</v>
      </c>
      <c r="AH73" s="304"/>
      <c r="AI73" s="181">
        <f t="shared" si="139"/>
        <v>0</v>
      </c>
      <c r="AJ73" s="181">
        <f>SUMIFS('1-2 人员岗位信息'!H:H,'1-2 人员岗位信息'!$C:$C,"劳务派遣",'1-2 人员岗位信息'!$B:$B,$D73)</f>
        <v>0</v>
      </c>
      <c r="AK73" s="304"/>
      <c r="AL73" s="181">
        <f t="shared" si="140"/>
        <v>0</v>
      </c>
      <c r="AM73" s="181">
        <f>SUMIFS('1-2 人员岗位信息'!I:I,'1-2 人员岗位信息'!$C:$C,"劳务派遣",'1-2 人员岗位信息'!$B:$B,$D73)</f>
        <v>0</v>
      </c>
      <c r="AN73" s="304"/>
      <c r="AO73" s="181">
        <f t="shared" si="141"/>
        <v>0</v>
      </c>
      <c r="AP73" s="181">
        <f>SUMIFS('1-2 人员岗位信息'!J:J,'1-2 人员岗位信息'!$C:$C,"劳务派遣",'1-2 人员岗位信息'!$B:$B,$D73)</f>
        <v>0</v>
      </c>
      <c r="AQ73" s="304"/>
      <c r="AR73" s="181">
        <f t="shared" si="142"/>
        <v>0</v>
      </c>
      <c r="AS73" s="181">
        <f>SUMIFS('1-2 人员岗位信息'!K:K,'1-2 人员岗位信息'!$C:$C,"劳务派遣",'1-2 人员岗位信息'!$B:$B,$D73)</f>
        <v>0</v>
      </c>
      <c r="AT73" s="304"/>
      <c r="AU73" s="181">
        <f t="shared" si="143"/>
        <v>0</v>
      </c>
      <c r="AV73" s="181">
        <f>SUMIFS('1-2 人员岗位信息'!L:L,'1-2 人员岗位信息'!$C:$C,"劳务派遣",'1-2 人员岗位信息'!$B:$B,$D73)</f>
        <v>0</v>
      </c>
      <c r="AW73" s="304"/>
      <c r="AX73" s="181">
        <f t="shared" si="144"/>
        <v>0</v>
      </c>
      <c r="AY73" s="181">
        <f>SUMIFS('1-2 人员岗位信息'!M:M,'1-2 人员岗位信息'!$C:$C,"劳务派遣",'1-2 人员岗位信息'!$B:$B,$D73)</f>
        <v>0</v>
      </c>
      <c r="AZ73" s="304"/>
      <c r="BA73" s="181">
        <f t="shared" si="145"/>
        <v>0</v>
      </c>
      <c r="BB73" s="181">
        <f>SUMIFS('1-2 人员岗位信息'!N:N,'1-2 人员岗位信息'!$C:$C,"劳务派遣",'1-2 人员岗位信息'!$B:$B,$D73)</f>
        <v>0</v>
      </c>
      <c r="BC73" s="304"/>
      <c r="BD73" s="181">
        <f t="shared" si="146"/>
        <v>0</v>
      </c>
      <c r="BE73" s="181">
        <f>SUMIFS('1-2 人员岗位信息'!O:O,'1-2 人员岗位信息'!$C:$C,"劳务派遣",'1-2 人员岗位信息'!$B:$B,$D73)</f>
        <v>0</v>
      </c>
      <c r="BF73" s="304"/>
      <c r="BG73" s="181">
        <f t="shared" si="147"/>
        <v>0</v>
      </c>
      <c r="BH73" s="181">
        <f>SUMIFS('1-2 人员岗位信息'!P:P,'1-2 人员岗位信息'!$C:$C,"劳务派遣",'1-2 人员岗位信息'!$B:$B,$D73)</f>
        <v>0</v>
      </c>
      <c r="BI73" s="304"/>
      <c r="BJ73" s="181">
        <f t="shared" si="148"/>
        <v>0</v>
      </c>
      <c r="BK73" s="181">
        <f>SUMIFS('1-2 人员岗位信息'!Q:Q,'1-2 人员岗位信息'!$C:$C,"劳务派遣",'1-2 人员岗位信息'!$B:$B,$D73)</f>
        <v>0</v>
      </c>
      <c r="BL73" s="313"/>
      <c r="BM73" s="317"/>
      <c r="BN73" s="321"/>
    </row>
    <row r="74" s="269" customFormat="1" ht="33.95" customHeight="1" outlineLevel="5" spans="2:66">
      <c r="B74" s="181" t="s">
        <v>792</v>
      </c>
      <c r="C74" s="289" t="s">
        <v>912</v>
      </c>
      <c r="D74" s="269" t="s">
        <v>890</v>
      </c>
      <c r="E74" s="181" t="s">
        <v>891</v>
      </c>
      <c r="F74" s="181"/>
      <c r="G74" s="181" t="s">
        <v>796</v>
      </c>
      <c r="H74" s="181">
        <f t="shared" si="132"/>
        <v>0</v>
      </c>
      <c r="I74" s="181" t="s">
        <v>797</v>
      </c>
      <c r="J74" s="181" t="e">
        <f t="shared" si="133"/>
        <v>#DIV/0!</v>
      </c>
      <c r="K74" s="181" t="s">
        <v>798</v>
      </c>
      <c r="L74" s="181" t="e">
        <f t="shared" si="134"/>
        <v>#DIV/0!</v>
      </c>
      <c r="M74" s="181" t="s">
        <v>799</v>
      </c>
      <c r="N74" s="181">
        <f t="shared" si="135"/>
        <v>0</v>
      </c>
      <c r="O74" s="181"/>
      <c r="P74" s="296"/>
      <c r="Q74" s="296"/>
      <c r="R74" s="296"/>
      <c r="S74" s="296"/>
      <c r="T74" s="296"/>
      <c r="U74" s="296"/>
      <c r="V74" s="296"/>
      <c r="W74" s="296"/>
      <c r="X74" s="296"/>
      <c r="Y74" s="296"/>
      <c r="Z74" s="296"/>
      <c r="AA74" s="296"/>
      <c r="AB74" s="181">
        <f t="shared" si="136"/>
        <v>0</v>
      </c>
      <c r="AC74" s="181">
        <f t="shared" si="137"/>
        <v>0</v>
      </c>
      <c r="AD74" s="181">
        <f>SUMIFS('1-2 人员岗位信息'!F:F,'1-2 人员岗位信息'!$C:$C,"劳务派遣",'1-2 人员岗位信息'!$B:$B,$D74)</f>
        <v>0</v>
      </c>
      <c r="AE74" s="304"/>
      <c r="AF74" s="181">
        <f t="shared" si="138"/>
        <v>0</v>
      </c>
      <c r="AG74" s="181">
        <f>SUMIFS('1-2 人员岗位信息'!G:G,'1-2 人员岗位信息'!$C:$C,"劳务派遣",'1-2 人员岗位信息'!$B:$B,$D74)</f>
        <v>0</v>
      </c>
      <c r="AH74" s="304"/>
      <c r="AI74" s="181">
        <f t="shared" si="139"/>
        <v>0</v>
      </c>
      <c r="AJ74" s="181">
        <f>SUMIFS('1-2 人员岗位信息'!H:H,'1-2 人员岗位信息'!$C:$C,"劳务派遣",'1-2 人员岗位信息'!$B:$B,$D74)</f>
        <v>0</v>
      </c>
      <c r="AK74" s="304"/>
      <c r="AL74" s="181">
        <f t="shared" si="140"/>
        <v>0</v>
      </c>
      <c r="AM74" s="181">
        <f>SUMIFS('1-2 人员岗位信息'!I:I,'1-2 人员岗位信息'!$C:$C,"劳务派遣",'1-2 人员岗位信息'!$B:$B,$D74)</f>
        <v>0</v>
      </c>
      <c r="AN74" s="304"/>
      <c r="AO74" s="181">
        <f t="shared" si="141"/>
        <v>0</v>
      </c>
      <c r="AP74" s="181">
        <f>SUMIFS('1-2 人员岗位信息'!J:J,'1-2 人员岗位信息'!$C:$C,"劳务派遣",'1-2 人员岗位信息'!$B:$B,$D74)</f>
        <v>0</v>
      </c>
      <c r="AQ74" s="304"/>
      <c r="AR74" s="181">
        <f t="shared" si="142"/>
        <v>0</v>
      </c>
      <c r="AS74" s="181">
        <f>SUMIFS('1-2 人员岗位信息'!K:K,'1-2 人员岗位信息'!$C:$C,"劳务派遣",'1-2 人员岗位信息'!$B:$B,$D74)</f>
        <v>0</v>
      </c>
      <c r="AT74" s="304"/>
      <c r="AU74" s="181">
        <f t="shared" si="143"/>
        <v>0</v>
      </c>
      <c r="AV74" s="181">
        <f>SUMIFS('1-2 人员岗位信息'!L:L,'1-2 人员岗位信息'!$C:$C,"劳务派遣",'1-2 人员岗位信息'!$B:$B,$D74)</f>
        <v>0</v>
      </c>
      <c r="AW74" s="304"/>
      <c r="AX74" s="181">
        <f t="shared" si="144"/>
        <v>0</v>
      </c>
      <c r="AY74" s="181">
        <f>SUMIFS('1-2 人员岗位信息'!M:M,'1-2 人员岗位信息'!$C:$C,"劳务派遣",'1-2 人员岗位信息'!$B:$B,$D74)</f>
        <v>0</v>
      </c>
      <c r="AZ74" s="304"/>
      <c r="BA74" s="181">
        <f t="shared" si="145"/>
        <v>0</v>
      </c>
      <c r="BB74" s="181">
        <f>SUMIFS('1-2 人员岗位信息'!N:N,'1-2 人员岗位信息'!$C:$C,"劳务派遣",'1-2 人员岗位信息'!$B:$B,$D74)</f>
        <v>0</v>
      </c>
      <c r="BC74" s="304"/>
      <c r="BD74" s="181">
        <f t="shared" si="146"/>
        <v>0</v>
      </c>
      <c r="BE74" s="181">
        <f>SUMIFS('1-2 人员岗位信息'!O:O,'1-2 人员岗位信息'!$C:$C,"劳务派遣",'1-2 人员岗位信息'!$B:$B,$D74)</f>
        <v>0</v>
      </c>
      <c r="BF74" s="304"/>
      <c r="BG74" s="181">
        <f t="shared" si="147"/>
        <v>0</v>
      </c>
      <c r="BH74" s="181">
        <f>SUMIFS('1-2 人员岗位信息'!P:P,'1-2 人员岗位信息'!$C:$C,"劳务派遣",'1-2 人员岗位信息'!$B:$B,$D74)</f>
        <v>0</v>
      </c>
      <c r="BI74" s="304"/>
      <c r="BJ74" s="181">
        <f t="shared" si="148"/>
        <v>0</v>
      </c>
      <c r="BK74" s="181">
        <f>SUMIFS('1-2 人员岗位信息'!Q:Q,'1-2 人员岗位信息'!$C:$C,"劳务派遣",'1-2 人员岗位信息'!$B:$B,$D74)</f>
        <v>0</v>
      </c>
      <c r="BL74" s="313"/>
      <c r="BM74" s="317"/>
      <c r="BN74" s="321"/>
    </row>
    <row r="75" s="269" customFormat="1" ht="33.95" customHeight="1" outlineLevel="5" spans="2:66">
      <c r="B75" s="181" t="s">
        <v>792</v>
      </c>
      <c r="C75" s="289" t="s">
        <v>913</v>
      </c>
      <c r="D75" s="269" t="s">
        <v>893</v>
      </c>
      <c r="E75" s="181" t="s">
        <v>894</v>
      </c>
      <c r="F75" s="181"/>
      <c r="G75" s="181" t="s">
        <v>796</v>
      </c>
      <c r="H75" s="181">
        <f t="shared" si="132"/>
        <v>0</v>
      </c>
      <c r="I75" s="181" t="s">
        <v>797</v>
      </c>
      <c r="J75" s="181" t="e">
        <f t="shared" si="133"/>
        <v>#DIV/0!</v>
      </c>
      <c r="K75" s="181" t="s">
        <v>798</v>
      </c>
      <c r="L75" s="181" t="e">
        <f t="shared" si="134"/>
        <v>#DIV/0!</v>
      </c>
      <c r="M75" s="181" t="s">
        <v>799</v>
      </c>
      <c r="N75" s="181">
        <f t="shared" si="135"/>
        <v>0</v>
      </c>
      <c r="O75" s="181"/>
      <c r="P75" s="296"/>
      <c r="Q75" s="296"/>
      <c r="R75" s="296"/>
      <c r="S75" s="296"/>
      <c r="T75" s="296"/>
      <c r="U75" s="296"/>
      <c r="V75" s="296"/>
      <c r="W75" s="296"/>
      <c r="X75" s="296"/>
      <c r="Y75" s="296"/>
      <c r="Z75" s="296"/>
      <c r="AA75" s="296"/>
      <c r="AB75" s="181">
        <f t="shared" si="136"/>
        <v>0</v>
      </c>
      <c r="AC75" s="181">
        <f t="shared" si="137"/>
        <v>0</v>
      </c>
      <c r="AD75" s="181">
        <f>SUMIFS('1-2 人员岗位信息'!F:F,'1-2 人员岗位信息'!$C:$C,"劳务派遣",'1-2 人员岗位信息'!$B:$B,$D75)</f>
        <v>0</v>
      </c>
      <c r="AE75" s="304"/>
      <c r="AF75" s="181">
        <f t="shared" si="138"/>
        <v>0</v>
      </c>
      <c r="AG75" s="181">
        <f>SUMIFS('1-2 人员岗位信息'!G:G,'1-2 人员岗位信息'!$C:$C,"劳务派遣",'1-2 人员岗位信息'!$B:$B,$D75)</f>
        <v>0</v>
      </c>
      <c r="AH75" s="304"/>
      <c r="AI75" s="181">
        <f t="shared" si="139"/>
        <v>0</v>
      </c>
      <c r="AJ75" s="181">
        <f>SUMIFS('1-2 人员岗位信息'!H:H,'1-2 人员岗位信息'!$C:$C,"劳务派遣",'1-2 人员岗位信息'!$B:$B,$D75)</f>
        <v>0</v>
      </c>
      <c r="AK75" s="304"/>
      <c r="AL75" s="181">
        <f t="shared" si="140"/>
        <v>0</v>
      </c>
      <c r="AM75" s="181">
        <f>SUMIFS('1-2 人员岗位信息'!I:I,'1-2 人员岗位信息'!$C:$C,"劳务派遣",'1-2 人员岗位信息'!$B:$B,$D75)</f>
        <v>0</v>
      </c>
      <c r="AN75" s="304"/>
      <c r="AO75" s="181">
        <f t="shared" si="141"/>
        <v>0</v>
      </c>
      <c r="AP75" s="181">
        <f>SUMIFS('1-2 人员岗位信息'!J:J,'1-2 人员岗位信息'!$C:$C,"劳务派遣",'1-2 人员岗位信息'!$B:$B,$D75)</f>
        <v>0</v>
      </c>
      <c r="AQ75" s="304"/>
      <c r="AR75" s="181">
        <f t="shared" si="142"/>
        <v>0</v>
      </c>
      <c r="AS75" s="181">
        <f>SUMIFS('1-2 人员岗位信息'!K:K,'1-2 人员岗位信息'!$C:$C,"劳务派遣",'1-2 人员岗位信息'!$B:$B,$D75)</f>
        <v>0</v>
      </c>
      <c r="AT75" s="304"/>
      <c r="AU75" s="181">
        <f t="shared" si="143"/>
        <v>0</v>
      </c>
      <c r="AV75" s="181">
        <f>SUMIFS('1-2 人员岗位信息'!L:L,'1-2 人员岗位信息'!$C:$C,"劳务派遣",'1-2 人员岗位信息'!$B:$B,$D75)</f>
        <v>0</v>
      </c>
      <c r="AW75" s="304"/>
      <c r="AX75" s="181">
        <f t="shared" si="144"/>
        <v>0</v>
      </c>
      <c r="AY75" s="181">
        <f>SUMIFS('1-2 人员岗位信息'!M:M,'1-2 人员岗位信息'!$C:$C,"劳务派遣",'1-2 人员岗位信息'!$B:$B,$D75)</f>
        <v>0</v>
      </c>
      <c r="AZ75" s="304"/>
      <c r="BA75" s="181">
        <f t="shared" si="145"/>
        <v>0</v>
      </c>
      <c r="BB75" s="181">
        <f>SUMIFS('1-2 人员岗位信息'!N:N,'1-2 人员岗位信息'!$C:$C,"劳务派遣",'1-2 人员岗位信息'!$B:$B,$D75)</f>
        <v>0</v>
      </c>
      <c r="BC75" s="304"/>
      <c r="BD75" s="181">
        <f t="shared" si="146"/>
        <v>0</v>
      </c>
      <c r="BE75" s="181">
        <f>SUMIFS('1-2 人员岗位信息'!O:O,'1-2 人员岗位信息'!$C:$C,"劳务派遣",'1-2 人员岗位信息'!$B:$B,$D75)</f>
        <v>0</v>
      </c>
      <c r="BF75" s="304"/>
      <c r="BG75" s="181">
        <f t="shared" si="147"/>
        <v>0</v>
      </c>
      <c r="BH75" s="181">
        <f>SUMIFS('1-2 人员岗位信息'!P:P,'1-2 人员岗位信息'!$C:$C,"劳务派遣",'1-2 人员岗位信息'!$B:$B,$D75)</f>
        <v>0</v>
      </c>
      <c r="BI75" s="304"/>
      <c r="BJ75" s="181">
        <f t="shared" si="148"/>
        <v>0</v>
      </c>
      <c r="BK75" s="181">
        <f>SUMIFS('1-2 人员岗位信息'!Q:Q,'1-2 人员岗位信息'!$C:$C,"劳务派遣",'1-2 人员岗位信息'!$B:$B,$D75)</f>
        <v>0</v>
      </c>
      <c r="BL75" s="313"/>
      <c r="BM75" s="317"/>
      <c r="BN75" s="321"/>
    </row>
    <row r="76" s="269" customFormat="1" ht="33.95" customHeight="1" outlineLevel="5" spans="2:66">
      <c r="B76" s="181" t="s">
        <v>792</v>
      </c>
      <c r="C76" s="289" t="s">
        <v>914</v>
      </c>
      <c r="D76" s="269" t="s">
        <v>896</v>
      </c>
      <c r="E76" s="181" t="s">
        <v>897</v>
      </c>
      <c r="F76" s="181"/>
      <c r="G76" s="181" t="s">
        <v>796</v>
      </c>
      <c r="H76" s="181">
        <f t="shared" si="132"/>
        <v>0</v>
      </c>
      <c r="I76" s="181" t="s">
        <v>797</v>
      </c>
      <c r="J76" s="181" t="e">
        <f t="shared" si="133"/>
        <v>#DIV/0!</v>
      </c>
      <c r="K76" s="181" t="s">
        <v>798</v>
      </c>
      <c r="L76" s="181" t="e">
        <f t="shared" si="134"/>
        <v>#DIV/0!</v>
      </c>
      <c r="M76" s="181" t="s">
        <v>799</v>
      </c>
      <c r="N76" s="181">
        <f t="shared" si="135"/>
        <v>0</v>
      </c>
      <c r="O76" s="181"/>
      <c r="P76" s="296"/>
      <c r="Q76" s="296"/>
      <c r="R76" s="296"/>
      <c r="S76" s="296"/>
      <c r="T76" s="296"/>
      <c r="U76" s="296"/>
      <c r="V76" s="296"/>
      <c r="W76" s="296"/>
      <c r="X76" s="296"/>
      <c r="Y76" s="296"/>
      <c r="Z76" s="296"/>
      <c r="AA76" s="296"/>
      <c r="AB76" s="181">
        <f t="shared" si="136"/>
        <v>0</v>
      </c>
      <c r="AC76" s="181">
        <f t="shared" si="137"/>
        <v>0</v>
      </c>
      <c r="AD76" s="181">
        <f>SUMIFS('1-2 人员岗位信息'!F:F,'1-2 人员岗位信息'!$C:$C,"劳务派遣",'1-2 人员岗位信息'!$B:$B,$D76)</f>
        <v>0</v>
      </c>
      <c r="AE76" s="304"/>
      <c r="AF76" s="181">
        <f t="shared" si="138"/>
        <v>0</v>
      </c>
      <c r="AG76" s="181">
        <f>SUMIFS('1-2 人员岗位信息'!G:G,'1-2 人员岗位信息'!$C:$C,"劳务派遣",'1-2 人员岗位信息'!$B:$B,$D76)</f>
        <v>0</v>
      </c>
      <c r="AH76" s="304"/>
      <c r="AI76" s="181">
        <f t="shared" si="139"/>
        <v>0</v>
      </c>
      <c r="AJ76" s="181">
        <f>SUMIFS('1-2 人员岗位信息'!H:H,'1-2 人员岗位信息'!$C:$C,"劳务派遣",'1-2 人员岗位信息'!$B:$B,$D76)</f>
        <v>0</v>
      </c>
      <c r="AK76" s="304"/>
      <c r="AL76" s="181">
        <f t="shared" si="140"/>
        <v>0</v>
      </c>
      <c r="AM76" s="181">
        <f>SUMIFS('1-2 人员岗位信息'!I:I,'1-2 人员岗位信息'!$C:$C,"劳务派遣",'1-2 人员岗位信息'!$B:$B,$D76)</f>
        <v>0</v>
      </c>
      <c r="AN76" s="304"/>
      <c r="AO76" s="181">
        <f t="shared" si="141"/>
        <v>0</v>
      </c>
      <c r="AP76" s="181">
        <f>SUMIFS('1-2 人员岗位信息'!J:J,'1-2 人员岗位信息'!$C:$C,"劳务派遣",'1-2 人员岗位信息'!$B:$B,$D76)</f>
        <v>0</v>
      </c>
      <c r="AQ76" s="304"/>
      <c r="AR76" s="181">
        <f t="shared" si="142"/>
        <v>0</v>
      </c>
      <c r="AS76" s="181">
        <f>SUMIFS('1-2 人员岗位信息'!K:K,'1-2 人员岗位信息'!$C:$C,"劳务派遣",'1-2 人员岗位信息'!$B:$B,$D76)</f>
        <v>0</v>
      </c>
      <c r="AT76" s="304"/>
      <c r="AU76" s="181">
        <f t="shared" si="143"/>
        <v>0</v>
      </c>
      <c r="AV76" s="181">
        <f>SUMIFS('1-2 人员岗位信息'!L:L,'1-2 人员岗位信息'!$C:$C,"劳务派遣",'1-2 人员岗位信息'!$B:$B,$D76)</f>
        <v>0</v>
      </c>
      <c r="AW76" s="304"/>
      <c r="AX76" s="181">
        <f t="shared" si="144"/>
        <v>0</v>
      </c>
      <c r="AY76" s="181">
        <f>SUMIFS('1-2 人员岗位信息'!M:M,'1-2 人员岗位信息'!$C:$C,"劳务派遣",'1-2 人员岗位信息'!$B:$B,$D76)</f>
        <v>0</v>
      </c>
      <c r="AZ76" s="304"/>
      <c r="BA76" s="181">
        <f t="shared" si="145"/>
        <v>0</v>
      </c>
      <c r="BB76" s="181">
        <f>SUMIFS('1-2 人员岗位信息'!N:N,'1-2 人员岗位信息'!$C:$C,"劳务派遣",'1-2 人员岗位信息'!$B:$B,$D76)</f>
        <v>0</v>
      </c>
      <c r="BC76" s="304"/>
      <c r="BD76" s="181">
        <f t="shared" si="146"/>
        <v>0</v>
      </c>
      <c r="BE76" s="181">
        <f>SUMIFS('1-2 人员岗位信息'!O:O,'1-2 人员岗位信息'!$C:$C,"劳务派遣",'1-2 人员岗位信息'!$B:$B,$D76)</f>
        <v>0</v>
      </c>
      <c r="BF76" s="304"/>
      <c r="BG76" s="181">
        <f t="shared" si="147"/>
        <v>0</v>
      </c>
      <c r="BH76" s="181">
        <f>SUMIFS('1-2 人员岗位信息'!P:P,'1-2 人员岗位信息'!$C:$C,"劳务派遣",'1-2 人员岗位信息'!$B:$B,$D76)</f>
        <v>0</v>
      </c>
      <c r="BI76" s="304"/>
      <c r="BJ76" s="181">
        <f t="shared" si="148"/>
        <v>0</v>
      </c>
      <c r="BK76" s="181">
        <f>SUMIFS('1-2 人员岗位信息'!Q:Q,'1-2 人员岗位信息'!$C:$C,"劳务派遣",'1-2 人员岗位信息'!$B:$B,$D76)</f>
        <v>0</v>
      </c>
      <c r="BL76" s="313"/>
      <c r="BM76" s="317"/>
      <c r="BN76" s="321"/>
    </row>
    <row r="77" s="269" customFormat="1" ht="33.95" customHeight="1" outlineLevel="5" spans="2:66">
      <c r="B77" s="181" t="s">
        <v>792</v>
      </c>
      <c r="C77" s="289" t="s">
        <v>915</v>
      </c>
      <c r="D77" s="269" t="s">
        <v>899</v>
      </c>
      <c r="E77" s="181" t="s">
        <v>900</v>
      </c>
      <c r="F77" s="181"/>
      <c r="G77" s="181" t="s">
        <v>796</v>
      </c>
      <c r="H77" s="181">
        <f t="shared" si="132"/>
        <v>0</v>
      </c>
      <c r="I77" s="181" t="s">
        <v>797</v>
      </c>
      <c r="J77" s="181" t="e">
        <f t="shared" si="133"/>
        <v>#DIV/0!</v>
      </c>
      <c r="K77" s="181" t="s">
        <v>798</v>
      </c>
      <c r="L77" s="181" t="e">
        <f t="shared" si="134"/>
        <v>#DIV/0!</v>
      </c>
      <c r="M77" s="181" t="s">
        <v>799</v>
      </c>
      <c r="N77" s="181">
        <f t="shared" si="135"/>
        <v>0</v>
      </c>
      <c r="O77" s="181"/>
      <c r="P77" s="296"/>
      <c r="Q77" s="296"/>
      <c r="R77" s="296"/>
      <c r="S77" s="296"/>
      <c r="T77" s="296"/>
      <c r="U77" s="296"/>
      <c r="V77" s="296"/>
      <c r="W77" s="296"/>
      <c r="X77" s="296"/>
      <c r="Y77" s="296"/>
      <c r="Z77" s="296"/>
      <c r="AA77" s="296"/>
      <c r="AB77" s="181">
        <f t="shared" si="136"/>
        <v>0</v>
      </c>
      <c r="AC77" s="181">
        <f t="shared" si="137"/>
        <v>0</v>
      </c>
      <c r="AD77" s="181">
        <f>SUMIFS('1-2 人员岗位信息'!F:F,'1-2 人员岗位信息'!$C:$C,"劳务派遣",'1-2 人员岗位信息'!$B:$B,$D77)</f>
        <v>0</v>
      </c>
      <c r="AE77" s="304"/>
      <c r="AF77" s="181">
        <f t="shared" si="138"/>
        <v>0</v>
      </c>
      <c r="AG77" s="181">
        <f>SUMIFS('1-2 人员岗位信息'!G:G,'1-2 人员岗位信息'!$C:$C,"劳务派遣",'1-2 人员岗位信息'!$B:$B,$D77)</f>
        <v>0</v>
      </c>
      <c r="AH77" s="304"/>
      <c r="AI77" s="181">
        <f t="shared" si="139"/>
        <v>0</v>
      </c>
      <c r="AJ77" s="181">
        <f>SUMIFS('1-2 人员岗位信息'!H:H,'1-2 人员岗位信息'!$C:$C,"劳务派遣",'1-2 人员岗位信息'!$B:$B,$D77)</f>
        <v>0</v>
      </c>
      <c r="AK77" s="304"/>
      <c r="AL77" s="181">
        <f t="shared" si="140"/>
        <v>0</v>
      </c>
      <c r="AM77" s="181">
        <f>SUMIFS('1-2 人员岗位信息'!I:I,'1-2 人员岗位信息'!$C:$C,"劳务派遣",'1-2 人员岗位信息'!$B:$B,$D77)</f>
        <v>0</v>
      </c>
      <c r="AN77" s="304"/>
      <c r="AO77" s="181">
        <f t="shared" si="141"/>
        <v>0</v>
      </c>
      <c r="AP77" s="181">
        <f>SUMIFS('1-2 人员岗位信息'!J:J,'1-2 人员岗位信息'!$C:$C,"劳务派遣",'1-2 人员岗位信息'!$B:$B,$D77)</f>
        <v>0</v>
      </c>
      <c r="AQ77" s="304"/>
      <c r="AR77" s="181">
        <f t="shared" si="142"/>
        <v>0</v>
      </c>
      <c r="AS77" s="181">
        <f>SUMIFS('1-2 人员岗位信息'!K:K,'1-2 人员岗位信息'!$C:$C,"劳务派遣",'1-2 人员岗位信息'!$B:$B,$D77)</f>
        <v>0</v>
      </c>
      <c r="AT77" s="304"/>
      <c r="AU77" s="181">
        <f t="shared" si="143"/>
        <v>0</v>
      </c>
      <c r="AV77" s="181">
        <f>SUMIFS('1-2 人员岗位信息'!L:L,'1-2 人员岗位信息'!$C:$C,"劳务派遣",'1-2 人员岗位信息'!$B:$B,$D77)</f>
        <v>0</v>
      </c>
      <c r="AW77" s="304"/>
      <c r="AX77" s="181">
        <f t="shared" si="144"/>
        <v>0</v>
      </c>
      <c r="AY77" s="181">
        <f>SUMIFS('1-2 人员岗位信息'!M:M,'1-2 人员岗位信息'!$C:$C,"劳务派遣",'1-2 人员岗位信息'!$B:$B,$D77)</f>
        <v>0</v>
      </c>
      <c r="AZ77" s="304"/>
      <c r="BA77" s="181">
        <f t="shared" si="145"/>
        <v>0</v>
      </c>
      <c r="BB77" s="181">
        <f>SUMIFS('1-2 人员岗位信息'!N:N,'1-2 人员岗位信息'!$C:$C,"劳务派遣",'1-2 人员岗位信息'!$B:$B,$D77)</f>
        <v>0</v>
      </c>
      <c r="BC77" s="304"/>
      <c r="BD77" s="181">
        <f t="shared" si="146"/>
        <v>0</v>
      </c>
      <c r="BE77" s="181">
        <f>SUMIFS('1-2 人员岗位信息'!O:O,'1-2 人员岗位信息'!$C:$C,"劳务派遣",'1-2 人员岗位信息'!$B:$B,$D77)</f>
        <v>0</v>
      </c>
      <c r="BF77" s="304"/>
      <c r="BG77" s="181">
        <f t="shared" si="147"/>
        <v>0</v>
      </c>
      <c r="BH77" s="181">
        <f>SUMIFS('1-2 人员岗位信息'!P:P,'1-2 人员岗位信息'!$C:$C,"劳务派遣",'1-2 人员岗位信息'!$B:$B,$D77)</f>
        <v>0</v>
      </c>
      <c r="BI77" s="304"/>
      <c r="BJ77" s="181">
        <f t="shared" si="148"/>
        <v>0</v>
      </c>
      <c r="BK77" s="181">
        <f>SUMIFS('1-2 人员岗位信息'!Q:Q,'1-2 人员岗位信息'!$C:$C,"劳务派遣",'1-2 人员岗位信息'!$B:$B,$D77)</f>
        <v>0</v>
      </c>
      <c r="BL77" s="313"/>
      <c r="BM77" s="317"/>
      <c r="BN77" s="321"/>
    </row>
    <row r="78" s="269" customFormat="1" ht="33.95" customHeight="1" outlineLevel="5" spans="2:66">
      <c r="B78" s="181" t="s">
        <v>792</v>
      </c>
      <c r="C78" s="289" t="s">
        <v>916</v>
      </c>
      <c r="D78" s="269" t="s">
        <v>902</v>
      </c>
      <c r="E78" s="181" t="s">
        <v>903</v>
      </c>
      <c r="F78" s="181"/>
      <c r="G78" s="181" t="s">
        <v>796</v>
      </c>
      <c r="H78" s="181">
        <f t="shared" si="132"/>
        <v>0</v>
      </c>
      <c r="I78" s="181" t="s">
        <v>797</v>
      </c>
      <c r="J78" s="181" t="e">
        <f t="shared" si="133"/>
        <v>#DIV/0!</v>
      </c>
      <c r="K78" s="181" t="s">
        <v>798</v>
      </c>
      <c r="L78" s="181" t="e">
        <f t="shared" si="134"/>
        <v>#DIV/0!</v>
      </c>
      <c r="M78" s="181" t="s">
        <v>799</v>
      </c>
      <c r="N78" s="181">
        <f t="shared" si="135"/>
        <v>0</v>
      </c>
      <c r="O78" s="181"/>
      <c r="P78" s="296"/>
      <c r="Q78" s="296"/>
      <c r="R78" s="296"/>
      <c r="S78" s="296"/>
      <c r="T78" s="296"/>
      <c r="U78" s="296"/>
      <c r="V78" s="296"/>
      <c r="W78" s="296"/>
      <c r="X78" s="296"/>
      <c r="Y78" s="296"/>
      <c r="Z78" s="296"/>
      <c r="AA78" s="296"/>
      <c r="AB78" s="181">
        <f t="shared" si="136"/>
        <v>0</v>
      </c>
      <c r="AC78" s="181">
        <f t="shared" si="137"/>
        <v>0</v>
      </c>
      <c r="AD78" s="181">
        <f>SUMIFS('1-2 人员岗位信息'!F:F,'1-2 人员岗位信息'!$C:$C,"劳务派遣",'1-2 人员岗位信息'!$B:$B,$D78)</f>
        <v>0</v>
      </c>
      <c r="AE78" s="304"/>
      <c r="AF78" s="181">
        <f t="shared" si="138"/>
        <v>0</v>
      </c>
      <c r="AG78" s="181">
        <f>SUMIFS('1-2 人员岗位信息'!G:G,'1-2 人员岗位信息'!$C:$C,"劳务派遣",'1-2 人员岗位信息'!$B:$B,$D78)</f>
        <v>0</v>
      </c>
      <c r="AH78" s="304"/>
      <c r="AI78" s="181">
        <f t="shared" si="139"/>
        <v>0</v>
      </c>
      <c r="AJ78" s="181">
        <f>SUMIFS('1-2 人员岗位信息'!H:H,'1-2 人员岗位信息'!$C:$C,"劳务派遣",'1-2 人员岗位信息'!$B:$B,$D78)</f>
        <v>0</v>
      </c>
      <c r="AK78" s="304"/>
      <c r="AL78" s="181">
        <f t="shared" si="140"/>
        <v>0</v>
      </c>
      <c r="AM78" s="181">
        <f>SUMIFS('1-2 人员岗位信息'!I:I,'1-2 人员岗位信息'!$C:$C,"劳务派遣",'1-2 人员岗位信息'!$B:$B,$D78)</f>
        <v>0</v>
      </c>
      <c r="AN78" s="304"/>
      <c r="AO78" s="181">
        <f t="shared" si="141"/>
        <v>0</v>
      </c>
      <c r="AP78" s="181">
        <f>SUMIFS('1-2 人员岗位信息'!J:J,'1-2 人员岗位信息'!$C:$C,"劳务派遣",'1-2 人员岗位信息'!$B:$B,$D78)</f>
        <v>0</v>
      </c>
      <c r="AQ78" s="304"/>
      <c r="AR78" s="181">
        <f t="shared" si="142"/>
        <v>0</v>
      </c>
      <c r="AS78" s="181">
        <f>SUMIFS('1-2 人员岗位信息'!K:K,'1-2 人员岗位信息'!$C:$C,"劳务派遣",'1-2 人员岗位信息'!$B:$B,$D78)</f>
        <v>0</v>
      </c>
      <c r="AT78" s="304"/>
      <c r="AU78" s="181">
        <f t="shared" si="143"/>
        <v>0</v>
      </c>
      <c r="AV78" s="181">
        <f>SUMIFS('1-2 人员岗位信息'!L:L,'1-2 人员岗位信息'!$C:$C,"劳务派遣",'1-2 人员岗位信息'!$B:$B,$D78)</f>
        <v>0</v>
      </c>
      <c r="AW78" s="304"/>
      <c r="AX78" s="181">
        <f t="shared" si="144"/>
        <v>0</v>
      </c>
      <c r="AY78" s="181">
        <f>SUMIFS('1-2 人员岗位信息'!M:M,'1-2 人员岗位信息'!$C:$C,"劳务派遣",'1-2 人员岗位信息'!$B:$B,$D78)</f>
        <v>0</v>
      </c>
      <c r="AZ78" s="304"/>
      <c r="BA78" s="181">
        <f t="shared" si="145"/>
        <v>0</v>
      </c>
      <c r="BB78" s="181">
        <f>SUMIFS('1-2 人员岗位信息'!N:N,'1-2 人员岗位信息'!$C:$C,"劳务派遣",'1-2 人员岗位信息'!$B:$B,$D78)</f>
        <v>0</v>
      </c>
      <c r="BC78" s="304"/>
      <c r="BD78" s="181">
        <f t="shared" si="146"/>
        <v>0</v>
      </c>
      <c r="BE78" s="181">
        <f>SUMIFS('1-2 人员岗位信息'!O:O,'1-2 人员岗位信息'!$C:$C,"劳务派遣",'1-2 人员岗位信息'!$B:$B,$D78)</f>
        <v>0</v>
      </c>
      <c r="BF78" s="304"/>
      <c r="BG78" s="181">
        <f t="shared" si="147"/>
        <v>0</v>
      </c>
      <c r="BH78" s="181">
        <f>SUMIFS('1-2 人员岗位信息'!P:P,'1-2 人员岗位信息'!$C:$C,"劳务派遣",'1-2 人员岗位信息'!$B:$B,$D78)</f>
        <v>0</v>
      </c>
      <c r="BI78" s="304"/>
      <c r="BJ78" s="181">
        <f t="shared" si="148"/>
        <v>0</v>
      </c>
      <c r="BK78" s="181">
        <f>SUMIFS('1-2 人员岗位信息'!Q:Q,'1-2 人员岗位信息'!$C:$C,"劳务派遣",'1-2 人员岗位信息'!$B:$B,$D78)</f>
        <v>0</v>
      </c>
      <c r="BL78" s="313"/>
      <c r="BM78" s="317"/>
      <c r="BN78" s="321"/>
    </row>
    <row r="79" s="269" customFormat="1" ht="33.95" customHeight="1" outlineLevel="5" spans="2:66">
      <c r="B79" s="181" t="s">
        <v>792</v>
      </c>
      <c r="C79" s="289" t="s">
        <v>917</v>
      </c>
      <c r="D79" s="269" t="s">
        <v>905</v>
      </c>
      <c r="E79" s="181" t="s">
        <v>918</v>
      </c>
      <c r="F79" s="181"/>
      <c r="G79" s="181" t="s">
        <v>796</v>
      </c>
      <c r="H79" s="181">
        <f t="shared" si="132"/>
        <v>0</v>
      </c>
      <c r="I79" s="181" t="s">
        <v>797</v>
      </c>
      <c r="J79" s="181" t="e">
        <f t="shared" si="133"/>
        <v>#DIV/0!</v>
      </c>
      <c r="K79" s="181" t="s">
        <v>798</v>
      </c>
      <c r="L79" s="181" t="e">
        <f t="shared" si="134"/>
        <v>#DIV/0!</v>
      </c>
      <c r="M79" s="181" t="s">
        <v>799</v>
      </c>
      <c r="N79" s="181">
        <f t="shared" si="135"/>
        <v>0</v>
      </c>
      <c r="O79" s="181"/>
      <c r="P79" s="296"/>
      <c r="Q79" s="296"/>
      <c r="R79" s="296"/>
      <c r="S79" s="296"/>
      <c r="T79" s="296"/>
      <c r="U79" s="296"/>
      <c r="V79" s="296"/>
      <c r="W79" s="296"/>
      <c r="X79" s="296"/>
      <c r="Y79" s="296"/>
      <c r="Z79" s="296"/>
      <c r="AA79" s="296"/>
      <c r="AB79" s="181">
        <f t="shared" si="136"/>
        <v>0</v>
      </c>
      <c r="AC79" s="181">
        <f t="shared" si="137"/>
        <v>0</v>
      </c>
      <c r="AD79" s="181">
        <f>SUMIFS('1-2 人员岗位信息'!F:F,'1-2 人员岗位信息'!$C:$C,"劳务派遣",'1-2 人员岗位信息'!$B:$B,$D79)</f>
        <v>0</v>
      </c>
      <c r="AE79" s="304"/>
      <c r="AF79" s="181">
        <f t="shared" si="138"/>
        <v>0</v>
      </c>
      <c r="AG79" s="181">
        <f>SUMIFS('1-2 人员岗位信息'!G:G,'1-2 人员岗位信息'!$C:$C,"劳务派遣",'1-2 人员岗位信息'!$B:$B,$D79)</f>
        <v>0</v>
      </c>
      <c r="AH79" s="304"/>
      <c r="AI79" s="181">
        <f t="shared" si="139"/>
        <v>0</v>
      </c>
      <c r="AJ79" s="181">
        <f>SUMIFS('1-2 人员岗位信息'!H:H,'1-2 人员岗位信息'!$C:$C,"劳务派遣",'1-2 人员岗位信息'!$B:$B,$D79)</f>
        <v>0</v>
      </c>
      <c r="AK79" s="304"/>
      <c r="AL79" s="181">
        <f t="shared" si="140"/>
        <v>0</v>
      </c>
      <c r="AM79" s="181">
        <f>SUMIFS('1-2 人员岗位信息'!I:I,'1-2 人员岗位信息'!$C:$C,"劳务派遣",'1-2 人员岗位信息'!$B:$B,$D79)</f>
        <v>0</v>
      </c>
      <c r="AN79" s="304"/>
      <c r="AO79" s="181">
        <f t="shared" si="141"/>
        <v>0</v>
      </c>
      <c r="AP79" s="181">
        <f>SUMIFS('1-2 人员岗位信息'!J:J,'1-2 人员岗位信息'!$C:$C,"劳务派遣",'1-2 人员岗位信息'!$B:$B,$D79)</f>
        <v>0</v>
      </c>
      <c r="AQ79" s="304"/>
      <c r="AR79" s="181">
        <f t="shared" si="142"/>
        <v>0</v>
      </c>
      <c r="AS79" s="181">
        <f>SUMIFS('1-2 人员岗位信息'!K:K,'1-2 人员岗位信息'!$C:$C,"劳务派遣",'1-2 人员岗位信息'!$B:$B,$D79)</f>
        <v>0</v>
      </c>
      <c r="AT79" s="304"/>
      <c r="AU79" s="181">
        <f t="shared" si="143"/>
        <v>0</v>
      </c>
      <c r="AV79" s="181">
        <f>SUMIFS('1-2 人员岗位信息'!L:L,'1-2 人员岗位信息'!$C:$C,"劳务派遣",'1-2 人员岗位信息'!$B:$B,$D79)</f>
        <v>0</v>
      </c>
      <c r="AW79" s="304"/>
      <c r="AX79" s="181">
        <f t="shared" si="144"/>
        <v>0</v>
      </c>
      <c r="AY79" s="181">
        <f>SUMIFS('1-2 人员岗位信息'!M:M,'1-2 人员岗位信息'!$C:$C,"劳务派遣",'1-2 人员岗位信息'!$B:$B,$D79)</f>
        <v>0</v>
      </c>
      <c r="AZ79" s="304"/>
      <c r="BA79" s="181">
        <f t="shared" si="145"/>
        <v>0</v>
      </c>
      <c r="BB79" s="181">
        <f>SUMIFS('1-2 人员岗位信息'!N:N,'1-2 人员岗位信息'!$C:$C,"劳务派遣",'1-2 人员岗位信息'!$B:$B,$D79)</f>
        <v>0</v>
      </c>
      <c r="BC79" s="304"/>
      <c r="BD79" s="181">
        <f t="shared" si="146"/>
        <v>0</v>
      </c>
      <c r="BE79" s="181">
        <f>SUMIFS('1-2 人员岗位信息'!O:O,'1-2 人员岗位信息'!$C:$C,"劳务派遣",'1-2 人员岗位信息'!$B:$B,$D79)</f>
        <v>0</v>
      </c>
      <c r="BF79" s="304"/>
      <c r="BG79" s="181">
        <f t="shared" si="147"/>
        <v>0</v>
      </c>
      <c r="BH79" s="181">
        <f>SUMIFS('1-2 人员岗位信息'!P:P,'1-2 人员岗位信息'!$C:$C,"劳务派遣",'1-2 人员岗位信息'!$B:$B,$D79)</f>
        <v>0</v>
      </c>
      <c r="BI79" s="304"/>
      <c r="BJ79" s="181">
        <f t="shared" si="148"/>
        <v>0</v>
      </c>
      <c r="BK79" s="181">
        <f>SUMIFS('1-2 人员岗位信息'!Q:Q,'1-2 人员岗位信息'!$C:$C,"劳务派遣",'1-2 人员岗位信息'!$B:$B,$D79)</f>
        <v>0</v>
      </c>
      <c r="BL79" s="313"/>
      <c r="BM79" s="317"/>
      <c r="BN79" s="321"/>
    </row>
    <row r="80" s="124" customFormat="1" ht="33.95" customHeight="1" outlineLevel="4" spans="2:66">
      <c r="B80" s="125" t="s">
        <v>787</v>
      </c>
      <c r="C80" s="126" t="s">
        <v>14</v>
      </c>
      <c r="D80" s="124" t="s">
        <v>15</v>
      </c>
      <c r="E80" s="125"/>
      <c r="F80" s="125"/>
      <c r="G80" s="125"/>
      <c r="H80" s="125">
        <f>SUM(H81:H90)</f>
        <v>5843309.49433962</v>
      </c>
      <c r="I80" s="125"/>
      <c r="J80" s="125"/>
      <c r="K80" s="125"/>
      <c r="L80" s="125"/>
      <c r="M80" s="125"/>
      <c r="N80" s="125"/>
      <c r="O80" s="125"/>
      <c r="P80" s="295"/>
      <c r="Q80" s="295"/>
      <c r="R80" s="295"/>
      <c r="S80" s="295"/>
      <c r="T80" s="295"/>
      <c r="U80" s="295"/>
      <c r="V80" s="295"/>
      <c r="W80" s="295"/>
      <c r="X80" s="295"/>
      <c r="Y80" s="295"/>
      <c r="Z80" s="295"/>
      <c r="AA80" s="295"/>
      <c r="AB80" s="125">
        <f t="shared" ref="AB80:AF80" si="149">SUM(AB81:AB90)</f>
        <v>5843309.49433962</v>
      </c>
      <c r="AC80" s="125">
        <f t="shared" si="149"/>
        <v>486942.457861635</v>
      </c>
      <c r="AD80" s="125"/>
      <c r="AE80" s="125"/>
      <c r="AF80" s="125">
        <f t="shared" si="149"/>
        <v>486942.457861635</v>
      </c>
      <c r="AG80" s="125"/>
      <c r="AH80" s="125"/>
      <c r="AI80" s="125">
        <f>SUM(AI81:AI90)</f>
        <v>486942.457861635</v>
      </c>
      <c r="AJ80" s="125"/>
      <c r="AK80" s="125"/>
      <c r="AL80" s="125">
        <f>SUM(AL81:AL90)</f>
        <v>486942.457861635</v>
      </c>
      <c r="AM80" s="125"/>
      <c r="AN80" s="125"/>
      <c r="AO80" s="125">
        <f>SUM(AO81:AO90)</f>
        <v>486942.457861635</v>
      </c>
      <c r="AP80" s="125"/>
      <c r="AQ80" s="125"/>
      <c r="AR80" s="125">
        <f>SUM(AR81:AR90)</f>
        <v>486942.457861635</v>
      </c>
      <c r="AS80" s="125"/>
      <c r="AT80" s="125"/>
      <c r="AU80" s="125">
        <f>SUM(AU81:AU90)</f>
        <v>486942.457861635</v>
      </c>
      <c r="AV80" s="125"/>
      <c r="AW80" s="125"/>
      <c r="AX80" s="125">
        <f>SUM(AX81:AX90)</f>
        <v>486942.457861635</v>
      </c>
      <c r="AY80" s="125"/>
      <c r="AZ80" s="125"/>
      <c r="BA80" s="125">
        <f>SUM(BA81:BA90)</f>
        <v>486942.457861635</v>
      </c>
      <c r="BB80" s="125"/>
      <c r="BC80" s="125"/>
      <c r="BD80" s="125">
        <f>SUM(BD81:BD90)</f>
        <v>486942.457861635</v>
      </c>
      <c r="BE80" s="125"/>
      <c r="BF80" s="125"/>
      <c r="BG80" s="125">
        <f>SUM(BG81:BG90)</f>
        <v>486942.457861635</v>
      </c>
      <c r="BH80" s="125"/>
      <c r="BI80" s="125"/>
      <c r="BJ80" s="125">
        <f>SUM(BJ81:BJ90)</f>
        <v>486942.457861635</v>
      </c>
      <c r="BK80" s="125"/>
      <c r="BL80" s="312"/>
      <c r="BM80" s="317"/>
      <c r="BN80" s="320"/>
    </row>
    <row r="81" s="269" customFormat="1" ht="33.95" customHeight="1" outlineLevel="5" spans="2:66">
      <c r="B81" s="181" t="s">
        <v>792</v>
      </c>
      <c r="C81" s="289" t="s">
        <v>919</v>
      </c>
      <c r="D81" s="269" t="s">
        <v>878</v>
      </c>
      <c r="E81" s="181" t="s">
        <v>920</v>
      </c>
      <c r="F81" s="181"/>
      <c r="G81" s="181" t="s">
        <v>796</v>
      </c>
      <c r="H81" s="181">
        <f t="shared" ref="H81:H90" si="150">AB81</f>
        <v>5843309.49433962</v>
      </c>
      <c r="I81" s="181" t="s">
        <v>797</v>
      </c>
      <c r="J81" s="181">
        <f t="shared" ref="J81:J90" si="151">SUM(AD81,AG81,AJ81,AM81,AP81,AS81,AV81,AY81,BB81,BE81,BH81,BK81)/N81</f>
        <v>65</v>
      </c>
      <c r="K81" s="181" t="s">
        <v>798</v>
      </c>
      <c r="L81" s="181">
        <f t="shared" ref="L81:L90" si="152">H81/N81/J81</f>
        <v>7491.42242864054</v>
      </c>
      <c r="M81" s="181" t="s">
        <v>799</v>
      </c>
      <c r="N81" s="181">
        <f t="shared" ref="N81:N90" si="153">COUNTIF(AD81,"&gt;0")+COUNTIF(AG81,"&gt;0")+COUNTIF(AJ81,"&gt;0")+COUNTIF(AM81,"&gt;0")+COUNTIF(AP81,"&gt;0")+COUNTIF(AS81,"&gt;0")+COUNTIF(AV81,"&gt;0")+COUNTIF(AY81,"&gt;0")+COUNTIF(BB81,"&gt;0")+COUNTIF(BE81,"&gt;0")+COUNTIF(BH81,"&gt;0")+COUNTIF(BK81,"&gt;0")</f>
        <v>12</v>
      </c>
      <c r="O81" s="181"/>
      <c r="P81" s="296"/>
      <c r="Q81" s="296"/>
      <c r="R81" s="296"/>
      <c r="S81" s="296"/>
      <c r="T81" s="296"/>
      <c r="U81" s="296"/>
      <c r="V81" s="296"/>
      <c r="W81" s="296"/>
      <c r="X81" s="296"/>
      <c r="Y81" s="296"/>
      <c r="Z81" s="296"/>
      <c r="AA81" s="296"/>
      <c r="AB81" s="181">
        <f>SUM(AC81,AF81,AI81,AL81,AO81,AR81,AU81,AX81,BA81,BD81,BG81,BJ81)</f>
        <v>5843309.49433962</v>
      </c>
      <c r="AC81" s="181">
        <f t="shared" ref="AC81:AC90" si="154">AD81*AE81</f>
        <v>486942.457861635</v>
      </c>
      <c r="AD81" s="181">
        <f>SUMIFS('1-2 人员岗位信息'!J:J,'1-2 人员岗位信息'!$C:$C,"专业外包",'1-2 人员岗位信息'!$B:$B,$D81)</f>
        <v>65</v>
      </c>
      <c r="AE81" s="304">
        <f>预算主表!P79/(12*AD81)</f>
        <v>7491.42242864054</v>
      </c>
      <c r="AF81" s="181">
        <f t="shared" ref="AF81:AF90" si="155">AG81*AH81</f>
        <v>486942.457861635</v>
      </c>
      <c r="AG81" s="181">
        <f>SUMIFS('1-2 人员岗位信息'!J:J,'1-2 人员岗位信息'!$C:$C,"专业外包",'1-2 人员岗位信息'!$B:$B,$D81)</f>
        <v>65</v>
      </c>
      <c r="AH81" s="304">
        <f>AE81</f>
        <v>7491.42242864054</v>
      </c>
      <c r="AI81" s="181">
        <f t="shared" ref="AI81:AI90" si="156">AJ81*AK81</f>
        <v>486942.457861635</v>
      </c>
      <c r="AJ81" s="181">
        <f>SUMIFS('1-2 人员岗位信息'!J:J,'1-2 人员岗位信息'!$C:$C,"专业外包",'1-2 人员岗位信息'!$B:$B,$D81)</f>
        <v>65</v>
      </c>
      <c r="AK81" s="304">
        <f>AE81</f>
        <v>7491.42242864054</v>
      </c>
      <c r="AL81" s="181">
        <f t="shared" ref="AL81:AL90" si="157">AM81*AN81</f>
        <v>486942.457861635</v>
      </c>
      <c r="AM81" s="181">
        <f>SUMIFS('1-2 人员岗位信息'!I:I,'1-2 人员岗位信息'!$C:$C,"专业外包",'1-2 人员岗位信息'!$B:$B,$D81)</f>
        <v>65</v>
      </c>
      <c r="AN81" s="304">
        <f>AE81</f>
        <v>7491.42242864054</v>
      </c>
      <c r="AO81" s="181">
        <f t="shared" ref="AO81:AO90" si="158">AP81*AQ81</f>
        <v>486942.457861635</v>
      </c>
      <c r="AP81" s="181">
        <f>SUMIFS('1-2 人员岗位信息'!J:J,'1-2 人员岗位信息'!$C:$C,"专业外包",'1-2 人员岗位信息'!$B:$B,$D81)</f>
        <v>65</v>
      </c>
      <c r="AQ81" s="304">
        <f>AE81</f>
        <v>7491.42242864054</v>
      </c>
      <c r="AR81" s="181">
        <f t="shared" ref="AR81:AR90" si="159">AS81*AT81</f>
        <v>486942.457861635</v>
      </c>
      <c r="AS81" s="181">
        <f>SUMIFS('1-2 人员岗位信息'!K:K,'1-2 人员岗位信息'!$C:$C,"专业外包",'1-2 人员岗位信息'!$B:$B,$D81)</f>
        <v>65</v>
      </c>
      <c r="AT81" s="304">
        <f>AE81</f>
        <v>7491.42242864054</v>
      </c>
      <c r="AU81" s="181">
        <f t="shared" ref="AU81:AU90" si="160">AV81*AW81</f>
        <v>486942.457861635</v>
      </c>
      <c r="AV81" s="181">
        <f>SUMIFS('1-2 人员岗位信息'!L:L,'1-2 人员岗位信息'!$C:$C,"专业外包",'1-2 人员岗位信息'!$B:$B,$D81)</f>
        <v>65</v>
      </c>
      <c r="AW81" s="304">
        <f>AE81</f>
        <v>7491.42242864054</v>
      </c>
      <c r="AX81" s="181">
        <f t="shared" ref="AX81:AX90" si="161">AY81*AZ81</f>
        <v>486942.457861635</v>
      </c>
      <c r="AY81" s="181">
        <f>SUMIFS('1-2 人员岗位信息'!M:M,'1-2 人员岗位信息'!$C:$C,"专业外包",'1-2 人员岗位信息'!$B:$B,$D81)</f>
        <v>65</v>
      </c>
      <c r="AZ81" s="304">
        <f>AE81</f>
        <v>7491.42242864054</v>
      </c>
      <c r="BA81" s="181">
        <f t="shared" ref="BA81:BA90" si="162">BB81*BC81</f>
        <v>486942.457861635</v>
      </c>
      <c r="BB81" s="181">
        <f>SUMIFS('1-2 人员岗位信息'!N:N,'1-2 人员岗位信息'!$C:$C,"专业外包",'1-2 人员岗位信息'!$B:$B,$D81)</f>
        <v>65</v>
      </c>
      <c r="BC81" s="304">
        <f>AE81</f>
        <v>7491.42242864054</v>
      </c>
      <c r="BD81" s="181">
        <f t="shared" ref="BD81:BD90" si="163">BE81*BF81</f>
        <v>486942.457861635</v>
      </c>
      <c r="BE81" s="181">
        <f>SUMIFS('1-2 人员岗位信息'!O:O,'1-2 人员岗位信息'!$C:$C,"专业外包",'1-2 人员岗位信息'!$B:$B,$D81)</f>
        <v>65</v>
      </c>
      <c r="BF81" s="304">
        <f>AE81</f>
        <v>7491.42242864054</v>
      </c>
      <c r="BG81" s="181">
        <f t="shared" ref="BG81:BG90" si="164">BH81*BI81</f>
        <v>486942.457861635</v>
      </c>
      <c r="BH81" s="181">
        <f>SUMIFS('1-2 人员岗位信息'!P:P,'1-2 人员岗位信息'!$C:$C,"专业外包",'1-2 人员岗位信息'!$B:$B,$D81)</f>
        <v>65</v>
      </c>
      <c r="BI81" s="304">
        <f>AE81</f>
        <v>7491.42242864054</v>
      </c>
      <c r="BJ81" s="181">
        <f t="shared" ref="BJ81:BJ90" si="165">BK81*BL81</f>
        <v>486942.457861635</v>
      </c>
      <c r="BK81" s="181">
        <f>SUMIFS('1-2 人员岗位信息'!Q:Q,'1-2 人员岗位信息'!$C:$C,"专业外包",'1-2 人员岗位信息'!$B:$B,$D81)</f>
        <v>65</v>
      </c>
      <c r="BL81" s="304">
        <f>AE81</f>
        <v>7491.42242864054</v>
      </c>
      <c r="BM81" s="317"/>
      <c r="BN81" s="321"/>
    </row>
    <row r="82" s="269" customFormat="1" ht="33.95" customHeight="1" outlineLevel="5" spans="2:66">
      <c r="B82" s="181" t="s">
        <v>792</v>
      </c>
      <c r="C82" s="289" t="s">
        <v>921</v>
      </c>
      <c r="D82" s="269" t="s">
        <v>881</v>
      </c>
      <c r="E82" s="181" t="s">
        <v>922</v>
      </c>
      <c r="F82" s="181"/>
      <c r="G82" s="181" t="s">
        <v>796</v>
      </c>
      <c r="H82" s="181">
        <f t="shared" si="150"/>
        <v>0</v>
      </c>
      <c r="I82" s="181" t="s">
        <v>797</v>
      </c>
      <c r="J82" s="181" t="e">
        <f t="shared" si="151"/>
        <v>#DIV/0!</v>
      </c>
      <c r="K82" s="181" t="s">
        <v>798</v>
      </c>
      <c r="L82" s="181" t="e">
        <f t="shared" si="152"/>
        <v>#DIV/0!</v>
      </c>
      <c r="M82" s="181" t="s">
        <v>799</v>
      </c>
      <c r="N82" s="181">
        <f t="shared" si="153"/>
        <v>0</v>
      </c>
      <c r="O82" s="181"/>
      <c r="P82" s="296"/>
      <c r="Q82" s="296"/>
      <c r="R82" s="296"/>
      <c r="S82" s="296"/>
      <c r="T82" s="296"/>
      <c r="U82" s="296"/>
      <c r="V82" s="296"/>
      <c r="W82" s="296"/>
      <c r="X82" s="296"/>
      <c r="Y82" s="296"/>
      <c r="Z82" s="296"/>
      <c r="AA82" s="296"/>
      <c r="AB82" s="181">
        <f t="shared" ref="AB82:AB90" si="166">SUM(AC82,AF82,AI82,AL82,AO82,AR82,AU82,AX82,BA82,BD82,BG82,BJ82)</f>
        <v>0</v>
      </c>
      <c r="AC82" s="181">
        <f t="shared" si="154"/>
        <v>0</v>
      </c>
      <c r="AD82" s="181">
        <f>SUMIFS('1-2 人员岗位信息'!F:F,'1-2 人员岗位信息'!$C:$C,"专业外包",'1-2 人员岗位信息'!$B:$B,$D82)</f>
        <v>0</v>
      </c>
      <c r="AE82" s="304"/>
      <c r="AF82" s="181">
        <f t="shared" si="155"/>
        <v>0</v>
      </c>
      <c r="AG82" s="181">
        <f>SUMIFS('1-2 人员岗位信息'!G:G,'1-2 人员岗位信息'!$C:$C,"专业外包",'1-2 人员岗位信息'!$B:$B,$D82)</f>
        <v>0</v>
      </c>
      <c r="AH82" s="304"/>
      <c r="AI82" s="181">
        <f t="shared" si="156"/>
        <v>0</v>
      </c>
      <c r="AJ82" s="181">
        <f>SUMIFS('1-2 人员岗位信息'!H:H,'1-2 人员岗位信息'!$C:$C,"专业外包",'1-2 人员岗位信息'!$B:$B,$D82)</f>
        <v>0</v>
      </c>
      <c r="AK82" s="304"/>
      <c r="AL82" s="181">
        <f t="shared" si="157"/>
        <v>0</v>
      </c>
      <c r="AM82" s="181">
        <f>SUMIFS('1-2 人员岗位信息'!I:I,'1-2 人员岗位信息'!$C:$C,"专业外包",'1-2 人员岗位信息'!$B:$B,$D82)</f>
        <v>0</v>
      </c>
      <c r="AN82" s="304"/>
      <c r="AO82" s="181">
        <f t="shared" si="158"/>
        <v>0</v>
      </c>
      <c r="AP82" s="181">
        <f>SUMIFS('1-2 人员岗位信息'!J:J,'1-2 人员岗位信息'!$C:$C,"专业外包",'1-2 人员岗位信息'!$B:$B,$D82)</f>
        <v>0</v>
      </c>
      <c r="AQ82" s="304"/>
      <c r="AR82" s="181">
        <f t="shared" si="159"/>
        <v>0</v>
      </c>
      <c r="AS82" s="181">
        <f>SUMIFS('1-2 人员岗位信息'!K:K,'1-2 人员岗位信息'!$C:$C,"专业外包",'1-2 人员岗位信息'!$B:$B,$D82)</f>
        <v>0</v>
      </c>
      <c r="AT82" s="304"/>
      <c r="AU82" s="181">
        <f t="shared" si="160"/>
        <v>0</v>
      </c>
      <c r="AV82" s="181">
        <f>SUMIFS('1-2 人员岗位信息'!L:L,'1-2 人员岗位信息'!$C:$C,"专业外包",'1-2 人员岗位信息'!$B:$B,$D82)</f>
        <v>0</v>
      </c>
      <c r="AW82" s="304"/>
      <c r="AX82" s="181">
        <f t="shared" si="161"/>
        <v>0</v>
      </c>
      <c r="AY82" s="181">
        <f>SUMIFS('1-2 人员岗位信息'!M:M,'1-2 人员岗位信息'!$C:$C,"专业外包",'1-2 人员岗位信息'!$B:$B,$D82)</f>
        <v>0</v>
      </c>
      <c r="AZ82" s="304"/>
      <c r="BA82" s="181">
        <f t="shared" si="162"/>
        <v>0</v>
      </c>
      <c r="BB82" s="181">
        <f>SUMIFS('1-2 人员岗位信息'!N:N,'1-2 人员岗位信息'!$C:$C,"专业外包",'1-2 人员岗位信息'!$B:$B,$D82)</f>
        <v>0</v>
      </c>
      <c r="BC82" s="304"/>
      <c r="BD82" s="181">
        <f t="shared" si="163"/>
        <v>0</v>
      </c>
      <c r="BE82" s="181">
        <f>SUMIFS('1-2 人员岗位信息'!O:O,'1-2 人员岗位信息'!$C:$C,"专业外包",'1-2 人员岗位信息'!$B:$B,$D82)</f>
        <v>0</v>
      </c>
      <c r="BF82" s="304"/>
      <c r="BG82" s="181">
        <f t="shared" si="164"/>
        <v>0</v>
      </c>
      <c r="BH82" s="181">
        <f>SUMIFS('1-2 人员岗位信息'!P:P,'1-2 人员岗位信息'!$C:$C,"专业外包",'1-2 人员岗位信息'!$B:$B,$D82)</f>
        <v>0</v>
      </c>
      <c r="BI82" s="304"/>
      <c r="BJ82" s="181">
        <f t="shared" si="165"/>
        <v>0</v>
      </c>
      <c r="BK82" s="181">
        <f>SUMIFS('1-2 人员岗位信息'!Q:Q,'1-2 人员岗位信息'!$C:$C,"专业外包",'1-2 人员岗位信息'!$B:$B,$D82)</f>
        <v>0</v>
      </c>
      <c r="BL82" s="313"/>
      <c r="BM82" s="317"/>
      <c r="BN82" s="321"/>
    </row>
    <row r="83" s="269" customFormat="1" ht="33.95" customHeight="1" outlineLevel="5" spans="2:66">
      <c r="B83" s="181" t="s">
        <v>792</v>
      </c>
      <c r="C83" s="289" t="s">
        <v>923</v>
      </c>
      <c r="D83" s="269" t="s">
        <v>884</v>
      </c>
      <c r="E83" s="181" t="s">
        <v>885</v>
      </c>
      <c r="F83" s="181"/>
      <c r="G83" s="181" t="s">
        <v>796</v>
      </c>
      <c r="H83" s="181">
        <f t="shared" si="150"/>
        <v>0</v>
      </c>
      <c r="I83" s="181" t="s">
        <v>797</v>
      </c>
      <c r="J83" s="181" t="e">
        <f t="shared" si="151"/>
        <v>#DIV/0!</v>
      </c>
      <c r="K83" s="181" t="s">
        <v>798</v>
      </c>
      <c r="L83" s="181" t="e">
        <f t="shared" si="152"/>
        <v>#DIV/0!</v>
      </c>
      <c r="M83" s="181" t="s">
        <v>799</v>
      </c>
      <c r="N83" s="181">
        <f t="shared" si="153"/>
        <v>0</v>
      </c>
      <c r="O83" s="181"/>
      <c r="P83" s="296"/>
      <c r="Q83" s="296"/>
      <c r="R83" s="296"/>
      <c r="S83" s="296"/>
      <c r="T83" s="296"/>
      <c r="U83" s="296"/>
      <c r="V83" s="296"/>
      <c r="W83" s="296"/>
      <c r="X83" s="296"/>
      <c r="Y83" s="296"/>
      <c r="Z83" s="296"/>
      <c r="AA83" s="296"/>
      <c r="AB83" s="181">
        <f t="shared" si="166"/>
        <v>0</v>
      </c>
      <c r="AC83" s="181">
        <f t="shared" si="154"/>
        <v>0</v>
      </c>
      <c r="AD83" s="181">
        <f>SUMIFS('1-2 人员岗位信息'!F:F,'1-2 人员岗位信息'!$C:$C,"专业外包",'1-2 人员岗位信息'!$B:$B,$D83)</f>
        <v>0</v>
      </c>
      <c r="AE83" s="304"/>
      <c r="AF83" s="181">
        <f t="shared" si="155"/>
        <v>0</v>
      </c>
      <c r="AG83" s="181">
        <f>SUMIFS('1-2 人员岗位信息'!G:G,'1-2 人员岗位信息'!$C:$C,"专业外包",'1-2 人员岗位信息'!$B:$B,$D83)</f>
        <v>0</v>
      </c>
      <c r="AH83" s="304"/>
      <c r="AI83" s="181">
        <f t="shared" si="156"/>
        <v>0</v>
      </c>
      <c r="AJ83" s="181">
        <f>SUMIFS('1-2 人员岗位信息'!H:H,'1-2 人员岗位信息'!$C:$C,"专业外包",'1-2 人员岗位信息'!$B:$B,$D83)</f>
        <v>0</v>
      </c>
      <c r="AK83" s="304"/>
      <c r="AL83" s="181">
        <f t="shared" si="157"/>
        <v>0</v>
      </c>
      <c r="AM83" s="181">
        <f>SUMIFS('1-2 人员岗位信息'!I:I,'1-2 人员岗位信息'!$C:$C,"专业外包",'1-2 人员岗位信息'!$B:$B,$D83)</f>
        <v>0</v>
      </c>
      <c r="AN83" s="304"/>
      <c r="AO83" s="181">
        <f t="shared" si="158"/>
        <v>0</v>
      </c>
      <c r="AP83" s="181">
        <f>SUMIFS('1-2 人员岗位信息'!J:J,'1-2 人员岗位信息'!$C:$C,"专业外包",'1-2 人员岗位信息'!$B:$B,$D83)</f>
        <v>0</v>
      </c>
      <c r="AQ83" s="304"/>
      <c r="AR83" s="181">
        <f t="shared" si="159"/>
        <v>0</v>
      </c>
      <c r="AS83" s="181">
        <f>SUMIFS('1-2 人员岗位信息'!K:K,'1-2 人员岗位信息'!$C:$C,"专业外包",'1-2 人员岗位信息'!$B:$B,$D83)</f>
        <v>0</v>
      </c>
      <c r="AT83" s="304"/>
      <c r="AU83" s="181">
        <f t="shared" si="160"/>
        <v>0</v>
      </c>
      <c r="AV83" s="181">
        <f>SUMIFS('1-2 人员岗位信息'!L:L,'1-2 人员岗位信息'!$C:$C,"专业外包",'1-2 人员岗位信息'!$B:$B,$D83)</f>
        <v>0</v>
      </c>
      <c r="AW83" s="304"/>
      <c r="AX83" s="181">
        <f t="shared" si="161"/>
        <v>0</v>
      </c>
      <c r="AY83" s="181">
        <f>SUMIFS('1-2 人员岗位信息'!M:M,'1-2 人员岗位信息'!$C:$C,"专业外包",'1-2 人员岗位信息'!$B:$B,$D83)</f>
        <v>0</v>
      </c>
      <c r="AZ83" s="304"/>
      <c r="BA83" s="181">
        <f t="shared" si="162"/>
        <v>0</v>
      </c>
      <c r="BB83" s="181">
        <f>SUMIFS('1-2 人员岗位信息'!N:N,'1-2 人员岗位信息'!$C:$C,"专业外包",'1-2 人员岗位信息'!$B:$B,$D83)</f>
        <v>0</v>
      </c>
      <c r="BC83" s="304"/>
      <c r="BD83" s="181">
        <f t="shared" si="163"/>
        <v>0</v>
      </c>
      <c r="BE83" s="181">
        <f>SUMIFS('1-2 人员岗位信息'!O:O,'1-2 人员岗位信息'!$C:$C,"专业外包",'1-2 人员岗位信息'!$B:$B,$D83)</f>
        <v>0</v>
      </c>
      <c r="BF83" s="304"/>
      <c r="BG83" s="181">
        <f t="shared" si="164"/>
        <v>0</v>
      </c>
      <c r="BH83" s="181">
        <f>SUMIFS('1-2 人员岗位信息'!P:P,'1-2 人员岗位信息'!$C:$C,"专业外包",'1-2 人员岗位信息'!$B:$B,$D83)</f>
        <v>0</v>
      </c>
      <c r="BI83" s="304"/>
      <c r="BJ83" s="181">
        <f t="shared" si="165"/>
        <v>0</v>
      </c>
      <c r="BK83" s="181">
        <f>SUMIFS('1-2 人员岗位信息'!Q:Q,'1-2 人员岗位信息'!$C:$C,"专业外包",'1-2 人员岗位信息'!$B:$B,$D83)</f>
        <v>0</v>
      </c>
      <c r="BL83" s="313"/>
      <c r="BM83" s="317"/>
      <c r="BN83" s="321"/>
    </row>
    <row r="84" s="269" customFormat="1" ht="33.95" customHeight="1" outlineLevel="5" spans="2:66">
      <c r="B84" s="181" t="s">
        <v>792</v>
      </c>
      <c r="C84" s="289" t="s">
        <v>924</v>
      </c>
      <c r="D84" s="269" t="s">
        <v>887</v>
      </c>
      <c r="E84" s="181" t="s">
        <v>888</v>
      </c>
      <c r="F84" s="181"/>
      <c r="G84" s="181" t="s">
        <v>796</v>
      </c>
      <c r="H84" s="181">
        <f t="shared" si="150"/>
        <v>0</v>
      </c>
      <c r="I84" s="181" t="s">
        <v>797</v>
      </c>
      <c r="J84" s="181" t="e">
        <f t="shared" si="151"/>
        <v>#DIV/0!</v>
      </c>
      <c r="K84" s="181" t="s">
        <v>798</v>
      </c>
      <c r="L84" s="181" t="e">
        <f t="shared" si="152"/>
        <v>#DIV/0!</v>
      </c>
      <c r="M84" s="181" t="s">
        <v>799</v>
      </c>
      <c r="N84" s="181">
        <f t="shared" si="153"/>
        <v>0</v>
      </c>
      <c r="O84" s="181"/>
      <c r="P84" s="296"/>
      <c r="Q84" s="296"/>
      <c r="R84" s="296"/>
      <c r="S84" s="296"/>
      <c r="T84" s="296"/>
      <c r="U84" s="296"/>
      <c r="V84" s="296"/>
      <c r="W84" s="296"/>
      <c r="X84" s="296"/>
      <c r="Y84" s="296"/>
      <c r="Z84" s="296"/>
      <c r="AA84" s="296"/>
      <c r="AB84" s="181">
        <f t="shared" si="166"/>
        <v>0</v>
      </c>
      <c r="AC84" s="181">
        <f t="shared" si="154"/>
        <v>0</v>
      </c>
      <c r="AD84" s="181">
        <f>SUMIFS('1-2 人员岗位信息'!F:F,'1-2 人员岗位信息'!$C:$C,"专业外包",'1-2 人员岗位信息'!$B:$B,$D84)</f>
        <v>0</v>
      </c>
      <c r="AE84" s="304"/>
      <c r="AF84" s="181">
        <f t="shared" si="155"/>
        <v>0</v>
      </c>
      <c r="AG84" s="181">
        <f>SUMIFS('1-2 人员岗位信息'!G:G,'1-2 人员岗位信息'!$C:$C,"专业外包",'1-2 人员岗位信息'!$B:$B,$D84)</f>
        <v>0</v>
      </c>
      <c r="AH84" s="304"/>
      <c r="AI84" s="181">
        <f t="shared" si="156"/>
        <v>0</v>
      </c>
      <c r="AJ84" s="181">
        <f>SUMIFS('1-2 人员岗位信息'!H:H,'1-2 人员岗位信息'!$C:$C,"专业外包",'1-2 人员岗位信息'!$B:$B,$D84)</f>
        <v>0</v>
      </c>
      <c r="AK84" s="304"/>
      <c r="AL84" s="181">
        <f t="shared" si="157"/>
        <v>0</v>
      </c>
      <c r="AM84" s="181">
        <f>SUMIFS('1-2 人员岗位信息'!I:I,'1-2 人员岗位信息'!$C:$C,"专业外包",'1-2 人员岗位信息'!$B:$B,$D84)</f>
        <v>0</v>
      </c>
      <c r="AN84" s="304"/>
      <c r="AO84" s="181">
        <f t="shared" si="158"/>
        <v>0</v>
      </c>
      <c r="AP84" s="181">
        <f>SUMIFS('1-2 人员岗位信息'!J:J,'1-2 人员岗位信息'!$C:$C,"专业外包",'1-2 人员岗位信息'!$B:$B,$D84)</f>
        <v>0</v>
      </c>
      <c r="AQ84" s="304"/>
      <c r="AR84" s="181">
        <f t="shared" si="159"/>
        <v>0</v>
      </c>
      <c r="AS84" s="181">
        <f>SUMIFS('1-2 人员岗位信息'!K:K,'1-2 人员岗位信息'!$C:$C,"专业外包",'1-2 人员岗位信息'!$B:$B,$D84)</f>
        <v>0</v>
      </c>
      <c r="AT84" s="304"/>
      <c r="AU84" s="181">
        <f t="shared" si="160"/>
        <v>0</v>
      </c>
      <c r="AV84" s="181">
        <f>SUMIFS('1-2 人员岗位信息'!L:L,'1-2 人员岗位信息'!$C:$C,"专业外包",'1-2 人员岗位信息'!$B:$B,$D84)</f>
        <v>0</v>
      </c>
      <c r="AW84" s="304"/>
      <c r="AX84" s="181">
        <f t="shared" si="161"/>
        <v>0</v>
      </c>
      <c r="AY84" s="181">
        <f>SUMIFS('1-2 人员岗位信息'!M:M,'1-2 人员岗位信息'!$C:$C,"专业外包",'1-2 人员岗位信息'!$B:$B,$D84)</f>
        <v>0</v>
      </c>
      <c r="AZ84" s="304"/>
      <c r="BA84" s="181">
        <f t="shared" si="162"/>
        <v>0</v>
      </c>
      <c r="BB84" s="181">
        <f>SUMIFS('1-2 人员岗位信息'!N:N,'1-2 人员岗位信息'!$C:$C,"专业外包",'1-2 人员岗位信息'!$B:$B,$D84)</f>
        <v>0</v>
      </c>
      <c r="BC84" s="304"/>
      <c r="BD84" s="181">
        <f t="shared" si="163"/>
        <v>0</v>
      </c>
      <c r="BE84" s="181">
        <f>SUMIFS('1-2 人员岗位信息'!O:O,'1-2 人员岗位信息'!$C:$C,"专业外包",'1-2 人员岗位信息'!$B:$B,$D84)</f>
        <v>0</v>
      </c>
      <c r="BF84" s="304"/>
      <c r="BG84" s="181">
        <f t="shared" si="164"/>
        <v>0</v>
      </c>
      <c r="BH84" s="181">
        <f>SUMIFS('1-2 人员岗位信息'!P:P,'1-2 人员岗位信息'!$C:$C,"专业外包",'1-2 人员岗位信息'!$B:$B,$D84)</f>
        <v>0</v>
      </c>
      <c r="BI84" s="304"/>
      <c r="BJ84" s="181">
        <f t="shared" si="165"/>
        <v>0</v>
      </c>
      <c r="BK84" s="181">
        <f>SUMIFS('1-2 人员岗位信息'!Q:Q,'1-2 人员岗位信息'!$C:$C,"专业外包",'1-2 人员岗位信息'!$B:$B,$D84)</f>
        <v>0</v>
      </c>
      <c r="BL84" s="313"/>
      <c r="BM84" s="317"/>
      <c r="BN84" s="321"/>
    </row>
    <row r="85" s="269" customFormat="1" ht="33.95" customHeight="1" outlineLevel="5" spans="2:66">
      <c r="B85" s="181" t="s">
        <v>792</v>
      </c>
      <c r="C85" s="289" t="s">
        <v>925</v>
      </c>
      <c r="D85" s="269" t="s">
        <v>890</v>
      </c>
      <c r="E85" s="181" t="s">
        <v>891</v>
      </c>
      <c r="F85" s="181"/>
      <c r="G85" s="181" t="s">
        <v>796</v>
      </c>
      <c r="H85" s="181">
        <f t="shared" si="150"/>
        <v>0</v>
      </c>
      <c r="I85" s="181" t="s">
        <v>797</v>
      </c>
      <c r="J85" s="181" t="e">
        <f t="shared" si="151"/>
        <v>#DIV/0!</v>
      </c>
      <c r="K85" s="181" t="s">
        <v>798</v>
      </c>
      <c r="L85" s="181" t="e">
        <f t="shared" si="152"/>
        <v>#DIV/0!</v>
      </c>
      <c r="M85" s="181" t="s">
        <v>799</v>
      </c>
      <c r="N85" s="181">
        <f t="shared" si="153"/>
        <v>0</v>
      </c>
      <c r="O85" s="181"/>
      <c r="P85" s="296"/>
      <c r="Q85" s="296"/>
      <c r="R85" s="296"/>
      <c r="S85" s="296"/>
      <c r="T85" s="296"/>
      <c r="U85" s="296"/>
      <c r="V85" s="296"/>
      <c r="W85" s="296"/>
      <c r="X85" s="296"/>
      <c r="Y85" s="296"/>
      <c r="Z85" s="296"/>
      <c r="AA85" s="296"/>
      <c r="AB85" s="181">
        <f t="shared" si="166"/>
        <v>0</v>
      </c>
      <c r="AC85" s="181">
        <f t="shared" si="154"/>
        <v>0</v>
      </c>
      <c r="AD85" s="181">
        <f>SUMIFS('1-2 人员岗位信息'!F:F,'1-2 人员岗位信息'!$C:$C,"专业外包",'1-2 人员岗位信息'!$B:$B,$D85)</f>
        <v>0</v>
      </c>
      <c r="AE85" s="304"/>
      <c r="AF85" s="181">
        <f t="shared" si="155"/>
        <v>0</v>
      </c>
      <c r="AG85" s="181">
        <f>SUMIFS('1-2 人员岗位信息'!G:G,'1-2 人员岗位信息'!$C:$C,"专业外包",'1-2 人员岗位信息'!$B:$B,$D85)</f>
        <v>0</v>
      </c>
      <c r="AH85" s="304"/>
      <c r="AI85" s="181">
        <f t="shared" si="156"/>
        <v>0</v>
      </c>
      <c r="AJ85" s="181">
        <f>SUMIFS('1-2 人员岗位信息'!H:H,'1-2 人员岗位信息'!$C:$C,"专业外包",'1-2 人员岗位信息'!$B:$B,$D85)</f>
        <v>0</v>
      </c>
      <c r="AK85" s="304"/>
      <c r="AL85" s="181">
        <f t="shared" si="157"/>
        <v>0</v>
      </c>
      <c r="AM85" s="181">
        <f>SUMIFS('1-2 人员岗位信息'!I:I,'1-2 人员岗位信息'!$C:$C,"专业外包",'1-2 人员岗位信息'!$B:$B,$D85)</f>
        <v>0</v>
      </c>
      <c r="AN85" s="304"/>
      <c r="AO85" s="181">
        <f t="shared" si="158"/>
        <v>0</v>
      </c>
      <c r="AP85" s="181">
        <f>SUMIFS('1-2 人员岗位信息'!J:J,'1-2 人员岗位信息'!$C:$C,"专业外包",'1-2 人员岗位信息'!$B:$B,$D85)</f>
        <v>0</v>
      </c>
      <c r="AQ85" s="304"/>
      <c r="AR85" s="181">
        <f t="shared" si="159"/>
        <v>0</v>
      </c>
      <c r="AS85" s="181">
        <f>SUMIFS('1-2 人员岗位信息'!K:K,'1-2 人员岗位信息'!$C:$C,"专业外包",'1-2 人员岗位信息'!$B:$B,$D85)</f>
        <v>0</v>
      </c>
      <c r="AT85" s="304"/>
      <c r="AU85" s="181">
        <f t="shared" si="160"/>
        <v>0</v>
      </c>
      <c r="AV85" s="181">
        <f>SUMIFS('1-2 人员岗位信息'!L:L,'1-2 人员岗位信息'!$C:$C,"专业外包",'1-2 人员岗位信息'!$B:$B,$D85)</f>
        <v>0</v>
      </c>
      <c r="AW85" s="304"/>
      <c r="AX85" s="181">
        <f t="shared" si="161"/>
        <v>0</v>
      </c>
      <c r="AY85" s="181">
        <f>SUMIFS('1-2 人员岗位信息'!M:M,'1-2 人员岗位信息'!$C:$C,"专业外包",'1-2 人员岗位信息'!$B:$B,$D85)</f>
        <v>0</v>
      </c>
      <c r="AZ85" s="304"/>
      <c r="BA85" s="181">
        <f t="shared" si="162"/>
        <v>0</v>
      </c>
      <c r="BB85" s="181">
        <f>SUMIFS('1-2 人员岗位信息'!N:N,'1-2 人员岗位信息'!$C:$C,"专业外包",'1-2 人员岗位信息'!$B:$B,$D85)</f>
        <v>0</v>
      </c>
      <c r="BC85" s="304"/>
      <c r="BD85" s="181">
        <f t="shared" si="163"/>
        <v>0</v>
      </c>
      <c r="BE85" s="181">
        <f>SUMIFS('1-2 人员岗位信息'!O:O,'1-2 人员岗位信息'!$C:$C,"专业外包",'1-2 人员岗位信息'!$B:$B,$D85)</f>
        <v>0</v>
      </c>
      <c r="BF85" s="304"/>
      <c r="BG85" s="181">
        <f t="shared" si="164"/>
        <v>0</v>
      </c>
      <c r="BH85" s="181">
        <f>SUMIFS('1-2 人员岗位信息'!P:P,'1-2 人员岗位信息'!$C:$C,"专业外包",'1-2 人员岗位信息'!$B:$B,$D85)</f>
        <v>0</v>
      </c>
      <c r="BI85" s="304"/>
      <c r="BJ85" s="181">
        <f t="shared" si="165"/>
        <v>0</v>
      </c>
      <c r="BK85" s="181">
        <f>SUMIFS('1-2 人员岗位信息'!Q:Q,'1-2 人员岗位信息'!$C:$C,"专业外包",'1-2 人员岗位信息'!$B:$B,$D85)</f>
        <v>0</v>
      </c>
      <c r="BL85" s="313"/>
      <c r="BM85" s="317"/>
      <c r="BN85" s="321"/>
    </row>
    <row r="86" s="269" customFormat="1" ht="33.95" customHeight="1" outlineLevel="5" spans="2:66">
      <c r="B86" s="181" t="s">
        <v>792</v>
      </c>
      <c r="C86" s="289" t="s">
        <v>926</v>
      </c>
      <c r="D86" s="269" t="s">
        <v>893</v>
      </c>
      <c r="E86" s="181" t="s">
        <v>894</v>
      </c>
      <c r="F86" s="181"/>
      <c r="G86" s="181" t="s">
        <v>796</v>
      </c>
      <c r="H86" s="181">
        <f t="shared" si="150"/>
        <v>0</v>
      </c>
      <c r="I86" s="181" t="s">
        <v>797</v>
      </c>
      <c r="J86" s="181" t="e">
        <f t="shared" si="151"/>
        <v>#DIV/0!</v>
      </c>
      <c r="K86" s="181" t="s">
        <v>798</v>
      </c>
      <c r="L86" s="181" t="e">
        <f t="shared" si="152"/>
        <v>#DIV/0!</v>
      </c>
      <c r="M86" s="181" t="s">
        <v>799</v>
      </c>
      <c r="N86" s="181">
        <f t="shared" si="153"/>
        <v>0</v>
      </c>
      <c r="O86" s="181"/>
      <c r="P86" s="296"/>
      <c r="Q86" s="296"/>
      <c r="R86" s="296"/>
      <c r="S86" s="296"/>
      <c r="T86" s="296"/>
      <c r="U86" s="296"/>
      <c r="V86" s="296"/>
      <c r="W86" s="296"/>
      <c r="X86" s="296"/>
      <c r="Y86" s="296"/>
      <c r="Z86" s="296"/>
      <c r="AA86" s="296"/>
      <c r="AB86" s="181">
        <f t="shared" si="166"/>
        <v>0</v>
      </c>
      <c r="AC86" s="181">
        <f t="shared" si="154"/>
        <v>0</v>
      </c>
      <c r="AD86" s="181">
        <f>SUMIFS('1-2 人员岗位信息'!F:F,'1-2 人员岗位信息'!$C:$C,"专业外包",'1-2 人员岗位信息'!$B:$B,$D86)</f>
        <v>0</v>
      </c>
      <c r="AE86" s="304"/>
      <c r="AF86" s="181">
        <f t="shared" si="155"/>
        <v>0</v>
      </c>
      <c r="AG86" s="181">
        <f>SUMIFS('1-2 人员岗位信息'!G:G,'1-2 人员岗位信息'!$C:$C,"专业外包",'1-2 人员岗位信息'!$B:$B,$D86)</f>
        <v>0</v>
      </c>
      <c r="AH86" s="304"/>
      <c r="AI86" s="181">
        <f t="shared" si="156"/>
        <v>0</v>
      </c>
      <c r="AJ86" s="181">
        <f>SUMIFS('1-2 人员岗位信息'!H:H,'1-2 人员岗位信息'!$C:$C,"专业外包",'1-2 人员岗位信息'!$B:$B,$D86)</f>
        <v>0</v>
      </c>
      <c r="AK86" s="304"/>
      <c r="AL86" s="181">
        <f t="shared" si="157"/>
        <v>0</v>
      </c>
      <c r="AM86" s="181">
        <f>SUMIFS('1-2 人员岗位信息'!I:I,'1-2 人员岗位信息'!$C:$C,"专业外包",'1-2 人员岗位信息'!$B:$B,$D86)</f>
        <v>0</v>
      </c>
      <c r="AN86" s="304"/>
      <c r="AO86" s="181">
        <f t="shared" si="158"/>
        <v>0</v>
      </c>
      <c r="AP86" s="181">
        <f>SUMIFS('1-2 人员岗位信息'!J:J,'1-2 人员岗位信息'!$C:$C,"专业外包",'1-2 人员岗位信息'!$B:$B,$D86)</f>
        <v>0</v>
      </c>
      <c r="AQ86" s="304"/>
      <c r="AR86" s="181">
        <f t="shared" si="159"/>
        <v>0</v>
      </c>
      <c r="AS86" s="181">
        <f>SUMIFS('1-2 人员岗位信息'!K:K,'1-2 人员岗位信息'!$C:$C,"专业外包",'1-2 人员岗位信息'!$B:$B,$D86)</f>
        <v>0</v>
      </c>
      <c r="AT86" s="304"/>
      <c r="AU86" s="181">
        <f t="shared" si="160"/>
        <v>0</v>
      </c>
      <c r="AV86" s="181">
        <f>SUMIFS('1-2 人员岗位信息'!L:L,'1-2 人员岗位信息'!$C:$C,"专业外包",'1-2 人员岗位信息'!$B:$B,$D86)</f>
        <v>0</v>
      </c>
      <c r="AW86" s="304"/>
      <c r="AX86" s="181">
        <f t="shared" si="161"/>
        <v>0</v>
      </c>
      <c r="AY86" s="181">
        <f>SUMIFS('1-2 人员岗位信息'!M:M,'1-2 人员岗位信息'!$C:$C,"专业外包",'1-2 人员岗位信息'!$B:$B,$D86)</f>
        <v>0</v>
      </c>
      <c r="AZ86" s="304"/>
      <c r="BA86" s="181">
        <f t="shared" si="162"/>
        <v>0</v>
      </c>
      <c r="BB86" s="181">
        <f>SUMIFS('1-2 人员岗位信息'!N:N,'1-2 人员岗位信息'!$C:$C,"专业外包",'1-2 人员岗位信息'!$B:$B,$D86)</f>
        <v>0</v>
      </c>
      <c r="BC86" s="304"/>
      <c r="BD86" s="181">
        <f t="shared" si="163"/>
        <v>0</v>
      </c>
      <c r="BE86" s="181">
        <f>SUMIFS('1-2 人员岗位信息'!O:O,'1-2 人员岗位信息'!$C:$C,"专业外包",'1-2 人员岗位信息'!$B:$B,$D86)</f>
        <v>0</v>
      </c>
      <c r="BF86" s="304"/>
      <c r="BG86" s="181">
        <f t="shared" si="164"/>
        <v>0</v>
      </c>
      <c r="BH86" s="181">
        <f>SUMIFS('1-2 人员岗位信息'!P:P,'1-2 人员岗位信息'!$C:$C,"专业外包",'1-2 人员岗位信息'!$B:$B,$D86)</f>
        <v>0</v>
      </c>
      <c r="BI86" s="304"/>
      <c r="BJ86" s="181">
        <f t="shared" si="165"/>
        <v>0</v>
      </c>
      <c r="BK86" s="181">
        <f>SUMIFS('1-2 人员岗位信息'!Q:Q,'1-2 人员岗位信息'!$C:$C,"专业外包",'1-2 人员岗位信息'!$B:$B,$D86)</f>
        <v>0</v>
      </c>
      <c r="BL86" s="313"/>
      <c r="BM86" s="317"/>
      <c r="BN86" s="321"/>
    </row>
    <row r="87" s="269" customFormat="1" ht="33.95" customHeight="1" outlineLevel="5" spans="2:66">
      <c r="B87" s="181" t="s">
        <v>792</v>
      </c>
      <c r="C87" s="289" t="s">
        <v>927</v>
      </c>
      <c r="D87" s="269" t="s">
        <v>896</v>
      </c>
      <c r="E87" s="181" t="s">
        <v>897</v>
      </c>
      <c r="F87" s="181"/>
      <c r="G87" s="181" t="s">
        <v>796</v>
      </c>
      <c r="H87" s="181">
        <f t="shared" si="150"/>
        <v>0</v>
      </c>
      <c r="I87" s="181" t="s">
        <v>797</v>
      </c>
      <c r="J87" s="181" t="e">
        <f t="shared" si="151"/>
        <v>#DIV/0!</v>
      </c>
      <c r="K87" s="181" t="s">
        <v>798</v>
      </c>
      <c r="L87" s="181" t="e">
        <f t="shared" si="152"/>
        <v>#DIV/0!</v>
      </c>
      <c r="M87" s="181" t="s">
        <v>799</v>
      </c>
      <c r="N87" s="181">
        <f t="shared" si="153"/>
        <v>0</v>
      </c>
      <c r="O87" s="181"/>
      <c r="P87" s="296"/>
      <c r="Q87" s="296"/>
      <c r="R87" s="296"/>
      <c r="S87" s="296"/>
      <c r="T87" s="296"/>
      <c r="U87" s="296"/>
      <c r="V87" s="296"/>
      <c r="W87" s="296"/>
      <c r="X87" s="296"/>
      <c r="Y87" s="296"/>
      <c r="Z87" s="296"/>
      <c r="AA87" s="296"/>
      <c r="AB87" s="181">
        <f t="shared" si="166"/>
        <v>0</v>
      </c>
      <c r="AC87" s="181">
        <f t="shared" si="154"/>
        <v>0</v>
      </c>
      <c r="AD87" s="181">
        <f>SUMIFS('1-2 人员岗位信息'!F:F,'1-2 人员岗位信息'!$C:$C,"专业外包",'1-2 人员岗位信息'!$B:$B,$D87)</f>
        <v>0</v>
      </c>
      <c r="AE87" s="304"/>
      <c r="AF87" s="181">
        <f t="shared" si="155"/>
        <v>0</v>
      </c>
      <c r="AG87" s="181">
        <f>SUMIFS('1-2 人员岗位信息'!G:G,'1-2 人员岗位信息'!$C:$C,"专业外包",'1-2 人员岗位信息'!$B:$B,$D87)</f>
        <v>0</v>
      </c>
      <c r="AH87" s="304"/>
      <c r="AI87" s="181">
        <f t="shared" si="156"/>
        <v>0</v>
      </c>
      <c r="AJ87" s="181">
        <f>SUMIFS('1-2 人员岗位信息'!H:H,'1-2 人员岗位信息'!$C:$C,"专业外包",'1-2 人员岗位信息'!$B:$B,$D87)</f>
        <v>0</v>
      </c>
      <c r="AK87" s="304"/>
      <c r="AL87" s="181">
        <f t="shared" si="157"/>
        <v>0</v>
      </c>
      <c r="AM87" s="181">
        <f>SUMIFS('1-2 人员岗位信息'!I:I,'1-2 人员岗位信息'!$C:$C,"专业外包",'1-2 人员岗位信息'!$B:$B,$D87)</f>
        <v>0</v>
      </c>
      <c r="AN87" s="304"/>
      <c r="AO87" s="181">
        <f t="shared" si="158"/>
        <v>0</v>
      </c>
      <c r="AP87" s="181">
        <f>SUMIFS('1-2 人员岗位信息'!J:J,'1-2 人员岗位信息'!$C:$C,"专业外包",'1-2 人员岗位信息'!$B:$B,$D87)</f>
        <v>0</v>
      </c>
      <c r="AQ87" s="304"/>
      <c r="AR87" s="181">
        <f t="shared" si="159"/>
        <v>0</v>
      </c>
      <c r="AS87" s="181">
        <f>SUMIFS('1-2 人员岗位信息'!K:K,'1-2 人员岗位信息'!$C:$C,"专业外包",'1-2 人员岗位信息'!$B:$B,$D87)</f>
        <v>0</v>
      </c>
      <c r="AT87" s="304"/>
      <c r="AU87" s="181">
        <f t="shared" si="160"/>
        <v>0</v>
      </c>
      <c r="AV87" s="181">
        <f>SUMIFS('1-2 人员岗位信息'!L:L,'1-2 人员岗位信息'!$C:$C,"专业外包",'1-2 人员岗位信息'!$B:$B,$D87)</f>
        <v>0</v>
      </c>
      <c r="AW87" s="304"/>
      <c r="AX87" s="181">
        <f t="shared" si="161"/>
        <v>0</v>
      </c>
      <c r="AY87" s="181">
        <f>SUMIFS('1-2 人员岗位信息'!M:M,'1-2 人员岗位信息'!$C:$C,"专业外包",'1-2 人员岗位信息'!$B:$B,$D87)</f>
        <v>0</v>
      </c>
      <c r="AZ87" s="304"/>
      <c r="BA87" s="181">
        <f t="shared" si="162"/>
        <v>0</v>
      </c>
      <c r="BB87" s="181">
        <f>SUMIFS('1-2 人员岗位信息'!N:N,'1-2 人员岗位信息'!$C:$C,"专业外包",'1-2 人员岗位信息'!$B:$B,$D87)</f>
        <v>0</v>
      </c>
      <c r="BC87" s="304"/>
      <c r="BD87" s="181">
        <f t="shared" si="163"/>
        <v>0</v>
      </c>
      <c r="BE87" s="181">
        <f>SUMIFS('1-2 人员岗位信息'!O:O,'1-2 人员岗位信息'!$C:$C,"专业外包",'1-2 人员岗位信息'!$B:$B,$D87)</f>
        <v>0</v>
      </c>
      <c r="BF87" s="304"/>
      <c r="BG87" s="181">
        <f t="shared" si="164"/>
        <v>0</v>
      </c>
      <c r="BH87" s="181">
        <f>SUMIFS('1-2 人员岗位信息'!P:P,'1-2 人员岗位信息'!$C:$C,"专业外包",'1-2 人员岗位信息'!$B:$B,$D87)</f>
        <v>0</v>
      </c>
      <c r="BI87" s="304"/>
      <c r="BJ87" s="181">
        <f t="shared" si="165"/>
        <v>0</v>
      </c>
      <c r="BK87" s="181">
        <f>SUMIFS('1-2 人员岗位信息'!Q:Q,'1-2 人员岗位信息'!$C:$C,"专业外包",'1-2 人员岗位信息'!$B:$B,$D87)</f>
        <v>0</v>
      </c>
      <c r="BL87" s="313"/>
      <c r="BM87" s="317"/>
      <c r="BN87" s="321"/>
    </row>
    <row r="88" s="269" customFormat="1" ht="33.95" customHeight="1" outlineLevel="5" spans="2:66">
      <c r="B88" s="181" t="s">
        <v>792</v>
      </c>
      <c r="C88" s="289" t="s">
        <v>928</v>
      </c>
      <c r="D88" s="269" t="s">
        <v>899</v>
      </c>
      <c r="E88" s="181" t="s">
        <v>900</v>
      </c>
      <c r="F88" s="181"/>
      <c r="G88" s="181" t="s">
        <v>796</v>
      </c>
      <c r="H88" s="181">
        <f t="shared" si="150"/>
        <v>0</v>
      </c>
      <c r="I88" s="181" t="s">
        <v>797</v>
      </c>
      <c r="J88" s="181" t="e">
        <f t="shared" si="151"/>
        <v>#DIV/0!</v>
      </c>
      <c r="K88" s="181" t="s">
        <v>798</v>
      </c>
      <c r="L88" s="181" t="e">
        <f t="shared" si="152"/>
        <v>#DIV/0!</v>
      </c>
      <c r="M88" s="181" t="s">
        <v>799</v>
      </c>
      <c r="N88" s="181">
        <f t="shared" si="153"/>
        <v>0</v>
      </c>
      <c r="O88" s="181"/>
      <c r="P88" s="296"/>
      <c r="Q88" s="296"/>
      <c r="R88" s="296"/>
      <c r="S88" s="296"/>
      <c r="T88" s="296"/>
      <c r="U88" s="296"/>
      <c r="V88" s="296"/>
      <c r="W88" s="296"/>
      <c r="X88" s="296"/>
      <c r="Y88" s="296"/>
      <c r="Z88" s="296"/>
      <c r="AA88" s="296"/>
      <c r="AB88" s="181">
        <f t="shared" si="166"/>
        <v>0</v>
      </c>
      <c r="AC88" s="181">
        <f t="shared" si="154"/>
        <v>0</v>
      </c>
      <c r="AD88" s="181">
        <f>SUMIFS('1-2 人员岗位信息'!F:F,'1-2 人员岗位信息'!$C:$C,"专业外包",'1-2 人员岗位信息'!$B:$B,$D88)</f>
        <v>0</v>
      </c>
      <c r="AE88" s="304"/>
      <c r="AF88" s="181">
        <f t="shared" si="155"/>
        <v>0</v>
      </c>
      <c r="AG88" s="181">
        <f>SUMIFS('1-2 人员岗位信息'!G:G,'1-2 人员岗位信息'!$C:$C,"专业外包",'1-2 人员岗位信息'!$B:$B,$D88)</f>
        <v>0</v>
      </c>
      <c r="AH88" s="304"/>
      <c r="AI88" s="181">
        <f t="shared" si="156"/>
        <v>0</v>
      </c>
      <c r="AJ88" s="181">
        <f>SUMIFS('1-2 人员岗位信息'!H:H,'1-2 人员岗位信息'!$C:$C,"专业外包",'1-2 人员岗位信息'!$B:$B,$D88)</f>
        <v>0</v>
      </c>
      <c r="AK88" s="304"/>
      <c r="AL88" s="181">
        <f t="shared" si="157"/>
        <v>0</v>
      </c>
      <c r="AM88" s="181">
        <f>SUMIFS('1-2 人员岗位信息'!I:I,'1-2 人员岗位信息'!$C:$C,"专业外包",'1-2 人员岗位信息'!$B:$B,$D88)</f>
        <v>0</v>
      </c>
      <c r="AN88" s="304"/>
      <c r="AO88" s="181">
        <f t="shared" si="158"/>
        <v>0</v>
      </c>
      <c r="AP88" s="181">
        <f>SUMIFS('1-2 人员岗位信息'!J:J,'1-2 人员岗位信息'!$C:$C,"专业外包",'1-2 人员岗位信息'!$B:$B,$D88)</f>
        <v>0</v>
      </c>
      <c r="AQ88" s="304"/>
      <c r="AR88" s="181">
        <f t="shared" si="159"/>
        <v>0</v>
      </c>
      <c r="AS88" s="181">
        <f>SUMIFS('1-2 人员岗位信息'!K:K,'1-2 人员岗位信息'!$C:$C,"专业外包",'1-2 人员岗位信息'!$B:$B,$D88)</f>
        <v>0</v>
      </c>
      <c r="AT88" s="304"/>
      <c r="AU88" s="181">
        <f t="shared" si="160"/>
        <v>0</v>
      </c>
      <c r="AV88" s="181">
        <f>SUMIFS('1-2 人员岗位信息'!L:L,'1-2 人员岗位信息'!$C:$C,"专业外包",'1-2 人员岗位信息'!$B:$B,$D88)</f>
        <v>0</v>
      </c>
      <c r="AW88" s="304"/>
      <c r="AX88" s="181">
        <f t="shared" si="161"/>
        <v>0</v>
      </c>
      <c r="AY88" s="181">
        <f>SUMIFS('1-2 人员岗位信息'!M:M,'1-2 人员岗位信息'!$C:$C,"专业外包",'1-2 人员岗位信息'!$B:$B,$D88)</f>
        <v>0</v>
      </c>
      <c r="AZ88" s="304"/>
      <c r="BA88" s="181">
        <f t="shared" si="162"/>
        <v>0</v>
      </c>
      <c r="BB88" s="181">
        <f>SUMIFS('1-2 人员岗位信息'!N:N,'1-2 人员岗位信息'!$C:$C,"专业外包",'1-2 人员岗位信息'!$B:$B,$D88)</f>
        <v>0</v>
      </c>
      <c r="BC88" s="304"/>
      <c r="BD88" s="181">
        <f t="shared" si="163"/>
        <v>0</v>
      </c>
      <c r="BE88" s="181">
        <f>SUMIFS('1-2 人员岗位信息'!O:O,'1-2 人员岗位信息'!$C:$C,"专业外包",'1-2 人员岗位信息'!$B:$B,$D88)</f>
        <v>0</v>
      </c>
      <c r="BF88" s="304"/>
      <c r="BG88" s="181">
        <f t="shared" si="164"/>
        <v>0</v>
      </c>
      <c r="BH88" s="181">
        <f>SUMIFS('1-2 人员岗位信息'!P:P,'1-2 人员岗位信息'!$C:$C,"专业外包",'1-2 人员岗位信息'!$B:$B,$D88)</f>
        <v>0</v>
      </c>
      <c r="BI88" s="304"/>
      <c r="BJ88" s="181">
        <f t="shared" si="165"/>
        <v>0</v>
      </c>
      <c r="BK88" s="181">
        <f>SUMIFS('1-2 人员岗位信息'!Q:Q,'1-2 人员岗位信息'!$C:$C,"专业外包",'1-2 人员岗位信息'!$B:$B,$D88)</f>
        <v>0</v>
      </c>
      <c r="BL88" s="313"/>
      <c r="BM88" s="317"/>
      <c r="BN88" s="321"/>
    </row>
    <row r="89" s="269" customFormat="1" ht="33.95" customHeight="1" outlineLevel="5" spans="2:66">
      <c r="B89" s="181" t="s">
        <v>792</v>
      </c>
      <c r="C89" s="289" t="s">
        <v>929</v>
      </c>
      <c r="D89" s="269" t="s">
        <v>902</v>
      </c>
      <c r="E89" s="181" t="s">
        <v>903</v>
      </c>
      <c r="F89" s="181"/>
      <c r="G89" s="181" t="s">
        <v>796</v>
      </c>
      <c r="H89" s="181">
        <f t="shared" si="150"/>
        <v>0</v>
      </c>
      <c r="I89" s="181" t="s">
        <v>797</v>
      </c>
      <c r="J89" s="181" t="e">
        <f t="shared" si="151"/>
        <v>#DIV/0!</v>
      </c>
      <c r="K89" s="181" t="s">
        <v>798</v>
      </c>
      <c r="L89" s="181" t="e">
        <f t="shared" si="152"/>
        <v>#DIV/0!</v>
      </c>
      <c r="M89" s="181" t="s">
        <v>799</v>
      </c>
      <c r="N89" s="181">
        <f t="shared" si="153"/>
        <v>0</v>
      </c>
      <c r="O89" s="181"/>
      <c r="P89" s="296"/>
      <c r="Q89" s="296"/>
      <c r="R89" s="296"/>
      <c r="S89" s="296"/>
      <c r="T89" s="296"/>
      <c r="U89" s="296"/>
      <c r="V89" s="296"/>
      <c r="W89" s="296"/>
      <c r="X89" s="296"/>
      <c r="Y89" s="296"/>
      <c r="Z89" s="296"/>
      <c r="AA89" s="296"/>
      <c r="AB89" s="181">
        <f t="shared" si="166"/>
        <v>0</v>
      </c>
      <c r="AC89" s="181">
        <f t="shared" si="154"/>
        <v>0</v>
      </c>
      <c r="AD89" s="181">
        <f>SUMIFS('1-2 人员岗位信息'!F:F,'1-2 人员岗位信息'!$C:$C,"专业外包",'1-2 人员岗位信息'!$B:$B,$D89)</f>
        <v>0</v>
      </c>
      <c r="AE89" s="304"/>
      <c r="AF89" s="181">
        <f t="shared" si="155"/>
        <v>0</v>
      </c>
      <c r="AG89" s="181">
        <f>SUMIFS('1-2 人员岗位信息'!G:G,'1-2 人员岗位信息'!$C:$C,"专业外包",'1-2 人员岗位信息'!$B:$B,$D89)</f>
        <v>0</v>
      </c>
      <c r="AH89" s="304"/>
      <c r="AI89" s="181">
        <f t="shared" si="156"/>
        <v>0</v>
      </c>
      <c r="AJ89" s="181">
        <f>SUMIFS('1-2 人员岗位信息'!H:H,'1-2 人员岗位信息'!$C:$C,"专业外包",'1-2 人员岗位信息'!$B:$B,$D89)</f>
        <v>0</v>
      </c>
      <c r="AK89" s="304"/>
      <c r="AL89" s="181">
        <f t="shared" si="157"/>
        <v>0</v>
      </c>
      <c r="AM89" s="181">
        <f>SUMIFS('1-2 人员岗位信息'!I:I,'1-2 人员岗位信息'!$C:$C,"专业外包",'1-2 人员岗位信息'!$B:$B,$D89)</f>
        <v>0</v>
      </c>
      <c r="AN89" s="304"/>
      <c r="AO89" s="181">
        <f t="shared" si="158"/>
        <v>0</v>
      </c>
      <c r="AP89" s="181">
        <f>SUMIFS('1-2 人员岗位信息'!J:J,'1-2 人员岗位信息'!$C:$C,"专业外包",'1-2 人员岗位信息'!$B:$B,$D89)</f>
        <v>0</v>
      </c>
      <c r="AQ89" s="304"/>
      <c r="AR89" s="181">
        <f t="shared" si="159"/>
        <v>0</v>
      </c>
      <c r="AS89" s="181">
        <f>SUMIFS('1-2 人员岗位信息'!K:K,'1-2 人员岗位信息'!$C:$C,"专业外包",'1-2 人员岗位信息'!$B:$B,$D89)</f>
        <v>0</v>
      </c>
      <c r="AT89" s="304"/>
      <c r="AU89" s="181">
        <f t="shared" si="160"/>
        <v>0</v>
      </c>
      <c r="AV89" s="181">
        <f>SUMIFS('1-2 人员岗位信息'!L:L,'1-2 人员岗位信息'!$C:$C,"专业外包",'1-2 人员岗位信息'!$B:$B,$D89)</f>
        <v>0</v>
      </c>
      <c r="AW89" s="304"/>
      <c r="AX89" s="181">
        <f t="shared" si="161"/>
        <v>0</v>
      </c>
      <c r="AY89" s="181">
        <f>SUMIFS('1-2 人员岗位信息'!M:M,'1-2 人员岗位信息'!$C:$C,"专业外包",'1-2 人员岗位信息'!$B:$B,$D89)</f>
        <v>0</v>
      </c>
      <c r="AZ89" s="304"/>
      <c r="BA89" s="181">
        <f t="shared" si="162"/>
        <v>0</v>
      </c>
      <c r="BB89" s="181">
        <f>SUMIFS('1-2 人员岗位信息'!N:N,'1-2 人员岗位信息'!$C:$C,"专业外包",'1-2 人员岗位信息'!$B:$B,$D89)</f>
        <v>0</v>
      </c>
      <c r="BC89" s="304"/>
      <c r="BD89" s="181">
        <f t="shared" si="163"/>
        <v>0</v>
      </c>
      <c r="BE89" s="181">
        <f>SUMIFS('1-2 人员岗位信息'!O:O,'1-2 人员岗位信息'!$C:$C,"专业外包",'1-2 人员岗位信息'!$B:$B,$D89)</f>
        <v>0</v>
      </c>
      <c r="BF89" s="304"/>
      <c r="BG89" s="181">
        <f t="shared" si="164"/>
        <v>0</v>
      </c>
      <c r="BH89" s="181">
        <f>SUMIFS('1-2 人员岗位信息'!P:P,'1-2 人员岗位信息'!$C:$C,"专业外包",'1-2 人员岗位信息'!$B:$B,$D89)</f>
        <v>0</v>
      </c>
      <c r="BI89" s="304"/>
      <c r="BJ89" s="181">
        <f t="shared" si="165"/>
        <v>0</v>
      </c>
      <c r="BK89" s="181">
        <f>SUMIFS('1-2 人员岗位信息'!Q:Q,'1-2 人员岗位信息'!$C:$C,"专业外包",'1-2 人员岗位信息'!$B:$B,$D89)</f>
        <v>0</v>
      </c>
      <c r="BL89" s="313"/>
      <c r="BM89" s="317"/>
      <c r="BN89" s="321"/>
    </row>
    <row r="90" s="269" customFormat="1" ht="33.95" customHeight="1" outlineLevel="5" spans="2:66">
      <c r="B90" s="181" t="s">
        <v>792</v>
      </c>
      <c r="C90" s="289" t="s">
        <v>930</v>
      </c>
      <c r="D90" s="269" t="s">
        <v>905</v>
      </c>
      <c r="E90" s="181" t="s">
        <v>918</v>
      </c>
      <c r="F90" s="181"/>
      <c r="G90" s="181" t="s">
        <v>796</v>
      </c>
      <c r="H90" s="181">
        <f t="shared" si="150"/>
        <v>0</v>
      </c>
      <c r="I90" s="181" t="s">
        <v>797</v>
      </c>
      <c r="J90" s="181" t="e">
        <f t="shared" si="151"/>
        <v>#DIV/0!</v>
      </c>
      <c r="K90" s="181" t="s">
        <v>798</v>
      </c>
      <c r="L90" s="181" t="e">
        <f t="shared" si="152"/>
        <v>#DIV/0!</v>
      </c>
      <c r="M90" s="181" t="s">
        <v>799</v>
      </c>
      <c r="N90" s="181">
        <f t="shared" si="153"/>
        <v>0</v>
      </c>
      <c r="O90" s="181"/>
      <c r="P90" s="296"/>
      <c r="Q90" s="296"/>
      <c r="R90" s="296"/>
      <c r="S90" s="296"/>
      <c r="T90" s="296"/>
      <c r="U90" s="296"/>
      <c r="V90" s="296"/>
      <c r="W90" s="296"/>
      <c r="X90" s="296"/>
      <c r="Y90" s="296"/>
      <c r="Z90" s="296"/>
      <c r="AA90" s="296"/>
      <c r="AB90" s="181">
        <f t="shared" si="166"/>
        <v>0</v>
      </c>
      <c r="AC90" s="181">
        <f t="shared" si="154"/>
        <v>0</v>
      </c>
      <c r="AD90" s="181">
        <f>SUMIFS('1-2 人员岗位信息'!F:F,'1-2 人员岗位信息'!$C:$C,"专业外包",'1-2 人员岗位信息'!$B:$B,$D90)</f>
        <v>0</v>
      </c>
      <c r="AE90" s="304"/>
      <c r="AF90" s="181">
        <f t="shared" si="155"/>
        <v>0</v>
      </c>
      <c r="AG90" s="181">
        <f>SUMIFS('1-2 人员岗位信息'!G:G,'1-2 人员岗位信息'!$C:$C,"专业外包",'1-2 人员岗位信息'!$B:$B,$D90)</f>
        <v>0</v>
      </c>
      <c r="AH90" s="304"/>
      <c r="AI90" s="181">
        <f t="shared" si="156"/>
        <v>0</v>
      </c>
      <c r="AJ90" s="181">
        <f>SUMIFS('1-2 人员岗位信息'!H:H,'1-2 人员岗位信息'!$C:$C,"专业外包",'1-2 人员岗位信息'!$B:$B,$D90)</f>
        <v>0</v>
      </c>
      <c r="AK90" s="304"/>
      <c r="AL90" s="181">
        <f t="shared" si="157"/>
        <v>0</v>
      </c>
      <c r="AM90" s="181">
        <f>SUMIFS('1-2 人员岗位信息'!I:I,'1-2 人员岗位信息'!$C:$C,"专业外包",'1-2 人员岗位信息'!$B:$B,$D90)</f>
        <v>0</v>
      </c>
      <c r="AN90" s="304"/>
      <c r="AO90" s="181">
        <f t="shared" si="158"/>
        <v>0</v>
      </c>
      <c r="AP90" s="181">
        <f>SUMIFS('1-2 人员岗位信息'!J:J,'1-2 人员岗位信息'!$C:$C,"专业外包",'1-2 人员岗位信息'!$B:$B,$D90)</f>
        <v>0</v>
      </c>
      <c r="AQ90" s="304"/>
      <c r="AR90" s="181">
        <f t="shared" si="159"/>
        <v>0</v>
      </c>
      <c r="AS90" s="181">
        <f>SUMIFS('1-2 人员岗位信息'!K:K,'1-2 人员岗位信息'!$C:$C,"专业外包",'1-2 人员岗位信息'!$B:$B,$D90)</f>
        <v>0</v>
      </c>
      <c r="AT90" s="304"/>
      <c r="AU90" s="181">
        <f t="shared" si="160"/>
        <v>0</v>
      </c>
      <c r="AV90" s="181">
        <f>SUMIFS('1-2 人员岗位信息'!L:L,'1-2 人员岗位信息'!$C:$C,"专业外包",'1-2 人员岗位信息'!$B:$B,$D90)</f>
        <v>0</v>
      </c>
      <c r="AW90" s="304"/>
      <c r="AX90" s="181">
        <f t="shared" si="161"/>
        <v>0</v>
      </c>
      <c r="AY90" s="181">
        <f>SUMIFS('1-2 人员岗位信息'!M:M,'1-2 人员岗位信息'!$C:$C,"专业外包",'1-2 人员岗位信息'!$B:$B,$D90)</f>
        <v>0</v>
      </c>
      <c r="AZ90" s="304"/>
      <c r="BA90" s="181">
        <f t="shared" si="162"/>
        <v>0</v>
      </c>
      <c r="BB90" s="181">
        <f>SUMIFS('1-2 人员岗位信息'!N:N,'1-2 人员岗位信息'!$C:$C,"专业外包",'1-2 人员岗位信息'!$B:$B,$D90)</f>
        <v>0</v>
      </c>
      <c r="BC90" s="304"/>
      <c r="BD90" s="181">
        <f t="shared" si="163"/>
        <v>0</v>
      </c>
      <c r="BE90" s="181">
        <f>SUMIFS('1-2 人员岗位信息'!O:O,'1-2 人员岗位信息'!$C:$C,"专业外包",'1-2 人员岗位信息'!$B:$B,$D90)</f>
        <v>0</v>
      </c>
      <c r="BF90" s="304"/>
      <c r="BG90" s="181">
        <f t="shared" si="164"/>
        <v>0</v>
      </c>
      <c r="BH90" s="181">
        <f>SUMIFS('1-2 人员岗位信息'!P:P,'1-2 人员岗位信息'!$C:$C,"专业外包",'1-2 人员岗位信息'!$B:$B,$D90)</f>
        <v>0</v>
      </c>
      <c r="BI90" s="304"/>
      <c r="BJ90" s="181">
        <f t="shared" si="165"/>
        <v>0</v>
      </c>
      <c r="BK90" s="181">
        <f>SUMIFS('1-2 人员岗位信息'!Q:Q,'1-2 人员岗位信息'!$C:$C,"专业外包",'1-2 人员岗位信息'!$B:$B,$D90)</f>
        <v>0</v>
      </c>
      <c r="BL90" s="313"/>
      <c r="BM90" s="317"/>
      <c r="BN90" s="321"/>
    </row>
    <row r="91" s="124" customFormat="1" ht="33.95" customHeight="1" outlineLevel="4" spans="2:66">
      <c r="B91" s="125" t="s">
        <v>787</v>
      </c>
      <c r="C91" s="126" t="s">
        <v>931</v>
      </c>
      <c r="D91" s="124" t="s">
        <v>932</v>
      </c>
      <c r="E91" s="125"/>
      <c r="F91" s="125"/>
      <c r="G91" s="125"/>
      <c r="H91" s="125">
        <f>SUM(H92:H110)</f>
        <v>0</v>
      </c>
      <c r="I91" s="125"/>
      <c r="J91" s="125"/>
      <c r="K91" s="125"/>
      <c r="L91" s="125"/>
      <c r="M91" s="125"/>
      <c r="N91" s="125"/>
      <c r="O91" s="125"/>
      <c r="P91" s="295"/>
      <c r="Q91" s="295"/>
      <c r="R91" s="295"/>
      <c r="S91" s="295"/>
      <c r="T91" s="295"/>
      <c r="U91" s="295"/>
      <c r="V91" s="295"/>
      <c r="W91" s="295"/>
      <c r="X91" s="295"/>
      <c r="Y91" s="295"/>
      <c r="Z91" s="295"/>
      <c r="AA91" s="295"/>
      <c r="AB91" s="125">
        <f t="shared" ref="AB91:AF91" si="167">SUM(AB92:AB110)</f>
        <v>0</v>
      </c>
      <c r="AC91" s="125">
        <f t="shared" si="167"/>
        <v>0</v>
      </c>
      <c r="AD91" s="125"/>
      <c r="AE91" s="125"/>
      <c r="AF91" s="125">
        <f t="shared" si="167"/>
        <v>0</v>
      </c>
      <c r="AG91" s="125"/>
      <c r="AH91" s="125"/>
      <c r="AI91" s="125">
        <f>SUM(AI92:AI110)</f>
        <v>0</v>
      </c>
      <c r="AJ91" s="125"/>
      <c r="AK91" s="125"/>
      <c r="AL91" s="125">
        <f>SUM(AL92:AL110)</f>
        <v>0</v>
      </c>
      <c r="AM91" s="125"/>
      <c r="AN91" s="125"/>
      <c r="AO91" s="125">
        <f>SUM(AO92:AO110)</f>
        <v>0</v>
      </c>
      <c r="AP91" s="125"/>
      <c r="AQ91" s="125"/>
      <c r="AR91" s="125">
        <f>SUM(AR92:AR110)</f>
        <v>0</v>
      </c>
      <c r="AS91" s="125"/>
      <c r="AT91" s="125"/>
      <c r="AU91" s="125">
        <f>SUM(AU92:AU110)</f>
        <v>0</v>
      </c>
      <c r="AV91" s="125"/>
      <c r="AW91" s="125"/>
      <c r="AX91" s="125">
        <f>SUM(AX92:AX110)</f>
        <v>0</v>
      </c>
      <c r="AY91" s="125"/>
      <c r="AZ91" s="125"/>
      <c r="BA91" s="125">
        <f>SUM(BA92:BA110)</f>
        <v>0</v>
      </c>
      <c r="BB91" s="125"/>
      <c r="BC91" s="125"/>
      <c r="BD91" s="125">
        <f>SUM(BD92:BD110)</f>
        <v>0</v>
      </c>
      <c r="BE91" s="125"/>
      <c r="BF91" s="125"/>
      <c r="BG91" s="125">
        <f>SUM(BG92:BG110)</f>
        <v>0</v>
      </c>
      <c r="BH91" s="125"/>
      <c r="BI91" s="125"/>
      <c r="BJ91" s="125">
        <f>SUM(BJ92:BJ110)</f>
        <v>0</v>
      </c>
      <c r="BK91" s="125"/>
      <c r="BL91" s="312"/>
      <c r="BM91" s="317"/>
      <c r="BN91" s="320"/>
    </row>
    <row r="92" s="269" customFormat="1" ht="33.95" customHeight="1" outlineLevel="5" spans="2:66">
      <c r="B92" s="181" t="s">
        <v>792</v>
      </c>
      <c r="C92" s="289" t="s">
        <v>933</v>
      </c>
      <c r="D92" s="269" t="s">
        <v>934</v>
      </c>
      <c r="E92" s="181" t="s">
        <v>935</v>
      </c>
      <c r="F92" s="181"/>
      <c r="G92" s="181" t="s">
        <v>936</v>
      </c>
      <c r="H92" s="181">
        <f t="shared" ref="H92:H110" si="168">AB92</f>
        <v>0</v>
      </c>
      <c r="I92" s="181" t="s">
        <v>797</v>
      </c>
      <c r="J92" s="181" t="e">
        <f t="shared" ref="J92:J110" si="169">SUM(AD92,AG92,AJ92,AM92,AP92,AS92,AV92,AY92,BB92,BE92,BH92,BK92)/N92</f>
        <v>#DIV/0!</v>
      </c>
      <c r="K92" s="181" t="s">
        <v>798</v>
      </c>
      <c r="L92" s="181" t="e">
        <f t="shared" ref="L92:L110" si="170">H92/N92/J92</f>
        <v>#DIV/0!</v>
      </c>
      <c r="M92" s="181" t="s">
        <v>799</v>
      </c>
      <c r="N92" s="181">
        <f t="shared" ref="N92:N110" si="171">COUNTIF(AD92,"&gt;0")+COUNTIF(AG92,"&gt;0")+COUNTIF(AJ92,"&gt;0")+COUNTIF(AM92,"&gt;0")+COUNTIF(AP92,"&gt;0")+COUNTIF(AS92,"&gt;0")+COUNTIF(AV92,"&gt;0")+COUNTIF(AY92,"&gt;0")+COUNTIF(BB92,"&gt;0")+COUNTIF(BE92,"&gt;0")+COUNTIF(BH92,"&gt;0")+COUNTIF(BK92,"&gt;0")</f>
        <v>0</v>
      </c>
      <c r="O92" s="181"/>
      <c r="P92" s="296"/>
      <c r="Q92" s="296"/>
      <c r="R92" s="296"/>
      <c r="S92" s="296"/>
      <c r="T92" s="296"/>
      <c r="U92" s="296"/>
      <c r="V92" s="296"/>
      <c r="W92" s="296"/>
      <c r="X92" s="296"/>
      <c r="Y92" s="296"/>
      <c r="Z92" s="296"/>
      <c r="AA92" s="296"/>
      <c r="AB92" s="181">
        <f t="shared" ref="AB92:AB110" si="172">SUM(AC92,AF92,AI92,AL92,AO92,AR92,AU92,AX92,BA92,BD92,BG92,BJ92)</f>
        <v>0</v>
      </c>
      <c r="AC92" s="181">
        <f t="shared" ref="AC92:AC110" si="173">AD92*AE92</f>
        <v>0</v>
      </c>
      <c r="AD92" s="304"/>
      <c r="AE92" s="304"/>
      <c r="AF92" s="181">
        <f t="shared" ref="AF92:AF110" si="174">AG92*AH92</f>
        <v>0</v>
      </c>
      <c r="AG92" s="304"/>
      <c r="AH92" s="304"/>
      <c r="AI92" s="181">
        <f t="shared" ref="AI92:AI110" si="175">AJ92*AK92</f>
        <v>0</v>
      </c>
      <c r="AJ92" s="304"/>
      <c r="AK92" s="304"/>
      <c r="AL92" s="181">
        <f t="shared" ref="AL92:AL110" si="176">AM92*AN92</f>
        <v>0</v>
      </c>
      <c r="AM92" s="304"/>
      <c r="AN92" s="304"/>
      <c r="AO92" s="181">
        <f t="shared" ref="AO92:AO110" si="177">AP92*AQ92</f>
        <v>0</v>
      </c>
      <c r="AP92" s="304"/>
      <c r="AQ92" s="304"/>
      <c r="AR92" s="181">
        <f t="shared" ref="AR92:AR110" si="178">AS92*AT92</f>
        <v>0</v>
      </c>
      <c r="AS92" s="304"/>
      <c r="AT92" s="304"/>
      <c r="AU92" s="181">
        <f t="shared" ref="AU92:AU110" si="179">AV92*AW92</f>
        <v>0</v>
      </c>
      <c r="AV92" s="304"/>
      <c r="AW92" s="304"/>
      <c r="AX92" s="181">
        <f t="shared" ref="AX92:AX110" si="180">AY92*AZ92</f>
        <v>0</v>
      </c>
      <c r="AY92" s="304"/>
      <c r="AZ92" s="304"/>
      <c r="BA92" s="181">
        <f t="shared" ref="BA92:BA110" si="181">BB92*BC92</f>
        <v>0</v>
      </c>
      <c r="BB92" s="304"/>
      <c r="BC92" s="304"/>
      <c r="BD92" s="181">
        <f t="shared" ref="BD92:BD110" si="182">BE92*BF92</f>
        <v>0</v>
      </c>
      <c r="BE92" s="304"/>
      <c r="BF92" s="304"/>
      <c r="BG92" s="181">
        <f t="shared" ref="BG92:BG110" si="183">BH92*BI92</f>
        <v>0</v>
      </c>
      <c r="BH92" s="304"/>
      <c r="BI92" s="304"/>
      <c r="BJ92" s="181">
        <f t="shared" ref="BJ92:BJ110" si="184">BK92*BL92</f>
        <v>0</v>
      </c>
      <c r="BK92" s="304"/>
      <c r="BL92" s="313"/>
      <c r="BM92" s="317"/>
      <c r="BN92" s="321"/>
    </row>
    <row r="93" s="269" customFormat="1" ht="33.95" customHeight="1" outlineLevel="5" spans="2:66">
      <c r="B93" s="181" t="s">
        <v>792</v>
      </c>
      <c r="C93" s="289" t="s">
        <v>937</v>
      </c>
      <c r="D93" s="269" t="s">
        <v>938</v>
      </c>
      <c r="E93" s="181" t="s">
        <v>935</v>
      </c>
      <c r="F93" s="181"/>
      <c r="G93" s="181" t="s">
        <v>936</v>
      </c>
      <c r="H93" s="181">
        <f t="shared" si="168"/>
        <v>0</v>
      </c>
      <c r="I93" s="181" t="s">
        <v>797</v>
      </c>
      <c r="J93" s="181" t="e">
        <f t="shared" si="169"/>
        <v>#DIV/0!</v>
      </c>
      <c r="K93" s="181" t="s">
        <v>798</v>
      </c>
      <c r="L93" s="181" t="e">
        <f t="shared" si="170"/>
        <v>#DIV/0!</v>
      </c>
      <c r="M93" s="181" t="s">
        <v>799</v>
      </c>
      <c r="N93" s="181">
        <f t="shared" si="171"/>
        <v>0</v>
      </c>
      <c r="O93" s="181"/>
      <c r="P93" s="296"/>
      <c r="Q93" s="296"/>
      <c r="R93" s="296"/>
      <c r="S93" s="296"/>
      <c r="T93" s="296"/>
      <c r="U93" s="296"/>
      <c r="V93" s="296"/>
      <c r="W93" s="296"/>
      <c r="X93" s="296"/>
      <c r="Y93" s="296"/>
      <c r="Z93" s="296"/>
      <c r="AA93" s="296"/>
      <c r="AB93" s="181">
        <f t="shared" si="172"/>
        <v>0</v>
      </c>
      <c r="AC93" s="181">
        <f t="shared" si="173"/>
        <v>0</v>
      </c>
      <c r="AD93" s="304"/>
      <c r="AE93" s="304"/>
      <c r="AF93" s="181">
        <f t="shared" si="174"/>
        <v>0</v>
      </c>
      <c r="AG93" s="304"/>
      <c r="AH93" s="304"/>
      <c r="AI93" s="181">
        <f t="shared" si="175"/>
        <v>0</v>
      </c>
      <c r="AJ93" s="304"/>
      <c r="AK93" s="304"/>
      <c r="AL93" s="181">
        <f t="shared" si="176"/>
        <v>0</v>
      </c>
      <c r="AM93" s="304"/>
      <c r="AN93" s="304"/>
      <c r="AO93" s="181">
        <f t="shared" si="177"/>
        <v>0</v>
      </c>
      <c r="AP93" s="304"/>
      <c r="AQ93" s="304"/>
      <c r="AR93" s="181">
        <f t="shared" si="178"/>
        <v>0</v>
      </c>
      <c r="AS93" s="304"/>
      <c r="AT93" s="304"/>
      <c r="AU93" s="181">
        <f t="shared" si="179"/>
        <v>0</v>
      </c>
      <c r="AV93" s="304"/>
      <c r="AW93" s="304"/>
      <c r="AX93" s="181">
        <f t="shared" si="180"/>
        <v>0</v>
      </c>
      <c r="AY93" s="304"/>
      <c r="AZ93" s="304"/>
      <c r="BA93" s="181">
        <f t="shared" si="181"/>
        <v>0</v>
      </c>
      <c r="BB93" s="304"/>
      <c r="BC93" s="304"/>
      <c r="BD93" s="181">
        <f t="shared" si="182"/>
        <v>0</v>
      </c>
      <c r="BE93" s="304"/>
      <c r="BF93" s="304"/>
      <c r="BG93" s="181">
        <f t="shared" si="183"/>
        <v>0</v>
      </c>
      <c r="BH93" s="304"/>
      <c r="BI93" s="304"/>
      <c r="BJ93" s="181">
        <f t="shared" si="184"/>
        <v>0</v>
      </c>
      <c r="BK93" s="304"/>
      <c r="BL93" s="313"/>
      <c r="BM93" s="317"/>
      <c r="BN93" s="321"/>
    </row>
    <row r="94" s="269" customFormat="1" ht="33.95" customHeight="1" outlineLevel="5" spans="2:66">
      <c r="B94" s="181" t="s">
        <v>792</v>
      </c>
      <c r="C94" s="289" t="s">
        <v>939</v>
      </c>
      <c r="D94" s="269" t="s">
        <v>940</v>
      </c>
      <c r="E94" s="181" t="s">
        <v>935</v>
      </c>
      <c r="F94" s="181"/>
      <c r="G94" s="181" t="s">
        <v>936</v>
      </c>
      <c r="H94" s="181">
        <f t="shared" si="168"/>
        <v>0</v>
      </c>
      <c r="I94" s="181" t="s">
        <v>797</v>
      </c>
      <c r="J94" s="181" t="e">
        <f t="shared" si="169"/>
        <v>#DIV/0!</v>
      </c>
      <c r="K94" s="181" t="s">
        <v>798</v>
      </c>
      <c r="L94" s="181" t="e">
        <f t="shared" si="170"/>
        <v>#DIV/0!</v>
      </c>
      <c r="M94" s="181" t="s">
        <v>799</v>
      </c>
      <c r="N94" s="181">
        <f t="shared" si="171"/>
        <v>0</v>
      </c>
      <c r="O94" s="181"/>
      <c r="P94" s="296"/>
      <c r="Q94" s="296"/>
      <c r="R94" s="296"/>
      <c r="S94" s="296"/>
      <c r="T94" s="296"/>
      <c r="U94" s="296"/>
      <c r="V94" s="296"/>
      <c r="W94" s="296"/>
      <c r="X94" s="296"/>
      <c r="Y94" s="296"/>
      <c r="Z94" s="296"/>
      <c r="AA94" s="296"/>
      <c r="AB94" s="181">
        <f t="shared" si="172"/>
        <v>0</v>
      </c>
      <c r="AC94" s="181">
        <f t="shared" si="173"/>
        <v>0</v>
      </c>
      <c r="AD94" s="304"/>
      <c r="AE94" s="304"/>
      <c r="AF94" s="181">
        <f t="shared" si="174"/>
        <v>0</v>
      </c>
      <c r="AG94" s="304"/>
      <c r="AH94" s="304"/>
      <c r="AI94" s="181">
        <f t="shared" si="175"/>
        <v>0</v>
      </c>
      <c r="AJ94" s="304"/>
      <c r="AK94" s="304"/>
      <c r="AL94" s="181">
        <f t="shared" si="176"/>
        <v>0</v>
      </c>
      <c r="AM94" s="304"/>
      <c r="AN94" s="304"/>
      <c r="AO94" s="181">
        <f t="shared" si="177"/>
        <v>0</v>
      </c>
      <c r="AP94" s="304"/>
      <c r="AQ94" s="304"/>
      <c r="AR94" s="181">
        <f t="shared" si="178"/>
        <v>0</v>
      </c>
      <c r="AS94" s="304"/>
      <c r="AT94" s="304"/>
      <c r="AU94" s="181">
        <f t="shared" si="179"/>
        <v>0</v>
      </c>
      <c r="AV94" s="304"/>
      <c r="AW94" s="304"/>
      <c r="AX94" s="181">
        <f t="shared" si="180"/>
        <v>0</v>
      </c>
      <c r="AY94" s="304"/>
      <c r="AZ94" s="304"/>
      <c r="BA94" s="181">
        <f t="shared" si="181"/>
        <v>0</v>
      </c>
      <c r="BB94" s="304"/>
      <c r="BC94" s="304"/>
      <c r="BD94" s="181">
        <f t="shared" si="182"/>
        <v>0</v>
      </c>
      <c r="BE94" s="304"/>
      <c r="BF94" s="304"/>
      <c r="BG94" s="181">
        <f t="shared" si="183"/>
        <v>0</v>
      </c>
      <c r="BH94" s="304"/>
      <c r="BI94" s="304"/>
      <c r="BJ94" s="181">
        <f t="shared" si="184"/>
        <v>0</v>
      </c>
      <c r="BK94" s="304"/>
      <c r="BL94" s="313"/>
      <c r="BM94" s="317"/>
      <c r="BN94" s="321"/>
    </row>
    <row r="95" s="269" customFormat="1" ht="33.95" customHeight="1" outlineLevel="5" spans="2:66">
      <c r="B95" s="181" t="s">
        <v>792</v>
      </c>
      <c r="C95" s="289" t="s">
        <v>941</v>
      </c>
      <c r="D95" s="269" t="s">
        <v>942</v>
      </c>
      <c r="E95" s="181" t="s">
        <v>935</v>
      </c>
      <c r="F95" s="181"/>
      <c r="G95" s="181" t="s">
        <v>936</v>
      </c>
      <c r="H95" s="181">
        <f t="shared" si="168"/>
        <v>0</v>
      </c>
      <c r="I95" s="181" t="s">
        <v>797</v>
      </c>
      <c r="J95" s="181" t="e">
        <f t="shared" si="169"/>
        <v>#DIV/0!</v>
      </c>
      <c r="K95" s="181" t="s">
        <v>798</v>
      </c>
      <c r="L95" s="181" t="e">
        <f t="shared" si="170"/>
        <v>#DIV/0!</v>
      </c>
      <c r="M95" s="181" t="s">
        <v>799</v>
      </c>
      <c r="N95" s="181">
        <f t="shared" si="171"/>
        <v>0</v>
      </c>
      <c r="O95" s="181"/>
      <c r="P95" s="296"/>
      <c r="Q95" s="296"/>
      <c r="R95" s="296"/>
      <c r="S95" s="296"/>
      <c r="T95" s="296"/>
      <c r="U95" s="296"/>
      <c r="V95" s="296"/>
      <c r="W95" s="296"/>
      <c r="X95" s="296"/>
      <c r="Y95" s="296"/>
      <c r="Z95" s="296"/>
      <c r="AA95" s="296"/>
      <c r="AB95" s="181">
        <f t="shared" si="172"/>
        <v>0</v>
      </c>
      <c r="AC95" s="181">
        <f t="shared" si="173"/>
        <v>0</v>
      </c>
      <c r="AD95" s="304"/>
      <c r="AE95" s="304"/>
      <c r="AF95" s="181">
        <f t="shared" si="174"/>
        <v>0</v>
      </c>
      <c r="AG95" s="304"/>
      <c r="AH95" s="304"/>
      <c r="AI95" s="181">
        <f t="shared" si="175"/>
        <v>0</v>
      </c>
      <c r="AJ95" s="304"/>
      <c r="AK95" s="304"/>
      <c r="AL95" s="181">
        <f t="shared" si="176"/>
        <v>0</v>
      </c>
      <c r="AM95" s="304"/>
      <c r="AN95" s="304"/>
      <c r="AO95" s="181">
        <f t="shared" si="177"/>
        <v>0</v>
      </c>
      <c r="AP95" s="304"/>
      <c r="AQ95" s="304"/>
      <c r="AR95" s="181">
        <f t="shared" si="178"/>
        <v>0</v>
      </c>
      <c r="AS95" s="304"/>
      <c r="AT95" s="304"/>
      <c r="AU95" s="181">
        <f t="shared" si="179"/>
        <v>0</v>
      </c>
      <c r="AV95" s="304"/>
      <c r="AW95" s="304"/>
      <c r="AX95" s="181">
        <f t="shared" si="180"/>
        <v>0</v>
      </c>
      <c r="AY95" s="304"/>
      <c r="AZ95" s="304"/>
      <c r="BA95" s="181">
        <f t="shared" si="181"/>
        <v>0</v>
      </c>
      <c r="BB95" s="304"/>
      <c r="BC95" s="304"/>
      <c r="BD95" s="181">
        <f t="shared" si="182"/>
        <v>0</v>
      </c>
      <c r="BE95" s="304"/>
      <c r="BF95" s="304"/>
      <c r="BG95" s="181">
        <f t="shared" si="183"/>
        <v>0</v>
      </c>
      <c r="BH95" s="304"/>
      <c r="BI95" s="304"/>
      <c r="BJ95" s="181">
        <f t="shared" si="184"/>
        <v>0</v>
      </c>
      <c r="BK95" s="304"/>
      <c r="BL95" s="313"/>
      <c r="BM95" s="317"/>
      <c r="BN95" s="321"/>
    </row>
    <row r="96" s="269" customFormat="1" ht="33.95" customHeight="1" outlineLevel="5" spans="2:66">
      <c r="B96" s="181" t="s">
        <v>792</v>
      </c>
      <c r="C96" s="289" t="s">
        <v>943</v>
      </c>
      <c r="D96" s="269" t="s">
        <v>944</v>
      </c>
      <c r="E96" s="181" t="s">
        <v>935</v>
      </c>
      <c r="F96" s="181"/>
      <c r="G96" s="181" t="s">
        <v>936</v>
      </c>
      <c r="H96" s="181">
        <f t="shared" si="168"/>
        <v>0</v>
      </c>
      <c r="I96" s="181" t="s">
        <v>797</v>
      </c>
      <c r="J96" s="181" t="e">
        <f t="shared" si="169"/>
        <v>#DIV/0!</v>
      </c>
      <c r="K96" s="181" t="s">
        <v>798</v>
      </c>
      <c r="L96" s="181" t="e">
        <f t="shared" si="170"/>
        <v>#DIV/0!</v>
      </c>
      <c r="M96" s="181" t="s">
        <v>799</v>
      </c>
      <c r="N96" s="181">
        <f t="shared" si="171"/>
        <v>0</v>
      </c>
      <c r="O96" s="181"/>
      <c r="P96" s="296"/>
      <c r="Q96" s="296"/>
      <c r="R96" s="296"/>
      <c r="S96" s="296"/>
      <c r="T96" s="296"/>
      <c r="U96" s="296"/>
      <c r="V96" s="296"/>
      <c r="W96" s="296"/>
      <c r="X96" s="296"/>
      <c r="Y96" s="296"/>
      <c r="Z96" s="296"/>
      <c r="AA96" s="296"/>
      <c r="AB96" s="181">
        <f t="shared" si="172"/>
        <v>0</v>
      </c>
      <c r="AC96" s="181">
        <f t="shared" si="173"/>
        <v>0</v>
      </c>
      <c r="AD96" s="304"/>
      <c r="AE96" s="304"/>
      <c r="AF96" s="181">
        <f t="shared" si="174"/>
        <v>0</v>
      </c>
      <c r="AG96" s="304"/>
      <c r="AH96" s="304"/>
      <c r="AI96" s="181">
        <f t="shared" si="175"/>
        <v>0</v>
      </c>
      <c r="AJ96" s="304"/>
      <c r="AK96" s="304"/>
      <c r="AL96" s="181">
        <f t="shared" si="176"/>
        <v>0</v>
      </c>
      <c r="AM96" s="304"/>
      <c r="AN96" s="304"/>
      <c r="AO96" s="181">
        <f t="shared" si="177"/>
        <v>0</v>
      </c>
      <c r="AP96" s="304"/>
      <c r="AQ96" s="304"/>
      <c r="AR96" s="181">
        <f t="shared" si="178"/>
        <v>0</v>
      </c>
      <c r="AS96" s="304"/>
      <c r="AT96" s="304"/>
      <c r="AU96" s="181">
        <f t="shared" si="179"/>
        <v>0</v>
      </c>
      <c r="AV96" s="304"/>
      <c r="AW96" s="304"/>
      <c r="AX96" s="181">
        <f t="shared" si="180"/>
        <v>0</v>
      </c>
      <c r="AY96" s="304"/>
      <c r="AZ96" s="304"/>
      <c r="BA96" s="181">
        <f t="shared" si="181"/>
        <v>0</v>
      </c>
      <c r="BB96" s="304"/>
      <c r="BC96" s="304"/>
      <c r="BD96" s="181">
        <f t="shared" si="182"/>
        <v>0</v>
      </c>
      <c r="BE96" s="304"/>
      <c r="BF96" s="304"/>
      <c r="BG96" s="181">
        <f t="shared" si="183"/>
        <v>0</v>
      </c>
      <c r="BH96" s="304"/>
      <c r="BI96" s="304"/>
      <c r="BJ96" s="181">
        <f t="shared" si="184"/>
        <v>0</v>
      </c>
      <c r="BK96" s="304"/>
      <c r="BL96" s="313"/>
      <c r="BM96" s="317"/>
      <c r="BN96" s="321"/>
    </row>
    <row r="97" s="269" customFormat="1" ht="33.95" customHeight="1" outlineLevel="5" spans="2:66">
      <c r="B97" s="181" t="s">
        <v>792</v>
      </c>
      <c r="C97" s="289" t="s">
        <v>945</v>
      </c>
      <c r="D97" s="269" t="s">
        <v>946</v>
      </c>
      <c r="E97" s="181" t="s">
        <v>947</v>
      </c>
      <c r="F97" s="181"/>
      <c r="G97" s="181" t="s">
        <v>936</v>
      </c>
      <c r="H97" s="181">
        <f t="shared" si="168"/>
        <v>0</v>
      </c>
      <c r="I97" s="181" t="s">
        <v>797</v>
      </c>
      <c r="J97" s="181" t="e">
        <f t="shared" si="169"/>
        <v>#DIV/0!</v>
      </c>
      <c r="K97" s="181" t="s">
        <v>798</v>
      </c>
      <c r="L97" s="181" t="e">
        <f t="shared" si="170"/>
        <v>#DIV/0!</v>
      </c>
      <c r="M97" s="181" t="s">
        <v>799</v>
      </c>
      <c r="N97" s="181">
        <f t="shared" si="171"/>
        <v>0</v>
      </c>
      <c r="O97" s="181"/>
      <c r="P97" s="296"/>
      <c r="Q97" s="296"/>
      <c r="R97" s="296"/>
      <c r="S97" s="296"/>
      <c r="T97" s="296"/>
      <c r="U97" s="296"/>
      <c r="V97" s="296"/>
      <c r="W97" s="296"/>
      <c r="X97" s="296"/>
      <c r="Y97" s="296"/>
      <c r="Z97" s="296"/>
      <c r="AA97" s="296"/>
      <c r="AB97" s="181">
        <f t="shared" si="172"/>
        <v>0</v>
      </c>
      <c r="AC97" s="181">
        <f t="shared" si="173"/>
        <v>0</v>
      </c>
      <c r="AD97" s="304"/>
      <c r="AE97" s="304"/>
      <c r="AF97" s="181">
        <f t="shared" si="174"/>
        <v>0</v>
      </c>
      <c r="AG97" s="304"/>
      <c r="AH97" s="304"/>
      <c r="AI97" s="181">
        <f t="shared" si="175"/>
        <v>0</v>
      </c>
      <c r="AJ97" s="304"/>
      <c r="AK97" s="304"/>
      <c r="AL97" s="181">
        <f t="shared" si="176"/>
        <v>0</v>
      </c>
      <c r="AM97" s="304"/>
      <c r="AN97" s="304"/>
      <c r="AO97" s="181">
        <f t="shared" si="177"/>
        <v>0</v>
      </c>
      <c r="AP97" s="304"/>
      <c r="AQ97" s="304"/>
      <c r="AR97" s="181">
        <f t="shared" si="178"/>
        <v>0</v>
      </c>
      <c r="AS97" s="304"/>
      <c r="AT97" s="304"/>
      <c r="AU97" s="181">
        <f t="shared" si="179"/>
        <v>0</v>
      </c>
      <c r="AV97" s="304"/>
      <c r="AW97" s="304"/>
      <c r="AX97" s="181">
        <f t="shared" si="180"/>
        <v>0</v>
      </c>
      <c r="AY97" s="304"/>
      <c r="AZ97" s="304"/>
      <c r="BA97" s="181">
        <f t="shared" si="181"/>
        <v>0</v>
      </c>
      <c r="BB97" s="304"/>
      <c r="BC97" s="304"/>
      <c r="BD97" s="181">
        <f t="shared" si="182"/>
        <v>0</v>
      </c>
      <c r="BE97" s="304"/>
      <c r="BF97" s="304"/>
      <c r="BG97" s="181">
        <f t="shared" si="183"/>
        <v>0</v>
      </c>
      <c r="BH97" s="304"/>
      <c r="BI97" s="304"/>
      <c r="BJ97" s="181">
        <f t="shared" si="184"/>
        <v>0</v>
      </c>
      <c r="BK97" s="304"/>
      <c r="BL97" s="313"/>
      <c r="BM97" s="317"/>
      <c r="BN97" s="321"/>
    </row>
    <row r="98" s="269" customFormat="1" ht="33.95" customHeight="1" outlineLevel="5" spans="2:66">
      <c r="B98" s="181" t="s">
        <v>792</v>
      </c>
      <c r="C98" s="289" t="s">
        <v>948</v>
      </c>
      <c r="D98" s="269" t="s">
        <v>949</v>
      </c>
      <c r="E98" s="181" t="s">
        <v>947</v>
      </c>
      <c r="F98" s="181"/>
      <c r="G98" s="181" t="s">
        <v>936</v>
      </c>
      <c r="H98" s="181">
        <f t="shared" si="168"/>
        <v>0</v>
      </c>
      <c r="I98" s="181" t="s">
        <v>797</v>
      </c>
      <c r="J98" s="181" t="e">
        <f t="shared" si="169"/>
        <v>#DIV/0!</v>
      </c>
      <c r="K98" s="181" t="s">
        <v>798</v>
      </c>
      <c r="L98" s="181" t="e">
        <f t="shared" si="170"/>
        <v>#DIV/0!</v>
      </c>
      <c r="M98" s="181" t="s">
        <v>799</v>
      </c>
      <c r="N98" s="181">
        <f t="shared" si="171"/>
        <v>0</v>
      </c>
      <c r="O98" s="181"/>
      <c r="P98" s="296"/>
      <c r="Q98" s="296"/>
      <c r="R98" s="296"/>
      <c r="S98" s="296"/>
      <c r="T98" s="296"/>
      <c r="U98" s="296"/>
      <c r="V98" s="296"/>
      <c r="W98" s="296"/>
      <c r="X98" s="296"/>
      <c r="Y98" s="296"/>
      <c r="Z98" s="296"/>
      <c r="AA98" s="296"/>
      <c r="AB98" s="181">
        <f t="shared" si="172"/>
        <v>0</v>
      </c>
      <c r="AC98" s="181">
        <f t="shared" si="173"/>
        <v>0</v>
      </c>
      <c r="AD98" s="304"/>
      <c r="AE98" s="304"/>
      <c r="AF98" s="181">
        <f t="shared" si="174"/>
        <v>0</v>
      </c>
      <c r="AG98" s="304"/>
      <c r="AH98" s="304"/>
      <c r="AI98" s="181">
        <f t="shared" si="175"/>
        <v>0</v>
      </c>
      <c r="AJ98" s="304"/>
      <c r="AK98" s="304"/>
      <c r="AL98" s="181">
        <f t="shared" si="176"/>
        <v>0</v>
      </c>
      <c r="AM98" s="304"/>
      <c r="AN98" s="304"/>
      <c r="AO98" s="181">
        <f t="shared" si="177"/>
        <v>0</v>
      </c>
      <c r="AP98" s="304"/>
      <c r="AQ98" s="304"/>
      <c r="AR98" s="181">
        <f t="shared" si="178"/>
        <v>0</v>
      </c>
      <c r="AS98" s="304"/>
      <c r="AT98" s="304"/>
      <c r="AU98" s="181">
        <f t="shared" si="179"/>
        <v>0</v>
      </c>
      <c r="AV98" s="304"/>
      <c r="AW98" s="304"/>
      <c r="AX98" s="181">
        <f t="shared" si="180"/>
        <v>0</v>
      </c>
      <c r="AY98" s="304"/>
      <c r="AZ98" s="304"/>
      <c r="BA98" s="181">
        <f t="shared" si="181"/>
        <v>0</v>
      </c>
      <c r="BB98" s="304"/>
      <c r="BC98" s="304"/>
      <c r="BD98" s="181">
        <f t="shared" si="182"/>
        <v>0</v>
      </c>
      <c r="BE98" s="304"/>
      <c r="BF98" s="304"/>
      <c r="BG98" s="181">
        <f t="shared" si="183"/>
        <v>0</v>
      </c>
      <c r="BH98" s="304"/>
      <c r="BI98" s="304"/>
      <c r="BJ98" s="181">
        <f t="shared" si="184"/>
        <v>0</v>
      </c>
      <c r="BK98" s="304"/>
      <c r="BL98" s="313"/>
      <c r="BM98" s="317"/>
      <c r="BN98" s="321"/>
    </row>
    <row r="99" s="269" customFormat="1" ht="33.95" customHeight="1" outlineLevel="5" spans="2:66">
      <c r="B99" s="181" t="s">
        <v>792</v>
      </c>
      <c r="C99" s="289" t="s">
        <v>950</v>
      </c>
      <c r="D99" s="269" t="s">
        <v>951</v>
      </c>
      <c r="E99" s="181" t="s">
        <v>952</v>
      </c>
      <c r="F99" s="181"/>
      <c r="G99" s="181" t="s">
        <v>936</v>
      </c>
      <c r="H99" s="181">
        <f t="shared" si="168"/>
        <v>0</v>
      </c>
      <c r="I99" s="181" t="s">
        <v>797</v>
      </c>
      <c r="J99" s="181" t="e">
        <f t="shared" si="169"/>
        <v>#DIV/0!</v>
      </c>
      <c r="K99" s="181" t="s">
        <v>798</v>
      </c>
      <c r="L99" s="181" t="e">
        <f t="shared" si="170"/>
        <v>#DIV/0!</v>
      </c>
      <c r="M99" s="181" t="s">
        <v>799</v>
      </c>
      <c r="N99" s="181">
        <f t="shared" si="171"/>
        <v>0</v>
      </c>
      <c r="O99" s="181"/>
      <c r="P99" s="296"/>
      <c r="Q99" s="296"/>
      <c r="R99" s="296"/>
      <c r="S99" s="296"/>
      <c r="T99" s="296"/>
      <c r="U99" s="296"/>
      <c r="V99" s="296"/>
      <c r="W99" s="296"/>
      <c r="X99" s="296"/>
      <c r="Y99" s="296"/>
      <c r="Z99" s="296"/>
      <c r="AA99" s="296"/>
      <c r="AB99" s="181">
        <f t="shared" si="172"/>
        <v>0</v>
      </c>
      <c r="AC99" s="181">
        <f t="shared" si="173"/>
        <v>0</v>
      </c>
      <c r="AD99" s="304"/>
      <c r="AE99" s="304"/>
      <c r="AF99" s="181">
        <f t="shared" si="174"/>
        <v>0</v>
      </c>
      <c r="AG99" s="304"/>
      <c r="AH99" s="304"/>
      <c r="AI99" s="181">
        <f t="shared" si="175"/>
        <v>0</v>
      </c>
      <c r="AJ99" s="304"/>
      <c r="AK99" s="304"/>
      <c r="AL99" s="181">
        <f t="shared" si="176"/>
        <v>0</v>
      </c>
      <c r="AM99" s="304"/>
      <c r="AN99" s="304"/>
      <c r="AO99" s="181">
        <f t="shared" si="177"/>
        <v>0</v>
      </c>
      <c r="AP99" s="304"/>
      <c r="AQ99" s="304"/>
      <c r="AR99" s="181">
        <f t="shared" si="178"/>
        <v>0</v>
      </c>
      <c r="AS99" s="304"/>
      <c r="AT99" s="304"/>
      <c r="AU99" s="181">
        <f t="shared" si="179"/>
        <v>0</v>
      </c>
      <c r="AV99" s="304"/>
      <c r="AW99" s="304"/>
      <c r="AX99" s="181">
        <f t="shared" si="180"/>
        <v>0</v>
      </c>
      <c r="AY99" s="304"/>
      <c r="AZ99" s="304"/>
      <c r="BA99" s="181">
        <f t="shared" si="181"/>
        <v>0</v>
      </c>
      <c r="BB99" s="304"/>
      <c r="BC99" s="304"/>
      <c r="BD99" s="181">
        <f t="shared" si="182"/>
        <v>0</v>
      </c>
      <c r="BE99" s="304"/>
      <c r="BF99" s="304"/>
      <c r="BG99" s="181">
        <f t="shared" si="183"/>
        <v>0</v>
      </c>
      <c r="BH99" s="304"/>
      <c r="BI99" s="304"/>
      <c r="BJ99" s="181">
        <f t="shared" si="184"/>
        <v>0</v>
      </c>
      <c r="BK99" s="304"/>
      <c r="BL99" s="313"/>
      <c r="BM99" s="317"/>
      <c r="BN99" s="321"/>
    </row>
    <row r="100" s="269" customFormat="1" ht="33.95" customHeight="1" outlineLevel="5" spans="2:66">
      <c r="B100" s="181" t="s">
        <v>792</v>
      </c>
      <c r="C100" s="289" t="s">
        <v>953</v>
      </c>
      <c r="D100" s="269" t="s">
        <v>954</v>
      </c>
      <c r="E100" s="181" t="s">
        <v>952</v>
      </c>
      <c r="F100" s="181"/>
      <c r="G100" s="181" t="s">
        <v>936</v>
      </c>
      <c r="H100" s="181">
        <f t="shared" si="168"/>
        <v>0</v>
      </c>
      <c r="I100" s="181" t="s">
        <v>797</v>
      </c>
      <c r="J100" s="181" t="e">
        <f t="shared" si="169"/>
        <v>#DIV/0!</v>
      </c>
      <c r="K100" s="181" t="s">
        <v>798</v>
      </c>
      <c r="L100" s="181" t="e">
        <f t="shared" si="170"/>
        <v>#DIV/0!</v>
      </c>
      <c r="M100" s="181" t="s">
        <v>799</v>
      </c>
      <c r="N100" s="181">
        <f t="shared" si="171"/>
        <v>0</v>
      </c>
      <c r="O100" s="181"/>
      <c r="P100" s="296"/>
      <c r="Q100" s="296"/>
      <c r="R100" s="296"/>
      <c r="S100" s="296"/>
      <c r="T100" s="296"/>
      <c r="U100" s="296"/>
      <c r="V100" s="296"/>
      <c r="W100" s="296"/>
      <c r="X100" s="296"/>
      <c r="Y100" s="296"/>
      <c r="Z100" s="296"/>
      <c r="AA100" s="296"/>
      <c r="AB100" s="181">
        <f t="shared" si="172"/>
        <v>0</v>
      </c>
      <c r="AC100" s="181">
        <f t="shared" si="173"/>
        <v>0</v>
      </c>
      <c r="AD100" s="304"/>
      <c r="AE100" s="304"/>
      <c r="AF100" s="181">
        <f t="shared" si="174"/>
        <v>0</v>
      </c>
      <c r="AG100" s="304"/>
      <c r="AH100" s="304"/>
      <c r="AI100" s="181">
        <f t="shared" si="175"/>
        <v>0</v>
      </c>
      <c r="AJ100" s="304"/>
      <c r="AK100" s="304"/>
      <c r="AL100" s="181">
        <f t="shared" si="176"/>
        <v>0</v>
      </c>
      <c r="AM100" s="304"/>
      <c r="AN100" s="304"/>
      <c r="AO100" s="181">
        <f t="shared" si="177"/>
        <v>0</v>
      </c>
      <c r="AP100" s="304"/>
      <c r="AQ100" s="304"/>
      <c r="AR100" s="181">
        <f t="shared" si="178"/>
        <v>0</v>
      </c>
      <c r="AS100" s="304"/>
      <c r="AT100" s="304"/>
      <c r="AU100" s="181">
        <f t="shared" si="179"/>
        <v>0</v>
      </c>
      <c r="AV100" s="304"/>
      <c r="AW100" s="304"/>
      <c r="AX100" s="181">
        <f t="shared" si="180"/>
        <v>0</v>
      </c>
      <c r="AY100" s="304"/>
      <c r="AZ100" s="304"/>
      <c r="BA100" s="181">
        <f t="shared" si="181"/>
        <v>0</v>
      </c>
      <c r="BB100" s="304"/>
      <c r="BC100" s="304"/>
      <c r="BD100" s="181">
        <f t="shared" si="182"/>
        <v>0</v>
      </c>
      <c r="BE100" s="304"/>
      <c r="BF100" s="304"/>
      <c r="BG100" s="181">
        <f t="shared" si="183"/>
        <v>0</v>
      </c>
      <c r="BH100" s="304"/>
      <c r="BI100" s="304"/>
      <c r="BJ100" s="181">
        <f t="shared" si="184"/>
        <v>0</v>
      </c>
      <c r="BK100" s="304"/>
      <c r="BL100" s="313"/>
      <c r="BM100" s="317"/>
      <c r="BN100" s="321"/>
    </row>
    <row r="101" s="269" customFormat="1" ht="33.95" customHeight="1" outlineLevel="5" spans="2:66">
      <c r="B101" s="181" t="s">
        <v>792</v>
      </c>
      <c r="C101" s="289" t="s">
        <v>955</v>
      </c>
      <c r="D101" s="269" t="s">
        <v>956</v>
      </c>
      <c r="E101" s="181" t="s">
        <v>952</v>
      </c>
      <c r="F101" s="181"/>
      <c r="G101" s="181" t="s">
        <v>936</v>
      </c>
      <c r="H101" s="181">
        <f t="shared" si="168"/>
        <v>0</v>
      </c>
      <c r="I101" s="181" t="s">
        <v>797</v>
      </c>
      <c r="J101" s="181" t="e">
        <f t="shared" si="169"/>
        <v>#DIV/0!</v>
      </c>
      <c r="K101" s="181" t="s">
        <v>798</v>
      </c>
      <c r="L101" s="181" t="e">
        <f t="shared" si="170"/>
        <v>#DIV/0!</v>
      </c>
      <c r="M101" s="181" t="s">
        <v>799</v>
      </c>
      <c r="N101" s="181">
        <f t="shared" si="171"/>
        <v>0</v>
      </c>
      <c r="O101" s="181"/>
      <c r="P101" s="296"/>
      <c r="Q101" s="296"/>
      <c r="R101" s="296"/>
      <c r="S101" s="296"/>
      <c r="T101" s="296"/>
      <c r="U101" s="296"/>
      <c r="V101" s="296"/>
      <c r="W101" s="296"/>
      <c r="X101" s="296"/>
      <c r="Y101" s="296"/>
      <c r="Z101" s="296"/>
      <c r="AA101" s="296"/>
      <c r="AB101" s="181">
        <f t="shared" si="172"/>
        <v>0</v>
      </c>
      <c r="AC101" s="181">
        <f t="shared" si="173"/>
        <v>0</v>
      </c>
      <c r="AD101" s="304"/>
      <c r="AE101" s="304"/>
      <c r="AF101" s="181">
        <f t="shared" si="174"/>
        <v>0</v>
      </c>
      <c r="AG101" s="304"/>
      <c r="AH101" s="304"/>
      <c r="AI101" s="181">
        <f t="shared" si="175"/>
        <v>0</v>
      </c>
      <c r="AJ101" s="304"/>
      <c r="AK101" s="304"/>
      <c r="AL101" s="181">
        <f t="shared" si="176"/>
        <v>0</v>
      </c>
      <c r="AM101" s="304"/>
      <c r="AN101" s="304"/>
      <c r="AO101" s="181">
        <f t="shared" si="177"/>
        <v>0</v>
      </c>
      <c r="AP101" s="304"/>
      <c r="AQ101" s="304"/>
      <c r="AR101" s="181">
        <f t="shared" si="178"/>
        <v>0</v>
      </c>
      <c r="AS101" s="304"/>
      <c r="AT101" s="304"/>
      <c r="AU101" s="181">
        <f t="shared" si="179"/>
        <v>0</v>
      </c>
      <c r="AV101" s="304"/>
      <c r="AW101" s="304"/>
      <c r="AX101" s="181">
        <f t="shared" si="180"/>
        <v>0</v>
      </c>
      <c r="AY101" s="304"/>
      <c r="AZ101" s="304"/>
      <c r="BA101" s="181">
        <f t="shared" si="181"/>
        <v>0</v>
      </c>
      <c r="BB101" s="304"/>
      <c r="BC101" s="304"/>
      <c r="BD101" s="181">
        <f t="shared" si="182"/>
        <v>0</v>
      </c>
      <c r="BE101" s="304"/>
      <c r="BF101" s="304"/>
      <c r="BG101" s="181">
        <f t="shared" si="183"/>
        <v>0</v>
      </c>
      <c r="BH101" s="304"/>
      <c r="BI101" s="304"/>
      <c r="BJ101" s="181">
        <f t="shared" si="184"/>
        <v>0</v>
      </c>
      <c r="BK101" s="304"/>
      <c r="BL101" s="313"/>
      <c r="BM101" s="317"/>
      <c r="BN101" s="321"/>
    </row>
    <row r="102" s="269" customFormat="1" ht="33.95" customHeight="1" outlineLevel="5" spans="2:66">
      <c r="B102" s="181" t="s">
        <v>792</v>
      </c>
      <c r="C102" s="289" t="s">
        <v>957</v>
      </c>
      <c r="D102" s="269" t="s">
        <v>958</v>
      </c>
      <c r="E102" s="181" t="s">
        <v>952</v>
      </c>
      <c r="F102" s="181"/>
      <c r="G102" s="181" t="s">
        <v>936</v>
      </c>
      <c r="H102" s="181">
        <f t="shared" si="168"/>
        <v>0</v>
      </c>
      <c r="I102" s="181" t="s">
        <v>797</v>
      </c>
      <c r="J102" s="181" t="e">
        <f t="shared" si="169"/>
        <v>#DIV/0!</v>
      </c>
      <c r="K102" s="181" t="s">
        <v>798</v>
      </c>
      <c r="L102" s="181" t="e">
        <f t="shared" si="170"/>
        <v>#DIV/0!</v>
      </c>
      <c r="M102" s="181" t="s">
        <v>799</v>
      </c>
      <c r="N102" s="181">
        <f t="shared" si="171"/>
        <v>0</v>
      </c>
      <c r="O102" s="181"/>
      <c r="P102" s="296"/>
      <c r="Q102" s="296"/>
      <c r="R102" s="296"/>
      <c r="S102" s="296"/>
      <c r="T102" s="296"/>
      <c r="U102" s="296"/>
      <c r="V102" s="296"/>
      <c r="W102" s="296"/>
      <c r="X102" s="296"/>
      <c r="Y102" s="296"/>
      <c r="Z102" s="296"/>
      <c r="AA102" s="296"/>
      <c r="AB102" s="181">
        <f t="shared" si="172"/>
        <v>0</v>
      </c>
      <c r="AC102" s="181">
        <f t="shared" si="173"/>
        <v>0</v>
      </c>
      <c r="AD102" s="304"/>
      <c r="AE102" s="304"/>
      <c r="AF102" s="181">
        <f t="shared" si="174"/>
        <v>0</v>
      </c>
      <c r="AG102" s="304"/>
      <c r="AH102" s="304"/>
      <c r="AI102" s="181">
        <f t="shared" si="175"/>
        <v>0</v>
      </c>
      <c r="AJ102" s="304"/>
      <c r="AK102" s="304"/>
      <c r="AL102" s="181">
        <f t="shared" si="176"/>
        <v>0</v>
      </c>
      <c r="AM102" s="304"/>
      <c r="AN102" s="304"/>
      <c r="AO102" s="181">
        <f t="shared" si="177"/>
        <v>0</v>
      </c>
      <c r="AP102" s="304"/>
      <c r="AQ102" s="304"/>
      <c r="AR102" s="181">
        <f t="shared" si="178"/>
        <v>0</v>
      </c>
      <c r="AS102" s="304"/>
      <c r="AT102" s="304"/>
      <c r="AU102" s="181">
        <f t="shared" si="179"/>
        <v>0</v>
      </c>
      <c r="AV102" s="304"/>
      <c r="AW102" s="304"/>
      <c r="AX102" s="181">
        <f t="shared" si="180"/>
        <v>0</v>
      </c>
      <c r="AY102" s="304"/>
      <c r="AZ102" s="304"/>
      <c r="BA102" s="181">
        <f t="shared" si="181"/>
        <v>0</v>
      </c>
      <c r="BB102" s="304"/>
      <c r="BC102" s="304"/>
      <c r="BD102" s="181">
        <f t="shared" si="182"/>
        <v>0</v>
      </c>
      <c r="BE102" s="304"/>
      <c r="BF102" s="304"/>
      <c r="BG102" s="181">
        <f t="shared" si="183"/>
        <v>0</v>
      </c>
      <c r="BH102" s="304"/>
      <c r="BI102" s="304"/>
      <c r="BJ102" s="181">
        <f t="shared" si="184"/>
        <v>0</v>
      </c>
      <c r="BK102" s="304"/>
      <c r="BL102" s="313"/>
      <c r="BM102" s="317"/>
      <c r="BN102" s="321"/>
    </row>
    <row r="103" s="269" customFormat="1" ht="33.95" customHeight="1" outlineLevel="5" spans="2:66">
      <c r="B103" s="181" t="s">
        <v>792</v>
      </c>
      <c r="C103" s="289" t="s">
        <v>959</v>
      </c>
      <c r="D103" s="269" t="s">
        <v>960</v>
      </c>
      <c r="E103" s="181" t="s">
        <v>952</v>
      </c>
      <c r="F103" s="181"/>
      <c r="G103" s="181" t="s">
        <v>936</v>
      </c>
      <c r="H103" s="181">
        <f t="shared" si="168"/>
        <v>0</v>
      </c>
      <c r="I103" s="181" t="s">
        <v>797</v>
      </c>
      <c r="J103" s="181" t="e">
        <f t="shared" si="169"/>
        <v>#DIV/0!</v>
      </c>
      <c r="K103" s="181" t="s">
        <v>798</v>
      </c>
      <c r="L103" s="181" t="e">
        <f t="shared" si="170"/>
        <v>#DIV/0!</v>
      </c>
      <c r="M103" s="181" t="s">
        <v>799</v>
      </c>
      <c r="N103" s="181">
        <f t="shared" si="171"/>
        <v>0</v>
      </c>
      <c r="O103" s="181"/>
      <c r="P103" s="296"/>
      <c r="Q103" s="296"/>
      <c r="R103" s="296"/>
      <c r="S103" s="296"/>
      <c r="T103" s="296"/>
      <c r="U103" s="296"/>
      <c r="V103" s="296"/>
      <c r="W103" s="296"/>
      <c r="X103" s="296"/>
      <c r="Y103" s="296"/>
      <c r="Z103" s="296"/>
      <c r="AA103" s="296"/>
      <c r="AB103" s="181">
        <f t="shared" si="172"/>
        <v>0</v>
      </c>
      <c r="AC103" s="181">
        <f t="shared" si="173"/>
        <v>0</v>
      </c>
      <c r="AD103" s="304"/>
      <c r="AE103" s="304"/>
      <c r="AF103" s="181">
        <f t="shared" si="174"/>
        <v>0</v>
      </c>
      <c r="AG103" s="304"/>
      <c r="AH103" s="304"/>
      <c r="AI103" s="181">
        <f t="shared" si="175"/>
        <v>0</v>
      </c>
      <c r="AJ103" s="304"/>
      <c r="AK103" s="304"/>
      <c r="AL103" s="181">
        <f t="shared" si="176"/>
        <v>0</v>
      </c>
      <c r="AM103" s="304"/>
      <c r="AN103" s="304"/>
      <c r="AO103" s="181">
        <f t="shared" si="177"/>
        <v>0</v>
      </c>
      <c r="AP103" s="304"/>
      <c r="AQ103" s="304"/>
      <c r="AR103" s="181">
        <f t="shared" si="178"/>
        <v>0</v>
      </c>
      <c r="AS103" s="304"/>
      <c r="AT103" s="304"/>
      <c r="AU103" s="181">
        <f t="shared" si="179"/>
        <v>0</v>
      </c>
      <c r="AV103" s="304"/>
      <c r="AW103" s="304"/>
      <c r="AX103" s="181">
        <f t="shared" si="180"/>
        <v>0</v>
      </c>
      <c r="AY103" s="304"/>
      <c r="AZ103" s="304"/>
      <c r="BA103" s="181">
        <f t="shared" si="181"/>
        <v>0</v>
      </c>
      <c r="BB103" s="304"/>
      <c r="BC103" s="304"/>
      <c r="BD103" s="181">
        <f t="shared" si="182"/>
        <v>0</v>
      </c>
      <c r="BE103" s="304"/>
      <c r="BF103" s="304"/>
      <c r="BG103" s="181">
        <f t="shared" si="183"/>
        <v>0</v>
      </c>
      <c r="BH103" s="304"/>
      <c r="BI103" s="304"/>
      <c r="BJ103" s="181">
        <f t="shared" si="184"/>
        <v>0</v>
      </c>
      <c r="BK103" s="304"/>
      <c r="BL103" s="313"/>
      <c r="BM103" s="317"/>
      <c r="BN103" s="321"/>
    </row>
    <row r="104" s="269" customFormat="1" ht="33.95" customHeight="1" outlineLevel="5" spans="2:66">
      <c r="B104" s="181" t="s">
        <v>792</v>
      </c>
      <c r="C104" s="289" t="s">
        <v>961</v>
      </c>
      <c r="D104" s="269" t="s">
        <v>962</v>
      </c>
      <c r="E104" s="181" t="s">
        <v>952</v>
      </c>
      <c r="F104" s="181"/>
      <c r="G104" s="181" t="s">
        <v>936</v>
      </c>
      <c r="H104" s="181">
        <f t="shared" si="168"/>
        <v>0</v>
      </c>
      <c r="I104" s="181" t="s">
        <v>797</v>
      </c>
      <c r="J104" s="181" t="e">
        <f t="shared" si="169"/>
        <v>#DIV/0!</v>
      </c>
      <c r="K104" s="181" t="s">
        <v>798</v>
      </c>
      <c r="L104" s="181" t="e">
        <f t="shared" si="170"/>
        <v>#DIV/0!</v>
      </c>
      <c r="M104" s="181" t="s">
        <v>799</v>
      </c>
      <c r="N104" s="181">
        <f t="shared" si="171"/>
        <v>0</v>
      </c>
      <c r="O104" s="181"/>
      <c r="P104" s="296"/>
      <c r="Q104" s="296"/>
      <c r="R104" s="296"/>
      <c r="S104" s="296"/>
      <c r="T104" s="296"/>
      <c r="U104" s="296"/>
      <c r="V104" s="296"/>
      <c r="W104" s="296"/>
      <c r="X104" s="296"/>
      <c r="Y104" s="296"/>
      <c r="Z104" s="296"/>
      <c r="AA104" s="296"/>
      <c r="AB104" s="181">
        <f t="shared" si="172"/>
        <v>0</v>
      </c>
      <c r="AC104" s="181">
        <f t="shared" si="173"/>
        <v>0</v>
      </c>
      <c r="AD104" s="304"/>
      <c r="AE104" s="304"/>
      <c r="AF104" s="181">
        <f t="shared" si="174"/>
        <v>0</v>
      </c>
      <c r="AG104" s="304"/>
      <c r="AH104" s="304"/>
      <c r="AI104" s="181">
        <f t="shared" si="175"/>
        <v>0</v>
      </c>
      <c r="AJ104" s="304"/>
      <c r="AK104" s="304"/>
      <c r="AL104" s="181">
        <f t="shared" si="176"/>
        <v>0</v>
      </c>
      <c r="AM104" s="304"/>
      <c r="AN104" s="304"/>
      <c r="AO104" s="181">
        <f t="shared" si="177"/>
        <v>0</v>
      </c>
      <c r="AP104" s="304"/>
      <c r="AQ104" s="304"/>
      <c r="AR104" s="181">
        <f t="shared" si="178"/>
        <v>0</v>
      </c>
      <c r="AS104" s="304"/>
      <c r="AT104" s="304"/>
      <c r="AU104" s="181">
        <f t="shared" si="179"/>
        <v>0</v>
      </c>
      <c r="AV104" s="304"/>
      <c r="AW104" s="304"/>
      <c r="AX104" s="181">
        <f t="shared" si="180"/>
        <v>0</v>
      </c>
      <c r="AY104" s="304"/>
      <c r="AZ104" s="304"/>
      <c r="BA104" s="181">
        <f t="shared" si="181"/>
        <v>0</v>
      </c>
      <c r="BB104" s="304"/>
      <c r="BC104" s="304"/>
      <c r="BD104" s="181">
        <f t="shared" si="182"/>
        <v>0</v>
      </c>
      <c r="BE104" s="304"/>
      <c r="BF104" s="304"/>
      <c r="BG104" s="181">
        <f t="shared" si="183"/>
        <v>0</v>
      </c>
      <c r="BH104" s="304"/>
      <c r="BI104" s="304"/>
      <c r="BJ104" s="181">
        <f t="shared" si="184"/>
        <v>0</v>
      </c>
      <c r="BK104" s="304"/>
      <c r="BL104" s="313"/>
      <c r="BM104" s="317"/>
      <c r="BN104" s="321"/>
    </row>
    <row r="105" s="269" customFormat="1" ht="33.95" customHeight="1" outlineLevel="5" spans="2:66">
      <c r="B105" s="181" t="s">
        <v>792</v>
      </c>
      <c r="C105" s="289" t="s">
        <v>963</v>
      </c>
      <c r="D105" s="269" t="s">
        <v>964</v>
      </c>
      <c r="E105" s="181" t="s">
        <v>952</v>
      </c>
      <c r="F105" s="181"/>
      <c r="G105" s="181" t="s">
        <v>936</v>
      </c>
      <c r="H105" s="181">
        <f t="shared" si="168"/>
        <v>0</v>
      </c>
      <c r="I105" s="181" t="s">
        <v>797</v>
      </c>
      <c r="J105" s="181" t="e">
        <f t="shared" si="169"/>
        <v>#DIV/0!</v>
      </c>
      <c r="K105" s="181" t="s">
        <v>798</v>
      </c>
      <c r="L105" s="181" t="e">
        <f t="shared" si="170"/>
        <v>#DIV/0!</v>
      </c>
      <c r="M105" s="181" t="s">
        <v>799</v>
      </c>
      <c r="N105" s="181">
        <f t="shared" si="171"/>
        <v>0</v>
      </c>
      <c r="O105" s="181"/>
      <c r="P105" s="296"/>
      <c r="Q105" s="296"/>
      <c r="R105" s="296"/>
      <c r="S105" s="296"/>
      <c r="T105" s="296"/>
      <c r="U105" s="296"/>
      <c r="V105" s="296"/>
      <c r="W105" s="296"/>
      <c r="X105" s="296"/>
      <c r="Y105" s="296"/>
      <c r="Z105" s="296"/>
      <c r="AA105" s="296"/>
      <c r="AB105" s="181">
        <f t="shared" si="172"/>
        <v>0</v>
      </c>
      <c r="AC105" s="181">
        <f t="shared" si="173"/>
        <v>0</v>
      </c>
      <c r="AD105" s="304"/>
      <c r="AE105" s="304"/>
      <c r="AF105" s="181">
        <f t="shared" si="174"/>
        <v>0</v>
      </c>
      <c r="AG105" s="304"/>
      <c r="AH105" s="304"/>
      <c r="AI105" s="181">
        <f t="shared" si="175"/>
        <v>0</v>
      </c>
      <c r="AJ105" s="304"/>
      <c r="AK105" s="304"/>
      <c r="AL105" s="181">
        <f t="shared" si="176"/>
        <v>0</v>
      </c>
      <c r="AM105" s="304"/>
      <c r="AN105" s="304"/>
      <c r="AO105" s="181">
        <f t="shared" si="177"/>
        <v>0</v>
      </c>
      <c r="AP105" s="304"/>
      <c r="AQ105" s="304"/>
      <c r="AR105" s="181">
        <f t="shared" si="178"/>
        <v>0</v>
      </c>
      <c r="AS105" s="304"/>
      <c r="AT105" s="304"/>
      <c r="AU105" s="181">
        <f t="shared" si="179"/>
        <v>0</v>
      </c>
      <c r="AV105" s="304"/>
      <c r="AW105" s="304"/>
      <c r="AX105" s="181">
        <f t="shared" si="180"/>
        <v>0</v>
      </c>
      <c r="AY105" s="304"/>
      <c r="AZ105" s="304"/>
      <c r="BA105" s="181">
        <f t="shared" si="181"/>
        <v>0</v>
      </c>
      <c r="BB105" s="304"/>
      <c r="BC105" s="304"/>
      <c r="BD105" s="181">
        <f t="shared" si="182"/>
        <v>0</v>
      </c>
      <c r="BE105" s="304"/>
      <c r="BF105" s="304"/>
      <c r="BG105" s="181">
        <f t="shared" si="183"/>
        <v>0</v>
      </c>
      <c r="BH105" s="304"/>
      <c r="BI105" s="304"/>
      <c r="BJ105" s="181">
        <f t="shared" si="184"/>
        <v>0</v>
      </c>
      <c r="BK105" s="304"/>
      <c r="BL105" s="313"/>
      <c r="BM105" s="317"/>
      <c r="BN105" s="321"/>
    </row>
    <row r="106" s="269" customFormat="1" ht="33.95" customHeight="1" outlineLevel="5" spans="2:66">
      <c r="B106" s="181" t="s">
        <v>792</v>
      </c>
      <c r="C106" s="289" t="s">
        <v>965</v>
      </c>
      <c r="D106" s="269" t="s">
        <v>966</v>
      </c>
      <c r="E106" s="181" t="s">
        <v>952</v>
      </c>
      <c r="F106" s="181"/>
      <c r="G106" s="181" t="s">
        <v>936</v>
      </c>
      <c r="H106" s="181">
        <f t="shared" si="168"/>
        <v>0</v>
      </c>
      <c r="I106" s="181" t="s">
        <v>797</v>
      </c>
      <c r="J106" s="181" t="e">
        <f t="shared" si="169"/>
        <v>#DIV/0!</v>
      </c>
      <c r="K106" s="181" t="s">
        <v>798</v>
      </c>
      <c r="L106" s="181" t="e">
        <f t="shared" si="170"/>
        <v>#DIV/0!</v>
      </c>
      <c r="M106" s="181" t="s">
        <v>799</v>
      </c>
      <c r="N106" s="181">
        <f t="shared" si="171"/>
        <v>0</v>
      </c>
      <c r="O106" s="181"/>
      <c r="P106" s="296"/>
      <c r="Q106" s="296"/>
      <c r="R106" s="296"/>
      <c r="S106" s="296"/>
      <c r="T106" s="296"/>
      <c r="U106" s="296"/>
      <c r="V106" s="296"/>
      <c r="W106" s="296"/>
      <c r="X106" s="296"/>
      <c r="Y106" s="296"/>
      <c r="Z106" s="296"/>
      <c r="AA106" s="296"/>
      <c r="AB106" s="181">
        <f t="shared" si="172"/>
        <v>0</v>
      </c>
      <c r="AC106" s="181">
        <f t="shared" si="173"/>
        <v>0</v>
      </c>
      <c r="AD106" s="304"/>
      <c r="AE106" s="304"/>
      <c r="AF106" s="181">
        <f t="shared" si="174"/>
        <v>0</v>
      </c>
      <c r="AG106" s="304"/>
      <c r="AH106" s="304"/>
      <c r="AI106" s="181">
        <f t="shared" si="175"/>
        <v>0</v>
      </c>
      <c r="AJ106" s="304"/>
      <c r="AK106" s="304"/>
      <c r="AL106" s="181">
        <f t="shared" si="176"/>
        <v>0</v>
      </c>
      <c r="AM106" s="304"/>
      <c r="AN106" s="304"/>
      <c r="AO106" s="181">
        <f t="shared" si="177"/>
        <v>0</v>
      </c>
      <c r="AP106" s="304"/>
      <c r="AQ106" s="304"/>
      <c r="AR106" s="181">
        <f t="shared" si="178"/>
        <v>0</v>
      </c>
      <c r="AS106" s="304"/>
      <c r="AT106" s="304"/>
      <c r="AU106" s="181">
        <f t="shared" si="179"/>
        <v>0</v>
      </c>
      <c r="AV106" s="304"/>
      <c r="AW106" s="304"/>
      <c r="AX106" s="181">
        <f t="shared" si="180"/>
        <v>0</v>
      </c>
      <c r="AY106" s="304"/>
      <c r="AZ106" s="304"/>
      <c r="BA106" s="181">
        <f t="shared" si="181"/>
        <v>0</v>
      </c>
      <c r="BB106" s="304"/>
      <c r="BC106" s="304"/>
      <c r="BD106" s="181">
        <f t="shared" si="182"/>
        <v>0</v>
      </c>
      <c r="BE106" s="304"/>
      <c r="BF106" s="304"/>
      <c r="BG106" s="181">
        <f t="shared" si="183"/>
        <v>0</v>
      </c>
      <c r="BH106" s="304"/>
      <c r="BI106" s="304"/>
      <c r="BJ106" s="181">
        <f t="shared" si="184"/>
        <v>0</v>
      </c>
      <c r="BK106" s="304"/>
      <c r="BL106" s="313"/>
      <c r="BM106" s="317"/>
      <c r="BN106" s="321"/>
    </row>
    <row r="107" s="269" customFormat="1" ht="33.95" customHeight="1" outlineLevel="5" spans="2:66">
      <c r="B107" s="181" t="s">
        <v>792</v>
      </c>
      <c r="C107" s="289" t="s">
        <v>967</v>
      </c>
      <c r="D107" s="269" t="s">
        <v>968</v>
      </c>
      <c r="E107" s="181" t="s">
        <v>952</v>
      </c>
      <c r="F107" s="181"/>
      <c r="G107" s="181" t="s">
        <v>936</v>
      </c>
      <c r="H107" s="181">
        <f t="shared" si="168"/>
        <v>0</v>
      </c>
      <c r="I107" s="181" t="s">
        <v>797</v>
      </c>
      <c r="J107" s="181" t="e">
        <f t="shared" si="169"/>
        <v>#DIV/0!</v>
      </c>
      <c r="K107" s="181" t="s">
        <v>798</v>
      </c>
      <c r="L107" s="181" t="e">
        <f t="shared" si="170"/>
        <v>#DIV/0!</v>
      </c>
      <c r="M107" s="181" t="s">
        <v>799</v>
      </c>
      <c r="N107" s="181">
        <f t="shared" si="171"/>
        <v>0</v>
      </c>
      <c r="O107" s="181"/>
      <c r="P107" s="296"/>
      <c r="Q107" s="296"/>
      <c r="R107" s="296"/>
      <c r="S107" s="296"/>
      <c r="T107" s="296"/>
      <c r="U107" s="296"/>
      <c r="V107" s="296"/>
      <c r="W107" s="296"/>
      <c r="X107" s="296"/>
      <c r="Y107" s="296"/>
      <c r="Z107" s="296"/>
      <c r="AA107" s="296"/>
      <c r="AB107" s="181">
        <f t="shared" si="172"/>
        <v>0</v>
      </c>
      <c r="AC107" s="181">
        <f t="shared" si="173"/>
        <v>0</v>
      </c>
      <c r="AD107" s="304"/>
      <c r="AE107" s="304"/>
      <c r="AF107" s="181">
        <f t="shared" si="174"/>
        <v>0</v>
      </c>
      <c r="AG107" s="304"/>
      <c r="AH107" s="304"/>
      <c r="AI107" s="181">
        <f t="shared" si="175"/>
        <v>0</v>
      </c>
      <c r="AJ107" s="304"/>
      <c r="AK107" s="304"/>
      <c r="AL107" s="181">
        <f t="shared" si="176"/>
        <v>0</v>
      </c>
      <c r="AM107" s="304"/>
      <c r="AN107" s="304"/>
      <c r="AO107" s="181">
        <f t="shared" si="177"/>
        <v>0</v>
      </c>
      <c r="AP107" s="304"/>
      <c r="AQ107" s="304"/>
      <c r="AR107" s="181">
        <f t="shared" si="178"/>
        <v>0</v>
      </c>
      <c r="AS107" s="304"/>
      <c r="AT107" s="304"/>
      <c r="AU107" s="181">
        <f t="shared" si="179"/>
        <v>0</v>
      </c>
      <c r="AV107" s="304"/>
      <c r="AW107" s="304"/>
      <c r="AX107" s="181">
        <f t="shared" si="180"/>
        <v>0</v>
      </c>
      <c r="AY107" s="304"/>
      <c r="AZ107" s="304"/>
      <c r="BA107" s="181">
        <f t="shared" si="181"/>
        <v>0</v>
      </c>
      <c r="BB107" s="304"/>
      <c r="BC107" s="304"/>
      <c r="BD107" s="181">
        <f t="shared" si="182"/>
        <v>0</v>
      </c>
      <c r="BE107" s="304"/>
      <c r="BF107" s="304"/>
      <c r="BG107" s="181">
        <f t="shared" si="183"/>
        <v>0</v>
      </c>
      <c r="BH107" s="304"/>
      <c r="BI107" s="304"/>
      <c r="BJ107" s="181">
        <f t="shared" si="184"/>
        <v>0</v>
      </c>
      <c r="BK107" s="304"/>
      <c r="BL107" s="313"/>
      <c r="BM107" s="317"/>
      <c r="BN107" s="321"/>
    </row>
    <row r="108" s="269" customFormat="1" ht="33.95" customHeight="1" outlineLevel="5" spans="2:66">
      <c r="B108" s="181" t="s">
        <v>792</v>
      </c>
      <c r="C108" s="289" t="s">
        <v>969</v>
      </c>
      <c r="D108" s="269" t="s">
        <v>970</v>
      </c>
      <c r="E108" s="181" t="s">
        <v>952</v>
      </c>
      <c r="F108" s="181"/>
      <c r="G108" s="181" t="s">
        <v>936</v>
      </c>
      <c r="H108" s="181">
        <f t="shared" si="168"/>
        <v>0</v>
      </c>
      <c r="I108" s="181" t="s">
        <v>797</v>
      </c>
      <c r="J108" s="181" t="e">
        <f t="shared" si="169"/>
        <v>#DIV/0!</v>
      </c>
      <c r="K108" s="181" t="s">
        <v>798</v>
      </c>
      <c r="L108" s="181" t="e">
        <f t="shared" si="170"/>
        <v>#DIV/0!</v>
      </c>
      <c r="M108" s="181" t="s">
        <v>799</v>
      </c>
      <c r="N108" s="181">
        <f t="shared" si="171"/>
        <v>0</v>
      </c>
      <c r="O108" s="181"/>
      <c r="P108" s="296"/>
      <c r="Q108" s="296"/>
      <c r="R108" s="296"/>
      <c r="S108" s="296"/>
      <c r="T108" s="296"/>
      <c r="U108" s="296"/>
      <c r="V108" s="296"/>
      <c r="W108" s="296"/>
      <c r="X108" s="296"/>
      <c r="Y108" s="296"/>
      <c r="Z108" s="296"/>
      <c r="AA108" s="296"/>
      <c r="AB108" s="181">
        <f t="shared" si="172"/>
        <v>0</v>
      </c>
      <c r="AC108" s="181">
        <f t="shared" si="173"/>
        <v>0</v>
      </c>
      <c r="AD108" s="304"/>
      <c r="AE108" s="304"/>
      <c r="AF108" s="181">
        <f t="shared" si="174"/>
        <v>0</v>
      </c>
      <c r="AG108" s="304"/>
      <c r="AH108" s="304"/>
      <c r="AI108" s="181">
        <f t="shared" si="175"/>
        <v>0</v>
      </c>
      <c r="AJ108" s="304"/>
      <c r="AK108" s="304"/>
      <c r="AL108" s="181">
        <f t="shared" si="176"/>
        <v>0</v>
      </c>
      <c r="AM108" s="304"/>
      <c r="AN108" s="304"/>
      <c r="AO108" s="181">
        <f t="shared" si="177"/>
        <v>0</v>
      </c>
      <c r="AP108" s="304"/>
      <c r="AQ108" s="304"/>
      <c r="AR108" s="181">
        <f t="shared" si="178"/>
        <v>0</v>
      </c>
      <c r="AS108" s="304"/>
      <c r="AT108" s="304"/>
      <c r="AU108" s="181">
        <f t="shared" si="179"/>
        <v>0</v>
      </c>
      <c r="AV108" s="304"/>
      <c r="AW108" s="304"/>
      <c r="AX108" s="181">
        <f t="shared" si="180"/>
        <v>0</v>
      </c>
      <c r="AY108" s="304"/>
      <c r="AZ108" s="304"/>
      <c r="BA108" s="181">
        <f t="shared" si="181"/>
        <v>0</v>
      </c>
      <c r="BB108" s="304"/>
      <c r="BC108" s="304"/>
      <c r="BD108" s="181">
        <f t="shared" si="182"/>
        <v>0</v>
      </c>
      <c r="BE108" s="304"/>
      <c r="BF108" s="304"/>
      <c r="BG108" s="181">
        <f t="shared" si="183"/>
        <v>0</v>
      </c>
      <c r="BH108" s="304"/>
      <c r="BI108" s="304"/>
      <c r="BJ108" s="181">
        <f t="shared" si="184"/>
        <v>0</v>
      </c>
      <c r="BK108" s="304"/>
      <c r="BL108" s="313"/>
      <c r="BM108" s="317"/>
      <c r="BN108" s="321"/>
    </row>
    <row r="109" s="269" customFormat="1" ht="33.95" customHeight="1" outlineLevel="5" spans="2:66">
      <c r="B109" s="181" t="s">
        <v>792</v>
      </c>
      <c r="C109" s="289" t="s">
        <v>971</v>
      </c>
      <c r="D109" s="269" t="s">
        <v>972</v>
      </c>
      <c r="E109" s="181" t="s">
        <v>952</v>
      </c>
      <c r="F109" s="181"/>
      <c r="G109" s="181" t="s">
        <v>936</v>
      </c>
      <c r="H109" s="181">
        <f t="shared" si="168"/>
        <v>0</v>
      </c>
      <c r="I109" s="181" t="s">
        <v>797</v>
      </c>
      <c r="J109" s="181" t="e">
        <f t="shared" si="169"/>
        <v>#DIV/0!</v>
      </c>
      <c r="K109" s="181" t="s">
        <v>798</v>
      </c>
      <c r="L109" s="181" t="e">
        <f t="shared" si="170"/>
        <v>#DIV/0!</v>
      </c>
      <c r="M109" s="181" t="s">
        <v>799</v>
      </c>
      <c r="N109" s="181">
        <f t="shared" si="171"/>
        <v>0</v>
      </c>
      <c r="O109" s="181"/>
      <c r="P109" s="296"/>
      <c r="Q109" s="296"/>
      <c r="R109" s="296"/>
      <c r="S109" s="296"/>
      <c r="T109" s="296"/>
      <c r="U109" s="296"/>
      <c r="V109" s="296"/>
      <c r="W109" s="296"/>
      <c r="X109" s="296"/>
      <c r="Y109" s="296"/>
      <c r="Z109" s="296"/>
      <c r="AA109" s="296"/>
      <c r="AB109" s="181">
        <f t="shared" si="172"/>
        <v>0</v>
      </c>
      <c r="AC109" s="181">
        <f t="shared" si="173"/>
        <v>0</v>
      </c>
      <c r="AD109" s="304"/>
      <c r="AE109" s="304"/>
      <c r="AF109" s="181">
        <f t="shared" si="174"/>
        <v>0</v>
      </c>
      <c r="AG109" s="304"/>
      <c r="AH109" s="304"/>
      <c r="AI109" s="181">
        <f t="shared" si="175"/>
        <v>0</v>
      </c>
      <c r="AJ109" s="304"/>
      <c r="AK109" s="304"/>
      <c r="AL109" s="181">
        <f t="shared" si="176"/>
        <v>0</v>
      </c>
      <c r="AM109" s="304"/>
      <c r="AN109" s="304"/>
      <c r="AO109" s="181">
        <f t="shared" si="177"/>
        <v>0</v>
      </c>
      <c r="AP109" s="304"/>
      <c r="AQ109" s="304"/>
      <c r="AR109" s="181">
        <f t="shared" si="178"/>
        <v>0</v>
      </c>
      <c r="AS109" s="304"/>
      <c r="AT109" s="304"/>
      <c r="AU109" s="181">
        <f t="shared" si="179"/>
        <v>0</v>
      </c>
      <c r="AV109" s="304"/>
      <c r="AW109" s="304"/>
      <c r="AX109" s="181">
        <f t="shared" si="180"/>
        <v>0</v>
      </c>
      <c r="AY109" s="304"/>
      <c r="AZ109" s="304"/>
      <c r="BA109" s="181">
        <f t="shared" si="181"/>
        <v>0</v>
      </c>
      <c r="BB109" s="304"/>
      <c r="BC109" s="304"/>
      <c r="BD109" s="181">
        <f t="shared" si="182"/>
        <v>0</v>
      </c>
      <c r="BE109" s="304"/>
      <c r="BF109" s="304"/>
      <c r="BG109" s="181">
        <f t="shared" si="183"/>
        <v>0</v>
      </c>
      <c r="BH109" s="304"/>
      <c r="BI109" s="304"/>
      <c r="BJ109" s="181">
        <f t="shared" si="184"/>
        <v>0</v>
      </c>
      <c r="BK109" s="304"/>
      <c r="BL109" s="313"/>
      <c r="BM109" s="317"/>
      <c r="BN109" s="321"/>
    </row>
    <row r="110" s="269" customFormat="1" ht="33.95" customHeight="1" outlineLevel="5" spans="2:66">
      <c r="B110" s="181" t="s">
        <v>792</v>
      </c>
      <c r="C110" s="289" t="s">
        <v>973</v>
      </c>
      <c r="D110" s="269" t="s">
        <v>974</v>
      </c>
      <c r="E110" s="181" t="s">
        <v>975</v>
      </c>
      <c r="F110" s="181"/>
      <c r="G110" s="181" t="s">
        <v>936</v>
      </c>
      <c r="H110" s="181">
        <f t="shared" si="168"/>
        <v>0</v>
      </c>
      <c r="I110" s="181" t="s">
        <v>797</v>
      </c>
      <c r="J110" s="181" t="e">
        <f t="shared" si="169"/>
        <v>#DIV/0!</v>
      </c>
      <c r="K110" s="181" t="s">
        <v>798</v>
      </c>
      <c r="L110" s="181" t="e">
        <f t="shared" si="170"/>
        <v>#DIV/0!</v>
      </c>
      <c r="M110" s="181" t="s">
        <v>799</v>
      </c>
      <c r="N110" s="181">
        <f t="shared" si="171"/>
        <v>0</v>
      </c>
      <c r="O110" s="181"/>
      <c r="P110" s="296"/>
      <c r="Q110" s="296"/>
      <c r="R110" s="296"/>
      <c r="S110" s="296"/>
      <c r="T110" s="296"/>
      <c r="U110" s="296"/>
      <c r="V110" s="296"/>
      <c r="W110" s="296"/>
      <c r="X110" s="296"/>
      <c r="Y110" s="296"/>
      <c r="Z110" s="296"/>
      <c r="AA110" s="296"/>
      <c r="AB110" s="181">
        <f t="shared" si="172"/>
        <v>0</v>
      </c>
      <c r="AC110" s="181">
        <f t="shared" si="173"/>
        <v>0</v>
      </c>
      <c r="AD110" s="304"/>
      <c r="AE110" s="304"/>
      <c r="AF110" s="181">
        <f t="shared" si="174"/>
        <v>0</v>
      </c>
      <c r="AG110" s="304"/>
      <c r="AH110" s="304"/>
      <c r="AI110" s="181">
        <f t="shared" si="175"/>
        <v>0</v>
      </c>
      <c r="AJ110" s="304"/>
      <c r="AK110" s="304"/>
      <c r="AL110" s="181">
        <f t="shared" si="176"/>
        <v>0</v>
      </c>
      <c r="AM110" s="304"/>
      <c r="AN110" s="304"/>
      <c r="AO110" s="181">
        <f t="shared" si="177"/>
        <v>0</v>
      </c>
      <c r="AP110" s="304"/>
      <c r="AQ110" s="304"/>
      <c r="AR110" s="181">
        <f t="shared" si="178"/>
        <v>0</v>
      </c>
      <c r="AS110" s="304"/>
      <c r="AT110" s="304"/>
      <c r="AU110" s="181">
        <f t="shared" si="179"/>
        <v>0</v>
      </c>
      <c r="AV110" s="304"/>
      <c r="AW110" s="304"/>
      <c r="AX110" s="181">
        <f t="shared" si="180"/>
        <v>0</v>
      </c>
      <c r="AY110" s="304"/>
      <c r="AZ110" s="304"/>
      <c r="BA110" s="181">
        <f t="shared" si="181"/>
        <v>0</v>
      </c>
      <c r="BB110" s="304"/>
      <c r="BC110" s="304"/>
      <c r="BD110" s="181">
        <f t="shared" si="182"/>
        <v>0</v>
      </c>
      <c r="BE110" s="304"/>
      <c r="BF110" s="304"/>
      <c r="BG110" s="181">
        <f t="shared" si="183"/>
        <v>0</v>
      </c>
      <c r="BH110" s="304"/>
      <c r="BI110" s="304"/>
      <c r="BJ110" s="181">
        <f t="shared" si="184"/>
        <v>0</v>
      </c>
      <c r="BK110" s="304"/>
      <c r="BL110" s="313"/>
      <c r="BM110" s="317"/>
      <c r="BN110" s="321"/>
    </row>
    <row r="111" s="43" customFormat="1" ht="33.95" customHeight="1" outlineLevel="3" collapsed="1" spans="2:66">
      <c r="B111" s="121" t="s">
        <v>787</v>
      </c>
      <c r="C111" s="122" t="s">
        <v>976</v>
      </c>
      <c r="D111" s="43" t="s">
        <v>977</v>
      </c>
      <c r="E111" s="121"/>
      <c r="F111" s="121"/>
      <c r="G111" s="121"/>
      <c r="H111" s="121">
        <f>H112+H122+H132+H142</f>
        <v>2171537.52</v>
      </c>
      <c r="I111" s="121"/>
      <c r="J111" s="121"/>
      <c r="K111" s="121"/>
      <c r="L111" s="121"/>
      <c r="M111" s="121"/>
      <c r="N111" s="121"/>
      <c r="O111" s="121"/>
      <c r="P111" s="294"/>
      <c r="Q111" s="294"/>
      <c r="R111" s="294"/>
      <c r="S111" s="294"/>
      <c r="T111" s="294"/>
      <c r="U111" s="294"/>
      <c r="V111" s="294"/>
      <c r="W111" s="294"/>
      <c r="X111" s="294"/>
      <c r="Y111" s="294"/>
      <c r="Z111" s="294"/>
      <c r="AA111" s="294"/>
      <c r="AB111" s="121">
        <f t="shared" ref="AB111:AF111" si="185">AB112+AB122+AB132+AB142</f>
        <v>2171537.52</v>
      </c>
      <c r="AC111" s="121">
        <f t="shared" si="185"/>
        <v>180961.46</v>
      </c>
      <c r="AD111" s="121"/>
      <c r="AE111" s="121"/>
      <c r="AF111" s="121">
        <f t="shared" si="185"/>
        <v>180961.46</v>
      </c>
      <c r="AG111" s="121"/>
      <c r="AH111" s="121"/>
      <c r="AI111" s="121">
        <f>AI112+AI122+AI132+AI142</f>
        <v>180961.46</v>
      </c>
      <c r="AJ111" s="121"/>
      <c r="AK111" s="121"/>
      <c r="AL111" s="121">
        <f>AL112+AL122+AL132+AL142</f>
        <v>180961.46</v>
      </c>
      <c r="AM111" s="121"/>
      <c r="AN111" s="121"/>
      <c r="AO111" s="121">
        <f>AO112+AO122+AO132+AO142</f>
        <v>180961.46</v>
      </c>
      <c r="AP111" s="121"/>
      <c r="AQ111" s="121"/>
      <c r="AR111" s="121">
        <f>AR112+AR122+AR132+AR142</f>
        <v>180961.46</v>
      </c>
      <c r="AS111" s="121"/>
      <c r="AT111" s="121"/>
      <c r="AU111" s="121">
        <f>AU112+AU122+AU132+AU142</f>
        <v>180961.46</v>
      </c>
      <c r="AV111" s="121"/>
      <c r="AW111" s="121"/>
      <c r="AX111" s="121">
        <f>AX112+AX122+AX132+AX142</f>
        <v>180961.46</v>
      </c>
      <c r="AY111" s="121"/>
      <c r="AZ111" s="121"/>
      <c r="BA111" s="121">
        <f>BA112+BA122+BA132+BA142</f>
        <v>180961.46</v>
      </c>
      <c r="BB111" s="121"/>
      <c r="BC111" s="121"/>
      <c r="BD111" s="121">
        <f>BD112+BD122+BD132+BD142</f>
        <v>180961.46</v>
      </c>
      <c r="BE111" s="121"/>
      <c r="BF111" s="121"/>
      <c r="BG111" s="121">
        <f>BG112+BG122+BG132+BG142</f>
        <v>180961.46</v>
      </c>
      <c r="BH111" s="121"/>
      <c r="BI111" s="121"/>
      <c r="BJ111" s="121">
        <f>BJ112+BJ122+BJ132+BJ142</f>
        <v>180961.46</v>
      </c>
      <c r="BK111" s="121"/>
      <c r="BL111" s="311"/>
      <c r="BM111" s="317"/>
      <c r="BN111" s="319"/>
    </row>
    <row r="112" s="124" customFormat="1" ht="33.95" hidden="1" customHeight="1" outlineLevel="4" spans="2:66">
      <c r="B112" s="125" t="s">
        <v>787</v>
      </c>
      <c r="C112" s="126" t="s">
        <v>118</v>
      </c>
      <c r="D112" s="124" t="s">
        <v>109</v>
      </c>
      <c r="E112" s="125"/>
      <c r="F112" s="125"/>
      <c r="G112" s="125"/>
      <c r="H112" s="125">
        <f>SUM(H113:H121)</f>
        <v>2171537.52</v>
      </c>
      <c r="I112" s="125"/>
      <c r="J112" s="125"/>
      <c r="K112" s="125"/>
      <c r="L112" s="125"/>
      <c r="M112" s="125"/>
      <c r="N112" s="125"/>
      <c r="O112" s="125"/>
      <c r="P112" s="295"/>
      <c r="Q112" s="295"/>
      <c r="R112" s="295"/>
      <c r="S112" s="295"/>
      <c r="T112" s="295"/>
      <c r="U112" s="295"/>
      <c r="V112" s="295"/>
      <c r="W112" s="295"/>
      <c r="X112" s="295"/>
      <c r="Y112" s="295"/>
      <c r="Z112" s="295"/>
      <c r="AA112" s="295"/>
      <c r="AB112" s="125">
        <f t="shared" ref="AB112:AF112" si="186">SUM(AB113:AB121)</f>
        <v>2171537.52</v>
      </c>
      <c r="AC112" s="125">
        <f t="shared" si="186"/>
        <v>180961.46</v>
      </c>
      <c r="AD112" s="125"/>
      <c r="AE112" s="125"/>
      <c r="AF112" s="125">
        <f t="shared" si="186"/>
        <v>180961.46</v>
      </c>
      <c r="AG112" s="125"/>
      <c r="AH112" s="125"/>
      <c r="AI112" s="125">
        <f>SUM(AI113:AI121)</f>
        <v>180961.46</v>
      </c>
      <c r="AJ112" s="125"/>
      <c r="AK112" s="125"/>
      <c r="AL112" s="125">
        <f>SUM(AL113:AL121)</f>
        <v>180961.46</v>
      </c>
      <c r="AM112" s="125"/>
      <c r="AN112" s="125"/>
      <c r="AO112" s="125">
        <f>SUM(AO113:AO121)</f>
        <v>180961.46</v>
      </c>
      <c r="AP112" s="125"/>
      <c r="AQ112" s="125"/>
      <c r="AR112" s="125">
        <f>SUM(AR113:AR121)</f>
        <v>180961.46</v>
      </c>
      <c r="AS112" s="125"/>
      <c r="AT112" s="125"/>
      <c r="AU112" s="125">
        <f>SUM(AU113:AU121)</f>
        <v>180961.46</v>
      </c>
      <c r="AV112" s="125"/>
      <c r="AW112" s="125"/>
      <c r="AX112" s="125">
        <f>SUM(AX113:AX121)</f>
        <v>180961.46</v>
      </c>
      <c r="AY112" s="125"/>
      <c r="AZ112" s="125"/>
      <c r="BA112" s="125">
        <f>SUM(BA113:BA121)</f>
        <v>180961.46</v>
      </c>
      <c r="BB112" s="125"/>
      <c r="BC112" s="125"/>
      <c r="BD112" s="125">
        <f>SUM(BD113:BD121)</f>
        <v>180961.46</v>
      </c>
      <c r="BE112" s="125"/>
      <c r="BF112" s="125"/>
      <c r="BG112" s="125">
        <f>SUM(BG113:BG121)</f>
        <v>180961.46</v>
      </c>
      <c r="BH112" s="125"/>
      <c r="BI112" s="125"/>
      <c r="BJ112" s="125">
        <f>SUM(BJ113:BJ121)</f>
        <v>180961.46</v>
      </c>
      <c r="BK112" s="125"/>
      <c r="BL112" s="312"/>
      <c r="BM112" s="317"/>
      <c r="BN112" s="320"/>
    </row>
    <row r="113" s="269" customFormat="1" ht="33.95" hidden="1" customHeight="1" outlineLevel="5" spans="2:66">
      <c r="B113" s="181" t="s">
        <v>792</v>
      </c>
      <c r="C113" s="289" t="s">
        <v>978</v>
      </c>
      <c r="D113" s="269" t="s">
        <v>979</v>
      </c>
      <c r="E113" s="181" t="s">
        <v>980</v>
      </c>
      <c r="F113" s="181"/>
      <c r="G113" s="181" t="s">
        <v>796</v>
      </c>
      <c r="H113" s="181">
        <f t="shared" ref="H113:H121" si="187">AB113</f>
        <v>2171537.52</v>
      </c>
      <c r="I113" s="181" t="s">
        <v>797</v>
      </c>
      <c r="J113" s="181">
        <f t="shared" ref="J113:J121" si="188">SUM(AD113,AG113,AJ113,AM113,AP113,AS113,AV113,AY113,BB113,BE113,BH113,BK113)/N113</f>
        <v>38</v>
      </c>
      <c r="K113" s="181" t="s">
        <v>798</v>
      </c>
      <c r="L113" s="181">
        <f t="shared" ref="L113:L121" si="189">H113/N113/J113</f>
        <v>4762.14368421052</v>
      </c>
      <c r="M113" s="181" t="s">
        <v>799</v>
      </c>
      <c r="N113" s="181">
        <f t="shared" ref="N113:N121" si="190">COUNTIF(AD113,"&gt;0")+COUNTIF(AG113,"&gt;0")+COUNTIF(AJ113,"&gt;0")+COUNTIF(AM113,"&gt;0")+COUNTIF(AP113,"&gt;0")+COUNTIF(AS113,"&gt;0")+COUNTIF(AV113,"&gt;0")+COUNTIF(AY113,"&gt;0")+COUNTIF(BB113,"&gt;0")+COUNTIF(BE113,"&gt;0")+COUNTIF(BH113,"&gt;0")+COUNTIF(BK113,"&gt;0")</f>
        <v>12</v>
      </c>
      <c r="O113" s="181"/>
      <c r="P113" s="296"/>
      <c r="Q113" s="296"/>
      <c r="R113" s="296"/>
      <c r="S113" s="296"/>
      <c r="T113" s="296"/>
      <c r="U113" s="296"/>
      <c r="V113" s="296"/>
      <c r="W113" s="296"/>
      <c r="X113" s="296"/>
      <c r="Y113" s="296"/>
      <c r="Z113" s="296"/>
      <c r="AA113" s="296"/>
      <c r="AB113" s="181">
        <f t="shared" ref="AB113:AB121" si="191">SUM(AC113,AF113,AI113,AL113,AO113,AR113,AU113,AX113,BA113,BD113,BG113,BJ113)</f>
        <v>2171537.52</v>
      </c>
      <c r="AC113" s="181">
        <f t="shared" ref="AC113:AC121" si="192">AD113*AE113</f>
        <v>180961.46</v>
      </c>
      <c r="AD113" s="181">
        <f>SUMIFS('1-2 人员岗位信息'!F:F,'1-2 人员岗位信息'!$C:$C,"自有人员",'1-2 人员岗位信息'!$B:$B,$D113)</f>
        <v>38</v>
      </c>
      <c r="AE113" s="304">
        <f>自有人工预算!E25/AD113</f>
        <v>4762.14368421052</v>
      </c>
      <c r="AF113" s="181">
        <f t="shared" ref="AF113:AF121" si="193">AG113*AH113</f>
        <v>180961.46</v>
      </c>
      <c r="AG113" s="181">
        <f>SUMIFS('1-2 人员岗位信息'!G:G,'1-2 人员岗位信息'!$C:$C,"自有人员",'1-2 人员岗位信息'!$B:$B,$D113)</f>
        <v>38</v>
      </c>
      <c r="AH113" s="304">
        <f>自有人工预算!F25/AG113</f>
        <v>4762.14368421052</v>
      </c>
      <c r="AI113" s="181">
        <f t="shared" ref="AI113:AI121" si="194">AJ113*AK113</f>
        <v>180961.46</v>
      </c>
      <c r="AJ113" s="181">
        <f>SUMIFS('1-2 人员岗位信息'!H:H,'1-2 人员岗位信息'!$C:$C,"自有人员",'1-2 人员岗位信息'!$B:$B,$D113)</f>
        <v>38</v>
      </c>
      <c r="AK113" s="304">
        <f>自有人工预算!G25/AJ113</f>
        <v>4762.14368421052</v>
      </c>
      <c r="AL113" s="181">
        <f t="shared" ref="AL113:AL121" si="195">AM113*AN113</f>
        <v>180961.46</v>
      </c>
      <c r="AM113" s="181">
        <f>SUMIFS('1-2 人员岗位信息'!I:I,'1-2 人员岗位信息'!$C:$C,"自有人员",'1-2 人员岗位信息'!$B:$B,$D113)</f>
        <v>38</v>
      </c>
      <c r="AN113" s="304">
        <f>自有人工预算!H25/AM113</f>
        <v>4762.14368421052</v>
      </c>
      <c r="AO113" s="181">
        <f t="shared" ref="AO113:AO121" si="196">AP113*AQ113</f>
        <v>180961.46</v>
      </c>
      <c r="AP113" s="181">
        <f>SUMIFS('1-2 人员岗位信息'!J:J,'1-2 人员岗位信息'!$C:$C,"自有人员",'1-2 人员岗位信息'!$B:$B,$D113)</f>
        <v>38</v>
      </c>
      <c r="AQ113" s="304">
        <f>自有人工预算!I25/AP113</f>
        <v>4762.14368421052</v>
      </c>
      <c r="AR113" s="181">
        <f t="shared" ref="AR113:AR121" si="197">AS113*AT113</f>
        <v>180961.46</v>
      </c>
      <c r="AS113" s="181">
        <f>SUMIFS('1-2 人员岗位信息'!K:K,'1-2 人员岗位信息'!$C:$C,"自有人员",'1-2 人员岗位信息'!$B:$B,$D113)</f>
        <v>38</v>
      </c>
      <c r="AT113" s="304">
        <f>自有人工预算!J25/AS113</f>
        <v>4762.14368421052</v>
      </c>
      <c r="AU113" s="181">
        <f t="shared" ref="AU113:AU121" si="198">AV113*AW113</f>
        <v>180961.46</v>
      </c>
      <c r="AV113" s="181">
        <f>SUMIFS('1-2 人员岗位信息'!L:L,'1-2 人员岗位信息'!$C:$C,"自有人员",'1-2 人员岗位信息'!$B:$B,$D113)</f>
        <v>38</v>
      </c>
      <c r="AW113" s="304">
        <f>自有人工预算!K25/AV113</f>
        <v>4762.14368421052</v>
      </c>
      <c r="AX113" s="181">
        <f t="shared" ref="AX113:AX121" si="199">AY113*AZ113</f>
        <v>180961.46</v>
      </c>
      <c r="AY113" s="181">
        <f>SUMIFS('1-2 人员岗位信息'!M:M,'1-2 人员岗位信息'!$C:$C,"自有人员",'1-2 人员岗位信息'!$B:$B,$D113)</f>
        <v>38</v>
      </c>
      <c r="AZ113" s="304">
        <f>自有人工预算!L25/AY113</f>
        <v>4762.14368421052</v>
      </c>
      <c r="BA113" s="181">
        <f t="shared" ref="BA113:BA121" si="200">BB113*BC113</f>
        <v>180961.46</v>
      </c>
      <c r="BB113" s="181">
        <f>SUMIFS('1-2 人员岗位信息'!N:N,'1-2 人员岗位信息'!$C:$C,"自有人员",'1-2 人员岗位信息'!$B:$B,$D113)</f>
        <v>38</v>
      </c>
      <c r="BC113" s="304">
        <f>自有人工预算!M25/BB113</f>
        <v>4762.14368421052</v>
      </c>
      <c r="BD113" s="181">
        <f t="shared" ref="BD113:BD121" si="201">BE113*BF113</f>
        <v>180961.46</v>
      </c>
      <c r="BE113" s="181">
        <f>SUMIFS('1-2 人员岗位信息'!O:O,'1-2 人员岗位信息'!$C:$C,"自有人员",'1-2 人员岗位信息'!$B:$B,$D113)</f>
        <v>38</v>
      </c>
      <c r="BF113" s="304">
        <f>自有人工预算!N25/BE113</f>
        <v>4762.14368421052</v>
      </c>
      <c r="BG113" s="181">
        <f t="shared" ref="BG113:BG121" si="202">BH113*BI113</f>
        <v>180961.46</v>
      </c>
      <c r="BH113" s="181">
        <f>SUMIFS('1-2 人员岗位信息'!P:P,'1-2 人员岗位信息'!$C:$C,"自有人员",'1-2 人员岗位信息'!$B:$B,$D113)</f>
        <v>38</v>
      </c>
      <c r="BI113" s="304">
        <f>自有人工预算!O25/BH113</f>
        <v>4762.14368421052</v>
      </c>
      <c r="BJ113" s="181">
        <f t="shared" ref="BJ113:BJ121" si="203">BK113*BL113</f>
        <v>180961.46</v>
      </c>
      <c r="BK113" s="181">
        <f>SUMIFS('1-2 人员岗位信息'!Q:Q,'1-2 人员岗位信息'!$C:$C,"自有人员",'1-2 人员岗位信息'!$B:$B,$D113)</f>
        <v>38</v>
      </c>
      <c r="BL113" s="304">
        <f>自有人工预算!P25/BK113</f>
        <v>4762.14368421052</v>
      </c>
      <c r="BM113" s="317"/>
      <c r="BN113" s="321"/>
    </row>
    <row r="114" s="269" customFormat="1" ht="33.95" hidden="1" customHeight="1" outlineLevel="5" spans="2:66">
      <c r="B114" s="181" t="s">
        <v>792</v>
      </c>
      <c r="C114" s="289" t="s">
        <v>981</v>
      </c>
      <c r="D114" s="269" t="s">
        <v>982</v>
      </c>
      <c r="E114" s="181" t="s">
        <v>983</v>
      </c>
      <c r="F114" s="181"/>
      <c r="G114" s="181" t="s">
        <v>796</v>
      </c>
      <c r="H114" s="181">
        <f t="shared" si="187"/>
        <v>0</v>
      </c>
      <c r="I114" s="181" t="s">
        <v>797</v>
      </c>
      <c r="J114" s="181" t="e">
        <f t="shared" si="188"/>
        <v>#DIV/0!</v>
      </c>
      <c r="K114" s="181" t="s">
        <v>798</v>
      </c>
      <c r="L114" s="181" t="e">
        <f t="shared" si="189"/>
        <v>#DIV/0!</v>
      </c>
      <c r="M114" s="181" t="s">
        <v>799</v>
      </c>
      <c r="N114" s="181">
        <f t="shared" si="190"/>
        <v>0</v>
      </c>
      <c r="O114" s="181"/>
      <c r="P114" s="296"/>
      <c r="Q114" s="296"/>
      <c r="R114" s="296"/>
      <c r="S114" s="296"/>
      <c r="T114" s="296"/>
      <c r="U114" s="296"/>
      <c r="V114" s="296"/>
      <c r="W114" s="296"/>
      <c r="X114" s="296"/>
      <c r="Y114" s="296"/>
      <c r="Z114" s="296"/>
      <c r="AA114" s="296"/>
      <c r="AB114" s="181">
        <f t="shared" si="191"/>
        <v>0</v>
      </c>
      <c r="AC114" s="181">
        <f t="shared" si="192"/>
        <v>0</v>
      </c>
      <c r="AD114" s="181">
        <f>SUMIFS('1-2 人员岗位信息'!F:F,'1-2 人员岗位信息'!$C:$C,"自有人员",'1-2 人员岗位信息'!$B:$B,$D114)</f>
        <v>0</v>
      </c>
      <c r="AE114" s="304"/>
      <c r="AF114" s="181">
        <f t="shared" si="193"/>
        <v>0</v>
      </c>
      <c r="AG114" s="181">
        <f>SUMIFS('1-2 人员岗位信息'!G:G,'1-2 人员岗位信息'!$C:$C,"自有人员",'1-2 人员岗位信息'!$B:$B,$D114)</f>
        <v>0</v>
      </c>
      <c r="AH114" s="304"/>
      <c r="AI114" s="181">
        <f t="shared" si="194"/>
        <v>0</v>
      </c>
      <c r="AJ114" s="181">
        <f>SUMIFS('1-2 人员岗位信息'!H:H,'1-2 人员岗位信息'!$C:$C,"自有人员",'1-2 人员岗位信息'!$B:$B,$D114)</f>
        <v>0</v>
      </c>
      <c r="AK114" s="304"/>
      <c r="AL114" s="181">
        <f t="shared" si="195"/>
        <v>0</v>
      </c>
      <c r="AM114" s="181">
        <f>SUMIFS('1-2 人员岗位信息'!I:I,'1-2 人员岗位信息'!$C:$C,"自有人员",'1-2 人员岗位信息'!$B:$B,$D114)</f>
        <v>0</v>
      </c>
      <c r="AN114" s="304"/>
      <c r="AO114" s="181">
        <f t="shared" si="196"/>
        <v>0</v>
      </c>
      <c r="AP114" s="181">
        <f>SUMIFS('1-2 人员岗位信息'!J:J,'1-2 人员岗位信息'!$C:$C,"自有人员",'1-2 人员岗位信息'!$B:$B,$D114)</f>
        <v>0</v>
      </c>
      <c r="AQ114" s="304"/>
      <c r="AR114" s="181">
        <f t="shared" si="197"/>
        <v>0</v>
      </c>
      <c r="AS114" s="181">
        <f>SUMIFS('1-2 人员岗位信息'!K:K,'1-2 人员岗位信息'!$C:$C,"自有人员",'1-2 人员岗位信息'!$B:$B,$D114)</f>
        <v>0</v>
      </c>
      <c r="AT114" s="304"/>
      <c r="AU114" s="181">
        <f t="shared" si="198"/>
        <v>0</v>
      </c>
      <c r="AV114" s="181">
        <f>SUMIFS('1-2 人员岗位信息'!L:L,'1-2 人员岗位信息'!$C:$C,"自有人员",'1-2 人员岗位信息'!$B:$B,$D114)</f>
        <v>0</v>
      </c>
      <c r="AW114" s="304"/>
      <c r="AX114" s="181">
        <f t="shared" si="199"/>
        <v>0</v>
      </c>
      <c r="AY114" s="181">
        <f>SUMIFS('1-2 人员岗位信息'!M:M,'1-2 人员岗位信息'!$C:$C,"自有人员",'1-2 人员岗位信息'!$B:$B,$D114)</f>
        <v>0</v>
      </c>
      <c r="AZ114" s="304"/>
      <c r="BA114" s="181">
        <f t="shared" si="200"/>
        <v>0</v>
      </c>
      <c r="BB114" s="181">
        <f>SUMIFS('1-2 人员岗位信息'!N:N,'1-2 人员岗位信息'!$C:$C,"自有人员",'1-2 人员岗位信息'!$B:$B,$D114)</f>
        <v>0</v>
      </c>
      <c r="BC114" s="304"/>
      <c r="BD114" s="181">
        <f t="shared" si="201"/>
        <v>0</v>
      </c>
      <c r="BE114" s="181">
        <f>SUMIFS('1-2 人员岗位信息'!O:O,'1-2 人员岗位信息'!$C:$C,"自有人员",'1-2 人员岗位信息'!$B:$B,$D114)</f>
        <v>0</v>
      </c>
      <c r="BF114" s="304"/>
      <c r="BG114" s="181">
        <f t="shared" si="202"/>
        <v>0</v>
      </c>
      <c r="BH114" s="181">
        <f>SUMIFS('1-2 人员岗位信息'!P:P,'1-2 人员岗位信息'!$C:$C,"自有人员",'1-2 人员岗位信息'!$B:$B,$D114)</f>
        <v>0</v>
      </c>
      <c r="BI114" s="304"/>
      <c r="BJ114" s="181">
        <f t="shared" si="203"/>
        <v>0</v>
      </c>
      <c r="BK114" s="181">
        <f>SUMIFS('1-2 人员岗位信息'!Q:Q,'1-2 人员岗位信息'!$C:$C,"自有人员",'1-2 人员岗位信息'!$B:$B,$D114)</f>
        <v>0</v>
      </c>
      <c r="BL114" s="313"/>
      <c r="BM114" s="317"/>
      <c r="BN114" s="321"/>
    </row>
    <row r="115" s="269" customFormat="1" ht="33.95" hidden="1" customHeight="1" outlineLevel="5" spans="2:66">
      <c r="B115" s="181" t="s">
        <v>792</v>
      </c>
      <c r="C115" s="289" t="s">
        <v>984</v>
      </c>
      <c r="D115" s="269" t="s">
        <v>985</v>
      </c>
      <c r="E115" s="181" t="s">
        <v>986</v>
      </c>
      <c r="F115" s="181"/>
      <c r="G115" s="181" t="s">
        <v>796</v>
      </c>
      <c r="H115" s="181">
        <f t="shared" si="187"/>
        <v>0</v>
      </c>
      <c r="I115" s="181" t="s">
        <v>797</v>
      </c>
      <c r="J115" s="181" t="e">
        <f t="shared" si="188"/>
        <v>#DIV/0!</v>
      </c>
      <c r="K115" s="181" t="s">
        <v>798</v>
      </c>
      <c r="L115" s="181" t="e">
        <f t="shared" si="189"/>
        <v>#DIV/0!</v>
      </c>
      <c r="M115" s="181" t="s">
        <v>799</v>
      </c>
      <c r="N115" s="181">
        <f t="shared" si="190"/>
        <v>0</v>
      </c>
      <c r="O115" s="181"/>
      <c r="P115" s="296"/>
      <c r="Q115" s="296"/>
      <c r="R115" s="296"/>
      <c r="S115" s="296"/>
      <c r="T115" s="296"/>
      <c r="U115" s="296"/>
      <c r="V115" s="296"/>
      <c r="W115" s="296"/>
      <c r="X115" s="296"/>
      <c r="Y115" s="296"/>
      <c r="Z115" s="296"/>
      <c r="AA115" s="296"/>
      <c r="AB115" s="181">
        <f t="shared" si="191"/>
        <v>0</v>
      </c>
      <c r="AC115" s="181">
        <f t="shared" si="192"/>
        <v>0</v>
      </c>
      <c r="AD115" s="181">
        <f>SUMIFS('1-2 人员岗位信息'!F:F,'1-2 人员岗位信息'!$C:$C,"自有人员",'1-2 人员岗位信息'!$B:$B,$D115)</f>
        <v>0</v>
      </c>
      <c r="AE115" s="304"/>
      <c r="AF115" s="181">
        <f t="shared" si="193"/>
        <v>0</v>
      </c>
      <c r="AG115" s="181">
        <f>SUMIFS('1-2 人员岗位信息'!G:G,'1-2 人员岗位信息'!$C:$C,"自有人员",'1-2 人员岗位信息'!$B:$B,$D115)</f>
        <v>0</v>
      </c>
      <c r="AH115" s="304"/>
      <c r="AI115" s="181">
        <f t="shared" si="194"/>
        <v>0</v>
      </c>
      <c r="AJ115" s="181">
        <f>SUMIFS('1-2 人员岗位信息'!H:H,'1-2 人员岗位信息'!$C:$C,"自有人员",'1-2 人员岗位信息'!$B:$B,$D115)</f>
        <v>0</v>
      </c>
      <c r="AK115" s="304"/>
      <c r="AL115" s="181">
        <f t="shared" si="195"/>
        <v>0</v>
      </c>
      <c r="AM115" s="181">
        <f>SUMIFS('1-2 人员岗位信息'!I:I,'1-2 人员岗位信息'!$C:$C,"自有人员",'1-2 人员岗位信息'!$B:$B,$D115)</f>
        <v>0</v>
      </c>
      <c r="AN115" s="304"/>
      <c r="AO115" s="181">
        <f t="shared" si="196"/>
        <v>0</v>
      </c>
      <c r="AP115" s="181">
        <f>SUMIFS('1-2 人员岗位信息'!J:J,'1-2 人员岗位信息'!$C:$C,"自有人员",'1-2 人员岗位信息'!$B:$B,$D115)</f>
        <v>0</v>
      </c>
      <c r="AQ115" s="304"/>
      <c r="AR115" s="181">
        <f t="shared" si="197"/>
        <v>0</v>
      </c>
      <c r="AS115" s="181">
        <f>SUMIFS('1-2 人员岗位信息'!K:K,'1-2 人员岗位信息'!$C:$C,"自有人员",'1-2 人员岗位信息'!$B:$B,$D115)</f>
        <v>0</v>
      </c>
      <c r="AT115" s="304"/>
      <c r="AU115" s="181">
        <f t="shared" si="198"/>
        <v>0</v>
      </c>
      <c r="AV115" s="181">
        <f>SUMIFS('1-2 人员岗位信息'!L:L,'1-2 人员岗位信息'!$C:$C,"自有人员",'1-2 人员岗位信息'!$B:$B,$D115)</f>
        <v>0</v>
      </c>
      <c r="AW115" s="304"/>
      <c r="AX115" s="181">
        <f t="shared" si="199"/>
        <v>0</v>
      </c>
      <c r="AY115" s="181">
        <f>SUMIFS('1-2 人员岗位信息'!M:M,'1-2 人员岗位信息'!$C:$C,"自有人员",'1-2 人员岗位信息'!$B:$B,$D115)</f>
        <v>0</v>
      </c>
      <c r="AZ115" s="304"/>
      <c r="BA115" s="181">
        <f t="shared" si="200"/>
        <v>0</v>
      </c>
      <c r="BB115" s="181">
        <f>SUMIFS('1-2 人员岗位信息'!N:N,'1-2 人员岗位信息'!$C:$C,"自有人员",'1-2 人员岗位信息'!$B:$B,$D115)</f>
        <v>0</v>
      </c>
      <c r="BC115" s="304"/>
      <c r="BD115" s="181">
        <f t="shared" si="201"/>
        <v>0</v>
      </c>
      <c r="BE115" s="181">
        <f>SUMIFS('1-2 人员岗位信息'!O:O,'1-2 人员岗位信息'!$C:$C,"自有人员",'1-2 人员岗位信息'!$B:$B,$D115)</f>
        <v>0</v>
      </c>
      <c r="BF115" s="304"/>
      <c r="BG115" s="181">
        <f t="shared" si="202"/>
        <v>0</v>
      </c>
      <c r="BH115" s="181">
        <f>SUMIFS('1-2 人员岗位信息'!P:P,'1-2 人员岗位信息'!$C:$C,"自有人员",'1-2 人员岗位信息'!$B:$B,$D115)</f>
        <v>0</v>
      </c>
      <c r="BI115" s="304"/>
      <c r="BJ115" s="181">
        <f t="shared" si="203"/>
        <v>0</v>
      </c>
      <c r="BK115" s="181">
        <f>SUMIFS('1-2 人员岗位信息'!Q:Q,'1-2 人员岗位信息'!$C:$C,"自有人员",'1-2 人员岗位信息'!$B:$B,$D115)</f>
        <v>0</v>
      </c>
      <c r="BL115" s="313"/>
      <c r="BM115" s="317"/>
      <c r="BN115" s="321"/>
    </row>
    <row r="116" s="269" customFormat="1" ht="33.95" hidden="1" customHeight="1" outlineLevel="5" spans="2:66">
      <c r="B116" s="181" t="s">
        <v>792</v>
      </c>
      <c r="C116" s="289" t="s">
        <v>987</v>
      </c>
      <c r="D116" s="269" t="s">
        <v>988</v>
      </c>
      <c r="E116" s="181" t="s">
        <v>989</v>
      </c>
      <c r="F116" s="181"/>
      <c r="G116" s="181" t="s">
        <v>796</v>
      </c>
      <c r="H116" s="181">
        <f t="shared" si="187"/>
        <v>0</v>
      </c>
      <c r="I116" s="181" t="s">
        <v>797</v>
      </c>
      <c r="J116" s="181" t="e">
        <f t="shared" si="188"/>
        <v>#DIV/0!</v>
      </c>
      <c r="K116" s="181" t="s">
        <v>798</v>
      </c>
      <c r="L116" s="181" t="e">
        <f t="shared" si="189"/>
        <v>#DIV/0!</v>
      </c>
      <c r="M116" s="181" t="s">
        <v>799</v>
      </c>
      <c r="N116" s="181">
        <f t="shared" si="190"/>
        <v>0</v>
      </c>
      <c r="O116" s="181"/>
      <c r="P116" s="296"/>
      <c r="Q116" s="296"/>
      <c r="R116" s="296"/>
      <c r="S116" s="296"/>
      <c r="T116" s="296"/>
      <c r="U116" s="296"/>
      <c r="V116" s="296"/>
      <c r="W116" s="296"/>
      <c r="X116" s="296"/>
      <c r="Y116" s="296"/>
      <c r="Z116" s="296"/>
      <c r="AA116" s="296"/>
      <c r="AB116" s="181">
        <f t="shared" si="191"/>
        <v>0</v>
      </c>
      <c r="AC116" s="181">
        <f t="shared" si="192"/>
        <v>0</v>
      </c>
      <c r="AD116" s="181">
        <f>SUMIFS('1-2 人员岗位信息'!F:F,'1-2 人员岗位信息'!$C:$C,"自有人员",'1-2 人员岗位信息'!$B:$B,$D116)</f>
        <v>0</v>
      </c>
      <c r="AE116" s="304"/>
      <c r="AF116" s="181">
        <f t="shared" si="193"/>
        <v>0</v>
      </c>
      <c r="AG116" s="181">
        <f>SUMIFS('1-2 人员岗位信息'!G:G,'1-2 人员岗位信息'!$C:$C,"自有人员",'1-2 人员岗位信息'!$B:$B,$D116)</f>
        <v>0</v>
      </c>
      <c r="AH116" s="304"/>
      <c r="AI116" s="181">
        <f t="shared" si="194"/>
        <v>0</v>
      </c>
      <c r="AJ116" s="181">
        <f>SUMIFS('1-2 人员岗位信息'!H:H,'1-2 人员岗位信息'!$C:$C,"自有人员",'1-2 人员岗位信息'!$B:$B,$D116)</f>
        <v>0</v>
      </c>
      <c r="AK116" s="304"/>
      <c r="AL116" s="181">
        <f t="shared" si="195"/>
        <v>0</v>
      </c>
      <c r="AM116" s="181">
        <f>SUMIFS('1-2 人员岗位信息'!I:I,'1-2 人员岗位信息'!$C:$C,"自有人员",'1-2 人员岗位信息'!$B:$B,$D116)</f>
        <v>0</v>
      </c>
      <c r="AN116" s="304"/>
      <c r="AO116" s="181">
        <f t="shared" si="196"/>
        <v>0</v>
      </c>
      <c r="AP116" s="181">
        <f>SUMIFS('1-2 人员岗位信息'!J:J,'1-2 人员岗位信息'!$C:$C,"自有人员",'1-2 人员岗位信息'!$B:$B,$D116)</f>
        <v>0</v>
      </c>
      <c r="AQ116" s="304"/>
      <c r="AR116" s="181">
        <f t="shared" si="197"/>
        <v>0</v>
      </c>
      <c r="AS116" s="181">
        <f>SUMIFS('1-2 人员岗位信息'!K:K,'1-2 人员岗位信息'!$C:$C,"自有人员",'1-2 人员岗位信息'!$B:$B,$D116)</f>
        <v>0</v>
      </c>
      <c r="AT116" s="304"/>
      <c r="AU116" s="181">
        <f t="shared" si="198"/>
        <v>0</v>
      </c>
      <c r="AV116" s="181">
        <f>SUMIFS('1-2 人员岗位信息'!L:L,'1-2 人员岗位信息'!$C:$C,"自有人员",'1-2 人员岗位信息'!$B:$B,$D116)</f>
        <v>0</v>
      </c>
      <c r="AW116" s="304"/>
      <c r="AX116" s="181">
        <f t="shared" si="199"/>
        <v>0</v>
      </c>
      <c r="AY116" s="181">
        <f>SUMIFS('1-2 人员岗位信息'!M:M,'1-2 人员岗位信息'!$C:$C,"自有人员",'1-2 人员岗位信息'!$B:$B,$D116)</f>
        <v>0</v>
      </c>
      <c r="AZ116" s="304"/>
      <c r="BA116" s="181">
        <f t="shared" si="200"/>
        <v>0</v>
      </c>
      <c r="BB116" s="181">
        <f>SUMIFS('1-2 人员岗位信息'!N:N,'1-2 人员岗位信息'!$C:$C,"自有人员",'1-2 人员岗位信息'!$B:$B,$D116)</f>
        <v>0</v>
      </c>
      <c r="BC116" s="304"/>
      <c r="BD116" s="181">
        <f t="shared" si="201"/>
        <v>0</v>
      </c>
      <c r="BE116" s="181">
        <f>SUMIFS('1-2 人员岗位信息'!O:O,'1-2 人员岗位信息'!$C:$C,"自有人员",'1-2 人员岗位信息'!$B:$B,$D116)</f>
        <v>0</v>
      </c>
      <c r="BF116" s="304"/>
      <c r="BG116" s="181">
        <f t="shared" si="202"/>
        <v>0</v>
      </c>
      <c r="BH116" s="181">
        <f>SUMIFS('1-2 人员岗位信息'!P:P,'1-2 人员岗位信息'!$C:$C,"自有人员",'1-2 人员岗位信息'!$B:$B,$D116)</f>
        <v>0</v>
      </c>
      <c r="BI116" s="304"/>
      <c r="BJ116" s="181">
        <f t="shared" si="203"/>
        <v>0</v>
      </c>
      <c r="BK116" s="181">
        <f>SUMIFS('1-2 人员岗位信息'!Q:Q,'1-2 人员岗位信息'!$C:$C,"自有人员",'1-2 人员岗位信息'!$B:$B,$D116)</f>
        <v>0</v>
      </c>
      <c r="BL116" s="313"/>
      <c r="BM116" s="317"/>
      <c r="BN116" s="321"/>
    </row>
    <row r="117" s="269" customFormat="1" ht="33.95" hidden="1" customHeight="1" outlineLevel="5" spans="2:66">
      <c r="B117" s="181" t="s">
        <v>792</v>
      </c>
      <c r="C117" s="289" t="s">
        <v>990</v>
      </c>
      <c r="D117" s="269" t="s">
        <v>991</v>
      </c>
      <c r="E117" s="181" t="s">
        <v>989</v>
      </c>
      <c r="F117" s="181"/>
      <c r="G117" s="181" t="s">
        <v>796</v>
      </c>
      <c r="H117" s="181">
        <f t="shared" si="187"/>
        <v>0</v>
      </c>
      <c r="I117" s="181" t="s">
        <v>797</v>
      </c>
      <c r="J117" s="181" t="e">
        <f t="shared" si="188"/>
        <v>#DIV/0!</v>
      </c>
      <c r="K117" s="181" t="s">
        <v>798</v>
      </c>
      <c r="L117" s="181" t="e">
        <f t="shared" si="189"/>
        <v>#DIV/0!</v>
      </c>
      <c r="M117" s="181" t="s">
        <v>799</v>
      </c>
      <c r="N117" s="181">
        <f t="shared" si="190"/>
        <v>0</v>
      </c>
      <c r="O117" s="181"/>
      <c r="P117" s="296"/>
      <c r="Q117" s="296"/>
      <c r="R117" s="296"/>
      <c r="S117" s="296"/>
      <c r="T117" s="296"/>
      <c r="U117" s="296"/>
      <c r="V117" s="296"/>
      <c r="W117" s="296"/>
      <c r="X117" s="296"/>
      <c r="Y117" s="296"/>
      <c r="Z117" s="296"/>
      <c r="AA117" s="296"/>
      <c r="AB117" s="181">
        <f t="shared" si="191"/>
        <v>0</v>
      </c>
      <c r="AC117" s="181">
        <f t="shared" si="192"/>
        <v>0</v>
      </c>
      <c r="AD117" s="181">
        <f>SUMIFS('1-2 人员岗位信息'!F:F,'1-2 人员岗位信息'!$C:$C,"自有人员",'1-2 人员岗位信息'!$B:$B,$D117)</f>
        <v>0</v>
      </c>
      <c r="AE117" s="304"/>
      <c r="AF117" s="181">
        <f t="shared" si="193"/>
        <v>0</v>
      </c>
      <c r="AG117" s="181">
        <f>SUMIFS('1-2 人员岗位信息'!G:G,'1-2 人员岗位信息'!$C:$C,"自有人员",'1-2 人员岗位信息'!$B:$B,$D117)</f>
        <v>0</v>
      </c>
      <c r="AH117" s="304"/>
      <c r="AI117" s="181">
        <f t="shared" si="194"/>
        <v>0</v>
      </c>
      <c r="AJ117" s="181">
        <f>SUMIFS('1-2 人员岗位信息'!H:H,'1-2 人员岗位信息'!$C:$C,"自有人员",'1-2 人员岗位信息'!$B:$B,$D117)</f>
        <v>0</v>
      </c>
      <c r="AK117" s="304"/>
      <c r="AL117" s="181">
        <f t="shared" si="195"/>
        <v>0</v>
      </c>
      <c r="AM117" s="181">
        <f>SUMIFS('1-2 人员岗位信息'!I:I,'1-2 人员岗位信息'!$C:$C,"自有人员",'1-2 人员岗位信息'!$B:$B,$D117)</f>
        <v>0</v>
      </c>
      <c r="AN117" s="304"/>
      <c r="AO117" s="181">
        <f t="shared" si="196"/>
        <v>0</v>
      </c>
      <c r="AP117" s="181">
        <f>SUMIFS('1-2 人员岗位信息'!J:J,'1-2 人员岗位信息'!$C:$C,"自有人员",'1-2 人员岗位信息'!$B:$B,$D117)</f>
        <v>0</v>
      </c>
      <c r="AQ117" s="304"/>
      <c r="AR117" s="181">
        <f t="shared" si="197"/>
        <v>0</v>
      </c>
      <c r="AS117" s="181">
        <f>SUMIFS('1-2 人员岗位信息'!K:K,'1-2 人员岗位信息'!$C:$C,"自有人员",'1-2 人员岗位信息'!$B:$B,$D117)</f>
        <v>0</v>
      </c>
      <c r="AT117" s="304"/>
      <c r="AU117" s="181">
        <f t="shared" si="198"/>
        <v>0</v>
      </c>
      <c r="AV117" s="181">
        <f>SUMIFS('1-2 人员岗位信息'!L:L,'1-2 人员岗位信息'!$C:$C,"自有人员",'1-2 人员岗位信息'!$B:$B,$D117)</f>
        <v>0</v>
      </c>
      <c r="AW117" s="304"/>
      <c r="AX117" s="181">
        <f t="shared" si="199"/>
        <v>0</v>
      </c>
      <c r="AY117" s="181">
        <f>SUMIFS('1-2 人员岗位信息'!M:M,'1-2 人员岗位信息'!$C:$C,"自有人员",'1-2 人员岗位信息'!$B:$B,$D117)</f>
        <v>0</v>
      </c>
      <c r="AZ117" s="304"/>
      <c r="BA117" s="181">
        <f t="shared" si="200"/>
        <v>0</v>
      </c>
      <c r="BB117" s="181">
        <f>SUMIFS('1-2 人员岗位信息'!N:N,'1-2 人员岗位信息'!$C:$C,"自有人员",'1-2 人员岗位信息'!$B:$B,$D117)</f>
        <v>0</v>
      </c>
      <c r="BC117" s="304"/>
      <c r="BD117" s="181">
        <f t="shared" si="201"/>
        <v>0</v>
      </c>
      <c r="BE117" s="181">
        <f>SUMIFS('1-2 人员岗位信息'!O:O,'1-2 人员岗位信息'!$C:$C,"自有人员",'1-2 人员岗位信息'!$B:$B,$D117)</f>
        <v>0</v>
      </c>
      <c r="BF117" s="304"/>
      <c r="BG117" s="181">
        <f t="shared" si="202"/>
        <v>0</v>
      </c>
      <c r="BH117" s="181">
        <f>SUMIFS('1-2 人员岗位信息'!P:P,'1-2 人员岗位信息'!$C:$C,"自有人员",'1-2 人员岗位信息'!$B:$B,$D117)</f>
        <v>0</v>
      </c>
      <c r="BI117" s="304"/>
      <c r="BJ117" s="181">
        <f t="shared" si="203"/>
        <v>0</v>
      </c>
      <c r="BK117" s="181">
        <f>SUMIFS('1-2 人员岗位信息'!Q:Q,'1-2 人员岗位信息'!$C:$C,"自有人员",'1-2 人员岗位信息'!$B:$B,$D117)</f>
        <v>0</v>
      </c>
      <c r="BL117" s="313"/>
      <c r="BM117" s="317"/>
      <c r="BN117" s="321"/>
    </row>
    <row r="118" s="269" customFormat="1" ht="33.95" hidden="1" customHeight="1" outlineLevel="5" spans="2:66">
      <c r="B118" s="181" t="s">
        <v>792</v>
      </c>
      <c r="C118" s="289" t="s">
        <v>992</v>
      </c>
      <c r="D118" s="269" t="s">
        <v>993</v>
      </c>
      <c r="E118" s="181" t="s">
        <v>989</v>
      </c>
      <c r="F118" s="181"/>
      <c r="G118" s="181" t="s">
        <v>796</v>
      </c>
      <c r="H118" s="181">
        <f t="shared" si="187"/>
        <v>0</v>
      </c>
      <c r="I118" s="181" t="s">
        <v>797</v>
      </c>
      <c r="J118" s="181" t="e">
        <f t="shared" si="188"/>
        <v>#DIV/0!</v>
      </c>
      <c r="K118" s="181" t="s">
        <v>798</v>
      </c>
      <c r="L118" s="181" t="e">
        <f t="shared" si="189"/>
        <v>#DIV/0!</v>
      </c>
      <c r="M118" s="181" t="s">
        <v>799</v>
      </c>
      <c r="N118" s="181">
        <f t="shared" si="190"/>
        <v>0</v>
      </c>
      <c r="O118" s="181"/>
      <c r="P118" s="296"/>
      <c r="Q118" s="296"/>
      <c r="R118" s="296"/>
      <c r="S118" s="296"/>
      <c r="T118" s="296"/>
      <c r="U118" s="296"/>
      <c r="V118" s="296"/>
      <c r="W118" s="296"/>
      <c r="X118" s="296"/>
      <c r="Y118" s="296"/>
      <c r="Z118" s="296"/>
      <c r="AA118" s="296"/>
      <c r="AB118" s="181">
        <f t="shared" si="191"/>
        <v>0</v>
      </c>
      <c r="AC118" s="181">
        <f t="shared" si="192"/>
        <v>0</v>
      </c>
      <c r="AD118" s="181">
        <f>SUMIFS('1-2 人员岗位信息'!F:F,'1-2 人员岗位信息'!$C:$C,"自有人员",'1-2 人员岗位信息'!$B:$B,$D118)</f>
        <v>0</v>
      </c>
      <c r="AE118" s="304"/>
      <c r="AF118" s="181">
        <f t="shared" si="193"/>
        <v>0</v>
      </c>
      <c r="AG118" s="181">
        <f>SUMIFS('1-2 人员岗位信息'!G:G,'1-2 人员岗位信息'!$C:$C,"自有人员",'1-2 人员岗位信息'!$B:$B,$D118)</f>
        <v>0</v>
      </c>
      <c r="AH118" s="304"/>
      <c r="AI118" s="181">
        <f t="shared" si="194"/>
        <v>0</v>
      </c>
      <c r="AJ118" s="181">
        <f>SUMIFS('1-2 人员岗位信息'!H:H,'1-2 人员岗位信息'!$C:$C,"自有人员",'1-2 人员岗位信息'!$B:$B,$D118)</f>
        <v>0</v>
      </c>
      <c r="AK118" s="304"/>
      <c r="AL118" s="181">
        <f t="shared" si="195"/>
        <v>0</v>
      </c>
      <c r="AM118" s="181">
        <f>SUMIFS('1-2 人员岗位信息'!I:I,'1-2 人员岗位信息'!$C:$C,"自有人员",'1-2 人员岗位信息'!$B:$B,$D118)</f>
        <v>0</v>
      </c>
      <c r="AN118" s="304"/>
      <c r="AO118" s="181">
        <f t="shared" si="196"/>
        <v>0</v>
      </c>
      <c r="AP118" s="181">
        <f>SUMIFS('1-2 人员岗位信息'!J:J,'1-2 人员岗位信息'!$C:$C,"自有人员",'1-2 人员岗位信息'!$B:$B,$D118)</f>
        <v>0</v>
      </c>
      <c r="AQ118" s="304"/>
      <c r="AR118" s="181">
        <f t="shared" si="197"/>
        <v>0</v>
      </c>
      <c r="AS118" s="181">
        <f>SUMIFS('1-2 人员岗位信息'!K:K,'1-2 人员岗位信息'!$C:$C,"自有人员",'1-2 人员岗位信息'!$B:$B,$D118)</f>
        <v>0</v>
      </c>
      <c r="AT118" s="304"/>
      <c r="AU118" s="181">
        <f t="shared" si="198"/>
        <v>0</v>
      </c>
      <c r="AV118" s="181">
        <f>SUMIFS('1-2 人员岗位信息'!L:L,'1-2 人员岗位信息'!$C:$C,"自有人员",'1-2 人员岗位信息'!$B:$B,$D118)</f>
        <v>0</v>
      </c>
      <c r="AW118" s="304"/>
      <c r="AX118" s="181">
        <f t="shared" si="199"/>
        <v>0</v>
      </c>
      <c r="AY118" s="181">
        <f>SUMIFS('1-2 人员岗位信息'!M:M,'1-2 人员岗位信息'!$C:$C,"自有人员",'1-2 人员岗位信息'!$B:$B,$D118)</f>
        <v>0</v>
      </c>
      <c r="AZ118" s="304"/>
      <c r="BA118" s="181">
        <f t="shared" si="200"/>
        <v>0</v>
      </c>
      <c r="BB118" s="181">
        <f>SUMIFS('1-2 人员岗位信息'!N:N,'1-2 人员岗位信息'!$C:$C,"自有人员",'1-2 人员岗位信息'!$B:$B,$D118)</f>
        <v>0</v>
      </c>
      <c r="BC118" s="304"/>
      <c r="BD118" s="181">
        <f t="shared" si="201"/>
        <v>0</v>
      </c>
      <c r="BE118" s="181">
        <f>SUMIFS('1-2 人员岗位信息'!O:O,'1-2 人员岗位信息'!$C:$C,"自有人员",'1-2 人员岗位信息'!$B:$B,$D118)</f>
        <v>0</v>
      </c>
      <c r="BF118" s="304"/>
      <c r="BG118" s="181">
        <f t="shared" si="202"/>
        <v>0</v>
      </c>
      <c r="BH118" s="181">
        <f>SUMIFS('1-2 人员岗位信息'!P:P,'1-2 人员岗位信息'!$C:$C,"自有人员",'1-2 人员岗位信息'!$B:$B,$D118)</f>
        <v>0</v>
      </c>
      <c r="BI118" s="304"/>
      <c r="BJ118" s="181">
        <f t="shared" si="203"/>
        <v>0</v>
      </c>
      <c r="BK118" s="181">
        <f>SUMIFS('1-2 人员岗位信息'!Q:Q,'1-2 人员岗位信息'!$C:$C,"自有人员",'1-2 人员岗位信息'!$B:$B,$D118)</f>
        <v>0</v>
      </c>
      <c r="BL118" s="313"/>
      <c r="BM118" s="317"/>
      <c r="BN118" s="321"/>
    </row>
    <row r="119" s="269" customFormat="1" ht="33.95" hidden="1" customHeight="1" outlineLevel="5" spans="2:66">
      <c r="B119" s="181" t="s">
        <v>792</v>
      </c>
      <c r="C119" s="289" t="s">
        <v>994</v>
      </c>
      <c r="D119" s="269" t="s">
        <v>995</v>
      </c>
      <c r="E119" s="181" t="s">
        <v>989</v>
      </c>
      <c r="F119" s="181"/>
      <c r="G119" s="181" t="s">
        <v>796</v>
      </c>
      <c r="H119" s="181">
        <f t="shared" si="187"/>
        <v>0</v>
      </c>
      <c r="I119" s="181" t="s">
        <v>797</v>
      </c>
      <c r="J119" s="181" t="e">
        <f t="shared" si="188"/>
        <v>#DIV/0!</v>
      </c>
      <c r="K119" s="181" t="s">
        <v>798</v>
      </c>
      <c r="L119" s="181" t="e">
        <f t="shared" si="189"/>
        <v>#DIV/0!</v>
      </c>
      <c r="M119" s="181" t="s">
        <v>799</v>
      </c>
      <c r="N119" s="181">
        <f t="shared" si="190"/>
        <v>0</v>
      </c>
      <c r="O119" s="181"/>
      <c r="P119" s="296"/>
      <c r="Q119" s="296"/>
      <c r="R119" s="296"/>
      <c r="S119" s="296"/>
      <c r="T119" s="296"/>
      <c r="U119" s="296"/>
      <c r="V119" s="296"/>
      <c r="W119" s="296"/>
      <c r="X119" s="296"/>
      <c r="Y119" s="296"/>
      <c r="Z119" s="296"/>
      <c r="AA119" s="296"/>
      <c r="AB119" s="181">
        <f t="shared" si="191"/>
        <v>0</v>
      </c>
      <c r="AC119" s="181">
        <f t="shared" si="192"/>
        <v>0</v>
      </c>
      <c r="AD119" s="181">
        <f>SUMIFS('1-2 人员岗位信息'!F:F,'1-2 人员岗位信息'!$C:$C,"自有人员",'1-2 人员岗位信息'!$B:$B,$D119)</f>
        <v>0</v>
      </c>
      <c r="AE119" s="304"/>
      <c r="AF119" s="181">
        <f t="shared" si="193"/>
        <v>0</v>
      </c>
      <c r="AG119" s="181">
        <f>SUMIFS('1-2 人员岗位信息'!G:G,'1-2 人员岗位信息'!$C:$C,"自有人员",'1-2 人员岗位信息'!$B:$B,$D119)</f>
        <v>0</v>
      </c>
      <c r="AH119" s="304"/>
      <c r="AI119" s="181">
        <f t="shared" si="194"/>
        <v>0</v>
      </c>
      <c r="AJ119" s="181">
        <f>SUMIFS('1-2 人员岗位信息'!H:H,'1-2 人员岗位信息'!$C:$C,"自有人员",'1-2 人员岗位信息'!$B:$B,$D119)</f>
        <v>0</v>
      </c>
      <c r="AK119" s="304"/>
      <c r="AL119" s="181">
        <f t="shared" si="195"/>
        <v>0</v>
      </c>
      <c r="AM119" s="181">
        <f>SUMIFS('1-2 人员岗位信息'!I:I,'1-2 人员岗位信息'!$C:$C,"自有人员",'1-2 人员岗位信息'!$B:$B,$D119)</f>
        <v>0</v>
      </c>
      <c r="AN119" s="304"/>
      <c r="AO119" s="181">
        <f t="shared" si="196"/>
        <v>0</v>
      </c>
      <c r="AP119" s="181">
        <f>SUMIFS('1-2 人员岗位信息'!J:J,'1-2 人员岗位信息'!$C:$C,"自有人员",'1-2 人员岗位信息'!$B:$B,$D119)</f>
        <v>0</v>
      </c>
      <c r="AQ119" s="304"/>
      <c r="AR119" s="181">
        <f t="shared" si="197"/>
        <v>0</v>
      </c>
      <c r="AS119" s="181">
        <f>SUMIFS('1-2 人员岗位信息'!K:K,'1-2 人员岗位信息'!$C:$C,"自有人员",'1-2 人员岗位信息'!$B:$B,$D119)</f>
        <v>0</v>
      </c>
      <c r="AT119" s="304"/>
      <c r="AU119" s="181">
        <f t="shared" si="198"/>
        <v>0</v>
      </c>
      <c r="AV119" s="181">
        <f>SUMIFS('1-2 人员岗位信息'!L:L,'1-2 人员岗位信息'!$C:$C,"自有人员",'1-2 人员岗位信息'!$B:$B,$D119)</f>
        <v>0</v>
      </c>
      <c r="AW119" s="304"/>
      <c r="AX119" s="181">
        <f t="shared" si="199"/>
        <v>0</v>
      </c>
      <c r="AY119" s="181">
        <f>SUMIFS('1-2 人员岗位信息'!M:M,'1-2 人员岗位信息'!$C:$C,"自有人员",'1-2 人员岗位信息'!$B:$B,$D119)</f>
        <v>0</v>
      </c>
      <c r="AZ119" s="304"/>
      <c r="BA119" s="181">
        <f t="shared" si="200"/>
        <v>0</v>
      </c>
      <c r="BB119" s="181">
        <f>SUMIFS('1-2 人员岗位信息'!N:N,'1-2 人员岗位信息'!$C:$C,"自有人员",'1-2 人员岗位信息'!$B:$B,$D119)</f>
        <v>0</v>
      </c>
      <c r="BC119" s="304"/>
      <c r="BD119" s="181">
        <f t="shared" si="201"/>
        <v>0</v>
      </c>
      <c r="BE119" s="181">
        <f>SUMIFS('1-2 人员岗位信息'!O:O,'1-2 人员岗位信息'!$C:$C,"自有人员",'1-2 人员岗位信息'!$B:$B,$D119)</f>
        <v>0</v>
      </c>
      <c r="BF119" s="304"/>
      <c r="BG119" s="181">
        <f t="shared" si="202"/>
        <v>0</v>
      </c>
      <c r="BH119" s="181">
        <f>SUMIFS('1-2 人员岗位信息'!P:P,'1-2 人员岗位信息'!$C:$C,"自有人员",'1-2 人员岗位信息'!$B:$B,$D119)</f>
        <v>0</v>
      </c>
      <c r="BI119" s="304"/>
      <c r="BJ119" s="181">
        <f t="shared" si="203"/>
        <v>0</v>
      </c>
      <c r="BK119" s="181">
        <f>SUMIFS('1-2 人员岗位信息'!Q:Q,'1-2 人员岗位信息'!$C:$C,"自有人员",'1-2 人员岗位信息'!$B:$B,$D119)</f>
        <v>0</v>
      </c>
      <c r="BL119" s="313"/>
      <c r="BM119" s="317"/>
      <c r="BN119" s="321"/>
    </row>
    <row r="120" s="269" customFormat="1" ht="33.95" hidden="1" customHeight="1" outlineLevel="5" spans="2:66">
      <c r="B120" s="181" t="s">
        <v>792</v>
      </c>
      <c r="C120" s="289" t="s">
        <v>996</v>
      </c>
      <c r="D120" s="269" t="s">
        <v>997</v>
      </c>
      <c r="E120" s="181" t="s">
        <v>998</v>
      </c>
      <c r="F120" s="181"/>
      <c r="G120" s="181" t="s">
        <v>796</v>
      </c>
      <c r="H120" s="181">
        <f t="shared" si="187"/>
        <v>0</v>
      </c>
      <c r="I120" s="181" t="s">
        <v>797</v>
      </c>
      <c r="J120" s="181" t="e">
        <f t="shared" si="188"/>
        <v>#DIV/0!</v>
      </c>
      <c r="K120" s="181" t="s">
        <v>798</v>
      </c>
      <c r="L120" s="181" t="e">
        <f t="shared" si="189"/>
        <v>#DIV/0!</v>
      </c>
      <c r="M120" s="181" t="s">
        <v>799</v>
      </c>
      <c r="N120" s="181">
        <f t="shared" si="190"/>
        <v>0</v>
      </c>
      <c r="O120" s="181"/>
      <c r="P120" s="296"/>
      <c r="Q120" s="296"/>
      <c r="R120" s="296"/>
      <c r="S120" s="296"/>
      <c r="T120" s="296"/>
      <c r="U120" s="296"/>
      <c r="V120" s="296"/>
      <c r="W120" s="296"/>
      <c r="X120" s="296"/>
      <c r="Y120" s="296"/>
      <c r="Z120" s="296"/>
      <c r="AA120" s="296"/>
      <c r="AB120" s="181">
        <f t="shared" si="191"/>
        <v>0</v>
      </c>
      <c r="AC120" s="181">
        <f t="shared" si="192"/>
        <v>0</v>
      </c>
      <c r="AD120" s="181">
        <f>SUMIFS('1-2 人员岗位信息'!F:F,'1-2 人员岗位信息'!$C:$C,"自有人员",'1-2 人员岗位信息'!$B:$B,$D120)</f>
        <v>0</v>
      </c>
      <c r="AE120" s="304"/>
      <c r="AF120" s="181">
        <f t="shared" si="193"/>
        <v>0</v>
      </c>
      <c r="AG120" s="181">
        <f>SUMIFS('1-2 人员岗位信息'!G:G,'1-2 人员岗位信息'!$C:$C,"自有人员",'1-2 人员岗位信息'!$B:$B,$D120)</f>
        <v>0</v>
      </c>
      <c r="AH120" s="304"/>
      <c r="AI120" s="181">
        <f t="shared" si="194"/>
        <v>0</v>
      </c>
      <c r="AJ120" s="181">
        <f>SUMIFS('1-2 人员岗位信息'!H:H,'1-2 人员岗位信息'!$C:$C,"自有人员",'1-2 人员岗位信息'!$B:$B,$D120)</f>
        <v>0</v>
      </c>
      <c r="AK120" s="304"/>
      <c r="AL120" s="181">
        <f t="shared" si="195"/>
        <v>0</v>
      </c>
      <c r="AM120" s="181">
        <f>SUMIFS('1-2 人员岗位信息'!I:I,'1-2 人员岗位信息'!$C:$C,"自有人员",'1-2 人员岗位信息'!$B:$B,$D120)</f>
        <v>0</v>
      </c>
      <c r="AN120" s="304"/>
      <c r="AO120" s="181">
        <f t="shared" si="196"/>
        <v>0</v>
      </c>
      <c r="AP120" s="181">
        <f>SUMIFS('1-2 人员岗位信息'!J:J,'1-2 人员岗位信息'!$C:$C,"自有人员",'1-2 人员岗位信息'!$B:$B,$D120)</f>
        <v>0</v>
      </c>
      <c r="AQ120" s="304"/>
      <c r="AR120" s="181">
        <f t="shared" si="197"/>
        <v>0</v>
      </c>
      <c r="AS120" s="181">
        <f>SUMIFS('1-2 人员岗位信息'!K:K,'1-2 人员岗位信息'!$C:$C,"自有人员",'1-2 人员岗位信息'!$B:$B,$D120)</f>
        <v>0</v>
      </c>
      <c r="AT120" s="304"/>
      <c r="AU120" s="181">
        <f t="shared" si="198"/>
        <v>0</v>
      </c>
      <c r="AV120" s="181">
        <f>SUMIFS('1-2 人员岗位信息'!L:L,'1-2 人员岗位信息'!$C:$C,"自有人员",'1-2 人员岗位信息'!$B:$B,$D120)</f>
        <v>0</v>
      </c>
      <c r="AW120" s="304"/>
      <c r="AX120" s="181">
        <f t="shared" si="199"/>
        <v>0</v>
      </c>
      <c r="AY120" s="181">
        <f>SUMIFS('1-2 人员岗位信息'!M:M,'1-2 人员岗位信息'!$C:$C,"自有人员",'1-2 人员岗位信息'!$B:$B,$D120)</f>
        <v>0</v>
      </c>
      <c r="AZ120" s="304"/>
      <c r="BA120" s="181">
        <f t="shared" si="200"/>
        <v>0</v>
      </c>
      <c r="BB120" s="181">
        <f>SUMIFS('1-2 人员岗位信息'!N:N,'1-2 人员岗位信息'!$C:$C,"自有人员",'1-2 人员岗位信息'!$B:$B,$D120)</f>
        <v>0</v>
      </c>
      <c r="BC120" s="304"/>
      <c r="BD120" s="181">
        <f t="shared" si="201"/>
        <v>0</v>
      </c>
      <c r="BE120" s="181">
        <f>SUMIFS('1-2 人员岗位信息'!O:O,'1-2 人员岗位信息'!$C:$C,"自有人员",'1-2 人员岗位信息'!$B:$B,$D120)</f>
        <v>0</v>
      </c>
      <c r="BF120" s="304"/>
      <c r="BG120" s="181">
        <f t="shared" si="202"/>
        <v>0</v>
      </c>
      <c r="BH120" s="181">
        <f>SUMIFS('1-2 人员岗位信息'!P:P,'1-2 人员岗位信息'!$C:$C,"自有人员",'1-2 人员岗位信息'!$B:$B,$D120)</f>
        <v>0</v>
      </c>
      <c r="BI120" s="304"/>
      <c r="BJ120" s="181">
        <f t="shared" si="203"/>
        <v>0</v>
      </c>
      <c r="BK120" s="181">
        <f>SUMIFS('1-2 人员岗位信息'!Q:Q,'1-2 人员岗位信息'!$C:$C,"自有人员",'1-2 人员岗位信息'!$B:$B,$D120)</f>
        <v>0</v>
      </c>
      <c r="BL120" s="313"/>
      <c r="BM120" s="317"/>
      <c r="BN120" s="321"/>
    </row>
    <row r="121" s="269" customFormat="1" ht="33.95" hidden="1" customHeight="1" outlineLevel="5" spans="2:66">
      <c r="B121" s="181" t="s">
        <v>792</v>
      </c>
      <c r="C121" s="289" t="s">
        <v>999</v>
      </c>
      <c r="D121" s="269" t="s">
        <v>1000</v>
      </c>
      <c r="E121" s="181" t="s">
        <v>814</v>
      </c>
      <c r="F121" s="181"/>
      <c r="G121" s="181" t="s">
        <v>796</v>
      </c>
      <c r="H121" s="181">
        <f t="shared" si="187"/>
        <v>0</v>
      </c>
      <c r="I121" s="181" t="s">
        <v>797</v>
      </c>
      <c r="J121" s="181" t="e">
        <f t="shared" si="188"/>
        <v>#DIV/0!</v>
      </c>
      <c r="K121" s="181" t="s">
        <v>798</v>
      </c>
      <c r="L121" s="181" t="e">
        <f t="shared" si="189"/>
        <v>#DIV/0!</v>
      </c>
      <c r="M121" s="181" t="s">
        <v>799</v>
      </c>
      <c r="N121" s="181">
        <f t="shared" si="190"/>
        <v>0</v>
      </c>
      <c r="O121" s="181"/>
      <c r="P121" s="296"/>
      <c r="Q121" s="296"/>
      <c r="R121" s="296"/>
      <c r="S121" s="296"/>
      <c r="T121" s="296"/>
      <c r="U121" s="296"/>
      <c r="V121" s="296"/>
      <c r="W121" s="296"/>
      <c r="X121" s="296"/>
      <c r="Y121" s="296"/>
      <c r="Z121" s="296"/>
      <c r="AA121" s="296"/>
      <c r="AB121" s="181">
        <f t="shared" si="191"/>
        <v>0</v>
      </c>
      <c r="AC121" s="181">
        <f t="shared" si="192"/>
        <v>0</v>
      </c>
      <c r="AD121" s="181">
        <f>SUMIFS('1-2 人员岗位信息'!F:F,'1-2 人员岗位信息'!$C:$C,"自有人员",'1-2 人员岗位信息'!$B:$B,$D121)</f>
        <v>0</v>
      </c>
      <c r="AE121" s="304"/>
      <c r="AF121" s="181">
        <f t="shared" si="193"/>
        <v>0</v>
      </c>
      <c r="AG121" s="181">
        <f>SUMIFS('1-2 人员岗位信息'!G:G,'1-2 人员岗位信息'!$C:$C,"自有人员",'1-2 人员岗位信息'!$B:$B,$D121)</f>
        <v>0</v>
      </c>
      <c r="AH121" s="304"/>
      <c r="AI121" s="181">
        <f t="shared" si="194"/>
        <v>0</v>
      </c>
      <c r="AJ121" s="181">
        <f>SUMIFS('1-2 人员岗位信息'!H:H,'1-2 人员岗位信息'!$C:$C,"自有人员",'1-2 人员岗位信息'!$B:$B,$D121)</f>
        <v>0</v>
      </c>
      <c r="AK121" s="304"/>
      <c r="AL121" s="181">
        <f t="shared" si="195"/>
        <v>0</v>
      </c>
      <c r="AM121" s="181">
        <f>SUMIFS('1-2 人员岗位信息'!I:I,'1-2 人员岗位信息'!$C:$C,"自有人员",'1-2 人员岗位信息'!$B:$B,$D121)</f>
        <v>0</v>
      </c>
      <c r="AN121" s="304"/>
      <c r="AO121" s="181">
        <f t="shared" si="196"/>
        <v>0</v>
      </c>
      <c r="AP121" s="181">
        <f>SUMIFS('1-2 人员岗位信息'!J:J,'1-2 人员岗位信息'!$C:$C,"自有人员",'1-2 人员岗位信息'!$B:$B,$D121)</f>
        <v>0</v>
      </c>
      <c r="AQ121" s="304"/>
      <c r="AR121" s="181">
        <f t="shared" si="197"/>
        <v>0</v>
      </c>
      <c r="AS121" s="181">
        <f>SUMIFS('1-2 人员岗位信息'!K:K,'1-2 人员岗位信息'!$C:$C,"自有人员",'1-2 人员岗位信息'!$B:$B,$D121)</f>
        <v>0</v>
      </c>
      <c r="AT121" s="304"/>
      <c r="AU121" s="181">
        <f t="shared" si="198"/>
        <v>0</v>
      </c>
      <c r="AV121" s="181">
        <f>SUMIFS('1-2 人员岗位信息'!L:L,'1-2 人员岗位信息'!$C:$C,"自有人员",'1-2 人员岗位信息'!$B:$B,$D121)</f>
        <v>0</v>
      </c>
      <c r="AW121" s="304"/>
      <c r="AX121" s="181">
        <f t="shared" si="199"/>
        <v>0</v>
      </c>
      <c r="AY121" s="181">
        <f>SUMIFS('1-2 人员岗位信息'!M:M,'1-2 人员岗位信息'!$C:$C,"自有人员",'1-2 人员岗位信息'!$B:$B,$D121)</f>
        <v>0</v>
      </c>
      <c r="AZ121" s="304"/>
      <c r="BA121" s="181">
        <f t="shared" si="200"/>
        <v>0</v>
      </c>
      <c r="BB121" s="181">
        <f>SUMIFS('1-2 人员岗位信息'!N:N,'1-2 人员岗位信息'!$C:$C,"自有人员",'1-2 人员岗位信息'!$B:$B,$D121)</f>
        <v>0</v>
      </c>
      <c r="BC121" s="304"/>
      <c r="BD121" s="181">
        <f t="shared" si="201"/>
        <v>0</v>
      </c>
      <c r="BE121" s="181">
        <f>SUMIFS('1-2 人员岗位信息'!O:O,'1-2 人员岗位信息'!$C:$C,"自有人员",'1-2 人员岗位信息'!$B:$B,$D121)</f>
        <v>0</v>
      </c>
      <c r="BF121" s="304"/>
      <c r="BG121" s="181">
        <f t="shared" si="202"/>
        <v>0</v>
      </c>
      <c r="BH121" s="181">
        <f>SUMIFS('1-2 人员岗位信息'!P:P,'1-2 人员岗位信息'!$C:$C,"自有人员",'1-2 人员岗位信息'!$B:$B,$D121)</f>
        <v>0</v>
      </c>
      <c r="BI121" s="304"/>
      <c r="BJ121" s="181">
        <f t="shared" si="203"/>
        <v>0</v>
      </c>
      <c r="BK121" s="181">
        <f>SUMIFS('1-2 人员岗位信息'!Q:Q,'1-2 人员岗位信息'!$C:$C,"自有人员",'1-2 人员岗位信息'!$B:$B,$D121)</f>
        <v>0</v>
      </c>
      <c r="BL121" s="313"/>
      <c r="BM121" s="317"/>
      <c r="BN121" s="321"/>
    </row>
    <row r="122" s="124" customFormat="1" ht="33.95" hidden="1" customHeight="1" outlineLevel="4" spans="2:66">
      <c r="B122" s="125" t="s">
        <v>787</v>
      </c>
      <c r="C122" s="126" t="s">
        <v>71</v>
      </c>
      <c r="D122" s="124" t="s">
        <v>68</v>
      </c>
      <c r="E122" s="125"/>
      <c r="F122" s="125"/>
      <c r="G122" s="125"/>
      <c r="H122" s="125">
        <f>SUM(H123:H131)</f>
        <v>0</v>
      </c>
      <c r="I122" s="125"/>
      <c r="J122" s="125"/>
      <c r="K122" s="125"/>
      <c r="L122" s="125"/>
      <c r="M122" s="125"/>
      <c r="N122" s="125"/>
      <c r="O122" s="125"/>
      <c r="P122" s="295"/>
      <c r="Q122" s="295"/>
      <c r="R122" s="295"/>
      <c r="S122" s="295"/>
      <c r="T122" s="295"/>
      <c r="U122" s="295"/>
      <c r="V122" s="295"/>
      <c r="W122" s="295"/>
      <c r="X122" s="295"/>
      <c r="Y122" s="295"/>
      <c r="Z122" s="295"/>
      <c r="AA122" s="295"/>
      <c r="AB122" s="125">
        <f t="shared" ref="AB122:AF122" si="204">SUM(AB123:AB131)</f>
        <v>0</v>
      </c>
      <c r="AC122" s="125">
        <f t="shared" si="204"/>
        <v>0</v>
      </c>
      <c r="AD122" s="125"/>
      <c r="AE122" s="125"/>
      <c r="AF122" s="125">
        <f t="shared" si="204"/>
        <v>0</v>
      </c>
      <c r="AG122" s="125"/>
      <c r="AH122" s="125"/>
      <c r="AI122" s="125">
        <f>SUM(AI123:AI131)</f>
        <v>0</v>
      </c>
      <c r="AJ122" s="125"/>
      <c r="AK122" s="125"/>
      <c r="AL122" s="125">
        <f>SUM(AL123:AL131)</f>
        <v>0</v>
      </c>
      <c r="AM122" s="125"/>
      <c r="AN122" s="125"/>
      <c r="AO122" s="125">
        <f>SUM(AO123:AO131)</f>
        <v>0</v>
      </c>
      <c r="AP122" s="125"/>
      <c r="AQ122" s="125"/>
      <c r="AR122" s="125">
        <f>SUM(AR123:AR131)</f>
        <v>0</v>
      </c>
      <c r="AS122" s="125"/>
      <c r="AT122" s="125"/>
      <c r="AU122" s="125">
        <f>SUM(AU123:AU131)</f>
        <v>0</v>
      </c>
      <c r="AV122" s="125"/>
      <c r="AW122" s="125"/>
      <c r="AX122" s="125">
        <f>SUM(AX123:AX131)</f>
        <v>0</v>
      </c>
      <c r="AY122" s="125"/>
      <c r="AZ122" s="125"/>
      <c r="BA122" s="125">
        <f>SUM(BA123:BA131)</f>
        <v>0</v>
      </c>
      <c r="BB122" s="125"/>
      <c r="BC122" s="125"/>
      <c r="BD122" s="125">
        <f>SUM(BD123:BD131)</f>
        <v>0</v>
      </c>
      <c r="BE122" s="125"/>
      <c r="BF122" s="125"/>
      <c r="BG122" s="125">
        <f>SUM(BG123:BG131)</f>
        <v>0</v>
      </c>
      <c r="BH122" s="125"/>
      <c r="BI122" s="125"/>
      <c r="BJ122" s="125">
        <f>SUM(BJ123:BJ131)</f>
        <v>0</v>
      </c>
      <c r="BK122" s="125"/>
      <c r="BL122" s="312"/>
      <c r="BM122" s="317"/>
      <c r="BN122" s="320"/>
    </row>
    <row r="123" s="269" customFormat="1" ht="33.95" hidden="1" customHeight="1" outlineLevel="5" spans="2:66">
      <c r="B123" s="181" t="s">
        <v>792</v>
      </c>
      <c r="C123" s="289" t="s">
        <v>1001</v>
      </c>
      <c r="D123" s="269" t="s">
        <v>979</v>
      </c>
      <c r="E123" s="181" t="s">
        <v>1002</v>
      </c>
      <c r="F123" s="181"/>
      <c r="G123" s="181" t="s">
        <v>796</v>
      </c>
      <c r="H123" s="181">
        <f t="shared" ref="H123:H131" si="205">AB123</f>
        <v>0</v>
      </c>
      <c r="I123" s="181" t="s">
        <v>797</v>
      </c>
      <c r="J123" s="181" t="e">
        <f t="shared" ref="J123:J131" si="206">SUM(AD123,AG123,AJ123,AM123,AP123,AS123,AV123,AY123,BB123,BE123,BH123,BK123)/N123</f>
        <v>#DIV/0!</v>
      </c>
      <c r="K123" s="181" t="s">
        <v>798</v>
      </c>
      <c r="L123" s="181" t="e">
        <f t="shared" ref="L123:L131" si="207">H123/N123/J123</f>
        <v>#DIV/0!</v>
      </c>
      <c r="M123" s="181" t="s">
        <v>799</v>
      </c>
      <c r="N123" s="181">
        <f t="shared" ref="N123:N131" si="208">COUNTIF(AD123,"&gt;0")+COUNTIF(AG123,"&gt;0")+COUNTIF(AJ123,"&gt;0")+COUNTIF(AM123,"&gt;0")+COUNTIF(AP123,"&gt;0")+COUNTIF(AS123,"&gt;0")+COUNTIF(AV123,"&gt;0")+COUNTIF(AY123,"&gt;0")+COUNTIF(BB123,"&gt;0")+COUNTIF(BE123,"&gt;0")+COUNTIF(BH123,"&gt;0")+COUNTIF(BK123,"&gt;0")</f>
        <v>0</v>
      </c>
      <c r="O123" s="181"/>
      <c r="P123" s="296"/>
      <c r="Q123" s="296"/>
      <c r="R123" s="296"/>
      <c r="S123" s="296"/>
      <c r="T123" s="296"/>
      <c r="U123" s="296"/>
      <c r="V123" s="296"/>
      <c r="W123" s="296"/>
      <c r="X123" s="296"/>
      <c r="Y123" s="296"/>
      <c r="Z123" s="296"/>
      <c r="AA123" s="296"/>
      <c r="AB123" s="181">
        <f t="shared" ref="AB123:AB131" si="209">SUM(AC123,AF123,AI123,AL123,AO123,AR123,AU123,AX123,BA123,BD123,BG123,BJ123)</f>
        <v>0</v>
      </c>
      <c r="AC123" s="181">
        <f t="shared" ref="AC123:AC131" si="210">AD123*AE123</f>
        <v>0</v>
      </c>
      <c r="AD123" s="181">
        <f>SUMIFS('1-2 人员岗位信息'!F:F,'1-2 人员岗位信息'!$C:$C,"劳务派遣",'1-2 人员岗位信息'!$B:$B,$D123)</f>
        <v>0</v>
      </c>
      <c r="AE123" s="304"/>
      <c r="AF123" s="181">
        <f t="shared" ref="AF123:AF131" si="211">AG123*AH123</f>
        <v>0</v>
      </c>
      <c r="AG123" s="181">
        <f>SUMIFS('1-2 人员岗位信息'!G:G,'1-2 人员岗位信息'!$C:$C,"劳务派遣",'1-2 人员岗位信息'!$B:$B,$D123)</f>
        <v>0</v>
      </c>
      <c r="AH123" s="304"/>
      <c r="AI123" s="181">
        <f t="shared" ref="AI123:AI131" si="212">AJ123*AK123</f>
        <v>0</v>
      </c>
      <c r="AJ123" s="181">
        <f>SUMIFS('1-2 人员岗位信息'!H:H,'1-2 人员岗位信息'!$C:$C,"劳务派遣",'1-2 人员岗位信息'!$B:$B,$D123)</f>
        <v>0</v>
      </c>
      <c r="AK123" s="304"/>
      <c r="AL123" s="181">
        <f t="shared" ref="AL123:AL131" si="213">AM123*AN123</f>
        <v>0</v>
      </c>
      <c r="AM123" s="181">
        <f>SUMIFS('1-2 人员岗位信息'!I:I,'1-2 人员岗位信息'!$C:$C,"劳务派遣",'1-2 人员岗位信息'!$B:$B,$D123)</f>
        <v>0</v>
      </c>
      <c r="AN123" s="304"/>
      <c r="AO123" s="181">
        <f t="shared" ref="AO123:AO131" si="214">AP123*AQ123</f>
        <v>0</v>
      </c>
      <c r="AP123" s="181">
        <f>SUMIFS('1-2 人员岗位信息'!J:J,'1-2 人员岗位信息'!$C:$C,"劳务派遣",'1-2 人员岗位信息'!$B:$B,$D123)</f>
        <v>0</v>
      </c>
      <c r="AQ123" s="304"/>
      <c r="AR123" s="181">
        <f t="shared" ref="AR123:AR131" si="215">AS123*AT123</f>
        <v>0</v>
      </c>
      <c r="AS123" s="181">
        <f>SUMIFS('1-2 人员岗位信息'!K:K,'1-2 人员岗位信息'!$C:$C,"劳务派遣",'1-2 人员岗位信息'!$B:$B,$D123)</f>
        <v>0</v>
      </c>
      <c r="AT123" s="304"/>
      <c r="AU123" s="181">
        <f t="shared" ref="AU123:AU131" si="216">AV123*AW123</f>
        <v>0</v>
      </c>
      <c r="AV123" s="181">
        <f>SUMIFS('1-2 人员岗位信息'!L:L,'1-2 人员岗位信息'!$C:$C,"劳务派遣",'1-2 人员岗位信息'!$B:$B,$D123)</f>
        <v>0</v>
      </c>
      <c r="AW123" s="304"/>
      <c r="AX123" s="181">
        <f t="shared" ref="AX123:AX131" si="217">AY123*AZ123</f>
        <v>0</v>
      </c>
      <c r="AY123" s="181">
        <f>SUMIFS('1-2 人员岗位信息'!M:M,'1-2 人员岗位信息'!$C:$C,"劳务派遣",'1-2 人员岗位信息'!$B:$B,$D123)</f>
        <v>0</v>
      </c>
      <c r="AZ123" s="304"/>
      <c r="BA123" s="181">
        <f t="shared" ref="BA123:BA131" si="218">BB123*BC123</f>
        <v>0</v>
      </c>
      <c r="BB123" s="181">
        <f>SUMIFS('1-2 人员岗位信息'!N:N,'1-2 人员岗位信息'!$C:$C,"劳务派遣",'1-2 人员岗位信息'!$B:$B,$D123)</f>
        <v>0</v>
      </c>
      <c r="BC123" s="304"/>
      <c r="BD123" s="181">
        <f t="shared" ref="BD123:BD131" si="219">BE123*BF123</f>
        <v>0</v>
      </c>
      <c r="BE123" s="181">
        <f>SUMIFS('1-2 人员岗位信息'!O:O,'1-2 人员岗位信息'!$C:$C,"劳务派遣",'1-2 人员岗位信息'!$B:$B,$D123)</f>
        <v>0</v>
      </c>
      <c r="BF123" s="304"/>
      <c r="BG123" s="181">
        <f t="shared" ref="BG123:BG131" si="220">BH123*BI123</f>
        <v>0</v>
      </c>
      <c r="BH123" s="181">
        <f>SUMIFS('1-2 人员岗位信息'!P:P,'1-2 人员岗位信息'!$C:$C,"劳务派遣",'1-2 人员岗位信息'!$B:$B,$D123)</f>
        <v>0</v>
      </c>
      <c r="BI123" s="304"/>
      <c r="BJ123" s="181">
        <f t="shared" ref="BJ123:BJ131" si="221">BK123*BL123</f>
        <v>0</v>
      </c>
      <c r="BK123" s="181">
        <f>SUMIFS('1-2 人员岗位信息'!Q:Q,'1-2 人员岗位信息'!$C:$C,"劳务派遣",'1-2 人员岗位信息'!$B:$B,$D123)</f>
        <v>0</v>
      </c>
      <c r="BL123" s="313"/>
      <c r="BM123" s="317"/>
      <c r="BN123" s="321"/>
    </row>
    <row r="124" s="269" customFormat="1" ht="33.95" hidden="1" customHeight="1" outlineLevel="5" spans="2:66">
      <c r="B124" s="181" t="s">
        <v>792</v>
      </c>
      <c r="C124" s="289" t="s">
        <v>1003</v>
      </c>
      <c r="D124" s="269" t="s">
        <v>982</v>
      </c>
      <c r="E124" s="181" t="s">
        <v>1004</v>
      </c>
      <c r="F124" s="181"/>
      <c r="G124" s="181" t="s">
        <v>796</v>
      </c>
      <c r="H124" s="181">
        <f t="shared" si="205"/>
        <v>0</v>
      </c>
      <c r="I124" s="181" t="s">
        <v>797</v>
      </c>
      <c r="J124" s="181" t="e">
        <f t="shared" si="206"/>
        <v>#DIV/0!</v>
      </c>
      <c r="K124" s="181" t="s">
        <v>798</v>
      </c>
      <c r="L124" s="181" t="e">
        <f t="shared" si="207"/>
        <v>#DIV/0!</v>
      </c>
      <c r="M124" s="181" t="s">
        <v>799</v>
      </c>
      <c r="N124" s="181">
        <f t="shared" si="208"/>
        <v>0</v>
      </c>
      <c r="O124" s="181"/>
      <c r="P124" s="296"/>
      <c r="Q124" s="296"/>
      <c r="R124" s="296"/>
      <c r="S124" s="296"/>
      <c r="T124" s="296"/>
      <c r="U124" s="296"/>
      <c r="V124" s="296"/>
      <c r="W124" s="296"/>
      <c r="X124" s="296"/>
      <c r="Y124" s="296"/>
      <c r="Z124" s="296"/>
      <c r="AA124" s="296"/>
      <c r="AB124" s="181">
        <f t="shared" si="209"/>
        <v>0</v>
      </c>
      <c r="AC124" s="181">
        <f t="shared" si="210"/>
        <v>0</v>
      </c>
      <c r="AD124" s="181">
        <f>SUMIFS('1-2 人员岗位信息'!F:F,'1-2 人员岗位信息'!$C:$C,"劳务派遣",'1-2 人员岗位信息'!$B:$B,$D124)</f>
        <v>0</v>
      </c>
      <c r="AE124" s="304"/>
      <c r="AF124" s="181">
        <f t="shared" si="211"/>
        <v>0</v>
      </c>
      <c r="AG124" s="181">
        <f>SUMIFS('1-2 人员岗位信息'!G:G,'1-2 人员岗位信息'!$C:$C,"劳务派遣",'1-2 人员岗位信息'!$B:$B,$D124)</f>
        <v>0</v>
      </c>
      <c r="AH124" s="304"/>
      <c r="AI124" s="181">
        <f t="shared" si="212"/>
        <v>0</v>
      </c>
      <c r="AJ124" s="181">
        <f>SUMIFS('1-2 人员岗位信息'!H:H,'1-2 人员岗位信息'!$C:$C,"劳务派遣",'1-2 人员岗位信息'!$B:$B,$D124)</f>
        <v>0</v>
      </c>
      <c r="AK124" s="304"/>
      <c r="AL124" s="181">
        <f t="shared" si="213"/>
        <v>0</v>
      </c>
      <c r="AM124" s="181">
        <f>SUMIFS('1-2 人员岗位信息'!I:I,'1-2 人员岗位信息'!$C:$C,"劳务派遣",'1-2 人员岗位信息'!$B:$B,$D124)</f>
        <v>0</v>
      </c>
      <c r="AN124" s="304"/>
      <c r="AO124" s="181">
        <f t="shared" si="214"/>
        <v>0</v>
      </c>
      <c r="AP124" s="181">
        <f>SUMIFS('1-2 人员岗位信息'!J:J,'1-2 人员岗位信息'!$C:$C,"劳务派遣",'1-2 人员岗位信息'!$B:$B,$D124)</f>
        <v>0</v>
      </c>
      <c r="AQ124" s="304"/>
      <c r="AR124" s="181">
        <f t="shared" si="215"/>
        <v>0</v>
      </c>
      <c r="AS124" s="181">
        <f>SUMIFS('1-2 人员岗位信息'!K:K,'1-2 人员岗位信息'!$C:$C,"劳务派遣",'1-2 人员岗位信息'!$B:$B,$D124)</f>
        <v>0</v>
      </c>
      <c r="AT124" s="304"/>
      <c r="AU124" s="181">
        <f t="shared" si="216"/>
        <v>0</v>
      </c>
      <c r="AV124" s="181">
        <f>SUMIFS('1-2 人员岗位信息'!L:L,'1-2 人员岗位信息'!$C:$C,"劳务派遣",'1-2 人员岗位信息'!$B:$B,$D124)</f>
        <v>0</v>
      </c>
      <c r="AW124" s="304"/>
      <c r="AX124" s="181">
        <f t="shared" si="217"/>
        <v>0</v>
      </c>
      <c r="AY124" s="181">
        <f>SUMIFS('1-2 人员岗位信息'!M:M,'1-2 人员岗位信息'!$C:$C,"劳务派遣",'1-2 人员岗位信息'!$B:$B,$D124)</f>
        <v>0</v>
      </c>
      <c r="AZ124" s="304"/>
      <c r="BA124" s="181">
        <f t="shared" si="218"/>
        <v>0</v>
      </c>
      <c r="BB124" s="181">
        <f>SUMIFS('1-2 人员岗位信息'!N:N,'1-2 人员岗位信息'!$C:$C,"劳务派遣",'1-2 人员岗位信息'!$B:$B,$D124)</f>
        <v>0</v>
      </c>
      <c r="BC124" s="304"/>
      <c r="BD124" s="181">
        <f t="shared" si="219"/>
        <v>0</v>
      </c>
      <c r="BE124" s="181">
        <f>SUMIFS('1-2 人员岗位信息'!O:O,'1-2 人员岗位信息'!$C:$C,"劳务派遣",'1-2 人员岗位信息'!$B:$B,$D124)</f>
        <v>0</v>
      </c>
      <c r="BF124" s="304"/>
      <c r="BG124" s="181">
        <f t="shared" si="220"/>
        <v>0</v>
      </c>
      <c r="BH124" s="181">
        <f>SUMIFS('1-2 人员岗位信息'!P:P,'1-2 人员岗位信息'!$C:$C,"劳务派遣",'1-2 人员岗位信息'!$B:$B,$D124)</f>
        <v>0</v>
      </c>
      <c r="BI124" s="304"/>
      <c r="BJ124" s="181">
        <f t="shared" si="221"/>
        <v>0</v>
      </c>
      <c r="BK124" s="181">
        <f>SUMIFS('1-2 人员岗位信息'!Q:Q,'1-2 人员岗位信息'!$C:$C,"劳务派遣",'1-2 人员岗位信息'!$B:$B,$D124)</f>
        <v>0</v>
      </c>
      <c r="BL124" s="313"/>
      <c r="BM124" s="317"/>
      <c r="BN124" s="321"/>
    </row>
    <row r="125" s="269" customFormat="1" ht="33.95" hidden="1" customHeight="1" outlineLevel="5" spans="2:66">
      <c r="B125" s="181" t="s">
        <v>792</v>
      </c>
      <c r="C125" s="289" t="s">
        <v>1005</v>
      </c>
      <c r="D125" s="269" t="s">
        <v>985</v>
      </c>
      <c r="E125" s="181" t="s">
        <v>986</v>
      </c>
      <c r="F125" s="181"/>
      <c r="G125" s="181" t="s">
        <v>796</v>
      </c>
      <c r="H125" s="181">
        <f t="shared" si="205"/>
        <v>0</v>
      </c>
      <c r="I125" s="181" t="s">
        <v>797</v>
      </c>
      <c r="J125" s="181" t="e">
        <f t="shared" si="206"/>
        <v>#DIV/0!</v>
      </c>
      <c r="K125" s="181" t="s">
        <v>798</v>
      </c>
      <c r="L125" s="181" t="e">
        <f t="shared" si="207"/>
        <v>#DIV/0!</v>
      </c>
      <c r="M125" s="181" t="s">
        <v>799</v>
      </c>
      <c r="N125" s="181">
        <f t="shared" si="208"/>
        <v>0</v>
      </c>
      <c r="O125" s="181"/>
      <c r="P125" s="296"/>
      <c r="Q125" s="296"/>
      <c r="R125" s="296"/>
      <c r="S125" s="296"/>
      <c r="T125" s="296"/>
      <c r="U125" s="296"/>
      <c r="V125" s="296"/>
      <c r="W125" s="296"/>
      <c r="X125" s="296"/>
      <c r="Y125" s="296"/>
      <c r="Z125" s="296"/>
      <c r="AA125" s="296"/>
      <c r="AB125" s="181">
        <f t="shared" si="209"/>
        <v>0</v>
      </c>
      <c r="AC125" s="181">
        <f t="shared" si="210"/>
        <v>0</v>
      </c>
      <c r="AD125" s="181">
        <f>SUMIFS('1-2 人员岗位信息'!F:F,'1-2 人员岗位信息'!$C:$C,"劳务派遣",'1-2 人员岗位信息'!$B:$B,$D125)</f>
        <v>0</v>
      </c>
      <c r="AE125" s="304"/>
      <c r="AF125" s="181">
        <f t="shared" si="211"/>
        <v>0</v>
      </c>
      <c r="AG125" s="181">
        <f>SUMIFS('1-2 人员岗位信息'!G:G,'1-2 人员岗位信息'!$C:$C,"劳务派遣",'1-2 人员岗位信息'!$B:$B,$D125)</f>
        <v>0</v>
      </c>
      <c r="AH125" s="304"/>
      <c r="AI125" s="181">
        <f t="shared" si="212"/>
        <v>0</v>
      </c>
      <c r="AJ125" s="181">
        <f>SUMIFS('1-2 人员岗位信息'!H:H,'1-2 人员岗位信息'!$C:$C,"劳务派遣",'1-2 人员岗位信息'!$B:$B,$D125)</f>
        <v>0</v>
      </c>
      <c r="AK125" s="304"/>
      <c r="AL125" s="181">
        <f t="shared" si="213"/>
        <v>0</v>
      </c>
      <c r="AM125" s="181">
        <f>SUMIFS('1-2 人员岗位信息'!I:I,'1-2 人员岗位信息'!$C:$C,"劳务派遣",'1-2 人员岗位信息'!$B:$B,$D125)</f>
        <v>0</v>
      </c>
      <c r="AN125" s="304"/>
      <c r="AO125" s="181">
        <f t="shared" si="214"/>
        <v>0</v>
      </c>
      <c r="AP125" s="181">
        <f>SUMIFS('1-2 人员岗位信息'!J:J,'1-2 人员岗位信息'!$C:$C,"劳务派遣",'1-2 人员岗位信息'!$B:$B,$D125)</f>
        <v>0</v>
      </c>
      <c r="AQ125" s="304"/>
      <c r="AR125" s="181">
        <f t="shared" si="215"/>
        <v>0</v>
      </c>
      <c r="AS125" s="181">
        <f>SUMIFS('1-2 人员岗位信息'!K:K,'1-2 人员岗位信息'!$C:$C,"劳务派遣",'1-2 人员岗位信息'!$B:$B,$D125)</f>
        <v>0</v>
      </c>
      <c r="AT125" s="304"/>
      <c r="AU125" s="181">
        <f t="shared" si="216"/>
        <v>0</v>
      </c>
      <c r="AV125" s="181">
        <f>SUMIFS('1-2 人员岗位信息'!L:L,'1-2 人员岗位信息'!$C:$C,"劳务派遣",'1-2 人员岗位信息'!$B:$B,$D125)</f>
        <v>0</v>
      </c>
      <c r="AW125" s="304"/>
      <c r="AX125" s="181">
        <f t="shared" si="217"/>
        <v>0</v>
      </c>
      <c r="AY125" s="181">
        <f>SUMIFS('1-2 人员岗位信息'!M:M,'1-2 人员岗位信息'!$C:$C,"劳务派遣",'1-2 人员岗位信息'!$B:$B,$D125)</f>
        <v>0</v>
      </c>
      <c r="AZ125" s="304"/>
      <c r="BA125" s="181">
        <f t="shared" si="218"/>
        <v>0</v>
      </c>
      <c r="BB125" s="181">
        <f>SUMIFS('1-2 人员岗位信息'!N:N,'1-2 人员岗位信息'!$C:$C,"劳务派遣",'1-2 人员岗位信息'!$B:$B,$D125)</f>
        <v>0</v>
      </c>
      <c r="BC125" s="304"/>
      <c r="BD125" s="181">
        <f t="shared" si="219"/>
        <v>0</v>
      </c>
      <c r="BE125" s="181">
        <f>SUMIFS('1-2 人员岗位信息'!O:O,'1-2 人员岗位信息'!$C:$C,"劳务派遣",'1-2 人员岗位信息'!$B:$B,$D125)</f>
        <v>0</v>
      </c>
      <c r="BF125" s="304"/>
      <c r="BG125" s="181">
        <f t="shared" si="220"/>
        <v>0</v>
      </c>
      <c r="BH125" s="181">
        <f>SUMIFS('1-2 人员岗位信息'!P:P,'1-2 人员岗位信息'!$C:$C,"劳务派遣",'1-2 人员岗位信息'!$B:$B,$D125)</f>
        <v>0</v>
      </c>
      <c r="BI125" s="304"/>
      <c r="BJ125" s="181">
        <f t="shared" si="221"/>
        <v>0</v>
      </c>
      <c r="BK125" s="181">
        <f>SUMIFS('1-2 人员岗位信息'!Q:Q,'1-2 人员岗位信息'!$C:$C,"劳务派遣",'1-2 人员岗位信息'!$B:$B,$D125)</f>
        <v>0</v>
      </c>
      <c r="BL125" s="313"/>
      <c r="BM125" s="317"/>
      <c r="BN125" s="321"/>
    </row>
    <row r="126" s="269" customFormat="1" ht="33.95" hidden="1" customHeight="1" outlineLevel="5" spans="2:66">
      <c r="B126" s="181" t="s">
        <v>792</v>
      </c>
      <c r="C126" s="289" t="s">
        <v>1006</v>
      </c>
      <c r="D126" s="269" t="s">
        <v>988</v>
      </c>
      <c r="E126" s="181" t="s">
        <v>989</v>
      </c>
      <c r="F126" s="181"/>
      <c r="G126" s="181" t="s">
        <v>796</v>
      </c>
      <c r="H126" s="181">
        <f t="shared" si="205"/>
        <v>0</v>
      </c>
      <c r="I126" s="181" t="s">
        <v>797</v>
      </c>
      <c r="J126" s="181" t="e">
        <f t="shared" si="206"/>
        <v>#DIV/0!</v>
      </c>
      <c r="K126" s="181" t="s">
        <v>798</v>
      </c>
      <c r="L126" s="181" t="e">
        <f t="shared" si="207"/>
        <v>#DIV/0!</v>
      </c>
      <c r="M126" s="181" t="s">
        <v>799</v>
      </c>
      <c r="N126" s="181">
        <f t="shared" si="208"/>
        <v>0</v>
      </c>
      <c r="O126" s="181"/>
      <c r="P126" s="296"/>
      <c r="Q126" s="296"/>
      <c r="R126" s="296"/>
      <c r="S126" s="296"/>
      <c r="T126" s="296"/>
      <c r="U126" s="296"/>
      <c r="V126" s="296"/>
      <c r="W126" s="296"/>
      <c r="X126" s="296"/>
      <c r="Y126" s="296"/>
      <c r="Z126" s="296"/>
      <c r="AA126" s="296"/>
      <c r="AB126" s="181">
        <f t="shared" si="209"/>
        <v>0</v>
      </c>
      <c r="AC126" s="181">
        <f t="shared" si="210"/>
        <v>0</v>
      </c>
      <c r="AD126" s="181">
        <f>SUMIFS('1-2 人员岗位信息'!F:F,'1-2 人员岗位信息'!$C:$C,"劳务派遣",'1-2 人员岗位信息'!$B:$B,$D126)</f>
        <v>0</v>
      </c>
      <c r="AE126" s="304"/>
      <c r="AF126" s="181">
        <f t="shared" si="211"/>
        <v>0</v>
      </c>
      <c r="AG126" s="181">
        <f>SUMIFS('1-2 人员岗位信息'!G:G,'1-2 人员岗位信息'!$C:$C,"劳务派遣",'1-2 人员岗位信息'!$B:$B,$D126)</f>
        <v>0</v>
      </c>
      <c r="AH126" s="304"/>
      <c r="AI126" s="181">
        <f t="shared" si="212"/>
        <v>0</v>
      </c>
      <c r="AJ126" s="181">
        <f>SUMIFS('1-2 人员岗位信息'!H:H,'1-2 人员岗位信息'!$C:$C,"劳务派遣",'1-2 人员岗位信息'!$B:$B,$D126)</f>
        <v>0</v>
      </c>
      <c r="AK126" s="304"/>
      <c r="AL126" s="181">
        <f t="shared" si="213"/>
        <v>0</v>
      </c>
      <c r="AM126" s="181">
        <f>SUMIFS('1-2 人员岗位信息'!I:I,'1-2 人员岗位信息'!$C:$C,"劳务派遣",'1-2 人员岗位信息'!$B:$B,$D126)</f>
        <v>0</v>
      </c>
      <c r="AN126" s="304"/>
      <c r="AO126" s="181">
        <f t="shared" si="214"/>
        <v>0</v>
      </c>
      <c r="AP126" s="181">
        <f>SUMIFS('1-2 人员岗位信息'!J:J,'1-2 人员岗位信息'!$C:$C,"劳务派遣",'1-2 人员岗位信息'!$B:$B,$D126)</f>
        <v>0</v>
      </c>
      <c r="AQ126" s="304"/>
      <c r="AR126" s="181">
        <f t="shared" si="215"/>
        <v>0</v>
      </c>
      <c r="AS126" s="181">
        <f>SUMIFS('1-2 人员岗位信息'!K:K,'1-2 人员岗位信息'!$C:$C,"劳务派遣",'1-2 人员岗位信息'!$B:$B,$D126)</f>
        <v>0</v>
      </c>
      <c r="AT126" s="304"/>
      <c r="AU126" s="181">
        <f t="shared" si="216"/>
        <v>0</v>
      </c>
      <c r="AV126" s="181">
        <f>SUMIFS('1-2 人员岗位信息'!L:L,'1-2 人员岗位信息'!$C:$C,"劳务派遣",'1-2 人员岗位信息'!$B:$B,$D126)</f>
        <v>0</v>
      </c>
      <c r="AW126" s="304"/>
      <c r="AX126" s="181">
        <f t="shared" si="217"/>
        <v>0</v>
      </c>
      <c r="AY126" s="181">
        <f>SUMIFS('1-2 人员岗位信息'!M:M,'1-2 人员岗位信息'!$C:$C,"劳务派遣",'1-2 人员岗位信息'!$B:$B,$D126)</f>
        <v>0</v>
      </c>
      <c r="AZ126" s="304"/>
      <c r="BA126" s="181">
        <f t="shared" si="218"/>
        <v>0</v>
      </c>
      <c r="BB126" s="181">
        <f>SUMIFS('1-2 人员岗位信息'!N:N,'1-2 人员岗位信息'!$C:$C,"劳务派遣",'1-2 人员岗位信息'!$B:$B,$D126)</f>
        <v>0</v>
      </c>
      <c r="BC126" s="304"/>
      <c r="BD126" s="181">
        <f t="shared" si="219"/>
        <v>0</v>
      </c>
      <c r="BE126" s="181">
        <f>SUMIFS('1-2 人员岗位信息'!O:O,'1-2 人员岗位信息'!$C:$C,"劳务派遣",'1-2 人员岗位信息'!$B:$B,$D126)</f>
        <v>0</v>
      </c>
      <c r="BF126" s="304"/>
      <c r="BG126" s="181">
        <f t="shared" si="220"/>
        <v>0</v>
      </c>
      <c r="BH126" s="181">
        <f>SUMIFS('1-2 人员岗位信息'!P:P,'1-2 人员岗位信息'!$C:$C,"劳务派遣",'1-2 人员岗位信息'!$B:$B,$D126)</f>
        <v>0</v>
      </c>
      <c r="BI126" s="304"/>
      <c r="BJ126" s="181">
        <f t="shared" si="221"/>
        <v>0</v>
      </c>
      <c r="BK126" s="181">
        <f>SUMIFS('1-2 人员岗位信息'!Q:Q,'1-2 人员岗位信息'!$C:$C,"劳务派遣",'1-2 人员岗位信息'!$B:$B,$D126)</f>
        <v>0</v>
      </c>
      <c r="BL126" s="313"/>
      <c r="BM126" s="317"/>
      <c r="BN126" s="321"/>
    </row>
    <row r="127" s="269" customFormat="1" ht="33.95" hidden="1" customHeight="1" outlineLevel="5" spans="2:66">
      <c r="B127" s="181" t="s">
        <v>792</v>
      </c>
      <c r="C127" s="289" t="s">
        <v>1007</v>
      </c>
      <c r="D127" s="269" t="s">
        <v>991</v>
      </c>
      <c r="E127" s="181" t="s">
        <v>989</v>
      </c>
      <c r="F127" s="181"/>
      <c r="G127" s="181" t="s">
        <v>796</v>
      </c>
      <c r="H127" s="181">
        <f t="shared" si="205"/>
        <v>0</v>
      </c>
      <c r="I127" s="181" t="s">
        <v>797</v>
      </c>
      <c r="J127" s="181" t="e">
        <f t="shared" si="206"/>
        <v>#DIV/0!</v>
      </c>
      <c r="K127" s="181" t="s">
        <v>798</v>
      </c>
      <c r="L127" s="181" t="e">
        <f t="shared" si="207"/>
        <v>#DIV/0!</v>
      </c>
      <c r="M127" s="181" t="s">
        <v>799</v>
      </c>
      <c r="N127" s="181">
        <f t="shared" si="208"/>
        <v>0</v>
      </c>
      <c r="O127" s="181"/>
      <c r="P127" s="296"/>
      <c r="Q127" s="296"/>
      <c r="R127" s="296"/>
      <c r="S127" s="296"/>
      <c r="T127" s="296"/>
      <c r="U127" s="296"/>
      <c r="V127" s="296"/>
      <c r="W127" s="296"/>
      <c r="X127" s="296"/>
      <c r="Y127" s="296"/>
      <c r="Z127" s="296"/>
      <c r="AA127" s="296"/>
      <c r="AB127" s="181">
        <f t="shared" si="209"/>
        <v>0</v>
      </c>
      <c r="AC127" s="181">
        <f t="shared" si="210"/>
        <v>0</v>
      </c>
      <c r="AD127" s="181">
        <f>SUMIFS('1-2 人员岗位信息'!F:F,'1-2 人员岗位信息'!$C:$C,"劳务派遣",'1-2 人员岗位信息'!$B:$B,$D127)</f>
        <v>0</v>
      </c>
      <c r="AE127" s="304"/>
      <c r="AF127" s="181">
        <f t="shared" si="211"/>
        <v>0</v>
      </c>
      <c r="AG127" s="181">
        <f>SUMIFS('1-2 人员岗位信息'!G:G,'1-2 人员岗位信息'!$C:$C,"劳务派遣",'1-2 人员岗位信息'!$B:$B,$D127)</f>
        <v>0</v>
      </c>
      <c r="AH127" s="304"/>
      <c r="AI127" s="181">
        <f t="shared" si="212"/>
        <v>0</v>
      </c>
      <c r="AJ127" s="181">
        <f>SUMIFS('1-2 人员岗位信息'!H:H,'1-2 人员岗位信息'!$C:$C,"劳务派遣",'1-2 人员岗位信息'!$B:$B,$D127)</f>
        <v>0</v>
      </c>
      <c r="AK127" s="304"/>
      <c r="AL127" s="181">
        <f t="shared" si="213"/>
        <v>0</v>
      </c>
      <c r="AM127" s="181">
        <f>SUMIFS('1-2 人员岗位信息'!I:I,'1-2 人员岗位信息'!$C:$C,"劳务派遣",'1-2 人员岗位信息'!$B:$B,$D127)</f>
        <v>0</v>
      </c>
      <c r="AN127" s="304"/>
      <c r="AO127" s="181">
        <f t="shared" si="214"/>
        <v>0</v>
      </c>
      <c r="AP127" s="181">
        <f>SUMIFS('1-2 人员岗位信息'!J:J,'1-2 人员岗位信息'!$C:$C,"劳务派遣",'1-2 人员岗位信息'!$B:$B,$D127)</f>
        <v>0</v>
      </c>
      <c r="AQ127" s="304"/>
      <c r="AR127" s="181">
        <f t="shared" si="215"/>
        <v>0</v>
      </c>
      <c r="AS127" s="181">
        <f>SUMIFS('1-2 人员岗位信息'!K:K,'1-2 人员岗位信息'!$C:$C,"劳务派遣",'1-2 人员岗位信息'!$B:$B,$D127)</f>
        <v>0</v>
      </c>
      <c r="AT127" s="304"/>
      <c r="AU127" s="181">
        <f t="shared" si="216"/>
        <v>0</v>
      </c>
      <c r="AV127" s="181">
        <f>SUMIFS('1-2 人员岗位信息'!L:L,'1-2 人员岗位信息'!$C:$C,"劳务派遣",'1-2 人员岗位信息'!$B:$B,$D127)</f>
        <v>0</v>
      </c>
      <c r="AW127" s="304"/>
      <c r="AX127" s="181">
        <f t="shared" si="217"/>
        <v>0</v>
      </c>
      <c r="AY127" s="181">
        <f>SUMIFS('1-2 人员岗位信息'!M:M,'1-2 人员岗位信息'!$C:$C,"劳务派遣",'1-2 人员岗位信息'!$B:$B,$D127)</f>
        <v>0</v>
      </c>
      <c r="AZ127" s="304"/>
      <c r="BA127" s="181">
        <f t="shared" si="218"/>
        <v>0</v>
      </c>
      <c r="BB127" s="181">
        <f>SUMIFS('1-2 人员岗位信息'!N:N,'1-2 人员岗位信息'!$C:$C,"劳务派遣",'1-2 人员岗位信息'!$B:$B,$D127)</f>
        <v>0</v>
      </c>
      <c r="BC127" s="304"/>
      <c r="BD127" s="181">
        <f t="shared" si="219"/>
        <v>0</v>
      </c>
      <c r="BE127" s="181">
        <f>SUMIFS('1-2 人员岗位信息'!O:O,'1-2 人员岗位信息'!$C:$C,"劳务派遣",'1-2 人员岗位信息'!$B:$B,$D127)</f>
        <v>0</v>
      </c>
      <c r="BF127" s="304"/>
      <c r="BG127" s="181">
        <f t="shared" si="220"/>
        <v>0</v>
      </c>
      <c r="BH127" s="181">
        <f>SUMIFS('1-2 人员岗位信息'!P:P,'1-2 人员岗位信息'!$C:$C,"劳务派遣",'1-2 人员岗位信息'!$B:$B,$D127)</f>
        <v>0</v>
      </c>
      <c r="BI127" s="304"/>
      <c r="BJ127" s="181">
        <f t="shared" si="221"/>
        <v>0</v>
      </c>
      <c r="BK127" s="181">
        <f>SUMIFS('1-2 人员岗位信息'!Q:Q,'1-2 人员岗位信息'!$C:$C,"劳务派遣",'1-2 人员岗位信息'!$B:$B,$D127)</f>
        <v>0</v>
      </c>
      <c r="BL127" s="313"/>
      <c r="BM127" s="317"/>
      <c r="BN127" s="321"/>
    </row>
    <row r="128" s="269" customFormat="1" ht="33.95" hidden="1" customHeight="1" outlineLevel="5" spans="2:66">
      <c r="B128" s="181" t="s">
        <v>792</v>
      </c>
      <c r="C128" s="289" t="s">
        <v>1008</v>
      </c>
      <c r="D128" s="269" t="s">
        <v>993</v>
      </c>
      <c r="E128" s="181" t="s">
        <v>989</v>
      </c>
      <c r="F128" s="181"/>
      <c r="G128" s="181" t="s">
        <v>796</v>
      </c>
      <c r="H128" s="181">
        <f t="shared" si="205"/>
        <v>0</v>
      </c>
      <c r="I128" s="181" t="s">
        <v>797</v>
      </c>
      <c r="J128" s="181" t="e">
        <f t="shared" si="206"/>
        <v>#DIV/0!</v>
      </c>
      <c r="K128" s="181" t="s">
        <v>798</v>
      </c>
      <c r="L128" s="181" t="e">
        <f t="shared" si="207"/>
        <v>#DIV/0!</v>
      </c>
      <c r="M128" s="181" t="s">
        <v>799</v>
      </c>
      <c r="N128" s="181">
        <f t="shared" si="208"/>
        <v>0</v>
      </c>
      <c r="O128" s="181"/>
      <c r="P128" s="296"/>
      <c r="Q128" s="296"/>
      <c r="R128" s="296"/>
      <c r="S128" s="296"/>
      <c r="T128" s="296"/>
      <c r="U128" s="296"/>
      <c r="V128" s="296"/>
      <c r="W128" s="296"/>
      <c r="X128" s="296"/>
      <c r="Y128" s="296"/>
      <c r="Z128" s="296"/>
      <c r="AA128" s="296"/>
      <c r="AB128" s="181">
        <f t="shared" si="209"/>
        <v>0</v>
      </c>
      <c r="AC128" s="181">
        <f t="shared" si="210"/>
        <v>0</v>
      </c>
      <c r="AD128" s="181">
        <f>SUMIFS('1-2 人员岗位信息'!F:F,'1-2 人员岗位信息'!$C:$C,"劳务派遣",'1-2 人员岗位信息'!$B:$B,$D128)</f>
        <v>0</v>
      </c>
      <c r="AE128" s="304"/>
      <c r="AF128" s="181">
        <f t="shared" si="211"/>
        <v>0</v>
      </c>
      <c r="AG128" s="181">
        <f>SUMIFS('1-2 人员岗位信息'!G:G,'1-2 人员岗位信息'!$C:$C,"劳务派遣",'1-2 人员岗位信息'!$B:$B,$D128)</f>
        <v>0</v>
      </c>
      <c r="AH128" s="304"/>
      <c r="AI128" s="181">
        <f t="shared" si="212"/>
        <v>0</v>
      </c>
      <c r="AJ128" s="181">
        <f>SUMIFS('1-2 人员岗位信息'!H:H,'1-2 人员岗位信息'!$C:$C,"劳务派遣",'1-2 人员岗位信息'!$B:$B,$D128)</f>
        <v>0</v>
      </c>
      <c r="AK128" s="304"/>
      <c r="AL128" s="181">
        <f t="shared" si="213"/>
        <v>0</v>
      </c>
      <c r="AM128" s="181">
        <f>SUMIFS('1-2 人员岗位信息'!I:I,'1-2 人员岗位信息'!$C:$C,"劳务派遣",'1-2 人员岗位信息'!$B:$B,$D128)</f>
        <v>0</v>
      </c>
      <c r="AN128" s="304"/>
      <c r="AO128" s="181">
        <f t="shared" si="214"/>
        <v>0</v>
      </c>
      <c r="AP128" s="181">
        <f>SUMIFS('1-2 人员岗位信息'!J:J,'1-2 人员岗位信息'!$C:$C,"劳务派遣",'1-2 人员岗位信息'!$B:$B,$D128)</f>
        <v>0</v>
      </c>
      <c r="AQ128" s="304"/>
      <c r="AR128" s="181">
        <f t="shared" si="215"/>
        <v>0</v>
      </c>
      <c r="AS128" s="181">
        <f>SUMIFS('1-2 人员岗位信息'!K:K,'1-2 人员岗位信息'!$C:$C,"劳务派遣",'1-2 人员岗位信息'!$B:$B,$D128)</f>
        <v>0</v>
      </c>
      <c r="AT128" s="304"/>
      <c r="AU128" s="181">
        <f t="shared" si="216"/>
        <v>0</v>
      </c>
      <c r="AV128" s="181">
        <f>SUMIFS('1-2 人员岗位信息'!L:L,'1-2 人员岗位信息'!$C:$C,"劳务派遣",'1-2 人员岗位信息'!$B:$B,$D128)</f>
        <v>0</v>
      </c>
      <c r="AW128" s="304"/>
      <c r="AX128" s="181">
        <f t="shared" si="217"/>
        <v>0</v>
      </c>
      <c r="AY128" s="181">
        <f>SUMIFS('1-2 人员岗位信息'!M:M,'1-2 人员岗位信息'!$C:$C,"劳务派遣",'1-2 人员岗位信息'!$B:$B,$D128)</f>
        <v>0</v>
      </c>
      <c r="AZ128" s="304"/>
      <c r="BA128" s="181">
        <f t="shared" si="218"/>
        <v>0</v>
      </c>
      <c r="BB128" s="181">
        <f>SUMIFS('1-2 人员岗位信息'!N:N,'1-2 人员岗位信息'!$C:$C,"劳务派遣",'1-2 人员岗位信息'!$B:$B,$D128)</f>
        <v>0</v>
      </c>
      <c r="BC128" s="304"/>
      <c r="BD128" s="181">
        <f t="shared" si="219"/>
        <v>0</v>
      </c>
      <c r="BE128" s="181">
        <f>SUMIFS('1-2 人员岗位信息'!O:O,'1-2 人员岗位信息'!$C:$C,"劳务派遣",'1-2 人员岗位信息'!$B:$B,$D128)</f>
        <v>0</v>
      </c>
      <c r="BF128" s="304"/>
      <c r="BG128" s="181">
        <f t="shared" si="220"/>
        <v>0</v>
      </c>
      <c r="BH128" s="181">
        <f>SUMIFS('1-2 人员岗位信息'!P:P,'1-2 人员岗位信息'!$C:$C,"劳务派遣",'1-2 人员岗位信息'!$B:$B,$D128)</f>
        <v>0</v>
      </c>
      <c r="BI128" s="304"/>
      <c r="BJ128" s="181">
        <f t="shared" si="221"/>
        <v>0</v>
      </c>
      <c r="BK128" s="181">
        <f>SUMIFS('1-2 人员岗位信息'!Q:Q,'1-2 人员岗位信息'!$C:$C,"劳务派遣",'1-2 人员岗位信息'!$B:$B,$D128)</f>
        <v>0</v>
      </c>
      <c r="BL128" s="313"/>
      <c r="BM128" s="317"/>
      <c r="BN128" s="321"/>
    </row>
    <row r="129" s="269" customFormat="1" ht="33.95" hidden="1" customHeight="1" outlineLevel="5" spans="2:66">
      <c r="B129" s="181" t="s">
        <v>792</v>
      </c>
      <c r="C129" s="289" t="s">
        <v>1009</v>
      </c>
      <c r="D129" s="269" t="s">
        <v>995</v>
      </c>
      <c r="E129" s="181" t="s">
        <v>989</v>
      </c>
      <c r="F129" s="181"/>
      <c r="G129" s="181" t="s">
        <v>796</v>
      </c>
      <c r="H129" s="181">
        <f t="shared" si="205"/>
        <v>0</v>
      </c>
      <c r="I129" s="181" t="s">
        <v>797</v>
      </c>
      <c r="J129" s="181" t="e">
        <f t="shared" si="206"/>
        <v>#DIV/0!</v>
      </c>
      <c r="K129" s="181" t="s">
        <v>798</v>
      </c>
      <c r="L129" s="181" t="e">
        <f t="shared" si="207"/>
        <v>#DIV/0!</v>
      </c>
      <c r="M129" s="181" t="s">
        <v>799</v>
      </c>
      <c r="N129" s="181">
        <f t="shared" si="208"/>
        <v>0</v>
      </c>
      <c r="O129" s="181"/>
      <c r="P129" s="296"/>
      <c r="Q129" s="296"/>
      <c r="R129" s="296"/>
      <c r="S129" s="296"/>
      <c r="T129" s="296"/>
      <c r="U129" s="296"/>
      <c r="V129" s="296"/>
      <c r="W129" s="296"/>
      <c r="X129" s="296"/>
      <c r="Y129" s="296"/>
      <c r="Z129" s="296"/>
      <c r="AA129" s="296"/>
      <c r="AB129" s="181">
        <f t="shared" si="209"/>
        <v>0</v>
      </c>
      <c r="AC129" s="181">
        <f t="shared" si="210"/>
        <v>0</v>
      </c>
      <c r="AD129" s="181">
        <f>SUMIFS('1-2 人员岗位信息'!F:F,'1-2 人员岗位信息'!$C:$C,"劳务派遣",'1-2 人员岗位信息'!$B:$B,$D129)</f>
        <v>0</v>
      </c>
      <c r="AE129" s="304"/>
      <c r="AF129" s="181">
        <f t="shared" si="211"/>
        <v>0</v>
      </c>
      <c r="AG129" s="181">
        <f>SUMIFS('1-2 人员岗位信息'!G:G,'1-2 人员岗位信息'!$C:$C,"劳务派遣",'1-2 人员岗位信息'!$B:$B,$D129)</f>
        <v>0</v>
      </c>
      <c r="AH129" s="304"/>
      <c r="AI129" s="181">
        <f t="shared" si="212"/>
        <v>0</v>
      </c>
      <c r="AJ129" s="181">
        <f>SUMIFS('1-2 人员岗位信息'!H:H,'1-2 人员岗位信息'!$C:$C,"劳务派遣",'1-2 人员岗位信息'!$B:$B,$D129)</f>
        <v>0</v>
      </c>
      <c r="AK129" s="304"/>
      <c r="AL129" s="181">
        <f t="shared" si="213"/>
        <v>0</v>
      </c>
      <c r="AM129" s="181">
        <f>SUMIFS('1-2 人员岗位信息'!I:I,'1-2 人员岗位信息'!$C:$C,"劳务派遣",'1-2 人员岗位信息'!$B:$B,$D129)</f>
        <v>0</v>
      </c>
      <c r="AN129" s="304"/>
      <c r="AO129" s="181">
        <f t="shared" si="214"/>
        <v>0</v>
      </c>
      <c r="AP129" s="181">
        <f>SUMIFS('1-2 人员岗位信息'!J:J,'1-2 人员岗位信息'!$C:$C,"劳务派遣",'1-2 人员岗位信息'!$B:$B,$D129)</f>
        <v>0</v>
      </c>
      <c r="AQ129" s="304"/>
      <c r="AR129" s="181">
        <f t="shared" si="215"/>
        <v>0</v>
      </c>
      <c r="AS129" s="181">
        <f>SUMIFS('1-2 人员岗位信息'!K:K,'1-2 人员岗位信息'!$C:$C,"劳务派遣",'1-2 人员岗位信息'!$B:$B,$D129)</f>
        <v>0</v>
      </c>
      <c r="AT129" s="304"/>
      <c r="AU129" s="181">
        <f t="shared" si="216"/>
        <v>0</v>
      </c>
      <c r="AV129" s="181">
        <f>SUMIFS('1-2 人员岗位信息'!L:L,'1-2 人员岗位信息'!$C:$C,"劳务派遣",'1-2 人员岗位信息'!$B:$B,$D129)</f>
        <v>0</v>
      </c>
      <c r="AW129" s="304"/>
      <c r="AX129" s="181">
        <f t="shared" si="217"/>
        <v>0</v>
      </c>
      <c r="AY129" s="181">
        <f>SUMIFS('1-2 人员岗位信息'!M:M,'1-2 人员岗位信息'!$C:$C,"劳务派遣",'1-2 人员岗位信息'!$B:$B,$D129)</f>
        <v>0</v>
      </c>
      <c r="AZ129" s="304"/>
      <c r="BA129" s="181">
        <f t="shared" si="218"/>
        <v>0</v>
      </c>
      <c r="BB129" s="181">
        <f>SUMIFS('1-2 人员岗位信息'!N:N,'1-2 人员岗位信息'!$C:$C,"劳务派遣",'1-2 人员岗位信息'!$B:$B,$D129)</f>
        <v>0</v>
      </c>
      <c r="BC129" s="304"/>
      <c r="BD129" s="181">
        <f t="shared" si="219"/>
        <v>0</v>
      </c>
      <c r="BE129" s="181">
        <f>SUMIFS('1-2 人员岗位信息'!O:O,'1-2 人员岗位信息'!$C:$C,"劳务派遣",'1-2 人员岗位信息'!$B:$B,$D129)</f>
        <v>0</v>
      </c>
      <c r="BF129" s="304"/>
      <c r="BG129" s="181">
        <f t="shared" si="220"/>
        <v>0</v>
      </c>
      <c r="BH129" s="181">
        <f>SUMIFS('1-2 人员岗位信息'!P:P,'1-2 人员岗位信息'!$C:$C,"劳务派遣",'1-2 人员岗位信息'!$B:$B,$D129)</f>
        <v>0</v>
      </c>
      <c r="BI129" s="304"/>
      <c r="BJ129" s="181">
        <f t="shared" si="221"/>
        <v>0</v>
      </c>
      <c r="BK129" s="181">
        <f>SUMIFS('1-2 人员岗位信息'!Q:Q,'1-2 人员岗位信息'!$C:$C,"劳务派遣",'1-2 人员岗位信息'!$B:$B,$D129)</f>
        <v>0</v>
      </c>
      <c r="BL129" s="313"/>
      <c r="BM129" s="317"/>
      <c r="BN129" s="321"/>
    </row>
    <row r="130" s="269" customFormat="1" ht="33.95" hidden="1" customHeight="1" outlineLevel="5" spans="2:66">
      <c r="B130" s="181" t="s">
        <v>792</v>
      </c>
      <c r="C130" s="289" t="s">
        <v>1010</v>
      </c>
      <c r="D130" s="269" t="s">
        <v>997</v>
      </c>
      <c r="E130" s="181" t="s">
        <v>998</v>
      </c>
      <c r="F130" s="181"/>
      <c r="G130" s="181" t="s">
        <v>796</v>
      </c>
      <c r="H130" s="181">
        <f t="shared" si="205"/>
        <v>0</v>
      </c>
      <c r="I130" s="181" t="s">
        <v>797</v>
      </c>
      <c r="J130" s="181" t="e">
        <f t="shared" si="206"/>
        <v>#DIV/0!</v>
      </c>
      <c r="K130" s="181" t="s">
        <v>798</v>
      </c>
      <c r="L130" s="181" t="e">
        <f t="shared" si="207"/>
        <v>#DIV/0!</v>
      </c>
      <c r="M130" s="181" t="s">
        <v>799</v>
      </c>
      <c r="N130" s="181">
        <f t="shared" si="208"/>
        <v>0</v>
      </c>
      <c r="O130" s="181"/>
      <c r="P130" s="296"/>
      <c r="Q130" s="296"/>
      <c r="R130" s="296"/>
      <c r="S130" s="296"/>
      <c r="T130" s="296"/>
      <c r="U130" s="296"/>
      <c r="V130" s="296"/>
      <c r="W130" s="296"/>
      <c r="X130" s="296"/>
      <c r="Y130" s="296"/>
      <c r="Z130" s="296"/>
      <c r="AA130" s="296"/>
      <c r="AB130" s="181">
        <f t="shared" si="209"/>
        <v>0</v>
      </c>
      <c r="AC130" s="181">
        <f t="shared" si="210"/>
        <v>0</v>
      </c>
      <c r="AD130" s="181">
        <f>SUMIFS('1-2 人员岗位信息'!F:F,'1-2 人员岗位信息'!$C:$C,"劳务派遣",'1-2 人员岗位信息'!$B:$B,$D130)</f>
        <v>0</v>
      </c>
      <c r="AE130" s="304"/>
      <c r="AF130" s="181">
        <f t="shared" si="211"/>
        <v>0</v>
      </c>
      <c r="AG130" s="181">
        <f>SUMIFS('1-2 人员岗位信息'!G:G,'1-2 人员岗位信息'!$C:$C,"劳务派遣",'1-2 人员岗位信息'!$B:$B,$D130)</f>
        <v>0</v>
      </c>
      <c r="AH130" s="304"/>
      <c r="AI130" s="181">
        <f t="shared" si="212"/>
        <v>0</v>
      </c>
      <c r="AJ130" s="181">
        <f>SUMIFS('1-2 人员岗位信息'!H:H,'1-2 人员岗位信息'!$C:$C,"劳务派遣",'1-2 人员岗位信息'!$B:$B,$D130)</f>
        <v>0</v>
      </c>
      <c r="AK130" s="304"/>
      <c r="AL130" s="181">
        <f t="shared" si="213"/>
        <v>0</v>
      </c>
      <c r="AM130" s="181">
        <f>SUMIFS('1-2 人员岗位信息'!I:I,'1-2 人员岗位信息'!$C:$C,"劳务派遣",'1-2 人员岗位信息'!$B:$B,$D130)</f>
        <v>0</v>
      </c>
      <c r="AN130" s="304"/>
      <c r="AO130" s="181">
        <f t="shared" si="214"/>
        <v>0</v>
      </c>
      <c r="AP130" s="181">
        <f>SUMIFS('1-2 人员岗位信息'!J:J,'1-2 人员岗位信息'!$C:$C,"劳务派遣",'1-2 人员岗位信息'!$B:$B,$D130)</f>
        <v>0</v>
      </c>
      <c r="AQ130" s="304"/>
      <c r="AR130" s="181">
        <f t="shared" si="215"/>
        <v>0</v>
      </c>
      <c r="AS130" s="181">
        <f>SUMIFS('1-2 人员岗位信息'!K:K,'1-2 人员岗位信息'!$C:$C,"劳务派遣",'1-2 人员岗位信息'!$B:$B,$D130)</f>
        <v>0</v>
      </c>
      <c r="AT130" s="304"/>
      <c r="AU130" s="181">
        <f t="shared" si="216"/>
        <v>0</v>
      </c>
      <c r="AV130" s="181">
        <f>SUMIFS('1-2 人员岗位信息'!L:L,'1-2 人员岗位信息'!$C:$C,"劳务派遣",'1-2 人员岗位信息'!$B:$B,$D130)</f>
        <v>0</v>
      </c>
      <c r="AW130" s="304"/>
      <c r="AX130" s="181">
        <f t="shared" si="217"/>
        <v>0</v>
      </c>
      <c r="AY130" s="181">
        <f>SUMIFS('1-2 人员岗位信息'!M:M,'1-2 人员岗位信息'!$C:$C,"劳务派遣",'1-2 人员岗位信息'!$B:$B,$D130)</f>
        <v>0</v>
      </c>
      <c r="AZ130" s="304"/>
      <c r="BA130" s="181">
        <f t="shared" si="218"/>
        <v>0</v>
      </c>
      <c r="BB130" s="181">
        <f>SUMIFS('1-2 人员岗位信息'!N:N,'1-2 人员岗位信息'!$C:$C,"劳务派遣",'1-2 人员岗位信息'!$B:$B,$D130)</f>
        <v>0</v>
      </c>
      <c r="BC130" s="304"/>
      <c r="BD130" s="181">
        <f t="shared" si="219"/>
        <v>0</v>
      </c>
      <c r="BE130" s="181">
        <f>SUMIFS('1-2 人员岗位信息'!O:O,'1-2 人员岗位信息'!$C:$C,"劳务派遣",'1-2 人员岗位信息'!$B:$B,$D130)</f>
        <v>0</v>
      </c>
      <c r="BF130" s="304"/>
      <c r="BG130" s="181">
        <f t="shared" si="220"/>
        <v>0</v>
      </c>
      <c r="BH130" s="181">
        <f>SUMIFS('1-2 人员岗位信息'!P:P,'1-2 人员岗位信息'!$C:$C,"劳务派遣",'1-2 人员岗位信息'!$B:$B,$D130)</f>
        <v>0</v>
      </c>
      <c r="BI130" s="304"/>
      <c r="BJ130" s="181">
        <f t="shared" si="221"/>
        <v>0</v>
      </c>
      <c r="BK130" s="181">
        <f>SUMIFS('1-2 人员岗位信息'!Q:Q,'1-2 人员岗位信息'!$C:$C,"劳务派遣",'1-2 人员岗位信息'!$B:$B,$D130)</f>
        <v>0</v>
      </c>
      <c r="BL130" s="313"/>
      <c r="BM130" s="317"/>
      <c r="BN130" s="321"/>
    </row>
    <row r="131" s="269" customFormat="1" ht="33.95" hidden="1" customHeight="1" outlineLevel="5" spans="2:66">
      <c r="B131" s="181" t="s">
        <v>792</v>
      </c>
      <c r="C131" s="289" t="s">
        <v>1011</v>
      </c>
      <c r="D131" s="269" t="s">
        <v>1000</v>
      </c>
      <c r="E131" s="181" t="s">
        <v>814</v>
      </c>
      <c r="F131" s="181"/>
      <c r="G131" s="181" t="s">
        <v>796</v>
      </c>
      <c r="H131" s="181">
        <f t="shared" si="205"/>
        <v>0</v>
      </c>
      <c r="I131" s="181" t="s">
        <v>797</v>
      </c>
      <c r="J131" s="181" t="e">
        <f t="shared" si="206"/>
        <v>#DIV/0!</v>
      </c>
      <c r="K131" s="181" t="s">
        <v>798</v>
      </c>
      <c r="L131" s="181" t="e">
        <f t="shared" si="207"/>
        <v>#DIV/0!</v>
      </c>
      <c r="M131" s="181" t="s">
        <v>799</v>
      </c>
      <c r="N131" s="181">
        <f t="shared" si="208"/>
        <v>0</v>
      </c>
      <c r="O131" s="181"/>
      <c r="P131" s="296"/>
      <c r="Q131" s="296"/>
      <c r="R131" s="296"/>
      <c r="S131" s="296"/>
      <c r="T131" s="296"/>
      <c r="U131" s="296"/>
      <c r="V131" s="296"/>
      <c r="W131" s="296"/>
      <c r="X131" s="296"/>
      <c r="Y131" s="296"/>
      <c r="Z131" s="296"/>
      <c r="AA131" s="296"/>
      <c r="AB131" s="181">
        <f t="shared" si="209"/>
        <v>0</v>
      </c>
      <c r="AC131" s="181">
        <f t="shared" si="210"/>
        <v>0</v>
      </c>
      <c r="AD131" s="181">
        <f>SUMIFS('1-2 人员岗位信息'!F:F,'1-2 人员岗位信息'!$C:$C,"劳务派遣",'1-2 人员岗位信息'!$B:$B,$D131)</f>
        <v>0</v>
      </c>
      <c r="AE131" s="304"/>
      <c r="AF131" s="181">
        <f t="shared" si="211"/>
        <v>0</v>
      </c>
      <c r="AG131" s="181">
        <f>SUMIFS('1-2 人员岗位信息'!G:G,'1-2 人员岗位信息'!$C:$C,"劳务派遣",'1-2 人员岗位信息'!$B:$B,$D131)</f>
        <v>0</v>
      </c>
      <c r="AH131" s="304"/>
      <c r="AI131" s="181">
        <f t="shared" si="212"/>
        <v>0</v>
      </c>
      <c r="AJ131" s="181">
        <f>SUMIFS('1-2 人员岗位信息'!H:H,'1-2 人员岗位信息'!$C:$C,"劳务派遣",'1-2 人员岗位信息'!$B:$B,$D131)</f>
        <v>0</v>
      </c>
      <c r="AK131" s="304"/>
      <c r="AL131" s="181">
        <f t="shared" si="213"/>
        <v>0</v>
      </c>
      <c r="AM131" s="181">
        <f>SUMIFS('1-2 人员岗位信息'!I:I,'1-2 人员岗位信息'!$C:$C,"劳务派遣",'1-2 人员岗位信息'!$B:$B,$D131)</f>
        <v>0</v>
      </c>
      <c r="AN131" s="304"/>
      <c r="AO131" s="181">
        <f t="shared" si="214"/>
        <v>0</v>
      </c>
      <c r="AP131" s="181">
        <f>SUMIFS('1-2 人员岗位信息'!J:J,'1-2 人员岗位信息'!$C:$C,"劳务派遣",'1-2 人员岗位信息'!$B:$B,$D131)</f>
        <v>0</v>
      </c>
      <c r="AQ131" s="304"/>
      <c r="AR131" s="181">
        <f t="shared" si="215"/>
        <v>0</v>
      </c>
      <c r="AS131" s="181">
        <f>SUMIFS('1-2 人员岗位信息'!K:K,'1-2 人员岗位信息'!$C:$C,"劳务派遣",'1-2 人员岗位信息'!$B:$B,$D131)</f>
        <v>0</v>
      </c>
      <c r="AT131" s="304"/>
      <c r="AU131" s="181">
        <f t="shared" si="216"/>
        <v>0</v>
      </c>
      <c r="AV131" s="181">
        <f>SUMIFS('1-2 人员岗位信息'!L:L,'1-2 人员岗位信息'!$C:$C,"劳务派遣",'1-2 人员岗位信息'!$B:$B,$D131)</f>
        <v>0</v>
      </c>
      <c r="AW131" s="304"/>
      <c r="AX131" s="181">
        <f t="shared" si="217"/>
        <v>0</v>
      </c>
      <c r="AY131" s="181">
        <f>SUMIFS('1-2 人员岗位信息'!M:M,'1-2 人员岗位信息'!$C:$C,"劳务派遣",'1-2 人员岗位信息'!$B:$B,$D131)</f>
        <v>0</v>
      </c>
      <c r="AZ131" s="304"/>
      <c r="BA131" s="181">
        <f t="shared" si="218"/>
        <v>0</v>
      </c>
      <c r="BB131" s="181">
        <f>SUMIFS('1-2 人员岗位信息'!N:N,'1-2 人员岗位信息'!$C:$C,"劳务派遣",'1-2 人员岗位信息'!$B:$B,$D131)</f>
        <v>0</v>
      </c>
      <c r="BC131" s="304"/>
      <c r="BD131" s="181">
        <f t="shared" si="219"/>
        <v>0</v>
      </c>
      <c r="BE131" s="181">
        <f>SUMIFS('1-2 人员岗位信息'!O:O,'1-2 人员岗位信息'!$C:$C,"劳务派遣",'1-2 人员岗位信息'!$B:$B,$D131)</f>
        <v>0</v>
      </c>
      <c r="BF131" s="304"/>
      <c r="BG131" s="181">
        <f t="shared" si="220"/>
        <v>0</v>
      </c>
      <c r="BH131" s="181">
        <f>SUMIFS('1-2 人员岗位信息'!P:P,'1-2 人员岗位信息'!$C:$C,"劳务派遣",'1-2 人员岗位信息'!$B:$B,$D131)</f>
        <v>0</v>
      </c>
      <c r="BI131" s="304"/>
      <c r="BJ131" s="181">
        <f t="shared" si="221"/>
        <v>0</v>
      </c>
      <c r="BK131" s="181">
        <f>SUMIFS('1-2 人员岗位信息'!Q:Q,'1-2 人员岗位信息'!$C:$C,"劳务派遣",'1-2 人员岗位信息'!$B:$B,$D131)</f>
        <v>0</v>
      </c>
      <c r="BL131" s="313"/>
      <c r="BM131" s="317"/>
      <c r="BN131" s="321"/>
    </row>
    <row r="132" s="124" customFormat="1" ht="33.95" hidden="1" customHeight="1" outlineLevel="4" spans="2:66">
      <c r="B132" s="125" t="s">
        <v>787</v>
      </c>
      <c r="C132" s="126" t="s">
        <v>1012</v>
      </c>
      <c r="D132" s="124" t="s">
        <v>15</v>
      </c>
      <c r="E132" s="125"/>
      <c r="F132" s="125"/>
      <c r="G132" s="125"/>
      <c r="H132" s="125">
        <f>SUM(H133:H141)</f>
        <v>0</v>
      </c>
      <c r="I132" s="125"/>
      <c r="J132" s="125"/>
      <c r="K132" s="125"/>
      <c r="L132" s="125"/>
      <c r="M132" s="125"/>
      <c r="N132" s="125"/>
      <c r="O132" s="125"/>
      <c r="P132" s="295"/>
      <c r="Q132" s="295"/>
      <c r="R132" s="295"/>
      <c r="S132" s="295"/>
      <c r="T132" s="295"/>
      <c r="U132" s="295"/>
      <c r="V132" s="295"/>
      <c r="W132" s="295"/>
      <c r="X132" s="295"/>
      <c r="Y132" s="295"/>
      <c r="Z132" s="295"/>
      <c r="AA132" s="295"/>
      <c r="AB132" s="125">
        <f t="shared" ref="AB132:AF132" si="222">SUM(AB133:AB141)</f>
        <v>0</v>
      </c>
      <c r="AC132" s="125">
        <f t="shared" si="222"/>
        <v>0</v>
      </c>
      <c r="AD132" s="125"/>
      <c r="AE132" s="125"/>
      <c r="AF132" s="125">
        <f t="shared" si="222"/>
        <v>0</v>
      </c>
      <c r="AG132" s="125"/>
      <c r="AH132" s="125"/>
      <c r="AI132" s="125">
        <f>SUM(AI133:AI141)</f>
        <v>0</v>
      </c>
      <c r="AJ132" s="125"/>
      <c r="AK132" s="125"/>
      <c r="AL132" s="125">
        <f>SUM(AL133:AL141)</f>
        <v>0</v>
      </c>
      <c r="AM132" s="125"/>
      <c r="AN132" s="125"/>
      <c r="AO132" s="125">
        <f>SUM(AO133:AO141)</f>
        <v>0</v>
      </c>
      <c r="AP132" s="125"/>
      <c r="AQ132" s="125"/>
      <c r="AR132" s="125">
        <f>SUM(AR133:AR141)</f>
        <v>0</v>
      </c>
      <c r="AS132" s="125"/>
      <c r="AT132" s="125"/>
      <c r="AU132" s="125">
        <f>SUM(AU133:AU141)</f>
        <v>0</v>
      </c>
      <c r="AV132" s="125"/>
      <c r="AW132" s="125"/>
      <c r="AX132" s="125">
        <f>SUM(AX133:AX141)</f>
        <v>0</v>
      </c>
      <c r="AY132" s="125"/>
      <c r="AZ132" s="125"/>
      <c r="BA132" s="125">
        <f>SUM(BA133:BA141)</f>
        <v>0</v>
      </c>
      <c r="BB132" s="125"/>
      <c r="BC132" s="125"/>
      <c r="BD132" s="125">
        <f>SUM(BD133:BD141)</f>
        <v>0</v>
      </c>
      <c r="BE132" s="125"/>
      <c r="BF132" s="125"/>
      <c r="BG132" s="125">
        <f>SUM(BG133:BG141)</f>
        <v>0</v>
      </c>
      <c r="BH132" s="125"/>
      <c r="BI132" s="125"/>
      <c r="BJ132" s="125">
        <f>SUM(BJ133:BJ141)</f>
        <v>0</v>
      </c>
      <c r="BK132" s="125"/>
      <c r="BL132" s="312"/>
      <c r="BM132" s="317"/>
      <c r="BN132" s="320"/>
    </row>
    <row r="133" s="269" customFormat="1" ht="33.95" hidden="1" customHeight="1" outlineLevel="5" spans="2:66">
      <c r="B133" s="181" t="s">
        <v>792</v>
      </c>
      <c r="C133" s="289" t="s">
        <v>1013</v>
      </c>
      <c r="D133" s="269" t="s">
        <v>979</v>
      </c>
      <c r="E133" s="181" t="s">
        <v>1014</v>
      </c>
      <c r="F133" s="181"/>
      <c r="G133" s="181" t="s">
        <v>796</v>
      </c>
      <c r="H133" s="181">
        <f t="shared" ref="H133:H142" si="223">AB133</f>
        <v>0</v>
      </c>
      <c r="I133" s="181" t="s">
        <v>797</v>
      </c>
      <c r="J133" s="181" t="e">
        <f t="shared" ref="J133:J142" si="224">SUM(AD133,AG133,AJ133,AM133,AP133,AS133,AV133,AY133,BB133,BE133,BH133,BK133)/N133</f>
        <v>#DIV/0!</v>
      </c>
      <c r="K133" s="181" t="s">
        <v>798</v>
      </c>
      <c r="L133" s="181" t="e">
        <f t="shared" ref="L133:L142" si="225">H133/N133/J133</f>
        <v>#DIV/0!</v>
      </c>
      <c r="M133" s="181" t="s">
        <v>799</v>
      </c>
      <c r="N133" s="181">
        <f t="shared" ref="N133:N142" si="226">COUNTIF(AD133,"&gt;0")+COUNTIF(AG133,"&gt;0")+COUNTIF(AJ133,"&gt;0")+COUNTIF(AM133,"&gt;0")+COUNTIF(AP133,"&gt;0")+COUNTIF(AS133,"&gt;0")+COUNTIF(AV133,"&gt;0")+COUNTIF(AY133,"&gt;0")+COUNTIF(BB133,"&gt;0")+COUNTIF(BE133,"&gt;0")+COUNTIF(BH133,"&gt;0")+COUNTIF(BK133,"&gt;0")</f>
        <v>0</v>
      </c>
      <c r="O133" s="181"/>
      <c r="P133" s="296"/>
      <c r="Q133" s="296"/>
      <c r="R133" s="296"/>
      <c r="S133" s="296"/>
      <c r="T133" s="296"/>
      <c r="U133" s="296"/>
      <c r="V133" s="296"/>
      <c r="W133" s="296"/>
      <c r="X133" s="296"/>
      <c r="Y133" s="296"/>
      <c r="Z133" s="296"/>
      <c r="AA133" s="296"/>
      <c r="AB133" s="181">
        <f t="shared" ref="AB133:AB140" si="227">SUM(AC133,AF133,AI133,AL133,AO133,AR133,AU133,AX133,BA133,BD133,BG133,BJ133)</f>
        <v>0</v>
      </c>
      <c r="AC133" s="181">
        <f t="shared" ref="AC133:AC142" si="228">AD133*AE133</f>
        <v>0</v>
      </c>
      <c r="AD133" s="181">
        <f>SUMIFS('1-2 人员岗位信息'!F:F,'1-2 人员岗位信息'!$C:$C,"专业外包",'1-2 人员岗位信息'!$B:$B,$D133)</f>
        <v>0</v>
      </c>
      <c r="AE133" s="304"/>
      <c r="AF133" s="181">
        <f t="shared" ref="AF133:AF142" si="229">AG133*AH133</f>
        <v>0</v>
      </c>
      <c r="AG133" s="181">
        <f>SUMIFS('1-2 人员岗位信息'!G:G,'1-2 人员岗位信息'!$C:$C,"专业外包",'1-2 人员岗位信息'!$B:$B,$D133)</f>
        <v>0</v>
      </c>
      <c r="AH133" s="304"/>
      <c r="AI133" s="181">
        <f t="shared" ref="AI133:AI142" si="230">AJ133*AK133</f>
        <v>0</v>
      </c>
      <c r="AJ133" s="181">
        <f>SUMIFS('1-2 人员岗位信息'!H:H,'1-2 人员岗位信息'!$C:$C,"专业外包",'1-2 人员岗位信息'!$B:$B,$D133)</f>
        <v>0</v>
      </c>
      <c r="AK133" s="304"/>
      <c r="AL133" s="181">
        <f t="shared" ref="AL133:AL142" si="231">AM133*AN133</f>
        <v>0</v>
      </c>
      <c r="AM133" s="181">
        <f>SUMIFS('1-2 人员岗位信息'!I:I,'1-2 人员岗位信息'!$C:$C,"专业外包",'1-2 人员岗位信息'!$B:$B,$D133)</f>
        <v>0</v>
      </c>
      <c r="AN133" s="304"/>
      <c r="AO133" s="181">
        <f t="shared" ref="AO133:AO142" si="232">AP133*AQ133</f>
        <v>0</v>
      </c>
      <c r="AP133" s="181">
        <f>SUMIFS('1-2 人员岗位信息'!J:J,'1-2 人员岗位信息'!$C:$C,"专业外包",'1-2 人员岗位信息'!$B:$B,$D133)</f>
        <v>0</v>
      </c>
      <c r="AQ133" s="304"/>
      <c r="AR133" s="181">
        <f t="shared" ref="AR133:AR142" si="233">AS133*AT133</f>
        <v>0</v>
      </c>
      <c r="AS133" s="181">
        <f>SUMIFS('1-2 人员岗位信息'!K:K,'1-2 人员岗位信息'!$C:$C,"专业外包",'1-2 人员岗位信息'!$B:$B,$D133)</f>
        <v>0</v>
      </c>
      <c r="AT133" s="304"/>
      <c r="AU133" s="181">
        <f t="shared" ref="AU133:AU142" si="234">AV133*AW133</f>
        <v>0</v>
      </c>
      <c r="AV133" s="181">
        <f>SUMIFS('1-2 人员岗位信息'!L:L,'1-2 人员岗位信息'!$C:$C,"专业外包",'1-2 人员岗位信息'!$B:$B,$D133)</f>
        <v>0</v>
      </c>
      <c r="AW133" s="304"/>
      <c r="AX133" s="181">
        <f t="shared" ref="AX133:AX142" si="235">AY133*AZ133</f>
        <v>0</v>
      </c>
      <c r="AY133" s="181">
        <f>SUMIFS('1-2 人员岗位信息'!M:M,'1-2 人员岗位信息'!$C:$C,"专业外包",'1-2 人员岗位信息'!$B:$B,$D133)</f>
        <v>0</v>
      </c>
      <c r="AZ133" s="304"/>
      <c r="BA133" s="181">
        <f t="shared" ref="BA133:BA142" si="236">BB133*BC133</f>
        <v>0</v>
      </c>
      <c r="BB133" s="181">
        <f>SUMIFS('1-2 人员岗位信息'!N:N,'1-2 人员岗位信息'!$C:$C,"专业外包",'1-2 人员岗位信息'!$B:$B,$D133)</f>
        <v>0</v>
      </c>
      <c r="BC133" s="304"/>
      <c r="BD133" s="181">
        <f t="shared" ref="BD133:BD142" si="237">BE133*BF133</f>
        <v>0</v>
      </c>
      <c r="BE133" s="181">
        <f>SUMIFS('1-2 人员岗位信息'!O:O,'1-2 人员岗位信息'!$C:$C,"专业外包",'1-2 人员岗位信息'!$B:$B,$D133)</f>
        <v>0</v>
      </c>
      <c r="BF133" s="304"/>
      <c r="BG133" s="181">
        <f t="shared" ref="BG133:BG142" si="238">BH133*BI133</f>
        <v>0</v>
      </c>
      <c r="BH133" s="181">
        <f>SUMIFS('1-2 人员岗位信息'!P:P,'1-2 人员岗位信息'!$C:$C,"专业外包",'1-2 人员岗位信息'!$B:$B,$D133)</f>
        <v>0</v>
      </c>
      <c r="BI133" s="304"/>
      <c r="BJ133" s="181">
        <f t="shared" ref="BJ133:BJ142" si="239">BK133*BL133</f>
        <v>0</v>
      </c>
      <c r="BK133" s="181">
        <f>SUMIFS('1-2 人员岗位信息'!Q:Q,'1-2 人员岗位信息'!$C:$C,"专业外包",'1-2 人员岗位信息'!$B:$B,$D133)</f>
        <v>0</v>
      </c>
      <c r="BL133" s="313"/>
      <c r="BM133" s="317"/>
      <c r="BN133" s="321"/>
    </row>
    <row r="134" s="269" customFormat="1" ht="33.95" hidden="1" customHeight="1" outlineLevel="5" spans="2:66">
      <c r="B134" s="181" t="s">
        <v>792</v>
      </c>
      <c r="C134" s="289" t="s">
        <v>1015</v>
      </c>
      <c r="D134" s="269" t="s">
        <v>982</v>
      </c>
      <c r="E134" s="181" t="s">
        <v>1016</v>
      </c>
      <c r="F134" s="181"/>
      <c r="G134" s="181" t="s">
        <v>796</v>
      </c>
      <c r="H134" s="181">
        <f t="shared" si="223"/>
        <v>0</v>
      </c>
      <c r="I134" s="181" t="s">
        <v>797</v>
      </c>
      <c r="J134" s="181" t="e">
        <f t="shared" si="224"/>
        <v>#DIV/0!</v>
      </c>
      <c r="K134" s="181" t="s">
        <v>798</v>
      </c>
      <c r="L134" s="181" t="e">
        <f t="shared" si="225"/>
        <v>#DIV/0!</v>
      </c>
      <c r="M134" s="181" t="s">
        <v>799</v>
      </c>
      <c r="N134" s="181">
        <f t="shared" si="226"/>
        <v>0</v>
      </c>
      <c r="O134" s="181"/>
      <c r="P134" s="296"/>
      <c r="Q134" s="296"/>
      <c r="R134" s="296"/>
      <c r="S134" s="296"/>
      <c r="T134" s="296"/>
      <c r="U134" s="296"/>
      <c r="V134" s="296"/>
      <c r="W134" s="296"/>
      <c r="X134" s="296"/>
      <c r="Y134" s="296"/>
      <c r="Z134" s="296"/>
      <c r="AA134" s="296"/>
      <c r="AB134" s="181">
        <f t="shared" si="227"/>
        <v>0</v>
      </c>
      <c r="AC134" s="181">
        <f t="shared" si="228"/>
        <v>0</v>
      </c>
      <c r="AD134" s="181">
        <f>SUMIFS('1-2 人员岗位信息'!F:F,'1-2 人员岗位信息'!$C:$C,"专业外包",'1-2 人员岗位信息'!$B:$B,$D134)</f>
        <v>0</v>
      </c>
      <c r="AE134" s="304"/>
      <c r="AF134" s="181">
        <f t="shared" si="229"/>
        <v>0</v>
      </c>
      <c r="AG134" s="181">
        <f>SUMIFS('1-2 人员岗位信息'!G:G,'1-2 人员岗位信息'!$C:$C,"专业外包",'1-2 人员岗位信息'!$B:$B,$D134)</f>
        <v>0</v>
      </c>
      <c r="AH134" s="304"/>
      <c r="AI134" s="181">
        <f t="shared" si="230"/>
        <v>0</v>
      </c>
      <c r="AJ134" s="181">
        <f>SUMIFS('1-2 人员岗位信息'!H:H,'1-2 人员岗位信息'!$C:$C,"专业外包",'1-2 人员岗位信息'!$B:$B,$D134)</f>
        <v>0</v>
      </c>
      <c r="AK134" s="304"/>
      <c r="AL134" s="181">
        <f t="shared" si="231"/>
        <v>0</v>
      </c>
      <c r="AM134" s="181">
        <f>SUMIFS('1-2 人员岗位信息'!I:I,'1-2 人员岗位信息'!$C:$C,"专业外包",'1-2 人员岗位信息'!$B:$B,$D134)</f>
        <v>0</v>
      </c>
      <c r="AN134" s="304"/>
      <c r="AO134" s="181">
        <f t="shared" si="232"/>
        <v>0</v>
      </c>
      <c r="AP134" s="181">
        <f>SUMIFS('1-2 人员岗位信息'!J:J,'1-2 人员岗位信息'!$C:$C,"专业外包",'1-2 人员岗位信息'!$B:$B,$D134)</f>
        <v>0</v>
      </c>
      <c r="AQ134" s="304"/>
      <c r="AR134" s="181">
        <f t="shared" si="233"/>
        <v>0</v>
      </c>
      <c r="AS134" s="181">
        <f>SUMIFS('1-2 人员岗位信息'!K:K,'1-2 人员岗位信息'!$C:$C,"专业外包",'1-2 人员岗位信息'!$B:$B,$D134)</f>
        <v>0</v>
      </c>
      <c r="AT134" s="304"/>
      <c r="AU134" s="181">
        <f t="shared" si="234"/>
        <v>0</v>
      </c>
      <c r="AV134" s="181">
        <f>SUMIFS('1-2 人员岗位信息'!L:L,'1-2 人员岗位信息'!$C:$C,"专业外包",'1-2 人员岗位信息'!$B:$B,$D134)</f>
        <v>0</v>
      </c>
      <c r="AW134" s="304"/>
      <c r="AX134" s="181">
        <f t="shared" si="235"/>
        <v>0</v>
      </c>
      <c r="AY134" s="181">
        <f>SUMIFS('1-2 人员岗位信息'!M:M,'1-2 人员岗位信息'!$C:$C,"专业外包",'1-2 人员岗位信息'!$B:$B,$D134)</f>
        <v>0</v>
      </c>
      <c r="AZ134" s="304"/>
      <c r="BA134" s="181">
        <f t="shared" si="236"/>
        <v>0</v>
      </c>
      <c r="BB134" s="181">
        <f>SUMIFS('1-2 人员岗位信息'!N:N,'1-2 人员岗位信息'!$C:$C,"专业外包",'1-2 人员岗位信息'!$B:$B,$D134)</f>
        <v>0</v>
      </c>
      <c r="BC134" s="304"/>
      <c r="BD134" s="181">
        <f t="shared" si="237"/>
        <v>0</v>
      </c>
      <c r="BE134" s="181">
        <f>SUMIFS('1-2 人员岗位信息'!O:O,'1-2 人员岗位信息'!$C:$C,"专业外包",'1-2 人员岗位信息'!$B:$B,$D134)</f>
        <v>0</v>
      </c>
      <c r="BF134" s="304"/>
      <c r="BG134" s="181">
        <f t="shared" si="238"/>
        <v>0</v>
      </c>
      <c r="BH134" s="181">
        <f>SUMIFS('1-2 人员岗位信息'!P:P,'1-2 人员岗位信息'!$C:$C,"专业外包",'1-2 人员岗位信息'!$B:$B,$D134)</f>
        <v>0</v>
      </c>
      <c r="BI134" s="304"/>
      <c r="BJ134" s="181">
        <f t="shared" si="239"/>
        <v>0</v>
      </c>
      <c r="BK134" s="181">
        <f>SUMIFS('1-2 人员岗位信息'!Q:Q,'1-2 人员岗位信息'!$C:$C,"专业外包",'1-2 人员岗位信息'!$B:$B,$D134)</f>
        <v>0</v>
      </c>
      <c r="BL134" s="313"/>
      <c r="BM134" s="317"/>
      <c r="BN134" s="321"/>
    </row>
    <row r="135" s="269" customFormat="1" ht="33.95" hidden="1" customHeight="1" outlineLevel="5" spans="2:66">
      <c r="B135" s="181" t="s">
        <v>792</v>
      </c>
      <c r="C135" s="289" t="s">
        <v>1017</v>
      </c>
      <c r="D135" s="269" t="s">
        <v>985</v>
      </c>
      <c r="E135" s="181" t="s">
        <v>986</v>
      </c>
      <c r="F135" s="181"/>
      <c r="G135" s="181" t="s">
        <v>796</v>
      </c>
      <c r="H135" s="181">
        <f t="shared" si="223"/>
        <v>0</v>
      </c>
      <c r="I135" s="181" t="s">
        <v>797</v>
      </c>
      <c r="J135" s="181" t="e">
        <f t="shared" si="224"/>
        <v>#DIV/0!</v>
      </c>
      <c r="K135" s="181" t="s">
        <v>798</v>
      </c>
      <c r="L135" s="181" t="e">
        <f t="shared" si="225"/>
        <v>#DIV/0!</v>
      </c>
      <c r="M135" s="181" t="s">
        <v>799</v>
      </c>
      <c r="N135" s="181">
        <f t="shared" si="226"/>
        <v>0</v>
      </c>
      <c r="O135" s="181"/>
      <c r="P135" s="296"/>
      <c r="Q135" s="296"/>
      <c r="R135" s="296"/>
      <c r="S135" s="296"/>
      <c r="T135" s="296"/>
      <c r="U135" s="296"/>
      <c r="V135" s="296"/>
      <c r="W135" s="296"/>
      <c r="X135" s="296"/>
      <c r="Y135" s="296"/>
      <c r="Z135" s="296"/>
      <c r="AA135" s="296"/>
      <c r="AB135" s="181">
        <f t="shared" si="227"/>
        <v>0</v>
      </c>
      <c r="AC135" s="181">
        <f t="shared" si="228"/>
        <v>0</v>
      </c>
      <c r="AD135" s="181">
        <f>SUMIFS('1-2 人员岗位信息'!F:F,'1-2 人员岗位信息'!$C:$C,"专业外包",'1-2 人员岗位信息'!$B:$B,$D135)</f>
        <v>0</v>
      </c>
      <c r="AE135" s="304"/>
      <c r="AF135" s="181">
        <f t="shared" si="229"/>
        <v>0</v>
      </c>
      <c r="AG135" s="181">
        <f>SUMIFS('1-2 人员岗位信息'!G:G,'1-2 人员岗位信息'!$C:$C,"专业外包",'1-2 人员岗位信息'!$B:$B,$D135)</f>
        <v>0</v>
      </c>
      <c r="AH135" s="304"/>
      <c r="AI135" s="181">
        <f t="shared" si="230"/>
        <v>0</v>
      </c>
      <c r="AJ135" s="181">
        <f>SUMIFS('1-2 人员岗位信息'!H:H,'1-2 人员岗位信息'!$C:$C,"专业外包",'1-2 人员岗位信息'!$B:$B,$D135)</f>
        <v>0</v>
      </c>
      <c r="AK135" s="304"/>
      <c r="AL135" s="181">
        <f t="shared" si="231"/>
        <v>0</v>
      </c>
      <c r="AM135" s="181">
        <f>SUMIFS('1-2 人员岗位信息'!I:I,'1-2 人员岗位信息'!$C:$C,"专业外包",'1-2 人员岗位信息'!$B:$B,$D135)</f>
        <v>0</v>
      </c>
      <c r="AN135" s="304"/>
      <c r="AO135" s="181">
        <f t="shared" si="232"/>
        <v>0</v>
      </c>
      <c r="AP135" s="181">
        <f>SUMIFS('1-2 人员岗位信息'!J:J,'1-2 人员岗位信息'!$C:$C,"专业外包",'1-2 人员岗位信息'!$B:$B,$D135)</f>
        <v>0</v>
      </c>
      <c r="AQ135" s="304"/>
      <c r="AR135" s="181">
        <f t="shared" si="233"/>
        <v>0</v>
      </c>
      <c r="AS135" s="181">
        <f>SUMIFS('1-2 人员岗位信息'!K:K,'1-2 人员岗位信息'!$C:$C,"专业外包",'1-2 人员岗位信息'!$B:$B,$D135)</f>
        <v>0</v>
      </c>
      <c r="AT135" s="304"/>
      <c r="AU135" s="181">
        <f t="shared" si="234"/>
        <v>0</v>
      </c>
      <c r="AV135" s="181">
        <f>SUMIFS('1-2 人员岗位信息'!L:L,'1-2 人员岗位信息'!$C:$C,"专业外包",'1-2 人员岗位信息'!$B:$B,$D135)</f>
        <v>0</v>
      </c>
      <c r="AW135" s="304"/>
      <c r="AX135" s="181">
        <f t="shared" si="235"/>
        <v>0</v>
      </c>
      <c r="AY135" s="181">
        <f>SUMIFS('1-2 人员岗位信息'!M:M,'1-2 人员岗位信息'!$C:$C,"专业外包",'1-2 人员岗位信息'!$B:$B,$D135)</f>
        <v>0</v>
      </c>
      <c r="AZ135" s="304"/>
      <c r="BA135" s="181">
        <f t="shared" si="236"/>
        <v>0</v>
      </c>
      <c r="BB135" s="181">
        <f>SUMIFS('1-2 人员岗位信息'!N:N,'1-2 人员岗位信息'!$C:$C,"专业外包",'1-2 人员岗位信息'!$B:$B,$D135)</f>
        <v>0</v>
      </c>
      <c r="BC135" s="304"/>
      <c r="BD135" s="181">
        <f t="shared" si="237"/>
        <v>0</v>
      </c>
      <c r="BE135" s="181">
        <f>SUMIFS('1-2 人员岗位信息'!O:O,'1-2 人员岗位信息'!$C:$C,"专业外包",'1-2 人员岗位信息'!$B:$B,$D135)</f>
        <v>0</v>
      </c>
      <c r="BF135" s="304"/>
      <c r="BG135" s="181">
        <f t="shared" si="238"/>
        <v>0</v>
      </c>
      <c r="BH135" s="181">
        <f>SUMIFS('1-2 人员岗位信息'!P:P,'1-2 人员岗位信息'!$C:$C,"专业外包",'1-2 人员岗位信息'!$B:$B,$D135)</f>
        <v>0</v>
      </c>
      <c r="BI135" s="304"/>
      <c r="BJ135" s="181">
        <f t="shared" si="239"/>
        <v>0</v>
      </c>
      <c r="BK135" s="181">
        <f>SUMIFS('1-2 人员岗位信息'!Q:Q,'1-2 人员岗位信息'!$C:$C,"专业外包",'1-2 人员岗位信息'!$B:$B,$D135)</f>
        <v>0</v>
      </c>
      <c r="BL135" s="313"/>
      <c r="BM135" s="317"/>
      <c r="BN135" s="321"/>
    </row>
    <row r="136" s="269" customFormat="1" ht="33.95" hidden="1" customHeight="1" outlineLevel="5" spans="2:66">
      <c r="B136" s="181" t="s">
        <v>792</v>
      </c>
      <c r="C136" s="289" t="s">
        <v>1018</v>
      </c>
      <c r="D136" s="269" t="s">
        <v>988</v>
      </c>
      <c r="E136" s="181" t="s">
        <v>989</v>
      </c>
      <c r="F136" s="181"/>
      <c r="G136" s="181" t="s">
        <v>796</v>
      </c>
      <c r="H136" s="181">
        <f t="shared" si="223"/>
        <v>0</v>
      </c>
      <c r="I136" s="181" t="s">
        <v>797</v>
      </c>
      <c r="J136" s="181" t="e">
        <f t="shared" si="224"/>
        <v>#DIV/0!</v>
      </c>
      <c r="K136" s="181" t="s">
        <v>798</v>
      </c>
      <c r="L136" s="181" t="e">
        <f t="shared" si="225"/>
        <v>#DIV/0!</v>
      </c>
      <c r="M136" s="181" t="s">
        <v>799</v>
      </c>
      <c r="N136" s="181">
        <f t="shared" si="226"/>
        <v>0</v>
      </c>
      <c r="O136" s="181"/>
      <c r="P136" s="296"/>
      <c r="Q136" s="296"/>
      <c r="R136" s="296"/>
      <c r="S136" s="296"/>
      <c r="T136" s="296"/>
      <c r="U136" s="296"/>
      <c r="V136" s="296"/>
      <c r="W136" s="296"/>
      <c r="X136" s="296"/>
      <c r="Y136" s="296"/>
      <c r="Z136" s="296"/>
      <c r="AA136" s="296"/>
      <c r="AB136" s="181">
        <f t="shared" si="227"/>
        <v>0</v>
      </c>
      <c r="AC136" s="181">
        <f t="shared" si="228"/>
        <v>0</v>
      </c>
      <c r="AD136" s="181">
        <f>SUMIFS('1-2 人员岗位信息'!F:F,'1-2 人员岗位信息'!$C:$C,"专业外包",'1-2 人员岗位信息'!$B:$B,$D136)</f>
        <v>0</v>
      </c>
      <c r="AE136" s="304"/>
      <c r="AF136" s="181">
        <f t="shared" si="229"/>
        <v>0</v>
      </c>
      <c r="AG136" s="181">
        <f>SUMIFS('1-2 人员岗位信息'!G:G,'1-2 人员岗位信息'!$C:$C,"专业外包",'1-2 人员岗位信息'!$B:$B,$D136)</f>
        <v>0</v>
      </c>
      <c r="AH136" s="304"/>
      <c r="AI136" s="181">
        <f t="shared" si="230"/>
        <v>0</v>
      </c>
      <c r="AJ136" s="181">
        <f>SUMIFS('1-2 人员岗位信息'!H:H,'1-2 人员岗位信息'!$C:$C,"专业外包",'1-2 人员岗位信息'!$B:$B,$D136)</f>
        <v>0</v>
      </c>
      <c r="AK136" s="304"/>
      <c r="AL136" s="181">
        <f t="shared" si="231"/>
        <v>0</v>
      </c>
      <c r="AM136" s="181">
        <f>SUMIFS('1-2 人员岗位信息'!I:I,'1-2 人员岗位信息'!$C:$C,"专业外包",'1-2 人员岗位信息'!$B:$B,$D136)</f>
        <v>0</v>
      </c>
      <c r="AN136" s="304"/>
      <c r="AO136" s="181">
        <f t="shared" si="232"/>
        <v>0</v>
      </c>
      <c r="AP136" s="181">
        <f>SUMIFS('1-2 人员岗位信息'!J:J,'1-2 人员岗位信息'!$C:$C,"专业外包",'1-2 人员岗位信息'!$B:$B,$D136)</f>
        <v>0</v>
      </c>
      <c r="AQ136" s="304"/>
      <c r="AR136" s="181">
        <f t="shared" si="233"/>
        <v>0</v>
      </c>
      <c r="AS136" s="181">
        <f>SUMIFS('1-2 人员岗位信息'!K:K,'1-2 人员岗位信息'!$C:$C,"专业外包",'1-2 人员岗位信息'!$B:$B,$D136)</f>
        <v>0</v>
      </c>
      <c r="AT136" s="304"/>
      <c r="AU136" s="181">
        <f t="shared" si="234"/>
        <v>0</v>
      </c>
      <c r="AV136" s="181">
        <f>SUMIFS('1-2 人员岗位信息'!L:L,'1-2 人员岗位信息'!$C:$C,"专业外包",'1-2 人员岗位信息'!$B:$B,$D136)</f>
        <v>0</v>
      </c>
      <c r="AW136" s="304"/>
      <c r="AX136" s="181">
        <f t="shared" si="235"/>
        <v>0</v>
      </c>
      <c r="AY136" s="181">
        <f>SUMIFS('1-2 人员岗位信息'!M:M,'1-2 人员岗位信息'!$C:$C,"专业外包",'1-2 人员岗位信息'!$B:$B,$D136)</f>
        <v>0</v>
      </c>
      <c r="AZ136" s="304"/>
      <c r="BA136" s="181">
        <f t="shared" si="236"/>
        <v>0</v>
      </c>
      <c r="BB136" s="181">
        <f>SUMIFS('1-2 人员岗位信息'!N:N,'1-2 人员岗位信息'!$C:$C,"专业外包",'1-2 人员岗位信息'!$B:$B,$D136)</f>
        <v>0</v>
      </c>
      <c r="BC136" s="304"/>
      <c r="BD136" s="181">
        <f t="shared" si="237"/>
        <v>0</v>
      </c>
      <c r="BE136" s="181">
        <f>SUMIFS('1-2 人员岗位信息'!O:O,'1-2 人员岗位信息'!$C:$C,"专业外包",'1-2 人员岗位信息'!$B:$B,$D136)</f>
        <v>0</v>
      </c>
      <c r="BF136" s="304"/>
      <c r="BG136" s="181">
        <f t="shared" si="238"/>
        <v>0</v>
      </c>
      <c r="BH136" s="181">
        <f>SUMIFS('1-2 人员岗位信息'!P:P,'1-2 人员岗位信息'!$C:$C,"专业外包",'1-2 人员岗位信息'!$B:$B,$D136)</f>
        <v>0</v>
      </c>
      <c r="BI136" s="304"/>
      <c r="BJ136" s="181">
        <f t="shared" si="239"/>
        <v>0</v>
      </c>
      <c r="BK136" s="181">
        <f>SUMIFS('1-2 人员岗位信息'!Q:Q,'1-2 人员岗位信息'!$C:$C,"专业外包",'1-2 人员岗位信息'!$B:$B,$D136)</f>
        <v>0</v>
      </c>
      <c r="BL136" s="313"/>
      <c r="BM136" s="317"/>
      <c r="BN136" s="321"/>
    </row>
    <row r="137" s="269" customFormat="1" ht="33.95" hidden="1" customHeight="1" outlineLevel="5" spans="2:66">
      <c r="B137" s="181" t="s">
        <v>792</v>
      </c>
      <c r="C137" s="289" t="s">
        <v>1019</v>
      </c>
      <c r="D137" s="269" t="s">
        <v>991</v>
      </c>
      <c r="E137" s="181" t="s">
        <v>989</v>
      </c>
      <c r="F137" s="181"/>
      <c r="G137" s="181" t="s">
        <v>796</v>
      </c>
      <c r="H137" s="181">
        <f t="shared" si="223"/>
        <v>0</v>
      </c>
      <c r="I137" s="181" t="s">
        <v>797</v>
      </c>
      <c r="J137" s="181" t="e">
        <f t="shared" si="224"/>
        <v>#DIV/0!</v>
      </c>
      <c r="K137" s="181" t="s">
        <v>798</v>
      </c>
      <c r="L137" s="181" t="e">
        <f t="shared" si="225"/>
        <v>#DIV/0!</v>
      </c>
      <c r="M137" s="181" t="s">
        <v>799</v>
      </c>
      <c r="N137" s="181">
        <f t="shared" si="226"/>
        <v>0</v>
      </c>
      <c r="O137" s="181"/>
      <c r="P137" s="296"/>
      <c r="Q137" s="296"/>
      <c r="R137" s="296"/>
      <c r="S137" s="296"/>
      <c r="T137" s="296"/>
      <c r="U137" s="296"/>
      <c r="V137" s="296"/>
      <c r="W137" s="296"/>
      <c r="X137" s="296"/>
      <c r="Y137" s="296"/>
      <c r="Z137" s="296"/>
      <c r="AA137" s="296"/>
      <c r="AB137" s="181">
        <f t="shared" si="227"/>
        <v>0</v>
      </c>
      <c r="AC137" s="181">
        <f t="shared" si="228"/>
        <v>0</v>
      </c>
      <c r="AD137" s="181">
        <f>SUMIFS('1-2 人员岗位信息'!F:F,'1-2 人员岗位信息'!$C:$C,"专业外包",'1-2 人员岗位信息'!$B:$B,$D137)</f>
        <v>0</v>
      </c>
      <c r="AE137" s="304"/>
      <c r="AF137" s="181">
        <f t="shared" si="229"/>
        <v>0</v>
      </c>
      <c r="AG137" s="181">
        <f>SUMIFS('1-2 人员岗位信息'!G:G,'1-2 人员岗位信息'!$C:$C,"专业外包",'1-2 人员岗位信息'!$B:$B,$D137)</f>
        <v>0</v>
      </c>
      <c r="AH137" s="304"/>
      <c r="AI137" s="181">
        <f t="shared" si="230"/>
        <v>0</v>
      </c>
      <c r="AJ137" s="181">
        <f>SUMIFS('1-2 人员岗位信息'!H:H,'1-2 人员岗位信息'!$C:$C,"专业外包",'1-2 人员岗位信息'!$B:$B,$D137)</f>
        <v>0</v>
      </c>
      <c r="AK137" s="304"/>
      <c r="AL137" s="181">
        <f t="shared" si="231"/>
        <v>0</v>
      </c>
      <c r="AM137" s="181">
        <f>SUMIFS('1-2 人员岗位信息'!I:I,'1-2 人员岗位信息'!$C:$C,"专业外包",'1-2 人员岗位信息'!$B:$B,$D137)</f>
        <v>0</v>
      </c>
      <c r="AN137" s="304"/>
      <c r="AO137" s="181">
        <f t="shared" si="232"/>
        <v>0</v>
      </c>
      <c r="AP137" s="181">
        <f>SUMIFS('1-2 人员岗位信息'!J:J,'1-2 人员岗位信息'!$C:$C,"专业外包",'1-2 人员岗位信息'!$B:$B,$D137)</f>
        <v>0</v>
      </c>
      <c r="AQ137" s="304"/>
      <c r="AR137" s="181">
        <f t="shared" si="233"/>
        <v>0</v>
      </c>
      <c r="AS137" s="181">
        <f>SUMIFS('1-2 人员岗位信息'!K:K,'1-2 人员岗位信息'!$C:$C,"专业外包",'1-2 人员岗位信息'!$B:$B,$D137)</f>
        <v>0</v>
      </c>
      <c r="AT137" s="304"/>
      <c r="AU137" s="181">
        <f t="shared" si="234"/>
        <v>0</v>
      </c>
      <c r="AV137" s="181">
        <f>SUMIFS('1-2 人员岗位信息'!L:L,'1-2 人员岗位信息'!$C:$C,"专业外包",'1-2 人员岗位信息'!$B:$B,$D137)</f>
        <v>0</v>
      </c>
      <c r="AW137" s="304"/>
      <c r="AX137" s="181">
        <f t="shared" si="235"/>
        <v>0</v>
      </c>
      <c r="AY137" s="181">
        <f>SUMIFS('1-2 人员岗位信息'!M:M,'1-2 人员岗位信息'!$C:$C,"专业外包",'1-2 人员岗位信息'!$B:$B,$D137)</f>
        <v>0</v>
      </c>
      <c r="AZ137" s="304"/>
      <c r="BA137" s="181">
        <f t="shared" si="236"/>
        <v>0</v>
      </c>
      <c r="BB137" s="181">
        <f>SUMIFS('1-2 人员岗位信息'!N:N,'1-2 人员岗位信息'!$C:$C,"专业外包",'1-2 人员岗位信息'!$B:$B,$D137)</f>
        <v>0</v>
      </c>
      <c r="BC137" s="304"/>
      <c r="BD137" s="181">
        <f t="shared" si="237"/>
        <v>0</v>
      </c>
      <c r="BE137" s="181">
        <f>SUMIFS('1-2 人员岗位信息'!O:O,'1-2 人员岗位信息'!$C:$C,"专业外包",'1-2 人员岗位信息'!$B:$B,$D137)</f>
        <v>0</v>
      </c>
      <c r="BF137" s="304"/>
      <c r="BG137" s="181">
        <f t="shared" si="238"/>
        <v>0</v>
      </c>
      <c r="BH137" s="181">
        <f>SUMIFS('1-2 人员岗位信息'!P:P,'1-2 人员岗位信息'!$C:$C,"专业外包",'1-2 人员岗位信息'!$B:$B,$D137)</f>
        <v>0</v>
      </c>
      <c r="BI137" s="304"/>
      <c r="BJ137" s="181">
        <f t="shared" si="239"/>
        <v>0</v>
      </c>
      <c r="BK137" s="181">
        <f>SUMIFS('1-2 人员岗位信息'!Q:Q,'1-2 人员岗位信息'!$C:$C,"专业外包",'1-2 人员岗位信息'!$B:$B,$D137)</f>
        <v>0</v>
      </c>
      <c r="BL137" s="313"/>
      <c r="BM137" s="317"/>
      <c r="BN137" s="321"/>
    </row>
    <row r="138" s="269" customFormat="1" ht="33.95" hidden="1" customHeight="1" outlineLevel="5" spans="2:66">
      <c r="B138" s="181" t="s">
        <v>792</v>
      </c>
      <c r="C138" s="289" t="s">
        <v>1020</v>
      </c>
      <c r="D138" s="269" t="s">
        <v>993</v>
      </c>
      <c r="E138" s="181" t="s">
        <v>989</v>
      </c>
      <c r="F138" s="181"/>
      <c r="G138" s="181" t="s">
        <v>796</v>
      </c>
      <c r="H138" s="181">
        <f t="shared" si="223"/>
        <v>0</v>
      </c>
      <c r="I138" s="181" t="s">
        <v>797</v>
      </c>
      <c r="J138" s="181" t="e">
        <f t="shared" si="224"/>
        <v>#DIV/0!</v>
      </c>
      <c r="K138" s="181" t="s">
        <v>798</v>
      </c>
      <c r="L138" s="181" t="e">
        <f t="shared" si="225"/>
        <v>#DIV/0!</v>
      </c>
      <c r="M138" s="181" t="s">
        <v>799</v>
      </c>
      <c r="N138" s="181">
        <f t="shared" si="226"/>
        <v>0</v>
      </c>
      <c r="O138" s="181"/>
      <c r="P138" s="296"/>
      <c r="Q138" s="296"/>
      <c r="R138" s="296"/>
      <c r="S138" s="296"/>
      <c r="T138" s="296"/>
      <c r="U138" s="296"/>
      <c r="V138" s="296"/>
      <c r="W138" s="296"/>
      <c r="X138" s="296"/>
      <c r="Y138" s="296"/>
      <c r="Z138" s="296"/>
      <c r="AA138" s="296"/>
      <c r="AB138" s="181">
        <f t="shared" si="227"/>
        <v>0</v>
      </c>
      <c r="AC138" s="181">
        <f t="shared" si="228"/>
        <v>0</v>
      </c>
      <c r="AD138" s="181">
        <f>SUMIFS('1-2 人员岗位信息'!F:F,'1-2 人员岗位信息'!$C:$C,"专业外包",'1-2 人员岗位信息'!$B:$B,$D138)</f>
        <v>0</v>
      </c>
      <c r="AE138" s="304"/>
      <c r="AF138" s="181">
        <f t="shared" si="229"/>
        <v>0</v>
      </c>
      <c r="AG138" s="181">
        <f>SUMIFS('1-2 人员岗位信息'!G:G,'1-2 人员岗位信息'!$C:$C,"专业外包",'1-2 人员岗位信息'!$B:$B,$D138)</f>
        <v>0</v>
      </c>
      <c r="AH138" s="304"/>
      <c r="AI138" s="181">
        <f t="shared" si="230"/>
        <v>0</v>
      </c>
      <c r="AJ138" s="181">
        <f>SUMIFS('1-2 人员岗位信息'!H:H,'1-2 人员岗位信息'!$C:$C,"专业外包",'1-2 人员岗位信息'!$B:$B,$D138)</f>
        <v>0</v>
      </c>
      <c r="AK138" s="304"/>
      <c r="AL138" s="181">
        <f t="shared" si="231"/>
        <v>0</v>
      </c>
      <c r="AM138" s="181">
        <f>SUMIFS('1-2 人员岗位信息'!I:I,'1-2 人员岗位信息'!$C:$C,"专业外包",'1-2 人员岗位信息'!$B:$B,$D138)</f>
        <v>0</v>
      </c>
      <c r="AN138" s="304"/>
      <c r="AO138" s="181">
        <f t="shared" si="232"/>
        <v>0</v>
      </c>
      <c r="AP138" s="181">
        <f>SUMIFS('1-2 人员岗位信息'!J:J,'1-2 人员岗位信息'!$C:$C,"专业外包",'1-2 人员岗位信息'!$B:$B,$D138)</f>
        <v>0</v>
      </c>
      <c r="AQ138" s="304"/>
      <c r="AR138" s="181">
        <f t="shared" si="233"/>
        <v>0</v>
      </c>
      <c r="AS138" s="181">
        <f>SUMIFS('1-2 人员岗位信息'!K:K,'1-2 人员岗位信息'!$C:$C,"专业外包",'1-2 人员岗位信息'!$B:$B,$D138)</f>
        <v>0</v>
      </c>
      <c r="AT138" s="304"/>
      <c r="AU138" s="181">
        <f t="shared" si="234"/>
        <v>0</v>
      </c>
      <c r="AV138" s="181">
        <f>SUMIFS('1-2 人员岗位信息'!L:L,'1-2 人员岗位信息'!$C:$C,"专业外包",'1-2 人员岗位信息'!$B:$B,$D138)</f>
        <v>0</v>
      </c>
      <c r="AW138" s="304"/>
      <c r="AX138" s="181">
        <f t="shared" si="235"/>
        <v>0</v>
      </c>
      <c r="AY138" s="181">
        <f>SUMIFS('1-2 人员岗位信息'!M:M,'1-2 人员岗位信息'!$C:$C,"专业外包",'1-2 人员岗位信息'!$B:$B,$D138)</f>
        <v>0</v>
      </c>
      <c r="AZ138" s="304"/>
      <c r="BA138" s="181">
        <f t="shared" si="236"/>
        <v>0</v>
      </c>
      <c r="BB138" s="181">
        <f>SUMIFS('1-2 人员岗位信息'!N:N,'1-2 人员岗位信息'!$C:$C,"专业外包",'1-2 人员岗位信息'!$B:$B,$D138)</f>
        <v>0</v>
      </c>
      <c r="BC138" s="304"/>
      <c r="BD138" s="181">
        <f t="shared" si="237"/>
        <v>0</v>
      </c>
      <c r="BE138" s="181">
        <f>SUMIFS('1-2 人员岗位信息'!O:O,'1-2 人员岗位信息'!$C:$C,"专业外包",'1-2 人员岗位信息'!$B:$B,$D138)</f>
        <v>0</v>
      </c>
      <c r="BF138" s="304"/>
      <c r="BG138" s="181">
        <f t="shared" si="238"/>
        <v>0</v>
      </c>
      <c r="BH138" s="181">
        <f>SUMIFS('1-2 人员岗位信息'!P:P,'1-2 人员岗位信息'!$C:$C,"专业外包",'1-2 人员岗位信息'!$B:$B,$D138)</f>
        <v>0</v>
      </c>
      <c r="BI138" s="304"/>
      <c r="BJ138" s="181">
        <f t="shared" si="239"/>
        <v>0</v>
      </c>
      <c r="BK138" s="181">
        <f>SUMIFS('1-2 人员岗位信息'!Q:Q,'1-2 人员岗位信息'!$C:$C,"专业外包",'1-2 人员岗位信息'!$B:$B,$D138)</f>
        <v>0</v>
      </c>
      <c r="BL138" s="313"/>
      <c r="BM138" s="317"/>
      <c r="BN138" s="321"/>
    </row>
    <row r="139" s="269" customFormat="1" ht="33.95" hidden="1" customHeight="1" outlineLevel="5" spans="2:66">
      <c r="B139" s="181" t="s">
        <v>792</v>
      </c>
      <c r="C139" s="289" t="s">
        <v>1021</v>
      </c>
      <c r="D139" s="269" t="s">
        <v>995</v>
      </c>
      <c r="E139" s="181" t="s">
        <v>989</v>
      </c>
      <c r="F139" s="181"/>
      <c r="G139" s="181" t="s">
        <v>796</v>
      </c>
      <c r="H139" s="181">
        <f t="shared" si="223"/>
        <v>0</v>
      </c>
      <c r="I139" s="181" t="s">
        <v>797</v>
      </c>
      <c r="J139" s="181" t="e">
        <f t="shared" si="224"/>
        <v>#DIV/0!</v>
      </c>
      <c r="K139" s="181" t="s">
        <v>798</v>
      </c>
      <c r="L139" s="181" t="e">
        <f t="shared" si="225"/>
        <v>#DIV/0!</v>
      </c>
      <c r="M139" s="181" t="s">
        <v>799</v>
      </c>
      <c r="N139" s="181">
        <f t="shared" si="226"/>
        <v>0</v>
      </c>
      <c r="O139" s="181"/>
      <c r="P139" s="296"/>
      <c r="Q139" s="296"/>
      <c r="R139" s="296"/>
      <c r="S139" s="296"/>
      <c r="T139" s="296"/>
      <c r="U139" s="296"/>
      <c r="V139" s="296"/>
      <c r="W139" s="296"/>
      <c r="X139" s="296"/>
      <c r="Y139" s="296"/>
      <c r="Z139" s="296"/>
      <c r="AA139" s="296"/>
      <c r="AB139" s="181">
        <f t="shared" si="227"/>
        <v>0</v>
      </c>
      <c r="AC139" s="181">
        <f t="shared" si="228"/>
        <v>0</v>
      </c>
      <c r="AD139" s="181">
        <f>SUMIFS('1-2 人员岗位信息'!F:F,'1-2 人员岗位信息'!$C:$C,"专业外包",'1-2 人员岗位信息'!$B:$B,$D139)</f>
        <v>0</v>
      </c>
      <c r="AE139" s="304"/>
      <c r="AF139" s="181">
        <f t="shared" si="229"/>
        <v>0</v>
      </c>
      <c r="AG139" s="181">
        <f>SUMIFS('1-2 人员岗位信息'!G:G,'1-2 人员岗位信息'!$C:$C,"专业外包",'1-2 人员岗位信息'!$B:$B,$D139)</f>
        <v>0</v>
      </c>
      <c r="AH139" s="304"/>
      <c r="AI139" s="181">
        <f t="shared" si="230"/>
        <v>0</v>
      </c>
      <c r="AJ139" s="181">
        <f>SUMIFS('1-2 人员岗位信息'!H:H,'1-2 人员岗位信息'!$C:$C,"专业外包",'1-2 人员岗位信息'!$B:$B,$D139)</f>
        <v>0</v>
      </c>
      <c r="AK139" s="304"/>
      <c r="AL139" s="181">
        <f t="shared" si="231"/>
        <v>0</v>
      </c>
      <c r="AM139" s="181">
        <f>SUMIFS('1-2 人员岗位信息'!I:I,'1-2 人员岗位信息'!$C:$C,"专业外包",'1-2 人员岗位信息'!$B:$B,$D139)</f>
        <v>0</v>
      </c>
      <c r="AN139" s="304"/>
      <c r="AO139" s="181">
        <f t="shared" si="232"/>
        <v>0</v>
      </c>
      <c r="AP139" s="181">
        <f>SUMIFS('1-2 人员岗位信息'!J:J,'1-2 人员岗位信息'!$C:$C,"专业外包",'1-2 人员岗位信息'!$B:$B,$D139)</f>
        <v>0</v>
      </c>
      <c r="AQ139" s="304"/>
      <c r="AR139" s="181">
        <f t="shared" si="233"/>
        <v>0</v>
      </c>
      <c r="AS139" s="181">
        <f>SUMIFS('1-2 人员岗位信息'!K:K,'1-2 人员岗位信息'!$C:$C,"专业外包",'1-2 人员岗位信息'!$B:$B,$D139)</f>
        <v>0</v>
      </c>
      <c r="AT139" s="304"/>
      <c r="AU139" s="181">
        <f t="shared" si="234"/>
        <v>0</v>
      </c>
      <c r="AV139" s="181">
        <f>SUMIFS('1-2 人员岗位信息'!L:L,'1-2 人员岗位信息'!$C:$C,"专业外包",'1-2 人员岗位信息'!$B:$B,$D139)</f>
        <v>0</v>
      </c>
      <c r="AW139" s="304"/>
      <c r="AX139" s="181">
        <f t="shared" si="235"/>
        <v>0</v>
      </c>
      <c r="AY139" s="181">
        <f>SUMIFS('1-2 人员岗位信息'!M:M,'1-2 人员岗位信息'!$C:$C,"专业外包",'1-2 人员岗位信息'!$B:$B,$D139)</f>
        <v>0</v>
      </c>
      <c r="AZ139" s="304"/>
      <c r="BA139" s="181">
        <f t="shared" si="236"/>
        <v>0</v>
      </c>
      <c r="BB139" s="181">
        <f>SUMIFS('1-2 人员岗位信息'!N:N,'1-2 人员岗位信息'!$C:$C,"专业外包",'1-2 人员岗位信息'!$B:$B,$D139)</f>
        <v>0</v>
      </c>
      <c r="BC139" s="304"/>
      <c r="BD139" s="181">
        <f t="shared" si="237"/>
        <v>0</v>
      </c>
      <c r="BE139" s="181">
        <f>SUMIFS('1-2 人员岗位信息'!O:O,'1-2 人员岗位信息'!$C:$C,"专业外包",'1-2 人员岗位信息'!$B:$B,$D139)</f>
        <v>0</v>
      </c>
      <c r="BF139" s="304"/>
      <c r="BG139" s="181">
        <f t="shared" si="238"/>
        <v>0</v>
      </c>
      <c r="BH139" s="181">
        <f>SUMIFS('1-2 人员岗位信息'!P:P,'1-2 人员岗位信息'!$C:$C,"专业外包",'1-2 人员岗位信息'!$B:$B,$D139)</f>
        <v>0</v>
      </c>
      <c r="BI139" s="304"/>
      <c r="BJ139" s="181">
        <f t="shared" si="239"/>
        <v>0</v>
      </c>
      <c r="BK139" s="181">
        <f>SUMIFS('1-2 人员岗位信息'!Q:Q,'1-2 人员岗位信息'!$C:$C,"专业外包",'1-2 人员岗位信息'!$B:$B,$D139)</f>
        <v>0</v>
      </c>
      <c r="BL139" s="313"/>
      <c r="BM139" s="317"/>
      <c r="BN139" s="321"/>
    </row>
    <row r="140" s="269" customFormat="1" ht="33.95" hidden="1" customHeight="1" outlineLevel="5" spans="2:66">
      <c r="B140" s="181" t="s">
        <v>792</v>
      </c>
      <c r="C140" s="289" t="s">
        <v>1022</v>
      </c>
      <c r="D140" s="269" t="s">
        <v>997</v>
      </c>
      <c r="E140" s="181" t="s">
        <v>998</v>
      </c>
      <c r="F140" s="181"/>
      <c r="G140" s="181" t="s">
        <v>796</v>
      </c>
      <c r="H140" s="181">
        <f t="shared" si="223"/>
        <v>0</v>
      </c>
      <c r="I140" s="181" t="s">
        <v>797</v>
      </c>
      <c r="J140" s="181" t="e">
        <f t="shared" si="224"/>
        <v>#DIV/0!</v>
      </c>
      <c r="K140" s="181" t="s">
        <v>798</v>
      </c>
      <c r="L140" s="181" t="e">
        <f t="shared" si="225"/>
        <v>#DIV/0!</v>
      </c>
      <c r="M140" s="181" t="s">
        <v>799</v>
      </c>
      <c r="N140" s="181">
        <f t="shared" si="226"/>
        <v>0</v>
      </c>
      <c r="O140" s="181"/>
      <c r="P140" s="296"/>
      <c r="Q140" s="296"/>
      <c r="R140" s="296"/>
      <c r="S140" s="296"/>
      <c r="T140" s="296"/>
      <c r="U140" s="296"/>
      <c r="V140" s="296"/>
      <c r="W140" s="296"/>
      <c r="X140" s="296"/>
      <c r="Y140" s="296"/>
      <c r="Z140" s="296"/>
      <c r="AA140" s="296"/>
      <c r="AB140" s="181">
        <f t="shared" si="227"/>
        <v>0</v>
      </c>
      <c r="AC140" s="181">
        <f t="shared" si="228"/>
        <v>0</v>
      </c>
      <c r="AD140" s="181">
        <f>SUMIFS('1-2 人员岗位信息'!F:F,'1-2 人员岗位信息'!$C:$C,"专业外包",'1-2 人员岗位信息'!$B:$B,$D140)</f>
        <v>0</v>
      </c>
      <c r="AE140" s="304"/>
      <c r="AF140" s="181">
        <f t="shared" si="229"/>
        <v>0</v>
      </c>
      <c r="AG140" s="181">
        <f>SUMIFS('1-2 人员岗位信息'!G:G,'1-2 人员岗位信息'!$C:$C,"专业外包",'1-2 人员岗位信息'!$B:$B,$D140)</f>
        <v>0</v>
      </c>
      <c r="AH140" s="304"/>
      <c r="AI140" s="181">
        <f t="shared" si="230"/>
        <v>0</v>
      </c>
      <c r="AJ140" s="181">
        <f>SUMIFS('1-2 人员岗位信息'!H:H,'1-2 人员岗位信息'!$C:$C,"专业外包",'1-2 人员岗位信息'!$B:$B,$D140)</f>
        <v>0</v>
      </c>
      <c r="AK140" s="304"/>
      <c r="AL140" s="181">
        <f t="shared" si="231"/>
        <v>0</v>
      </c>
      <c r="AM140" s="181">
        <f>SUMIFS('1-2 人员岗位信息'!I:I,'1-2 人员岗位信息'!$C:$C,"专业外包",'1-2 人员岗位信息'!$B:$B,$D140)</f>
        <v>0</v>
      </c>
      <c r="AN140" s="304"/>
      <c r="AO140" s="181">
        <f t="shared" si="232"/>
        <v>0</v>
      </c>
      <c r="AP140" s="181">
        <f>SUMIFS('1-2 人员岗位信息'!J:J,'1-2 人员岗位信息'!$C:$C,"专业外包",'1-2 人员岗位信息'!$B:$B,$D140)</f>
        <v>0</v>
      </c>
      <c r="AQ140" s="304"/>
      <c r="AR140" s="181">
        <f t="shared" si="233"/>
        <v>0</v>
      </c>
      <c r="AS140" s="181">
        <f>SUMIFS('1-2 人员岗位信息'!K:K,'1-2 人员岗位信息'!$C:$C,"专业外包",'1-2 人员岗位信息'!$B:$B,$D140)</f>
        <v>0</v>
      </c>
      <c r="AT140" s="304"/>
      <c r="AU140" s="181">
        <f t="shared" si="234"/>
        <v>0</v>
      </c>
      <c r="AV140" s="181">
        <f>SUMIFS('1-2 人员岗位信息'!L:L,'1-2 人员岗位信息'!$C:$C,"专业外包",'1-2 人员岗位信息'!$B:$B,$D140)</f>
        <v>0</v>
      </c>
      <c r="AW140" s="304"/>
      <c r="AX140" s="181">
        <f t="shared" si="235"/>
        <v>0</v>
      </c>
      <c r="AY140" s="181">
        <f>SUMIFS('1-2 人员岗位信息'!M:M,'1-2 人员岗位信息'!$C:$C,"专业外包",'1-2 人员岗位信息'!$B:$B,$D140)</f>
        <v>0</v>
      </c>
      <c r="AZ140" s="304"/>
      <c r="BA140" s="181">
        <f t="shared" si="236"/>
        <v>0</v>
      </c>
      <c r="BB140" s="181">
        <f>SUMIFS('1-2 人员岗位信息'!N:N,'1-2 人员岗位信息'!$C:$C,"专业外包",'1-2 人员岗位信息'!$B:$B,$D140)</f>
        <v>0</v>
      </c>
      <c r="BC140" s="304"/>
      <c r="BD140" s="181">
        <f t="shared" si="237"/>
        <v>0</v>
      </c>
      <c r="BE140" s="181">
        <f>SUMIFS('1-2 人员岗位信息'!O:O,'1-2 人员岗位信息'!$C:$C,"专业外包",'1-2 人员岗位信息'!$B:$B,$D140)</f>
        <v>0</v>
      </c>
      <c r="BF140" s="304"/>
      <c r="BG140" s="181">
        <f t="shared" si="238"/>
        <v>0</v>
      </c>
      <c r="BH140" s="181">
        <f>SUMIFS('1-2 人员岗位信息'!P:P,'1-2 人员岗位信息'!$C:$C,"专业外包",'1-2 人员岗位信息'!$B:$B,$D140)</f>
        <v>0</v>
      </c>
      <c r="BI140" s="304"/>
      <c r="BJ140" s="181">
        <f t="shared" si="239"/>
        <v>0</v>
      </c>
      <c r="BK140" s="181">
        <f>SUMIFS('1-2 人员岗位信息'!Q:Q,'1-2 人员岗位信息'!$C:$C,"专业外包",'1-2 人员岗位信息'!$B:$B,$D140)</f>
        <v>0</v>
      </c>
      <c r="BL140" s="313"/>
      <c r="BM140" s="317"/>
      <c r="BN140" s="321"/>
    </row>
    <row r="141" s="269" customFormat="1" ht="33.95" hidden="1" customHeight="1" outlineLevel="5" spans="2:66">
      <c r="B141" s="181" t="s">
        <v>792</v>
      </c>
      <c r="C141" s="289" t="s">
        <v>1023</v>
      </c>
      <c r="D141" s="269" t="s">
        <v>1000</v>
      </c>
      <c r="E141" s="181" t="s">
        <v>814</v>
      </c>
      <c r="F141" s="181"/>
      <c r="G141" s="181" t="s">
        <v>796</v>
      </c>
      <c r="H141" s="181">
        <f t="shared" si="223"/>
        <v>0</v>
      </c>
      <c r="I141" s="181" t="s">
        <v>797</v>
      </c>
      <c r="J141" s="181" t="e">
        <f t="shared" si="224"/>
        <v>#DIV/0!</v>
      </c>
      <c r="K141" s="181" t="s">
        <v>798</v>
      </c>
      <c r="L141" s="181" t="e">
        <f t="shared" si="225"/>
        <v>#DIV/0!</v>
      </c>
      <c r="M141" s="181" t="s">
        <v>799</v>
      </c>
      <c r="N141" s="181">
        <f t="shared" si="226"/>
        <v>0</v>
      </c>
      <c r="O141" s="181"/>
      <c r="P141" s="296"/>
      <c r="Q141" s="296"/>
      <c r="R141" s="296"/>
      <c r="S141" s="296"/>
      <c r="T141" s="296"/>
      <c r="U141" s="296"/>
      <c r="V141" s="296"/>
      <c r="W141" s="296"/>
      <c r="X141" s="296"/>
      <c r="Y141" s="296"/>
      <c r="Z141" s="296"/>
      <c r="AA141" s="296"/>
      <c r="AB141" s="181">
        <f t="shared" ref="AB141:AB148" si="240">SUM(AC141,AF141,AI141,AL141,AO141,AR141,AU141,AX141,BA141,BD141,BG141,BJ141)</f>
        <v>0</v>
      </c>
      <c r="AC141" s="181">
        <f t="shared" si="228"/>
        <v>0</v>
      </c>
      <c r="AD141" s="181">
        <f>SUMIFS('1-2 人员岗位信息'!F:F,'1-2 人员岗位信息'!$C:$C,"专业外包",'1-2 人员岗位信息'!$B:$B,$D141)</f>
        <v>0</v>
      </c>
      <c r="AE141" s="304"/>
      <c r="AF141" s="181">
        <f t="shared" si="229"/>
        <v>0</v>
      </c>
      <c r="AG141" s="181">
        <f>SUMIFS('1-2 人员岗位信息'!G:G,'1-2 人员岗位信息'!$C:$C,"专业外包",'1-2 人员岗位信息'!$B:$B,$D141)</f>
        <v>0</v>
      </c>
      <c r="AH141" s="304"/>
      <c r="AI141" s="181">
        <f t="shared" si="230"/>
        <v>0</v>
      </c>
      <c r="AJ141" s="181">
        <f>SUMIFS('1-2 人员岗位信息'!H:H,'1-2 人员岗位信息'!$C:$C,"专业外包",'1-2 人员岗位信息'!$B:$B,$D141)</f>
        <v>0</v>
      </c>
      <c r="AK141" s="304"/>
      <c r="AL141" s="181">
        <f t="shared" si="231"/>
        <v>0</v>
      </c>
      <c r="AM141" s="181">
        <f>SUMIFS('1-2 人员岗位信息'!I:I,'1-2 人员岗位信息'!$C:$C,"专业外包",'1-2 人员岗位信息'!$B:$B,$D141)</f>
        <v>0</v>
      </c>
      <c r="AN141" s="304"/>
      <c r="AO141" s="181">
        <f t="shared" si="232"/>
        <v>0</v>
      </c>
      <c r="AP141" s="181">
        <f>SUMIFS('1-2 人员岗位信息'!J:J,'1-2 人员岗位信息'!$C:$C,"专业外包",'1-2 人员岗位信息'!$B:$B,$D141)</f>
        <v>0</v>
      </c>
      <c r="AQ141" s="304"/>
      <c r="AR141" s="181">
        <f t="shared" si="233"/>
        <v>0</v>
      </c>
      <c r="AS141" s="181">
        <f>SUMIFS('1-2 人员岗位信息'!K:K,'1-2 人员岗位信息'!$C:$C,"专业外包",'1-2 人员岗位信息'!$B:$B,$D141)</f>
        <v>0</v>
      </c>
      <c r="AT141" s="304"/>
      <c r="AU141" s="181">
        <f t="shared" si="234"/>
        <v>0</v>
      </c>
      <c r="AV141" s="181">
        <f>SUMIFS('1-2 人员岗位信息'!L:L,'1-2 人员岗位信息'!$C:$C,"专业外包",'1-2 人员岗位信息'!$B:$B,$D141)</f>
        <v>0</v>
      </c>
      <c r="AW141" s="304"/>
      <c r="AX141" s="181">
        <f t="shared" si="235"/>
        <v>0</v>
      </c>
      <c r="AY141" s="181">
        <f>SUMIFS('1-2 人员岗位信息'!M:M,'1-2 人员岗位信息'!$C:$C,"专业外包",'1-2 人员岗位信息'!$B:$B,$D141)</f>
        <v>0</v>
      </c>
      <c r="AZ141" s="304"/>
      <c r="BA141" s="181">
        <f t="shared" si="236"/>
        <v>0</v>
      </c>
      <c r="BB141" s="181">
        <f>SUMIFS('1-2 人员岗位信息'!N:N,'1-2 人员岗位信息'!$C:$C,"专业外包",'1-2 人员岗位信息'!$B:$B,$D141)</f>
        <v>0</v>
      </c>
      <c r="BC141" s="304"/>
      <c r="BD141" s="181">
        <f t="shared" si="237"/>
        <v>0</v>
      </c>
      <c r="BE141" s="181">
        <f>SUMIFS('1-2 人员岗位信息'!O:O,'1-2 人员岗位信息'!$C:$C,"专业外包",'1-2 人员岗位信息'!$B:$B,$D141)</f>
        <v>0</v>
      </c>
      <c r="BF141" s="304"/>
      <c r="BG141" s="181">
        <f t="shared" si="238"/>
        <v>0</v>
      </c>
      <c r="BH141" s="181">
        <f>SUMIFS('1-2 人员岗位信息'!P:P,'1-2 人员岗位信息'!$C:$C,"专业外包",'1-2 人员岗位信息'!$B:$B,$D141)</f>
        <v>0</v>
      </c>
      <c r="BI141" s="304"/>
      <c r="BJ141" s="181">
        <f t="shared" si="239"/>
        <v>0</v>
      </c>
      <c r="BK141" s="181">
        <f>SUMIFS('1-2 人员岗位信息'!Q:Q,'1-2 人员岗位信息'!$C:$C,"专业外包",'1-2 人员岗位信息'!$B:$B,$D141)</f>
        <v>0</v>
      </c>
      <c r="BL141" s="313"/>
      <c r="BM141" s="317"/>
      <c r="BN141" s="321"/>
    </row>
    <row r="142" s="124" customFormat="1" ht="33.95" hidden="1" customHeight="1" outlineLevel="4" spans="2:66">
      <c r="B142" s="125" t="s">
        <v>792</v>
      </c>
      <c r="C142" s="126" t="s">
        <v>1024</v>
      </c>
      <c r="D142" s="124" t="s">
        <v>25</v>
      </c>
      <c r="E142" s="125"/>
      <c r="F142" s="125"/>
      <c r="G142" s="125"/>
      <c r="H142" s="125">
        <f t="shared" si="223"/>
        <v>0</v>
      </c>
      <c r="I142" s="125" t="s">
        <v>1025</v>
      </c>
      <c r="J142" s="125">
        <f t="shared" si="224"/>
        <v>252764</v>
      </c>
      <c r="K142" s="125" t="s">
        <v>1026</v>
      </c>
      <c r="L142" s="125">
        <f t="shared" si="225"/>
        <v>0</v>
      </c>
      <c r="M142" s="125" t="s">
        <v>799</v>
      </c>
      <c r="N142" s="125">
        <f t="shared" si="226"/>
        <v>12</v>
      </c>
      <c r="O142" s="125"/>
      <c r="P142" s="295"/>
      <c r="Q142" s="295"/>
      <c r="R142" s="295"/>
      <c r="S142" s="295"/>
      <c r="T142" s="295"/>
      <c r="U142" s="295"/>
      <c r="V142" s="295"/>
      <c r="W142" s="295"/>
      <c r="X142" s="295"/>
      <c r="Y142" s="295"/>
      <c r="Z142" s="295"/>
      <c r="AA142" s="295"/>
      <c r="AB142" s="125">
        <f t="shared" si="240"/>
        <v>0</v>
      </c>
      <c r="AC142" s="125">
        <f t="shared" si="228"/>
        <v>0</v>
      </c>
      <c r="AD142" s="125">
        <f>VLOOKUP($I142,'1-1 项目基础信息'!$F:$S,3,FALSE)</f>
        <v>252764</v>
      </c>
      <c r="AE142" s="304"/>
      <c r="AF142" s="125">
        <f t="shared" si="229"/>
        <v>0</v>
      </c>
      <c r="AG142" s="125">
        <f>VLOOKUP($I142,'1-1 项目基础信息'!$F:$S,4,FALSE)</f>
        <v>252764</v>
      </c>
      <c r="AH142" s="304"/>
      <c r="AI142" s="125">
        <f t="shared" si="230"/>
        <v>0</v>
      </c>
      <c r="AJ142" s="125">
        <f>VLOOKUP($I142,'1-1 项目基础信息'!$F:$S,5,FALSE)</f>
        <v>252764</v>
      </c>
      <c r="AK142" s="304"/>
      <c r="AL142" s="125">
        <f t="shared" si="231"/>
        <v>0</v>
      </c>
      <c r="AM142" s="125">
        <f>VLOOKUP($I142,'1-1 项目基础信息'!$F:$S,6,FALSE)</f>
        <v>252764</v>
      </c>
      <c r="AN142" s="304"/>
      <c r="AO142" s="125">
        <f t="shared" si="232"/>
        <v>0</v>
      </c>
      <c r="AP142" s="125">
        <f>VLOOKUP($I142,'1-1 项目基础信息'!$F:$S,7,FALSE)</f>
        <v>252764</v>
      </c>
      <c r="AQ142" s="304"/>
      <c r="AR142" s="125">
        <f t="shared" si="233"/>
        <v>0</v>
      </c>
      <c r="AS142" s="125">
        <f>VLOOKUP($I142,'1-1 项目基础信息'!$F:$S,8,FALSE)</f>
        <v>252764</v>
      </c>
      <c r="AT142" s="304"/>
      <c r="AU142" s="125">
        <f t="shared" si="234"/>
        <v>0</v>
      </c>
      <c r="AV142" s="125">
        <f>VLOOKUP($I142,'1-1 项目基础信息'!$F:$S,9,FALSE)</f>
        <v>252764</v>
      </c>
      <c r="AW142" s="304"/>
      <c r="AX142" s="125">
        <f t="shared" si="235"/>
        <v>0</v>
      </c>
      <c r="AY142" s="125">
        <f>VLOOKUP($I142,'1-1 项目基础信息'!$F:$S,10,FALSE)</f>
        <v>252764</v>
      </c>
      <c r="AZ142" s="304"/>
      <c r="BA142" s="125">
        <f t="shared" si="236"/>
        <v>0</v>
      </c>
      <c r="BB142" s="125">
        <f>VLOOKUP($I142,'1-1 项目基础信息'!$F:$S,11,FALSE)</f>
        <v>252764</v>
      </c>
      <c r="BC142" s="304"/>
      <c r="BD142" s="125">
        <f t="shared" si="237"/>
        <v>0</v>
      </c>
      <c r="BE142" s="125">
        <f>VLOOKUP($I142,'1-1 项目基础信息'!$F:$S,12,FALSE)</f>
        <v>252764</v>
      </c>
      <c r="BF142" s="304"/>
      <c r="BG142" s="125">
        <f t="shared" si="238"/>
        <v>0</v>
      </c>
      <c r="BH142" s="125">
        <f>VLOOKUP($I142,'1-1 项目基础信息'!$F:$S,13,FALSE)</f>
        <v>252764</v>
      </c>
      <c r="BI142" s="304"/>
      <c r="BJ142" s="125">
        <f t="shared" si="239"/>
        <v>0</v>
      </c>
      <c r="BK142" s="125">
        <f>VLOOKUP($I142,'1-1 项目基础信息'!$F:$S,14,FALSE)</f>
        <v>252764</v>
      </c>
      <c r="BL142" s="313"/>
      <c r="BM142" s="317"/>
      <c r="BN142" s="320"/>
    </row>
    <row r="143" s="43" customFormat="1" ht="33.95" customHeight="1" outlineLevel="3" collapsed="1" spans="2:66">
      <c r="B143" s="121" t="s">
        <v>787</v>
      </c>
      <c r="C143" s="122" t="s">
        <v>1027</v>
      </c>
      <c r="D143" s="43" t="s">
        <v>1028</v>
      </c>
      <c r="E143" s="121"/>
      <c r="F143" s="121"/>
      <c r="G143" s="121"/>
      <c r="H143" s="121">
        <f>H144+H149+H154</f>
        <v>479722.8</v>
      </c>
      <c r="I143" s="121"/>
      <c r="J143" s="121"/>
      <c r="K143" s="121"/>
      <c r="L143" s="121"/>
      <c r="M143" s="121"/>
      <c r="N143" s="121"/>
      <c r="O143" s="121"/>
      <c r="P143" s="294"/>
      <c r="Q143" s="294"/>
      <c r="R143" s="294"/>
      <c r="S143" s="294"/>
      <c r="T143" s="294"/>
      <c r="U143" s="294"/>
      <c r="V143" s="294"/>
      <c r="W143" s="294"/>
      <c r="X143" s="294"/>
      <c r="Y143" s="294"/>
      <c r="Z143" s="294"/>
      <c r="AA143" s="294"/>
      <c r="AB143" s="121">
        <f t="shared" ref="AB143:AF143" si="241">AB144+AB149+AB154</f>
        <v>479722.8</v>
      </c>
      <c r="AC143" s="121">
        <f t="shared" si="241"/>
        <v>39976.9</v>
      </c>
      <c r="AD143" s="121"/>
      <c r="AE143" s="121"/>
      <c r="AF143" s="121">
        <f t="shared" si="241"/>
        <v>39976.9</v>
      </c>
      <c r="AG143" s="121"/>
      <c r="AH143" s="121"/>
      <c r="AI143" s="121">
        <f>AI144+AI149+AI154</f>
        <v>39976.9</v>
      </c>
      <c r="AJ143" s="121"/>
      <c r="AK143" s="121"/>
      <c r="AL143" s="121">
        <f>AL144+AL149+AL154</f>
        <v>39976.9</v>
      </c>
      <c r="AM143" s="121"/>
      <c r="AN143" s="121"/>
      <c r="AO143" s="121">
        <f>AO144+AO149+AO154</f>
        <v>39976.9</v>
      </c>
      <c r="AP143" s="121"/>
      <c r="AQ143" s="121"/>
      <c r="AR143" s="121">
        <f>AR144+AR149+AR154</f>
        <v>39976.9</v>
      </c>
      <c r="AS143" s="121"/>
      <c r="AT143" s="121"/>
      <c r="AU143" s="121">
        <f>AU144+AU149+AU154</f>
        <v>39976.9</v>
      </c>
      <c r="AV143" s="121"/>
      <c r="AW143" s="121"/>
      <c r="AX143" s="121">
        <f>AX144+AX149+AX154</f>
        <v>39976.9</v>
      </c>
      <c r="AY143" s="121"/>
      <c r="AZ143" s="121"/>
      <c r="BA143" s="121">
        <f>BA144+BA149+BA154</f>
        <v>39976.9</v>
      </c>
      <c r="BB143" s="121"/>
      <c r="BC143" s="121"/>
      <c r="BD143" s="121">
        <f>BD144+BD149+BD154</f>
        <v>39976.9</v>
      </c>
      <c r="BE143" s="121"/>
      <c r="BF143" s="121"/>
      <c r="BG143" s="121">
        <f>BG144+BG149+BG154</f>
        <v>39976.9</v>
      </c>
      <c r="BH143" s="121"/>
      <c r="BI143" s="121"/>
      <c r="BJ143" s="121">
        <f>BJ144+BJ149+BJ154</f>
        <v>39976.9</v>
      </c>
      <c r="BK143" s="121"/>
      <c r="BL143" s="311"/>
      <c r="BM143" s="317"/>
      <c r="BN143" s="319"/>
    </row>
    <row r="144" s="124" customFormat="1" ht="33.95" hidden="1" customHeight="1" outlineLevel="4" spans="2:66">
      <c r="B144" s="125" t="s">
        <v>787</v>
      </c>
      <c r="C144" s="126" t="s">
        <v>121</v>
      </c>
      <c r="D144" s="124" t="s">
        <v>109</v>
      </c>
      <c r="E144" s="125"/>
      <c r="F144" s="125"/>
      <c r="G144" s="125"/>
      <c r="H144" s="125">
        <f>SUM(H145:H148)</f>
        <v>479722.8</v>
      </c>
      <c r="I144" s="125"/>
      <c r="J144" s="125"/>
      <c r="K144" s="125"/>
      <c r="L144" s="125"/>
      <c r="M144" s="125"/>
      <c r="N144" s="125"/>
      <c r="O144" s="125"/>
      <c r="P144" s="295"/>
      <c r="Q144" s="295"/>
      <c r="R144" s="295"/>
      <c r="S144" s="295"/>
      <c r="T144" s="295"/>
      <c r="U144" s="295"/>
      <c r="V144" s="295"/>
      <c r="W144" s="295"/>
      <c r="X144" s="295"/>
      <c r="Y144" s="295"/>
      <c r="Z144" s="295"/>
      <c r="AA144" s="295"/>
      <c r="AB144" s="125">
        <f t="shared" ref="AB144:AF144" si="242">SUM(AB145:AB148)</f>
        <v>479722.8</v>
      </c>
      <c r="AC144" s="125">
        <f t="shared" si="242"/>
        <v>39976.9</v>
      </c>
      <c r="AD144" s="125"/>
      <c r="AE144" s="125"/>
      <c r="AF144" s="125">
        <f t="shared" si="242"/>
        <v>39976.9</v>
      </c>
      <c r="AG144" s="125"/>
      <c r="AH144" s="125"/>
      <c r="AI144" s="125">
        <f>SUM(AI145:AI148)</f>
        <v>39976.9</v>
      </c>
      <c r="AJ144" s="125"/>
      <c r="AK144" s="125"/>
      <c r="AL144" s="125">
        <f>SUM(AL145:AL148)</f>
        <v>39976.9</v>
      </c>
      <c r="AM144" s="125"/>
      <c r="AN144" s="125"/>
      <c r="AO144" s="125">
        <f>SUM(AO145:AO148)</f>
        <v>39976.9</v>
      </c>
      <c r="AP144" s="125"/>
      <c r="AQ144" s="125"/>
      <c r="AR144" s="125">
        <f>SUM(AR145:AR148)</f>
        <v>39976.9</v>
      </c>
      <c r="AS144" s="125"/>
      <c r="AT144" s="125"/>
      <c r="AU144" s="125">
        <f>SUM(AU145:AU148)</f>
        <v>39976.9</v>
      </c>
      <c r="AV144" s="125"/>
      <c r="AW144" s="125"/>
      <c r="AX144" s="125">
        <f>SUM(AX145:AX148)</f>
        <v>39976.9</v>
      </c>
      <c r="AY144" s="125"/>
      <c r="AZ144" s="125"/>
      <c r="BA144" s="125">
        <f>SUM(BA145:BA148)</f>
        <v>39976.9</v>
      </c>
      <c r="BB144" s="125"/>
      <c r="BC144" s="125"/>
      <c r="BD144" s="125">
        <f>SUM(BD145:BD148)</f>
        <v>39976.9</v>
      </c>
      <c r="BE144" s="125"/>
      <c r="BF144" s="125"/>
      <c r="BG144" s="125">
        <f>SUM(BG145:BG148)</f>
        <v>39976.9</v>
      </c>
      <c r="BH144" s="125"/>
      <c r="BI144" s="125"/>
      <c r="BJ144" s="125">
        <f>SUM(BJ145:BJ148)</f>
        <v>39976.9</v>
      </c>
      <c r="BK144" s="125"/>
      <c r="BL144" s="312"/>
      <c r="BM144" s="317"/>
      <c r="BN144" s="320"/>
    </row>
    <row r="145" s="269" customFormat="1" ht="33.95" hidden="1" customHeight="1" outlineLevel="5" spans="2:66">
      <c r="B145" s="181" t="s">
        <v>792</v>
      </c>
      <c r="C145" s="289" t="s">
        <v>1029</v>
      </c>
      <c r="D145" s="269" t="s">
        <v>1030</v>
      </c>
      <c r="E145" s="181" t="s">
        <v>1031</v>
      </c>
      <c r="F145" s="181"/>
      <c r="G145" s="181" t="s">
        <v>796</v>
      </c>
      <c r="H145" s="181">
        <f t="shared" ref="H145:H148" si="243">AB145</f>
        <v>479722.8</v>
      </c>
      <c r="I145" s="181" t="s">
        <v>797</v>
      </c>
      <c r="J145" s="181">
        <f t="shared" ref="J145:J148" si="244">SUM(AD145,AG145,AJ145,AM145,AP145,AS145,AV145,AY145,BB145,BE145,BH145,BK145)/N145</f>
        <v>24</v>
      </c>
      <c r="K145" s="181" t="s">
        <v>798</v>
      </c>
      <c r="L145" s="181">
        <f t="shared" ref="L145:L148" si="245">H145/N145/J145</f>
        <v>1665.70416666667</v>
      </c>
      <c r="M145" s="181" t="s">
        <v>799</v>
      </c>
      <c r="N145" s="181">
        <f t="shared" ref="N145:N148" si="246">COUNTIF(AD145,"&gt;0")+COUNTIF(AG145,"&gt;0")+COUNTIF(AJ145,"&gt;0")+COUNTIF(AM145,"&gt;0")+COUNTIF(AP145,"&gt;0")+COUNTIF(AS145,"&gt;0")+COUNTIF(AV145,"&gt;0")+COUNTIF(AY145,"&gt;0")+COUNTIF(BB145,"&gt;0")+COUNTIF(BE145,"&gt;0")+COUNTIF(BH145,"&gt;0")+COUNTIF(BK145,"&gt;0")</f>
        <v>12</v>
      </c>
      <c r="O145" s="181"/>
      <c r="P145" s="296"/>
      <c r="Q145" s="296"/>
      <c r="R145" s="296"/>
      <c r="S145" s="296"/>
      <c r="T145" s="296"/>
      <c r="U145" s="296"/>
      <c r="V145" s="296"/>
      <c r="W145" s="296"/>
      <c r="X145" s="296"/>
      <c r="Y145" s="296"/>
      <c r="Z145" s="296"/>
      <c r="AA145" s="296"/>
      <c r="AB145" s="181">
        <f t="shared" si="240"/>
        <v>479722.8</v>
      </c>
      <c r="AC145" s="181">
        <f t="shared" ref="AC145:AC148" si="247">AD145*AE145</f>
        <v>39976.9</v>
      </c>
      <c r="AD145" s="181">
        <f>SUMIFS('1-2 人员岗位信息'!F:F,'1-2 人员岗位信息'!$C:$C,"自有人员",'1-2 人员岗位信息'!$B:$B,$D145)</f>
        <v>24</v>
      </c>
      <c r="AE145" s="304">
        <f>自有人工预算!E24/AD145</f>
        <v>1665.70416666667</v>
      </c>
      <c r="AF145" s="181">
        <f t="shared" ref="AF145:AF148" si="248">AG145*AH145</f>
        <v>39976.9</v>
      </c>
      <c r="AG145" s="181">
        <f>SUMIFS('1-2 人员岗位信息'!G:G,'1-2 人员岗位信息'!$C:$C,"自有人员",'1-2 人员岗位信息'!$B:$B,$D145)</f>
        <v>24</v>
      </c>
      <c r="AH145" s="304">
        <f>自有人工预算!F24/AG145</f>
        <v>1665.70416666667</v>
      </c>
      <c r="AI145" s="181">
        <f t="shared" ref="AI145:AI148" si="249">AJ145*AK145</f>
        <v>39976.9</v>
      </c>
      <c r="AJ145" s="181">
        <f>SUMIFS('1-2 人员岗位信息'!H:H,'1-2 人员岗位信息'!$C:$C,"自有人员",'1-2 人员岗位信息'!$B:$B,$D145)</f>
        <v>24</v>
      </c>
      <c r="AK145" s="304">
        <f>自有人工预算!G24/AJ145</f>
        <v>1665.70416666667</v>
      </c>
      <c r="AL145" s="181">
        <f t="shared" ref="AL145:AL148" si="250">AM145*AN145</f>
        <v>39976.9</v>
      </c>
      <c r="AM145" s="181">
        <f>SUMIFS('1-2 人员岗位信息'!I:I,'1-2 人员岗位信息'!$C:$C,"自有人员",'1-2 人员岗位信息'!$B:$B,$D145)</f>
        <v>24</v>
      </c>
      <c r="AN145" s="304">
        <f>自有人工预算!H24/AM145</f>
        <v>1665.70416666667</v>
      </c>
      <c r="AO145" s="181">
        <f t="shared" ref="AO145:AO148" si="251">AP145*AQ145</f>
        <v>39976.9</v>
      </c>
      <c r="AP145" s="181">
        <f>SUMIFS('1-2 人员岗位信息'!J:J,'1-2 人员岗位信息'!$C:$C,"自有人员",'1-2 人员岗位信息'!$B:$B,$D145)</f>
        <v>24</v>
      </c>
      <c r="AQ145" s="304">
        <f>自有人工预算!I24/AP145</f>
        <v>1665.70416666667</v>
      </c>
      <c r="AR145" s="181">
        <f t="shared" ref="AR145:AR148" si="252">AS145*AT145</f>
        <v>39976.9</v>
      </c>
      <c r="AS145" s="181">
        <f>SUMIFS('1-2 人员岗位信息'!K:K,'1-2 人员岗位信息'!$C:$C,"自有人员",'1-2 人员岗位信息'!$B:$B,$D145)</f>
        <v>24</v>
      </c>
      <c r="AT145" s="304">
        <f>自有人工预算!J24/AS145</f>
        <v>1665.70416666667</v>
      </c>
      <c r="AU145" s="181">
        <f t="shared" ref="AU145:AU148" si="253">AV145*AW145</f>
        <v>39976.9</v>
      </c>
      <c r="AV145" s="181">
        <f>SUMIFS('1-2 人员岗位信息'!L:L,'1-2 人员岗位信息'!$C:$C,"自有人员",'1-2 人员岗位信息'!$B:$B,$D145)</f>
        <v>24</v>
      </c>
      <c r="AW145" s="304">
        <f>自有人工预算!K24/AV145</f>
        <v>1665.70416666667</v>
      </c>
      <c r="AX145" s="181">
        <f t="shared" ref="AX145:AX148" si="254">AY145*AZ145</f>
        <v>39976.9</v>
      </c>
      <c r="AY145" s="181">
        <f>SUMIFS('1-2 人员岗位信息'!M:M,'1-2 人员岗位信息'!$C:$C,"自有人员",'1-2 人员岗位信息'!$B:$B,$D145)</f>
        <v>24</v>
      </c>
      <c r="AZ145" s="304">
        <f>自有人工预算!L24/AY145</f>
        <v>1665.70416666667</v>
      </c>
      <c r="BA145" s="181">
        <f t="shared" ref="BA145:BA148" si="255">BB145*BC145</f>
        <v>39976.9</v>
      </c>
      <c r="BB145" s="181">
        <f>SUMIFS('1-2 人员岗位信息'!N:N,'1-2 人员岗位信息'!$C:$C,"自有人员",'1-2 人员岗位信息'!$B:$B,$D145)</f>
        <v>24</v>
      </c>
      <c r="BC145" s="304">
        <f>自有人工预算!M24/BB145</f>
        <v>1665.70416666667</v>
      </c>
      <c r="BD145" s="181">
        <f t="shared" ref="BD145:BD148" si="256">BE145*BF145</f>
        <v>39976.9</v>
      </c>
      <c r="BE145" s="181">
        <f>SUMIFS('1-2 人员岗位信息'!O:O,'1-2 人员岗位信息'!$C:$C,"自有人员",'1-2 人员岗位信息'!$B:$B,$D145)</f>
        <v>24</v>
      </c>
      <c r="BF145" s="304">
        <f>自有人工预算!N24/BE145</f>
        <v>1665.70416666667</v>
      </c>
      <c r="BG145" s="181">
        <f t="shared" ref="BG145:BG148" si="257">BH145*BI145</f>
        <v>39976.9</v>
      </c>
      <c r="BH145" s="181">
        <f>SUMIFS('1-2 人员岗位信息'!P:P,'1-2 人员岗位信息'!$C:$C,"自有人员",'1-2 人员岗位信息'!$B:$B,$D145)</f>
        <v>24</v>
      </c>
      <c r="BI145" s="304">
        <f>自有人工预算!O24/BH145</f>
        <v>1665.70416666667</v>
      </c>
      <c r="BJ145" s="181">
        <f t="shared" ref="BJ145:BJ148" si="258">BK145*BL145</f>
        <v>39976.9</v>
      </c>
      <c r="BK145" s="181">
        <f>SUMIFS('1-2 人员岗位信息'!Q:Q,'1-2 人员岗位信息'!$C:$C,"自有人员",'1-2 人员岗位信息'!$B:$B,$D145)</f>
        <v>24</v>
      </c>
      <c r="BL145" s="304">
        <f>自有人工预算!P24/BK145</f>
        <v>1665.70416666667</v>
      </c>
      <c r="BM145" s="317"/>
      <c r="BN145" s="321"/>
    </row>
    <row r="146" s="269" customFormat="1" ht="33.95" hidden="1" customHeight="1" outlineLevel="5" spans="2:66">
      <c r="B146" s="181" t="s">
        <v>792</v>
      </c>
      <c r="C146" s="289" t="s">
        <v>1032</v>
      </c>
      <c r="D146" s="269" t="s">
        <v>1033</v>
      </c>
      <c r="E146" s="181" t="s">
        <v>1034</v>
      </c>
      <c r="F146" s="181"/>
      <c r="G146" s="181" t="s">
        <v>796</v>
      </c>
      <c r="H146" s="181">
        <f t="shared" si="243"/>
        <v>0</v>
      </c>
      <c r="I146" s="181" t="s">
        <v>797</v>
      </c>
      <c r="J146" s="181" t="e">
        <f t="shared" si="244"/>
        <v>#DIV/0!</v>
      </c>
      <c r="K146" s="181" t="s">
        <v>798</v>
      </c>
      <c r="L146" s="181" t="e">
        <f t="shared" si="245"/>
        <v>#DIV/0!</v>
      </c>
      <c r="M146" s="181" t="s">
        <v>799</v>
      </c>
      <c r="N146" s="181">
        <f t="shared" si="246"/>
        <v>0</v>
      </c>
      <c r="O146" s="181"/>
      <c r="P146" s="296"/>
      <c r="Q146" s="296"/>
      <c r="R146" s="296"/>
      <c r="S146" s="296"/>
      <c r="T146" s="296"/>
      <c r="U146" s="296"/>
      <c r="V146" s="296"/>
      <c r="W146" s="296"/>
      <c r="X146" s="296"/>
      <c r="Y146" s="296"/>
      <c r="Z146" s="296"/>
      <c r="AA146" s="296"/>
      <c r="AB146" s="181">
        <f t="shared" si="240"/>
        <v>0</v>
      </c>
      <c r="AC146" s="181">
        <f t="shared" si="247"/>
        <v>0</v>
      </c>
      <c r="AD146" s="181">
        <f>SUMIFS('1-2 人员岗位信息'!F:F,'1-2 人员岗位信息'!$C:$C,"自有人员",'1-2 人员岗位信息'!$B:$B,$D146)</f>
        <v>0</v>
      </c>
      <c r="AE146" s="304"/>
      <c r="AF146" s="181">
        <f t="shared" si="248"/>
        <v>0</v>
      </c>
      <c r="AG146" s="181">
        <f>SUMIFS('1-2 人员岗位信息'!G:G,'1-2 人员岗位信息'!$C:$C,"自有人员",'1-2 人员岗位信息'!$B:$B,$D146)</f>
        <v>0</v>
      </c>
      <c r="AH146" s="304"/>
      <c r="AI146" s="181">
        <f t="shared" si="249"/>
        <v>0</v>
      </c>
      <c r="AJ146" s="181">
        <f>SUMIFS('1-2 人员岗位信息'!H:H,'1-2 人员岗位信息'!$C:$C,"自有人员",'1-2 人员岗位信息'!$B:$B,$D146)</f>
        <v>0</v>
      </c>
      <c r="AK146" s="304"/>
      <c r="AL146" s="181">
        <f t="shared" si="250"/>
        <v>0</v>
      </c>
      <c r="AM146" s="181">
        <f>SUMIFS('1-2 人员岗位信息'!I:I,'1-2 人员岗位信息'!$C:$C,"自有人员",'1-2 人员岗位信息'!$B:$B,$D146)</f>
        <v>0</v>
      </c>
      <c r="AN146" s="304"/>
      <c r="AO146" s="181">
        <f t="shared" si="251"/>
        <v>0</v>
      </c>
      <c r="AP146" s="181">
        <f>SUMIFS('1-2 人员岗位信息'!J:J,'1-2 人员岗位信息'!$C:$C,"自有人员",'1-2 人员岗位信息'!$B:$B,$D146)</f>
        <v>0</v>
      </c>
      <c r="AQ146" s="304"/>
      <c r="AR146" s="181">
        <f t="shared" si="252"/>
        <v>0</v>
      </c>
      <c r="AS146" s="181">
        <f>SUMIFS('1-2 人员岗位信息'!K:K,'1-2 人员岗位信息'!$C:$C,"自有人员",'1-2 人员岗位信息'!$B:$B,$D146)</f>
        <v>0</v>
      </c>
      <c r="AT146" s="304"/>
      <c r="AU146" s="181">
        <f t="shared" si="253"/>
        <v>0</v>
      </c>
      <c r="AV146" s="181">
        <f>SUMIFS('1-2 人员岗位信息'!L:L,'1-2 人员岗位信息'!$C:$C,"自有人员",'1-2 人员岗位信息'!$B:$B,$D146)</f>
        <v>0</v>
      </c>
      <c r="AW146" s="304"/>
      <c r="AX146" s="181">
        <f t="shared" si="254"/>
        <v>0</v>
      </c>
      <c r="AY146" s="181">
        <f>SUMIFS('1-2 人员岗位信息'!M:M,'1-2 人员岗位信息'!$C:$C,"自有人员",'1-2 人员岗位信息'!$B:$B,$D146)</f>
        <v>0</v>
      </c>
      <c r="AZ146" s="304"/>
      <c r="BA146" s="181">
        <f t="shared" si="255"/>
        <v>0</v>
      </c>
      <c r="BB146" s="181">
        <f>SUMIFS('1-2 人员岗位信息'!N:N,'1-2 人员岗位信息'!$C:$C,"自有人员",'1-2 人员岗位信息'!$B:$B,$D146)</f>
        <v>0</v>
      </c>
      <c r="BC146" s="304"/>
      <c r="BD146" s="181">
        <f t="shared" si="256"/>
        <v>0</v>
      </c>
      <c r="BE146" s="181">
        <f>SUMIFS('1-2 人员岗位信息'!O:O,'1-2 人员岗位信息'!$C:$C,"自有人员",'1-2 人员岗位信息'!$B:$B,$D146)</f>
        <v>0</v>
      </c>
      <c r="BF146" s="304"/>
      <c r="BG146" s="181">
        <f t="shared" si="257"/>
        <v>0</v>
      </c>
      <c r="BH146" s="181">
        <f>SUMIFS('1-2 人员岗位信息'!P:P,'1-2 人员岗位信息'!$C:$C,"自有人员",'1-2 人员岗位信息'!$B:$B,$D146)</f>
        <v>0</v>
      </c>
      <c r="BI146" s="304"/>
      <c r="BJ146" s="181">
        <f t="shared" si="258"/>
        <v>0</v>
      </c>
      <c r="BK146" s="181">
        <f>SUMIFS('1-2 人员岗位信息'!Q:Q,'1-2 人员岗位信息'!$C:$C,"自有人员",'1-2 人员岗位信息'!$B:$B,$D146)</f>
        <v>0</v>
      </c>
      <c r="BL146" s="313"/>
      <c r="BM146" s="317"/>
      <c r="BN146" s="321"/>
    </row>
    <row r="147" s="269" customFormat="1" ht="33.95" hidden="1" customHeight="1" outlineLevel="5" spans="2:66">
      <c r="B147" s="181" t="s">
        <v>792</v>
      </c>
      <c r="C147" s="289" t="s">
        <v>1035</v>
      </c>
      <c r="D147" s="269" t="s">
        <v>1036</v>
      </c>
      <c r="E147" s="181" t="s">
        <v>1037</v>
      </c>
      <c r="F147" s="181"/>
      <c r="G147" s="181" t="s">
        <v>796</v>
      </c>
      <c r="H147" s="181">
        <f t="shared" si="243"/>
        <v>0</v>
      </c>
      <c r="I147" s="181" t="s">
        <v>797</v>
      </c>
      <c r="J147" s="181" t="e">
        <f t="shared" si="244"/>
        <v>#DIV/0!</v>
      </c>
      <c r="K147" s="181" t="s">
        <v>798</v>
      </c>
      <c r="L147" s="181" t="e">
        <f t="shared" si="245"/>
        <v>#DIV/0!</v>
      </c>
      <c r="M147" s="181" t="s">
        <v>799</v>
      </c>
      <c r="N147" s="181">
        <f t="shared" si="246"/>
        <v>0</v>
      </c>
      <c r="O147" s="181"/>
      <c r="P147" s="296"/>
      <c r="Q147" s="296"/>
      <c r="R147" s="296"/>
      <c r="S147" s="296"/>
      <c r="T147" s="296"/>
      <c r="U147" s="296"/>
      <c r="V147" s="296"/>
      <c r="W147" s="296"/>
      <c r="X147" s="296"/>
      <c r="Y147" s="296"/>
      <c r="Z147" s="296"/>
      <c r="AA147" s="296"/>
      <c r="AB147" s="181">
        <f t="shared" si="240"/>
        <v>0</v>
      </c>
      <c r="AC147" s="181">
        <f t="shared" si="247"/>
        <v>0</v>
      </c>
      <c r="AD147" s="181">
        <f>SUMIFS('1-2 人员岗位信息'!F:F,'1-2 人员岗位信息'!$C:$C,"自有人员",'1-2 人员岗位信息'!$B:$B,$D147)</f>
        <v>0</v>
      </c>
      <c r="AE147" s="304"/>
      <c r="AF147" s="181">
        <f t="shared" si="248"/>
        <v>0</v>
      </c>
      <c r="AG147" s="181">
        <f>SUMIFS('1-2 人员岗位信息'!G:G,'1-2 人员岗位信息'!$C:$C,"自有人员",'1-2 人员岗位信息'!$B:$B,$D147)</f>
        <v>0</v>
      </c>
      <c r="AH147" s="304"/>
      <c r="AI147" s="181">
        <f t="shared" si="249"/>
        <v>0</v>
      </c>
      <c r="AJ147" s="181">
        <f>SUMIFS('1-2 人员岗位信息'!H:H,'1-2 人员岗位信息'!$C:$C,"自有人员",'1-2 人员岗位信息'!$B:$B,$D147)</f>
        <v>0</v>
      </c>
      <c r="AK147" s="304"/>
      <c r="AL147" s="181">
        <f t="shared" si="250"/>
        <v>0</v>
      </c>
      <c r="AM147" s="181">
        <f>SUMIFS('1-2 人员岗位信息'!I:I,'1-2 人员岗位信息'!$C:$C,"自有人员",'1-2 人员岗位信息'!$B:$B,$D147)</f>
        <v>0</v>
      </c>
      <c r="AN147" s="304"/>
      <c r="AO147" s="181">
        <f t="shared" si="251"/>
        <v>0</v>
      </c>
      <c r="AP147" s="181">
        <f>SUMIFS('1-2 人员岗位信息'!J:J,'1-2 人员岗位信息'!$C:$C,"自有人员",'1-2 人员岗位信息'!$B:$B,$D147)</f>
        <v>0</v>
      </c>
      <c r="AQ147" s="304"/>
      <c r="AR147" s="181">
        <f t="shared" si="252"/>
        <v>0</v>
      </c>
      <c r="AS147" s="181">
        <f>SUMIFS('1-2 人员岗位信息'!K:K,'1-2 人员岗位信息'!$C:$C,"自有人员",'1-2 人员岗位信息'!$B:$B,$D147)</f>
        <v>0</v>
      </c>
      <c r="AT147" s="304"/>
      <c r="AU147" s="181">
        <f t="shared" si="253"/>
        <v>0</v>
      </c>
      <c r="AV147" s="181">
        <f>SUMIFS('1-2 人员岗位信息'!L:L,'1-2 人员岗位信息'!$C:$C,"自有人员",'1-2 人员岗位信息'!$B:$B,$D147)</f>
        <v>0</v>
      </c>
      <c r="AW147" s="304"/>
      <c r="AX147" s="181">
        <f t="shared" si="254"/>
        <v>0</v>
      </c>
      <c r="AY147" s="181">
        <f>SUMIFS('1-2 人员岗位信息'!M:M,'1-2 人员岗位信息'!$C:$C,"自有人员",'1-2 人员岗位信息'!$B:$B,$D147)</f>
        <v>0</v>
      </c>
      <c r="AZ147" s="304"/>
      <c r="BA147" s="181">
        <f t="shared" si="255"/>
        <v>0</v>
      </c>
      <c r="BB147" s="181">
        <f>SUMIFS('1-2 人员岗位信息'!N:N,'1-2 人员岗位信息'!$C:$C,"自有人员",'1-2 人员岗位信息'!$B:$B,$D147)</f>
        <v>0</v>
      </c>
      <c r="BC147" s="304"/>
      <c r="BD147" s="181">
        <f t="shared" si="256"/>
        <v>0</v>
      </c>
      <c r="BE147" s="181">
        <f>SUMIFS('1-2 人员岗位信息'!O:O,'1-2 人员岗位信息'!$C:$C,"自有人员",'1-2 人员岗位信息'!$B:$B,$D147)</f>
        <v>0</v>
      </c>
      <c r="BF147" s="304"/>
      <c r="BG147" s="181">
        <f t="shared" si="257"/>
        <v>0</v>
      </c>
      <c r="BH147" s="181">
        <f>SUMIFS('1-2 人员岗位信息'!P:P,'1-2 人员岗位信息'!$C:$C,"自有人员",'1-2 人员岗位信息'!$B:$B,$D147)</f>
        <v>0</v>
      </c>
      <c r="BI147" s="304"/>
      <c r="BJ147" s="181">
        <f t="shared" si="258"/>
        <v>0</v>
      </c>
      <c r="BK147" s="181">
        <f>SUMIFS('1-2 人员岗位信息'!Q:Q,'1-2 人员岗位信息'!$C:$C,"自有人员",'1-2 人员岗位信息'!$B:$B,$D147)</f>
        <v>0</v>
      </c>
      <c r="BL147" s="313"/>
      <c r="BM147" s="317"/>
      <c r="BN147" s="321"/>
    </row>
    <row r="148" s="269" customFormat="1" ht="33.95" hidden="1" customHeight="1" outlineLevel="5" spans="2:66">
      <c r="B148" s="181" t="s">
        <v>792</v>
      </c>
      <c r="C148" s="289" t="s">
        <v>1038</v>
      </c>
      <c r="D148" s="269" t="s">
        <v>1039</v>
      </c>
      <c r="E148" s="181" t="s">
        <v>1040</v>
      </c>
      <c r="F148" s="181"/>
      <c r="G148" s="181" t="s">
        <v>796</v>
      </c>
      <c r="H148" s="181">
        <f t="shared" si="243"/>
        <v>0</v>
      </c>
      <c r="I148" s="181" t="s">
        <v>797</v>
      </c>
      <c r="J148" s="181" t="e">
        <f t="shared" si="244"/>
        <v>#DIV/0!</v>
      </c>
      <c r="K148" s="181" t="s">
        <v>798</v>
      </c>
      <c r="L148" s="181" t="e">
        <f t="shared" si="245"/>
        <v>#DIV/0!</v>
      </c>
      <c r="M148" s="181" t="s">
        <v>799</v>
      </c>
      <c r="N148" s="181">
        <f t="shared" si="246"/>
        <v>0</v>
      </c>
      <c r="O148" s="181"/>
      <c r="P148" s="296"/>
      <c r="Q148" s="296"/>
      <c r="R148" s="296"/>
      <c r="S148" s="296"/>
      <c r="T148" s="296"/>
      <c r="U148" s="296"/>
      <c r="V148" s="296"/>
      <c r="W148" s="296"/>
      <c r="X148" s="296"/>
      <c r="Y148" s="296"/>
      <c r="Z148" s="296"/>
      <c r="AA148" s="296"/>
      <c r="AB148" s="181">
        <f t="shared" si="240"/>
        <v>0</v>
      </c>
      <c r="AC148" s="181">
        <f t="shared" si="247"/>
        <v>0</v>
      </c>
      <c r="AD148" s="181">
        <f>SUMIFS('1-2 人员岗位信息'!F:F,'1-2 人员岗位信息'!$C:$C,"自有人员",'1-2 人员岗位信息'!$B:$B,$D148)</f>
        <v>0</v>
      </c>
      <c r="AE148" s="304"/>
      <c r="AF148" s="181">
        <f t="shared" si="248"/>
        <v>0</v>
      </c>
      <c r="AG148" s="181">
        <f>SUMIFS('1-2 人员岗位信息'!G:G,'1-2 人员岗位信息'!$C:$C,"自有人员",'1-2 人员岗位信息'!$B:$B,$D148)</f>
        <v>0</v>
      </c>
      <c r="AH148" s="304"/>
      <c r="AI148" s="181">
        <f t="shared" si="249"/>
        <v>0</v>
      </c>
      <c r="AJ148" s="181">
        <f>SUMIFS('1-2 人员岗位信息'!H:H,'1-2 人员岗位信息'!$C:$C,"自有人员",'1-2 人员岗位信息'!$B:$B,$D148)</f>
        <v>0</v>
      </c>
      <c r="AK148" s="304"/>
      <c r="AL148" s="181">
        <f t="shared" si="250"/>
        <v>0</v>
      </c>
      <c r="AM148" s="181">
        <f>SUMIFS('1-2 人员岗位信息'!I:I,'1-2 人员岗位信息'!$C:$C,"自有人员",'1-2 人员岗位信息'!$B:$B,$D148)</f>
        <v>0</v>
      </c>
      <c r="AN148" s="304"/>
      <c r="AO148" s="181">
        <f t="shared" si="251"/>
        <v>0</v>
      </c>
      <c r="AP148" s="181">
        <f>SUMIFS('1-2 人员岗位信息'!J:J,'1-2 人员岗位信息'!$C:$C,"自有人员",'1-2 人员岗位信息'!$B:$B,$D148)</f>
        <v>0</v>
      </c>
      <c r="AQ148" s="304"/>
      <c r="AR148" s="181">
        <f t="shared" si="252"/>
        <v>0</v>
      </c>
      <c r="AS148" s="181">
        <f>SUMIFS('1-2 人员岗位信息'!K:K,'1-2 人员岗位信息'!$C:$C,"自有人员",'1-2 人员岗位信息'!$B:$B,$D148)</f>
        <v>0</v>
      </c>
      <c r="AT148" s="304"/>
      <c r="AU148" s="181">
        <f t="shared" si="253"/>
        <v>0</v>
      </c>
      <c r="AV148" s="181">
        <f>SUMIFS('1-2 人员岗位信息'!L:L,'1-2 人员岗位信息'!$C:$C,"自有人员",'1-2 人员岗位信息'!$B:$B,$D148)</f>
        <v>0</v>
      </c>
      <c r="AW148" s="304"/>
      <c r="AX148" s="181">
        <f t="shared" si="254"/>
        <v>0</v>
      </c>
      <c r="AY148" s="181">
        <f>SUMIFS('1-2 人员岗位信息'!M:M,'1-2 人员岗位信息'!$C:$C,"自有人员",'1-2 人员岗位信息'!$B:$B,$D148)</f>
        <v>0</v>
      </c>
      <c r="AZ148" s="304"/>
      <c r="BA148" s="181">
        <f t="shared" si="255"/>
        <v>0</v>
      </c>
      <c r="BB148" s="181">
        <f>SUMIFS('1-2 人员岗位信息'!N:N,'1-2 人员岗位信息'!$C:$C,"自有人员",'1-2 人员岗位信息'!$B:$B,$D148)</f>
        <v>0</v>
      </c>
      <c r="BC148" s="304"/>
      <c r="BD148" s="181">
        <f t="shared" si="256"/>
        <v>0</v>
      </c>
      <c r="BE148" s="181">
        <f>SUMIFS('1-2 人员岗位信息'!O:O,'1-2 人员岗位信息'!$C:$C,"自有人员",'1-2 人员岗位信息'!$B:$B,$D148)</f>
        <v>0</v>
      </c>
      <c r="BF148" s="304"/>
      <c r="BG148" s="181">
        <f t="shared" si="257"/>
        <v>0</v>
      </c>
      <c r="BH148" s="181">
        <f>SUMIFS('1-2 人员岗位信息'!P:P,'1-2 人员岗位信息'!$C:$C,"自有人员",'1-2 人员岗位信息'!$B:$B,$D148)</f>
        <v>0</v>
      </c>
      <c r="BI148" s="304"/>
      <c r="BJ148" s="181">
        <f t="shared" si="258"/>
        <v>0</v>
      </c>
      <c r="BK148" s="181">
        <f>SUMIFS('1-2 人员岗位信息'!Q:Q,'1-2 人员岗位信息'!$C:$C,"自有人员",'1-2 人员岗位信息'!$B:$B,$D148)</f>
        <v>0</v>
      </c>
      <c r="BL148" s="313"/>
      <c r="BM148" s="317"/>
      <c r="BN148" s="321"/>
    </row>
    <row r="149" s="124" customFormat="1" ht="33.95" hidden="1" customHeight="1" outlineLevel="4" spans="2:66">
      <c r="B149" s="125" t="s">
        <v>787</v>
      </c>
      <c r="C149" s="126" t="s">
        <v>72</v>
      </c>
      <c r="D149" s="124" t="s">
        <v>68</v>
      </c>
      <c r="E149" s="125"/>
      <c r="F149" s="125"/>
      <c r="G149" s="125"/>
      <c r="H149" s="125">
        <f>SUM(H150:H153)</f>
        <v>0</v>
      </c>
      <c r="I149" s="125"/>
      <c r="J149" s="125"/>
      <c r="K149" s="125"/>
      <c r="L149" s="125"/>
      <c r="M149" s="125"/>
      <c r="N149" s="125"/>
      <c r="O149" s="125"/>
      <c r="P149" s="295"/>
      <c r="Q149" s="295"/>
      <c r="R149" s="295"/>
      <c r="S149" s="295"/>
      <c r="T149" s="295"/>
      <c r="U149" s="295"/>
      <c r="V149" s="295"/>
      <c r="W149" s="295"/>
      <c r="X149" s="295"/>
      <c r="Y149" s="295"/>
      <c r="Z149" s="295"/>
      <c r="AA149" s="295"/>
      <c r="AB149" s="125">
        <f t="shared" ref="AB149:AF149" si="259">SUM(AB150:AB153)</f>
        <v>0</v>
      </c>
      <c r="AC149" s="125">
        <f t="shared" si="259"/>
        <v>0</v>
      </c>
      <c r="AD149" s="125"/>
      <c r="AE149" s="125"/>
      <c r="AF149" s="125">
        <f t="shared" si="259"/>
        <v>0</v>
      </c>
      <c r="AG149" s="125"/>
      <c r="AH149" s="125"/>
      <c r="AI149" s="125">
        <f>SUM(AI150:AI153)</f>
        <v>0</v>
      </c>
      <c r="AJ149" s="125"/>
      <c r="AK149" s="125"/>
      <c r="AL149" s="125">
        <f>SUM(AL150:AL153)</f>
        <v>0</v>
      </c>
      <c r="AM149" s="125"/>
      <c r="AN149" s="125"/>
      <c r="AO149" s="125">
        <f>SUM(AO150:AO153)</f>
        <v>0</v>
      </c>
      <c r="AP149" s="125"/>
      <c r="AQ149" s="125"/>
      <c r="AR149" s="125">
        <f>SUM(AR150:AR153)</f>
        <v>0</v>
      </c>
      <c r="AS149" s="125"/>
      <c r="AT149" s="125"/>
      <c r="AU149" s="125">
        <f>SUM(AU150:AU153)</f>
        <v>0</v>
      </c>
      <c r="AV149" s="125"/>
      <c r="AW149" s="125"/>
      <c r="AX149" s="125">
        <f>SUM(AX150:AX153)</f>
        <v>0</v>
      </c>
      <c r="AY149" s="125"/>
      <c r="AZ149" s="125"/>
      <c r="BA149" s="125">
        <f>SUM(BA150:BA153)</f>
        <v>0</v>
      </c>
      <c r="BB149" s="125"/>
      <c r="BC149" s="125"/>
      <c r="BD149" s="125">
        <f>SUM(BD150:BD153)</f>
        <v>0</v>
      </c>
      <c r="BE149" s="125"/>
      <c r="BF149" s="125"/>
      <c r="BG149" s="125">
        <f>SUM(BG150:BG153)</f>
        <v>0</v>
      </c>
      <c r="BH149" s="125"/>
      <c r="BI149" s="125"/>
      <c r="BJ149" s="125">
        <f>SUM(BJ150:BJ153)</f>
        <v>0</v>
      </c>
      <c r="BK149" s="125"/>
      <c r="BL149" s="312"/>
      <c r="BM149" s="317"/>
      <c r="BN149" s="320"/>
    </row>
    <row r="150" s="269" customFormat="1" ht="33.95" hidden="1" customHeight="1" outlineLevel="5" spans="2:66">
      <c r="B150" s="181" t="s">
        <v>792</v>
      </c>
      <c r="C150" s="289" t="s">
        <v>1041</v>
      </c>
      <c r="D150" s="269" t="s">
        <v>1030</v>
      </c>
      <c r="E150" s="181" t="s">
        <v>1042</v>
      </c>
      <c r="F150" s="181"/>
      <c r="G150" s="181" t="s">
        <v>796</v>
      </c>
      <c r="H150" s="181">
        <f t="shared" ref="H150:H153" si="260">AB150</f>
        <v>0</v>
      </c>
      <c r="I150" s="181" t="s">
        <v>797</v>
      </c>
      <c r="J150" s="181" t="e">
        <f t="shared" ref="J150:J153" si="261">SUM(AD150,AG150,AJ150,AM150,AP150,AS150,AV150,AY150,BB150,BE150,BH150,BK150)/N150</f>
        <v>#DIV/0!</v>
      </c>
      <c r="K150" s="181" t="s">
        <v>798</v>
      </c>
      <c r="L150" s="181" t="e">
        <f t="shared" ref="L150:L153" si="262">H150/N150/J150</f>
        <v>#DIV/0!</v>
      </c>
      <c r="M150" s="181" t="s">
        <v>799</v>
      </c>
      <c r="N150" s="181">
        <f t="shared" ref="N150:N153" si="263">COUNTIF(AD150,"&gt;0")+COUNTIF(AG150,"&gt;0")+COUNTIF(AJ150,"&gt;0")+COUNTIF(AM150,"&gt;0")+COUNTIF(AP150,"&gt;0")+COUNTIF(AS150,"&gt;0")+COUNTIF(AV150,"&gt;0")+COUNTIF(AY150,"&gt;0")+COUNTIF(BB150,"&gt;0")+COUNTIF(BE150,"&gt;0")+COUNTIF(BH150,"&gt;0")+COUNTIF(BK150,"&gt;0")</f>
        <v>0</v>
      </c>
      <c r="O150" s="181"/>
      <c r="P150" s="296"/>
      <c r="Q150" s="296"/>
      <c r="R150" s="296"/>
      <c r="S150" s="296"/>
      <c r="T150" s="296"/>
      <c r="U150" s="296"/>
      <c r="V150" s="296"/>
      <c r="W150" s="296"/>
      <c r="X150" s="296"/>
      <c r="Y150" s="296"/>
      <c r="Z150" s="296"/>
      <c r="AA150" s="296"/>
      <c r="AB150" s="181">
        <f t="shared" ref="AB150:AB153" si="264">SUM(AC150,AF150,AI150,AL150,AO150,AR150,AU150,AX150,BA150,BD150,BG150,BJ150)</f>
        <v>0</v>
      </c>
      <c r="AC150" s="181">
        <f t="shared" ref="AC150:AC153" si="265">AD150*AE150</f>
        <v>0</v>
      </c>
      <c r="AD150" s="181">
        <f>SUMIFS('1-2 人员岗位信息'!F:F,'1-2 人员岗位信息'!$C:$C,"劳务派遣",'1-2 人员岗位信息'!$B:$B,$D150)</f>
        <v>0</v>
      </c>
      <c r="AE150" s="304"/>
      <c r="AF150" s="181">
        <f t="shared" ref="AF150:AF153" si="266">AG150*AH150</f>
        <v>0</v>
      </c>
      <c r="AG150" s="181">
        <f>SUMIFS('1-2 人员岗位信息'!G:G,'1-2 人员岗位信息'!$C:$C,"劳务派遣",'1-2 人员岗位信息'!$B:$B,$D150)</f>
        <v>0</v>
      </c>
      <c r="AH150" s="304"/>
      <c r="AI150" s="181">
        <f t="shared" ref="AI150:AI153" si="267">AJ150*AK150</f>
        <v>0</v>
      </c>
      <c r="AJ150" s="181">
        <f>SUMIFS('1-2 人员岗位信息'!H:H,'1-2 人员岗位信息'!$C:$C,"劳务派遣",'1-2 人员岗位信息'!$B:$B,$D150)</f>
        <v>0</v>
      </c>
      <c r="AK150" s="304"/>
      <c r="AL150" s="181">
        <f t="shared" ref="AL150:AL153" si="268">AM150*AN150</f>
        <v>0</v>
      </c>
      <c r="AM150" s="181">
        <f>SUMIFS('1-2 人员岗位信息'!I:I,'1-2 人员岗位信息'!$C:$C,"劳务派遣",'1-2 人员岗位信息'!$B:$B,$D150)</f>
        <v>0</v>
      </c>
      <c r="AN150" s="304"/>
      <c r="AO150" s="181">
        <f t="shared" ref="AO150:AO153" si="269">AP150*AQ150</f>
        <v>0</v>
      </c>
      <c r="AP150" s="181">
        <f>SUMIFS('1-2 人员岗位信息'!J:J,'1-2 人员岗位信息'!$C:$C,"劳务派遣",'1-2 人员岗位信息'!$B:$B,$D150)</f>
        <v>0</v>
      </c>
      <c r="AQ150" s="304"/>
      <c r="AR150" s="181">
        <f t="shared" ref="AR150:AR153" si="270">AS150*AT150</f>
        <v>0</v>
      </c>
      <c r="AS150" s="181">
        <f>SUMIFS('1-2 人员岗位信息'!K:K,'1-2 人员岗位信息'!$C:$C,"劳务派遣",'1-2 人员岗位信息'!$B:$B,$D150)</f>
        <v>0</v>
      </c>
      <c r="AT150" s="304"/>
      <c r="AU150" s="181">
        <f t="shared" ref="AU150:AU153" si="271">AV150*AW150</f>
        <v>0</v>
      </c>
      <c r="AV150" s="181">
        <f>SUMIFS('1-2 人员岗位信息'!L:L,'1-2 人员岗位信息'!$C:$C,"劳务派遣",'1-2 人员岗位信息'!$B:$B,$D150)</f>
        <v>0</v>
      </c>
      <c r="AW150" s="304"/>
      <c r="AX150" s="181">
        <f t="shared" ref="AX150:AX153" si="272">AY150*AZ150</f>
        <v>0</v>
      </c>
      <c r="AY150" s="181">
        <f>SUMIFS('1-2 人员岗位信息'!M:M,'1-2 人员岗位信息'!$C:$C,"劳务派遣",'1-2 人员岗位信息'!$B:$B,$D150)</f>
        <v>0</v>
      </c>
      <c r="AZ150" s="304"/>
      <c r="BA150" s="181">
        <f t="shared" ref="BA150:BA153" si="273">BB150*BC150</f>
        <v>0</v>
      </c>
      <c r="BB150" s="181">
        <f>SUMIFS('1-2 人员岗位信息'!N:N,'1-2 人员岗位信息'!$C:$C,"劳务派遣",'1-2 人员岗位信息'!$B:$B,$D150)</f>
        <v>0</v>
      </c>
      <c r="BC150" s="304"/>
      <c r="BD150" s="181">
        <f t="shared" ref="BD150:BD153" si="274">BE150*BF150</f>
        <v>0</v>
      </c>
      <c r="BE150" s="181">
        <f>SUMIFS('1-2 人员岗位信息'!O:O,'1-2 人员岗位信息'!$C:$C,"劳务派遣",'1-2 人员岗位信息'!$B:$B,$D150)</f>
        <v>0</v>
      </c>
      <c r="BF150" s="304"/>
      <c r="BG150" s="181">
        <f t="shared" ref="BG150:BG153" si="275">BH150*BI150</f>
        <v>0</v>
      </c>
      <c r="BH150" s="181">
        <f>SUMIFS('1-2 人员岗位信息'!P:P,'1-2 人员岗位信息'!$C:$C,"劳务派遣",'1-2 人员岗位信息'!$B:$B,$D150)</f>
        <v>0</v>
      </c>
      <c r="BI150" s="304"/>
      <c r="BJ150" s="181">
        <f t="shared" ref="BJ150:BJ153" si="276">BK150*BL150</f>
        <v>0</v>
      </c>
      <c r="BK150" s="181">
        <f>SUMIFS('1-2 人员岗位信息'!Q:Q,'1-2 人员岗位信息'!$C:$C,"劳务派遣",'1-2 人员岗位信息'!$B:$B,$D150)</f>
        <v>0</v>
      </c>
      <c r="BL150" s="313"/>
      <c r="BM150" s="317"/>
      <c r="BN150" s="321"/>
    </row>
    <row r="151" s="269" customFormat="1" ht="33.95" hidden="1" customHeight="1" outlineLevel="5" spans="2:66">
      <c r="B151" s="181" t="s">
        <v>792</v>
      </c>
      <c r="C151" s="289" t="s">
        <v>1043</v>
      </c>
      <c r="D151" s="269" t="s">
        <v>1033</v>
      </c>
      <c r="E151" s="181" t="s">
        <v>1044</v>
      </c>
      <c r="F151" s="181"/>
      <c r="G151" s="181" t="s">
        <v>796</v>
      </c>
      <c r="H151" s="181">
        <f t="shared" si="260"/>
        <v>0</v>
      </c>
      <c r="I151" s="181" t="s">
        <v>797</v>
      </c>
      <c r="J151" s="181" t="e">
        <f t="shared" si="261"/>
        <v>#DIV/0!</v>
      </c>
      <c r="K151" s="181" t="s">
        <v>798</v>
      </c>
      <c r="L151" s="181" t="e">
        <f t="shared" si="262"/>
        <v>#DIV/0!</v>
      </c>
      <c r="M151" s="181" t="s">
        <v>799</v>
      </c>
      <c r="N151" s="181">
        <f t="shared" si="263"/>
        <v>0</v>
      </c>
      <c r="O151" s="181"/>
      <c r="P151" s="296"/>
      <c r="Q151" s="296"/>
      <c r="R151" s="296"/>
      <c r="S151" s="296"/>
      <c r="T151" s="296"/>
      <c r="U151" s="296"/>
      <c r="V151" s="296"/>
      <c r="W151" s="296"/>
      <c r="X151" s="296"/>
      <c r="Y151" s="296"/>
      <c r="Z151" s="296"/>
      <c r="AA151" s="296"/>
      <c r="AB151" s="181">
        <f t="shared" si="264"/>
        <v>0</v>
      </c>
      <c r="AC151" s="181">
        <f t="shared" si="265"/>
        <v>0</v>
      </c>
      <c r="AD151" s="181">
        <f>SUMIFS('1-2 人员岗位信息'!F:F,'1-2 人员岗位信息'!$C:$C,"劳务派遣",'1-2 人员岗位信息'!$B:$B,$D151)</f>
        <v>0</v>
      </c>
      <c r="AE151" s="304"/>
      <c r="AF151" s="181">
        <f t="shared" si="266"/>
        <v>0</v>
      </c>
      <c r="AG151" s="181">
        <f>SUMIFS('1-2 人员岗位信息'!G:G,'1-2 人员岗位信息'!$C:$C,"劳务派遣",'1-2 人员岗位信息'!$B:$B,$D151)</f>
        <v>0</v>
      </c>
      <c r="AH151" s="304"/>
      <c r="AI151" s="181">
        <f t="shared" si="267"/>
        <v>0</v>
      </c>
      <c r="AJ151" s="181">
        <f>SUMIFS('1-2 人员岗位信息'!H:H,'1-2 人员岗位信息'!$C:$C,"劳务派遣",'1-2 人员岗位信息'!$B:$B,$D151)</f>
        <v>0</v>
      </c>
      <c r="AK151" s="304"/>
      <c r="AL151" s="181">
        <f t="shared" si="268"/>
        <v>0</v>
      </c>
      <c r="AM151" s="181">
        <f>SUMIFS('1-2 人员岗位信息'!I:I,'1-2 人员岗位信息'!$C:$C,"劳务派遣",'1-2 人员岗位信息'!$B:$B,$D151)</f>
        <v>0</v>
      </c>
      <c r="AN151" s="304"/>
      <c r="AO151" s="181">
        <f t="shared" si="269"/>
        <v>0</v>
      </c>
      <c r="AP151" s="181">
        <f>SUMIFS('1-2 人员岗位信息'!J:J,'1-2 人员岗位信息'!$C:$C,"劳务派遣",'1-2 人员岗位信息'!$B:$B,$D151)</f>
        <v>0</v>
      </c>
      <c r="AQ151" s="304"/>
      <c r="AR151" s="181">
        <f t="shared" si="270"/>
        <v>0</v>
      </c>
      <c r="AS151" s="181">
        <f>SUMIFS('1-2 人员岗位信息'!K:K,'1-2 人员岗位信息'!$C:$C,"劳务派遣",'1-2 人员岗位信息'!$B:$B,$D151)</f>
        <v>0</v>
      </c>
      <c r="AT151" s="304"/>
      <c r="AU151" s="181">
        <f t="shared" si="271"/>
        <v>0</v>
      </c>
      <c r="AV151" s="181">
        <f>SUMIFS('1-2 人员岗位信息'!L:L,'1-2 人员岗位信息'!$C:$C,"劳务派遣",'1-2 人员岗位信息'!$B:$B,$D151)</f>
        <v>0</v>
      </c>
      <c r="AW151" s="304"/>
      <c r="AX151" s="181">
        <f t="shared" si="272"/>
        <v>0</v>
      </c>
      <c r="AY151" s="181">
        <f>SUMIFS('1-2 人员岗位信息'!M:M,'1-2 人员岗位信息'!$C:$C,"劳务派遣",'1-2 人员岗位信息'!$B:$B,$D151)</f>
        <v>0</v>
      </c>
      <c r="AZ151" s="304"/>
      <c r="BA151" s="181">
        <f t="shared" si="273"/>
        <v>0</v>
      </c>
      <c r="BB151" s="181">
        <f>SUMIFS('1-2 人员岗位信息'!N:N,'1-2 人员岗位信息'!$C:$C,"劳务派遣",'1-2 人员岗位信息'!$B:$B,$D151)</f>
        <v>0</v>
      </c>
      <c r="BC151" s="304"/>
      <c r="BD151" s="181">
        <f t="shared" si="274"/>
        <v>0</v>
      </c>
      <c r="BE151" s="181">
        <f>SUMIFS('1-2 人员岗位信息'!O:O,'1-2 人员岗位信息'!$C:$C,"劳务派遣",'1-2 人员岗位信息'!$B:$B,$D151)</f>
        <v>0</v>
      </c>
      <c r="BF151" s="304"/>
      <c r="BG151" s="181">
        <f t="shared" si="275"/>
        <v>0</v>
      </c>
      <c r="BH151" s="181">
        <f>SUMIFS('1-2 人员岗位信息'!P:P,'1-2 人员岗位信息'!$C:$C,"劳务派遣",'1-2 人员岗位信息'!$B:$B,$D151)</f>
        <v>0</v>
      </c>
      <c r="BI151" s="304"/>
      <c r="BJ151" s="181">
        <f t="shared" si="276"/>
        <v>0</v>
      </c>
      <c r="BK151" s="181">
        <f>SUMIFS('1-2 人员岗位信息'!Q:Q,'1-2 人员岗位信息'!$C:$C,"劳务派遣",'1-2 人员岗位信息'!$B:$B,$D151)</f>
        <v>0</v>
      </c>
      <c r="BL151" s="313"/>
      <c r="BM151" s="317"/>
      <c r="BN151" s="321"/>
    </row>
    <row r="152" s="269" customFormat="1" ht="33.95" hidden="1" customHeight="1" outlineLevel="5" spans="2:66">
      <c r="B152" s="181" t="s">
        <v>792</v>
      </c>
      <c r="C152" s="289" t="s">
        <v>1045</v>
      </c>
      <c r="D152" s="269" t="s">
        <v>1036</v>
      </c>
      <c r="E152" s="181" t="s">
        <v>1046</v>
      </c>
      <c r="F152" s="181"/>
      <c r="G152" s="181" t="s">
        <v>796</v>
      </c>
      <c r="H152" s="181">
        <f t="shared" si="260"/>
        <v>0</v>
      </c>
      <c r="I152" s="181" t="s">
        <v>797</v>
      </c>
      <c r="J152" s="181" t="e">
        <f t="shared" si="261"/>
        <v>#DIV/0!</v>
      </c>
      <c r="K152" s="181" t="s">
        <v>798</v>
      </c>
      <c r="L152" s="181" t="e">
        <f t="shared" si="262"/>
        <v>#DIV/0!</v>
      </c>
      <c r="M152" s="181" t="s">
        <v>799</v>
      </c>
      <c r="N152" s="181">
        <f t="shared" si="263"/>
        <v>0</v>
      </c>
      <c r="O152" s="181"/>
      <c r="P152" s="296"/>
      <c r="Q152" s="296"/>
      <c r="R152" s="296"/>
      <c r="S152" s="296"/>
      <c r="T152" s="296"/>
      <c r="U152" s="296"/>
      <c r="V152" s="296"/>
      <c r="W152" s="296"/>
      <c r="X152" s="296"/>
      <c r="Y152" s="296"/>
      <c r="Z152" s="296"/>
      <c r="AA152" s="296"/>
      <c r="AB152" s="181">
        <f t="shared" si="264"/>
        <v>0</v>
      </c>
      <c r="AC152" s="181">
        <f t="shared" si="265"/>
        <v>0</v>
      </c>
      <c r="AD152" s="181">
        <f>SUMIFS('1-2 人员岗位信息'!F:F,'1-2 人员岗位信息'!$C:$C,"劳务派遣",'1-2 人员岗位信息'!$B:$B,$D152)</f>
        <v>0</v>
      </c>
      <c r="AE152" s="304"/>
      <c r="AF152" s="181">
        <f t="shared" si="266"/>
        <v>0</v>
      </c>
      <c r="AG152" s="181">
        <f>SUMIFS('1-2 人员岗位信息'!G:G,'1-2 人员岗位信息'!$C:$C,"劳务派遣",'1-2 人员岗位信息'!$B:$B,$D152)</f>
        <v>0</v>
      </c>
      <c r="AH152" s="304"/>
      <c r="AI152" s="181">
        <f t="shared" si="267"/>
        <v>0</v>
      </c>
      <c r="AJ152" s="181">
        <f>SUMIFS('1-2 人员岗位信息'!H:H,'1-2 人员岗位信息'!$C:$C,"劳务派遣",'1-2 人员岗位信息'!$B:$B,$D152)</f>
        <v>0</v>
      </c>
      <c r="AK152" s="304"/>
      <c r="AL152" s="181">
        <f t="shared" si="268"/>
        <v>0</v>
      </c>
      <c r="AM152" s="181">
        <f>SUMIFS('1-2 人员岗位信息'!I:I,'1-2 人员岗位信息'!$C:$C,"劳务派遣",'1-2 人员岗位信息'!$B:$B,$D152)</f>
        <v>0</v>
      </c>
      <c r="AN152" s="304"/>
      <c r="AO152" s="181">
        <f t="shared" si="269"/>
        <v>0</v>
      </c>
      <c r="AP152" s="181">
        <f>SUMIFS('1-2 人员岗位信息'!J:J,'1-2 人员岗位信息'!$C:$C,"劳务派遣",'1-2 人员岗位信息'!$B:$B,$D152)</f>
        <v>0</v>
      </c>
      <c r="AQ152" s="304"/>
      <c r="AR152" s="181">
        <f t="shared" si="270"/>
        <v>0</v>
      </c>
      <c r="AS152" s="181">
        <f>SUMIFS('1-2 人员岗位信息'!K:K,'1-2 人员岗位信息'!$C:$C,"劳务派遣",'1-2 人员岗位信息'!$B:$B,$D152)</f>
        <v>0</v>
      </c>
      <c r="AT152" s="304"/>
      <c r="AU152" s="181">
        <f t="shared" si="271"/>
        <v>0</v>
      </c>
      <c r="AV152" s="181">
        <f>SUMIFS('1-2 人员岗位信息'!L:L,'1-2 人员岗位信息'!$C:$C,"劳务派遣",'1-2 人员岗位信息'!$B:$B,$D152)</f>
        <v>0</v>
      </c>
      <c r="AW152" s="304"/>
      <c r="AX152" s="181">
        <f t="shared" si="272"/>
        <v>0</v>
      </c>
      <c r="AY152" s="181">
        <f>SUMIFS('1-2 人员岗位信息'!M:M,'1-2 人员岗位信息'!$C:$C,"劳务派遣",'1-2 人员岗位信息'!$B:$B,$D152)</f>
        <v>0</v>
      </c>
      <c r="AZ152" s="304"/>
      <c r="BA152" s="181">
        <f t="shared" si="273"/>
        <v>0</v>
      </c>
      <c r="BB152" s="181">
        <f>SUMIFS('1-2 人员岗位信息'!N:N,'1-2 人员岗位信息'!$C:$C,"劳务派遣",'1-2 人员岗位信息'!$B:$B,$D152)</f>
        <v>0</v>
      </c>
      <c r="BC152" s="304"/>
      <c r="BD152" s="181">
        <f t="shared" si="274"/>
        <v>0</v>
      </c>
      <c r="BE152" s="181">
        <f>SUMIFS('1-2 人员岗位信息'!O:O,'1-2 人员岗位信息'!$C:$C,"劳务派遣",'1-2 人员岗位信息'!$B:$B,$D152)</f>
        <v>0</v>
      </c>
      <c r="BF152" s="304"/>
      <c r="BG152" s="181">
        <f t="shared" si="275"/>
        <v>0</v>
      </c>
      <c r="BH152" s="181">
        <f>SUMIFS('1-2 人员岗位信息'!P:P,'1-2 人员岗位信息'!$C:$C,"劳务派遣",'1-2 人员岗位信息'!$B:$B,$D152)</f>
        <v>0</v>
      </c>
      <c r="BI152" s="304"/>
      <c r="BJ152" s="181">
        <f t="shared" si="276"/>
        <v>0</v>
      </c>
      <c r="BK152" s="181">
        <f>SUMIFS('1-2 人员岗位信息'!Q:Q,'1-2 人员岗位信息'!$C:$C,"劳务派遣",'1-2 人员岗位信息'!$B:$B,$D152)</f>
        <v>0</v>
      </c>
      <c r="BL152" s="313"/>
      <c r="BM152" s="317"/>
      <c r="BN152" s="321"/>
    </row>
    <row r="153" s="269" customFormat="1" ht="33.95" hidden="1" customHeight="1" outlineLevel="5" spans="2:66">
      <c r="B153" s="181" t="s">
        <v>792</v>
      </c>
      <c r="C153" s="289" t="s">
        <v>1047</v>
      </c>
      <c r="D153" s="269" t="s">
        <v>1039</v>
      </c>
      <c r="E153" s="181" t="s">
        <v>1048</v>
      </c>
      <c r="F153" s="181"/>
      <c r="G153" s="181" t="s">
        <v>796</v>
      </c>
      <c r="H153" s="181">
        <f t="shared" si="260"/>
        <v>0</v>
      </c>
      <c r="I153" s="181" t="s">
        <v>797</v>
      </c>
      <c r="J153" s="181" t="e">
        <f t="shared" si="261"/>
        <v>#DIV/0!</v>
      </c>
      <c r="K153" s="181" t="s">
        <v>798</v>
      </c>
      <c r="L153" s="181" t="e">
        <f t="shared" si="262"/>
        <v>#DIV/0!</v>
      </c>
      <c r="M153" s="181" t="s">
        <v>799</v>
      </c>
      <c r="N153" s="181">
        <f t="shared" si="263"/>
        <v>0</v>
      </c>
      <c r="O153" s="181"/>
      <c r="P153" s="296"/>
      <c r="Q153" s="296"/>
      <c r="R153" s="296"/>
      <c r="S153" s="296"/>
      <c r="T153" s="296"/>
      <c r="U153" s="296"/>
      <c r="V153" s="296"/>
      <c r="W153" s="296"/>
      <c r="X153" s="296"/>
      <c r="Y153" s="296"/>
      <c r="Z153" s="296"/>
      <c r="AA153" s="296"/>
      <c r="AB153" s="181">
        <f t="shared" si="264"/>
        <v>0</v>
      </c>
      <c r="AC153" s="181">
        <f t="shared" si="265"/>
        <v>0</v>
      </c>
      <c r="AD153" s="181">
        <f>SUMIFS('1-2 人员岗位信息'!F:F,'1-2 人员岗位信息'!$C:$C,"劳务派遣",'1-2 人员岗位信息'!$B:$B,$D153)</f>
        <v>0</v>
      </c>
      <c r="AE153" s="304"/>
      <c r="AF153" s="181">
        <f t="shared" si="266"/>
        <v>0</v>
      </c>
      <c r="AG153" s="181">
        <f>SUMIFS('1-2 人员岗位信息'!G:G,'1-2 人员岗位信息'!$C:$C,"劳务派遣",'1-2 人员岗位信息'!$B:$B,$D153)</f>
        <v>0</v>
      </c>
      <c r="AH153" s="304"/>
      <c r="AI153" s="181">
        <f t="shared" si="267"/>
        <v>0</v>
      </c>
      <c r="AJ153" s="181">
        <f>SUMIFS('1-2 人员岗位信息'!H:H,'1-2 人员岗位信息'!$C:$C,"劳务派遣",'1-2 人员岗位信息'!$B:$B,$D153)</f>
        <v>0</v>
      </c>
      <c r="AK153" s="304"/>
      <c r="AL153" s="181">
        <f t="shared" si="268"/>
        <v>0</v>
      </c>
      <c r="AM153" s="181">
        <f>SUMIFS('1-2 人员岗位信息'!I:I,'1-2 人员岗位信息'!$C:$C,"劳务派遣",'1-2 人员岗位信息'!$B:$B,$D153)</f>
        <v>0</v>
      </c>
      <c r="AN153" s="304"/>
      <c r="AO153" s="181">
        <f t="shared" si="269"/>
        <v>0</v>
      </c>
      <c r="AP153" s="181">
        <f>SUMIFS('1-2 人员岗位信息'!J:J,'1-2 人员岗位信息'!$C:$C,"劳务派遣",'1-2 人员岗位信息'!$B:$B,$D153)</f>
        <v>0</v>
      </c>
      <c r="AQ153" s="304"/>
      <c r="AR153" s="181">
        <f t="shared" si="270"/>
        <v>0</v>
      </c>
      <c r="AS153" s="181">
        <f>SUMIFS('1-2 人员岗位信息'!K:K,'1-2 人员岗位信息'!$C:$C,"劳务派遣",'1-2 人员岗位信息'!$B:$B,$D153)</f>
        <v>0</v>
      </c>
      <c r="AT153" s="304"/>
      <c r="AU153" s="181">
        <f t="shared" si="271"/>
        <v>0</v>
      </c>
      <c r="AV153" s="181">
        <f>SUMIFS('1-2 人员岗位信息'!L:L,'1-2 人员岗位信息'!$C:$C,"劳务派遣",'1-2 人员岗位信息'!$B:$B,$D153)</f>
        <v>0</v>
      </c>
      <c r="AW153" s="304"/>
      <c r="AX153" s="181">
        <f t="shared" si="272"/>
        <v>0</v>
      </c>
      <c r="AY153" s="181">
        <f>SUMIFS('1-2 人员岗位信息'!M:M,'1-2 人员岗位信息'!$C:$C,"劳务派遣",'1-2 人员岗位信息'!$B:$B,$D153)</f>
        <v>0</v>
      </c>
      <c r="AZ153" s="304"/>
      <c r="BA153" s="181">
        <f t="shared" si="273"/>
        <v>0</v>
      </c>
      <c r="BB153" s="181">
        <f>SUMIFS('1-2 人员岗位信息'!N:N,'1-2 人员岗位信息'!$C:$C,"劳务派遣",'1-2 人员岗位信息'!$B:$B,$D153)</f>
        <v>0</v>
      </c>
      <c r="BC153" s="304"/>
      <c r="BD153" s="181">
        <f t="shared" si="274"/>
        <v>0</v>
      </c>
      <c r="BE153" s="181">
        <f>SUMIFS('1-2 人员岗位信息'!O:O,'1-2 人员岗位信息'!$C:$C,"劳务派遣",'1-2 人员岗位信息'!$B:$B,$D153)</f>
        <v>0</v>
      </c>
      <c r="BF153" s="304"/>
      <c r="BG153" s="181">
        <f t="shared" si="275"/>
        <v>0</v>
      </c>
      <c r="BH153" s="181">
        <f>SUMIFS('1-2 人员岗位信息'!P:P,'1-2 人员岗位信息'!$C:$C,"劳务派遣",'1-2 人员岗位信息'!$B:$B,$D153)</f>
        <v>0</v>
      </c>
      <c r="BI153" s="304"/>
      <c r="BJ153" s="181">
        <f t="shared" si="276"/>
        <v>0</v>
      </c>
      <c r="BK153" s="181">
        <f>SUMIFS('1-2 人员岗位信息'!Q:Q,'1-2 人员岗位信息'!$C:$C,"劳务派遣",'1-2 人员岗位信息'!$B:$B,$D153)</f>
        <v>0</v>
      </c>
      <c r="BL153" s="313"/>
      <c r="BM153" s="317"/>
      <c r="BN153" s="321"/>
    </row>
    <row r="154" s="124" customFormat="1" ht="33.95" hidden="1" customHeight="1" outlineLevel="4" spans="2:66">
      <c r="B154" s="125" t="s">
        <v>787</v>
      </c>
      <c r="C154" s="126" t="s">
        <v>1049</v>
      </c>
      <c r="D154" s="124" t="s">
        <v>19</v>
      </c>
      <c r="E154" s="125"/>
      <c r="F154" s="125"/>
      <c r="G154" s="125"/>
      <c r="H154" s="125">
        <f>SUM(H155:H158)</f>
        <v>0</v>
      </c>
      <c r="I154" s="125"/>
      <c r="J154" s="125"/>
      <c r="K154" s="125"/>
      <c r="L154" s="125"/>
      <c r="M154" s="125"/>
      <c r="N154" s="125"/>
      <c r="O154" s="125"/>
      <c r="P154" s="295"/>
      <c r="Q154" s="295"/>
      <c r="R154" s="295"/>
      <c r="S154" s="295"/>
      <c r="T154" s="295"/>
      <c r="U154" s="295"/>
      <c r="V154" s="295"/>
      <c r="W154" s="295"/>
      <c r="X154" s="295"/>
      <c r="Y154" s="295"/>
      <c r="Z154" s="295"/>
      <c r="AA154" s="295"/>
      <c r="AB154" s="125">
        <f t="shared" ref="AB154:AF154" si="277">SUM(AB155:AB158)</f>
        <v>0</v>
      </c>
      <c r="AC154" s="125">
        <f t="shared" si="277"/>
        <v>0</v>
      </c>
      <c r="AD154" s="125"/>
      <c r="AE154" s="125"/>
      <c r="AF154" s="125">
        <f t="shared" si="277"/>
        <v>0</v>
      </c>
      <c r="AG154" s="125"/>
      <c r="AH154" s="125"/>
      <c r="AI154" s="125">
        <f>SUM(AI155:AI158)</f>
        <v>0</v>
      </c>
      <c r="AJ154" s="125"/>
      <c r="AK154" s="125"/>
      <c r="AL154" s="125">
        <f>SUM(AL155:AL158)</f>
        <v>0</v>
      </c>
      <c r="AM154" s="125"/>
      <c r="AN154" s="125"/>
      <c r="AO154" s="125">
        <f>SUM(AO155:AO158)</f>
        <v>0</v>
      </c>
      <c r="AP154" s="125"/>
      <c r="AQ154" s="125"/>
      <c r="AR154" s="125">
        <f>SUM(AR155:AR158)</f>
        <v>0</v>
      </c>
      <c r="AS154" s="125"/>
      <c r="AT154" s="125"/>
      <c r="AU154" s="125">
        <f>SUM(AU155:AU158)</f>
        <v>0</v>
      </c>
      <c r="AV154" s="125"/>
      <c r="AW154" s="125"/>
      <c r="AX154" s="125">
        <f>SUM(AX155:AX158)</f>
        <v>0</v>
      </c>
      <c r="AY154" s="125"/>
      <c r="AZ154" s="125"/>
      <c r="BA154" s="125">
        <f>SUM(BA155:BA158)</f>
        <v>0</v>
      </c>
      <c r="BB154" s="125"/>
      <c r="BC154" s="125"/>
      <c r="BD154" s="125">
        <f>SUM(BD155:BD158)</f>
        <v>0</v>
      </c>
      <c r="BE154" s="125"/>
      <c r="BF154" s="125"/>
      <c r="BG154" s="125">
        <f>SUM(BG155:BG158)</f>
        <v>0</v>
      </c>
      <c r="BH154" s="125"/>
      <c r="BI154" s="125"/>
      <c r="BJ154" s="125">
        <f>SUM(BJ155:BJ158)</f>
        <v>0</v>
      </c>
      <c r="BK154" s="125"/>
      <c r="BL154" s="312"/>
      <c r="BM154" s="317"/>
      <c r="BN154" s="320"/>
    </row>
    <row r="155" s="269" customFormat="1" ht="33.95" hidden="1" customHeight="1" outlineLevel="5" spans="2:66">
      <c r="B155" s="181" t="s">
        <v>792</v>
      </c>
      <c r="C155" s="289" t="s">
        <v>1050</v>
      </c>
      <c r="D155" s="269" t="s">
        <v>1051</v>
      </c>
      <c r="E155" s="181" t="s">
        <v>1052</v>
      </c>
      <c r="F155" s="181"/>
      <c r="G155" s="181" t="s">
        <v>796</v>
      </c>
      <c r="H155" s="181">
        <f t="shared" ref="H155:H158" si="278">AB155</f>
        <v>0</v>
      </c>
      <c r="I155" s="181" t="s">
        <v>797</v>
      </c>
      <c r="J155" s="181" t="e">
        <f t="shared" ref="J155:J158" si="279">SUM(AD155,AG155,AJ155,AM155,AP155,AS155,AV155,AY155,BB155,BE155,BH155,BK155)/N155</f>
        <v>#DIV/0!</v>
      </c>
      <c r="K155" s="181" t="s">
        <v>798</v>
      </c>
      <c r="L155" s="181" t="e">
        <f t="shared" ref="L155:L158" si="280">H155/N155/J155</f>
        <v>#DIV/0!</v>
      </c>
      <c r="M155" s="181" t="s">
        <v>799</v>
      </c>
      <c r="N155" s="181">
        <f t="shared" ref="N155:N158" si="281">COUNTIF(AD155,"&gt;0")+COUNTIF(AG155,"&gt;0")+COUNTIF(AJ155,"&gt;0")+COUNTIF(AM155,"&gt;0")+COUNTIF(AP155,"&gt;0")+COUNTIF(AS155,"&gt;0")+COUNTIF(AV155,"&gt;0")+COUNTIF(AY155,"&gt;0")+COUNTIF(BB155,"&gt;0")+COUNTIF(BE155,"&gt;0")+COUNTIF(BH155,"&gt;0")+COUNTIF(BK155,"&gt;0")</f>
        <v>0</v>
      </c>
      <c r="O155" s="181"/>
      <c r="P155" s="296"/>
      <c r="Q155" s="296"/>
      <c r="R155" s="296"/>
      <c r="S155" s="296"/>
      <c r="T155" s="296"/>
      <c r="U155" s="296"/>
      <c r="V155" s="296"/>
      <c r="W155" s="296"/>
      <c r="X155" s="296"/>
      <c r="Y155" s="296"/>
      <c r="Z155" s="296"/>
      <c r="AA155" s="296"/>
      <c r="AB155" s="181">
        <f t="shared" ref="AB155:AB158" si="282">SUM(AC155,AF155,AI155,AL155,AO155,AR155,AU155,AX155,BA155,BD155,BG155,BJ155)</f>
        <v>0</v>
      </c>
      <c r="AC155" s="181">
        <f t="shared" ref="AC155:AC158" si="283">AD155*AE155</f>
        <v>0</v>
      </c>
      <c r="AD155" s="181">
        <f>SUMIFS('1-2 人员岗位信息'!F:F,'1-2 人员岗位信息'!$C:$C,"专业外包",'1-2 人员岗位信息'!$B:$B,$D155)</f>
        <v>0</v>
      </c>
      <c r="AE155" s="304"/>
      <c r="AF155" s="181">
        <f t="shared" ref="AF155:AF158" si="284">AG155*AH155</f>
        <v>0</v>
      </c>
      <c r="AG155" s="181">
        <f>SUMIFS('1-2 人员岗位信息'!G:G,'1-2 人员岗位信息'!$C:$C,"专业外包",'1-2 人员岗位信息'!$B:$B,$D155)</f>
        <v>0</v>
      </c>
      <c r="AH155" s="304"/>
      <c r="AI155" s="181">
        <f t="shared" ref="AI155:AI158" si="285">AJ155*AK155</f>
        <v>0</v>
      </c>
      <c r="AJ155" s="181">
        <f>SUMIFS('1-2 人员岗位信息'!H:H,'1-2 人员岗位信息'!$C:$C,"专业外包",'1-2 人员岗位信息'!$B:$B,$D155)</f>
        <v>0</v>
      </c>
      <c r="AK155" s="304"/>
      <c r="AL155" s="181">
        <f t="shared" ref="AL155:AL158" si="286">AM155*AN155</f>
        <v>0</v>
      </c>
      <c r="AM155" s="181">
        <f>SUMIFS('1-2 人员岗位信息'!I:I,'1-2 人员岗位信息'!$C:$C,"专业外包",'1-2 人员岗位信息'!$B:$B,$D155)</f>
        <v>0</v>
      </c>
      <c r="AN155" s="304"/>
      <c r="AO155" s="181">
        <f t="shared" ref="AO155:AO158" si="287">AP155*AQ155</f>
        <v>0</v>
      </c>
      <c r="AP155" s="181">
        <f>SUMIFS('1-2 人员岗位信息'!J:J,'1-2 人员岗位信息'!$C:$C,"专业外包",'1-2 人员岗位信息'!$B:$B,$D155)</f>
        <v>0</v>
      </c>
      <c r="AQ155" s="304"/>
      <c r="AR155" s="181">
        <f t="shared" ref="AR155:AR158" si="288">AS155*AT155</f>
        <v>0</v>
      </c>
      <c r="AS155" s="181">
        <f>SUMIFS('1-2 人员岗位信息'!K:K,'1-2 人员岗位信息'!$C:$C,"专业外包",'1-2 人员岗位信息'!$B:$B,$D155)</f>
        <v>0</v>
      </c>
      <c r="AT155" s="304"/>
      <c r="AU155" s="181">
        <f t="shared" ref="AU155:AU158" si="289">AV155*AW155</f>
        <v>0</v>
      </c>
      <c r="AV155" s="181">
        <f>SUMIFS('1-2 人员岗位信息'!L:L,'1-2 人员岗位信息'!$C:$C,"专业外包",'1-2 人员岗位信息'!$B:$B,$D155)</f>
        <v>0</v>
      </c>
      <c r="AW155" s="304"/>
      <c r="AX155" s="181">
        <f t="shared" ref="AX155:AX158" si="290">AY155*AZ155</f>
        <v>0</v>
      </c>
      <c r="AY155" s="181">
        <f>SUMIFS('1-2 人员岗位信息'!M:M,'1-2 人员岗位信息'!$C:$C,"专业外包",'1-2 人员岗位信息'!$B:$B,$D155)</f>
        <v>0</v>
      </c>
      <c r="AZ155" s="304"/>
      <c r="BA155" s="181">
        <f t="shared" ref="BA155:BA158" si="291">BB155*BC155</f>
        <v>0</v>
      </c>
      <c r="BB155" s="181">
        <f>SUMIFS('1-2 人员岗位信息'!N:N,'1-2 人员岗位信息'!$C:$C,"专业外包",'1-2 人员岗位信息'!$B:$B,$D155)</f>
        <v>0</v>
      </c>
      <c r="BC155" s="304"/>
      <c r="BD155" s="181">
        <f t="shared" ref="BD155:BD158" si="292">BE155*BF155</f>
        <v>0</v>
      </c>
      <c r="BE155" s="181">
        <f>SUMIFS('1-2 人员岗位信息'!O:O,'1-2 人员岗位信息'!$C:$C,"专业外包",'1-2 人员岗位信息'!$B:$B,$D155)</f>
        <v>0</v>
      </c>
      <c r="BF155" s="304"/>
      <c r="BG155" s="181">
        <f t="shared" ref="BG155:BG158" si="293">BH155*BI155</f>
        <v>0</v>
      </c>
      <c r="BH155" s="181">
        <f>SUMIFS('1-2 人员岗位信息'!P:P,'1-2 人员岗位信息'!$C:$C,"专业外包",'1-2 人员岗位信息'!$B:$B,$D155)</f>
        <v>0</v>
      </c>
      <c r="BI155" s="304"/>
      <c r="BJ155" s="181">
        <f t="shared" ref="BJ155:BJ158" si="294">BK155*BL155</f>
        <v>0</v>
      </c>
      <c r="BK155" s="181">
        <f>SUMIFS('1-2 人员岗位信息'!Q:Q,'1-2 人员岗位信息'!$C:$C,"专业外包",'1-2 人员岗位信息'!$B:$B,$D155)</f>
        <v>0</v>
      </c>
      <c r="BL155" s="313"/>
      <c r="BM155" s="317"/>
      <c r="BN155" s="321"/>
    </row>
    <row r="156" s="269" customFormat="1" ht="33.95" hidden="1" customHeight="1" outlineLevel="5" spans="2:66">
      <c r="B156" s="181" t="s">
        <v>792</v>
      </c>
      <c r="C156" s="289" t="s">
        <v>1053</v>
      </c>
      <c r="D156" s="269" t="s">
        <v>1033</v>
      </c>
      <c r="E156" s="181" t="s">
        <v>1054</v>
      </c>
      <c r="F156" s="181"/>
      <c r="G156" s="181" t="s">
        <v>796</v>
      </c>
      <c r="H156" s="181">
        <f t="shared" si="278"/>
        <v>0</v>
      </c>
      <c r="I156" s="181" t="s">
        <v>797</v>
      </c>
      <c r="J156" s="181" t="e">
        <f t="shared" si="279"/>
        <v>#DIV/0!</v>
      </c>
      <c r="K156" s="181" t="s">
        <v>798</v>
      </c>
      <c r="L156" s="181" t="e">
        <f t="shared" si="280"/>
        <v>#DIV/0!</v>
      </c>
      <c r="M156" s="181" t="s">
        <v>799</v>
      </c>
      <c r="N156" s="181">
        <f t="shared" si="281"/>
        <v>0</v>
      </c>
      <c r="O156" s="181"/>
      <c r="P156" s="296"/>
      <c r="Q156" s="296"/>
      <c r="R156" s="296"/>
      <c r="S156" s="296"/>
      <c r="T156" s="296"/>
      <c r="U156" s="296"/>
      <c r="V156" s="296"/>
      <c r="W156" s="296"/>
      <c r="X156" s="296"/>
      <c r="Y156" s="296"/>
      <c r="Z156" s="296"/>
      <c r="AA156" s="296"/>
      <c r="AB156" s="181">
        <f t="shared" si="282"/>
        <v>0</v>
      </c>
      <c r="AC156" s="181">
        <f t="shared" si="283"/>
        <v>0</v>
      </c>
      <c r="AD156" s="181">
        <f>SUMIFS('1-2 人员岗位信息'!F:F,'1-2 人员岗位信息'!$C:$C,"专业外包",'1-2 人员岗位信息'!$B:$B,$D156)</f>
        <v>0</v>
      </c>
      <c r="AE156" s="304"/>
      <c r="AF156" s="181">
        <f t="shared" si="284"/>
        <v>0</v>
      </c>
      <c r="AG156" s="181">
        <f>SUMIFS('1-2 人员岗位信息'!G:G,'1-2 人员岗位信息'!$C:$C,"专业外包",'1-2 人员岗位信息'!$B:$B,$D156)</f>
        <v>0</v>
      </c>
      <c r="AH156" s="304"/>
      <c r="AI156" s="181">
        <f t="shared" si="285"/>
        <v>0</v>
      </c>
      <c r="AJ156" s="181">
        <f>SUMIFS('1-2 人员岗位信息'!H:H,'1-2 人员岗位信息'!$C:$C,"专业外包",'1-2 人员岗位信息'!$B:$B,$D156)</f>
        <v>0</v>
      </c>
      <c r="AK156" s="304"/>
      <c r="AL156" s="181">
        <f t="shared" si="286"/>
        <v>0</v>
      </c>
      <c r="AM156" s="181">
        <f>SUMIFS('1-2 人员岗位信息'!I:I,'1-2 人员岗位信息'!$C:$C,"专业外包",'1-2 人员岗位信息'!$B:$B,$D156)</f>
        <v>0</v>
      </c>
      <c r="AN156" s="304"/>
      <c r="AO156" s="181">
        <f t="shared" si="287"/>
        <v>0</v>
      </c>
      <c r="AP156" s="181">
        <f>SUMIFS('1-2 人员岗位信息'!J:J,'1-2 人员岗位信息'!$C:$C,"专业外包",'1-2 人员岗位信息'!$B:$B,$D156)</f>
        <v>0</v>
      </c>
      <c r="AQ156" s="304"/>
      <c r="AR156" s="181">
        <f t="shared" si="288"/>
        <v>0</v>
      </c>
      <c r="AS156" s="181">
        <f>SUMIFS('1-2 人员岗位信息'!K:K,'1-2 人员岗位信息'!$C:$C,"专业外包",'1-2 人员岗位信息'!$B:$B,$D156)</f>
        <v>0</v>
      </c>
      <c r="AT156" s="304"/>
      <c r="AU156" s="181">
        <f t="shared" si="289"/>
        <v>0</v>
      </c>
      <c r="AV156" s="181">
        <f>SUMIFS('1-2 人员岗位信息'!L:L,'1-2 人员岗位信息'!$C:$C,"专业外包",'1-2 人员岗位信息'!$B:$B,$D156)</f>
        <v>0</v>
      </c>
      <c r="AW156" s="304"/>
      <c r="AX156" s="181">
        <f t="shared" si="290"/>
        <v>0</v>
      </c>
      <c r="AY156" s="181">
        <f>SUMIFS('1-2 人员岗位信息'!M:M,'1-2 人员岗位信息'!$C:$C,"专业外包",'1-2 人员岗位信息'!$B:$B,$D156)</f>
        <v>0</v>
      </c>
      <c r="AZ156" s="304"/>
      <c r="BA156" s="181">
        <f t="shared" si="291"/>
        <v>0</v>
      </c>
      <c r="BB156" s="181">
        <f>SUMIFS('1-2 人员岗位信息'!N:N,'1-2 人员岗位信息'!$C:$C,"专业外包",'1-2 人员岗位信息'!$B:$B,$D156)</f>
        <v>0</v>
      </c>
      <c r="BC156" s="304"/>
      <c r="BD156" s="181">
        <f t="shared" si="292"/>
        <v>0</v>
      </c>
      <c r="BE156" s="181">
        <f>SUMIFS('1-2 人员岗位信息'!O:O,'1-2 人员岗位信息'!$C:$C,"专业外包",'1-2 人员岗位信息'!$B:$B,$D156)</f>
        <v>0</v>
      </c>
      <c r="BF156" s="304"/>
      <c r="BG156" s="181">
        <f t="shared" si="293"/>
        <v>0</v>
      </c>
      <c r="BH156" s="181">
        <f>SUMIFS('1-2 人员岗位信息'!P:P,'1-2 人员岗位信息'!$C:$C,"专业外包",'1-2 人员岗位信息'!$B:$B,$D156)</f>
        <v>0</v>
      </c>
      <c r="BI156" s="304"/>
      <c r="BJ156" s="181">
        <f t="shared" si="294"/>
        <v>0</v>
      </c>
      <c r="BK156" s="181">
        <f>SUMIFS('1-2 人员岗位信息'!Q:Q,'1-2 人员岗位信息'!$C:$C,"专业外包",'1-2 人员岗位信息'!$B:$B,$D156)</f>
        <v>0</v>
      </c>
      <c r="BL156" s="313"/>
      <c r="BM156" s="317"/>
      <c r="BN156" s="321"/>
    </row>
    <row r="157" s="269" customFormat="1" ht="33.95" hidden="1" customHeight="1" outlineLevel="5" spans="2:66">
      <c r="B157" s="181" t="s">
        <v>792</v>
      </c>
      <c r="C157" s="289" t="s">
        <v>1055</v>
      </c>
      <c r="D157" s="269" t="s">
        <v>1036</v>
      </c>
      <c r="E157" s="181" t="s">
        <v>1056</v>
      </c>
      <c r="F157" s="181"/>
      <c r="G157" s="181" t="s">
        <v>796</v>
      </c>
      <c r="H157" s="181">
        <f t="shared" si="278"/>
        <v>0</v>
      </c>
      <c r="I157" s="181" t="s">
        <v>797</v>
      </c>
      <c r="J157" s="181" t="e">
        <f t="shared" si="279"/>
        <v>#DIV/0!</v>
      </c>
      <c r="K157" s="181" t="s">
        <v>798</v>
      </c>
      <c r="L157" s="181" t="e">
        <f t="shared" si="280"/>
        <v>#DIV/0!</v>
      </c>
      <c r="M157" s="181" t="s">
        <v>799</v>
      </c>
      <c r="N157" s="181">
        <f t="shared" si="281"/>
        <v>0</v>
      </c>
      <c r="O157" s="181"/>
      <c r="P157" s="296"/>
      <c r="Q157" s="296"/>
      <c r="R157" s="296"/>
      <c r="S157" s="296"/>
      <c r="T157" s="296"/>
      <c r="U157" s="296"/>
      <c r="V157" s="296"/>
      <c r="W157" s="296"/>
      <c r="X157" s="296"/>
      <c r="Y157" s="296"/>
      <c r="Z157" s="296"/>
      <c r="AA157" s="296"/>
      <c r="AB157" s="181">
        <f t="shared" si="282"/>
        <v>0</v>
      </c>
      <c r="AC157" s="181">
        <f t="shared" si="283"/>
        <v>0</v>
      </c>
      <c r="AD157" s="181">
        <f>SUMIFS('1-2 人员岗位信息'!F:F,'1-2 人员岗位信息'!$C:$C,"专业外包",'1-2 人员岗位信息'!$B:$B,$D157)</f>
        <v>0</v>
      </c>
      <c r="AE157" s="304"/>
      <c r="AF157" s="181">
        <f t="shared" si="284"/>
        <v>0</v>
      </c>
      <c r="AG157" s="181">
        <f>SUMIFS('1-2 人员岗位信息'!G:G,'1-2 人员岗位信息'!$C:$C,"专业外包",'1-2 人员岗位信息'!$B:$B,$D157)</f>
        <v>0</v>
      </c>
      <c r="AH157" s="304"/>
      <c r="AI157" s="181">
        <f t="shared" si="285"/>
        <v>0</v>
      </c>
      <c r="AJ157" s="181">
        <f>SUMIFS('1-2 人员岗位信息'!H:H,'1-2 人员岗位信息'!$C:$C,"专业外包",'1-2 人员岗位信息'!$B:$B,$D157)</f>
        <v>0</v>
      </c>
      <c r="AK157" s="304"/>
      <c r="AL157" s="181">
        <f t="shared" si="286"/>
        <v>0</v>
      </c>
      <c r="AM157" s="181">
        <f>SUMIFS('1-2 人员岗位信息'!I:I,'1-2 人员岗位信息'!$C:$C,"专业外包",'1-2 人员岗位信息'!$B:$B,$D157)</f>
        <v>0</v>
      </c>
      <c r="AN157" s="304"/>
      <c r="AO157" s="181">
        <f t="shared" si="287"/>
        <v>0</v>
      </c>
      <c r="AP157" s="181">
        <f>SUMIFS('1-2 人员岗位信息'!J:J,'1-2 人员岗位信息'!$C:$C,"专业外包",'1-2 人员岗位信息'!$B:$B,$D157)</f>
        <v>0</v>
      </c>
      <c r="AQ157" s="304"/>
      <c r="AR157" s="181">
        <f t="shared" si="288"/>
        <v>0</v>
      </c>
      <c r="AS157" s="181">
        <f>SUMIFS('1-2 人员岗位信息'!K:K,'1-2 人员岗位信息'!$C:$C,"专业外包",'1-2 人员岗位信息'!$B:$B,$D157)</f>
        <v>0</v>
      </c>
      <c r="AT157" s="304"/>
      <c r="AU157" s="181">
        <f t="shared" si="289"/>
        <v>0</v>
      </c>
      <c r="AV157" s="181">
        <f>SUMIFS('1-2 人员岗位信息'!L:L,'1-2 人员岗位信息'!$C:$C,"专业外包",'1-2 人员岗位信息'!$B:$B,$D157)</f>
        <v>0</v>
      </c>
      <c r="AW157" s="304"/>
      <c r="AX157" s="181">
        <f t="shared" si="290"/>
        <v>0</v>
      </c>
      <c r="AY157" s="181">
        <f>SUMIFS('1-2 人员岗位信息'!M:M,'1-2 人员岗位信息'!$C:$C,"专业外包",'1-2 人员岗位信息'!$B:$B,$D157)</f>
        <v>0</v>
      </c>
      <c r="AZ157" s="304"/>
      <c r="BA157" s="181">
        <f t="shared" si="291"/>
        <v>0</v>
      </c>
      <c r="BB157" s="181">
        <f>SUMIFS('1-2 人员岗位信息'!N:N,'1-2 人员岗位信息'!$C:$C,"专业外包",'1-2 人员岗位信息'!$B:$B,$D157)</f>
        <v>0</v>
      </c>
      <c r="BC157" s="304"/>
      <c r="BD157" s="181">
        <f t="shared" si="292"/>
        <v>0</v>
      </c>
      <c r="BE157" s="181">
        <f>SUMIFS('1-2 人员岗位信息'!O:O,'1-2 人员岗位信息'!$C:$C,"专业外包",'1-2 人员岗位信息'!$B:$B,$D157)</f>
        <v>0</v>
      </c>
      <c r="BF157" s="304"/>
      <c r="BG157" s="181">
        <f t="shared" si="293"/>
        <v>0</v>
      </c>
      <c r="BH157" s="181">
        <f>SUMIFS('1-2 人员岗位信息'!P:P,'1-2 人员岗位信息'!$C:$C,"专业外包",'1-2 人员岗位信息'!$B:$B,$D157)</f>
        <v>0</v>
      </c>
      <c r="BI157" s="304"/>
      <c r="BJ157" s="181">
        <f t="shared" si="294"/>
        <v>0</v>
      </c>
      <c r="BK157" s="181">
        <f>SUMIFS('1-2 人员岗位信息'!Q:Q,'1-2 人员岗位信息'!$C:$C,"专业外包",'1-2 人员岗位信息'!$B:$B,$D157)</f>
        <v>0</v>
      </c>
      <c r="BL157" s="313"/>
      <c r="BM157" s="317"/>
      <c r="BN157" s="321"/>
    </row>
    <row r="158" s="269" customFormat="1" ht="33.95" hidden="1" customHeight="1" outlineLevel="5" spans="2:66">
      <c r="B158" s="181" t="s">
        <v>792</v>
      </c>
      <c r="C158" s="289" t="s">
        <v>1057</v>
      </c>
      <c r="D158" s="269" t="s">
        <v>1039</v>
      </c>
      <c r="E158" s="181" t="s">
        <v>1058</v>
      </c>
      <c r="F158" s="181"/>
      <c r="G158" s="181" t="s">
        <v>796</v>
      </c>
      <c r="H158" s="181">
        <f t="shared" si="278"/>
        <v>0</v>
      </c>
      <c r="I158" s="181" t="s">
        <v>797</v>
      </c>
      <c r="J158" s="181" t="e">
        <f t="shared" si="279"/>
        <v>#DIV/0!</v>
      </c>
      <c r="K158" s="181" t="s">
        <v>798</v>
      </c>
      <c r="L158" s="181" t="e">
        <f t="shared" si="280"/>
        <v>#DIV/0!</v>
      </c>
      <c r="M158" s="181" t="s">
        <v>799</v>
      </c>
      <c r="N158" s="181">
        <f t="shared" si="281"/>
        <v>0</v>
      </c>
      <c r="O158" s="181"/>
      <c r="P158" s="296"/>
      <c r="Q158" s="296"/>
      <c r="R158" s="296"/>
      <c r="S158" s="296"/>
      <c r="T158" s="296"/>
      <c r="U158" s="296"/>
      <c r="V158" s="296"/>
      <c r="W158" s="296"/>
      <c r="X158" s="296"/>
      <c r="Y158" s="296"/>
      <c r="Z158" s="296"/>
      <c r="AA158" s="296"/>
      <c r="AB158" s="181">
        <f t="shared" si="282"/>
        <v>0</v>
      </c>
      <c r="AC158" s="181">
        <f t="shared" si="283"/>
        <v>0</v>
      </c>
      <c r="AD158" s="181">
        <f>SUMIFS('1-2 人员岗位信息'!F:F,'1-2 人员岗位信息'!$C:$C,"专业外包",'1-2 人员岗位信息'!$B:$B,$D158)</f>
        <v>0</v>
      </c>
      <c r="AE158" s="304"/>
      <c r="AF158" s="181">
        <f t="shared" si="284"/>
        <v>0</v>
      </c>
      <c r="AG158" s="181">
        <f>SUMIFS('1-2 人员岗位信息'!G:G,'1-2 人员岗位信息'!$C:$C,"专业外包",'1-2 人员岗位信息'!$B:$B,$D158)</f>
        <v>0</v>
      </c>
      <c r="AH158" s="304"/>
      <c r="AI158" s="181">
        <f t="shared" si="285"/>
        <v>0</v>
      </c>
      <c r="AJ158" s="181">
        <f>SUMIFS('1-2 人员岗位信息'!H:H,'1-2 人员岗位信息'!$C:$C,"专业外包",'1-2 人员岗位信息'!$B:$B,$D158)</f>
        <v>0</v>
      </c>
      <c r="AK158" s="304"/>
      <c r="AL158" s="181">
        <f t="shared" si="286"/>
        <v>0</v>
      </c>
      <c r="AM158" s="181">
        <f>SUMIFS('1-2 人员岗位信息'!I:I,'1-2 人员岗位信息'!$C:$C,"专业外包",'1-2 人员岗位信息'!$B:$B,$D158)</f>
        <v>0</v>
      </c>
      <c r="AN158" s="304"/>
      <c r="AO158" s="181">
        <f t="shared" si="287"/>
        <v>0</v>
      </c>
      <c r="AP158" s="181">
        <f>SUMIFS('1-2 人员岗位信息'!J:J,'1-2 人员岗位信息'!$C:$C,"专业外包",'1-2 人员岗位信息'!$B:$B,$D158)</f>
        <v>0</v>
      </c>
      <c r="AQ158" s="304"/>
      <c r="AR158" s="181">
        <f t="shared" si="288"/>
        <v>0</v>
      </c>
      <c r="AS158" s="181">
        <f>SUMIFS('1-2 人员岗位信息'!K:K,'1-2 人员岗位信息'!$C:$C,"专业外包",'1-2 人员岗位信息'!$B:$B,$D158)</f>
        <v>0</v>
      </c>
      <c r="AT158" s="304"/>
      <c r="AU158" s="181">
        <f t="shared" si="289"/>
        <v>0</v>
      </c>
      <c r="AV158" s="181">
        <f>SUMIFS('1-2 人员岗位信息'!L:L,'1-2 人员岗位信息'!$C:$C,"专业外包",'1-2 人员岗位信息'!$B:$B,$D158)</f>
        <v>0</v>
      </c>
      <c r="AW158" s="304"/>
      <c r="AX158" s="181">
        <f t="shared" si="290"/>
        <v>0</v>
      </c>
      <c r="AY158" s="181">
        <f>SUMIFS('1-2 人员岗位信息'!M:M,'1-2 人员岗位信息'!$C:$C,"专业外包",'1-2 人员岗位信息'!$B:$B,$D158)</f>
        <v>0</v>
      </c>
      <c r="AZ158" s="304"/>
      <c r="BA158" s="181">
        <f t="shared" si="291"/>
        <v>0</v>
      </c>
      <c r="BB158" s="181">
        <f>SUMIFS('1-2 人员岗位信息'!N:N,'1-2 人员岗位信息'!$C:$C,"专业外包",'1-2 人员岗位信息'!$B:$B,$D158)</f>
        <v>0</v>
      </c>
      <c r="BC158" s="304"/>
      <c r="BD158" s="181">
        <f t="shared" si="292"/>
        <v>0</v>
      </c>
      <c r="BE158" s="181">
        <f>SUMIFS('1-2 人员岗位信息'!O:O,'1-2 人员岗位信息'!$C:$C,"专业外包",'1-2 人员岗位信息'!$B:$B,$D158)</f>
        <v>0</v>
      </c>
      <c r="BF158" s="304"/>
      <c r="BG158" s="181">
        <f t="shared" si="293"/>
        <v>0</v>
      </c>
      <c r="BH158" s="181">
        <f>SUMIFS('1-2 人员岗位信息'!P:P,'1-2 人员岗位信息'!$C:$C,"专业外包",'1-2 人员岗位信息'!$B:$B,$D158)</f>
        <v>0</v>
      </c>
      <c r="BI158" s="304"/>
      <c r="BJ158" s="181">
        <f t="shared" si="294"/>
        <v>0</v>
      </c>
      <c r="BK158" s="181">
        <f>SUMIFS('1-2 人员岗位信息'!Q:Q,'1-2 人员岗位信息'!$C:$C,"专业外包",'1-2 人员岗位信息'!$B:$B,$D158)</f>
        <v>0</v>
      </c>
      <c r="BL158" s="313"/>
      <c r="BM158" s="317"/>
      <c r="BN158" s="321"/>
    </row>
    <row r="159" s="43" customFormat="1" ht="33.95" customHeight="1" outlineLevel="3" collapsed="1" spans="2:66">
      <c r="B159" s="121" t="s">
        <v>787</v>
      </c>
      <c r="C159" s="122" t="s">
        <v>1059</v>
      </c>
      <c r="D159" s="43" t="s">
        <v>1060</v>
      </c>
      <c r="E159" s="121"/>
      <c r="F159" s="121"/>
      <c r="G159" s="121"/>
      <c r="H159" s="121">
        <f>H160+H165+H170+H175</f>
        <v>0</v>
      </c>
      <c r="I159" s="121"/>
      <c r="J159" s="121"/>
      <c r="K159" s="121"/>
      <c r="L159" s="121"/>
      <c r="M159" s="121"/>
      <c r="N159" s="121"/>
      <c r="O159" s="121"/>
      <c r="P159" s="294"/>
      <c r="Q159" s="294"/>
      <c r="R159" s="294"/>
      <c r="S159" s="294"/>
      <c r="T159" s="294"/>
      <c r="U159" s="294"/>
      <c r="V159" s="294"/>
      <c r="W159" s="294"/>
      <c r="X159" s="294"/>
      <c r="Y159" s="294"/>
      <c r="Z159" s="294"/>
      <c r="AA159" s="294"/>
      <c r="AB159" s="121">
        <f t="shared" ref="AB159:AF159" si="295">AB160+AB165+AB170+AB175</f>
        <v>0</v>
      </c>
      <c r="AC159" s="121">
        <f t="shared" si="295"/>
        <v>0</v>
      </c>
      <c r="AD159" s="121"/>
      <c r="AE159" s="121"/>
      <c r="AF159" s="121">
        <f t="shared" si="295"/>
        <v>0</v>
      </c>
      <c r="AG159" s="121"/>
      <c r="AH159" s="121"/>
      <c r="AI159" s="121">
        <f>AI160+AI165+AI170+AI175</f>
        <v>0</v>
      </c>
      <c r="AJ159" s="121"/>
      <c r="AK159" s="121"/>
      <c r="AL159" s="121">
        <f>AL160+AL165+AL170+AL175</f>
        <v>0</v>
      </c>
      <c r="AM159" s="121"/>
      <c r="AN159" s="121"/>
      <c r="AO159" s="121">
        <f>AO160+AO165+AO170+AO175</f>
        <v>0</v>
      </c>
      <c r="AP159" s="121"/>
      <c r="AQ159" s="121"/>
      <c r="AR159" s="121">
        <f>AR160+AR165+AR170+AR175</f>
        <v>0</v>
      </c>
      <c r="AS159" s="121"/>
      <c r="AT159" s="121"/>
      <c r="AU159" s="121">
        <f>AU160+AU165+AU170+AU175</f>
        <v>0</v>
      </c>
      <c r="AV159" s="121"/>
      <c r="AW159" s="121"/>
      <c r="AX159" s="121">
        <f>AX160+AX165+AX170+AX175</f>
        <v>0</v>
      </c>
      <c r="AY159" s="121"/>
      <c r="AZ159" s="121"/>
      <c r="BA159" s="121">
        <f>BA160+BA165+BA170+BA175</f>
        <v>0</v>
      </c>
      <c r="BB159" s="121"/>
      <c r="BC159" s="121"/>
      <c r="BD159" s="121">
        <f>BD160+BD165+BD170+BD175</f>
        <v>0</v>
      </c>
      <c r="BE159" s="121"/>
      <c r="BF159" s="121"/>
      <c r="BG159" s="121">
        <f>BG160+BG165+BG170+BG175</f>
        <v>0</v>
      </c>
      <c r="BH159" s="121"/>
      <c r="BI159" s="121"/>
      <c r="BJ159" s="121">
        <f>BJ160+BJ165+BJ170+BJ175</f>
        <v>0</v>
      </c>
      <c r="BK159" s="121"/>
      <c r="BL159" s="311"/>
      <c r="BM159" s="317"/>
      <c r="BN159" s="319"/>
    </row>
    <row r="160" s="124" customFormat="1" ht="33.95" hidden="1" customHeight="1" outlineLevel="4" spans="2:66">
      <c r="B160" s="125" t="s">
        <v>787</v>
      </c>
      <c r="C160" s="126" t="s">
        <v>124</v>
      </c>
      <c r="D160" s="124" t="s">
        <v>109</v>
      </c>
      <c r="E160" s="125"/>
      <c r="F160" s="125"/>
      <c r="G160" s="125"/>
      <c r="H160" s="125">
        <f>SUM(H161:H164)</f>
        <v>0</v>
      </c>
      <c r="I160" s="125"/>
      <c r="J160" s="125"/>
      <c r="K160" s="125"/>
      <c r="L160" s="125"/>
      <c r="M160" s="125"/>
      <c r="N160" s="125"/>
      <c r="O160" s="125"/>
      <c r="P160" s="295"/>
      <c r="Q160" s="295"/>
      <c r="R160" s="295"/>
      <c r="S160" s="295"/>
      <c r="T160" s="295"/>
      <c r="U160" s="295"/>
      <c r="V160" s="295"/>
      <c r="W160" s="295"/>
      <c r="X160" s="295"/>
      <c r="Y160" s="295"/>
      <c r="Z160" s="295"/>
      <c r="AA160" s="295"/>
      <c r="AB160" s="125">
        <f t="shared" ref="AB160:AF160" si="296">SUM(AB161:AB164)</f>
        <v>0</v>
      </c>
      <c r="AC160" s="125">
        <f t="shared" si="296"/>
        <v>0</v>
      </c>
      <c r="AD160" s="125"/>
      <c r="AE160" s="125"/>
      <c r="AF160" s="125">
        <f t="shared" si="296"/>
        <v>0</v>
      </c>
      <c r="AG160" s="125"/>
      <c r="AH160" s="125"/>
      <c r="AI160" s="125">
        <f>SUM(AI161:AI164)</f>
        <v>0</v>
      </c>
      <c r="AJ160" s="125"/>
      <c r="AK160" s="125"/>
      <c r="AL160" s="125">
        <f>SUM(AL161:AL164)</f>
        <v>0</v>
      </c>
      <c r="AM160" s="125"/>
      <c r="AN160" s="125"/>
      <c r="AO160" s="125">
        <f>SUM(AO161:AO164)</f>
        <v>0</v>
      </c>
      <c r="AP160" s="125"/>
      <c r="AQ160" s="125"/>
      <c r="AR160" s="125">
        <f>SUM(AR161:AR164)</f>
        <v>0</v>
      </c>
      <c r="AS160" s="125"/>
      <c r="AT160" s="125"/>
      <c r="AU160" s="125">
        <f>SUM(AU161:AU164)</f>
        <v>0</v>
      </c>
      <c r="AV160" s="125"/>
      <c r="AW160" s="125"/>
      <c r="AX160" s="125">
        <f>SUM(AX161:AX164)</f>
        <v>0</v>
      </c>
      <c r="AY160" s="125"/>
      <c r="AZ160" s="125"/>
      <c r="BA160" s="125">
        <f>SUM(BA161:BA164)</f>
        <v>0</v>
      </c>
      <c r="BB160" s="125"/>
      <c r="BC160" s="125"/>
      <c r="BD160" s="125">
        <f>SUM(BD161:BD164)</f>
        <v>0</v>
      </c>
      <c r="BE160" s="125"/>
      <c r="BF160" s="125"/>
      <c r="BG160" s="125">
        <f>SUM(BG161:BG164)</f>
        <v>0</v>
      </c>
      <c r="BH160" s="125"/>
      <c r="BI160" s="125"/>
      <c r="BJ160" s="125">
        <f>SUM(BJ161:BJ164)</f>
        <v>0</v>
      </c>
      <c r="BK160" s="125"/>
      <c r="BL160" s="312"/>
      <c r="BM160" s="317"/>
      <c r="BN160" s="320"/>
    </row>
    <row r="161" s="269" customFormat="1" ht="33.95" hidden="1" customHeight="1" outlineLevel="5" spans="2:66">
      <c r="B161" s="181" t="s">
        <v>792</v>
      </c>
      <c r="C161" s="289" t="s">
        <v>1061</v>
      </c>
      <c r="D161" s="269" t="s">
        <v>1062</v>
      </c>
      <c r="E161" s="181" t="s">
        <v>1063</v>
      </c>
      <c r="F161" s="181"/>
      <c r="G161" s="181" t="s">
        <v>796</v>
      </c>
      <c r="H161" s="181">
        <f t="shared" ref="H161:H164" si="297">AB161</f>
        <v>0</v>
      </c>
      <c r="I161" s="181" t="s">
        <v>797</v>
      </c>
      <c r="J161" s="181" t="e">
        <f t="shared" ref="J161:J164" si="298">SUM(AD161,AG161,AJ161,AM161,AP161,AS161,AV161,AY161,BB161,BE161,BH161,BK161)/N161</f>
        <v>#DIV/0!</v>
      </c>
      <c r="K161" s="181" t="s">
        <v>798</v>
      </c>
      <c r="L161" s="181" t="e">
        <f t="shared" ref="L161:L164" si="299">H161/N161/J161</f>
        <v>#DIV/0!</v>
      </c>
      <c r="M161" s="181" t="s">
        <v>799</v>
      </c>
      <c r="N161" s="181">
        <f t="shared" ref="N161:N164" si="300">COUNTIF(AD161,"&gt;0")+COUNTIF(AG161,"&gt;0")+COUNTIF(AJ161,"&gt;0")+COUNTIF(AM161,"&gt;0")+COUNTIF(AP161,"&gt;0")+COUNTIF(AS161,"&gt;0")+COUNTIF(AV161,"&gt;0")+COUNTIF(AY161,"&gt;0")+COUNTIF(BB161,"&gt;0")+COUNTIF(BE161,"&gt;0")+COUNTIF(BH161,"&gt;0")+COUNTIF(BK161,"&gt;0")</f>
        <v>0</v>
      </c>
      <c r="O161" s="181"/>
      <c r="P161" s="296"/>
      <c r="Q161" s="296"/>
      <c r="R161" s="296"/>
      <c r="S161" s="296"/>
      <c r="T161" s="296"/>
      <c r="U161" s="296"/>
      <c r="V161" s="296"/>
      <c r="W161" s="296"/>
      <c r="X161" s="296"/>
      <c r="Y161" s="296"/>
      <c r="Z161" s="296"/>
      <c r="AA161" s="296"/>
      <c r="AB161" s="181">
        <f t="shared" ref="AB161:AB164" si="301">SUM(AC161,AF161,AI161,AL161,AO161,AR161,AU161,AX161,BA161,BD161,BG161,BJ161)</f>
        <v>0</v>
      </c>
      <c r="AC161" s="181">
        <f t="shared" ref="AC161:AC164" si="302">AD161*AE161</f>
        <v>0</v>
      </c>
      <c r="AD161" s="181">
        <f>SUMIFS('1-2 人员岗位信息'!F:F,'1-2 人员岗位信息'!$C:$C,"自有人员",'1-2 人员岗位信息'!$B:$B,$D161)</f>
        <v>0</v>
      </c>
      <c r="AE161" s="304"/>
      <c r="AF161" s="181">
        <f t="shared" ref="AF161:AF164" si="303">AG161*AH161</f>
        <v>0</v>
      </c>
      <c r="AG161" s="181">
        <f>SUMIFS('1-2 人员岗位信息'!G:G,'1-2 人员岗位信息'!$C:$C,"自有人员",'1-2 人员岗位信息'!$B:$B,$D161)</f>
        <v>0</v>
      </c>
      <c r="AH161" s="304"/>
      <c r="AI161" s="181">
        <f t="shared" ref="AI161:AI164" si="304">AJ161*AK161</f>
        <v>0</v>
      </c>
      <c r="AJ161" s="181">
        <f>SUMIFS('1-2 人员岗位信息'!H:H,'1-2 人员岗位信息'!$C:$C,"自有人员",'1-2 人员岗位信息'!$B:$B,$D161)</f>
        <v>0</v>
      </c>
      <c r="AK161" s="304"/>
      <c r="AL161" s="181">
        <f t="shared" ref="AL161:AL164" si="305">AM161*AN161</f>
        <v>0</v>
      </c>
      <c r="AM161" s="181">
        <f>SUMIFS('1-2 人员岗位信息'!I:I,'1-2 人员岗位信息'!$C:$C,"自有人员",'1-2 人员岗位信息'!$B:$B,$D161)</f>
        <v>0</v>
      </c>
      <c r="AN161" s="304"/>
      <c r="AO161" s="181">
        <f t="shared" ref="AO161:AO164" si="306">AP161*AQ161</f>
        <v>0</v>
      </c>
      <c r="AP161" s="181">
        <f>SUMIFS('1-2 人员岗位信息'!J:J,'1-2 人员岗位信息'!$C:$C,"自有人员",'1-2 人员岗位信息'!$B:$B,$D161)</f>
        <v>0</v>
      </c>
      <c r="AQ161" s="304"/>
      <c r="AR161" s="181">
        <f t="shared" ref="AR161:AR164" si="307">AS161*AT161</f>
        <v>0</v>
      </c>
      <c r="AS161" s="181">
        <f>SUMIFS('1-2 人员岗位信息'!K:K,'1-2 人员岗位信息'!$C:$C,"自有人员",'1-2 人员岗位信息'!$B:$B,$D161)</f>
        <v>0</v>
      </c>
      <c r="AT161" s="304"/>
      <c r="AU161" s="181">
        <f t="shared" ref="AU161:AU164" si="308">AV161*AW161</f>
        <v>0</v>
      </c>
      <c r="AV161" s="181">
        <f>SUMIFS('1-2 人员岗位信息'!L:L,'1-2 人员岗位信息'!$C:$C,"自有人员",'1-2 人员岗位信息'!$B:$B,$D161)</f>
        <v>0</v>
      </c>
      <c r="AW161" s="304"/>
      <c r="AX161" s="181">
        <f t="shared" ref="AX161:AX164" si="309">AY161*AZ161</f>
        <v>0</v>
      </c>
      <c r="AY161" s="181">
        <f>SUMIFS('1-2 人员岗位信息'!M:M,'1-2 人员岗位信息'!$C:$C,"自有人员",'1-2 人员岗位信息'!$B:$B,$D161)</f>
        <v>0</v>
      </c>
      <c r="AZ161" s="304"/>
      <c r="BA161" s="181">
        <f t="shared" ref="BA161:BA164" si="310">BB161*BC161</f>
        <v>0</v>
      </c>
      <c r="BB161" s="181">
        <f>SUMIFS('1-2 人员岗位信息'!N:N,'1-2 人员岗位信息'!$C:$C,"自有人员",'1-2 人员岗位信息'!$B:$B,$D161)</f>
        <v>0</v>
      </c>
      <c r="BC161" s="304"/>
      <c r="BD161" s="181">
        <f t="shared" ref="BD161:BD164" si="311">BE161*BF161</f>
        <v>0</v>
      </c>
      <c r="BE161" s="181">
        <f>SUMIFS('1-2 人员岗位信息'!O:O,'1-2 人员岗位信息'!$C:$C,"自有人员",'1-2 人员岗位信息'!$B:$B,$D161)</f>
        <v>0</v>
      </c>
      <c r="BF161" s="304"/>
      <c r="BG161" s="181">
        <f t="shared" ref="BG161:BG164" si="312">BH161*BI161</f>
        <v>0</v>
      </c>
      <c r="BH161" s="181">
        <f>SUMIFS('1-2 人员岗位信息'!P:P,'1-2 人员岗位信息'!$C:$C,"自有人员",'1-2 人员岗位信息'!$B:$B,$D161)</f>
        <v>0</v>
      </c>
      <c r="BI161" s="304"/>
      <c r="BJ161" s="181">
        <f t="shared" ref="BJ161:BJ164" si="313">BK161*BL161</f>
        <v>0</v>
      </c>
      <c r="BK161" s="181">
        <f>SUMIFS('1-2 人员岗位信息'!Q:Q,'1-2 人员岗位信息'!$C:$C,"自有人员",'1-2 人员岗位信息'!$B:$B,$D161)</f>
        <v>0</v>
      </c>
      <c r="BL161" s="304"/>
      <c r="BM161" s="317"/>
      <c r="BN161" s="321"/>
    </row>
    <row r="162" s="269" customFormat="1" ht="33.95" hidden="1" customHeight="1" outlineLevel="5" spans="2:66">
      <c r="B162" s="181" t="s">
        <v>792</v>
      </c>
      <c r="C162" s="289" t="s">
        <v>1064</v>
      </c>
      <c r="D162" s="269" t="s">
        <v>1065</v>
      </c>
      <c r="E162" s="181" t="s">
        <v>1066</v>
      </c>
      <c r="F162" s="181"/>
      <c r="G162" s="181" t="s">
        <v>796</v>
      </c>
      <c r="H162" s="181">
        <f t="shared" si="297"/>
        <v>0</v>
      </c>
      <c r="I162" s="181" t="s">
        <v>797</v>
      </c>
      <c r="J162" s="181" t="e">
        <f t="shared" si="298"/>
        <v>#DIV/0!</v>
      </c>
      <c r="K162" s="181" t="s">
        <v>798</v>
      </c>
      <c r="L162" s="181" t="e">
        <f t="shared" si="299"/>
        <v>#DIV/0!</v>
      </c>
      <c r="M162" s="181" t="s">
        <v>799</v>
      </c>
      <c r="N162" s="181">
        <f t="shared" si="300"/>
        <v>0</v>
      </c>
      <c r="O162" s="181"/>
      <c r="P162" s="296"/>
      <c r="Q162" s="296"/>
      <c r="R162" s="296"/>
      <c r="S162" s="296"/>
      <c r="T162" s="296"/>
      <c r="U162" s="296"/>
      <c r="V162" s="296"/>
      <c r="W162" s="296"/>
      <c r="X162" s="296"/>
      <c r="Y162" s="296"/>
      <c r="Z162" s="296"/>
      <c r="AA162" s="296"/>
      <c r="AB162" s="181">
        <f t="shared" si="301"/>
        <v>0</v>
      </c>
      <c r="AC162" s="181">
        <f t="shared" si="302"/>
        <v>0</v>
      </c>
      <c r="AD162" s="181">
        <f>SUMIFS('1-2 人员岗位信息'!F:F,'1-2 人员岗位信息'!$C:$C,"自有人员",'1-2 人员岗位信息'!$B:$B,$D162)</f>
        <v>0</v>
      </c>
      <c r="AE162" s="304"/>
      <c r="AF162" s="181">
        <f t="shared" si="303"/>
        <v>0</v>
      </c>
      <c r="AG162" s="181">
        <f>SUMIFS('1-2 人员岗位信息'!G:G,'1-2 人员岗位信息'!$C:$C,"自有人员",'1-2 人员岗位信息'!$B:$B,$D162)</f>
        <v>0</v>
      </c>
      <c r="AH162" s="304"/>
      <c r="AI162" s="181">
        <f t="shared" si="304"/>
        <v>0</v>
      </c>
      <c r="AJ162" s="181">
        <f>SUMIFS('1-2 人员岗位信息'!H:H,'1-2 人员岗位信息'!$C:$C,"自有人员",'1-2 人员岗位信息'!$B:$B,$D162)</f>
        <v>0</v>
      </c>
      <c r="AK162" s="304"/>
      <c r="AL162" s="181">
        <f t="shared" si="305"/>
        <v>0</v>
      </c>
      <c r="AM162" s="181">
        <f>SUMIFS('1-2 人员岗位信息'!I:I,'1-2 人员岗位信息'!$C:$C,"自有人员",'1-2 人员岗位信息'!$B:$B,$D162)</f>
        <v>0</v>
      </c>
      <c r="AN162" s="304"/>
      <c r="AO162" s="181">
        <f t="shared" si="306"/>
        <v>0</v>
      </c>
      <c r="AP162" s="181">
        <f>SUMIFS('1-2 人员岗位信息'!J:J,'1-2 人员岗位信息'!$C:$C,"自有人员",'1-2 人员岗位信息'!$B:$B,$D162)</f>
        <v>0</v>
      </c>
      <c r="AQ162" s="304"/>
      <c r="AR162" s="181">
        <f t="shared" si="307"/>
        <v>0</v>
      </c>
      <c r="AS162" s="181">
        <f>SUMIFS('1-2 人员岗位信息'!K:K,'1-2 人员岗位信息'!$C:$C,"自有人员",'1-2 人员岗位信息'!$B:$B,$D162)</f>
        <v>0</v>
      </c>
      <c r="AT162" s="304"/>
      <c r="AU162" s="181">
        <f t="shared" si="308"/>
        <v>0</v>
      </c>
      <c r="AV162" s="181">
        <f>SUMIFS('1-2 人员岗位信息'!L:L,'1-2 人员岗位信息'!$C:$C,"自有人员",'1-2 人员岗位信息'!$B:$B,$D162)</f>
        <v>0</v>
      </c>
      <c r="AW162" s="304"/>
      <c r="AX162" s="181">
        <f t="shared" si="309"/>
        <v>0</v>
      </c>
      <c r="AY162" s="181">
        <f>SUMIFS('1-2 人员岗位信息'!M:M,'1-2 人员岗位信息'!$C:$C,"自有人员",'1-2 人员岗位信息'!$B:$B,$D162)</f>
        <v>0</v>
      </c>
      <c r="AZ162" s="304"/>
      <c r="BA162" s="181">
        <f t="shared" si="310"/>
        <v>0</v>
      </c>
      <c r="BB162" s="181">
        <f>SUMIFS('1-2 人员岗位信息'!N:N,'1-2 人员岗位信息'!$C:$C,"自有人员",'1-2 人员岗位信息'!$B:$B,$D162)</f>
        <v>0</v>
      </c>
      <c r="BC162" s="304"/>
      <c r="BD162" s="181">
        <f t="shared" si="311"/>
        <v>0</v>
      </c>
      <c r="BE162" s="181">
        <f>SUMIFS('1-2 人员岗位信息'!O:O,'1-2 人员岗位信息'!$C:$C,"自有人员",'1-2 人员岗位信息'!$B:$B,$D162)</f>
        <v>0</v>
      </c>
      <c r="BF162" s="304"/>
      <c r="BG162" s="181">
        <f t="shared" si="312"/>
        <v>0</v>
      </c>
      <c r="BH162" s="181">
        <f>SUMIFS('1-2 人员岗位信息'!P:P,'1-2 人员岗位信息'!$C:$C,"自有人员",'1-2 人员岗位信息'!$B:$B,$D162)</f>
        <v>0</v>
      </c>
      <c r="BI162" s="304"/>
      <c r="BJ162" s="181">
        <f t="shared" si="313"/>
        <v>0</v>
      </c>
      <c r="BK162" s="181">
        <f>SUMIFS('1-2 人员岗位信息'!Q:Q,'1-2 人员岗位信息'!$C:$C,"自有人员",'1-2 人员岗位信息'!$B:$B,$D162)</f>
        <v>0</v>
      </c>
      <c r="BL162" s="313"/>
      <c r="BM162" s="317"/>
      <c r="BN162" s="321"/>
    </row>
    <row r="163" s="269" customFormat="1" ht="33.95" hidden="1" customHeight="1" outlineLevel="5" spans="2:66">
      <c r="B163" s="181" t="s">
        <v>792</v>
      </c>
      <c r="C163" s="289" t="s">
        <v>1067</v>
      </c>
      <c r="D163" s="269" t="s">
        <v>1068</v>
      </c>
      <c r="E163" s="181" t="s">
        <v>1069</v>
      </c>
      <c r="F163" s="181"/>
      <c r="G163" s="181" t="s">
        <v>796</v>
      </c>
      <c r="H163" s="181">
        <f t="shared" si="297"/>
        <v>0</v>
      </c>
      <c r="I163" s="181" t="s">
        <v>797</v>
      </c>
      <c r="J163" s="181" t="e">
        <f t="shared" si="298"/>
        <v>#DIV/0!</v>
      </c>
      <c r="K163" s="181" t="s">
        <v>798</v>
      </c>
      <c r="L163" s="181" t="e">
        <f t="shared" si="299"/>
        <v>#DIV/0!</v>
      </c>
      <c r="M163" s="181" t="s">
        <v>799</v>
      </c>
      <c r="N163" s="181">
        <f t="shared" si="300"/>
        <v>0</v>
      </c>
      <c r="O163" s="181"/>
      <c r="P163" s="296"/>
      <c r="Q163" s="296"/>
      <c r="R163" s="296"/>
      <c r="S163" s="296"/>
      <c r="T163" s="296"/>
      <c r="U163" s="296"/>
      <c r="V163" s="296"/>
      <c r="W163" s="296"/>
      <c r="X163" s="296"/>
      <c r="Y163" s="296"/>
      <c r="Z163" s="296"/>
      <c r="AA163" s="296"/>
      <c r="AB163" s="181">
        <f t="shared" si="301"/>
        <v>0</v>
      </c>
      <c r="AC163" s="181">
        <f t="shared" si="302"/>
        <v>0</v>
      </c>
      <c r="AD163" s="181">
        <f>SUMIFS('1-2 人员岗位信息'!F:F,'1-2 人员岗位信息'!$C:$C,"自有人员",'1-2 人员岗位信息'!$B:$B,$D163)</f>
        <v>0</v>
      </c>
      <c r="AE163" s="304"/>
      <c r="AF163" s="181">
        <f t="shared" si="303"/>
        <v>0</v>
      </c>
      <c r="AG163" s="181">
        <f>SUMIFS('1-2 人员岗位信息'!G:G,'1-2 人员岗位信息'!$C:$C,"自有人员",'1-2 人员岗位信息'!$B:$B,$D163)</f>
        <v>0</v>
      </c>
      <c r="AH163" s="304"/>
      <c r="AI163" s="181">
        <f t="shared" si="304"/>
        <v>0</v>
      </c>
      <c r="AJ163" s="181">
        <f>SUMIFS('1-2 人员岗位信息'!H:H,'1-2 人员岗位信息'!$C:$C,"自有人员",'1-2 人员岗位信息'!$B:$B,$D163)</f>
        <v>0</v>
      </c>
      <c r="AK163" s="304"/>
      <c r="AL163" s="181">
        <f t="shared" si="305"/>
        <v>0</v>
      </c>
      <c r="AM163" s="181">
        <f>SUMIFS('1-2 人员岗位信息'!I:I,'1-2 人员岗位信息'!$C:$C,"自有人员",'1-2 人员岗位信息'!$B:$B,$D163)</f>
        <v>0</v>
      </c>
      <c r="AN163" s="304"/>
      <c r="AO163" s="181">
        <f t="shared" si="306"/>
        <v>0</v>
      </c>
      <c r="AP163" s="181">
        <f>SUMIFS('1-2 人员岗位信息'!J:J,'1-2 人员岗位信息'!$C:$C,"自有人员",'1-2 人员岗位信息'!$B:$B,$D163)</f>
        <v>0</v>
      </c>
      <c r="AQ163" s="304"/>
      <c r="AR163" s="181">
        <f t="shared" si="307"/>
        <v>0</v>
      </c>
      <c r="AS163" s="181">
        <f>SUMIFS('1-2 人员岗位信息'!K:K,'1-2 人员岗位信息'!$C:$C,"自有人员",'1-2 人员岗位信息'!$B:$B,$D163)</f>
        <v>0</v>
      </c>
      <c r="AT163" s="304"/>
      <c r="AU163" s="181">
        <f t="shared" si="308"/>
        <v>0</v>
      </c>
      <c r="AV163" s="181">
        <f>SUMIFS('1-2 人员岗位信息'!L:L,'1-2 人员岗位信息'!$C:$C,"自有人员",'1-2 人员岗位信息'!$B:$B,$D163)</f>
        <v>0</v>
      </c>
      <c r="AW163" s="304"/>
      <c r="AX163" s="181">
        <f t="shared" si="309"/>
        <v>0</v>
      </c>
      <c r="AY163" s="181">
        <f>SUMIFS('1-2 人员岗位信息'!M:M,'1-2 人员岗位信息'!$C:$C,"自有人员",'1-2 人员岗位信息'!$B:$B,$D163)</f>
        <v>0</v>
      </c>
      <c r="AZ163" s="304"/>
      <c r="BA163" s="181">
        <f t="shared" si="310"/>
        <v>0</v>
      </c>
      <c r="BB163" s="181">
        <f>SUMIFS('1-2 人员岗位信息'!N:N,'1-2 人员岗位信息'!$C:$C,"自有人员",'1-2 人员岗位信息'!$B:$B,$D163)</f>
        <v>0</v>
      </c>
      <c r="BC163" s="304"/>
      <c r="BD163" s="181">
        <f t="shared" si="311"/>
        <v>0</v>
      </c>
      <c r="BE163" s="181">
        <f>SUMIFS('1-2 人员岗位信息'!O:O,'1-2 人员岗位信息'!$C:$C,"自有人员",'1-2 人员岗位信息'!$B:$B,$D163)</f>
        <v>0</v>
      </c>
      <c r="BF163" s="304"/>
      <c r="BG163" s="181">
        <f t="shared" si="312"/>
        <v>0</v>
      </c>
      <c r="BH163" s="181">
        <f>SUMIFS('1-2 人员岗位信息'!P:P,'1-2 人员岗位信息'!$C:$C,"自有人员",'1-2 人员岗位信息'!$B:$B,$D163)</f>
        <v>0</v>
      </c>
      <c r="BI163" s="304"/>
      <c r="BJ163" s="181">
        <f t="shared" si="313"/>
        <v>0</v>
      </c>
      <c r="BK163" s="181">
        <f>SUMIFS('1-2 人员岗位信息'!Q:Q,'1-2 人员岗位信息'!$C:$C,"自有人员",'1-2 人员岗位信息'!$B:$B,$D163)</f>
        <v>0</v>
      </c>
      <c r="BL163" s="313"/>
      <c r="BM163" s="317"/>
      <c r="BN163" s="321"/>
    </row>
    <row r="164" s="269" customFormat="1" ht="33.95" hidden="1" customHeight="1" outlineLevel="5" spans="2:66">
      <c r="B164" s="181" t="s">
        <v>792</v>
      </c>
      <c r="C164" s="289" t="s">
        <v>1070</v>
      </c>
      <c r="D164" s="269" t="s">
        <v>1071</v>
      </c>
      <c r="E164" s="181" t="s">
        <v>1072</v>
      </c>
      <c r="F164" s="181"/>
      <c r="G164" s="181" t="s">
        <v>796</v>
      </c>
      <c r="H164" s="181">
        <f t="shared" si="297"/>
        <v>0</v>
      </c>
      <c r="I164" s="181" t="s">
        <v>797</v>
      </c>
      <c r="J164" s="181" t="e">
        <f t="shared" si="298"/>
        <v>#DIV/0!</v>
      </c>
      <c r="K164" s="181" t="s">
        <v>798</v>
      </c>
      <c r="L164" s="181" t="e">
        <f t="shared" si="299"/>
        <v>#DIV/0!</v>
      </c>
      <c r="M164" s="181" t="s">
        <v>799</v>
      </c>
      <c r="N164" s="181">
        <f t="shared" si="300"/>
        <v>0</v>
      </c>
      <c r="O164" s="181"/>
      <c r="P164" s="296"/>
      <c r="Q164" s="296"/>
      <c r="R164" s="296"/>
      <c r="S164" s="296"/>
      <c r="T164" s="296"/>
      <c r="U164" s="296"/>
      <c r="V164" s="296"/>
      <c r="W164" s="296"/>
      <c r="X164" s="296"/>
      <c r="Y164" s="296"/>
      <c r="Z164" s="296"/>
      <c r="AA164" s="296"/>
      <c r="AB164" s="181">
        <f t="shared" si="301"/>
        <v>0</v>
      </c>
      <c r="AC164" s="181">
        <f t="shared" si="302"/>
        <v>0</v>
      </c>
      <c r="AD164" s="181">
        <f>SUMIFS('1-2 人员岗位信息'!F:F,'1-2 人员岗位信息'!$C:$C,"自有人员",'1-2 人员岗位信息'!$B:$B,$D164)</f>
        <v>0</v>
      </c>
      <c r="AE164" s="304"/>
      <c r="AF164" s="181">
        <f t="shared" si="303"/>
        <v>0</v>
      </c>
      <c r="AG164" s="181">
        <f>SUMIFS('1-2 人员岗位信息'!G:G,'1-2 人员岗位信息'!$C:$C,"自有人员",'1-2 人员岗位信息'!$B:$B,$D164)</f>
        <v>0</v>
      </c>
      <c r="AH164" s="304"/>
      <c r="AI164" s="181">
        <f t="shared" si="304"/>
        <v>0</v>
      </c>
      <c r="AJ164" s="181">
        <f>SUMIFS('1-2 人员岗位信息'!H:H,'1-2 人员岗位信息'!$C:$C,"自有人员",'1-2 人员岗位信息'!$B:$B,$D164)</f>
        <v>0</v>
      </c>
      <c r="AK164" s="304"/>
      <c r="AL164" s="181">
        <f t="shared" si="305"/>
        <v>0</v>
      </c>
      <c r="AM164" s="181">
        <f>SUMIFS('1-2 人员岗位信息'!I:I,'1-2 人员岗位信息'!$C:$C,"自有人员",'1-2 人员岗位信息'!$B:$B,$D164)</f>
        <v>0</v>
      </c>
      <c r="AN164" s="304"/>
      <c r="AO164" s="181">
        <f t="shared" si="306"/>
        <v>0</v>
      </c>
      <c r="AP164" s="181">
        <f>SUMIFS('1-2 人员岗位信息'!J:J,'1-2 人员岗位信息'!$C:$C,"自有人员",'1-2 人员岗位信息'!$B:$B,$D164)</f>
        <v>0</v>
      </c>
      <c r="AQ164" s="304"/>
      <c r="AR164" s="181">
        <f t="shared" si="307"/>
        <v>0</v>
      </c>
      <c r="AS164" s="181">
        <f>SUMIFS('1-2 人员岗位信息'!K:K,'1-2 人员岗位信息'!$C:$C,"自有人员",'1-2 人员岗位信息'!$B:$B,$D164)</f>
        <v>0</v>
      </c>
      <c r="AT164" s="304"/>
      <c r="AU164" s="181">
        <f t="shared" si="308"/>
        <v>0</v>
      </c>
      <c r="AV164" s="181">
        <f>SUMIFS('1-2 人员岗位信息'!L:L,'1-2 人员岗位信息'!$C:$C,"自有人员",'1-2 人员岗位信息'!$B:$B,$D164)</f>
        <v>0</v>
      </c>
      <c r="AW164" s="304"/>
      <c r="AX164" s="181">
        <f t="shared" si="309"/>
        <v>0</v>
      </c>
      <c r="AY164" s="181">
        <f>SUMIFS('1-2 人员岗位信息'!M:M,'1-2 人员岗位信息'!$C:$C,"自有人员",'1-2 人员岗位信息'!$B:$B,$D164)</f>
        <v>0</v>
      </c>
      <c r="AZ164" s="304"/>
      <c r="BA164" s="181">
        <f t="shared" si="310"/>
        <v>0</v>
      </c>
      <c r="BB164" s="181">
        <f>SUMIFS('1-2 人员岗位信息'!N:N,'1-2 人员岗位信息'!$C:$C,"自有人员",'1-2 人员岗位信息'!$B:$B,$D164)</f>
        <v>0</v>
      </c>
      <c r="BC164" s="304"/>
      <c r="BD164" s="181">
        <f t="shared" si="311"/>
        <v>0</v>
      </c>
      <c r="BE164" s="181">
        <f>SUMIFS('1-2 人员岗位信息'!O:O,'1-2 人员岗位信息'!$C:$C,"自有人员",'1-2 人员岗位信息'!$B:$B,$D164)</f>
        <v>0</v>
      </c>
      <c r="BF164" s="304"/>
      <c r="BG164" s="181">
        <f t="shared" si="312"/>
        <v>0</v>
      </c>
      <c r="BH164" s="181">
        <f>SUMIFS('1-2 人员岗位信息'!P:P,'1-2 人员岗位信息'!$C:$C,"自有人员",'1-2 人员岗位信息'!$B:$B,$D164)</f>
        <v>0</v>
      </c>
      <c r="BI164" s="304"/>
      <c r="BJ164" s="181">
        <f t="shared" si="313"/>
        <v>0</v>
      </c>
      <c r="BK164" s="181">
        <f>SUMIFS('1-2 人员岗位信息'!Q:Q,'1-2 人员岗位信息'!$C:$C,"自有人员",'1-2 人员岗位信息'!$B:$B,$D164)</f>
        <v>0</v>
      </c>
      <c r="BL164" s="313"/>
      <c r="BM164" s="317"/>
      <c r="BN164" s="321"/>
    </row>
    <row r="165" s="124" customFormat="1" ht="33.95" hidden="1" customHeight="1" outlineLevel="4" spans="2:66">
      <c r="B165" s="125" t="s">
        <v>787</v>
      </c>
      <c r="C165" s="126" t="s">
        <v>73</v>
      </c>
      <c r="D165" s="124" t="s">
        <v>68</v>
      </c>
      <c r="E165" s="125"/>
      <c r="F165" s="125"/>
      <c r="G165" s="125"/>
      <c r="H165" s="125">
        <f>SUM(H166:H169)</f>
        <v>0</v>
      </c>
      <c r="I165" s="125"/>
      <c r="J165" s="125"/>
      <c r="K165" s="125"/>
      <c r="L165" s="125"/>
      <c r="M165" s="125"/>
      <c r="N165" s="125"/>
      <c r="O165" s="125"/>
      <c r="P165" s="295"/>
      <c r="Q165" s="295"/>
      <c r="R165" s="295"/>
      <c r="S165" s="295"/>
      <c r="T165" s="295"/>
      <c r="U165" s="295"/>
      <c r="V165" s="295"/>
      <c r="W165" s="295"/>
      <c r="X165" s="295"/>
      <c r="Y165" s="295"/>
      <c r="Z165" s="295"/>
      <c r="AA165" s="295"/>
      <c r="AB165" s="125">
        <f t="shared" ref="AB165:AF165" si="314">SUM(AB166:AB169)</f>
        <v>0</v>
      </c>
      <c r="AC165" s="125">
        <f t="shared" si="314"/>
        <v>0</v>
      </c>
      <c r="AD165" s="125"/>
      <c r="AE165" s="125"/>
      <c r="AF165" s="125">
        <f t="shared" si="314"/>
        <v>0</v>
      </c>
      <c r="AG165" s="125"/>
      <c r="AH165" s="125"/>
      <c r="AI165" s="125">
        <f>SUM(AI166:AI169)</f>
        <v>0</v>
      </c>
      <c r="AJ165" s="125"/>
      <c r="AK165" s="125"/>
      <c r="AL165" s="125">
        <f>SUM(AL166:AL169)</f>
        <v>0</v>
      </c>
      <c r="AM165" s="125"/>
      <c r="AN165" s="125"/>
      <c r="AO165" s="125">
        <f>SUM(AO166:AO169)</f>
        <v>0</v>
      </c>
      <c r="AP165" s="125"/>
      <c r="AQ165" s="125"/>
      <c r="AR165" s="125">
        <f>SUM(AR166:AR169)</f>
        <v>0</v>
      </c>
      <c r="AS165" s="125"/>
      <c r="AT165" s="125"/>
      <c r="AU165" s="125">
        <f>SUM(AU166:AU169)</f>
        <v>0</v>
      </c>
      <c r="AV165" s="125"/>
      <c r="AW165" s="125"/>
      <c r="AX165" s="125">
        <f>SUM(AX166:AX169)</f>
        <v>0</v>
      </c>
      <c r="AY165" s="125"/>
      <c r="AZ165" s="125"/>
      <c r="BA165" s="125">
        <f>SUM(BA166:BA169)</f>
        <v>0</v>
      </c>
      <c r="BB165" s="125"/>
      <c r="BC165" s="125"/>
      <c r="BD165" s="125">
        <f>SUM(BD166:BD169)</f>
        <v>0</v>
      </c>
      <c r="BE165" s="125"/>
      <c r="BF165" s="125"/>
      <c r="BG165" s="125">
        <f>SUM(BG166:BG169)</f>
        <v>0</v>
      </c>
      <c r="BH165" s="125"/>
      <c r="BI165" s="125"/>
      <c r="BJ165" s="125">
        <f>SUM(BJ166:BJ169)</f>
        <v>0</v>
      </c>
      <c r="BK165" s="125"/>
      <c r="BL165" s="312"/>
      <c r="BM165" s="317"/>
      <c r="BN165" s="320"/>
    </row>
    <row r="166" s="269" customFormat="1" ht="33.95" hidden="1" customHeight="1" outlineLevel="5" spans="2:66">
      <c r="B166" s="181" t="s">
        <v>792</v>
      </c>
      <c r="C166" s="289" t="s">
        <v>1073</v>
      </c>
      <c r="D166" s="269" t="s">
        <v>1062</v>
      </c>
      <c r="E166" s="181" t="s">
        <v>1074</v>
      </c>
      <c r="F166" s="181"/>
      <c r="G166" s="181" t="s">
        <v>796</v>
      </c>
      <c r="H166" s="181">
        <f t="shared" ref="H166:H169" si="315">AB166</f>
        <v>0</v>
      </c>
      <c r="I166" s="181" t="s">
        <v>797</v>
      </c>
      <c r="J166" s="181" t="e">
        <f t="shared" ref="J166:J169" si="316">SUM(AD166,AG166,AJ166,AM166,AP166,AS166,AV166,AY166,BB166,BE166,BH166,BK166)/N166</f>
        <v>#DIV/0!</v>
      </c>
      <c r="K166" s="181" t="s">
        <v>798</v>
      </c>
      <c r="L166" s="181" t="e">
        <f t="shared" ref="L166:L169" si="317">H166/N166/J166</f>
        <v>#DIV/0!</v>
      </c>
      <c r="M166" s="181" t="s">
        <v>799</v>
      </c>
      <c r="N166" s="181">
        <f t="shared" ref="N166:N169" si="318">COUNTIF(AD166,"&gt;0")+COUNTIF(AG166,"&gt;0")+COUNTIF(AJ166,"&gt;0")+COUNTIF(AM166,"&gt;0")+COUNTIF(AP166,"&gt;0")+COUNTIF(AS166,"&gt;0")+COUNTIF(AV166,"&gt;0")+COUNTIF(AY166,"&gt;0")+COUNTIF(BB166,"&gt;0")+COUNTIF(BE166,"&gt;0")+COUNTIF(BH166,"&gt;0")+COUNTIF(BK166,"&gt;0")</f>
        <v>0</v>
      </c>
      <c r="O166" s="181"/>
      <c r="P166" s="296"/>
      <c r="Q166" s="296"/>
      <c r="R166" s="296"/>
      <c r="S166" s="296"/>
      <c r="T166" s="296"/>
      <c r="U166" s="296"/>
      <c r="V166" s="296"/>
      <c r="W166" s="296"/>
      <c r="X166" s="296"/>
      <c r="Y166" s="296"/>
      <c r="Z166" s="296"/>
      <c r="AA166" s="296"/>
      <c r="AB166" s="181">
        <f t="shared" ref="AB166:AB169" si="319">SUM(AC166,AF166,AI166,AL166,AO166,AR166,AU166,AX166,BA166,BD166,BG166,BJ166)</f>
        <v>0</v>
      </c>
      <c r="AC166" s="181">
        <f t="shared" ref="AC166:AC169" si="320">AD166*AE166</f>
        <v>0</v>
      </c>
      <c r="AD166" s="181">
        <f>SUMIFS('1-2 人员岗位信息'!F:F,'1-2 人员岗位信息'!$C:$C,"劳务派遣",'1-2 人员岗位信息'!$B:$B,$D166)</f>
        <v>0</v>
      </c>
      <c r="AE166" s="304"/>
      <c r="AF166" s="181">
        <f t="shared" ref="AF166:AF169" si="321">AG166*AH166</f>
        <v>0</v>
      </c>
      <c r="AG166" s="181">
        <f>SUMIFS('1-2 人员岗位信息'!G:G,'1-2 人员岗位信息'!$C:$C,"劳务派遣",'1-2 人员岗位信息'!$B:$B,$D166)</f>
        <v>0</v>
      </c>
      <c r="AH166" s="304"/>
      <c r="AI166" s="181">
        <f t="shared" ref="AI166:AI169" si="322">AJ166*AK166</f>
        <v>0</v>
      </c>
      <c r="AJ166" s="181">
        <f>SUMIFS('1-2 人员岗位信息'!H:H,'1-2 人员岗位信息'!$C:$C,"劳务派遣",'1-2 人员岗位信息'!$B:$B,$D166)</f>
        <v>0</v>
      </c>
      <c r="AK166" s="304"/>
      <c r="AL166" s="181">
        <f t="shared" ref="AL166:AL169" si="323">AM166*AN166</f>
        <v>0</v>
      </c>
      <c r="AM166" s="181">
        <f>SUMIFS('1-2 人员岗位信息'!I:I,'1-2 人员岗位信息'!$C:$C,"劳务派遣",'1-2 人员岗位信息'!$B:$B,$D166)</f>
        <v>0</v>
      </c>
      <c r="AN166" s="304"/>
      <c r="AO166" s="181">
        <f t="shared" ref="AO166:AO169" si="324">AP166*AQ166</f>
        <v>0</v>
      </c>
      <c r="AP166" s="181">
        <f>SUMIFS('1-2 人员岗位信息'!J:J,'1-2 人员岗位信息'!$C:$C,"劳务派遣",'1-2 人员岗位信息'!$B:$B,$D166)</f>
        <v>0</v>
      </c>
      <c r="AQ166" s="304"/>
      <c r="AR166" s="181">
        <f t="shared" ref="AR166:AR169" si="325">AS166*AT166</f>
        <v>0</v>
      </c>
      <c r="AS166" s="181">
        <f>SUMIFS('1-2 人员岗位信息'!K:K,'1-2 人员岗位信息'!$C:$C,"劳务派遣",'1-2 人员岗位信息'!$B:$B,$D166)</f>
        <v>0</v>
      </c>
      <c r="AT166" s="304"/>
      <c r="AU166" s="181">
        <f t="shared" ref="AU166:AU169" si="326">AV166*AW166</f>
        <v>0</v>
      </c>
      <c r="AV166" s="181">
        <f>SUMIFS('1-2 人员岗位信息'!L:L,'1-2 人员岗位信息'!$C:$C,"劳务派遣",'1-2 人员岗位信息'!$B:$B,$D166)</f>
        <v>0</v>
      </c>
      <c r="AW166" s="304"/>
      <c r="AX166" s="181">
        <f t="shared" ref="AX166:AX169" si="327">AY166*AZ166</f>
        <v>0</v>
      </c>
      <c r="AY166" s="181">
        <f>SUMIFS('1-2 人员岗位信息'!M:M,'1-2 人员岗位信息'!$C:$C,"劳务派遣",'1-2 人员岗位信息'!$B:$B,$D166)</f>
        <v>0</v>
      </c>
      <c r="AZ166" s="304"/>
      <c r="BA166" s="181">
        <f t="shared" ref="BA166:BA169" si="328">BB166*BC166</f>
        <v>0</v>
      </c>
      <c r="BB166" s="181">
        <f>SUMIFS('1-2 人员岗位信息'!N:N,'1-2 人员岗位信息'!$C:$C,"劳务派遣",'1-2 人员岗位信息'!$B:$B,$D166)</f>
        <v>0</v>
      </c>
      <c r="BC166" s="304"/>
      <c r="BD166" s="181">
        <f t="shared" ref="BD166:BD169" si="329">BE166*BF166</f>
        <v>0</v>
      </c>
      <c r="BE166" s="181">
        <f>SUMIFS('1-2 人员岗位信息'!O:O,'1-2 人员岗位信息'!$C:$C,"劳务派遣",'1-2 人员岗位信息'!$B:$B,$D166)</f>
        <v>0</v>
      </c>
      <c r="BF166" s="304"/>
      <c r="BG166" s="181">
        <f t="shared" ref="BG166:BG169" si="330">BH166*BI166</f>
        <v>0</v>
      </c>
      <c r="BH166" s="181">
        <f>SUMIFS('1-2 人员岗位信息'!P:P,'1-2 人员岗位信息'!$C:$C,"劳务派遣",'1-2 人员岗位信息'!$B:$B,$D166)</f>
        <v>0</v>
      </c>
      <c r="BI166" s="304"/>
      <c r="BJ166" s="181">
        <f t="shared" ref="BJ166:BJ169" si="331">BK166*BL166</f>
        <v>0</v>
      </c>
      <c r="BK166" s="181">
        <f>SUMIFS('1-2 人员岗位信息'!Q:Q,'1-2 人员岗位信息'!$C:$C,"劳务派遣",'1-2 人员岗位信息'!$B:$B,$D166)</f>
        <v>0</v>
      </c>
      <c r="BL166" s="313"/>
      <c r="BM166" s="317"/>
      <c r="BN166" s="321"/>
    </row>
    <row r="167" s="269" customFormat="1" ht="33.95" hidden="1" customHeight="1" outlineLevel="5" spans="2:66">
      <c r="B167" s="181" t="s">
        <v>792</v>
      </c>
      <c r="C167" s="289" t="s">
        <v>1075</v>
      </c>
      <c r="D167" s="269" t="s">
        <v>1065</v>
      </c>
      <c r="E167" s="181" t="s">
        <v>1076</v>
      </c>
      <c r="F167" s="181"/>
      <c r="G167" s="181" t="s">
        <v>796</v>
      </c>
      <c r="H167" s="181">
        <f t="shared" si="315"/>
        <v>0</v>
      </c>
      <c r="I167" s="181" t="s">
        <v>797</v>
      </c>
      <c r="J167" s="181" t="e">
        <f t="shared" si="316"/>
        <v>#DIV/0!</v>
      </c>
      <c r="K167" s="181" t="s">
        <v>798</v>
      </c>
      <c r="L167" s="181" t="e">
        <f t="shared" si="317"/>
        <v>#DIV/0!</v>
      </c>
      <c r="M167" s="181" t="s">
        <v>799</v>
      </c>
      <c r="N167" s="181">
        <f t="shared" si="318"/>
        <v>0</v>
      </c>
      <c r="O167" s="181"/>
      <c r="P167" s="296"/>
      <c r="Q167" s="296"/>
      <c r="R167" s="296"/>
      <c r="S167" s="296"/>
      <c r="T167" s="296"/>
      <c r="U167" s="296"/>
      <c r="V167" s="296"/>
      <c r="W167" s="296"/>
      <c r="X167" s="296"/>
      <c r="Y167" s="296"/>
      <c r="Z167" s="296"/>
      <c r="AA167" s="296"/>
      <c r="AB167" s="181">
        <f t="shared" si="319"/>
        <v>0</v>
      </c>
      <c r="AC167" s="181">
        <f t="shared" si="320"/>
        <v>0</v>
      </c>
      <c r="AD167" s="181">
        <f>SUMIFS('1-2 人员岗位信息'!F:F,'1-2 人员岗位信息'!$C:$C,"劳务派遣",'1-2 人员岗位信息'!$B:$B,$D167)</f>
        <v>0</v>
      </c>
      <c r="AE167" s="304"/>
      <c r="AF167" s="181">
        <f t="shared" si="321"/>
        <v>0</v>
      </c>
      <c r="AG167" s="181">
        <f>SUMIFS('1-2 人员岗位信息'!G:G,'1-2 人员岗位信息'!$C:$C,"劳务派遣",'1-2 人员岗位信息'!$B:$B,$D167)</f>
        <v>0</v>
      </c>
      <c r="AH167" s="304"/>
      <c r="AI167" s="181">
        <f t="shared" si="322"/>
        <v>0</v>
      </c>
      <c r="AJ167" s="181">
        <f>SUMIFS('1-2 人员岗位信息'!H:H,'1-2 人员岗位信息'!$C:$C,"劳务派遣",'1-2 人员岗位信息'!$B:$B,$D167)</f>
        <v>0</v>
      </c>
      <c r="AK167" s="304"/>
      <c r="AL167" s="181">
        <f t="shared" si="323"/>
        <v>0</v>
      </c>
      <c r="AM167" s="181">
        <f>SUMIFS('1-2 人员岗位信息'!I:I,'1-2 人员岗位信息'!$C:$C,"劳务派遣",'1-2 人员岗位信息'!$B:$B,$D167)</f>
        <v>0</v>
      </c>
      <c r="AN167" s="304"/>
      <c r="AO167" s="181">
        <f t="shared" si="324"/>
        <v>0</v>
      </c>
      <c r="AP167" s="181">
        <f>SUMIFS('1-2 人员岗位信息'!J:J,'1-2 人员岗位信息'!$C:$C,"劳务派遣",'1-2 人员岗位信息'!$B:$B,$D167)</f>
        <v>0</v>
      </c>
      <c r="AQ167" s="304"/>
      <c r="AR167" s="181">
        <f t="shared" si="325"/>
        <v>0</v>
      </c>
      <c r="AS167" s="181">
        <f>SUMIFS('1-2 人员岗位信息'!K:K,'1-2 人员岗位信息'!$C:$C,"劳务派遣",'1-2 人员岗位信息'!$B:$B,$D167)</f>
        <v>0</v>
      </c>
      <c r="AT167" s="304"/>
      <c r="AU167" s="181">
        <f t="shared" si="326"/>
        <v>0</v>
      </c>
      <c r="AV167" s="181">
        <f>SUMIFS('1-2 人员岗位信息'!L:L,'1-2 人员岗位信息'!$C:$C,"劳务派遣",'1-2 人员岗位信息'!$B:$B,$D167)</f>
        <v>0</v>
      </c>
      <c r="AW167" s="304"/>
      <c r="AX167" s="181">
        <f t="shared" si="327"/>
        <v>0</v>
      </c>
      <c r="AY167" s="181">
        <f>SUMIFS('1-2 人员岗位信息'!M:M,'1-2 人员岗位信息'!$C:$C,"劳务派遣",'1-2 人员岗位信息'!$B:$B,$D167)</f>
        <v>0</v>
      </c>
      <c r="AZ167" s="304"/>
      <c r="BA167" s="181">
        <f t="shared" si="328"/>
        <v>0</v>
      </c>
      <c r="BB167" s="181">
        <f>SUMIFS('1-2 人员岗位信息'!N:N,'1-2 人员岗位信息'!$C:$C,"劳务派遣",'1-2 人员岗位信息'!$B:$B,$D167)</f>
        <v>0</v>
      </c>
      <c r="BC167" s="304"/>
      <c r="BD167" s="181">
        <f t="shared" si="329"/>
        <v>0</v>
      </c>
      <c r="BE167" s="181">
        <f>SUMIFS('1-2 人员岗位信息'!O:O,'1-2 人员岗位信息'!$C:$C,"劳务派遣",'1-2 人员岗位信息'!$B:$B,$D167)</f>
        <v>0</v>
      </c>
      <c r="BF167" s="304"/>
      <c r="BG167" s="181">
        <f t="shared" si="330"/>
        <v>0</v>
      </c>
      <c r="BH167" s="181">
        <f>SUMIFS('1-2 人员岗位信息'!P:P,'1-2 人员岗位信息'!$C:$C,"劳务派遣",'1-2 人员岗位信息'!$B:$B,$D167)</f>
        <v>0</v>
      </c>
      <c r="BI167" s="304"/>
      <c r="BJ167" s="181">
        <f t="shared" si="331"/>
        <v>0</v>
      </c>
      <c r="BK167" s="181">
        <f>SUMIFS('1-2 人员岗位信息'!Q:Q,'1-2 人员岗位信息'!$C:$C,"劳务派遣",'1-2 人员岗位信息'!$B:$B,$D167)</f>
        <v>0</v>
      </c>
      <c r="BL167" s="313"/>
      <c r="BM167" s="317"/>
      <c r="BN167" s="321"/>
    </row>
    <row r="168" s="269" customFormat="1" ht="33.95" hidden="1" customHeight="1" outlineLevel="5" spans="2:66">
      <c r="B168" s="181" t="s">
        <v>792</v>
      </c>
      <c r="C168" s="289" t="s">
        <v>1077</v>
      </c>
      <c r="D168" s="269" t="s">
        <v>1068</v>
      </c>
      <c r="E168" s="181" t="s">
        <v>1078</v>
      </c>
      <c r="F168" s="181"/>
      <c r="G168" s="181" t="s">
        <v>796</v>
      </c>
      <c r="H168" s="181">
        <f t="shared" si="315"/>
        <v>0</v>
      </c>
      <c r="I168" s="181" t="s">
        <v>797</v>
      </c>
      <c r="J168" s="181" t="e">
        <f t="shared" si="316"/>
        <v>#DIV/0!</v>
      </c>
      <c r="K168" s="181" t="s">
        <v>798</v>
      </c>
      <c r="L168" s="181" t="e">
        <f t="shared" si="317"/>
        <v>#DIV/0!</v>
      </c>
      <c r="M168" s="181" t="s">
        <v>799</v>
      </c>
      <c r="N168" s="181">
        <f t="shared" si="318"/>
        <v>0</v>
      </c>
      <c r="O168" s="181"/>
      <c r="P168" s="296"/>
      <c r="Q168" s="296"/>
      <c r="R168" s="296"/>
      <c r="S168" s="296"/>
      <c r="T168" s="296"/>
      <c r="U168" s="296"/>
      <c r="V168" s="296"/>
      <c r="W168" s="296"/>
      <c r="X168" s="296"/>
      <c r="Y168" s="296"/>
      <c r="Z168" s="296"/>
      <c r="AA168" s="296"/>
      <c r="AB168" s="181">
        <f t="shared" si="319"/>
        <v>0</v>
      </c>
      <c r="AC168" s="181">
        <f t="shared" si="320"/>
        <v>0</v>
      </c>
      <c r="AD168" s="181">
        <f>SUMIFS('1-2 人员岗位信息'!F:F,'1-2 人员岗位信息'!$C:$C,"劳务派遣",'1-2 人员岗位信息'!$B:$B,$D168)</f>
        <v>0</v>
      </c>
      <c r="AE168" s="304"/>
      <c r="AF168" s="181">
        <f t="shared" si="321"/>
        <v>0</v>
      </c>
      <c r="AG168" s="181">
        <f>SUMIFS('1-2 人员岗位信息'!G:G,'1-2 人员岗位信息'!$C:$C,"劳务派遣",'1-2 人员岗位信息'!$B:$B,$D168)</f>
        <v>0</v>
      </c>
      <c r="AH168" s="304"/>
      <c r="AI168" s="181">
        <f t="shared" si="322"/>
        <v>0</v>
      </c>
      <c r="AJ168" s="181">
        <f>SUMIFS('1-2 人员岗位信息'!H:H,'1-2 人员岗位信息'!$C:$C,"劳务派遣",'1-2 人员岗位信息'!$B:$B,$D168)</f>
        <v>0</v>
      </c>
      <c r="AK168" s="304"/>
      <c r="AL168" s="181">
        <f t="shared" si="323"/>
        <v>0</v>
      </c>
      <c r="AM168" s="181">
        <f>SUMIFS('1-2 人员岗位信息'!I:I,'1-2 人员岗位信息'!$C:$C,"劳务派遣",'1-2 人员岗位信息'!$B:$B,$D168)</f>
        <v>0</v>
      </c>
      <c r="AN168" s="304"/>
      <c r="AO168" s="181">
        <f t="shared" si="324"/>
        <v>0</v>
      </c>
      <c r="AP168" s="181">
        <f>SUMIFS('1-2 人员岗位信息'!J:J,'1-2 人员岗位信息'!$C:$C,"劳务派遣",'1-2 人员岗位信息'!$B:$B,$D168)</f>
        <v>0</v>
      </c>
      <c r="AQ168" s="304"/>
      <c r="AR168" s="181">
        <f t="shared" si="325"/>
        <v>0</v>
      </c>
      <c r="AS168" s="181">
        <f>SUMIFS('1-2 人员岗位信息'!K:K,'1-2 人员岗位信息'!$C:$C,"劳务派遣",'1-2 人员岗位信息'!$B:$B,$D168)</f>
        <v>0</v>
      </c>
      <c r="AT168" s="304"/>
      <c r="AU168" s="181">
        <f t="shared" si="326"/>
        <v>0</v>
      </c>
      <c r="AV168" s="181">
        <f>SUMIFS('1-2 人员岗位信息'!L:L,'1-2 人员岗位信息'!$C:$C,"劳务派遣",'1-2 人员岗位信息'!$B:$B,$D168)</f>
        <v>0</v>
      </c>
      <c r="AW168" s="304"/>
      <c r="AX168" s="181">
        <f t="shared" si="327"/>
        <v>0</v>
      </c>
      <c r="AY168" s="181">
        <f>SUMIFS('1-2 人员岗位信息'!M:M,'1-2 人员岗位信息'!$C:$C,"劳务派遣",'1-2 人员岗位信息'!$B:$B,$D168)</f>
        <v>0</v>
      </c>
      <c r="AZ168" s="304"/>
      <c r="BA168" s="181">
        <f t="shared" si="328"/>
        <v>0</v>
      </c>
      <c r="BB168" s="181">
        <f>SUMIFS('1-2 人员岗位信息'!N:N,'1-2 人员岗位信息'!$C:$C,"劳务派遣",'1-2 人员岗位信息'!$B:$B,$D168)</f>
        <v>0</v>
      </c>
      <c r="BC168" s="304"/>
      <c r="BD168" s="181">
        <f t="shared" si="329"/>
        <v>0</v>
      </c>
      <c r="BE168" s="181">
        <f>SUMIFS('1-2 人员岗位信息'!O:O,'1-2 人员岗位信息'!$C:$C,"劳务派遣",'1-2 人员岗位信息'!$B:$B,$D168)</f>
        <v>0</v>
      </c>
      <c r="BF168" s="304"/>
      <c r="BG168" s="181">
        <f t="shared" si="330"/>
        <v>0</v>
      </c>
      <c r="BH168" s="181">
        <f>SUMIFS('1-2 人员岗位信息'!P:P,'1-2 人员岗位信息'!$C:$C,"劳务派遣",'1-2 人员岗位信息'!$B:$B,$D168)</f>
        <v>0</v>
      </c>
      <c r="BI168" s="304"/>
      <c r="BJ168" s="181">
        <f t="shared" si="331"/>
        <v>0</v>
      </c>
      <c r="BK168" s="181">
        <f>SUMIFS('1-2 人员岗位信息'!Q:Q,'1-2 人员岗位信息'!$C:$C,"劳务派遣",'1-2 人员岗位信息'!$B:$B,$D168)</f>
        <v>0</v>
      </c>
      <c r="BL168" s="313"/>
      <c r="BM168" s="317"/>
      <c r="BN168" s="321"/>
    </row>
    <row r="169" s="269" customFormat="1" ht="33.95" hidden="1" customHeight="1" outlineLevel="5" spans="2:66">
      <c r="B169" s="181" t="s">
        <v>792</v>
      </c>
      <c r="C169" s="289" t="s">
        <v>1079</v>
      </c>
      <c r="D169" s="269" t="s">
        <v>1071</v>
      </c>
      <c r="E169" s="181" t="s">
        <v>1080</v>
      </c>
      <c r="F169" s="181"/>
      <c r="G169" s="181" t="s">
        <v>796</v>
      </c>
      <c r="H169" s="181">
        <f t="shared" si="315"/>
        <v>0</v>
      </c>
      <c r="I169" s="181" t="s">
        <v>797</v>
      </c>
      <c r="J169" s="181" t="e">
        <f t="shared" si="316"/>
        <v>#DIV/0!</v>
      </c>
      <c r="K169" s="181" t="s">
        <v>798</v>
      </c>
      <c r="L169" s="181" t="e">
        <f t="shared" si="317"/>
        <v>#DIV/0!</v>
      </c>
      <c r="M169" s="181" t="s">
        <v>799</v>
      </c>
      <c r="N169" s="181">
        <f t="shared" si="318"/>
        <v>0</v>
      </c>
      <c r="O169" s="181"/>
      <c r="P169" s="296"/>
      <c r="Q169" s="296"/>
      <c r="R169" s="296"/>
      <c r="S169" s="296"/>
      <c r="T169" s="296"/>
      <c r="U169" s="296"/>
      <c r="V169" s="296"/>
      <c r="W169" s="296"/>
      <c r="X169" s="296"/>
      <c r="Y169" s="296"/>
      <c r="Z169" s="296"/>
      <c r="AA169" s="296"/>
      <c r="AB169" s="181">
        <f t="shared" si="319"/>
        <v>0</v>
      </c>
      <c r="AC169" s="181">
        <f t="shared" si="320"/>
        <v>0</v>
      </c>
      <c r="AD169" s="181">
        <f>SUMIFS('1-2 人员岗位信息'!F:F,'1-2 人员岗位信息'!$C:$C,"劳务派遣",'1-2 人员岗位信息'!$B:$B,$D169)</f>
        <v>0</v>
      </c>
      <c r="AE169" s="304"/>
      <c r="AF169" s="181">
        <f t="shared" si="321"/>
        <v>0</v>
      </c>
      <c r="AG169" s="181">
        <f>SUMIFS('1-2 人员岗位信息'!G:G,'1-2 人员岗位信息'!$C:$C,"劳务派遣",'1-2 人员岗位信息'!$B:$B,$D169)</f>
        <v>0</v>
      </c>
      <c r="AH169" s="304"/>
      <c r="AI169" s="181">
        <f t="shared" si="322"/>
        <v>0</v>
      </c>
      <c r="AJ169" s="181">
        <f>SUMIFS('1-2 人员岗位信息'!H:H,'1-2 人员岗位信息'!$C:$C,"劳务派遣",'1-2 人员岗位信息'!$B:$B,$D169)</f>
        <v>0</v>
      </c>
      <c r="AK169" s="304"/>
      <c r="AL169" s="181">
        <f t="shared" si="323"/>
        <v>0</v>
      </c>
      <c r="AM169" s="181">
        <f>SUMIFS('1-2 人员岗位信息'!I:I,'1-2 人员岗位信息'!$C:$C,"劳务派遣",'1-2 人员岗位信息'!$B:$B,$D169)</f>
        <v>0</v>
      </c>
      <c r="AN169" s="304"/>
      <c r="AO169" s="181">
        <f t="shared" si="324"/>
        <v>0</v>
      </c>
      <c r="AP169" s="181">
        <f>SUMIFS('1-2 人员岗位信息'!J:J,'1-2 人员岗位信息'!$C:$C,"劳务派遣",'1-2 人员岗位信息'!$B:$B,$D169)</f>
        <v>0</v>
      </c>
      <c r="AQ169" s="304"/>
      <c r="AR169" s="181">
        <f t="shared" si="325"/>
        <v>0</v>
      </c>
      <c r="AS169" s="181">
        <f>SUMIFS('1-2 人员岗位信息'!K:K,'1-2 人员岗位信息'!$C:$C,"劳务派遣",'1-2 人员岗位信息'!$B:$B,$D169)</f>
        <v>0</v>
      </c>
      <c r="AT169" s="304"/>
      <c r="AU169" s="181">
        <f t="shared" si="326"/>
        <v>0</v>
      </c>
      <c r="AV169" s="181">
        <f>SUMIFS('1-2 人员岗位信息'!L:L,'1-2 人员岗位信息'!$C:$C,"劳务派遣",'1-2 人员岗位信息'!$B:$B,$D169)</f>
        <v>0</v>
      </c>
      <c r="AW169" s="304"/>
      <c r="AX169" s="181">
        <f t="shared" si="327"/>
        <v>0</v>
      </c>
      <c r="AY169" s="181">
        <f>SUMIFS('1-2 人员岗位信息'!M:M,'1-2 人员岗位信息'!$C:$C,"劳务派遣",'1-2 人员岗位信息'!$B:$B,$D169)</f>
        <v>0</v>
      </c>
      <c r="AZ169" s="304"/>
      <c r="BA169" s="181">
        <f t="shared" si="328"/>
        <v>0</v>
      </c>
      <c r="BB169" s="181">
        <f>SUMIFS('1-2 人员岗位信息'!N:N,'1-2 人员岗位信息'!$C:$C,"劳务派遣",'1-2 人员岗位信息'!$B:$B,$D169)</f>
        <v>0</v>
      </c>
      <c r="BC169" s="304"/>
      <c r="BD169" s="181">
        <f t="shared" si="329"/>
        <v>0</v>
      </c>
      <c r="BE169" s="181">
        <f>SUMIFS('1-2 人员岗位信息'!O:O,'1-2 人员岗位信息'!$C:$C,"劳务派遣",'1-2 人员岗位信息'!$B:$B,$D169)</f>
        <v>0</v>
      </c>
      <c r="BF169" s="304"/>
      <c r="BG169" s="181">
        <f t="shared" si="330"/>
        <v>0</v>
      </c>
      <c r="BH169" s="181">
        <f>SUMIFS('1-2 人员岗位信息'!P:P,'1-2 人员岗位信息'!$C:$C,"劳务派遣",'1-2 人员岗位信息'!$B:$B,$D169)</f>
        <v>0</v>
      </c>
      <c r="BI169" s="304"/>
      <c r="BJ169" s="181">
        <f t="shared" si="331"/>
        <v>0</v>
      </c>
      <c r="BK169" s="181">
        <f>SUMIFS('1-2 人员岗位信息'!Q:Q,'1-2 人员岗位信息'!$C:$C,"劳务派遣",'1-2 人员岗位信息'!$B:$B,$D169)</f>
        <v>0</v>
      </c>
      <c r="BL169" s="313"/>
      <c r="BM169" s="317"/>
      <c r="BN169" s="321"/>
    </row>
    <row r="170" s="124" customFormat="1" ht="33.95" hidden="1" customHeight="1" outlineLevel="4" spans="2:66">
      <c r="B170" s="125" t="s">
        <v>787</v>
      </c>
      <c r="C170" s="126" t="s">
        <v>22</v>
      </c>
      <c r="D170" s="124" t="s">
        <v>23</v>
      </c>
      <c r="E170" s="125"/>
      <c r="F170" s="125"/>
      <c r="G170" s="125"/>
      <c r="H170" s="125">
        <f>SUM(H171:H174)</f>
        <v>0</v>
      </c>
      <c r="I170" s="125"/>
      <c r="J170" s="125"/>
      <c r="K170" s="125"/>
      <c r="L170" s="125"/>
      <c r="M170" s="125"/>
      <c r="N170" s="125"/>
      <c r="O170" s="125"/>
      <c r="P170" s="295"/>
      <c r="Q170" s="295"/>
      <c r="R170" s="295"/>
      <c r="S170" s="295"/>
      <c r="T170" s="295"/>
      <c r="U170" s="295"/>
      <c r="V170" s="295"/>
      <c r="W170" s="295"/>
      <c r="X170" s="295"/>
      <c r="Y170" s="295"/>
      <c r="Z170" s="295"/>
      <c r="AA170" s="295"/>
      <c r="AB170" s="125">
        <f t="shared" ref="AB170:AF170" si="332">SUM(AB171:AB174)</f>
        <v>0</v>
      </c>
      <c r="AC170" s="125">
        <f t="shared" si="332"/>
        <v>0</v>
      </c>
      <c r="AD170" s="125"/>
      <c r="AE170" s="125"/>
      <c r="AF170" s="125">
        <f t="shared" si="332"/>
        <v>0</v>
      </c>
      <c r="AG170" s="125"/>
      <c r="AH170" s="125"/>
      <c r="AI170" s="125">
        <f>SUM(AI171:AI174)</f>
        <v>0</v>
      </c>
      <c r="AJ170" s="125"/>
      <c r="AK170" s="125"/>
      <c r="AL170" s="125">
        <f>SUM(AL171:AL174)</f>
        <v>0</v>
      </c>
      <c r="AM170" s="125"/>
      <c r="AN170" s="125"/>
      <c r="AO170" s="125">
        <f>SUM(AO171:AO174)</f>
        <v>0</v>
      </c>
      <c r="AP170" s="125"/>
      <c r="AQ170" s="125"/>
      <c r="AR170" s="125">
        <f>SUM(AR171:AR174)</f>
        <v>0</v>
      </c>
      <c r="AS170" s="125"/>
      <c r="AT170" s="125"/>
      <c r="AU170" s="125">
        <f>SUM(AU171:AU174)</f>
        <v>0</v>
      </c>
      <c r="AV170" s="125"/>
      <c r="AW170" s="125"/>
      <c r="AX170" s="125">
        <f>SUM(AX171:AX174)</f>
        <v>0</v>
      </c>
      <c r="AY170" s="125"/>
      <c r="AZ170" s="125"/>
      <c r="BA170" s="125">
        <f>SUM(BA171:BA174)</f>
        <v>0</v>
      </c>
      <c r="BB170" s="125"/>
      <c r="BC170" s="125"/>
      <c r="BD170" s="125">
        <f>SUM(BD171:BD174)</f>
        <v>0</v>
      </c>
      <c r="BE170" s="125"/>
      <c r="BF170" s="125"/>
      <c r="BG170" s="125">
        <f>SUM(BG171:BG174)</f>
        <v>0</v>
      </c>
      <c r="BH170" s="125"/>
      <c r="BI170" s="125"/>
      <c r="BJ170" s="125">
        <f>SUM(BJ171:BJ174)</f>
        <v>0</v>
      </c>
      <c r="BK170" s="125"/>
      <c r="BL170" s="312"/>
      <c r="BM170" s="317"/>
      <c r="BN170" s="320"/>
    </row>
    <row r="171" s="269" customFormat="1" ht="33.95" hidden="1" customHeight="1" outlineLevel="5" spans="2:66">
      <c r="B171" s="181" t="s">
        <v>792</v>
      </c>
      <c r="C171" s="289" t="s">
        <v>1081</v>
      </c>
      <c r="D171" s="269" t="s">
        <v>1062</v>
      </c>
      <c r="E171" s="181" t="s">
        <v>1082</v>
      </c>
      <c r="F171" s="181"/>
      <c r="G171" s="181" t="s">
        <v>796</v>
      </c>
      <c r="H171" s="181">
        <f t="shared" ref="H171:H175" si="333">AB171</f>
        <v>0</v>
      </c>
      <c r="I171" s="181" t="s">
        <v>797</v>
      </c>
      <c r="J171" s="181" t="e">
        <f t="shared" ref="J171:J175" si="334">SUM(AD171,AG171,AJ171,AM171,AP171,AS171,AV171,AY171,BB171,BE171,BH171,BK171)/N171</f>
        <v>#DIV/0!</v>
      </c>
      <c r="K171" s="181" t="s">
        <v>798</v>
      </c>
      <c r="L171" s="181" t="e">
        <f t="shared" ref="L171:L175" si="335">H171/N171/J171</f>
        <v>#DIV/0!</v>
      </c>
      <c r="M171" s="181" t="s">
        <v>799</v>
      </c>
      <c r="N171" s="181">
        <f t="shared" ref="N171:N175" si="336">COUNTIF(AD171,"&gt;0")+COUNTIF(AG171,"&gt;0")+COUNTIF(AJ171,"&gt;0")+COUNTIF(AM171,"&gt;0")+COUNTIF(AP171,"&gt;0")+COUNTIF(AS171,"&gt;0")+COUNTIF(AV171,"&gt;0")+COUNTIF(AY171,"&gt;0")+COUNTIF(BB171,"&gt;0")+COUNTIF(BE171,"&gt;0")+COUNTIF(BH171,"&gt;0")+COUNTIF(BK171,"&gt;0")</f>
        <v>0</v>
      </c>
      <c r="O171" s="181"/>
      <c r="P171" s="296"/>
      <c r="Q171" s="296"/>
      <c r="R171" s="296"/>
      <c r="S171" s="296"/>
      <c r="T171" s="296"/>
      <c r="U171" s="296"/>
      <c r="V171" s="296"/>
      <c r="W171" s="296"/>
      <c r="X171" s="296"/>
      <c r="Y171" s="296"/>
      <c r="Z171" s="296"/>
      <c r="AA171" s="296"/>
      <c r="AB171" s="181">
        <f t="shared" ref="AB171:AB175" si="337">SUM(AC171,AF171,AI171,AL171,AO171,AR171,AU171,AX171,BA171,BD171,BG171,BJ171)</f>
        <v>0</v>
      </c>
      <c r="AC171" s="181">
        <f t="shared" ref="AC171:AC175" si="338">AD171*AE171</f>
        <v>0</v>
      </c>
      <c r="AD171" s="181">
        <f>SUMIFS('1-2 人员岗位信息'!F:F,'1-2 人员岗位信息'!$C:$C,"专业外包",'1-2 人员岗位信息'!$B:$B,$D171)</f>
        <v>0</v>
      </c>
      <c r="AE171" s="304">
        <f>IFERROR(预算主表!P81/(12*AD171),0)</f>
        <v>0</v>
      </c>
      <c r="AF171" s="181">
        <f t="shared" ref="AF171:AF175" si="339">AG171*AH171</f>
        <v>0</v>
      </c>
      <c r="AG171" s="181">
        <f>SUMIFS('1-2 人员岗位信息'!G:G,'1-2 人员岗位信息'!$C:$C,"专业外包",'1-2 人员岗位信息'!$B:$B,$D171)</f>
        <v>0</v>
      </c>
      <c r="AH171" s="304">
        <f>AE171</f>
        <v>0</v>
      </c>
      <c r="AI171" s="181">
        <f t="shared" ref="AI171:AI175" si="340">AJ171*AK171</f>
        <v>0</v>
      </c>
      <c r="AJ171" s="181">
        <f>SUMIFS('1-2 人员岗位信息'!H:H,'1-2 人员岗位信息'!$C:$C,"专业外包",'1-2 人员岗位信息'!$B:$B,$D171)</f>
        <v>0</v>
      </c>
      <c r="AK171" s="304">
        <f>AE171</f>
        <v>0</v>
      </c>
      <c r="AL171" s="181">
        <f t="shared" ref="AL171:AL175" si="341">AM171*AN171</f>
        <v>0</v>
      </c>
      <c r="AM171" s="181">
        <f>SUMIFS('1-2 人员岗位信息'!I:I,'1-2 人员岗位信息'!$C:$C,"专业外包",'1-2 人员岗位信息'!$B:$B,$D171)</f>
        <v>0</v>
      </c>
      <c r="AN171" s="304">
        <f>AE171</f>
        <v>0</v>
      </c>
      <c r="AO171" s="181">
        <f t="shared" ref="AO171:AO175" si="342">AP171*AQ171</f>
        <v>0</v>
      </c>
      <c r="AP171" s="181">
        <f>SUMIFS('1-2 人员岗位信息'!J:J,'1-2 人员岗位信息'!$C:$C,"专业外包",'1-2 人员岗位信息'!$B:$B,$D171)</f>
        <v>0</v>
      </c>
      <c r="AQ171" s="304">
        <f>AE171</f>
        <v>0</v>
      </c>
      <c r="AR171" s="181">
        <f t="shared" ref="AR171:AR175" si="343">AS171*AT171</f>
        <v>0</v>
      </c>
      <c r="AS171" s="181">
        <f>SUMIFS('1-2 人员岗位信息'!K:K,'1-2 人员岗位信息'!$C:$C,"专业外包",'1-2 人员岗位信息'!$B:$B,$D171)</f>
        <v>0</v>
      </c>
      <c r="AT171" s="304">
        <f>AE171</f>
        <v>0</v>
      </c>
      <c r="AU171" s="181">
        <f t="shared" ref="AU171:AU175" si="344">AV171*AW171</f>
        <v>0</v>
      </c>
      <c r="AV171" s="181">
        <f>SUMIFS('1-2 人员岗位信息'!L:L,'1-2 人员岗位信息'!$C:$C,"专业外包",'1-2 人员岗位信息'!$B:$B,$D171)</f>
        <v>0</v>
      </c>
      <c r="AW171" s="304">
        <f>AE171</f>
        <v>0</v>
      </c>
      <c r="AX171" s="181">
        <f t="shared" ref="AX171:AX175" si="345">AY171*AZ171</f>
        <v>0</v>
      </c>
      <c r="AY171" s="181">
        <f>SUMIFS('1-2 人员岗位信息'!M:M,'1-2 人员岗位信息'!$C:$C,"专业外包",'1-2 人员岗位信息'!$B:$B,$D171)</f>
        <v>0</v>
      </c>
      <c r="AZ171" s="304">
        <f>AE171</f>
        <v>0</v>
      </c>
      <c r="BA171" s="181">
        <f t="shared" ref="BA171:BA175" si="346">BB171*BC171</f>
        <v>0</v>
      </c>
      <c r="BB171" s="181">
        <f>SUMIFS('1-2 人员岗位信息'!N:N,'1-2 人员岗位信息'!$C:$C,"专业外包",'1-2 人员岗位信息'!$B:$B,$D171)</f>
        <v>0</v>
      </c>
      <c r="BC171" s="304">
        <f>AE171</f>
        <v>0</v>
      </c>
      <c r="BD171" s="181">
        <f t="shared" ref="BD171:BD175" si="347">BE171*BF171</f>
        <v>0</v>
      </c>
      <c r="BE171" s="181">
        <f>SUMIFS('1-2 人员岗位信息'!O:O,'1-2 人员岗位信息'!$C:$C,"专业外包",'1-2 人员岗位信息'!$B:$B,$D171)</f>
        <v>0</v>
      </c>
      <c r="BF171" s="304">
        <f>AE171</f>
        <v>0</v>
      </c>
      <c r="BG171" s="181">
        <f t="shared" ref="BG171:BG175" si="348">BH171*BI171</f>
        <v>0</v>
      </c>
      <c r="BH171" s="181">
        <f>SUMIFS('1-2 人员岗位信息'!P:P,'1-2 人员岗位信息'!$C:$C,"专业外包",'1-2 人员岗位信息'!$B:$B,$D171)</f>
        <v>0</v>
      </c>
      <c r="BI171" s="304">
        <f>AE171</f>
        <v>0</v>
      </c>
      <c r="BJ171" s="181">
        <f t="shared" ref="BJ171:BJ175" si="349">BK171*BL171</f>
        <v>0</v>
      </c>
      <c r="BK171" s="181">
        <f>SUMIFS('1-2 人员岗位信息'!Q:Q,'1-2 人员岗位信息'!$C:$C,"专业外包",'1-2 人员岗位信息'!$B:$B,$D171)</f>
        <v>0</v>
      </c>
      <c r="BL171" s="313">
        <f>AE171</f>
        <v>0</v>
      </c>
      <c r="BM171" s="317"/>
      <c r="BN171" s="321"/>
    </row>
    <row r="172" s="269" customFormat="1" ht="33.95" hidden="1" customHeight="1" outlineLevel="5" spans="2:66">
      <c r="B172" s="181" t="s">
        <v>792</v>
      </c>
      <c r="C172" s="289" t="s">
        <v>1083</v>
      </c>
      <c r="D172" s="269" t="s">
        <v>1065</v>
      </c>
      <c r="E172" s="181" t="s">
        <v>1084</v>
      </c>
      <c r="F172" s="181"/>
      <c r="G172" s="181" t="s">
        <v>796</v>
      </c>
      <c r="H172" s="181">
        <f t="shared" si="333"/>
        <v>0</v>
      </c>
      <c r="I172" s="181" t="s">
        <v>797</v>
      </c>
      <c r="J172" s="181" t="e">
        <f t="shared" si="334"/>
        <v>#DIV/0!</v>
      </c>
      <c r="K172" s="181" t="s">
        <v>798</v>
      </c>
      <c r="L172" s="181" t="e">
        <f t="shared" si="335"/>
        <v>#DIV/0!</v>
      </c>
      <c r="M172" s="181" t="s">
        <v>799</v>
      </c>
      <c r="N172" s="181">
        <f t="shared" si="336"/>
        <v>0</v>
      </c>
      <c r="O172" s="181"/>
      <c r="P172" s="296"/>
      <c r="Q172" s="296"/>
      <c r="R172" s="296"/>
      <c r="S172" s="296"/>
      <c r="T172" s="296"/>
      <c r="U172" s="296"/>
      <c r="V172" s="296"/>
      <c r="W172" s="296"/>
      <c r="X172" s="296"/>
      <c r="Y172" s="296"/>
      <c r="Z172" s="296"/>
      <c r="AA172" s="296"/>
      <c r="AB172" s="181">
        <f t="shared" si="337"/>
        <v>0</v>
      </c>
      <c r="AC172" s="181">
        <f t="shared" si="338"/>
        <v>0</v>
      </c>
      <c r="AD172" s="181">
        <f>SUMIFS('1-2 人员岗位信息'!F:F,'1-2 人员岗位信息'!$C:$C,"专业外包",'1-2 人员岗位信息'!$B:$B,$D172)</f>
        <v>0</v>
      </c>
      <c r="AE172" s="304">
        <f>IFERROR(预算主表!P81/(12*AD172),0)</f>
        <v>0</v>
      </c>
      <c r="AF172" s="181">
        <f t="shared" si="339"/>
        <v>0</v>
      </c>
      <c r="AG172" s="181">
        <f>SUMIFS('1-2 人员岗位信息'!G:G,'1-2 人员岗位信息'!$C:$C,"专业外包",'1-2 人员岗位信息'!$B:$B,$D172)</f>
        <v>0</v>
      </c>
      <c r="AH172" s="304">
        <f>AE172</f>
        <v>0</v>
      </c>
      <c r="AI172" s="181">
        <f t="shared" si="340"/>
        <v>0</v>
      </c>
      <c r="AJ172" s="181">
        <f>SUMIFS('1-2 人员岗位信息'!H:H,'1-2 人员岗位信息'!$C:$C,"专业外包",'1-2 人员岗位信息'!$B:$B,$D172)</f>
        <v>0</v>
      </c>
      <c r="AK172" s="304">
        <f>AE172</f>
        <v>0</v>
      </c>
      <c r="AL172" s="181">
        <f t="shared" si="341"/>
        <v>0</v>
      </c>
      <c r="AM172" s="181">
        <f>SUMIFS('1-2 人员岗位信息'!I:I,'1-2 人员岗位信息'!$C:$C,"专业外包",'1-2 人员岗位信息'!$B:$B,$D172)</f>
        <v>0</v>
      </c>
      <c r="AN172" s="304">
        <f>AE172</f>
        <v>0</v>
      </c>
      <c r="AO172" s="181">
        <f t="shared" si="342"/>
        <v>0</v>
      </c>
      <c r="AP172" s="181">
        <f>SUMIFS('1-2 人员岗位信息'!J:J,'1-2 人员岗位信息'!$C:$C,"专业外包",'1-2 人员岗位信息'!$B:$B,$D172)</f>
        <v>0</v>
      </c>
      <c r="AQ172" s="304">
        <f>AE172</f>
        <v>0</v>
      </c>
      <c r="AR172" s="181">
        <f t="shared" si="343"/>
        <v>0</v>
      </c>
      <c r="AS172" s="181">
        <f>SUMIFS('1-2 人员岗位信息'!K:K,'1-2 人员岗位信息'!$C:$C,"专业外包",'1-2 人员岗位信息'!$B:$B,$D172)</f>
        <v>0</v>
      </c>
      <c r="AT172" s="304">
        <f>AE172</f>
        <v>0</v>
      </c>
      <c r="AU172" s="181">
        <f t="shared" si="344"/>
        <v>0</v>
      </c>
      <c r="AV172" s="181">
        <f>SUMIFS('1-2 人员岗位信息'!L:L,'1-2 人员岗位信息'!$C:$C,"专业外包",'1-2 人员岗位信息'!$B:$B,$D172)</f>
        <v>0</v>
      </c>
      <c r="AW172" s="304">
        <f>AE172</f>
        <v>0</v>
      </c>
      <c r="AX172" s="181">
        <f t="shared" si="345"/>
        <v>0</v>
      </c>
      <c r="AY172" s="181">
        <f>SUMIFS('1-2 人员岗位信息'!M:M,'1-2 人员岗位信息'!$C:$C,"专业外包",'1-2 人员岗位信息'!$B:$B,$D172)</f>
        <v>0</v>
      </c>
      <c r="AZ172" s="304">
        <f>AE172</f>
        <v>0</v>
      </c>
      <c r="BA172" s="181">
        <f t="shared" si="346"/>
        <v>0</v>
      </c>
      <c r="BB172" s="181">
        <f>SUMIFS('1-2 人员岗位信息'!N:N,'1-2 人员岗位信息'!$C:$C,"专业外包",'1-2 人员岗位信息'!$B:$B,$D172)</f>
        <v>0</v>
      </c>
      <c r="BC172" s="304">
        <f>AE172</f>
        <v>0</v>
      </c>
      <c r="BD172" s="181">
        <f t="shared" si="347"/>
        <v>0</v>
      </c>
      <c r="BE172" s="181">
        <f>SUMIFS('1-2 人员岗位信息'!O:O,'1-2 人员岗位信息'!$C:$C,"专业外包",'1-2 人员岗位信息'!$B:$B,$D172)</f>
        <v>0</v>
      </c>
      <c r="BF172" s="304">
        <f>AE172</f>
        <v>0</v>
      </c>
      <c r="BG172" s="181">
        <f t="shared" si="348"/>
        <v>0</v>
      </c>
      <c r="BH172" s="181">
        <f>SUMIFS('1-2 人员岗位信息'!P:P,'1-2 人员岗位信息'!$C:$C,"专业外包",'1-2 人员岗位信息'!$B:$B,$D172)</f>
        <v>0</v>
      </c>
      <c r="BI172" s="304">
        <f>AE172</f>
        <v>0</v>
      </c>
      <c r="BJ172" s="181">
        <f t="shared" si="349"/>
        <v>0</v>
      </c>
      <c r="BK172" s="181">
        <f>SUMIFS('1-2 人员岗位信息'!Q:Q,'1-2 人员岗位信息'!$C:$C,"专业外包",'1-2 人员岗位信息'!$B:$B,$D172)</f>
        <v>0</v>
      </c>
      <c r="BL172" s="313">
        <f>AE172</f>
        <v>0</v>
      </c>
      <c r="BM172" s="317"/>
      <c r="BN172" s="321"/>
    </row>
    <row r="173" s="269" customFormat="1" ht="33.95" hidden="1" customHeight="1" outlineLevel="5" spans="2:66">
      <c r="B173" s="181" t="s">
        <v>792</v>
      </c>
      <c r="C173" s="289" t="s">
        <v>1085</v>
      </c>
      <c r="D173" s="269" t="s">
        <v>1068</v>
      </c>
      <c r="E173" s="181" t="s">
        <v>1086</v>
      </c>
      <c r="F173" s="181"/>
      <c r="G173" s="181" t="s">
        <v>796</v>
      </c>
      <c r="H173" s="181">
        <f t="shared" si="333"/>
        <v>0</v>
      </c>
      <c r="I173" s="181" t="s">
        <v>797</v>
      </c>
      <c r="J173" s="181" t="e">
        <f t="shared" si="334"/>
        <v>#DIV/0!</v>
      </c>
      <c r="K173" s="181" t="s">
        <v>798</v>
      </c>
      <c r="L173" s="181" t="e">
        <f t="shared" si="335"/>
        <v>#DIV/0!</v>
      </c>
      <c r="M173" s="181" t="s">
        <v>799</v>
      </c>
      <c r="N173" s="181">
        <f t="shared" si="336"/>
        <v>0</v>
      </c>
      <c r="O173" s="181"/>
      <c r="P173" s="296"/>
      <c r="Q173" s="296"/>
      <c r="R173" s="296"/>
      <c r="S173" s="296"/>
      <c r="T173" s="296"/>
      <c r="U173" s="296"/>
      <c r="V173" s="296"/>
      <c r="W173" s="296"/>
      <c r="X173" s="296"/>
      <c r="Y173" s="296"/>
      <c r="Z173" s="296"/>
      <c r="AA173" s="296"/>
      <c r="AB173" s="181">
        <f t="shared" si="337"/>
        <v>0</v>
      </c>
      <c r="AC173" s="181">
        <f t="shared" si="338"/>
        <v>0</v>
      </c>
      <c r="AD173" s="181">
        <f>SUMIFS('1-2 人员岗位信息'!F:F,'1-2 人员岗位信息'!$C:$C,"专业外包",'1-2 人员岗位信息'!$B:$B,$D173)</f>
        <v>0</v>
      </c>
      <c r="AE173" s="304"/>
      <c r="AF173" s="181">
        <f t="shared" si="339"/>
        <v>0</v>
      </c>
      <c r="AG173" s="181">
        <f>SUMIFS('1-2 人员岗位信息'!G:G,'1-2 人员岗位信息'!$C:$C,"专业外包",'1-2 人员岗位信息'!$B:$B,$D173)</f>
        <v>0</v>
      </c>
      <c r="AH173" s="304"/>
      <c r="AI173" s="181">
        <f t="shared" si="340"/>
        <v>0</v>
      </c>
      <c r="AJ173" s="181">
        <f>SUMIFS('1-2 人员岗位信息'!H:H,'1-2 人员岗位信息'!$C:$C,"专业外包",'1-2 人员岗位信息'!$B:$B,$D173)</f>
        <v>0</v>
      </c>
      <c r="AK173" s="304"/>
      <c r="AL173" s="181">
        <f t="shared" si="341"/>
        <v>0</v>
      </c>
      <c r="AM173" s="181">
        <f>SUMIFS('1-2 人员岗位信息'!I:I,'1-2 人员岗位信息'!$C:$C,"专业外包",'1-2 人员岗位信息'!$B:$B,$D173)</f>
        <v>0</v>
      </c>
      <c r="AN173" s="304"/>
      <c r="AO173" s="181">
        <f t="shared" si="342"/>
        <v>0</v>
      </c>
      <c r="AP173" s="181">
        <f>SUMIFS('1-2 人员岗位信息'!J:J,'1-2 人员岗位信息'!$C:$C,"专业外包",'1-2 人员岗位信息'!$B:$B,$D173)</f>
        <v>0</v>
      </c>
      <c r="AQ173" s="304"/>
      <c r="AR173" s="181">
        <f t="shared" si="343"/>
        <v>0</v>
      </c>
      <c r="AS173" s="181">
        <f>SUMIFS('1-2 人员岗位信息'!K:K,'1-2 人员岗位信息'!$C:$C,"专业外包",'1-2 人员岗位信息'!$B:$B,$D173)</f>
        <v>0</v>
      </c>
      <c r="AT173" s="304"/>
      <c r="AU173" s="181">
        <f t="shared" si="344"/>
        <v>0</v>
      </c>
      <c r="AV173" s="181">
        <f>SUMIFS('1-2 人员岗位信息'!L:L,'1-2 人员岗位信息'!$C:$C,"专业外包",'1-2 人员岗位信息'!$B:$B,$D173)</f>
        <v>0</v>
      </c>
      <c r="AW173" s="304"/>
      <c r="AX173" s="181">
        <f t="shared" si="345"/>
        <v>0</v>
      </c>
      <c r="AY173" s="181">
        <f>SUMIFS('1-2 人员岗位信息'!M:M,'1-2 人员岗位信息'!$C:$C,"专业外包",'1-2 人员岗位信息'!$B:$B,$D173)</f>
        <v>0</v>
      </c>
      <c r="AZ173" s="304"/>
      <c r="BA173" s="181">
        <f t="shared" si="346"/>
        <v>0</v>
      </c>
      <c r="BB173" s="181">
        <f>SUMIFS('1-2 人员岗位信息'!N:N,'1-2 人员岗位信息'!$C:$C,"专业外包",'1-2 人员岗位信息'!$B:$B,$D173)</f>
        <v>0</v>
      </c>
      <c r="BC173" s="304"/>
      <c r="BD173" s="181">
        <f t="shared" si="347"/>
        <v>0</v>
      </c>
      <c r="BE173" s="181">
        <f>SUMIFS('1-2 人员岗位信息'!O:O,'1-2 人员岗位信息'!$C:$C,"专业外包",'1-2 人员岗位信息'!$B:$B,$D173)</f>
        <v>0</v>
      </c>
      <c r="BF173" s="304"/>
      <c r="BG173" s="181">
        <f t="shared" si="348"/>
        <v>0</v>
      </c>
      <c r="BH173" s="181">
        <f>SUMIFS('1-2 人员岗位信息'!P:P,'1-2 人员岗位信息'!$C:$C,"专业外包",'1-2 人员岗位信息'!$B:$B,$D173)</f>
        <v>0</v>
      </c>
      <c r="BI173" s="304"/>
      <c r="BJ173" s="181">
        <f t="shared" si="349"/>
        <v>0</v>
      </c>
      <c r="BK173" s="181">
        <f>SUMIFS('1-2 人员岗位信息'!Q:Q,'1-2 人员岗位信息'!$C:$C,"专业外包",'1-2 人员岗位信息'!$B:$B,$D173)</f>
        <v>0</v>
      </c>
      <c r="BL173" s="313"/>
      <c r="BM173" s="317"/>
      <c r="BN173" s="321"/>
    </row>
    <row r="174" s="269" customFormat="1" ht="33.95" hidden="1" customHeight="1" outlineLevel="5" spans="2:66">
      <c r="B174" s="181" t="s">
        <v>792</v>
      </c>
      <c r="C174" s="289" t="s">
        <v>1087</v>
      </c>
      <c r="D174" s="269" t="s">
        <v>1071</v>
      </c>
      <c r="E174" s="181" t="s">
        <v>1088</v>
      </c>
      <c r="F174" s="181"/>
      <c r="G174" s="181" t="s">
        <v>796</v>
      </c>
      <c r="H174" s="181">
        <f t="shared" si="333"/>
        <v>0</v>
      </c>
      <c r="I174" s="181" t="s">
        <v>797</v>
      </c>
      <c r="J174" s="181" t="e">
        <f t="shared" si="334"/>
        <v>#DIV/0!</v>
      </c>
      <c r="K174" s="181" t="s">
        <v>798</v>
      </c>
      <c r="L174" s="181" t="e">
        <f t="shared" si="335"/>
        <v>#DIV/0!</v>
      </c>
      <c r="M174" s="181" t="s">
        <v>799</v>
      </c>
      <c r="N174" s="181">
        <f t="shared" si="336"/>
        <v>0</v>
      </c>
      <c r="O174" s="181"/>
      <c r="P174" s="296"/>
      <c r="Q174" s="296"/>
      <c r="R174" s="296"/>
      <c r="S174" s="296"/>
      <c r="T174" s="296"/>
      <c r="U174" s="296"/>
      <c r="V174" s="296"/>
      <c r="W174" s="296"/>
      <c r="X174" s="296"/>
      <c r="Y174" s="296"/>
      <c r="Z174" s="296"/>
      <c r="AA174" s="296"/>
      <c r="AB174" s="181">
        <f t="shared" si="337"/>
        <v>0</v>
      </c>
      <c r="AC174" s="181">
        <f t="shared" si="338"/>
        <v>0</v>
      </c>
      <c r="AD174" s="181">
        <f>SUMIFS('1-2 人员岗位信息'!F:F,'1-2 人员岗位信息'!$C:$C,"专业外包",'1-2 人员岗位信息'!$B:$B,$D174)</f>
        <v>0</v>
      </c>
      <c r="AE174" s="304"/>
      <c r="AF174" s="181">
        <f t="shared" si="339"/>
        <v>0</v>
      </c>
      <c r="AG174" s="181">
        <f>SUMIFS('1-2 人员岗位信息'!G:G,'1-2 人员岗位信息'!$C:$C,"专业外包",'1-2 人员岗位信息'!$B:$B,$D174)</f>
        <v>0</v>
      </c>
      <c r="AH174" s="304"/>
      <c r="AI174" s="181">
        <f t="shared" si="340"/>
        <v>0</v>
      </c>
      <c r="AJ174" s="181">
        <f>SUMIFS('1-2 人员岗位信息'!H:H,'1-2 人员岗位信息'!$C:$C,"专业外包",'1-2 人员岗位信息'!$B:$B,$D174)</f>
        <v>0</v>
      </c>
      <c r="AK174" s="304"/>
      <c r="AL174" s="181">
        <f t="shared" si="341"/>
        <v>0</v>
      </c>
      <c r="AM174" s="181">
        <f>SUMIFS('1-2 人员岗位信息'!I:I,'1-2 人员岗位信息'!$C:$C,"专业外包",'1-2 人员岗位信息'!$B:$B,$D174)</f>
        <v>0</v>
      </c>
      <c r="AN174" s="304"/>
      <c r="AO174" s="181">
        <f t="shared" si="342"/>
        <v>0</v>
      </c>
      <c r="AP174" s="181">
        <f>SUMIFS('1-2 人员岗位信息'!J:J,'1-2 人员岗位信息'!$C:$C,"专业外包",'1-2 人员岗位信息'!$B:$B,$D174)</f>
        <v>0</v>
      </c>
      <c r="AQ174" s="304"/>
      <c r="AR174" s="181">
        <f t="shared" si="343"/>
        <v>0</v>
      </c>
      <c r="AS174" s="181">
        <f>SUMIFS('1-2 人员岗位信息'!K:K,'1-2 人员岗位信息'!$C:$C,"专业外包",'1-2 人员岗位信息'!$B:$B,$D174)</f>
        <v>0</v>
      </c>
      <c r="AT174" s="304"/>
      <c r="AU174" s="181">
        <f t="shared" si="344"/>
        <v>0</v>
      </c>
      <c r="AV174" s="181">
        <f>SUMIFS('1-2 人员岗位信息'!L:L,'1-2 人员岗位信息'!$C:$C,"专业外包",'1-2 人员岗位信息'!$B:$B,$D174)</f>
        <v>0</v>
      </c>
      <c r="AW174" s="304"/>
      <c r="AX174" s="181">
        <f t="shared" si="345"/>
        <v>0</v>
      </c>
      <c r="AY174" s="181">
        <f>SUMIFS('1-2 人员岗位信息'!M:M,'1-2 人员岗位信息'!$C:$C,"专业外包",'1-2 人员岗位信息'!$B:$B,$D174)</f>
        <v>0</v>
      </c>
      <c r="AZ174" s="304"/>
      <c r="BA174" s="181">
        <f t="shared" si="346"/>
        <v>0</v>
      </c>
      <c r="BB174" s="181">
        <f>SUMIFS('1-2 人员岗位信息'!N:N,'1-2 人员岗位信息'!$C:$C,"专业外包",'1-2 人员岗位信息'!$B:$B,$D174)</f>
        <v>0</v>
      </c>
      <c r="BC174" s="304"/>
      <c r="BD174" s="181">
        <f t="shared" si="347"/>
        <v>0</v>
      </c>
      <c r="BE174" s="181">
        <f>SUMIFS('1-2 人员岗位信息'!O:O,'1-2 人员岗位信息'!$C:$C,"专业外包",'1-2 人员岗位信息'!$B:$B,$D174)</f>
        <v>0</v>
      </c>
      <c r="BF174" s="304"/>
      <c r="BG174" s="181">
        <f t="shared" si="348"/>
        <v>0</v>
      </c>
      <c r="BH174" s="181">
        <f>SUMIFS('1-2 人员岗位信息'!P:P,'1-2 人员岗位信息'!$C:$C,"专业外包",'1-2 人员岗位信息'!$B:$B,$D174)</f>
        <v>0</v>
      </c>
      <c r="BI174" s="304"/>
      <c r="BJ174" s="181">
        <f t="shared" si="349"/>
        <v>0</v>
      </c>
      <c r="BK174" s="181">
        <f>SUMIFS('1-2 人员岗位信息'!Q:Q,'1-2 人员岗位信息'!$C:$C,"专业外包",'1-2 人员岗位信息'!$B:$B,$D174)</f>
        <v>0</v>
      </c>
      <c r="BL174" s="313"/>
      <c r="BM174" s="317"/>
      <c r="BN174" s="321"/>
    </row>
    <row r="175" s="124" customFormat="1" ht="33.95" hidden="1" customHeight="1" outlineLevel="4" spans="2:66">
      <c r="B175" s="125" t="s">
        <v>792</v>
      </c>
      <c r="C175" s="126" t="s">
        <v>24</v>
      </c>
      <c r="D175" s="124" t="s">
        <v>25</v>
      </c>
      <c r="E175" s="125"/>
      <c r="F175" s="125"/>
      <c r="G175" s="125"/>
      <c r="H175" s="125">
        <f t="shared" si="333"/>
        <v>0</v>
      </c>
      <c r="I175" s="125" t="s">
        <v>1089</v>
      </c>
      <c r="J175" s="125" t="e">
        <f t="shared" si="334"/>
        <v>#DIV/0!</v>
      </c>
      <c r="K175" s="125" t="s">
        <v>1026</v>
      </c>
      <c r="L175" s="125" t="e">
        <f t="shared" si="335"/>
        <v>#DIV/0!</v>
      </c>
      <c r="M175" s="125" t="s">
        <v>799</v>
      </c>
      <c r="N175" s="125">
        <f t="shared" si="336"/>
        <v>0</v>
      </c>
      <c r="O175" s="125"/>
      <c r="P175" s="295"/>
      <c r="Q175" s="295"/>
      <c r="R175" s="295"/>
      <c r="S175" s="295"/>
      <c r="T175" s="295"/>
      <c r="U175" s="295"/>
      <c r="V175" s="295"/>
      <c r="W175" s="295"/>
      <c r="X175" s="295"/>
      <c r="Y175" s="295"/>
      <c r="Z175" s="295"/>
      <c r="AA175" s="295"/>
      <c r="AB175" s="125">
        <f t="shared" si="337"/>
        <v>0</v>
      </c>
      <c r="AC175" s="125">
        <f t="shared" si="338"/>
        <v>0</v>
      </c>
      <c r="AD175" s="125">
        <f>VLOOKUP($I175,'1-1 项目基础信息'!$F:$S,3,FALSE)</f>
        <v>0</v>
      </c>
      <c r="AE175" s="304"/>
      <c r="AF175" s="125">
        <f t="shared" si="339"/>
        <v>0</v>
      </c>
      <c r="AG175" s="125">
        <f>VLOOKUP($I175,'1-1 项目基础信息'!$F:$S,4,FALSE)</f>
        <v>0</v>
      </c>
      <c r="AH175" s="304"/>
      <c r="AI175" s="125">
        <f t="shared" si="340"/>
        <v>0</v>
      </c>
      <c r="AJ175" s="125">
        <f>VLOOKUP($I175,'1-1 项目基础信息'!$F:$S,5,FALSE)</f>
        <v>0</v>
      </c>
      <c r="AK175" s="304"/>
      <c r="AL175" s="125">
        <f t="shared" si="341"/>
        <v>0</v>
      </c>
      <c r="AM175" s="125">
        <f>VLOOKUP($I175,'1-1 项目基础信息'!$F:$S,6,FALSE)</f>
        <v>0</v>
      </c>
      <c r="AN175" s="304"/>
      <c r="AO175" s="125">
        <f t="shared" si="342"/>
        <v>0</v>
      </c>
      <c r="AP175" s="125">
        <f>VLOOKUP($I175,'1-1 项目基础信息'!$F:$S,7,FALSE)</f>
        <v>0</v>
      </c>
      <c r="AQ175" s="304"/>
      <c r="AR175" s="125">
        <f t="shared" si="343"/>
        <v>0</v>
      </c>
      <c r="AS175" s="125">
        <f>VLOOKUP($I175,'1-1 项目基础信息'!$F:$S,8,FALSE)</f>
        <v>0</v>
      </c>
      <c r="AT175" s="304"/>
      <c r="AU175" s="125">
        <f t="shared" si="344"/>
        <v>0</v>
      </c>
      <c r="AV175" s="125">
        <f>VLOOKUP($I175,'1-1 项目基础信息'!$F:$S,9,FALSE)</f>
        <v>0</v>
      </c>
      <c r="AW175" s="304"/>
      <c r="AX175" s="125">
        <f t="shared" si="345"/>
        <v>0</v>
      </c>
      <c r="AY175" s="125">
        <f>VLOOKUP($I175,'1-1 项目基础信息'!$F:$S,10,FALSE)</f>
        <v>0</v>
      </c>
      <c r="AZ175" s="304"/>
      <c r="BA175" s="125">
        <f t="shared" si="346"/>
        <v>0</v>
      </c>
      <c r="BB175" s="125">
        <f>VLOOKUP($I175,'1-1 项目基础信息'!$F:$S,11,FALSE)</f>
        <v>0</v>
      </c>
      <c r="BC175" s="304"/>
      <c r="BD175" s="125">
        <f t="shared" si="347"/>
        <v>0</v>
      </c>
      <c r="BE175" s="125">
        <f>VLOOKUP($I175,'1-1 项目基础信息'!$F:$S,12,FALSE)</f>
        <v>0</v>
      </c>
      <c r="BF175" s="304"/>
      <c r="BG175" s="125">
        <f t="shared" si="348"/>
        <v>0</v>
      </c>
      <c r="BH175" s="125">
        <f>VLOOKUP($I175,'1-1 项目基础信息'!$F:$S,13,FALSE)</f>
        <v>0</v>
      </c>
      <c r="BI175" s="304"/>
      <c r="BJ175" s="125">
        <f t="shared" si="349"/>
        <v>0</v>
      </c>
      <c r="BK175" s="125">
        <f>VLOOKUP($I175,'1-1 项目基础信息'!$F:$S,14,FALSE)</f>
        <v>0</v>
      </c>
      <c r="BL175" s="313"/>
      <c r="BM175" s="317"/>
      <c r="BN175" s="320"/>
    </row>
    <row r="176" s="43" customFormat="1" ht="33.95" customHeight="1" outlineLevel="3" collapsed="1" spans="2:66">
      <c r="B176" s="121" t="s">
        <v>787</v>
      </c>
      <c r="C176" s="122" t="s">
        <v>1090</v>
      </c>
      <c r="D176" s="43" t="s">
        <v>1091</v>
      </c>
      <c r="E176" s="121"/>
      <c r="F176" s="121"/>
      <c r="G176" s="121"/>
      <c r="H176" s="121">
        <f>H177+H181+H185</f>
        <v>25000</v>
      </c>
      <c r="I176" s="121"/>
      <c r="J176" s="121"/>
      <c r="K176" s="121"/>
      <c r="L176" s="121"/>
      <c r="M176" s="121"/>
      <c r="N176" s="121"/>
      <c r="O176" s="121"/>
      <c r="P176" s="294"/>
      <c r="Q176" s="294"/>
      <c r="R176" s="294"/>
      <c r="S176" s="294"/>
      <c r="T176" s="294"/>
      <c r="U176" s="294"/>
      <c r="V176" s="294"/>
      <c r="W176" s="294"/>
      <c r="X176" s="294"/>
      <c r="Y176" s="294"/>
      <c r="Z176" s="294"/>
      <c r="AA176" s="294"/>
      <c r="AB176" s="121">
        <f t="shared" ref="AB176:AF176" si="350">AB177+AB181+AB185</f>
        <v>25000</v>
      </c>
      <c r="AC176" s="121">
        <f t="shared" si="350"/>
        <v>25000</v>
      </c>
      <c r="AD176" s="121"/>
      <c r="AE176" s="121"/>
      <c r="AF176" s="121">
        <f t="shared" si="350"/>
        <v>0</v>
      </c>
      <c r="AG176" s="121"/>
      <c r="AH176" s="121"/>
      <c r="AI176" s="121">
        <f>AI177+AI181+AI185</f>
        <v>0</v>
      </c>
      <c r="AJ176" s="121"/>
      <c r="AK176" s="121"/>
      <c r="AL176" s="121">
        <f>AL177+AL181+AL185</f>
        <v>0</v>
      </c>
      <c r="AM176" s="121"/>
      <c r="AN176" s="121"/>
      <c r="AO176" s="121">
        <f>AO177+AO181+AO185</f>
        <v>0</v>
      </c>
      <c r="AP176" s="121"/>
      <c r="AQ176" s="121"/>
      <c r="AR176" s="121">
        <f>AR177+AR181+AR185</f>
        <v>0</v>
      </c>
      <c r="AS176" s="121"/>
      <c r="AT176" s="121"/>
      <c r="AU176" s="121">
        <f>AU177+AU181+AU185</f>
        <v>0</v>
      </c>
      <c r="AV176" s="121"/>
      <c r="AW176" s="121"/>
      <c r="AX176" s="121">
        <f>AX177+AX181+AX185</f>
        <v>0</v>
      </c>
      <c r="AY176" s="121"/>
      <c r="AZ176" s="121"/>
      <c r="BA176" s="121">
        <f>BA177+BA181+BA185</f>
        <v>0</v>
      </c>
      <c r="BB176" s="121"/>
      <c r="BC176" s="121"/>
      <c r="BD176" s="121">
        <f>BD177+BD181+BD185</f>
        <v>0</v>
      </c>
      <c r="BE176" s="121"/>
      <c r="BF176" s="121"/>
      <c r="BG176" s="121">
        <f>BG177+BG181+BG185</f>
        <v>0</v>
      </c>
      <c r="BH176" s="121"/>
      <c r="BI176" s="121"/>
      <c r="BJ176" s="121">
        <f>BJ177+BJ181+BJ185</f>
        <v>0</v>
      </c>
      <c r="BK176" s="121"/>
      <c r="BL176" s="311"/>
      <c r="BM176" s="317"/>
      <c r="BN176" s="319"/>
    </row>
    <row r="177" s="124" customFormat="1" ht="33.95" hidden="1" customHeight="1" outlineLevel="4" spans="2:66">
      <c r="B177" s="125" t="s">
        <v>787</v>
      </c>
      <c r="C177" s="126" t="s">
        <v>127</v>
      </c>
      <c r="D177" s="124" t="s">
        <v>109</v>
      </c>
      <c r="E177" s="125"/>
      <c r="F177" s="125"/>
      <c r="G177" s="125"/>
      <c r="H177" s="125">
        <f>SUM(H178:H180)</f>
        <v>25000</v>
      </c>
      <c r="I177" s="125"/>
      <c r="J177" s="125"/>
      <c r="K177" s="125"/>
      <c r="L177" s="125"/>
      <c r="M177" s="125"/>
      <c r="N177" s="125"/>
      <c r="O177" s="125"/>
      <c r="P177" s="295"/>
      <c r="Q177" s="295"/>
      <c r="R177" s="295"/>
      <c r="S177" s="295"/>
      <c r="T177" s="295"/>
      <c r="U177" s="295"/>
      <c r="V177" s="295"/>
      <c r="W177" s="295"/>
      <c r="X177" s="295"/>
      <c r="Y177" s="295"/>
      <c r="Z177" s="295"/>
      <c r="AA177" s="295"/>
      <c r="AB177" s="125">
        <f t="shared" ref="AB177:AF177" si="351">SUM(AB178:AB180)</f>
        <v>25000</v>
      </c>
      <c r="AC177" s="125">
        <f t="shared" si="351"/>
        <v>25000</v>
      </c>
      <c r="AD177" s="125"/>
      <c r="AE177" s="125"/>
      <c r="AF177" s="125">
        <f t="shared" si="351"/>
        <v>0</v>
      </c>
      <c r="AG177" s="125"/>
      <c r="AH177" s="125"/>
      <c r="AI177" s="125">
        <f>SUM(AI178:AI180)</f>
        <v>0</v>
      </c>
      <c r="AJ177" s="125"/>
      <c r="AK177" s="125"/>
      <c r="AL177" s="125">
        <f>SUM(AL178:AL180)</f>
        <v>0</v>
      </c>
      <c r="AM177" s="125"/>
      <c r="AN177" s="125"/>
      <c r="AO177" s="125">
        <f>SUM(AO178:AO180)</f>
        <v>0</v>
      </c>
      <c r="AP177" s="125"/>
      <c r="AQ177" s="125"/>
      <c r="AR177" s="125">
        <f>SUM(AR178:AR180)</f>
        <v>0</v>
      </c>
      <c r="AS177" s="125"/>
      <c r="AT177" s="125"/>
      <c r="AU177" s="125">
        <f>SUM(AU178:AU180)</f>
        <v>0</v>
      </c>
      <c r="AV177" s="125"/>
      <c r="AW177" s="125"/>
      <c r="AX177" s="125">
        <f>SUM(AX178:AX180)</f>
        <v>0</v>
      </c>
      <c r="AY177" s="125"/>
      <c r="AZ177" s="125"/>
      <c r="BA177" s="125">
        <f>SUM(BA178:BA180)</f>
        <v>0</v>
      </c>
      <c r="BB177" s="125"/>
      <c r="BC177" s="125"/>
      <c r="BD177" s="125">
        <f>SUM(BD178:BD180)</f>
        <v>0</v>
      </c>
      <c r="BE177" s="125"/>
      <c r="BF177" s="125"/>
      <c r="BG177" s="125">
        <f>SUM(BG178:BG180)</f>
        <v>0</v>
      </c>
      <c r="BH177" s="125"/>
      <c r="BI177" s="125"/>
      <c r="BJ177" s="125">
        <f>SUM(BJ178:BJ180)</f>
        <v>0</v>
      </c>
      <c r="BK177" s="125"/>
      <c r="BL177" s="312"/>
      <c r="BM177" s="317"/>
      <c r="BN177" s="320"/>
    </row>
    <row r="178" s="269" customFormat="1" ht="33.95" hidden="1" customHeight="1" outlineLevel="5" spans="2:66">
      <c r="B178" s="181" t="s">
        <v>792</v>
      </c>
      <c r="C178" s="289" t="s">
        <v>1092</v>
      </c>
      <c r="D178" s="269" t="s">
        <v>1093</v>
      </c>
      <c r="E178" s="181" t="s">
        <v>1094</v>
      </c>
      <c r="F178" s="181"/>
      <c r="G178" s="181" t="s">
        <v>796</v>
      </c>
      <c r="H178" s="181">
        <f t="shared" ref="H178:H180" si="352">AB178</f>
        <v>25000</v>
      </c>
      <c r="I178" s="181" t="s">
        <v>797</v>
      </c>
      <c r="J178" s="181">
        <f t="shared" ref="J178:J180" si="353">SUM(AD178,AG178,AJ178,AM178,AP178,AS178,AV178,AY178,BB178,BE178,BH178,BK178)/N178</f>
        <v>1</v>
      </c>
      <c r="K178" s="181" t="s">
        <v>798</v>
      </c>
      <c r="L178" s="181">
        <f t="shared" ref="L178:L180" si="354">H178/N178/J178</f>
        <v>25000</v>
      </c>
      <c r="M178" s="181" t="s">
        <v>799</v>
      </c>
      <c r="N178" s="181">
        <f t="shared" ref="N178:N180" si="355">COUNTIF(AD178,"&gt;0")+COUNTIF(AG178,"&gt;0")+COUNTIF(AJ178,"&gt;0")+COUNTIF(AM178,"&gt;0")+COUNTIF(AP178,"&gt;0")+COUNTIF(AS178,"&gt;0")+COUNTIF(AV178,"&gt;0")+COUNTIF(AY178,"&gt;0")+COUNTIF(BB178,"&gt;0")+COUNTIF(BE178,"&gt;0")+COUNTIF(BH178,"&gt;0")+COUNTIF(BK178,"&gt;0")</f>
        <v>1</v>
      </c>
      <c r="O178" s="181"/>
      <c r="P178" s="296"/>
      <c r="Q178" s="296"/>
      <c r="R178" s="296"/>
      <c r="S178" s="296"/>
      <c r="T178" s="296"/>
      <c r="U178" s="296"/>
      <c r="V178" s="296"/>
      <c r="W178" s="296"/>
      <c r="X178" s="296"/>
      <c r="Y178" s="296"/>
      <c r="Z178" s="296"/>
      <c r="AA178" s="296"/>
      <c r="AB178" s="181">
        <f t="shared" ref="AB178:AB180" si="356">SUM(AC178,AF178,AI178,AL178,AO178,AR178,AU178,AX178,BA178,BD178,BG178,BJ178)</f>
        <v>25000</v>
      </c>
      <c r="AC178" s="181">
        <f t="shared" ref="AC178:AC180" si="357">AD178*AE178</f>
        <v>25000</v>
      </c>
      <c r="AD178" s="181">
        <f>SUMIFS('1-2 人员岗位信息'!F:F,'1-2 人员岗位信息'!$C:$C,"自有人员",'1-2 人员岗位信息'!$B:$B,$D178)</f>
        <v>1</v>
      </c>
      <c r="AE178" s="304">
        <v>25000</v>
      </c>
      <c r="AF178" s="181">
        <f t="shared" ref="AF178:AF180" si="358">AG178*AH178</f>
        <v>0</v>
      </c>
      <c r="AG178" s="181">
        <f>SUMIFS('1-2 人员岗位信息'!G:G,'1-2 人员岗位信息'!$C:$C,"自有人员",'1-2 人员岗位信息'!$B:$B,$D178)</f>
        <v>0</v>
      </c>
      <c r="AH178" s="304"/>
      <c r="AI178" s="181">
        <f t="shared" ref="AI178:AI180" si="359">AJ178*AK178</f>
        <v>0</v>
      </c>
      <c r="AJ178" s="181">
        <f>SUMIFS('1-2 人员岗位信息'!H:H,'1-2 人员岗位信息'!$C:$C,"自有人员",'1-2 人员岗位信息'!$B:$B,$D178)</f>
        <v>0</v>
      </c>
      <c r="AK178" s="304"/>
      <c r="AL178" s="181">
        <f t="shared" ref="AL178:AL180" si="360">AM178*AN178</f>
        <v>0</v>
      </c>
      <c r="AM178" s="181">
        <f>SUMIFS('1-2 人员岗位信息'!I:I,'1-2 人员岗位信息'!$C:$C,"自有人员",'1-2 人员岗位信息'!$B:$B,$D178)</f>
        <v>0</v>
      </c>
      <c r="AN178" s="304"/>
      <c r="AO178" s="181">
        <f t="shared" ref="AO178:AO180" si="361">AP178*AQ178</f>
        <v>0</v>
      </c>
      <c r="AP178" s="181">
        <f>SUMIFS('1-2 人员岗位信息'!J:J,'1-2 人员岗位信息'!$C:$C,"自有人员",'1-2 人员岗位信息'!$B:$B,$D178)</f>
        <v>0</v>
      </c>
      <c r="AQ178" s="304"/>
      <c r="AR178" s="181">
        <f t="shared" ref="AR178:AR180" si="362">AS178*AT178</f>
        <v>0</v>
      </c>
      <c r="AS178" s="181">
        <f>SUMIFS('1-2 人员岗位信息'!K:K,'1-2 人员岗位信息'!$C:$C,"自有人员",'1-2 人员岗位信息'!$B:$B,$D178)</f>
        <v>0</v>
      </c>
      <c r="AT178" s="304"/>
      <c r="AU178" s="181">
        <f t="shared" ref="AU178:AU180" si="363">AV178*AW178</f>
        <v>0</v>
      </c>
      <c r="AV178" s="181">
        <f>SUMIFS('1-2 人员岗位信息'!L:L,'1-2 人员岗位信息'!$C:$C,"自有人员",'1-2 人员岗位信息'!$B:$B,$D178)</f>
        <v>0</v>
      </c>
      <c r="AW178" s="304"/>
      <c r="AX178" s="181">
        <f t="shared" ref="AX178:AX180" si="364">AY178*AZ178</f>
        <v>0</v>
      </c>
      <c r="AY178" s="181">
        <f>SUMIFS('1-2 人员岗位信息'!M:M,'1-2 人员岗位信息'!$C:$C,"自有人员",'1-2 人员岗位信息'!$B:$B,$D178)</f>
        <v>0</v>
      </c>
      <c r="AZ178" s="304"/>
      <c r="BA178" s="181">
        <f t="shared" ref="BA178:BA180" si="365">BB178*BC178</f>
        <v>0</v>
      </c>
      <c r="BB178" s="181">
        <f>SUMIFS('1-2 人员岗位信息'!N:N,'1-2 人员岗位信息'!$C:$C,"自有人员",'1-2 人员岗位信息'!$B:$B,$D178)</f>
        <v>0</v>
      </c>
      <c r="BC178" s="304"/>
      <c r="BD178" s="181">
        <f t="shared" ref="BD178:BD180" si="366">BE178*BF178</f>
        <v>0</v>
      </c>
      <c r="BE178" s="181">
        <f>SUMIFS('1-2 人员岗位信息'!O:O,'1-2 人员岗位信息'!$C:$C,"自有人员",'1-2 人员岗位信息'!$B:$B,$D178)</f>
        <v>0</v>
      </c>
      <c r="BF178" s="304"/>
      <c r="BG178" s="181">
        <f t="shared" ref="BG178:BG180" si="367">BH178*BI178</f>
        <v>0</v>
      </c>
      <c r="BH178" s="181">
        <f>SUMIFS('1-2 人员岗位信息'!P:P,'1-2 人员岗位信息'!$C:$C,"自有人员",'1-2 人员岗位信息'!$B:$B,$D178)</f>
        <v>0</v>
      </c>
      <c r="BI178" s="304"/>
      <c r="BJ178" s="181">
        <f t="shared" ref="BJ178:BJ180" si="368">BK178*BL178</f>
        <v>0</v>
      </c>
      <c r="BK178" s="181">
        <f>SUMIFS('1-2 人员岗位信息'!Q:Q,'1-2 人员岗位信息'!$C:$C,"自有人员",'1-2 人员岗位信息'!$B:$B,$D178)</f>
        <v>0</v>
      </c>
      <c r="BL178" s="313"/>
      <c r="BM178" s="317"/>
      <c r="BN178" s="321"/>
    </row>
    <row r="179" s="269" customFormat="1" ht="33.95" hidden="1" customHeight="1" outlineLevel="5" spans="2:66">
      <c r="B179" s="181" t="s">
        <v>792</v>
      </c>
      <c r="C179" s="289" t="s">
        <v>1095</v>
      </c>
      <c r="D179" s="269" t="s">
        <v>1091</v>
      </c>
      <c r="E179" s="181" t="s">
        <v>1096</v>
      </c>
      <c r="F179" s="181"/>
      <c r="G179" s="181" t="s">
        <v>796</v>
      </c>
      <c r="H179" s="181">
        <f t="shared" si="352"/>
        <v>0</v>
      </c>
      <c r="I179" s="181" t="s">
        <v>797</v>
      </c>
      <c r="J179" s="181" t="e">
        <f t="shared" si="353"/>
        <v>#DIV/0!</v>
      </c>
      <c r="K179" s="181" t="s">
        <v>798</v>
      </c>
      <c r="L179" s="181" t="e">
        <f t="shared" si="354"/>
        <v>#DIV/0!</v>
      </c>
      <c r="M179" s="181" t="s">
        <v>799</v>
      </c>
      <c r="N179" s="181">
        <f t="shared" si="355"/>
        <v>0</v>
      </c>
      <c r="O179" s="181"/>
      <c r="P179" s="296"/>
      <c r="Q179" s="296"/>
      <c r="R179" s="296"/>
      <c r="S179" s="296"/>
      <c r="T179" s="296"/>
      <c r="U179" s="296"/>
      <c r="V179" s="296"/>
      <c r="W179" s="296"/>
      <c r="X179" s="296"/>
      <c r="Y179" s="296"/>
      <c r="Z179" s="296"/>
      <c r="AA179" s="296"/>
      <c r="AB179" s="181">
        <f t="shared" si="356"/>
        <v>0</v>
      </c>
      <c r="AC179" s="181">
        <f t="shared" si="357"/>
        <v>0</v>
      </c>
      <c r="AD179" s="181">
        <f>SUMIFS('1-2 人员岗位信息'!F:F,'1-2 人员岗位信息'!$C:$C,"自有人员",'1-2 人员岗位信息'!$B:$B,$D179)</f>
        <v>0</v>
      </c>
      <c r="AE179" s="304"/>
      <c r="AF179" s="181">
        <f t="shared" si="358"/>
        <v>0</v>
      </c>
      <c r="AG179" s="181">
        <f>SUMIFS('1-2 人员岗位信息'!G:G,'1-2 人员岗位信息'!$C:$C,"自有人员",'1-2 人员岗位信息'!$B:$B,$D179)</f>
        <v>0</v>
      </c>
      <c r="AH179" s="304"/>
      <c r="AI179" s="181">
        <f t="shared" si="359"/>
        <v>0</v>
      </c>
      <c r="AJ179" s="181">
        <f>SUMIFS('1-2 人员岗位信息'!H:H,'1-2 人员岗位信息'!$C:$C,"自有人员",'1-2 人员岗位信息'!$B:$B,$D179)</f>
        <v>0</v>
      </c>
      <c r="AK179" s="304"/>
      <c r="AL179" s="181">
        <f t="shared" si="360"/>
        <v>0</v>
      </c>
      <c r="AM179" s="181">
        <f>SUMIFS('1-2 人员岗位信息'!I:I,'1-2 人员岗位信息'!$C:$C,"自有人员",'1-2 人员岗位信息'!$B:$B,$D179)</f>
        <v>0</v>
      </c>
      <c r="AN179" s="304"/>
      <c r="AO179" s="181">
        <f t="shared" si="361"/>
        <v>0</v>
      </c>
      <c r="AP179" s="181">
        <f>SUMIFS('1-2 人员岗位信息'!J:J,'1-2 人员岗位信息'!$C:$C,"自有人员",'1-2 人员岗位信息'!$B:$B,$D179)</f>
        <v>0</v>
      </c>
      <c r="AQ179" s="304"/>
      <c r="AR179" s="181">
        <f t="shared" si="362"/>
        <v>0</v>
      </c>
      <c r="AS179" s="181">
        <f>SUMIFS('1-2 人员岗位信息'!K:K,'1-2 人员岗位信息'!$C:$C,"自有人员",'1-2 人员岗位信息'!$B:$B,$D179)</f>
        <v>0</v>
      </c>
      <c r="AT179" s="304"/>
      <c r="AU179" s="181">
        <f t="shared" si="363"/>
        <v>0</v>
      </c>
      <c r="AV179" s="181">
        <f>SUMIFS('1-2 人员岗位信息'!L:L,'1-2 人员岗位信息'!$C:$C,"自有人员",'1-2 人员岗位信息'!$B:$B,$D179)</f>
        <v>0</v>
      </c>
      <c r="AW179" s="304"/>
      <c r="AX179" s="181">
        <f t="shared" si="364"/>
        <v>0</v>
      </c>
      <c r="AY179" s="181">
        <f>SUMIFS('1-2 人员岗位信息'!M:M,'1-2 人员岗位信息'!$C:$C,"自有人员",'1-2 人员岗位信息'!$B:$B,$D179)</f>
        <v>0</v>
      </c>
      <c r="AZ179" s="304"/>
      <c r="BA179" s="181">
        <f t="shared" si="365"/>
        <v>0</v>
      </c>
      <c r="BB179" s="181">
        <f>SUMIFS('1-2 人员岗位信息'!N:N,'1-2 人员岗位信息'!$C:$C,"自有人员",'1-2 人员岗位信息'!$B:$B,$D179)</f>
        <v>0</v>
      </c>
      <c r="BC179" s="304"/>
      <c r="BD179" s="181">
        <f t="shared" si="366"/>
        <v>0</v>
      </c>
      <c r="BE179" s="181">
        <f>SUMIFS('1-2 人员岗位信息'!O:O,'1-2 人员岗位信息'!$C:$C,"自有人员",'1-2 人员岗位信息'!$B:$B,$D179)</f>
        <v>0</v>
      </c>
      <c r="BF179" s="304"/>
      <c r="BG179" s="181">
        <f t="shared" si="367"/>
        <v>0</v>
      </c>
      <c r="BH179" s="181">
        <f>SUMIFS('1-2 人员岗位信息'!P:P,'1-2 人员岗位信息'!$C:$C,"自有人员",'1-2 人员岗位信息'!$B:$B,$D179)</f>
        <v>0</v>
      </c>
      <c r="BI179" s="304"/>
      <c r="BJ179" s="181">
        <f t="shared" si="368"/>
        <v>0</v>
      </c>
      <c r="BK179" s="181">
        <f>SUMIFS('1-2 人员岗位信息'!Q:Q,'1-2 人员岗位信息'!$C:$C,"自有人员",'1-2 人员岗位信息'!$B:$B,$D179)</f>
        <v>0</v>
      </c>
      <c r="BL179" s="313"/>
      <c r="BM179" s="317"/>
      <c r="BN179" s="321"/>
    </row>
    <row r="180" s="269" customFormat="1" ht="33.95" hidden="1" customHeight="1" outlineLevel="5" spans="2:66">
      <c r="B180" s="181" t="s">
        <v>792</v>
      </c>
      <c r="C180" s="289" t="s">
        <v>1097</v>
      </c>
      <c r="D180" s="269" t="s">
        <v>1098</v>
      </c>
      <c r="E180" s="181" t="s">
        <v>1099</v>
      </c>
      <c r="F180" s="181"/>
      <c r="G180" s="181" t="s">
        <v>796</v>
      </c>
      <c r="H180" s="181">
        <f t="shared" si="352"/>
        <v>0</v>
      </c>
      <c r="I180" s="181" t="s">
        <v>797</v>
      </c>
      <c r="J180" s="181" t="e">
        <f t="shared" si="353"/>
        <v>#DIV/0!</v>
      </c>
      <c r="K180" s="181" t="s">
        <v>798</v>
      </c>
      <c r="L180" s="181" t="e">
        <f t="shared" si="354"/>
        <v>#DIV/0!</v>
      </c>
      <c r="M180" s="181" t="s">
        <v>799</v>
      </c>
      <c r="N180" s="181">
        <f t="shared" si="355"/>
        <v>0</v>
      </c>
      <c r="O180" s="181"/>
      <c r="P180" s="296"/>
      <c r="Q180" s="296"/>
      <c r="R180" s="296"/>
      <c r="S180" s="296"/>
      <c r="T180" s="296"/>
      <c r="U180" s="296"/>
      <c r="V180" s="296"/>
      <c r="W180" s="296"/>
      <c r="X180" s="296"/>
      <c r="Y180" s="296"/>
      <c r="Z180" s="296"/>
      <c r="AA180" s="296"/>
      <c r="AB180" s="181">
        <f t="shared" si="356"/>
        <v>0</v>
      </c>
      <c r="AC180" s="181">
        <f t="shared" si="357"/>
        <v>0</v>
      </c>
      <c r="AD180" s="181">
        <f>SUMIFS('1-2 人员岗位信息'!F:F,'1-2 人员岗位信息'!$C:$C,"自有人员",'1-2 人员岗位信息'!$B:$B,$D180)</f>
        <v>0</v>
      </c>
      <c r="AE180" s="304"/>
      <c r="AF180" s="181">
        <f t="shared" si="358"/>
        <v>0</v>
      </c>
      <c r="AG180" s="181">
        <f>SUMIFS('1-2 人员岗位信息'!G:G,'1-2 人员岗位信息'!$C:$C,"自有人员",'1-2 人员岗位信息'!$B:$B,$D180)</f>
        <v>0</v>
      </c>
      <c r="AH180" s="304"/>
      <c r="AI180" s="181">
        <f t="shared" si="359"/>
        <v>0</v>
      </c>
      <c r="AJ180" s="181">
        <f>SUMIFS('1-2 人员岗位信息'!H:H,'1-2 人员岗位信息'!$C:$C,"自有人员",'1-2 人员岗位信息'!$B:$B,$D180)</f>
        <v>0</v>
      </c>
      <c r="AK180" s="304"/>
      <c r="AL180" s="181">
        <f t="shared" si="360"/>
        <v>0</v>
      </c>
      <c r="AM180" s="181">
        <f>SUMIFS('1-2 人员岗位信息'!I:I,'1-2 人员岗位信息'!$C:$C,"自有人员",'1-2 人员岗位信息'!$B:$B,$D180)</f>
        <v>0</v>
      </c>
      <c r="AN180" s="304"/>
      <c r="AO180" s="181">
        <f t="shared" si="361"/>
        <v>0</v>
      </c>
      <c r="AP180" s="181">
        <f>SUMIFS('1-2 人员岗位信息'!J:J,'1-2 人员岗位信息'!$C:$C,"自有人员",'1-2 人员岗位信息'!$B:$B,$D180)</f>
        <v>0</v>
      </c>
      <c r="AQ180" s="304"/>
      <c r="AR180" s="181">
        <f t="shared" si="362"/>
        <v>0</v>
      </c>
      <c r="AS180" s="181">
        <f>SUMIFS('1-2 人员岗位信息'!K:K,'1-2 人员岗位信息'!$C:$C,"自有人员",'1-2 人员岗位信息'!$B:$B,$D180)</f>
        <v>0</v>
      </c>
      <c r="AT180" s="304"/>
      <c r="AU180" s="181">
        <f t="shared" si="363"/>
        <v>0</v>
      </c>
      <c r="AV180" s="181">
        <f>SUMIFS('1-2 人员岗位信息'!L:L,'1-2 人员岗位信息'!$C:$C,"自有人员",'1-2 人员岗位信息'!$B:$B,$D180)</f>
        <v>0</v>
      </c>
      <c r="AW180" s="304"/>
      <c r="AX180" s="181">
        <f t="shared" si="364"/>
        <v>0</v>
      </c>
      <c r="AY180" s="181">
        <f>SUMIFS('1-2 人员岗位信息'!M:M,'1-2 人员岗位信息'!$C:$C,"自有人员",'1-2 人员岗位信息'!$B:$B,$D180)</f>
        <v>0</v>
      </c>
      <c r="AZ180" s="304"/>
      <c r="BA180" s="181">
        <f t="shared" si="365"/>
        <v>0</v>
      </c>
      <c r="BB180" s="181">
        <f>SUMIFS('1-2 人员岗位信息'!N:N,'1-2 人员岗位信息'!$C:$C,"自有人员",'1-2 人员岗位信息'!$B:$B,$D180)</f>
        <v>0</v>
      </c>
      <c r="BC180" s="304"/>
      <c r="BD180" s="181">
        <f t="shared" si="366"/>
        <v>0</v>
      </c>
      <c r="BE180" s="181">
        <f>SUMIFS('1-2 人员岗位信息'!O:O,'1-2 人员岗位信息'!$C:$C,"自有人员",'1-2 人员岗位信息'!$B:$B,$D180)</f>
        <v>0</v>
      </c>
      <c r="BF180" s="304"/>
      <c r="BG180" s="181">
        <f t="shared" si="367"/>
        <v>0</v>
      </c>
      <c r="BH180" s="181">
        <f>SUMIFS('1-2 人员岗位信息'!P:P,'1-2 人员岗位信息'!$C:$C,"自有人员",'1-2 人员岗位信息'!$B:$B,$D180)</f>
        <v>0</v>
      </c>
      <c r="BI180" s="304"/>
      <c r="BJ180" s="181">
        <f t="shared" si="368"/>
        <v>0</v>
      </c>
      <c r="BK180" s="181">
        <f>SUMIFS('1-2 人员岗位信息'!Q:Q,'1-2 人员岗位信息'!$C:$C,"自有人员",'1-2 人员岗位信息'!$B:$B,$D180)</f>
        <v>0</v>
      </c>
      <c r="BL180" s="313"/>
      <c r="BM180" s="317"/>
      <c r="BN180" s="321"/>
    </row>
    <row r="181" s="124" customFormat="1" ht="33.95" hidden="1" customHeight="1" outlineLevel="4" spans="2:66">
      <c r="B181" s="125" t="s">
        <v>787</v>
      </c>
      <c r="C181" s="126" t="s">
        <v>74</v>
      </c>
      <c r="D181" s="124" t="s">
        <v>68</v>
      </c>
      <c r="E181" s="125"/>
      <c r="F181" s="125"/>
      <c r="G181" s="125"/>
      <c r="H181" s="125">
        <f>SUM(H182:H184)</f>
        <v>0</v>
      </c>
      <c r="I181" s="125"/>
      <c r="J181" s="125"/>
      <c r="K181" s="125"/>
      <c r="L181" s="125"/>
      <c r="M181" s="125"/>
      <c r="N181" s="125"/>
      <c r="O181" s="125"/>
      <c r="P181" s="295"/>
      <c r="Q181" s="295"/>
      <c r="R181" s="295"/>
      <c r="S181" s="295"/>
      <c r="T181" s="295"/>
      <c r="U181" s="295"/>
      <c r="V181" s="295"/>
      <c r="W181" s="295"/>
      <c r="X181" s="295"/>
      <c r="Y181" s="295"/>
      <c r="Z181" s="295"/>
      <c r="AA181" s="295"/>
      <c r="AB181" s="125">
        <f t="shared" ref="AB181:AF181" si="369">SUM(AB182:AB184)</f>
        <v>0</v>
      </c>
      <c r="AC181" s="125">
        <f t="shared" si="369"/>
        <v>0</v>
      </c>
      <c r="AD181" s="125"/>
      <c r="AE181" s="125"/>
      <c r="AF181" s="125">
        <f t="shared" si="369"/>
        <v>0</v>
      </c>
      <c r="AG181" s="125"/>
      <c r="AH181" s="125"/>
      <c r="AI181" s="125">
        <f>SUM(AI182:AI184)</f>
        <v>0</v>
      </c>
      <c r="AJ181" s="125"/>
      <c r="AK181" s="125"/>
      <c r="AL181" s="125">
        <f>SUM(AL182:AL184)</f>
        <v>0</v>
      </c>
      <c r="AM181" s="125"/>
      <c r="AN181" s="125"/>
      <c r="AO181" s="125">
        <f>SUM(AO182:AO184)</f>
        <v>0</v>
      </c>
      <c r="AP181" s="125"/>
      <c r="AQ181" s="125"/>
      <c r="AR181" s="125">
        <f>SUM(AR182:AR184)</f>
        <v>0</v>
      </c>
      <c r="AS181" s="125"/>
      <c r="AT181" s="125"/>
      <c r="AU181" s="125">
        <f>SUM(AU182:AU184)</f>
        <v>0</v>
      </c>
      <c r="AV181" s="125"/>
      <c r="AW181" s="125"/>
      <c r="AX181" s="125">
        <f>SUM(AX182:AX184)</f>
        <v>0</v>
      </c>
      <c r="AY181" s="125"/>
      <c r="AZ181" s="125"/>
      <c r="BA181" s="125">
        <f>SUM(BA182:BA184)</f>
        <v>0</v>
      </c>
      <c r="BB181" s="125"/>
      <c r="BC181" s="125"/>
      <c r="BD181" s="125">
        <f>SUM(BD182:BD184)</f>
        <v>0</v>
      </c>
      <c r="BE181" s="125"/>
      <c r="BF181" s="125"/>
      <c r="BG181" s="125">
        <f>SUM(BG182:BG184)</f>
        <v>0</v>
      </c>
      <c r="BH181" s="125"/>
      <c r="BI181" s="125"/>
      <c r="BJ181" s="125">
        <f>SUM(BJ182:BJ184)</f>
        <v>0</v>
      </c>
      <c r="BK181" s="125"/>
      <c r="BL181" s="312"/>
      <c r="BM181" s="317"/>
      <c r="BN181" s="320"/>
    </row>
    <row r="182" s="269" customFormat="1" ht="33.95" hidden="1" customHeight="1" outlineLevel="5" spans="2:66">
      <c r="B182" s="181" t="s">
        <v>792</v>
      </c>
      <c r="C182" s="289" t="s">
        <v>1100</v>
      </c>
      <c r="D182" s="269" t="s">
        <v>1093</v>
      </c>
      <c r="E182" s="181" t="s">
        <v>1101</v>
      </c>
      <c r="F182" s="181"/>
      <c r="G182" s="181" t="s">
        <v>796</v>
      </c>
      <c r="H182" s="181">
        <f t="shared" ref="H182:H184" si="370">AB182</f>
        <v>0</v>
      </c>
      <c r="I182" s="181" t="s">
        <v>797</v>
      </c>
      <c r="J182" s="181" t="e">
        <f t="shared" ref="J182:J184" si="371">SUM(AD182,AG182,AJ182,AM182,AP182,AS182,AV182,AY182,BB182,BE182,BH182,BK182)/N182</f>
        <v>#DIV/0!</v>
      </c>
      <c r="K182" s="181" t="s">
        <v>798</v>
      </c>
      <c r="L182" s="181" t="e">
        <f t="shared" ref="L182:L184" si="372">H182/N182/J182</f>
        <v>#DIV/0!</v>
      </c>
      <c r="M182" s="181" t="s">
        <v>799</v>
      </c>
      <c r="N182" s="181">
        <f t="shared" ref="N182:N184" si="373">COUNTIF(AD182,"&gt;0")+COUNTIF(AG182,"&gt;0")+COUNTIF(AJ182,"&gt;0")+COUNTIF(AM182,"&gt;0")+COUNTIF(AP182,"&gt;0")+COUNTIF(AS182,"&gt;0")+COUNTIF(AV182,"&gt;0")+COUNTIF(AY182,"&gt;0")+COUNTIF(BB182,"&gt;0")+COUNTIF(BE182,"&gt;0")+COUNTIF(BH182,"&gt;0")+COUNTIF(BK182,"&gt;0")</f>
        <v>0</v>
      </c>
      <c r="O182" s="181"/>
      <c r="P182" s="296"/>
      <c r="Q182" s="296"/>
      <c r="R182" s="296"/>
      <c r="S182" s="296"/>
      <c r="T182" s="296"/>
      <c r="U182" s="296"/>
      <c r="V182" s="296"/>
      <c r="W182" s="296"/>
      <c r="X182" s="296"/>
      <c r="Y182" s="296"/>
      <c r="Z182" s="296"/>
      <c r="AA182" s="296"/>
      <c r="AB182" s="181">
        <f t="shared" ref="AB182:AB184" si="374">SUM(AC182,AF182,AI182,AL182,AO182,AR182,AU182,AX182,BA182,BD182,BG182,BJ182)</f>
        <v>0</v>
      </c>
      <c r="AC182" s="181">
        <f t="shared" ref="AC182:AC184" si="375">AD182*AE182</f>
        <v>0</v>
      </c>
      <c r="AD182" s="181">
        <f>SUMIFS('1-2 人员岗位信息'!F:F,'1-2 人员岗位信息'!$C:$C,"劳务派遣",'1-2 人员岗位信息'!$B:$B,$D182)</f>
        <v>0</v>
      </c>
      <c r="AE182" s="304"/>
      <c r="AF182" s="181">
        <f t="shared" ref="AF182:AF184" si="376">AG182*AH182</f>
        <v>0</v>
      </c>
      <c r="AG182" s="181">
        <f>SUMIFS('1-2 人员岗位信息'!G:G,'1-2 人员岗位信息'!$C:$C,"劳务派遣",'1-2 人员岗位信息'!$B:$B,$D182)</f>
        <v>0</v>
      </c>
      <c r="AH182" s="304"/>
      <c r="AI182" s="181">
        <f t="shared" ref="AI182:AI184" si="377">AJ182*AK182</f>
        <v>0</v>
      </c>
      <c r="AJ182" s="181">
        <f>SUMIFS('1-2 人员岗位信息'!H:H,'1-2 人员岗位信息'!$C:$C,"劳务派遣",'1-2 人员岗位信息'!$B:$B,$D182)</f>
        <v>0</v>
      </c>
      <c r="AK182" s="304"/>
      <c r="AL182" s="181">
        <f t="shared" ref="AL182:AL184" si="378">AM182*AN182</f>
        <v>0</v>
      </c>
      <c r="AM182" s="181">
        <f>SUMIFS('1-2 人员岗位信息'!I:I,'1-2 人员岗位信息'!$C:$C,"劳务派遣",'1-2 人员岗位信息'!$B:$B,$D182)</f>
        <v>0</v>
      </c>
      <c r="AN182" s="304"/>
      <c r="AO182" s="181">
        <f t="shared" ref="AO182:AO184" si="379">AP182*AQ182</f>
        <v>0</v>
      </c>
      <c r="AP182" s="181">
        <f>SUMIFS('1-2 人员岗位信息'!J:J,'1-2 人员岗位信息'!$C:$C,"劳务派遣",'1-2 人员岗位信息'!$B:$B,$D182)</f>
        <v>0</v>
      </c>
      <c r="AQ182" s="304"/>
      <c r="AR182" s="181">
        <f t="shared" ref="AR182:AR184" si="380">AS182*AT182</f>
        <v>0</v>
      </c>
      <c r="AS182" s="181">
        <f>SUMIFS('1-2 人员岗位信息'!K:K,'1-2 人员岗位信息'!$C:$C,"劳务派遣",'1-2 人员岗位信息'!$B:$B,$D182)</f>
        <v>0</v>
      </c>
      <c r="AT182" s="304"/>
      <c r="AU182" s="181">
        <f t="shared" ref="AU182:AU184" si="381">AV182*AW182</f>
        <v>0</v>
      </c>
      <c r="AV182" s="181">
        <f>SUMIFS('1-2 人员岗位信息'!L:L,'1-2 人员岗位信息'!$C:$C,"劳务派遣",'1-2 人员岗位信息'!$B:$B,$D182)</f>
        <v>0</v>
      </c>
      <c r="AW182" s="304"/>
      <c r="AX182" s="181">
        <f t="shared" ref="AX182:AX184" si="382">AY182*AZ182</f>
        <v>0</v>
      </c>
      <c r="AY182" s="181">
        <f>SUMIFS('1-2 人员岗位信息'!M:M,'1-2 人员岗位信息'!$C:$C,"劳务派遣",'1-2 人员岗位信息'!$B:$B,$D182)</f>
        <v>0</v>
      </c>
      <c r="AZ182" s="304"/>
      <c r="BA182" s="181">
        <f t="shared" ref="BA182:BA184" si="383">BB182*BC182</f>
        <v>0</v>
      </c>
      <c r="BB182" s="181">
        <f>SUMIFS('1-2 人员岗位信息'!N:N,'1-2 人员岗位信息'!$C:$C,"劳务派遣",'1-2 人员岗位信息'!$B:$B,$D182)</f>
        <v>0</v>
      </c>
      <c r="BC182" s="304"/>
      <c r="BD182" s="181">
        <f t="shared" ref="BD182:BD184" si="384">BE182*BF182</f>
        <v>0</v>
      </c>
      <c r="BE182" s="181">
        <f>SUMIFS('1-2 人员岗位信息'!O:O,'1-2 人员岗位信息'!$C:$C,"劳务派遣",'1-2 人员岗位信息'!$B:$B,$D182)</f>
        <v>0</v>
      </c>
      <c r="BF182" s="304"/>
      <c r="BG182" s="181">
        <f t="shared" ref="BG182:BG184" si="385">BH182*BI182</f>
        <v>0</v>
      </c>
      <c r="BH182" s="181">
        <f>SUMIFS('1-2 人员岗位信息'!P:P,'1-2 人员岗位信息'!$C:$C,"劳务派遣",'1-2 人员岗位信息'!$B:$B,$D182)</f>
        <v>0</v>
      </c>
      <c r="BI182" s="304"/>
      <c r="BJ182" s="181">
        <f t="shared" ref="BJ182:BJ184" si="386">BK182*BL182</f>
        <v>0</v>
      </c>
      <c r="BK182" s="181">
        <f>SUMIFS('1-2 人员岗位信息'!Q:Q,'1-2 人员岗位信息'!$C:$C,"劳务派遣",'1-2 人员岗位信息'!$B:$B,$D182)</f>
        <v>0</v>
      </c>
      <c r="BL182" s="313"/>
      <c r="BM182" s="317"/>
      <c r="BN182" s="321"/>
    </row>
    <row r="183" s="269" customFormat="1" ht="33.95" hidden="1" customHeight="1" outlineLevel="5" spans="2:66">
      <c r="B183" s="181" t="s">
        <v>792</v>
      </c>
      <c r="C183" s="289" t="s">
        <v>1102</v>
      </c>
      <c r="D183" s="269" t="s">
        <v>1091</v>
      </c>
      <c r="E183" s="181" t="s">
        <v>1103</v>
      </c>
      <c r="F183" s="181"/>
      <c r="G183" s="181" t="s">
        <v>796</v>
      </c>
      <c r="H183" s="181">
        <f t="shared" si="370"/>
        <v>0</v>
      </c>
      <c r="I183" s="181" t="s">
        <v>797</v>
      </c>
      <c r="J183" s="181" t="e">
        <f t="shared" si="371"/>
        <v>#DIV/0!</v>
      </c>
      <c r="K183" s="181" t="s">
        <v>798</v>
      </c>
      <c r="L183" s="181" t="e">
        <f t="shared" si="372"/>
        <v>#DIV/0!</v>
      </c>
      <c r="M183" s="181" t="s">
        <v>799</v>
      </c>
      <c r="N183" s="181">
        <f t="shared" si="373"/>
        <v>0</v>
      </c>
      <c r="O183" s="181"/>
      <c r="P183" s="296"/>
      <c r="Q183" s="296"/>
      <c r="R183" s="296"/>
      <c r="S183" s="296"/>
      <c r="T183" s="296"/>
      <c r="U183" s="296"/>
      <c r="V183" s="296"/>
      <c r="W183" s="296"/>
      <c r="X183" s="296"/>
      <c r="Y183" s="296"/>
      <c r="Z183" s="296"/>
      <c r="AA183" s="296"/>
      <c r="AB183" s="181">
        <f t="shared" si="374"/>
        <v>0</v>
      </c>
      <c r="AC183" s="181">
        <f t="shared" si="375"/>
        <v>0</v>
      </c>
      <c r="AD183" s="181">
        <f>SUMIFS('1-2 人员岗位信息'!F:F,'1-2 人员岗位信息'!$C:$C,"劳务派遣",'1-2 人员岗位信息'!$B:$B,$D183)</f>
        <v>0</v>
      </c>
      <c r="AE183" s="304"/>
      <c r="AF183" s="181">
        <f t="shared" si="376"/>
        <v>0</v>
      </c>
      <c r="AG183" s="181">
        <f>SUMIFS('1-2 人员岗位信息'!G:G,'1-2 人员岗位信息'!$C:$C,"劳务派遣",'1-2 人员岗位信息'!$B:$B,$D183)</f>
        <v>0</v>
      </c>
      <c r="AH183" s="304"/>
      <c r="AI183" s="181">
        <f t="shared" si="377"/>
        <v>0</v>
      </c>
      <c r="AJ183" s="181">
        <f>SUMIFS('1-2 人员岗位信息'!H:H,'1-2 人员岗位信息'!$C:$C,"劳务派遣",'1-2 人员岗位信息'!$B:$B,$D183)</f>
        <v>0</v>
      </c>
      <c r="AK183" s="304"/>
      <c r="AL183" s="181">
        <f t="shared" si="378"/>
        <v>0</v>
      </c>
      <c r="AM183" s="181">
        <f>SUMIFS('1-2 人员岗位信息'!I:I,'1-2 人员岗位信息'!$C:$C,"劳务派遣",'1-2 人员岗位信息'!$B:$B,$D183)</f>
        <v>0</v>
      </c>
      <c r="AN183" s="304"/>
      <c r="AO183" s="181">
        <f t="shared" si="379"/>
        <v>0</v>
      </c>
      <c r="AP183" s="181">
        <f>SUMIFS('1-2 人员岗位信息'!J:J,'1-2 人员岗位信息'!$C:$C,"劳务派遣",'1-2 人员岗位信息'!$B:$B,$D183)</f>
        <v>0</v>
      </c>
      <c r="AQ183" s="304"/>
      <c r="AR183" s="181">
        <f t="shared" si="380"/>
        <v>0</v>
      </c>
      <c r="AS183" s="181">
        <f>SUMIFS('1-2 人员岗位信息'!K:K,'1-2 人员岗位信息'!$C:$C,"劳务派遣",'1-2 人员岗位信息'!$B:$B,$D183)</f>
        <v>0</v>
      </c>
      <c r="AT183" s="304"/>
      <c r="AU183" s="181">
        <f t="shared" si="381"/>
        <v>0</v>
      </c>
      <c r="AV183" s="181">
        <f>SUMIFS('1-2 人员岗位信息'!L:L,'1-2 人员岗位信息'!$C:$C,"劳务派遣",'1-2 人员岗位信息'!$B:$B,$D183)</f>
        <v>0</v>
      </c>
      <c r="AW183" s="304"/>
      <c r="AX183" s="181">
        <f t="shared" si="382"/>
        <v>0</v>
      </c>
      <c r="AY183" s="181">
        <f>SUMIFS('1-2 人员岗位信息'!M:M,'1-2 人员岗位信息'!$C:$C,"劳务派遣",'1-2 人员岗位信息'!$B:$B,$D183)</f>
        <v>0</v>
      </c>
      <c r="AZ183" s="304"/>
      <c r="BA183" s="181">
        <f t="shared" si="383"/>
        <v>0</v>
      </c>
      <c r="BB183" s="181">
        <f>SUMIFS('1-2 人员岗位信息'!N:N,'1-2 人员岗位信息'!$C:$C,"劳务派遣",'1-2 人员岗位信息'!$B:$B,$D183)</f>
        <v>0</v>
      </c>
      <c r="BC183" s="304"/>
      <c r="BD183" s="181">
        <f t="shared" si="384"/>
        <v>0</v>
      </c>
      <c r="BE183" s="181">
        <f>SUMIFS('1-2 人员岗位信息'!O:O,'1-2 人员岗位信息'!$C:$C,"劳务派遣",'1-2 人员岗位信息'!$B:$B,$D183)</f>
        <v>0</v>
      </c>
      <c r="BF183" s="304"/>
      <c r="BG183" s="181">
        <f t="shared" si="385"/>
        <v>0</v>
      </c>
      <c r="BH183" s="181">
        <f>SUMIFS('1-2 人员岗位信息'!P:P,'1-2 人员岗位信息'!$C:$C,"劳务派遣",'1-2 人员岗位信息'!$B:$B,$D183)</f>
        <v>0</v>
      </c>
      <c r="BI183" s="304"/>
      <c r="BJ183" s="181">
        <f t="shared" si="386"/>
        <v>0</v>
      </c>
      <c r="BK183" s="181">
        <f>SUMIFS('1-2 人员岗位信息'!Q:Q,'1-2 人员岗位信息'!$C:$C,"劳务派遣",'1-2 人员岗位信息'!$B:$B,$D183)</f>
        <v>0</v>
      </c>
      <c r="BL183" s="313"/>
      <c r="BM183" s="317"/>
      <c r="BN183" s="321"/>
    </row>
    <row r="184" s="269" customFormat="1" ht="33.95" hidden="1" customHeight="1" outlineLevel="5" spans="2:66">
      <c r="B184" s="181" t="s">
        <v>792</v>
      </c>
      <c r="C184" s="289" t="s">
        <v>1104</v>
      </c>
      <c r="D184" s="269" t="s">
        <v>1098</v>
      </c>
      <c r="E184" s="181" t="s">
        <v>1105</v>
      </c>
      <c r="F184" s="181"/>
      <c r="G184" s="181" t="s">
        <v>796</v>
      </c>
      <c r="H184" s="181">
        <f t="shared" si="370"/>
        <v>0</v>
      </c>
      <c r="I184" s="181" t="s">
        <v>797</v>
      </c>
      <c r="J184" s="181" t="e">
        <f t="shared" si="371"/>
        <v>#DIV/0!</v>
      </c>
      <c r="K184" s="181" t="s">
        <v>798</v>
      </c>
      <c r="L184" s="181" t="e">
        <f t="shared" si="372"/>
        <v>#DIV/0!</v>
      </c>
      <c r="M184" s="181" t="s">
        <v>799</v>
      </c>
      <c r="N184" s="181">
        <f t="shared" si="373"/>
        <v>0</v>
      </c>
      <c r="O184" s="181"/>
      <c r="P184" s="296"/>
      <c r="Q184" s="296"/>
      <c r="R184" s="296"/>
      <c r="S184" s="296"/>
      <c r="T184" s="296"/>
      <c r="U184" s="296"/>
      <c r="V184" s="296"/>
      <c r="W184" s="296"/>
      <c r="X184" s="296"/>
      <c r="Y184" s="296"/>
      <c r="Z184" s="296"/>
      <c r="AA184" s="296"/>
      <c r="AB184" s="181">
        <f t="shared" si="374"/>
        <v>0</v>
      </c>
      <c r="AC184" s="181">
        <f t="shared" si="375"/>
        <v>0</v>
      </c>
      <c r="AD184" s="181">
        <f>SUMIFS('1-2 人员岗位信息'!F:F,'1-2 人员岗位信息'!$C:$C,"劳务派遣",'1-2 人员岗位信息'!$B:$B,$D184)</f>
        <v>0</v>
      </c>
      <c r="AE184" s="304"/>
      <c r="AF184" s="181">
        <f t="shared" si="376"/>
        <v>0</v>
      </c>
      <c r="AG184" s="181">
        <f>SUMIFS('1-2 人员岗位信息'!G:G,'1-2 人员岗位信息'!$C:$C,"劳务派遣",'1-2 人员岗位信息'!$B:$B,$D184)</f>
        <v>0</v>
      </c>
      <c r="AH184" s="304"/>
      <c r="AI184" s="181">
        <f t="shared" si="377"/>
        <v>0</v>
      </c>
      <c r="AJ184" s="181">
        <f>SUMIFS('1-2 人员岗位信息'!H:H,'1-2 人员岗位信息'!$C:$C,"劳务派遣",'1-2 人员岗位信息'!$B:$B,$D184)</f>
        <v>0</v>
      </c>
      <c r="AK184" s="304"/>
      <c r="AL184" s="181">
        <f t="shared" si="378"/>
        <v>0</v>
      </c>
      <c r="AM184" s="181">
        <f>SUMIFS('1-2 人员岗位信息'!I:I,'1-2 人员岗位信息'!$C:$C,"劳务派遣",'1-2 人员岗位信息'!$B:$B,$D184)</f>
        <v>0</v>
      </c>
      <c r="AN184" s="304"/>
      <c r="AO184" s="181">
        <f t="shared" si="379"/>
        <v>0</v>
      </c>
      <c r="AP184" s="181">
        <f>SUMIFS('1-2 人员岗位信息'!J:J,'1-2 人员岗位信息'!$C:$C,"劳务派遣",'1-2 人员岗位信息'!$B:$B,$D184)</f>
        <v>0</v>
      </c>
      <c r="AQ184" s="304"/>
      <c r="AR184" s="181">
        <f t="shared" si="380"/>
        <v>0</v>
      </c>
      <c r="AS184" s="181">
        <f>SUMIFS('1-2 人员岗位信息'!K:K,'1-2 人员岗位信息'!$C:$C,"劳务派遣",'1-2 人员岗位信息'!$B:$B,$D184)</f>
        <v>0</v>
      </c>
      <c r="AT184" s="304"/>
      <c r="AU184" s="181">
        <f t="shared" si="381"/>
        <v>0</v>
      </c>
      <c r="AV184" s="181">
        <f>SUMIFS('1-2 人员岗位信息'!L:L,'1-2 人员岗位信息'!$C:$C,"劳务派遣",'1-2 人员岗位信息'!$B:$B,$D184)</f>
        <v>0</v>
      </c>
      <c r="AW184" s="304"/>
      <c r="AX184" s="181">
        <f t="shared" si="382"/>
        <v>0</v>
      </c>
      <c r="AY184" s="181">
        <f>SUMIFS('1-2 人员岗位信息'!M:M,'1-2 人员岗位信息'!$C:$C,"劳务派遣",'1-2 人员岗位信息'!$B:$B,$D184)</f>
        <v>0</v>
      </c>
      <c r="AZ184" s="304"/>
      <c r="BA184" s="181">
        <f t="shared" si="383"/>
        <v>0</v>
      </c>
      <c r="BB184" s="181">
        <f>SUMIFS('1-2 人员岗位信息'!N:N,'1-2 人员岗位信息'!$C:$C,"劳务派遣",'1-2 人员岗位信息'!$B:$B,$D184)</f>
        <v>0</v>
      </c>
      <c r="BC184" s="304"/>
      <c r="BD184" s="181">
        <f t="shared" si="384"/>
        <v>0</v>
      </c>
      <c r="BE184" s="181">
        <f>SUMIFS('1-2 人员岗位信息'!O:O,'1-2 人员岗位信息'!$C:$C,"劳务派遣",'1-2 人员岗位信息'!$B:$B,$D184)</f>
        <v>0</v>
      </c>
      <c r="BF184" s="304"/>
      <c r="BG184" s="181">
        <f t="shared" si="385"/>
        <v>0</v>
      </c>
      <c r="BH184" s="181">
        <f>SUMIFS('1-2 人员岗位信息'!P:P,'1-2 人员岗位信息'!$C:$C,"劳务派遣",'1-2 人员岗位信息'!$B:$B,$D184)</f>
        <v>0</v>
      </c>
      <c r="BI184" s="304"/>
      <c r="BJ184" s="181">
        <f t="shared" si="386"/>
        <v>0</v>
      </c>
      <c r="BK184" s="181">
        <f>SUMIFS('1-2 人员岗位信息'!Q:Q,'1-2 人员岗位信息'!$C:$C,"劳务派遣",'1-2 人员岗位信息'!$B:$B,$D184)</f>
        <v>0</v>
      </c>
      <c r="BL184" s="313"/>
      <c r="BM184" s="317"/>
      <c r="BN184" s="321"/>
    </row>
    <row r="185" s="124" customFormat="1" ht="33.95" hidden="1" customHeight="1" outlineLevel="4" spans="2:66">
      <c r="B185" s="125" t="s">
        <v>787</v>
      </c>
      <c r="C185" s="126" t="s">
        <v>1106</v>
      </c>
      <c r="D185" s="124" t="s">
        <v>19</v>
      </c>
      <c r="E185" s="125"/>
      <c r="F185" s="125"/>
      <c r="G185" s="125"/>
      <c r="H185" s="125">
        <f>SUM(H186:H188)</f>
        <v>0</v>
      </c>
      <c r="I185" s="125"/>
      <c r="J185" s="125"/>
      <c r="K185" s="125"/>
      <c r="L185" s="125"/>
      <c r="M185" s="125"/>
      <c r="N185" s="125"/>
      <c r="O185" s="125"/>
      <c r="P185" s="295"/>
      <c r="Q185" s="295"/>
      <c r="R185" s="295"/>
      <c r="S185" s="295"/>
      <c r="T185" s="295"/>
      <c r="U185" s="295"/>
      <c r="V185" s="295"/>
      <c r="W185" s="295"/>
      <c r="X185" s="295"/>
      <c r="Y185" s="295"/>
      <c r="Z185" s="295"/>
      <c r="AA185" s="295"/>
      <c r="AB185" s="125">
        <f t="shared" ref="AB185:AF185" si="387">SUM(AB186:AB188)</f>
        <v>0</v>
      </c>
      <c r="AC185" s="125">
        <f t="shared" si="387"/>
        <v>0</v>
      </c>
      <c r="AD185" s="125"/>
      <c r="AE185" s="125"/>
      <c r="AF185" s="125">
        <f t="shared" si="387"/>
        <v>0</v>
      </c>
      <c r="AG185" s="125"/>
      <c r="AH185" s="125"/>
      <c r="AI185" s="125">
        <f>SUM(AI186:AI188)</f>
        <v>0</v>
      </c>
      <c r="AJ185" s="125"/>
      <c r="AK185" s="125"/>
      <c r="AL185" s="125">
        <f>SUM(AL186:AL188)</f>
        <v>0</v>
      </c>
      <c r="AM185" s="125"/>
      <c r="AN185" s="125"/>
      <c r="AO185" s="125">
        <f>SUM(AO186:AO188)</f>
        <v>0</v>
      </c>
      <c r="AP185" s="125"/>
      <c r="AQ185" s="125"/>
      <c r="AR185" s="125">
        <f>SUM(AR186:AR188)</f>
        <v>0</v>
      </c>
      <c r="AS185" s="125"/>
      <c r="AT185" s="125"/>
      <c r="AU185" s="125">
        <f>SUM(AU186:AU188)</f>
        <v>0</v>
      </c>
      <c r="AV185" s="125"/>
      <c r="AW185" s="125"/>
      <c r="AX185" s="125">
        <f>SUM(AX186:AX188)</f>
        <v>0</v>
      </c>
      <c r="AY185" s="125"/>
      <c r="AZ185" s="125"/>
      <c r="BA185" s="125">
        <f>SUM(BA186:BA188)</f>
        <v>0</v>
      </c>
      <c r="BB185" s="125"/>
      <c r="BC185" s="125"/>
      <c r="BD185" s="125">
        <f>SUM(BD186:BD188)</f>
        <v>0</v>
      </c>
      <c r="BE185" s="125"/>
      <c r="BF185" s="125"/>
      <c r="BG185" s="125">
        <f>SUM(BG186:BG188)</f>
        <v>0</v>
      </c>
      <c r="BH185" s="125"/>
      <c r="BI185" s="125"/>
      <c r="BJ185" s="125">
        <f>SUM(BJ186:BJ188)</f>
        <v>0</v>
      </c>
      <c r="BK185" s="125"/>
      <c r="BL185" s="312"/>
      <c r="BM185" s="317"/>
      <c r="BN185" s="320"/>
    </row>
    <row r="186" s="269" customFormat="1" ht="33.95" hidden="1" customHeight="1" outlineLevel="5" spans="2:66">
      <c r="B186" s="181" t="s">
        <v>792</v>
      </c>
      <c r="C186" s="289" t="s">
        <v>1107</v>
      </c>
      <c r="D186" s="269" t="s">
        <v>1093</v>
      </c>
      <c r="E186" s="181" t="s">
        <v>1108</v>
      </c>
      <c r="F186" s="181"/>
      <c r="G186" s="181" t="s">
        <v>796</v>
      </c>
      <c r="H186" s="181">
        <f t="shared" ref="H186:H188" si="388">AB186</f>
        <v>0</v>
      </c>
      <c r="I186" s="181" t="s">
        <v>797</v>
      </c>
      <c r="J186" s="181" t="e">
        <f t="shared" ref="J186:J188" si="389">SUM(AD186,AG186,AJ186,AM186,AP186,AS186,AV186,AY186,BB186,BE186,BH186,BK186)/N186</f>
        <v>#DIV/0!</v>
      </c>
      <c r="K186" s="181" t="s">
        <v>798</v>
      </c>
      <c r="L186" s="181" t="e">
        <f t="shared" ref="L186:L188" si="390">H186/N186/J186</f>
        <v>#DIV/0!</v>
      </c>
      <c r="M186" s="181" t="s">
        <v>799</v>
      </c>
      <c r="N186" s="181">
        <f t="shared" ref="N186:N188" si="391">COUNTIF(AD186,"&gt;0")+COUNTIF(AG186,"&gt;0")+COUNTIF(AJ186,"&gt;0")+COUNTIF(AM186,"&gt;0")+COUNTIF(AP186,"&gt;0")+COUNTIF(AS186,"&gt;0")+COUNTIF(AV186,"&gt;0")+COUNTIF(AY186,"&gt;0")+COUNTIF(BB186,"&gt;0")+COUNTIF(BE186,"&gt;0")+COUNTIF(BH186,"&gt;0")+COUNTIF(BK186,"&gt;0")</f>
        <v>0</v>
      </c>
      <c r="O186" s="181"/>
      <c r="P186" s="296"/>
      <c r="Q186" s="296"/>
      <c r="R186" s="296"/>
      <c r="S186" s="296"/>
      <c r="T186" s="296"/>
      <c r="U186" s="296"/>
      <c r="V186" s="296"/>
      <c r="W186" s="296"/>
      <c r="X186" s="296"/>
      <c r="Y186" s="296"/>
      <c r="Z186" s="296"/>
      <c r="AA186" s="296"/>
      <c r="AB186" s="181">
        <f t="shared" ref="AB186:AB188" si="392">SUM(AC186,AF186,AI186,AL186,AO186,AR186,AU186,AX186,BA186,BD186,BG186,BJ186)</f>
        <v>0</v>
      </c>
      <c r="AC186" s="181">
        <f t="shared" ref="AC186:AC188" si="393">AD186*AE186</f>
        <v>0</v>
      </c>
      <c r="AD186" s="181">
        <f>SUMIFS('1-2 人员岗位信息'!F:F,'1-2 人员岗位信息'!$C:$C,"专业外包",'1-2 人员岗位信息'!$B:$B,$D186)</f>
        <v>0</v>
      </c>
      <c r="AE186" s="304"/>
      <c r="AF186" s="181">
        <f t="shared" ref="AF186:AF188" si="394">AG186*AH186</f>
        <v>0</v>
      </c>
      <c r="AG186" s="181">
        <f>SUMIFS('1-2 人员岗位信息'!G:G,'1-2 人员岗位信息'!$C:$C,"专业外包",'1-2 人员岗位信息'!$B:$B,$D186)</f>
        <v>0</v>
      </c>
      <c r="AH186" s="304"/>
      <c r="AI186" s="181">
        <f t="shared" ref="AI186:AI188" si="395">AJ186*AK186</f>
        <v>0</v>
      </c>
      <c r="AJ186" s="181">
        <f>SUMIFS('1-2 人员岗位信息'!H:H,'1-2 人员岗位信息'!$C:$C,"专业外包",'1-2 人员岗位信息'!$B:$B,$D186)</f>
        <v>0</v>
      </c>
      <c r="AK186" s="304"/>
      <c r="AL186" s="181">
        <f t="shared" ref="AL186:AL188" si="396">AM186*AN186</f>
        <v>0</v>
      </c>
      <c r="AM186" s="181">
        <f>SUMIFS('1-2 人员岗位信息'!I:I,'1-2 人员岗位信息'!$C:$C,"专业外包",'1-2 人员岗位信息'!$B:$B,$D186)</f>
        <v>0</v>
      </c>
      <c r="AN186" s="304"/>
      <c r="AO186" s="181">
        <f t="shared" ref="AO186:AO188" si="397">AP186*AQ186</f>
        <v>0</v>
      </c>
      <c r="AP186" s="181">
        <f>SUMIFS('1-2 人员岗位信息'!J:J,'1-2 人员岗位信息'!$C:$C,"专业外包",'1-2 人员岗位信息'!$B:$B,$D186)</f>
        <v>0</v>
      </c>
      <c r="AQ186" s="304"/>
      <c r="AR186" s="181">
        <f t="shared" ref="AR186:AR188" si="398">AS186*AT186</f>
        <v>0</v>
      </c>
      <c r="AS186" s="181">
        <f>SUMIFS('1-2 人员岗位信息'!K:K,'1-2 人员岗位信息'!$C:$C,"专业外包",'1-2 人员岗位信息'!$B:$B,$D186)</f>
        <v>0</v>
      </c>
      <c r="AT186" s="304"/>
      <c r="AU186" s="181">
        <f t="shared" ref="AU186:AU188" si="399">AV186*AW186</f>
        <v>0</v>
      </c>
      <c r="AV186" s="181">
        <f>SUMIFS('1-2 人员岗位信息'!L:L,'1-2 人员岗位信息'!$C:$C,"专业外包",'1-2 人员岗位信息'!$B:$B,$D186)</f>
        <v>0</v>
      </c>
      <c r="AW186" s="304"/>
      <c r="AX186" s="181">
        <f t="shared" ref="AX186:AX188" si="400">AY186*AZ186</f>
        <v>0</v>
      </c>
      <c r="AY186" s="181">
        <f>SUMIFS('1-2 人员岗位信息'!M:M,'1-2 人员岗位信息'!$C:$C,"专业外包",'1-2 人员岗位信息'!$B:$B,$D186)</f>
        <v>0</v>
      </c>
      <c r="AZ186" s="304"/>
      <c r="BA186" s="181">
        <f t="shared" ref="BA186:BA188" si="401">BB186*BC186</f>
        <v>0</v>
      </c>
      <c r="BB186" s="181">
        <f>SUMIFS('1-2 人员岗位信息'!N:N,'1-2 人员岗位信息'!$C:$C,"专业外包",'1-2 人员岗位信息'!$B:$B,$D186)</f>
        <v>0</v>
      </c>
      <c r="BC186" s="304"/>
      <c r="BD186" s="181">
        <f t="shared" ref="BD186:BD188" si="402">BE186*BF186</f>
        <v>0</v>
      </c>
      <c r="BE186" s="181">
        <f>SUMIFS('1-2 人员岗位信息'!O:O,'1-2 人员岗位信息'!$C:$C,"专业外包",'1-2 人员岗位信息'!$B:$B,$D186)</f>
        <v>0</v>
      </c>
      <c r="BF186" s="304"/>
      <c r="BG186" s="181">
        <f t="shared" ref="BG186:BG188" si="403">BH186*BI186</f>
        <v>0</v>
      </c>
      <c r="BH186" s="181">
        <f>SUMIFS('1-2 人员岗位信息'!P:P,'1-2 人员岗位信息'!$C:$C,"专业外包",'1-2 人员岗位信息'!$B:$B,$D186)</f>
        <v>0</v>
      </c>
      <c r="BI186" s="304"/>
      <c r="BJ186" s="181">
        <f t="shared" ref="BJ186:BJ188" si="404">BK186*BL186</f>
        <v>0</v>
      </c>
      <c r="BK186" s="181">
        <f>SUMIFS('1-2 人员岗位信息'!Q:Q,'1-2 人员岗位信息'!$C:$C,"专业外包",'1-2 人员岗位信息'!$B:$B,$D186)</f>
        <v>0</v>
      </c>
      <c r="BL186" s="313"/>
      <c r="BM186" s="317"/>
      <c r="BN186" s="321"/>
    </row>
    <row r="187" s="269" customFormat="1" ht="33.95" hidden="1" customHeight="1" outlineLevel="5" spans="2:66">
      <c r="B187" s="181" t="s">
        <v>792</v>
      </c>
      <c r="C187" s="289" t="s">
        <v>1109</v>
      </c>
      <c r="D187" s="269" t="s">
        <v>1091</v>
      </c>
      <c r="E187" s="181" t="s">
        <v>1110</v>
      </c>
      <c r="F187" s="181"/>
      <c r="G187" s="181" t="s">
        <v>796</v>
      </c>
      <c r="H187" s="181">
        <f t="shared" si="388"/>
        <v>0</v>
      </c>
      <c r="I187" s="181" t="s">
        <v>797</v>
      </c>
      <c r="J187" s="181" t="e">
        <f t="shared" si="389"/>
        <v>#DIV/0!</v>
      </c>
      <c r="K187" s="181" t="s">
        <v>798</v>
      </c>
      <c r="L187" s="181" t="e">
        <f t="shared" si="390"/>
        <v>#DIV/0!</v>
      </c>
      <c r="M187" s="181" t="s">
        <v>799</v>
      </c>
      <c r="N187" s="181">
        <f t="shared" si="391"/>
        <v>0</v>
      </c>
      <c r="O187" s="181"/>
      <c r="P187" s="296"/>
      <c r="Q187" s="296"/>
      <c r="R187" s="296"/>
      <c r="S187" s="296"/>
      <c r="T187" s="296"/>
      <c r="U187" s="296"/>
      <c r="V187" s="296"/>
      <c r="W187" s="296"/>
      <c r="X187" s="296"/>
      <c r="Y187" s="296"/>
      <c r="Z187" s="296"/>
      <c r="AA187" s="296"/>
      <c r="AB187" s="181">
        <f t="shared" si="392"/>
        <v>0</v>
      </c>
      <c r="AC187" s="181">
        <f t="shared" si="393"/>
        <v>0</v>
      </c>
      <c r="AD187" s="181">
        <f>SUMIFS('1-2 人员岗位信息'!F:F,'1-2 人员岗位信息'!$C:$C,"专业外包",'1-2 人员岗位信息'!$B:$B,$D187)</f>
        <v>0</v>
      </c>
      <c r="AE187" s="304"/>
      <c r="AF187" s="181">
        <f t="shared" si="394"/>
        <v>0</v>
      </c>
      <c r="AG187" s="181">
        <f>SUMIFS('1-2 人员岗位信息'!G:G,'1-2 人员岗位信息'!$C:$C,"专业外包",'1-2 人员岗位信息'!$B:$B,$D187)</f>
        <v>0</v>
      </c>
      <c r="AH187" s="304"/>
      <c r="AI187" s="181">
        <f t="shared" si="395"/>
        <v>0</v>
      </c>
      <c r="AJ187" s="181">
        <f>SUMIFS('1-2 人员岗位信息'!H:H,'1-2 人员岗位信息'!$C:$C,"专业外包",'1-2 人员岗位信息'!$B:$B,$D187)</f>
        <v>0</v>
      </c>
      <c r="AK187" s="304"/>
      <c r="AL187" s="181">
        <f t="shared" si="396"/>
        <v>0</v>
      </c>
      <c r="AM187" s="181">
        <f>SUMIFS('1-2 人员岗位信息'!I:I,'1-2 人员岗位信息'!$C:$C,"专业外包",'1-2 人员岗位信息'!$B:$B,$D187)</f>
        <v>0</v>
      </c>
      <c r="AN187" s="304"/>
      <c r="AO187" s="181">
        <f t="shared" si="397"/>
        <v>0</v>
      </c>
      <c r="AP187" s="181">
        <f>SUMIFS('1-2 人员岗位信息'!J:J,'1-2 人员岗位信息'!$C:$C,"专业外包",'1-2 人员岗位信息'!$B:$B,$D187)</f>
        <v>0</v>
      </c>
      <c r="AQ187" s="304"/>
      <c r="AR187" s="181">
        <f t="shared" si="398"/>
        <v>0</v>
      </c>
      <c r="AS187" s="181">
        <f>SUMIFS('1-2 人员岗位信息'!K:K,'1-2 人员岗位信息'!$C:$C,"专业外包",'1-2 人员岗位信息'!$B:$B,$D187)</f>
        <v>0</v>
      </c>
      <c r="AT187" s="304"/>
      <c r="AU187" s="181">
        <f t="shared" si="399"/>
        <v>0</v>
      </c>
      <c r="AV187" s="181">
        <f>SUMIFS('1-2 人员岗位信息'!L:L,'1-2 人员岗位信息'!$C:$C,"专业外包",'1-2 人员岗位信息'!$B:$B,$D187)</f>
        <v>0</v>
      </c>
      <c r="AW187" s="304"/>
      <c r="AX187" s="181">
        <f t="shared" si="400"/>
        <v>0</v>
      </c>
      <c r="AY187" s="181">
        <f>SUMIFS('1-2 人员岗位信息'!M:M,'1-2 人员岗位信息'!$C:$C,"专业外包",'1-2 人员岗位信息'!$B:$B,$D187)</f>
        <v>0</v>
      </c>
      <c r="AZ187" s="304"/>
      <c r="BA187" s="181">
        <f t="shared" si="401"/>
        <v>0</v>
      </c>
      <c r="BB187" s="181">
        <f>SUMIFS('1-2 人员岗位信息'!N:N,'1-2 人员岗位信息'!$C:$C,"专业外包",'1-2 人员岗位信息'!$B:$B,$D187)</f>
        <v>0</v>
      </c>
      <c r="BC187" s="304"/>
      <c r="BD187" s="181">
        <f t="shared" si="402"/>
        <v>0</v>
      </c>
      <c r="BE187" s="181">
        <f>SUMIFS('1-2 人员岗位信息'!O:O,'1-2 人员岗位信息'!$C:$C,"专业外包",'1-2 人员岗位信息'!$B:$B,$D187)</f>
        <v>0</v>
      </c>
      <c r="BF187" s="304"/>
      <c r="BG187" s="181">
        <f t="shared" si="403"/>
        <v>0</v>
      </c>
      <c r="BH187" s="181">
        <f>SUMIFS('1-2 人员岗位信息'!P:P,'1-2 人员岗位信息'!$C:$C,"专业外包",'1-2 人员岗位信息'!$B:$B,$D187)</f>
        <v>0</v>
      </c>
      <c r="BI187" s="304"/>
      <c r="BJ187" s="181">
        <f t="shared" si="404"/>
        <v>0</v>
      </c>
      <c r="BK187" s="181">
        <f>SUMIFS('1-2 人员岗位信息'!Q:Q,'1-2 人员岗位信息'!$C:$C,"专业外包",'1-2 人员岗位信息'!$B:$B,$D187)</f>
        <v>0</v>
      </c>
      <c r="BL187" s="313"/>
      <c r="BM187" s="317"/>
      <c r="BN187" s="321"/>
    </row>
    <row r="188" s="269" customFormat="1" ht="33.95" hidden="1" customHeight="1" outlineLevel="5" spans="2:66">
      <c r="B188" s="181" t="s">
        <v>792</v>
      </c>
      <c r="C188" s="289" t="s">
        <v>1111</v>
      </c>
      <c r="D188" s="269" t="s">
        <v>1098</v>
      </c>
      <c r="E188" s="181" t="s">
        <v>1112</v>
      </c>
      <c r="F188" s="181"/>
      <c r="G188" s="181" t="s">
        <v>796</v>
      </c>
      <c r="H188" s="181">
        <f t="shared" si="388"/>
        <v>0</v>
      </c>
      <c r="I188" s="181" t="s">
        <v>797</v>
      </c>
      <c r="J188" s="181" t="e">
        <f t="shared" si="389"/>
        <v>#DIV/0!</v>
      </c>
      <c r="K188" s="181" t="s">
        <v>798</v>
      </c>
      <c r="L188" s="181" t="e">
        <f t="shared" si="390"/>
        <v>#DIV/0!</v>
      </c>
      <c r="M188" s="181" t="s">
        <v>799</v>
      </c>
      <c r="N188" s="181">
        <f t="shared" si="391"/>
        <v>0</v>
      </c>
      <c r="O188" s="181"/>
      <c r="P188" s="296"/>
      <c r="Q188" s="296"/>
      <c r="R188" s="296"/>
      <c r="S188" s="296"/>
      <c r="T188" s="296"/>
      <c r="U188" s="296"/>
      <c r="V188" s="296"/>
      <c r="W188" s="296"/>
      <c r="X188" s="296"/>
      <c r="Y188" s="296"/>
      <c r="Z188" s="296"/>
      <c r="AA188" s="296"/>
      <c r="AB188" s="181">
        <f t="shared" si="392"/>
        <v>0</v>
      </c>
      <c r="AC188" s="181">
        <f t="shared" si="393"/>
        <v>0</v>
      </c>
      <c r="AD188" s="181">
        <f>SUMIFS('1-2 人员岗位信息'!F:F,'1-2 人员岗位信息'!$C:$C,"专业外包",'1-2 人员岗位信息'!$B:$B,$D188)</f>
        <v>0</v>
      </c>
      <c r="AE188" s="304"/>
      <c r="AF188" s="181">
        <f t="shared" si="394"/>
        <v>0</v>
      </c>
      <c r="AG188" s="181">
        <f>SUMIFS('1-2 人员岗位信息'!G:G,'1-2 人员岗位信息'!$C:$C,"专业外包",'1-2 人员岗位信息'!$B:$B,$D188)</f>
        <v>0</v>
      </c>
      <c r="AH188" s="304"/>
      <c r="AI188" s="181">
        <f t="shared" si="395"/>
        <v>0</v>
      </c>
      <c r="AJ188" s="181">
        <f>SUMIFS('1-2 人员岗位信息'!H:H,'1-2 人员岗位信息'!$C:$C,"专业外包",'1-2 人员岗位信息'!$B:$B,$D188)</f>
        <v>0</v>
      </c>
      <c r="AK188" s="304"/>
      <c r="AL188" s="181">
        <f t="shared" si="396"/>
        <v>0</v>
      </c>
      <c r="AM188" s="181">
        <f>SUMIFS('1-2 人员岗位信息'!I:I,'1-2 人员岗位信息'!$C:$C,"专业外包",'1-2 人员岗位信息'!$B:$B,$D188)</f>
        <v>0</v>
      </c>
      <c r="AN188" s="304"/>
      <c r="AO188" s="181">
        <f t="shared" si="397"/>
        <v>0</v>
      </c>
      <c r="AP188" s="181">
        <f>SUMIFS('1-2 人员岗位信息'!J:J,'1-2 人员岗位信息'!$C:$C,"专业外包",'1-2 人员岗位信息'!$B:$B,$D188)</f>
        <v>0</v>
      </c>
      <c r="AQ188" s="304"/>
      <c r="AR188" s="181">
        <f t="shared" si="398"/>
        <v>0</v>
      </c>
      <c r="AS188" s="181">
        <f>SUMIFS('1-2 人员岗位信息'!K:K,'1-2 人员岗位信息'!$C:$C,"专业外包",'1-2 人员岗位信息'!$B:$B,$D188)</f>
        <v>0</v>
      </c>
      <c r="AT188" s="304"/>
      <c r="AU188" s="181">
        <f t="shared" si="399"/>
        <v>0</v>
      </c>
      <c r="AV188" s="181">
        <f>SUMIFS('1-2 人员岗位信息'!L:L,'1-2 人员岗位信息'!$C:$C,"专业外包",'1-2 人员岗位信息'!$B:$B,$D188)</f>
        <v>0</v>
      </c>
      <c r="AW188" s="304"/>
      <c r="AX188" s="181">
        <f t="shared" si="400"/>
        <v>0</v>
      </c>
      <c r="AY188" s="181">
        <f>SUMIFS('1-2 人员岗位信息'!M:M,'1-2 人员岗位信息'!$C:$C,"专业外包",'1-2 人员岗位信息'!$B:$B,$D188)</f>
        <v>0</v>
      </c>
      <c r="AZ188" s="304"/>
      <c r="BA188" s="181">
        <f t="shared" si="401"/>
        <v>0</v>
      </c>
      <c r="BB188" s="181">
        <f>SUMIFS('1-2 人员岗位信息'!N:N,'1-2 人员岗位信息'!$C:$C,"专业外包",'1-2 人员岗位信息'!$B:$B,$D188)</f>
        <v>0</v>
      </c>
      <c r="BC188" s="304"/>
      <c r="BD188" s="181">
        <f t="shared" si="402"/>
        <v>0</v>
      </c>
      <c r="BE188" s="181">
        <f>SUMIFS('1-2 人员岗位信息'!O:O,'1-2 人员岗位信息'!$C:$C,"专业外包",'1-2 人员岗位信息'!$B:$B,$D188)</f>
        <v>0</v>
      </c>
      <c r="BF188" s="304"/>
      <c r="BG188" s="181">
        <f t="shared" si="403"/>
        <v>0</v>
      </c>
      <c r="BH188" s="181">
        <f>SUMIFS('1-2 人员岗位信息'!P:P,'1-2 人员岗位信息'!$C:$C,"专业外包",'1-2 人员岗位信息'!$B:$B,$D188)</f>
        <v>0</v>
      </c>
      <c r="BI188" s="304"/>
      <c r="BJ188" s="181">
        <f t="shared" si="404"/>
        <v>0</v>
      </c>
      <c r="BK188" s="181">
        <f>SUMIFS('1-2 人员岗位信息'!Q:Q,'1-2 人员岗位信息'!$C:$C,"专业外包",'1-2 人员岗位信息'!$B:$B,$D188)</f>
        <v>0</v>
      </c>
      <c r="BL188" s="313"/>
      <c r="BM188" s="317"/>
      <c r="BN188" s="321"/>
    </row>
    <row r="189" s="43" customFormat="1" ht="33.95" customHeight="1" outlineLevel="3" spans="2:66">
      <c r="B189" s="121" t="s">
        <v>787</v>
      </c>
      <c r="C189" s="122" t="s">
        <v>1113</v>
      </c>
      <c r="D189" s="43" t="s">
        <v>1114</v>
      </c>
      <c r="E189" s="121"/>
      <c r="F189" s="121"/>
      <c r="G189" s="121"/>
      <c r="H189" s="121">
        <f>H190+H196+H202</f>
        <v>38800</v>
      </c>
      <c r="I189" s="121"/>
      <c r="J189" s="121"/>
      <c r="K189" s="121"/>
      <c r="L189" s="121"/>
      <c r="M189" s="121"/>
      <c r="N189" s="121"/>
      <c r="O189" s="121"/>
      <c r="P189" s="294"/>
      <c r="Q189" s="294"/>
      <c r="R189" s="294"/>
      <c r="S189" s="294"/>
      <c r="T189" s="294"/>
      <c r="U189" s="294"/>
      <c r="V189" s="294"/>
      <c r="W189" s="294"/>
      <c r="X189" s="294"/>
      <c r="Y189" s="294"/>
      <c r="Z189" s="294"/>
      <c r="AA189" s="294"/>
      <c r="AB189" s="121">
        <f t="shared" ref="AB189:AF189" si="405">AB190+AB196+AB202</f>
        <v>38800</v>
      </c>
      <c r="AC189" s="121">
        <f t="shared" si="405"/>
        <v>38800</v>
      </c>
      <c r="AD189" s="121"/>
      <c r="AE189" s="121"/>
      <c r="AF189" s="121">
        <f t="shared" si="405"/>
        <v>0</v>
      </c>
      <c r="AG189" s="121"/>
      <c r="AH189" s="121"/>
      <c r="AI189" s="121">
        <f>AI190+AI196+AI202</f>
        <v>0</v>
      </c>
      <c r="AJ189" s="121"/>
      <c r="AK189" s="121"/>
      <c r="AL189" s="121">
        <f>AL190+AL196+AL202</f>
        <v>0</v>
      </c>
      <c r="AM189" s="121"/>
      <c r="AN189" s="121"/>
      <c r="AO189" s="121">
        <f>AO190+AO196+AO202</f>
        <v>0</v>
      </c>
      <c r="AP189" s="121"/>
      <c r="AQ189" s="121"/>
      <c r="AR189" s="121">
        <f>AR190+AR196+AR202</f>
        <v>0</v>
      </c>
      <c r="AS189" s="121"/>
      <c r="AT189" s="121"/>
      <c r="AU189" s="121">
        <f>AU190+AU196+AU202</f>
        <v>0</v>
      </c>
      <c r="AV189" s="121"/>
      <c r="AW189" s="121"/>
      <c r="AX189" s="121">
        <f>AX190+AX196+AX202</f>
        <v>0</v>
      </c>
      <c r="AY189" s="121"/>
      <c r="AZ189" s="121"/>
      <c r="BA189" s="121">
        <f>BA190+BA196+BA202</f>
        <v>0</v>
      </c>
      <c r="BB189" s="121"/>
      <c r="BC189" s="121"/>
      <c r="BD189" s="121">
        <f>BD190+BD196+BD202</f>
        <v>0</v>
      </c>
      <c r="BE189" s="121"/>
      <c r="BF189" s="121"/>
      <c r="BG189" s="121">
        <f>BG190+BG196+BG202</f>
        <v>0</v>
      </c>
      <c r="BH189" s="121"/>
      <c r="BI189" s="121"/>
      <c r="BJ189" s="121">
        <f>BJ190+BJ196+BJ202</f>
        <v>0</v>
      </c>
      <c r="BK189" s="121"/>
      <c r="BL189" s="311"/>
      <c r="BM189" s="317"/>
      <c r="BN189" s="319"/>
    </row>
    <row r="190" s="124" customFormat="1" ht="33.95" customHeight="1" outlineLevel="4" spans="2:66">
      <c r="B190" s="125" t="s">
        <v>787</v>
      </c>
      <c r="C190" s="126" t="s">
        <v>130</v>
      </c>
      <c r="D190" s="124" t="s">
        <v>109</v>
      </c>
      <c r="E190" s="125"/>
      <c r="F190" s="125"/>
      <c r="G190" s="125"/>
      <c r="H190" s="125">
        <f>SUM(H191:H195)</f>
        <v>38800</v>
      </c>
      <c r="I190" s="125"/>
      <c r="J190" s="125"/>
      <c r="K190" s="125"/>
      <c r="L190" s="125"/>
      <c r="M190" s="125"/>
      <c r="N190" s="125"/>
      <c r="O190" s="125"/>
      <c r="P190" s="295"/>
      <c r="Q190" s="295"/>
      <c r="R190" s="295"/>
      <c r="S190" s="295"/>
      <c r="T190" s="295"/>
      <c r="U190" s="295"/>
      <c r="V190" s="295"/>
      <c r="W190" s="295"/>
      <c r="X190" s="295"/>
      <c r="Y190" s="295"/>
      <c r="Z190" s="295"/>
      <c r="AA190" s="295"/>
      <c r="AB190" s="125">
        <f t="shared" ref="AB190:AF190" si="406">SUM(AB191:AB195)</f>
        <v>38800</v>
      </c>
      <c r="AC190" s="125">
        <f t="shared" si="406"/>
        <v>38800</v>
      </c>
      <c r="AD190" s="125"/>
      <c r="AE190" s="125"/>
      <c r="AF190" s="125">
        <f t="shared" si="406"/>
        <v>0</v>
      </c>
      <c r="AG190" s="125"/>
      <c r="AH190" s="125"/>
      <c r="AI190" s="125">
        <f>SUM(AI191:AI195)</f>
        <v>0</v>
      </c>
      <c r="AJ190" s="125"/>
      <c r="AK190" s="125"/>
      <c r="AL190" s="125">
        <f>SUM(AL191:AL195)</f>
        <v>0</v>
      </c>
      <c r="AM190" s="125"/>
      <c r="AN190" s="125"/>
      <c r="AO190" s="125">
        <f>SUM(AO191:AO195)</f>
        <v>0</v>
      </c>
      <c r="AP190" s="125"/>
      <c r="AQ190" s="125"/>
      <c r="AR190" s="125">
        <f>SUM(AR191:AR195)</f>
        <v>0</v>
      </c>
      <c r="AS190" s="125"/>
      <c r="AT190" s="125"/>
      <c r="AU190" s="125">
        <f>SUM(AU191:AU195)</f>
        <v>0</v>
      </c>
      <c r="AV190" s="125"/>
      <c r="AW190" s="125"/>
      <c r="AX190" s="125">
        <f>SUM(AX191:AX195)</f>
        <v>0</v>
      </c>
      <c r="AY190" s="125"/>
      <c r="AZ190" s="125"/>
      <c r="BA190" s="125">
        <f>SUM(BA191:BA195)</f>
        <v>0</v>
      </c>
      <c r="BB190" s="125"/>
      <c r="BC190" s="125"/>
      <c r="BD190" s="125">
        <f>SUM(BD191:BD195)</f>
        <v>0</v>
      </c>
      <c r="BE190" s="125"/>
      <c r="BF190" s="125"/>
      <c r="BG190" s="125">
        <f>SUM(BG191:BG195)</f>
        <v>0</v>
      </c>
      <c r="BH190" s="125"/>
      <c r="BI190" s="125"/>
      <c r="BJ190" s="125">
        <f>SUM(BJ191:BJ195)</f>
        <v>0</v>
      </c>
      <c r="BK190" s="125"/>
      <c r="BL190" s="312"/>
      <c r="BM190" s="317"/>
      <c r="BN190" s="320"/>
    </row>
    <row r="191" s="269" customFormat="1" ht="33.95" customHeight="1" outlineLevel="5" spans="2:66">
      <c r="B191" s="181" t="s">
        <v>792</v>
      </c>
      <c r="C191" s="289" t="s">
        <v>1115</v>
      </c>
      <c r="D191" s="269" t="s">
        <v>1116</v>
      </c>
      <c r="E191" s="181" t="s">
        <v>1117</v>
      </c>
      <c r="F191" s="181"/>
      <c r="G191" s="181" t="s">
        <v>796</v>
      </c>
      <c r="H191" s="181">
        <f t="shared" ref="H191:H195" si="407">AB191</f>
        <v>38800</v>
      </c>
      <c r="I191" s="181" t="s">
        <v>797</v>
      </c>
      <c r="J191" s="181">
        <f t="shared" ref="J191:J195" si="408">SUM(AD191,AG191,AJ191,AM191,AP191,AS191,AV191,AY191,BB191,BE191,BH191,BK191)/N191</f>
        <v>21</v>
      </c>
      <c r="K191" s="181" t="s">
        <v>798</v>
      </c>
      <c r="L191" s="181">
        <f t="shared" ref="L191:L195" si="409">H191/N191/J191</f>
        <v>153.968253968254</v>
      </c>
      <c r="M191" s="181" t="s">
        <v>799</v>
      </c>
      <c r="N191" s="181">
        <f t="shared" ref="N191:N195" si="410">COUNTIF(AD191,"&gt;0")+COUNTIF(AG191,"&gt;0")+COUNTIF(AJ191,"&gt;0")+COUNTIF(AM191,"&gt;0")+COUNTIF(AP191,"&gt;0")+COUNTIF(AS191,"&gt;0")+COUNTIF(AV191,"&gt;0")+COUNTIF(AY191,"&gt;0")+COUNTIF(BB191,"&gt;0")+COUNTIF(BE191,"&gt;0")+COUNTIF(BH191,"&gt;0")+COUNTIF(BK191,"&gt;0")</f>
        <v>12</v>
      </c>
      <c r="O191" s="181"/>
      <c r="P191" s="296"/>
      <c r="Q191" s="296"/>
      <c r="R191" s="296"/>
      <c r="S191" s="296"/>
      <c r="T191" s="296"/>
      <c r="U191" s="296"/>
      <c r="V191" s="296"/>
      <c r="W191" s="296"/>
      <c r="X191" s="296"/>
      <c r="Y191" s="296"/>
      <c r="Z191" s="296"/>
      <c r="AA191" s="296"/>
      <c r="AB191" s="181">
        <f t="shared" ref="AB191:AB195" si="411">SUM(AC191,AF191,AI191,AL191,AO191,AR191,AU191,AX191,BA191,BD191,BG191,BJ191)</f>
        <v>38800</v>
      </c>
      <c r="AC191" s="181">
        <f t="shared" ref="AC191:AC195" si="412">AD191*AE191</f>
        <v>38800</v>
      </c>
      <c r="AD191" s="181">
        <f>SUMIFS('1-2 人员岗位信息'!F:F,'1-2 人员岗位信息'!$C:$C,"自有人员",'1-2 人员岗位信息'!$B:$B,$D191)</f>
        <v>21</v>
      </c>
      <c r="AE191" s="304">
        <f>38800/AD191</f>
        <v>1847.61904761905</v>
      </c>
      <c r="AF191" s="181">
        <f t="shared" ref="AF191:AF195" si="413">AG191*AH191</f>
        <v>0</v>
      </c>
      <c r="AG191" s="181">
        <f>SUMIFS('1-2 人员岗位信息'!G:G,'1-2 人员岗位信息'!$C:$C,"自有人员",'1-2 人员岗位信息'!$B:$B,$D191)</f>
        <v>21</v>
      </c>
      <c r="AH191" s="304"/>
      <c r="AI191" s="181">
        <f t="shared" ref="AI191:AI195" si="414">AJ191*AK191</f>
        <v>0</v>
      </c>
      <c r="AJ191" s="181">
        <f>SUMIFS('1-2 人员岗位信息'!H:H,'1-2 人员岗位信息'!$C:$C,"自有人员",'1-2 人员岗位信息'!$B:$B,$D191)</f>
        <v>21</v>
      </c>
      <c r="AK191" s="304"/>
      <c r="AL191" s="181">
        <f t="shared" ref="AL191:AL195" si="415">AM191*AN191</f>
        <v>0</v>
      </c>
      <c r="AM191" s="181">
        <f>SUMIFS('1-2 人员岗位信息'!I:I,'1-2 人员岗位信息'!$C:$C,"自有人员",'1-2 人员岗位信息'!$B:$B,$D191)</f>
        <v>21</v>
      </c>
      <c r="AN191" s="304"/>
      <c r="AO191" s="181">
        <f t="shared" ref="AO191:AO195" si="416">AP191*AQ191</f>
        <v>0</v>
      </c>
      <c r="AP191" s="181">
        <f>SUMIFS('1-2 人员岗位信息'!J:J,'1-2 人员岗位信息'!$C:$C,"自有人员",'1-2 人员岗位信息'!$B:$B,$D191)</f>
        <v>21</v>
      </c>
      <c r="AQ191" s="304"/>
      <c r="AR191" s="181">
        <f t="shared" ref="AR191:AR195" si="417">AS191*AT191</f>
        <v>0</v>
      </c>
      <c r="AS191" s="181">
        <f>SUMIFS('1-2 人员岗位信息'!K:K,'1-2 人员岗位信息'!$C:$C,"自有人员",'1-2 人员岗位信息'!$B:$B,$D191)</f>
        <v>21</v>
      </c>
      <c r="AT191" s="304"/>
      <c r="AU191" s="181">
        <f t="shared" ref="AU191:AU195" si="418">AV191*AW191</f>
        <v>0</v>
      </c>
      <c r="AV191" s="181">
        <f>SUMIFS('1-2 人员岗位信息'!L:L,'1-2 人员岗位信息'!$C:$C,"自有人员",'1-2 人员岗位信息'!$B:$B,$D191)</f>
        <v>21</v>
      </c>
      <c r="AW191" s="304"/>
      <c r="AX191" s="181">
        <f t="shared" ref="AX191:AX195" si="419">AY191*AZ191</f>
        <v>0</v>
      </c>
      <c r="AY191" s="181">
        <f>SUMIFS('1-2 人员岗位信息'!M:M,'1-2 人员岗位信息'!$C:$C,"自有人员",'1-2 人员岗位信息'!$B:$B,$D191)</f>
        <v>21</v>
      </c>
      <c r="AZ191" s="304"/>
      <c r="BA191" s="181">
        <f t="shared" ref="BA191:BA195" si="420">BB191*BC191</f>
        <v>0</v>
      </c>
      <c r="BB191" s="181">
        <f>SUMIFS('1-2 人员岗位信息'!N:N,'1-2 人员岗位信息'!$C:$C,"自有人员",'1-2 人员岗位信息'!$B:$B,$D191)</f>
        <v>21</v>
      </c>
      <c r="BC191" s="304"/>
      <c r="BD191" s="181">
        <f t="shared" ref="BD191:BD195" si="421">BE191*BF191</f>
        <v>0</v>
      </c>
      <c r="BE191" s="181">
        <f>SUMIFS('1-2 人员岗位信息'!O:O,'1-2 人员岗位信息'!$C:$C,"自有人员",'1-2 人员岗位信息'!$B:$B,$D191)</f>
        <v>21</v>
      </c>
      <c r="BF191" s="304"/>
      <c r="BG191" s="181">
        <f t="shared" ref="BG191:BG195" si="422">BH191*BI191</f>
        <v>0</v>
      </c>
      <c r="BH191" s="181">
        <f>SUMIFS('1-2 人员岗位信息'!P:P,'1-2 人员岗位信息'!$C:$C,"自有人员",'1-2 人员岗位信息'!$B:$B,$D191)</f>
        <v>21</v>
      </c>
      <c r="BI191" s="304"/>
      <c r="BJ191" s="181">
        <f t="shared" ref="BJ191:BJ195" si="423">BK191*BL191</f>
        <v>0</v>
      </c>
      <c r="BK191" s="181">
        <f>SUMIFS('1-2 人员岗位信息'!Q:Q,'1-2 人员岗位信息'!$C:$C,"自有人员",'1-2 人员岗位信息'!$B:$B,$D191)</f>
        <v>21</v>
      </c>
      <c r="BL191" s="304"/>
      <c r="BM191" s="317"/>
      <c r="BN191" s="321"/>
    </row>
    <row r="192" s="269" customFormat="1" ht="33.95" customHeight="1" outlineLevel="5" spans="2:66">
      <c r="B192" s="181" t="s">
        <v>792</v>
      </c>
      <c r="C192" s="289" t="s">
        <v>1118</v>
      </c>
      <c r="D192" s="269" t="s">
        <v>1119</v>
      </c>
      <c r="E192" s="181" t="s">
        <v>1117</v>
      </c>
      <c r="F192" s="181"/>
      <c r="G192" s="181" t="s">
        <v>796</v>
      </c>
      <c r="H192" s="181">
        <f t="shared" si="407"/>
        <v>0</v>
      </c>
      <c r="I192" s="181" t="s">
        <v>797</v>
      </c>
      <c r="J192" s="181" t="e">
        <f t="shared" si="408"/>
        <v>#DIV/0!</v>
      </c>
      <c r="K192" s="181" t="s">
        <v>798</v>
      </c>
      <c r="L192" s="181" t="e">
        <f t="shared" si="409"/>
        <v>#DIV/0!</v>
      </c>
      <c r="M192" s="181" t="s">
        <v>799</v>
      </c>
      <c r="N192" s="181">
        <f t="shared" si="410"/>
        <v>0</v>
      </c>
      <c r="O192" s="181"/>
      <c r="P192" s="296"/>
      <c r="Q192" s="296"/>
      <c r="R192" s="296"/>
      <c r="S192" s="296"/>
      <c r="T192" s="296"/>
      <c r="U192" s="296"/>
      <c r="V192" s="296"/>
      <c r="W192" s="296"/>
      <c r="X192" s="296"/>
      <c r="Y192" s="296"/>
      <c r="Z192" s="296"/>
      <c r="AA192" s="296"/>
      <c r="AB192" s="181">
        <f t="shared" si="411"/>
        <v>0</v>
      </c>
      <c r="AC192" s="181">
        <f t="shared" si="412"/>
        <v>0</v>
      </c>
      <c r="AD192" s="181">
        <f>SUMIFS('1-2 人员岗位信息'!F:F,'1-2 人员岗位信息'!$C:$C,"自有人员",'1-2 人员岗位信息'!$B:$B,$D192)</f>
        <v>0</v>
      </c>
      <c r="AE192" s="304"/>
      <c r="AF192" s="181">
        <f t="shared" si="413"/>
        <v>0</v>
      </c>
      <c r="AG192" s="181">
        <f>SUMIFS('1-2 人员岗位信息'!G:G,'1-2 人员岗位信息'!$C:$C,"自有人员",'1-2 人员岗位信息'!$B:$B,$D192)</f>
        <v>0</v>
      </c>
      <c r="AH192" s="304"/>
      <c r="AI192" s="181">
        <f t="shared" si="414"/>
        <v>0</v>
      </c>
      <c r="AJ192" s="181">
        <f>SUMIFS('1-2 人员岗位信息'!H:H,'1-2 人员岗位信息'!$C:$C,"自有人员",'1-2 人员岗位信息'!$B:$B,$D192)</f>
        <v>0</v>
      </c>
      <c r="AK192" s="304"/>
      <c r="AL192" s="181">
        <f t="shared" si="415"/>
        <v>0</v>
      </c>
      <c r="AM192" s="181">
        <f>SUMIFS('1-2 人员岗位信息'!I:I,'1-2 人员岗位信息'!$C:$C,"自有人员",'1-2 人员岗位信息'!$B:$B,$D192)</f>
        <v>0</v>
      </c>
      <c r="AN192" s="304"/>
      <c r="AO192" s="181">
        <f t="shared" si="416"/>
        <v>0</v>
      </c>
      <c r="AP192" s="181">
        <f>SUMIFS('1-2 人员岗位信息'!J:J,'1-2 人员岗位信息'!$C:$C,"自有人员",'1-2 人员岗位信息'!$B:$B,$D192)</f>
        <v>0</v>
      </c>
      <c r="AQ192" s="304"/>
      <c r="AR192" s="181">
        <f t="shared" si="417"/>
        <v>0</v>
      </c>
      <c r="AS192" s="181">
        <f>SUMIFS('1-2 人员岗位信息'!K:K,'1-2 人员岗位信息'!$C:$C,"自有人员",'1-2 人员岗位信息'!$B:$B,$D192)</f>
        <v>0</v>
      </c>
      <c r="AT192" s="304"/>
      <c r="AU192" s="181">
        <f t="shared" si="418"/>
        <v>0</v>
      </c>
      <c r="AV192" s="181">
        <f>SUMIFS('1-2 人员岗位信息'!L:L,'1-2 人员岗位信息'!$C:$C,"自有人员",'1-2 人员岗位信息'!$B:$B,$D192)</f>
        <v>0</v>
      </c>
      <c r="AW192" s="304"/>
      <c r="AX192" s="181">
        <f t="shared" si="419"/>
        <v>0</v>
      </c>
      <c r="AY192" s="181">
        <f>SUMIFS('1-2 人员岗位信息'!M:M,'1-2 人员岗位信息'!$C:$C,"自有人员",'1-2 人员岗位信息'!$B:$B,$D192)</f>
        <v>0</v>
      </c>
      <c r="AZ192" s="304"/>
      <c r="BA192" s="181">
        <f t="shared" si="420"/>
        <v>0</v>
      </c>
      <c r="BB192" s="181">
        <f>SUMIFS('1-2 人员岗位信息'!N:N,'1-2 人员岗位信息'!$C:$C,"自有人员",'1-2 人员岗位信息'!$B:$B,$D192)</f>
        <v>0</v>
      </c>
      <c r="BC192" s="304"/>
      <c r="BD192" s="181">
        <f t="shared" si="421"/>
        <v>0</v>
      </c>
      <c r="BE192" s="181">
        <f>SUMIFS('1-2 人员岗位信息'!O:O,'1-2 人员岗位信息'!$C:$C,"自有人员",'1-2 人员岗位信息'!$B:$B,$D192)</f>
        <v>0</v>
      </c>
      <c r="BF192" s="304"/>
      <c r="BG192" s="181">
        <f t="shared" si="422"/>
        <v>0</v>
      </c>
      <c r="BH192" s="181">
        <f>SUMIFS('1-2 人员岗位信息'!P:P,'1-2 人员岗位信息'!$C:$C,"自有人员",'1-2 人员岗位信息'!$B:$B,$D192)</f>
        <v>0</v>
      </c>
      <c r="BI192" s="304"/>
      <c r="BJ192" s="181">
        <f t="shared" si="423"/>
        <v>0</v>
      </c>
      <c r="BK192" s="181">
        <f>SUMIFS('1-2 人员岗位信息'!Q:Q,'1-2 人员岗位信息'!$C:$C,"自有人员",'1-2 人员岗位信息'!$B:$B,$D192)</f>
        <v>0</v>
      </c>
      <c r="BL192" s="313"/>
      <c r="BM192" s="317"/>
      <c r="BN192" s="321"/>
    </row>
    <row r="193" s="269" customFormat="1" ht="33.95" customHeight="1" outlineLevel="5" spans="2:66">
      <c r="B193" s="181" t="s">
        <v>792</v>
      </c>
      <c r="C193" s="289" t="s">
        <v>1120</v>
      </c>
      <c r="D193" s="269" t="s">
        <v>1121</v>
      </c>
      <c r="E193" s="181" t="s">
        <v>1117</v>
      </c>
      <c r="F193" s="181"/>
      <c r="G193" s="181" t="s">
        <v>796</v>
      </c>
      <c r="H193" s="181">
        <f t="shared" si="407"/>
        <v>0</v>
      </c>
      <c r="I193" s="181" t="s">
        <v>797</v>
      </c>
      <c r="J193" s="181" t="e">
        <f t="shared" si="408"/>
        <v>#DIV/0!</v>
      </c>
      <c r="K193" s="181" t="s">
        <v>798</v>
      </c>
      <c r="L193" s="181" t="e">
        <f t="shared" si="409"/>
        <v>#DIV/0!</v>
      </c>
      <c r="M193" s="181" t="s">
        <v>799</v>
      </c>
      <c r="N193" s="181">
        <f t="shared" si="410"/>
        <v>0</v>
      </c>
      <c r="O193" s="181"/>
      <c r="P193" s="296"/>
      <c r="Q193" s="296"/>
      <c r="R193" s="296"/>
      <c r="S193" s="296"/>
      <c r="T193" s="296"/>
      <c r="U193" s="296"/>
      <c r="V193" s="296"/>
      <c r="W193" s="296"/>
      <c r="X193" s="296"/>
      <c r="Y193" s="296"/>
      <c r="Z193" s="296"/>
      <c r="AA193" s="296"/>
      <c r="AB193" s="181">
        <f t="shared" si="411"/>
        <v>0</v>
      </c>
      <c r="AC193" s="181">
        <f t="shared" si="412"/>
        <v>0</v>
      </c>
      <c r="AD193" s="181">
        <f>SUMIFS('1-2 人员岗位信息'!F:F,'1-2 人员岗位信息'!$C:$C,"自有人员",'1-2 人员岗位信息'!$B:$B,$D193)</f>
        <v>0</v>
      </c>
      <c r="AE193" s="304"/>
      <c r="AF193" s="181">
        <f t="shared" si="413"/>
        <v>0</v>
      </c>
      <c r="AG193" s="181">
        <f>SUMIFS('1-2 人员岗位信息'!G:G,'1-2 人员岗位信息'!$C:$C,"自有人员",'1-2 人员岗位信息'!$B:$B,$D193)</f>
        <v>0</v>
      </c>
      <c r="AH193" s="304"/>
      <c r="AI193" s="181">
        <f t="shared" si="414"/>
        <v>0</v>
      </c>
      <c r="AJ193" s="181">
        <f>SUMIFS('1-2 人员岗位信息'!H:H,'1-2 人员岗位信息'!$C:$C,"自有人员",'1-2 人员岗位信息'!$B:$B,$D193)</f>
        <v>0</v>
      </c>
      <c r="AK193" s="304"/>
      <c r="AL193" s="181">
        <f t="shared" si="415"/>
        <v>0</v>
      </c>
      <c r="AM193" s="181">
        <f>SUMIFS('1-2 人员岗位信息'!I:I,'1-2 人员岗位信息'!$C:$C,"自有人员",'1-2 人员岗位信息'!$B:$B,$D193)</f>
        <v>0</v>
      </c>
      <c r="AN193" s="304"/>
      <c r="AO193" s="181">
        <f t="shared" si="416"/>
        <v>0</v>
      </c>
      <c r="AP193" s="181">
        <f>SUMIFS('1-2 人员岗位信息'!J:J,'1-2 人员岗位信息'!$C:$C,"自有人员",'1-2 人员岗位信息'!$B:$B,$D193)</f>
        <v>0</v>
      </c>
      <c r="AQ193" s="304"/>
      <c r="AR193" s="181">
        <f t="shared" si="417"/>
        <v>0</v>
      </c>
      <c r="AS193" s="181">
        <f>SUMIFS('1-2 人员岗位信息'!K:K,'1-2 人员岗位信息'!$C:$C,"自有人员",'1-2 人员岗位信息'!$B:$B,$D193)</f>
        <v>0</v>
      </c>
      <c r="AT193" s="304"/>
      <c r="AU193" s="181">
        <f t="shared" si="418"/>
        <v>0</v>
      </c>
      <c r="AV193" s="181">
        <f>SUMIFS('1-2 人员岗位信息'!L:L,'1-2 人员岗位信息'!$C:$C,"自有人员",'1-2 人员岗位信息'!$B:$B,$D193)</f>
        <v>0</v>
      </c>
      <c r="AW193" s="304"/>
      <c r="AX193" s="181">
        <f t="shared" si="419"/>
        <v>0</v>
      </c>
      <c r="AY193" s="181">
        <f>SUMIFS('1-2 人员岗位信息'!M:M,'1-2 人员岗位信息'!$C:$C,"自有人员",'1-2 人员岗位信息'!$B:$B,$D193)</f>
        <v>0</v>
      </c>
      <c r="AZ193" s="304"/>
      <c r="BA193" s="181">
        <f t="shared" si="420"/>
        <v>0</v>
      </c>
      <c r="BB193" s="181">
        <f>SUMIFS('1-2 人员岗位信息'!N:N,'1-2 人员岗位信息'!$C:$C,"自有人员",'1-2 人员岗位信息'!$B:$B,$D193)</f>
        <v>0</v>
      </c>
      <c r="BC193" s="304"/>
      <c r="BD193" s="181">
        <f t="shared" si="421"/>
        <v>0</v>
      </c>
      <c r="BE193" s="181">
        <f>SUMIFS('1-2 人员岗位信息'!O:O,'1-2 人员岗位信息'!$C:$C,"自有人员",'1-2 人员岗位信息'!$B:$B,$D193)</f>
        <v>0</v>
      </c>
      <c r="BF193" s="304"/>
      <c r="BG193" s="181">
        <f t="shared" si="422"/>
        <v>0</v>
      </c>
      <c r="BH193" s="181">
        <f>SUMIFS('1-2 人员岗位信息'!P:P,'1-2 人员岗位信息'!$C:$C,"自有人员",'1-2 人员岗位信息'!$B:$B,$D193)</f>
        <v>0</v>
      </c>
      <c r="BI193" s="304"/>
      <c r="BJ193" s="181">
        <f t="shared" si="423"/>
        <v>0</v>
      </c>
      <c r="BK193" s="181">
        <f>SUMIFS('1-2 人员岗位信息'!Q:Q,'1-2 人员岗位信息'!$C:$C,"自有人员",'1-2 人员岗位信息'!$B:$B,$D193)</f>
        <v>0</v>
      </c>
      <c r="BL193" s="313"/>
      <c r="BM193" s="317"/>
      <c r="BN193" s="321"/>
    </row>
    <row r="194" s="269" customFormat="1" ht="33.95" customHeight="1" outlineLevel="5" spans="2:66">
      <c r="B194" s="181" t="s">
        <v>792</v>
      </c>
      <c r="C194" s="289" t="s">
        <v>1122</v>
      </c>
      <c r="D194" s="269" t="s">
        <v>1123</v>
      </c>
      <c r="E194" s="181" t="s">
        <v>1117</v>
      </c>
      <c r="F194" s="181"/>
      <c r="G194" s="181" t="s">
        <v>796</v>
      </c>
      <c r="H194" s="181">
        <f t="shared" si="407"/>
        <v>0</v>
      </c>
      <c r="I194" s="181" t="s">
        <v>797</v>
      </c>
      <c r="J194" s="181" t="e">
        <f t="shared" si="408"/>
        <v>#DIV/0!</v>
      </c>
      <c r="K194" s="181" t="s">
        <v>798</v>
      </c>
      <c r="L194" s="181" t="e">
        <f t="shared" si="409"/>
        <v>#DIV/0!</v>
      </c>
      <c r="M194" s="181" t="s">
        <v>799</v>
      </c>
      <c r="N194" s="181">
        <f t="shared" si="410"/>
        <v>0</v>
      </c>
      <c r="O194" s="181"/>
      <c r="P194" s="296"/>
      <c r="Q194" s="296"/>
      <c r="R194" s="296"/>
      <c r="S194" s="296"/>
      <c r="T194" s="296"/>
      <c r="U194" s="296"/>
      <c r="V194" s="296"/>
      <c r="W194" s="296"/>
      <c r="X194" s="296"/>
      <c r="Y194" s="296"/>
      <c r="Z194" s="296"/>
      <c r="AA194" s="296"/>
      <c r="AB194" s="181">
        <f t="shared" si="411"/>
        <v>0</v>
      </c>
      <c r="AC194" s="181">
        <f t="shared" si="412"/>
        <v>0</v>
      </c>
      <c r="AD194" s="181">
        <f>SUMIFS('1-2 人员岗位信息'!F:F,'1-2 人员岗位信息'!$C:$C,"自有人员",'1-2 人员岗位信息'!$B:$B,$D194)</f>
        <v>0</v>
      </c>
      <c r="AE194" s="304"/>
      <c r="AF194" s="181">
        <f t="shared" si="413"/>
        <v>0</v>
      </c>
      <c r="AG194" s="181">
        <f>SUMIFS('1-2 人员岗位信息'!G:G,'1-2 人员岗位信息'!$C:$C,"自有人员",'1-2 人员岗位信息'!$B:$B,$D194)</f>
        <v>0</v>
      </c>
      <c r="AH194" s="304"/>
      <c r="AI194" s="181">
        <f t="shared" si="414"/>
        <v>0</v>
      </c>
      <c r="AJ194" s="181">
        <f>SUMIFS('1-2 人员岗位信息'!H:H,'1-2 人员岗位信息'!$C:$C,"自有人员",'1-2 人员岗位信息'!$B:$B,$D194)</f>
        <v>0</v>
      </c>
      <c r="AK194" s="304"/>
      <c r="AL194" s="181">
        <f t="shared" si="415"/>
        <v>0</v>
      </c>
      <c r="AM194" s="181">
        <f>SUMIFS('1-2 人员岗位信息'!I:I,'1-2 人员岗位信息'!$C:$C,"自有人员",'1-2 人员岗位信息'!$B:$B,$D194)</f>
        <v>0</v>
      </c>
      <c r="AN194" s="304"/>
      <c r="AO194" s="181">
        <f t="shared" si="416"/>
        <v>0</v>
      </c>
      <c r="AP194" s="181">
        <f>SUMIFS('1-2 人员岗位信息'!J:J,'1-2 人员岗位信息'!$C:$C,"自有人员",'1-2 人员岗位信息'!$B:$B,$D194)</f>
        <v>0</v>
      </c>
      <c r="AQ194" s="304"/>
      <c r="AR194" s="181">
        <f t="shared" si="417"/>
        <v>0</v>
      </c>
      <c r="AS194" s="181">
        <f>SUMIFS('1-2 人员岗位信息'!K:K,'1-2 人员岗位信息'!$C:$C,"自有人员",'1-2 人员岗位信息'!$B:$B,$D194)</f>
        <v>0</v>
      </c>
      <c r="AT194" s="304"/>
      <c r="AU194" s="181">
        <f t="shared" si="418"/>
        <v>0</v>
      </c>
      <c r="AV194" s="181">
        <f>SUMIFS('1-2 人员岗位信息'!L:L,'1-2 人员岗位信息'!$C:$C,"自有人员",'1-2 人员岗位信息'!$B:$B,$D194)</f>
        <v>0</v>
      </c>
      <c r="AW194" s="304"/>
      <c r="AX194" s="181">
        <f t="shared" si="419"/>
        <v>0</v>
      </c>
      <c r="AY194" s="181">
        <f>SUMIFS('1-2 人员岗位信息'!M:M,'1-2 人员岗位信息'!$C:$C,"自有人员",'1-2 人员岗位信息'!$B:$B,$D194)</f>
        <v>0</v>
      </c>
      <c r="AZ194" s="304"/>
      <c r="BA194" s="181">
        <f t="shared" si="420"/>
        <v>0</v>
      </c>
      <c r="BB194" s="181">
        <f>SUMIFS('1-2 人员岗位信息'!N:N,'1-2 人员岗位信息'!$C:$C,"自有人员",'1-2 人员岗位信息'!$B:$B,$D194)</f>
        <v>0</v>
      </c>
      <c r="BC194" s="304"/>
      <c r="BD194" s="181">
        <f t="shared" si="421"/>
        <v>0</v>
      </c>
      <c r="BE194" s="181">
        <f>SUMIFS('1-2 人员岗位信息'!O:O,'1-2 人员岗位信息'!$C:$C,"自有人员",'1-2 人员岗位信息'!$B:$B,$D194)</f>
        <v>0</v>
      </c>
      <c r="BF194" s="304"/>
      <c r="BG194" s="181">
        <f t="shared" si="422"/>
        <v>0</v>
      </c>
      <c r="BH194" s="181">
        <f>SUMIFS('1-2 人员岗位信息'!P:P,'1-2 人员岗位信息'!$C:$C,"自有人员",'1-2 人员岗位信息'!$B:$B,$D194)</f>
        <v>0</v>
      </c>
      <c r="BI194" s="304"/>
      <c r="BJ194" s="181">
        <f t="shared" si="423"/>
        <v>0</v>
      </c>
      <c r="BK194" s="181">
        <f>SUMIFS('1-2 人员岗位信息'!Q:Q,'1-2 人员岗位信息'!$C:$C,"自有人员",'1-2 人员岗位信息'!$B:$B,$D194)</f>
        <v>0</v>
      </c>
      <c r="BL194" s="313"/>
      <c r="BM194" s="317"/>
      <c r="BN194" s="321"/>
    </row>
    <row r="195" s="269" customFormat="1" ht="33.95" customHeight="1" outlineLevel="5" spans="2:66">
      <c r="B195" s="181" t="s">
        <v>792</v>
      </c>
      <c r="C195" s="289" t="s">
        <v>1124</v>
      </c>
      <c r="D195" s="269" t="s">
        <v>1125</v>
      </c>
      <c r="E195" s="181" t="s">
        <v>1117</v>
      </c>
      <c r="F195" s="181"/>
      <c r="G195" s="181" t="s">
        <v>796</v>
      </c>
      <c r="H195" s="181">
        <f t="shared" si="407"/>
        <v>0</v>
      </c>
      <c r="I195" s="181" t="s">
        <v>797</v>
      </c>
      <c r="J195" s="181" t="e">
        <f t="shared" si="408"/>
        <v>#DIV/0!</v>
      </c>
      <c r="K195" s="181" t="s">
        <v>798</v>
      </c>
      <c r="L195" s="181" t="e">
        <f t="shared" si="409"/>
        <v>#DIV/0!</v>
      </c>
      <c r="M195" s="181" t="s">
        <v>799</v>
      </c>
      <c r="N195" s="181">
        <f t="shared" si="410"/>
        <v>0</v>
      </c>
      <c r="O195" s="181"/>
      <c r="P195" s="296"/>
      <c r="Q195" s="296"/>
      <c r="R195" s="296"/>
      <c r="S195" s="296"/>
      <c r="T195" s="296"/>
      <c r="U195" s="296"/>
      <c r="V195" s="296"/>
      <c r="W195" s="296"/>
      <c r="X195" s="296"/>
      <c r="Y195" s="296"/>
      <c r="Z195" s="296"/>
      <c r="AA195" s="296"/>
      <c r="AB195" s="181">
        <f t="shared" si="411"/>
        <v>0</v>
      </c>
      <c r="AC195" s="181">
        <f t="shared" si="412"/>
        <v>0</v>
      </c>
      <c r="AD195" s="181">
        <f>SUMIFS('1-2 人员岗位信息'!F:F,'1-2 人员岗位信息'!$C:$C,"自有人员",'1-2 人员岗位信息'!$B:$B,$D195)</f>
        <v>0</v>
      </c>
      <c r="AE195" s="304"/>
      <c r="AF195" s="181">
        <f t="shared" si="413"/>
        <v>0</v>
      </c>
      <c r="AG195" s="181">
        <f>SUMIFS('1-2 人员岗位信息'!G:G,'1-2 人员岗位信息'!$C:$C,"自有人员",'1-2 人员岗位信息'!$B:$B,$D195)</f>
        <v>0</v>
      </c>
      <c r="AH195" s="304"/>
      <c r="AI195" s="181">
        <f t="shared" si="414"/>
        <v>0</v>
      </c>
      <c r="AJ195" s="181">
        <f>SUMIFS('1-2 人员岗位信息'!H:H,'1-2 人员岗位信息'!$C:$C,"自有人员",'1-2 人员岗位信息'!$B:$B,$D195)</f>
        <v>0</v>
      </c>
      <c r="AK195" s="304"/>
      <c r="AL195" s="181">
        <f t="shared" si="415"/>
        <v>0</v>
      </c>
      <c r="AM195" s="181">
        <f>SUMIFS('1-2 人员岗位信息'!I:I,'1-2 人员岗位信息'!$C:$C,"自有人员",'1-2 人员岗位信息'!$B:$B,$D195)</f>
        <v>0</v>
      </c>
      <c r="AN195" s="304"/>
      <c r="AO195" s="181">
        <f t="shared" si="416"/>
        <v>0</v>
      </c>
      <c r="AP195" s="181">
        <f>SUMIFS('1-2 人员岗位信息'!J:J,'1-2 人员岗位信息'!$C:$C,"自有人员",'1-2 人员岗位信息'!$B:$B,$D195)</f>
        <v>0</v>
      </c>
      <c r="AQ195" s="304"/>
      <c r="AR195" s="181">
        <f t="shared" si="417"/>
        <v>0</v>
      </c>
      <c r="AS195" s="181">
        <f>SUMIFS('1-2 人员岗位信息'!K:K,'1-2 人员岗位信息'!$C:$C,"自有人员",'1-2 人员岗位信息'!$B:$B,$D195)</f>
        <v>0</v>
      </c>
      <c r="AT195" s="304"/>
      <c r="AU195" s="181">
        <f t="shared" si="418"/>
        <v>0</v>
      </c>
      <c r="AV195" s="181">
        <f>SUMIFS('1-2 人员岗位信息'!L:L,'1-2 人员岗位信息'!$C:$C,"自有人员",'1-2 人员岗位信息'!$B:$B,$D195)</f>
        <v>0</v>
      </c>
      <c r="AW195" s="304"/>
      <c r="AX195" s="181">
        <f t="shared" si="419"/>
        <v>0</v>
      </c>
      <c r="AY195" s="181">
        <f>SUMIFS('1-2 人员岗位信息'!M:M,'1-2 人员岗位信息'!$C:$C,"自有人员",'1-2 人员岗位信息'!$B:$B,$D195)</f>
        <v>0</v>
      </c>
      <c r="AZ195" s="304"/>
      <c r="BA195" s="181">
        <f t="shared" si="420"/>
        <v>0</v>
      </c>
      <c r="BB195" s="181">
        <f>SUMIFS('1-2 人员岗位信息'!N:N,'1-2 人员岗位信息'!$C:$C,"自有人员",'1-2 人员岗位信息'!$B:$B,$D195)</f>
        <v>0</v>
      </c>
      <c r="BC195" s="304"/>
      <c r="BD195" s="181">
        <f t="shared" si="421"/>
        <v>0</v>
      </c>
      <c r="BE195" s="181">
        <f>SUMIFS('1-2 人员岗位信息'!O:O,'1-2 人员岗位信息'!$C:$C,"自有人员",'1-2 人员岗位信息'!$B:$B,$D195)</f>
        <v>0</v>
      </c>
      <c r="BF195" s="304"/>
      <c r="BG195" s="181">
        <f t="shared" si="422"/>
        <v>0</v>
      </c>
      <c r="BH195" s="181">
        <f>SUMIFS('1-2 人员岗位信息'!P:P,'1-2 人员岗位信息'!$C:$C,"自有人员",'1-2 人员岗位信息'!$B:$B,$D195)</f>
        <v>0</v>
      </c>
      <c r="BI195" s="304"/>
      <c r="BJ195" s="181">
        <f t="shared" si="423"/>
        <v>0</v>
      </c>
      <c r="BK195" s="181">
        <f>SUMIFS('1-2 人员岗位信息'!Q:Q,'1-2 人员岗位信息'!$C:$C,"自有人员",'1-2 人员岗位信息'!$B:$B,$D195)</f>
        <v>0</v>
      </c>
      <c r="BL195" s="313"/>
      <c r="BM195" s="317"/>
      <c r="BN195" s="321"/>
    </row>
    <row r="196" s="124" customFormat="1" ht="33.95" customHeight="1" outlineLevel="4" spans="2:66">
      <c r="B196" s="125" t="s">
        <v>787</v>
      </c>
      <c r="C196" s="126" t="s">
        <v>75</v>
      </c>
      <c r="D196" s="124" t="s">
        <v>68</v>
      </c>
      <c r="E196" s="125"/>
      <c r="F196" s="125"/>
      <c r="G196" s="125"/>
      <c r="H196" s="125">
        <f>SUM(H197:H201)</f>
        <v>0</v>
      </c>
      <c r="I196" s="125"/>
      <c r="J196" s="125"/>
      <c r="K196" s="125"/>
      <c r="L196" s="125"/>
      <c r="M196" s="125"/>
      <c r="N196" s="125"/>
      <c r="O196" s="125"/>
      <c r="P196" s="295"/>
      <c r="Q196" s="295"/>
      <c r="R196" s="295"/>
      <c r="S196" s="295"/>
      <c r="T196" s="295"/>
      <c r="U196" s="295"/>
      <c r="V196" s="295"/>
      <c r="W196" s="295"/>
      <c r="X196" s="295"/>
      <c r="Y196" s="295"/>
      <c r="Z196" s="295"/>
      <c r="AA196" s="295"/>
      <c r="AB196" s="125">
        <f t="shared" ref="AB196:AF196" si="424">SUM(AB197:AB201)</f>
        <v>0</v>
      </c>
      <c r="AC196" s="125">
        <f t="shared" si="424"/>
        <v>0</v>
      </c>
      <c r="AD196" s="125"/>
      <c r="AE196" s="125"/>
      <c r="AF196" s="125">
        <f t="shared" si="424"/>
        <v>0</v>
      </c>
      <c r="AG196" s="125"/>
      <c r="AH196" s="125"/>
      <c r="AI196" s="125">
        <f>SUM(AI197:AI201)</f>
        <v>0</v>
      </c>
      <c r="AJ196" s="125"/>
      <c r="AK196" s="125"/>
      <c r="AL196" s="125">
        <f>SUM(AL197:AL201)</f>
        <v>0</v>
      </c>
      <c r="AM196" s="125"/>
      <c r="AN196" s="125"/>
      <c r="AO196" s="125">
        <f>SUM(AO197:AO201)</f>
        <v>0</v>
      </c>
      <c r="AP196" s="125"/>
      <c r="AQ196" s="125"/>
      <c r="AR196" s="125">
        <f>SUM(AR197:AR201)</f>
        <v>0</v>
      </c>
      <c r="AS196" s="125"/>
      <c r="AT196" s="125"/>
      <c r="AU196" s="125">
        <f>SUM(AU197:AU201)</f>
        <v>0</v>
      </c>
      <c r="AV196" s="125"/>
      <c r="AW196" s="125"/>
      <c r="AX196" s="125">
        <f>SUM(AX197:AX201)</f>
        <v>0</v>
      </c>
      <c r="AY196" s="125"/>
      <c r="AZ196" s="125"/>
      <c r="BA196" s="125">
        <f>SUM(BA197:BA201)</f>
        <v>0</v>
      </c>
      <c r="BB196" s="125"/>
      <c r="BC196" s="125"/>
      <c r="BD196" s="125">
        <f>SUM(BD197:BD201)</f>
        <v>0</v>
      </c>
      <c r="BE196" s="125"/>
      <c r="BF196" s="125"/>
      <c r="BG196" s="125">
        <f>SUM(BG197:BG201)</f>
        <v>0</v>
      </c>
      <c r="BH196" s="125"/>
      <c r="BI196" s="125"/>
      <c r="BJ196" s="125">
        <f>SUM(BJ197:BJ201)</f>
        <v>0</v>
      </c>
      <c r="BK196" s="125"/>
      <c r="BL196" s="312"/>
      <c r="BM196" s="317"/>
      <c r="BN196" s="320"/>
    </row>
    <row r="197" s="269" customFormat="1" ht="33.95" customHeight="1" outlineLevel="5" spans="2:66">
      <c r="B197" s="181" t="s">
        <v>792</v>
      </c>
      <c r="C197" s="289" t="s">
        <v>1126</v>
      </c>
      <c r="D197" s="269" t="s">
        <v>1116</v>
      </c>
      <c r="E197" s="181" t="s">
        <v>1127</v>
      </c>
      <c r="F197" s="181"/>
      <c r="G197" s="181" t="s">
        <v>796</v>
      </c>
      <c r="H197" s="181">
        <f t="shared" ref="H197:H201" si="425">AB197</f>
        <v>0</v>
      </c>
      <c r="I197" s="181" t="s">
        <v>797</v>
      </c>
      <c r="J197" s="181" t="e">
        <f t="shared" ref="J197:J201" si="426">SUM(AD197,AG197,AJ197,AM197,AP197,AS197,AV197,AY197,BB197,BE197,BH197,BK197)/N197</f>
        <v>#DIV/0!</v>
      </c>
      <c r="K197" s="181" t="s">
        <v>798</v>
      </c>
      <c r="L197" s="181" t="e">
        <f t="shared" ref="L197:L201" si="427">H197/N197/J197</f>
        <v>#DIV/0!</v>
      </c>
      <c r="M197" s="181" t="s">
        <v>799</v>
      </c>
      <c r="N197" s="181">
        <f t="shared" ref="N197:N201" si="428">COUNTIF(AD197,"&gt;0")+COUNTIF(AG197,"&gt;0")+COUNTIF(AJ197,"&gt;0")+COUNTIF(AM197,"&gt;0")+COUNTIF(AP197,"&gt;0")+COUNTIF(AS197,"&gt;0")+COUNTIF(AV197,"&gt;0")+COUNTIF(AY197,"&gt;0")+COUNTIF(BB197,"&gt;0")+COUNTIF(BE197,"&gt;0")+COUNTIF(BH197,"&gt;0")+COUNTIF(BK197,"&gt;0")</f>
        <v>0</v>
      </c>
      <c r="O197" s="181"/>
      <c r="P197" s="296"/>
      <c r="Q197" s="296"/>
      <c r="R197" s="296"/>
      <c r="S197" s="296"/>
      <c r="T197" s="296"/>
      <c r="U197" s="296"/>
      <c r="V197" s="296"/>
      <c r="W197" s="296"/>
      <c r="X197" s="296"/>
      <c r="Y197" s="296"/>
      <c r="Z197" s="296"/>
      <c r="AA197" s="296"/>
      <c r="AB197" s="181">
        <f t="shared" ref="AB197:AB201" si="429">SUM(AC197,AF197,AI197,AL197,AO197,AR197,AU197,AX197,BA197,BD197,BG197,BJ197)</f>
        <v>0</v>
      </c>
      <c r="AC197" s="181">
        <f t="shared" ref="AC197:AC201" si="430">AD197*AE197</f>
        <v>0</v>
      </c>
      <c r="AD197" s="181">
        <f>SUMIFS('1-2 人员岗位信息'!F:F,'1-2 人员岗位信息'!$C:$C,"劳务派遣",'1-2 人员岗位信息'!$B:$B,$D197)</f>
        <v>0</v>
      </c>
      <c r="AE197" s="304"/>
      <c r="AF197" s="181">
        <f t="shared" ref="AF197:AF201" si="431">AG197*AH197</f>
        <v>0</v>
      </c>
      <c r="AG197" s="181">
        <f>SUMIFS('1-2 人员岗位信息'!G:G,'1-2 人员岗位信息'!$C:$C,"劳务派遣",'1-2 人员岗位信息'!$B:$B,$D197)</f>
        <v>0</v>
      </c>
      <c r="AH197" s="304"/>
      <c r="AI197" s="181">
        <f t="shared" ref="AI197:AI201" si="432">AJ197*AK197</f>
        <v>0</v>
      </c>
      <c r="AJ197" s="181">
        <f>SUMIFS('1-2 人员岗位信息'!H:H,'1-2 人员岗位信息'!$C:$C,"劳务派遣",'1-2 人员岗位信息'!$B:$B,$D197)</f>
        <v>0</v>
      </c>
      <c r="AK197" s="304"/>
      <c r="AL197" s="181">
        <f t="shared" ref="AL197:AL201" si="433">AM197*AN197</f>
        <v>0</v>
      </c>
      <c r="AM197" s="181">
        <f>SUMIFS('1-2 人员岗位信息'!I:I,'1-2 人员岗位信息'!$C:$C,"劳务派遣",'1-2 人员岗位信息'!$B:$B,$D197)</f>
        <v>0</v>
      </c>
      <c r="AN197" s="304"/>
      <c r="AO197" s="181">
        <f t="shared" ref="AO197:AO201" si="434">AP197*AQ197</f>
        <v>0</v>
      </c>
      <c r="AP197" s="181">
        <f>SUMIFS('1-2 人员岗位信息'!J:J,'1-2 人员岗位信息'!$C:$C,"劳务派遣",'1-2 人员岗位信息'!$B:$B,$D197)</f>
        <v>0</v>
      </c>
      <c r="AQ197" s="304"/>
      <c r="AR197" s="181">
        <f t="shared" ref="AR197:AR201" si="435">AS197*AT197</f>
        <v>0</v>
      </c>
      <c r="AS197" s="181">
        <f>SUMIFS('1-2 人员岗位信息'!K:K,'1-2 人员岗位信息'!$C:$C,"劳务派遣",'1-2 人员岗位信息'!$B:$B,$D197)</f>
        <v>0</v>
      </c>
      <c r="AT197" s="304"/>
      <c r="AU197" s="181">
        <f t="shared" ref="AU197:AU201" si="436">AV197*AW197</f>
        <v>0</v>
      </c>
      <c r="AV197" s="181">
        <f>SUMIFS('1-2 人员岗位信息'!L:L,'1-2 人员岗位信息'!$C:$C,"劳务派遣",'1-2 人员岗位信息'!$B:$B,$D197)</f>
        <v>0</v>
      </c>
      <c r="AW197" s="304"/>
      <c r="AX197" s="181">
        <f t="shared" ref="AX197:AX201" si="437">AY197*AZ197</f>
        <v>0</v>
      </c>
      <c r="AY197" s="181">
        <f>SUMIFS('1-2 人员岗位信息'!M:M,'1-2 人员岗位信息'!$C:$C,"劳务派遣",'1-2 人员岗位信息'!$B:$B,$D197)</f>
        <v>0</v>
      </c>
      <c r="AZ197" s="304"/>
      <c r="BA197" s="181">
        <f t="shared" ref="BA197:BA201" si="438">BB197*BC197</f>
        <v>0</v>
      </c>
      <c r="BB197" s="181">
        <f>SUMIFS('1-2 人员岗位信息'!N:N,'1-2 人员岗位信息'!$C:$C,"劳务派遣",'1-2 人员岗位信息'!$B:$B,$D197)</f>
        <v>0</v>
      </c>
      <c r="BC197" s="304"/>
      <c r="BD197" s="181">
        <f t="shared" ref="BD197:BD201" si="439">BE197*BF197</f>
        <v>0</v>
      </c>
      <c r="BE197" s="181">
        <f>SUMIFS('1-2 人员岗位信息'!O:O,'1-2 人员岗位信息'!$C:$C,"劳务派遣",'1-2 人员岗位信息'!$B:$B,$D197)</f>
        <v>0</v>
      </c>
      <c r="BF197" s="304"/>
      <c r="BG197" s="181">
        <f t="shared" ref="BG197:BG201" si="440">BH197*BI197</f>
        <v>0</v>
      </c>
      <c r="BH197" s="181">
        <f>SUMIFS('1-2 人员岗位信息'!P:P,'1-2 人员岗位信息'!$C:$C,"劳务派遣",'1-2 人员岗位信息'!$B:$B,$D197)</f>
        <v>0</v>
      </c>
      <c r="BI197" s="304"/>
      <c r="BJ197" s="181">
        <f t="shared" ref="BJ197:BJ201" si="441">BK197*BL197</f>
        <v>0</v>
      </c>
      <c r="BK197" s="181">
        <f>SUMIFS('1-2 人员岗位信息'!Q:Q,'1-2 人员岗位信息'!$C:$C,"劳务派遣",'1-2 人员岗位信息'!$B:$B,$D197)</f>
        <v>0</v>
      </c>
      <c r="BL197" s="313"/>
      <c r="BM197" s="317"/>
      <c r="BN197" s="321"/>
    </row>
    <row r="198" s="269" customFormat="1" ht="33.95" customHeight="1" outlineLevel="5" spans="2:66">
      <c r="B198" s="181" t="s">
        <v>792</v>
      </c>
      <c r="C198" s="289" t="s">
        <v>1128</v>
      </c>
      <c r="D198" s="269" t="s">
        <v>1119</v>
      </c>
      <c r="E198" s="181" t="s">
        <v>1127</v>
      </c>
      <c r="F198" s="181"/>
      <c r="G198" s="181" t="s">
        <v>796</v>
      </c>
      <c r="H198" s="181">
        <f t="shared" si="425"/>
        <v>0</v>
      </c>
      <c r="I198" s="181" t="s">
        <v>797</v>
      </c>
      <c r="J198" s="181" t="e">
        <f t="shared" si="426"/>
        <v>#DIV/0!</v>
      </c>
      <c r="K198" s="181" t="s">
        <v>798</v>
      </c>
      <c r="L198" s="181" t="e">
        <f t="shared" si="427"/>
        <v>#DIV/0!</v>
      </c>
      <c r="M198" s="181" t="s">
        <v>799</v>
      </c>
      <c r="N198" s="181">
        <f t="shared" si="428"/>
        <v>0</v>
      </c>
      <c r="O198" s="181"/>
      <c r="P198" s="296"/>
      <c r="Q198" s="296"/>
      <c r="R198" s="296"/>
      <c r="S198" s="296"/>
      <c r="T198" s="296"/>
      <c r="U198" s="296"/>
      <c r="V198" s="296"/>
      <c r="W198" s="296"/>
      <c r="X198" s="296"/>
      <c r="Y198" s="296"/>
      <c r="Z198" s="296"/>
      <c r="AA198" s="296"/>
      <c r="AB198" s="181">
        <f t="shared" si="429"/>
        <v>0</v>
      </c>
      <c r="AC198" s="181">
        <f t="shared" si="430"/>
        <v>0</v>
      </c>
      <c r="AD198" s="181">
        <f>SUMIFS('1-2 人员岗位信息'!F:F,'1-2 人员岗位信息'!$C:$C,"劳务派遣",'1-2 人员岗位信息'!$B:$B,$D198)</f>
        <v>0</v>
      </c>
      <c r="AE198" s="304"/>
      <c r="AF198" s="181">
        <f t="shared" si="431"/>
        <v>0</v>
      </c>
      <c r="AG198" s="181">
        <f>SUMIFS('1-2 人员岗位信息'!G:G,'1-2 人员岗位信息'!$C:$C,"劳务派遣",'1-2 人员岗位信息'!$B:$B,$D198)</f>
        <v>0</v>
      </c>
      <c r="AH198" s="304"/>
      <c r="AI198" s="181">
        <f t="shared" si="432"/>
        <v>0</v>
      </c>
      <c r="AJ198" s="181">
        <f>SUMIFS('1-2 人员岗位信息'!H:H,'1-2 人员岗位信息'!$C:$C,"劳务派遣",'1-2 人员岗位信息'!$B:$B,$D198)</f>
        <v>0</v>
      </c>
      <c r="AK198" s="304"/>
      <c r="AL198" s="181">
        <f t="shared" si="433"/>
        <v>0</v>
      </c>
      <c r="AM198" s="181">
        <f>SUMIFS('1-2 人员岗位信息'!I:I,'1-2 人员岗位信息'!$C:$C,"劳务派遣",'1-2 人员岗位信息'!$B:$B,$D198)</f>
        <v>0</v>
      </c>
      <c r="AN198" s="304"/>
      <c r="AO198" s="181">
        <f t="shared" si="434"/>
        <v>0</v>
      </c>
      <c r="AP198" s="181">
        <f>SUMIFS('1-2 人员岗位信息'!J:J,'1-2 人员岗位信息'!$C:$C,"劳务派遣",'1-2 人员岗位信息'!$B:$B,$D198)</f>
        <v>0</v>
      </c>
      <c r="AQ198" s="304"/>
      <c r="AR198" s="181">
        <f t="shared" si="435"/>
        <v>0</v>
      </c>
      <c r="AS198" s="181">
        <f>SUMIFS('1-2 人员岗位信息'!K:K,'1-2 人员岗位信息'!$C:$C,"劳务派遣",'1-2 人员岗位信息'!$B:$B,$D198)</f>
        <v>0</v>
      </c>
      <c r="AT198" s="304"/>
      <c r="AU198" s="181">
        <f t="shared" si="436"/>
        <v>0</v>
      </c>
      <c r="AV198" s="181">
        <f>SUMIFS('1-2 人员岗位信息'!L:L,'1-2 人员岗位信息'!$C:$C,"劳务派遣",'1-2 人员岗位信息'!$B:$B,$D198)</f>
        <v>0</v>
      </c>
      <c r="AW198" s="304"/>
      <c r="AX198" s="181">
        <f t="shared" si="437"/>
        <v>0</v>
      </c>
      <c r="AY198" s="181">
        <f>SUMIFS('1-2 人员岗位信息'!M:M,'1-2 人员岗位信息'!$C:$C,"劳务派遣",'1-2 人员岗位信息'!$B:$B,$D198)</f>
        <v>0</v>
      </c>
      <c r="AZ198" s="304"/>
      <c r="BA198" s="181">
        <f t="shared" si="438"/>
        <v>0</v>
      </c>
      <c r="BB198" s="181">
        <f>SUMIFS('1-2 人员岗位信息'!N:N,'1-2 人员岗位信息'!$C:$C,"劳务派遣",'1-2 人员岗位信息'!$B:$B,$D198)</f>
        <v>0</v>
      </c>
      <c r="BC198" s="304"/>
      <c r="BD198" s="181">
        <f t="shared" si="439"/>
        <v>0</v>
      </c>
      <c r="BE198" s="181">
        <f>SUMIFS('1-2 人员岗位信息'!O:O,'1-2 人员岗位信息'!$C:$C,"劳务派遣",'1-2 人员岗位信息'!$B:$B,$D198)</f>
        <v>0</v>
      </c>
      <c r="BF198" s="304"/>
      <c r="BG198" s="181">
        <f t="shared" si="440"/>
        <v>0</v>
      </c>
      <c r="BH198" s="181">
        <f>SUMIFS('1-2 人员岗位信息'!P:P,'1-2 人员岗位信息'!$C:$C,"劳务派遣",'1-2 人员岗位信息'!$B:$B,$D198)</f>
        <v>0</v>
      </c>
      <c r="BI198" s="304"/>
      <c r="BJ198" s="181">
        <f t="shared" si="441"/>
        <v>0</v>
      </c>
      <c r="BK198" s="181">
        <f>SUMIFS('1-2 人员岗位信息'!Q:Q,'1-2 人员岗位信息'!$C:$C,"劳务派遣",'1-2 人员岗位信息'!$B:$B,$D198)</f>
        <v>0</v>
      </c>
      <c r="BL198" s="313"/>
      <c r="BM198" s="317"/>
      <c r="BN198" s="321"/>
    </row>
    <row r="199" s="269" customFormat="1" ht="33.95" customHeight="1" outlineLevel="5" spans="2:66">
      <c r="B199" s="181" t="s">
        <v>792</v>
      </c>
      <c r="C199" s="289" t="s">
        <v>1129</v>
      </c>
      <c r="D199" s="269" t="s">
        <v>1121</v>
      </c>
      <c r="E199" s="181" t="s">
        <v>1127</v>
      </c>
      <c r="F199" s="181"/>
      <c r="G199" s="181" t="s">
        <v>796</v>
      </c>
      <c r="H199" s="181">
        <f t="shared" si="425"/>
        <v>0</v>
      </c>
      <c r="I199" s="181" t="s">
        <v>797</v>
      </c>
      <c r="J199" s="181" t="e">
        <f t="shared" si="426"/>
        <v>#DIV/0!</v>
      </c>
      <c r="K199" s="181" t="s">
        <v>798</v>
      </c>
      <c r="L199" s="181" t="e">
        <f t="shared" si="427"/>
        <v>#DIV/0!</v>
      </c>
      <c r="M199" s="181" t="s">
        <v>799</v>
      </c>
      <c r="N199" s="181">
        <f t="shared" si="428"/>
        <v>0</v>
      </c>
      <c r="O199" s="181"/>
      <c r="P199" s="296"/>
      <c r="Q199" s="296"/>
      <c r="R199" s="296"/>
      <c r="S199" s="296"/>
      <c r="T199" s="296"/>
      <c r="U199" s="296"/>
      <c r="V199" s="296"/>
      <c r="W199" s="296"/>
      <c r="X199" s="296"/>
      <c r="Y199" s="296"/>
      <c r="Z199" s="296"/>
      <c r="AA199" s="296"/>
      <c r="AB199" s="181">
        <f t="shared" si="429"/>
        <v>0</v>
      </c>
      <c r="AC199" s="181">
        <f t="shared" si="430"/>
        <v>0</v>
      </c>
      <c r="AD199" s="181">
        <f>SUMIFS('1-2 人员岗位信息'!F:F,'1-2 人员岗位信息'!$C:$C,"劳务派遣",'1-2 人员岗位信息'!$B:$B,$D199)</f>
        <v>0</v>
      </c>
      <c r="AE199" s="304"/>
      <c r="AF199" s="181">
        <f t="shared" si="431"/>
        <v>0</v>
      </c>
      <c r="AG199" s="181">
        <f>SUMIFS('1-2 人员岗位信息'!G:G,'1-2 人员岗位信息'!$C:$C,"劳务派遣",'1-2 人员岗位信息'!$B:$B,$D199)</f>
        <v>0</v>
      </c>
      <c r="AH199" s="304"/>
      <c r="AI199" s="181">
        <f t="shared" si="432"/>
        <v>0</v>
      </c>
      <c r="AJ199" s="181">
        <f>SUMIFS('1-2 人员岗位信息'!H:H,'1-2 人员岗位信息'!$C:$C,"劳务派遣",'1-2 人员岗位信息'!$B:$B,$D199)</f>
        <v>0</v>
      </c>
      <c r="AK199" s="304"/>
      <c r="AL199" s="181">
        <f t="shared" si="433"/>
        <v>0</v>
      </c>
      <c r="AM199" s="181">
        <f>SUMIFS('1-2 人员岗位信息'!I:I,'1-2 人员岗位信息'!$C:$C,"劳务派遣",'1-2 人员岗位信息'!$B:$B,$D199)</f>
        <v>0</v>
      </c>
      <c r="AN199" s="304"/>
      <c r="AO199" s="181">
        <f t="shared" si="434"/>
        <v>0</v>
      </c>
      <c r="AP199" s="181">
        <f>SUMIFS('1-2 人员岗位信息'!J:J,'1-2 人员岗位信息'!$C:$C,"劳务派遣",'1-2 人员岗位信息'!$B:$B,$D199)</f>
        <v>0</v>
      </c>
      <c r="AQ199" s="304"/>
      <c r="AR199" s="181">
        <f t="shared" si="435"/>
        <v>0</v>
      </c>
      <c r="AS199" s="181">
        <f>SUMIFS('1-2 人员岗位信息'!K:K,'1-2 人员岗位信息'!$C:$C,"劳务派遣",'1-2 人员岗位信息'!$B:$B,$D199)</f>
        <v>0</v>
      </c>
      <c r="AT199" s="304"/>
      <c r="AU199" s="181">
        <f t="shared" si="436"/>
        <v>0</v>
      </c>
      <c r="AV199" s="181">
        <f>SUMIFS('1-2 人员岗位信息'!L:L,'1-2 人员岗位信息'!$C:$C,"劳务派遣",'1-2 人员岗位信息'!$B:$B,$D199)</f>
        <v>0</v>
      </c>
      <c r="AW199" s="304"/>
      <c r="AX199" s="181">
        <f t="shared" si="437"/>
        <v>0</v>
      </c>
      <c r="AY199" s="181">
        <f>SUMIFS('1-2 人员岗位信息'!M:M,'1-2 人员岗位信息'!$C:$C,"劳务派遣",'1-2 人员岗位信息'!$B:$B,$D199)</f>
        <v>0</v>
      </c>
      <c r="AZ199" s="304"/>
      <c r="BA199" s="181">
        <f t="shared" si="438"/>
        <v>0</v>
      </c>
      <c r="BB199" s="181">
        <f>SUMIFS('1-2 人员岗位信息'!N:N,'1-2 人员岗位信息'!$C:$C,"劳务派遣",'1-2 人员岗位信息'!$B:$B,$D199)</f>
        <v>0</v>
      </c>
      <c r="BC199" s="304"/>
      <c r="BD199" s="181">
        <f t="shared" si="439"/>
        <v>0</v>
      </c>
      <c r="BE199" s="181">
        <f>SUMIFS('1-2 人员岗位信息'!O:O,'1-2 人员岗位信息'!$C:$C,"劳务派遣",'1-2 人员岗位信息'!$B:$B,$D199)</f>
        <v>0</v>
      </c>
      <c r="BF199" s="304"/>
      <c r="BG199" s="181">
        <f t="shared" si="440"/>
        <v>0</v>
      </c>
      <c r="BH199" s="181">
        <f>SUMIFS('1-2 人员岗位信息'!P:P,'1-2 人员岗位信息'!$C:$C,"劳务派遣",'1-2 人员岗位信息'!$B:$B,$D199)</f>
        <v>0</v>
      </c>
      <c r="BI199" s="304"/>
      <c r="BJ199" s="181">
        <f t="shared" si="441"/>
        <v>0</v>
      </c>
      <c r="BK199" s="181">
        <f>SUMIFS('1-2 人员岗位信息'!Q:Q,'1-2 人员岗位信息'!$C:$C,"劳务派遣",'1-2 人员岗位信息'!$B:$B,$D199)</f>
        <v>0</v>
      </c>
      <c r="BL199" s="313"/>
      <c r="BM199" s="317"/>
      <c r="BN199" s="321"/>
    </row>
    <row r="200" s="269" customFormat="1" ht="33.95" customHeight="1" outlineLevel="5" spans="2:66">
      <c r="B200" s="181" t="s">
        <v>792</v>
      </c>
      <c r="C200" s="289" t="s">
        <v>1130</v>
      </c>
      <c r="D200" s="269" t="s">
        <v>1123</v>
      </c>
      <c r="E200" s="181" t="s">
        <v>1127</v>
      </c>
      <c r="F200" s="181"/>
      <c r="G200" s="181" t="s">
        <v>796</v>
      </c>
      <c r="H200" s="181">
        <f t="shared" si="425"/>
        <v>0</v>
      </c>
      <c r="I200" s="181" t="s">
        <v>797</v>
      </c>
      <c r="J200" s="181" t="e">
        <f t="shared" si="426"/>
        <v>#DIV/0!</v>
      </c>
      <c r="K200" s="181" t="s">
        <v>798</v>
      </c>
      <c r="L200" s="181" t="e">
        <f t="shared" si="427"/>
        <v>#DIV/0!</v>
      </c>
      <c r="M200" s="181" t="s">
        <v>799</v>
      </c>
      <c r="N200" s="181">
        <f t="shared" si="428"/>
        <v>0</v>
      </c>
      <c r="O200" s="181"/>
      <c r="P200" s="296"/>
      <c r="Q200" s="296"/>
      <c r="R200" s="296"/>
      <c r="S200" s="296"/>
      <c r="T200" s="296"/>
      <c r="U200" s="296"/>
      <c r="V200" s="296"/>
      <c r="W200" s="296"/>
      <c r="X200" s="296"/>
      <c r="Y200" s="296"/>
      <c r="Z200" s="296"/>
      <c r="AA200" s="296"/>
      <c r="AB200" s="181">
        <f t="shared" si="429"/>
        <v>0</v>
      </c>
      <c r="AC200" s="181">
        <f t="shared" si="430"/>
        <v>0</v>
      </c>
      <c r="AD200" s="181">
        <f>SUMIFS('1-2 人员岗位信息'!F:F,'1-2 人员岗位信息'!$C:$C,"劳务派遣",'1-2 人员岗位信息'!$B:$B,$D200)</f>
        <v>0</v>
      </c>
      <c r="AE200" s="304"/>
      <c r="AF200" s="181">
        <f t="shared" si="431"/>
        <v>0</v>
      </c>
      <c r="AG200" s="181">
        <f>SUMIFS('1-2 人员岗位信息'!G:G,'1-2 人员岗位信息'!$C:$C,"劳务派遣",'1-2 人员岗位信息'!$B:$B,$D200)</f>
        <v>0</v>
      </c>
      <c r="AH200" s="304"/>
      <c r="AI200" s="181">
        <f t="shared" si="432"/>
        <v>0</v>
      </c>
      <c r="AJ200" s="181">
        <f>SUMIFS('1-2 人员岗位信息'!H:H,'1-2 人员岗位信息'!$C:$C,"劳务派遣",'1-2 人员岗位信息'!$B:$B,$D200)</f>
        <v>0</v>
      </c>
      <c r="AK200" s="304"/>
      <c r="AL200" s="181">
        <f t="shared" si="433"/>
        <v>0</v>
      </c>
      <c r="AM200" s="181">
        <f>SUMIFS('1-2 人员岗位信息'!I:I,'1-2 人员岗位信息'!$C:$C,"劳务派遣",'1-2 人员岗位信息'!$B:$B,$D200)</f>
        <v>0</v>
      </c>
      <c r="AN200" s="304"/>
      <c r="AO200" s="181">
        <f t="shared" si="434"/>
        <v>0</v>
      </c>
      <c r="AP200" s="181">
        <f>SUMIFS('1-2 人员岗位信息'!J:J,'1-2 人员岗位信息'!$C:$C,"劳务派遣",'1-2 人员岗位信息'!$B:$B,$D200)</f>
        <v>0</v>
      </c>
      <c r="AQ200" s="304"/>
      <c r="AR200" s="181">
        <f t="shared" si="435"/>
        <v>0</v>
      </c>
      <c r="AS200" s="181">
        <f>SUMIFS('1-2 人员岗位信息'!K:K,'1-2 人员岗位信息'!$C:$C,"劳务派遣",'1-2 人员岗位信息'!$B:$B,$D200)</f>
        <v>0</v>
      </c>
      <c r="AT200" s="304"/>
      <c r="AU200" s="181">
        <f t="shared" si="436"/>
        <v>0</v>
      </c>
      <c r="AV200" s="181">
        <f>SUMIFS('1-2 人员岗位信息'!L:L,'1-2 人员岗位信息'!$C:$C,"劳务派遣",'1-2 人员岗位信息'!$B:$B,$D200)</f>
        <v>0</v>
      </c>
      <c r="AW200" s="304"/>
      <c r="AX200" s="181">
        <f t="shared" si="437"/>
        <v>0</v>
      </c>
      <c r="AY200" s="181">
        <f>SUMIFS('1-2 人员岗位信息'!M:M,'1-2 人员岗位信息'!$C:$C,"劳务派遣",'1-2 人员岗位信息'!$B:$B,$D200)</f>
        <v>0</v>
      </c>
      <c r="AZ200" s="304"/>
      <c r="BA200" s="181">
        <f t="shared" si="438"/>
        <v>0</v>
      </c>
      <c r="BB200" s="181">
        <f>SUMIFS('1-2 人员岗位信息'!N:N,'1-2 人员岗位信息'!$C:$C,"劳务派遣",'1-2 人员岗位信息'!$B:$B,$D200)</f>
        <v>0</v>
      </c>
      <c r="BC200" s="304"/>
      <c r="BD200" s="181">
        <f t="shared" si="439"/>
        <v>0</v>
      </c>
      <c r="BE200" s="181">
        <f>SUMIFS('1-2 人员岗位信息'!O:O,'1-2 人员岗位信息'!$C:$C,"劳务派遣",'1-2 人员岗位信息'!$B:$B,$D200)</f>
        <v>0</v>
      </c>
      <c r="BF200" s="304"/>
      <c r="BG200" s="181">
        <f t="shared" si="440"/>
        <v>0</v>
      </c>
      <c r="BH200" s="181">
        <f>SUMIFS('1-2 人员岗位信息'!P:P,'1-2 人员岗位信息'!$C:$C,"劳务派遣",'1-2 人员岗位信息'!$B:$B,$D200)</f>
        <v>0</v>
      </c>
      <c r="BI200" s="304"/>
      <c r="BJ200" s="181">
        <f t="shared" si="441"/>
        <v>0</v>
      </c>
      <c r="BK200" s="181">
        <f>SUMIFS('1-2 人员岗位信息'!Q:Q,'1-2 人员岗位信息'!$C:$C,"劳务派遣",'1-2 人员岗位信息'!$B:$B,$D200)</f>
        <v>0</v>
      </c>
      <c r="BL200" s="313"/>
      <c r="BM200" s="317"/>
      <c r="BN200" s="321"/>
    </row>
    <row r="201" s="269" customFormat="1" ht="33.95" customHeight="1" outlineLevel="5" spans="2:66">
      <c r="B201" s="181" t="s">
        <v>792</v>
      </c>
      <c r="C201" s="289" t="s">
        <v>1131</v>
      </c>
      <c r="D201" s="269" t="s">
        <v>1125</v>
      </c>
      <c r="E201" s="181" t="s">
        <v>1127</v>
      </c>
      <c r="F201" s="181"/>
      <c r="G201" s="181" t="s">
        <v>796</v>
      </c>
      <c r="H201" s="181">
        <f t="shared" si="425"/>
        <v>0</v>
      </c>
      <c r="I201" s="181" t="s">
        <v>797</v>
      </c>
      <c r="J201" s="181" t="e">
        <f t="shared" si="426"/>
        <v>#DIV/0!</v>
      </c>
      <c r="K201" s="181" t="s">
        <v>798</v>
      </c>
      <c r="L201" s="181" t="e">
        <f t="shared" si="427"/>
        <v>#DIV/0!</v>
      </c>
      <c r="M201" s="181" t="s">
        <v>799</v>
      </c>
      <c r="N201" s="181">
        <f t="shared" si="428"/>
        <v>0</v>
      </c>
      <c r="O201" s="181"/>
      <c r="P201" s="296"/>
      <c r="Q201" s="296"/>
      <c r="R201" s="296"/>
      <c r="S201" s="296"/>
      <c r="T201" s="296"/>
      <c r="U201" s="296"/>
      <c r="V201" s="296"/>
      <c r="W201" s="296"/>
      <c r="X201" s="296"/>
      <c r="Y201" s="296"/>
      <c r="Z201" s="296"/>
      <c r="AA201" s="296"/>
      <c r="AB201" s="181">
        <f t="shared" si="429"/>
        <v>0</v>
      </c>
      <c r="AC201" s="181">
        <f t="shared" si="430"/>
        <v>0</v>
      </c>
      <c r="AD201" s="181">
        <f>SUMIFS('1-2 人员岗位信息'!F:F,'1-2 人员岗位信息'!$C:$C,"劳务派遣",'1-2 人员岗位信息'!$B:$B,$D201)</f>
        <v>0</v>
      </c>
      <c r="AE201" s="304"/>
      <c r="AF201" s="181">
        <f t="shared" si="431"/>
        <v>0</v>
      </c>
      <c r="AG201" s="181">
        <f>SUMIFS('1-2 人员岗位信息'!G:G,'1-2 人员岗位信息'!$C:$C,"劳务派遣",'1-2 人员岗位信息'!$B:$B,$D201)</f>
        <v>0</v>
      </c>
      <c r="AH201" s="304"/>
      <c r="AI201" s="181">
        <f t="shared" si="432"/>
        <v>0</v>
      </c>
      <c r="AJ201" s="181">
        <f>SUMIFS('1-2 人员岗位信息'!H:H,'1-2 人员岗位信息'!$C:$C,"劳务派遣",'1-2 人员岗位信息'!$B:$B,$D201)</f>
        <v>0</v>
      </c>
      <c r="AK201" s="304"/>
      <c r="AL201" s="181">
        <f t="shared" si="433"/>
        <v>0</v>
      </c>
      <c r="AM201" s="181">
        <f>SUMIFS('1-2 人员岗位信息'!I:I,'1-2 人员岗位信息'!$C:$C,"劳务派遣",'1-2 人员岗位信息'!$B:$B,$D201)</f>
        <v>0</v>
      </c>
      <c r="AN201" s="304"/>
      <c r="AO201" s="181">
        <f t="shared" si="434"/>
        <v>0</v>
      </c>
      <c r="AP201" s="181">
        <f>SUMIFS('1-2 人员岗位信息'!J:J,'1-2 人员岗位信息'!$C:$C,"劳务派遣",'1-2 人员岗位信息'!$B:$B,$D201)</f>
        <v>0</v>
      </c>
      <c r="AQ201" s="304"/>
      <c r="AR201" s="181">
        <f t="shared" si="435"/>
        <v>0</v>
      </c>
      <c r="AS201" s="181">
        <f>SUMIFS('1-2 人员岗位信息'!K:K,'1-2 人员岗位信息'!$C:$C,"劳务派遣",'1-2 人员岗位信息'!$B:$B,$D201)</f>
        <v>0</v>
      </c>
      <c r="AT201" s="304"/>
      <c r="AU201" s="181">
        <f t="shared" si="436"/>
        <v>0</v>
      </c>
      <c r="AV201" s="181">
        <f>SUMIFS('1-2 人员岗位信息'!L:L,'1-2 人员岗位信息'!$C:$C,"劳务派遣",'1-2 人员岗位信息'!$B:$B,$D201)</f>
        <v>0</v>
      </c>
      <c r="AW201" s="304"/>
      <c r="AX201" s="181">
        <f t="shared" si="437"/>
        <v>0</v>
      </c>
      <c r="AY201" s="181">
        <f>SUMIFS('1-2 人员岗位信息'!M:M,'1-2 人员岗位信息'!$C:$C,"劳务派遣",'1-2 人员岗位信息'!$B:$B,$D201)</f>
        <v>0</v>
      </c>
      <c r="AZ201" s="304"/>
      <c r="BA201" s="181">
        <f t="shared" si="438"/>
        <v>0</v>
      </c>
      <c r="BB201" s="181">
        <f>SUMIFS('1-2 人员岗位信息'!N:N,'1-2 人员岗位信息'!$C:$C,"劳务派遣",'1-2 人员岗位信息'!$B:$B,$D201)</f>
        <v>0</v>
      </c>
      <c r="BC201" s="304"/>
      <c r="BD201" s="181">
        <f t="shared" si="439"/>
        <v>0</v>
      </c>
      <c r="BE201" s="181">
        <f>SUMIFS('1-2 人员岗位信息'!O:O,'1-2 人员岗位信息'!$C:$C,"劳务派遣",'1-2 人员岗位信息'!$B:$B,$D201)</f>
        <v>0</v>
      </c>
      <c r="BF201" s="304"/>
      <c r="BG201" s="181">
        <f t="shared" si="440"/>
        <v>0</v>
      </c>
      <c r="BH201" s="181">
        <f>SUMIFS('1-2 人员岗位信息'!P:P,'1-2 人员岗位信息'!$C:$C,"劳务派遣",'1-2 人员岗位信息'!$B:$B,$D201)</f>
        <v>0</v>
      </c>
      <c r="BI201" s="304"/>
      <c r="BJ201" s="181">
        <f t="shared" si="441"/>
        <v>0</v>
      </c>
      <c r="BK201" s="181">
        <f>SUMIFS('1-2 人员岗位信息'!Q:Q,'1-2 人员岗位信息'!$C:$C,"劳务派遣",'1-2 人员岗位信息'!$B:$B,$D201)</f>
        <v>0</v>
      </c>
      <c r="BL201" s="313"/>
      <c r="BM201" s="317"/>
      <c r="BN201" s="321"/>
    </row>
    <row r="202" s="124" customFormat="1" ht="33.95" customHeight="1" outlineLevel="4" spans="2:66">
      <c r="B202" s="125" t="s">
        <v>787</v>
      </c>
      <c r="C202" s="126" t="s">
        <v>1132</v>
      </c>
      <c r="D202" s="124" t="s">
        <v>19</v>
      </c>
      <c r="E202" s="125"/>
      <c r="F202" s="125"/>
      <c r="G202" s="125"/>
      <c r="H202" s="125">
        <f>SUM(H203:H207)</f>
        <v>0</v>
      </c>
      <c r="I202" s="125"/>
      <c r="J202" s="125"/>
      <c r="K202" s="125"/>
      <c r="L202" s="125"/>
      <c r="M202" s="125"/>
      <c r="N202" s="125"/>
      <c r="O202" s="125"/>
      <c r="P202" s="295"/>
      <c r="Q202" s="295"/>
      <c r="R202" s="295"/>
      <c r="S202" s="295"/>
      <c r="T202" s="295"/>
      <c r="U202" s="295"/>
      <c r="V202" s="295"/>
      <c r="W202" s="295"/>
      <c r="X202" s="295"/>
      <c r="Y202" s="295"/>
      <c r="Z202" s="295"/>
      <c r="AA202" s="295"/>
      <c r="AB202" s="125">
        <f t="shared" ref="AB202:AF202" si="442">SUM(AB203:AB207)</f>
        <v>0</v>
      </c>
      <c r="AC202" s="125">
        <f t="shared" si="442"/>
        <v>0</v>
      </c>
      <c r="AD202" s="125"/>
      <c r="AE202" s="125"/>
      <c r="AF202" s="125">
        <f t="shared" si="442"/>
        <v>0</v>
      </c>
      <c r="AG202" s="125"/>
      <c r="AH202" s="125"/>
      <c r="AI202" s="125">
        <f>SUM(AI203:AI207)</f>
        <v>0</v>
      </c>
      <c r="AJ202" s="125"/>
      <c r="AK202" s="125"/>
      <c r="AL202" s="125">
        <f>SUM(AL203:AL207)</f>
        <v>0</v>
      </c>
      <c r="AM202" s="125"/>
      <c r="AN202" s="125"/>
      <c r="AO202" s="125">
        <f>SUM(AO203:AO207)</f>
        <v>0</v>
      </c>
      <c r="AP202" s="125"/>
      <c r="AQ202" s="125"/>
      <c r="AR202" s="125">
        <f>SUM(AR203:AR207)</f>
        <v>0</v>
      </c>
      <c r="AS202" s="125"/>
      <c r="AT202" s="125"/>
      <c r="AU202" s="125">
        <f>SUM(AU203:AU207)</f>
        <v>0</v>
      </c>
      <c r="AV202" s="125"/>
      <c r="AW202" s="125"/>
      <c r="AX202" s="125">
        <f>SUM(AX203:AX207)</f>
        <v>0</v>
      </c>
      <c r="AY202" s="125"/>
      <c r="AZ202" s="125"/>
      <c r="BA202" s="125">
        <f>SUM(BA203:BA207)</f>
        <v>0</v>
      </c>
      <c r="BB202" s="125"/>
      <c r="BC202" s="125"/>
      <c r="BD202" s="125">
        <f>SUM(BD203:BD207)</f>
        <v>0</v>
      </c>
      <c r="BE202" s="125"/>
      <c r="BF202" s="125"/>
      <c r="BG202" s="125">
        <f>SUM(BG203:BG207)</f>
        <v>0</v>
      </c>
      <c r="BH202" s="125"/>
      <c r="BI202" s="125"/>
      <c r="BJ202" s="125">
        <f>SUM(BJ203:BJ207)</f>
        <v>0</v>
      </c>
      <c r="BK202" s="125"/>
      <c r="BL202" s="312"/>
      <c r="BM202" s="317"/>
      <c r="BN202" s="320"/>
    </row>
    <row r="203" s="269" customFormat="1" ht="33.95" customHeight="1" outlineLevel="5" spans="2:66">
      <c r="B203" s="181" t="s">
        <v>792</v>
      </c>
      <c r="C203" s="289" t="s">
        <v>1133</v>
      </c>
      <c r="D203" s="269" t="s">
        <v>1116</v>
      </c>
      <c r="E203" s="181" t="s">
        <v>1134</v>
      </c>
      <c r="F203" s="181"/>
      <c r="G203" s="181" t="s">
        <v>796</v>
      </c>
      <c r="H203" s="181">
        <f t="shared" ref="H203:H207" si="443">AB203</f>
        <v>0</v>
      </c>
      <c r="I203" s="181" t="s">
        <v>797</v>
      </c>
      <c r="J203" s="181" t="e">
        <f t="shared" ref="J203:J207" si="444">SUM(AD203,AG203,AJ203,AM203,AP203,AS203,AV203,AY203,BB203,BE203,BH203,BK203)/N203</f>
        <v>#DIV/0!</v>
      </c>
      <c r="K203" s="181" t="s">
        <v>798</v>
      </c>
      <c r="L203" s="181" t="e">
        <f t="shared" ref="L203:L207" si="445">H203/N203/J203</f>
        <v>#DIV/0!</v>
      </c>
      <c r="M203" s="181" t="s">
        <v>799</v>
      </c>
      <c r="N203" s="181">
        <f t="shared" ref="N203:N207" si="446">COUNTIF(AD203,"&gt;0")+COUNTIF(AG203,"&gt;0")+COUNTIF(AJ203,"&gt;0")+COUNTIF(AM203,"&gt;0")+COUNTIF(AP203,"&gt;0")+COUNTIF(AS203,"&gt;0")+COUNTIF(AV203,"&gt;0")+COUNTIF(AY203,"&gt;0")+COUNTIF(BB203,"&gt;0")+COUNTIF(BE203,"&gt;0")+COUNTIF(BH203,"&gt;0")+COUNTIF(BK203,"&gt;0")</f>
        <v>0</v>
      </c>
      <c r="O203" s="181"/>
      <c r="P203" s="296"/>
      <c r="Q203" s="296"/>
      <c r="R203" s="296"/>
      <c r="S203" s="296"/>
      <c r="T203" s="296"/>
      <c r="U203" s="296"/>
      <c r="V203" s="296"/>
      <c r="W203" s="296"/>
      <c r="X203" s="296"/>
      <c r="Y203" s="296"/>
      <c r="Z203" s="296"/>
      <c r="AA203" s="296"/>
      <c r="AB203" s="181">
        <f t="shared" ref="AB203:AB207" si="447">SUM(AC203,AF203,AI203,AL203,AO203,AR203,AU203,AX203,BA203,BD203,BG203,BJ203)</f>
        <v>0</v>
      </c>
      <c r="AC203" s="181">
        <f t="shared" ref="AC203:AC207" si="448">AD203*AE203</f>
        <v>0</v>
      </c>
      <c r="AD203" s="181">
        <f>SUMIFS('1-2 人员岗位信息'!F:F,'1-2 人员岗位信息'!$C:$C,"专业外包",'1-2 人员岗位信息'!$B:$B,$D203)</f>
        <v>0</v>
      </c>
      <c r="AE203" s="304"/>
      <c r="AF203" s="181">
        <f t="shared" ref="AF203:AF207" si="449">AG203*AH203</f>
        <v>0</v>
      </c>
      <c r="AG203" s="181">
        <f>SUMIFS('1-2 人员岗位信息'!G:G,'1-2 人员岗位信息'!$C:$C,"专业外包",'1-2 人员岗位信息'!$B:$B,$D203)</f>
        <v>0</v>
      </c>
      <c r="AH203" s="304"/>
      <c r="AI203" s="181">
        <f t="shared" ref="AI203:AI207" si="450">AJ203*AK203</f>
        <v>0</v>
      </c>
      <c r="AJ203" s="181">
        <f>SUMIFS('1-2 人员岗位信息'!H:H,'1-2 人员岗位信息'!$C:$C,"专业外包",'1-2 人员岗位信息'!$B:$B,$D203)</f>
        <v>0</v>
      </c>
      <c r="AK203" s="304"/>
      <c r="AL203" s="181">
        <f t="shared" ref="AL203:AL207" si="451">AM203*AN203</f>
        <v>0</v>
      </c>
      <c r="AM203" s="181">
        <f>SUMIFS('1-2 人员岗位信息'!I:I,'1-2 人员岗位信息'!$C:$C,"专业外包",'1-2 人员岗位信息'!$B:$B,$D203)</f>
        <v>0</v>
      </c>
      <c r="AN203" s="304"/>
      <c r="AO203" s="181">
        <f t="shared" ref="AO203:AO207" si="452">AP203*AQ203</f>
        <v>0</v>
      </c>
      <c r="AP203" s="181">
        <f>SUMIFS('1-2 人员岗位信息'!J:J,'1-2 人员岗位信息'!$C:$C,"专业外包",'1-2 人员岗位信息'!$B:$B,$D203)</f>
        <v>0</v>
      </c>
      <c r="AQ203" s="304"/>
      <c r="AR203" s="181">
        <f t="shared" ref="AR203:AR207" si="453">AS203*AT203</f>
        <v>0</v>
      </c>
      <c r="AS203" s="181">
        <f>SUMIFS('1-2 人员岗位信息'!K:K,'1-2 人员岗位信息'!$C:$C,"专业外包",'1-2 人员岗位信息'!$B:$B,$D203)</f>
        <v>0</v>
      </c>
      <c r="AT203" s="304"/>
      <c r="AU203" s="181">
        <f t="shared" ref="AU203:AU207" si="454">AV203*AW203</f>
        <v>0</v>
      </c>
      <c r="AV203" s="181">
        <f>SUMIFS('1-2 人员岗位信息'!L:L,'1-2 人员岗位信息'!$C:$C,"专业外包",'1-2 人员岗位信息'!$B:$B,$D203)</f>
        <v>0</v>
      </c>
      <c r="AW203" s="304"/>
      <c r="AX203" s="181">
        <f t="shared" ref="AX203:AX207" si="455">AY203*AZ203</f>
        <v>0</v>
      </c>
      <c r="AY203" s="181">
        <f>SUMIFS('1-2 人员岗位信息'!M:M,'1-2 人员岗位信息'!$C:$C,"专业外包",'1-2 人员岗位信息'!$B:$B,$D203)</f>
        <v>0</v>
      </c>
      <c r="AZ203" s="304"/>
      <c r="BA203" s="181">
        <f t="shared" ref="BA203:BA207" si="456">BB203*BC203</f>
        <v>0</v>
      </c>
      <c r="BB203" s="181">
        <f>SUMIFS('1-2 人员岗位信息'!N:N,'1-2 人员岗位信息'!$C:$C,"专业外包",'1-2 人员岗位信息'!$B:$B,$D203)</f>
        <v>0</v>
      </c>
      <c r="BC203" s="304"/>
      <c r="BD203" s="181">
        <f t="shared" ref="BD203:BD207" si="457">BE203*BF203</f>
        <v>0</v>
      </c>
      <c r="BE203" s="181">
        <f>SUMIFS('1-2 人员岗位信息'!O:O,'1-2 人员岗位信息'!$C:$C,"专业外包",'1-2 人员岗位信息'!$B:$B,$D203)</f>
        <v>0</v>
      </c>
      <c r="BF203" s="304"/>
      <c r="BG203" s="181">
        <f t="shared" ref="BG203:BG207" si="458">BH203*BI203</f>
        <v>0</v>
      </c>
      <c r="BH203" s="181">
        <f>SUMIFS('1-2 人员岗位信息'!P:P,'1-2 人员岗位信息'!$C:$C,"专业外包",'1-2 人员岗位信息'!$B:$B,$D203)</f>
        <v>0</v>
      </c>
      <c r="BI203" s="304"/>
      <c r="BJ203" s="181">
        <f t="shared" ref="BJ203:BJ207" si="459">BK203*BL203</f>
        <v>0</v>
      </c>
      <c r="BK203" s="181">
        <f>SUMIFS('1-2 人员岗位信息'!Q:Q,'1-2 人员岗位信息'!$C:$C,"专业外包",'1-2 人员岗位信息'!$B:$B,$D203)</f>
        <v>0</v>
      </c>
      <c r="BL203" s="304"/>
      <c r="BM203" s="317"/>
      <c r="BN203" s="321"/>
    </row>
    <row r="204" s="269" customFormat="1" ht="33.95" customHeight="1" outlineLevel="5" spans="2:66">
      <c r="B204" s="181" t="s">
        <v>792</v>
      </c>
      <c r="C204" s="289" t="s">
        <v>1135</v>
      </c>
      <c r="D204" s="269" t="s">
        <v>1119</v>
      </c>
      <c r="E204" s="181" t="s">
        <v>1134</v>
      </c>
      <c r="F204" s="181"/>
      <c r="G204" s="181" t="s">
        <v>796</v>
      </c>
      <c r="H204" s="181">
        <f t="shared" si="443"/>
        <v>0</v>
      </c>
      <c r="I204" s="181" t="s">
        <v>797</v>
      </c>
      <c r="J204" s="181" t="e">
        <f t="shared" si="444"/>
        <v>#DIV/0!</v>
      </c>
      <c r="K204" s="181" t="s">
        <v>798</v>
      </c>
      <c r="L204" s="181" t="e">
        <f t="shared" si="445"/>
        <v>#DIV/0!</v>
      </c>
      <c r="M204" s="181" t="s">
        <v>799</v>
      </c>
      <c r="N204" s="181">
        <f t="shared" si="446"/>
        <v>0</v>
      </c>
      <c r="O204" s="181"/>
      <c r="P204" s="296"/>
      <c r="Q204" s="296"/>
      <c r="R204" s="296"/>
      <c r="S204" s="296"/>
      <c r="T204" s="296"/>
      <c r="U204" s="296"/>
      <c r="V204" s="296"/>
      <c r="W204" s="296"/>
      <c r="X204" s="296"/>
      <c r="Y204" s="296"/>
      <c r="Z204" s="296"/>
      <c r="AA204" s="296"/>
      <c r="AB204" s="181">
        <f t="shared" si="447"/>
        <v>0</v>
      </c>
      <c r="AC204" s="181">
        <f t="shared" si="448"/>
        <v>0</v>
      </c>
      <c r="AD204" s="181">
        <f>SUMIFS('1-2 人员岗位信息'!F:F,'1-2 人员岗位信息'!$C:$C,"专业外包",'1-2 人员岗位信息'!$B:$B,$D204)</f>
        <v>0</v>
      </c>
      <c r="AE204" s="304"/>
      <c r="AF204" s="181">
        <f t="shared" si="449"/>
        <v>0</v>
      </c>
      <c r="AG204" s="181">
        <f>SUMIFS('1-2 人员岗位信息'!G:G,'1-2 人员岗位信息'!$C:$C,"专业外包",'1-2 人员岗位信息'!$B:$B,$D204)</f>
        <v>0</v>
      </c>
      <c r="AH204" s="304"/>
      <c r="AI204" s="181">
        <f t="shared" si="450"/>
        <v>0</v>
      </c>
      <c r="AJ204" s="181">
        <f>SUMIFS('1-2 人员岗位信息'!H:H,'1-2 人员岗位信息'!$C:$C,"专业外包",'1-2 人员岗位信息'!$B:$B,$D204)</f>
        <v>0</v>
      </c>
      <c r="AK204" s="304"/>
      <c r="AL204" s="181">
        <f t="shared" si="451"/>
        <v>0</v>
      </c>
      <c r="AM204" s="181">
        <f>SUMIFS('1-2 人员岗位信息'!I:I,'1-2 人员岗位信息'!$C:$C,"专业外包",'1-2 人员岗位信息'!$B:$B,$D204)</f>
        <v>0</v>
      </c>
      <c r="AN204" s="304"/>
      <c r="AO204" s="181">
        <f t="shared" si="452"/>
        <v>0</v>
      </c>
      <c r="AP204" s="181">
        <f>SUMIFS('1-2 人员岗位信息'!J:J,'1-2 人员岗位信息'!$C:$C,"专业外包",'1-2 人员岗位信息'!$B:$B,$D204)</f>
        <v>0</v>
      </c>
      <c r="AQ204" s="304"/>
      <c r="AR204" s="181">
        <f t="shared" si="453"/>
        <v>0</v>
      </c>
      <c r="AS204" s="181">
        <f>SUMIFS('1-2 人员岗位信息'!K:K,'1-2 人员岗位信息'!$C:$C,"专业外包",'1-2 人员岗位信息'!$B:$B,$D204)</f>
        <v>0</v>
      </c>
      <c r="AT204" s="304"/>
      <c r="AU204" s="181">
        <f t="shared" si="454"/>
        <v>0</v>
      </c>
      <c r="AV204" s="181">
        <f>SUMIFS('1-2 人员岗位信息'!L:L,'1-2 人员岗位信息'!$C:$C,"专业外包",'1-2 人员岗位信息'!$B:$B,$D204)</f>
        <v>0</v>
      </c>
      <c r="AW204" s="304"/>
      <c r="AX204" s="181">
        <f t="shared" si="455"/>
        <v>0</v>
      </c>
      <c r="AY204" s="181">
        <f>SUMIFS('1-2 人员岗位信息'!M:M,'1-2 人员岗位信息'!$C:$C,"专业外包",'1-2 人员岗位信息'!$B:$B,$D204)</f>
        <v>0</v>
      </c>
      <c r="AZ204" s="304"/>
      <c r="BA204" s="181">
        <f t="shared" si="456"/>
        <v>0</v>
      </c>
      <c r="BB204" s="181">
        <f>SUMIFS('1-2 人员岗位信息'!N:N,'1-2 人员岗位信息'!$C:$C,"专业外包",'1-2 人员岗位信息'!$B:$B,$D204)</f>
        <v>0</v>
      </c>
      <c r="BC204" s="304"/>
      <c r="BD204" s="181">
        <f t="shared" si="457"/>
        <v>0</v>
      </c>
      <c r="BE204" s="181">
        <f>SUMIFS('1-2 人员岗位信息'!O:O,'1-2 人员岗位信息'!$C:$C,"专业外包",'1-2 人员岗位信息'!$B:$B,$D204)</f>
        <v>0</v>
      </c>
      <c r="BF204" s="304"/>
      <c r="BG204" s="181">
        <f t="shared" si="458"/>
        <v>0</v>
      </c>
      <c r="BH204" s="181">
        <f>SUMIFS('1-2 人员岗位信息'!P:P,'1-2 人员岗位信息'!$C:$C,"专业外包",'1-2 人员岗位信息'!$B:$B,$D204)</f>
        <v>0</v>
      </c>
      <c r="BI204" s="304"/>
      <c r="BJ204" s="181">
        <f t="shared" si="459"/>
        <v>0</v>
      </c>
      <c r="BK204" s="181">
        <f>SUMIFS('1-2 人员岗位信息'!Q:Q,'1-2 人员岗位信息'!$C:$C,"专业外包",'1-2 人员岗位信息'!$B:$B,$D204)</f>
        <v>0</v>
      </c>
      <c r="BL204" s="313"/>
      <c r="BM204" s="317"/>
      <c r="BN204" s="321"/>
    </row>
    <row r="205" s="269" customFormat="1" ht="33.95" customHeight="1" outlineLevel="5" spans="2:66">
      <c r="B205" s="181" t="s">
        <v>792</v>
      </c>
      <c r="C205" s="289" t="s">
        <v>1136</v>
      </c>
      <c r="D205" s="269" t="s">
        <v>1121</v>
      </c>
      <c r="E205" s="181" t="s">
        <v>1134</v>
      </c>
      <c r="F205" s="181"/>
      <c r="G205" s="181" t="s">
        <v>796</v>
      </c>
      <c r="H205" s="181">
        <f t="shared" si="443"/>
        <v>0</v>
      </c>
      <c r="I205" s="181" t="s">
        <v>797</v>
      </c>
      <c r="J205" s="181" t="e">
        <f t="shared" si="444"/>
        <v>#DIV/0!</v>
      </c>
      <c r="K205" s="181" t="s">
        <v>798</v>
      </c>
      <c r="L205" s="181" t="e">
        <f t="shared" si="445"/>
        <v>#DIV/0!</v>
      </c>
      <c r="M205" s="181" t="s">
        <v>799</v>
      </c>
      <c r="N205" s="181">
        <f t="shared" si="446"/>
        <v>0</v>
      </c>
      <c r="O205" s="181"/>
      <c r="P205" s="296"/>
      <c r="Q205" s="296"/>
      <c r="R205" s="296"/>
      <c r="S205" s="296"/>
      <c r="T205" s="296"/>
      <c r="U205" s="296"/>
      <c r="V205" s="296"/>
      <c r="W205" s="296"/>
      <c r="X205" s="296"/>
      <c r="Y205" s="296"/>
      <c r="Z205" s="296"/>
      <c r="AA205" s="296"/>
      <c r="AB205" s="181">
        <f t="shared" si="447"/>
        <v>0</v>
      </c>
      <c r="AC205" s="181">
        <f t="shared" si="448"/>
        <v>0</v>
      </c>
      <c r="AD205" s="181">
        <f>SUMIFS('1-2 人员岗位信息'!F:F,'1-2 人员岗位信息'!$C:$C,"专业外包",'1-2 人员岗位信息'!$B:$B,$D205)</f>
        <v>0</v>
      </c>
      <c r="AE205" s="304"/>
      <c r="AF205" s="181">
        <f t="shared" si="449"/>
        <v>0</v>
      </c>
      <c r="AG205" s="181">
        <f>SUMIFS('1-2 人员岗位信息'!G:G,'1-2 人员岗位信息'!$C:$C,"专业外包",'1-2 人员岗位信息'!$B:$B,$D205)</f>
        <v>0</v>
      </c>
      <c r="AH205" s="304"/>
      <c r="AI205" s="181">
        <f t="shared" si="450"/>
        <v>0</v>
      </c>
      <c r="AJ205" s="181">
        <f>SUMIFS('1-2 人员岗位信息'!H:H,'1-2 人员岗位信息'!$C:$C,"专业外包",'1-2 人员岗位信息'!$B:$B,$D205)</f>
        <v>0</v>
      </c>
      <c r="AK205" s="304"/>
      <c r="AL205" s="181">
        <f t="shared" si="451"/>
        <v>0</v>
      </c>
      <c r="AM205" s="181">
        <f>SUMIFS('1-2 人员岗位信息'!I:I,'1-2 人员岗位信息'!$C:$C,"专业外包",'1-2 人员岗位信息'!$B:$B,$D205)</f>
        <v>0</v>
      </c>
      <c r="AN205" s="304"/>
      <c r="AO205" s="181">
        <f t="shared" si="452"/>
        <v>0</v>
      </c>
      <c r="AP205" s="181">
        <f>SUMIFS('1-2 人员岗位信息'!J:J,'1-2 人员岗位信息'!$C:$C,"专业外包",'1-2 人员岗位信息'!$B:$B,$D205)</f>
        <v>0</v>
      </c>
      <c r="AQ205" s="304"/>
      <c r="AR205" s="181">
        <f t="shared" si="453"/>
        <v>0</v>
      </c>
      <c r="AS205" s="181">
        <f>SUMIFS('1-2 人员岗位信息'!K:K,'1-2 人员岗位信息'!$C:$C,"专业外包",'1-2 人员岗位信息'!$B:$B,$D205)</f>
        <v>0</v>
      </c>
      <c r="AT205" s="304"/>
      <c r="AU205" s="181">
        <f t="shared" si="454"/>
        <v>0</v>
      </c>
      <c r="AV205" s="181">
        <f>SUMIFS('1-2 人员岗位信息'!L:L,'1-2 人员岗位信息'!$C:$C,"专业外包",'1-2 人员岗位信息'!$B:$B,$D205)</f>
        <v>0</v>
      </c>
      <c r="AW205" s="304"/>
      <c r="AX205" s="181">
        <f t="shared" si="455"/>
        <v>0</v>
      </c>
      <c r="AY205" s="181">
        <f>SUMIFS('1-2 人员岗位信息'!M:M,'1-2 人员岗位信息'!$C:$C,"专业外包",'1-2 人员岗位信息'!$B:$B,$D205)</f>
        <v>0</v>
      </c>
      <c r="AZ205" s="304"/>
      <c r="BA205" s="181">
        <f t="shared" si="456"/>
        <v>0</v>
      </c>
      <c r="BB205" s="181">
        <f>SUMIFS('1-2 人员岗位信息'!N:N,'1-2 人员岗位信息'!$C:$C,"专业外包",'1-2 人员岗位信息'!$B:$B,$D205)</f>
        <v>0</v>
      </c>
      <c r="BC205" s="304"/>
      <c r="BD205" s="181">
        <f t="shared" si="457"/>
        <v>0</v>
      </c>
      <c r="BE205" s="181">
        <f>SUMIFS('1-2 人员岗位信息'!O:O,'1-2 人员岗位信息'!$C:$C,"专业外包",'1-2 人员岗位信息'!$B:$B,$D205)</f>
        <v>0</v>
      </c>
      <c r="BF205" s="304"/>
      <c r="BG205" s="181">
        <f t="shared" si="458"/>
        <v>0</v>
      </c>
      <c r="BH205" s="181">
        <f>SUMIFS('1-2 人员岗位信息'!P:P,'1-2 人员岗位信息'!$C:$C,"专业外包",'1-2 人员岗位信息'!$B:$B,$D205)</f>
        <v>0</v>
      </c>
      <c r="BI205" s="304"/>
      <c r="BJ205" s="181">
        <f t="shared" si="459"/>
        <v>0</v>
      </c>
      <c r="BK205" s="181">
        <f>SUMIFS('1-2 人员岗位信息'!Q:Q,'1-2 人员岗位信息'!$C:$C,"专业外包",'1-2 人员岗位信息'!$B:$B,$D205)</f>
        <v>0</v>
      </c>
      <c r="BL205" s="313"/>
      <c r="BM205" s="317"/>
      <c r="BN205" s="321"/>
    </row>
    <row r="206" s="269" customFormat="1" ht="33.95" customHeight="1" outlineLevel="5" spans="2:66">
      <c r="B206" s="181" t="s">
        <v>792</v>
      </c>
      <c r="C206" s="289" t="s">
        <v>1137</v>
      </c>
      <c r="D206" s="269" t="s">
        <v>1123</v>
      </c>
      <c r="E206" s="181" t="s">
        <v>1134</v>
      </c>
      <c r="F206" s="181"/>
      <c r="G206" s="181" t="s">
        <v>796</v>
      </c>
      <c r="H206" s="181">
        <f t="shared" si="443"/>
        <v>0</v>
      </c>
      <c r="I206" s="181" t="s">
        <v>797</v>
      </c>
      <c r="J206" s="181" t="e">
        <f t="shared" si="444"/>
        <v>#DIV/0!</v>
      </c>
      <c r="K206" s="181" t="s">
        <v>798</v>
      </c>
      <c r="L206" s="181" t="e">
        <f t="shared" si="445"/>
        <v>#DIV/0!</v>
      </c>
      <c r="M206" s="181" t="s">
        <v>799</v>
      </c>
      <c r="N206" s="181">
        <f t="shared" si="446"/>
        <v>0</v>
      </c>
      <c r="O206" s="181"/>
      <c r="P206" s="296"/>
      <c r="Q206" s="296"/>
      <c r="R206" s="296"/>
      <c r="S206" s="296"/>
      <c r="T206" s="296"/>
      <c r="U206" s="296"/>
      <c r="V206" s="296"/>
      <c r="W206" s="296"/>
      <c r="X206" s="296"/>
      <c r="Y206" s="296"/>
      <c r="Z206" s="296"/>
      <c r="AA206" s="296"/>
      <c r="AB206" s="181">
        <f t="shared" si="447"/>
        <v>0</v>
      </c>
      <c r="AC206" s="181">
        <f t="shared" si="448"/>
        <v>0</v>
      </c>
      <c r="AD206" s="181">
        <f>SUMIFS('1-2 人员岗位信息'!F:F,'1-2 人员岗位信息'!$C:$C,"专业外包",'1-2 人员岗位信息'!$B:$B,$D206)</f>
        <v>0</v>
      </c>
      <c r="AE206" s="304"/>
      <c r="AF206" s="181">
        <f t="shared" si="449"/>
        <v>0</v>
      </c>
      <c r="AG206" s="181">
        <f>SUMIFS('1-2 人员岗位信息'!G:G,'1-2 人员岗位信息'!$C:$C,"专业外包",'1-2 人员岗位信息'!$B:$B,$D206)</f>
        <v>0</v>
      </c>
      <c r="AH206" s="304"/>
      <c r="AI206" s="181">
        <f t="shared" si="450"/>
        <v>0</v>
      </c>
      <c r="AJ206" s="181">
        <f>SUMIFS('1-2 人员岗位信息'!H:H,'1-2 人员岗位信息'!$C:$C,"专业外包",'1-2 人员岗位信息'!$B:$B,$D206)</f>
        <v>0</v>
      </c>
      <c r="AK206" s="304"/>
      <c r="AL206" s="181">
        <f t="shared" si="451"/>
        <v>0</v>
      </c>
      <c r="AM206" s="181">
        <f>SUMIFS('1-2 人员岗位信息'!I:I,'1-2 人员岗位信息'!$C:$C,"专业外包",'1-2 人员岗位信息'!$B:$B,$D206)</f>
        <v>0</v>
      </c>
      <c r="AN206" s="304"/>
      <c r="AO206" s="181">
        <f t="shared" si="452"/>
        <v>0</v>
      </c>
      <c r="AP206" s="181">
        <f>SUMIFS('1-2 人员岗位信息'!J:J,'1-2 人员岗位信息'!$C:$C,"专业外包",'1-2 人员岗位信息'!$B:$B,$D206)</f>
        <v>0</v>
      </c>
      <c r="AQ206" s="304"/>
      <c r="AR206" s="181">
        <f t="shared" si="453"/>
        <v>0</v>
      </c>
      <c r="AS206" s="181">
        <f>SUMIFS('1-2 人员岗位信息'!K:K,'1-2 人员岗位信息'!$C:$C,"专业外包",'1-2 人员岗位信息'!$B:$B,$D206)</f>
        <v>0</v>
      </c>
      <c r="AT206" s="304"/>
      <c r="AU206" s="181">
        <f t="shared" si="454"/>
        <v>0</v>
      </c>
      <c r="AV206" s="181">
        <f>SUMIFS('1-2 人员岗位信息'!L:L,'1-2 人员岗位信息'!$C:$C,"专业外包",'1-2 人员岗位信息'!$B:$B,$D206)</f>
        <v>0</v>
      </c>
      <c r="AW206" s="304"/>
      <c r="AX206" s="181">
        <f t="shared" si="455"/>
        <v>0</v>
      </c>
      <c r="AY206" s="181">
        <f>SUMIFS('1-2 人员岗位信息'!M:M,'1-2 人员岗位信息'!$C:$C,"专业外包",'1-2 人员岗位信息'!$B:$B,$D206)</f>
        <v>0</v>
      </c>
      <c r="AZ206" s="304"/>
      <c r="BA206" s="181">
        <f t="shared" si="456"/>
        <v>0</v>
      </c>
      <c r="BB206" s="181">
        <f>SUMIFS('1-2 人员岗位信息'!N:N,'1-2 人员岗位信息'!$C:$C,"专业外包",'1-2 人员岗位信息'!$B:$B,$D206)</f>
        <v>0</v>
      </c>
      <c r="BC206" s="304"/>
      <c r="BD206" s="181">
        <f t="shared" si="457"/>
        <v>0</v>
      </c>
      <c r="BE206" s="181">
        <f>SUMIFS('1-2 人员岗位信息'!O:O,'1-2 人员岗位信息'!$C:$C,"专业外包",'1-2 人员岗位信息'!$B:$B,$D206)</f>
        <v>0</v>
      </c>
      <c r="BF206" s="304"/>
      <c r="BG206" s="181">
        <f t="shared" si="458"/>
        <v>0</v>
      </c>
      <c r="BH206" s="181">
        <f>SUMIFS('1-2 人员岗位信息'!P:P,'1-2 人员岗位信息'!$C:$C,"专业外包",'1-2 人员岗位信息'!$B:$B,$D206)</f>
        <v>0</v>
      </c>
      <c r="BI206" s="304"/>
      <c r="BJ206" s="181">
        <f t="shared" si="459"/>
        <v>0</v>
      </c>
      <c r="BK206" s="181">
        <f>SUMIFS('1-2 人员岗位信息'!Q:Q,'1-2 人员岗位信息'!$C:$C,"专业外包",'1-2 人员岗位信息'!$B:$B,$D206)</f>
        <v>0</v>
      </c>
      <c r="BL206" s="313"/>
      <c r="BM206" s="317"/>
      <c r="BN206" s="321"/>
    </row>
    <row r="207" s="269" customFormat="1" ht="33.95" customHeight="1" outlineLevel="5" spans="2:66">
      <c r="B207" s="181" t="s">
        <v>792</v>
      </c>
      <c r="C207" s="289" t="s">
        <v>1138</v>
      </c>
      <c r="D207" s="269" t="s">
        <v>1125</v>
      </c>
      <c r="E207" s="181" t="s">
        <v>1134</v>
      </c>
      <c r="F207" s="181"/>
      <c r="G207" s="181" t="s">
        <v>796</v>
      </c>
      <c r="H207" s="181">
        <f t="shared" si="443"/>
        <v>0</v>
      </c>
      <c r="I207" s="181" t="s">
        <v>797</v>
      </c>
      <c r="J207" s="181" t="e">
        <f t="shared" si="444"/>
        <v>#DIV/0!</v>
      </c>
      <c r="K207" s="181" t="s">
        <v>798</v>
      </c>
      <c r="L207" s="181" t="e">
        <f t="shared" si="445"/>
        <v>#DIV/0!</v>
      </c>
      <c r="M207" s="181" t="s">
        <v>799</v>
      </c>
      <c r="N207" s="181">
        <f t="shared" si="446"/>
        <v>0</v>
      </c>
      <c r="O207" s="181"/>
      <c r="P207" s="296"/>
      <c r="Q207" s="296"/>
      <c r="R207" s="296"/>
      <c r="S207" s="296"/>
      <c r="T207" s="296"/>
      <c r="U207" s="296"/>
      <c r="V207" s="296"/>
      <c r="W207" s="296"/>
      <c r="X207" s="296"/>
      <c r="Y207" s="296"/>
      <c r="Z207" s="296"/>
      <c r="AA207" s="296"/>
      <c r="AB207" s="181">
        <f t="shared" si="447"/>
        <v>0</v>
      </c>
      <c r="AC207" s="181">
        <f t="shared" si="448"/>
        <v>0</v>
      </c>
      <c r="AD207" s="181">
        <f>SUMIFS('1-2 人员岗位信息'!F:F,'1-2 人员岗位信息'!$C:$C,"专业外包",'1-2 人员岗位信息'!$B:$B,$D207)</f>
        <v>0</v>
      </c>
      <c r="AE207" s="304"/>
      <c r="AF207" s="181">
        <f t="shared" si="449"/>
        <v>0</v>
      </c>
      <c r="AG207" s="181">
        <f>SUMIFS('1-2 人员岗位信息'!G:G,'1-2 人员岗位信息'!$C:$C,"专业外包",'1-2 人员岗位信息'!$B:$B,$D207)</f>
        <v>0</v>
      </c>
      <c r="AH207" s="304"/>
      <c r="AI207" s="181">
        <f t="shared" si="450"/>
        <v>0</v>
      </c>
      <c r="AJ207" s="181">
        <f>SUMIFS('1-2 人员岗位信息'!H:H,'1-2 人员岗位信息'!$C:$C,"专业外包",'1-2 人员岗位信息'!$B:$B,$D207)</f>
        <v>0</v>
      </c>
      <c r="AK207" s="304"/>
      <c r="AL207" s="181">
        <f t="shared" si="451"/>
        <v>0</v>
      </c>
      <c r="AM207" s="181">
        <f>SUMIFS('1-2 人员岗位信息'!I:I,'1-2 人员岗位信息'!$C:$C,"专业外包",'1-2 人员岗位信息'!$B:$B,$D207)</f>
        <v>0</v>
      </c>
      <c r="AN207" s="304"/>
      <c r="AO207" s="181">
        <f t="shared" si="452"/>
        <v>0</v>
      </c>
      <c r="AP207" s="181">
        <f>SUMIFS('1-2 人员岗位信息'!J:J,'1-2 人员岗位信息'!$C:$C,"专业外包",'1-2 人员岗位信息'!$B:$B,$D207)</f>
        <v>0</v>
      </c>
      <c r="AQ207" s="304"/>
      <c r="AR207" s="181">
        <f t="shared" si="453"/>
        <v>0</v>
      </c>
      <c r="AS207" s="181">
        <f>SUMIFS('1-2 人员岗位信息'!K:K,'1-2 人员岗位信息'!$C:$C,"专业外包",'1-2 人员岗位信息'!$B:$B,$D207)</f>
        <v>0</v>
      </c>
      <c r="AT207" s="304"/>
      <c r="AU207" s="181">
        <f t="shared" si="454"/>
        <v>0</v>
      </c>
      <c r="AV207" s="181">
        <f>SUMIFS('1-2 人员岗位信息'!L:L,'1-2 人员岗位信息'!$C:$C,"专业外包",'1-2 人员岗位信息'!$B:$B,$D207)</f>
        <v>0</v>
      </c>
      <c r="AW207" s="304"/>
      <c r="AX207" s="181">
        <f t="shared" si="455"/>
        <v>0</v>
      </c>
      <c r="AY207" s="181">
        <f>SUMIFS('1-2 人员岗位信息'!M:M,'1-2 人员岗位信息'!$C:$C,"专业外包",'1-2 人员岗位信息'!$B:$B,$D207)</f>
        <v>0</v>
      </c>
      <c r="AZ207" s="304"/>
      <c r="BA207" s="181">
        <f t="shared" si="456"/>
        <v>0</v>
      </c>
      <c r="BB207" s="181">
        <f>SUMIFS('1-2 人员岗位信息'!N:N,'1-2 人员岗位信息'!$C:$C,"专业外包",'1-2 人员岗位信息'!$B:$B,$D207)</f>
        <v>0</v>
      </c>
      <c r="BC207" s="304"/>
      <c r="BD207" s="181">
        <f t="shared" si="457"/>
        <v>0</v>
      </c>
      <c r="BE207" s="181">
        <f>SUMIFS('1-2 人员岗位信息'!O:O,'1-2 人员岗位信息'!$C:$C,"专业外包",'1-2 人员岗位信息'!$B:$B,$D207)</f>
        <v>0</v>
      </c>
      <c r="BF207" s="304"/>
      <c r="BG207" s="181">
        <f t="shared" si="458"/>
        <v>0</v>
      </c>
      <c r="BH207" s="181">
        <f>SUMIFS('1-2 人员岗位信息'!P:P,'1-2 人员岗位信息'!$C:$C,"专业外包",'1-2 人员岗位信息'!$B:$B,$D207)</f>
        <v>0</v>
      </c>
      <c r="BI207" s="304"/>
      <c r="BJ207" s="181">
        <f t="shared" si="459"/>
        <v>0</v>
      </c>
      <c r="BK207" s="181">
        <f>SUMIFS('1-2 人员岗位信息'!Q:Q,'1-2 人员岗位信息'!$C:$C,"专业外包",'1-2 人员岗位信息'!$B:$B,$D207)</f>
        <v>0</v>
      </c>
      <c r="BL207" s="313"/>
      <c r="BM207" s="317"/>
      <c r="BN207" s="321"/>
    </row>
    <row r="208" s="14" customFormat="1" ht="33.95" customHeight="1" outlineLevel="2" spans="2:66">
      <c r="B208" s="118" t="s">
        <v>787</v>
      </c>
      <c r="C208" s="119" t="s">
        <v>220</v>
      </c>
      <c r="D208" s="14" t="s">
        <v>221</v>
      </c>
      <c r="E208" s="118"/>
      <c r="F208" s="118"/>
      <c r="G208" s="118"/>
      <c r="H208" s="118">
        <f>H209+H223+H224+H236+H239+H247+H262+H291+H303+H307</f>
        <v>467834.662941931</v>
      </c>
      <c r="I208" s="118"/>
      <c r="J208" s="118"/>
      <c r="K208" s="118"/>
      <c r="L208" s="118"/>
      <c r="M208" s="118"/>
      <c r="N208" s="118"/>
      <c r="O208" s="118"/>
      <c r="P208" s="293"/>
      <c r="Q208" s="293"/>
      <c r="R208" s="293"/>
      <c r="S208" s="293"/>
      <c r="T208" s="293"/>
      <c r="U208" s="293"/>
      <c r="V208" s="293"/>
      <c r="W208" s="293"/>
      <c r="X208" s="293"/>
      <c r="Y208" s="293"/>
      <c r="Z208" s="293"/>
      <c r="AA208" s="293"/>
      <c r="AB208" s="118">
        <f t="shared" ref="AB208:AF208" si="460">AB209+AB223+AB224+AB236+AB239+AB247+AB262+AB291+AB303+AB307</f>
        <v>467834.662941931</v>
      </c>
      <c r="AC208" s="118">
        <f t="shared" si="460"/>
        <v>186020.629923063</v>
      </c>
      <c r="AD208" s="118"/>
      <c r="AE208" s="118"/>
      <c r="AF208" s="118">
        <f t="shared" si="460"/>
        <v>25619.4575471698</v>
      </c>
      <c r="AG208" s="118"/>
      <c r="AH208" s="118"/>
      <c r="AI208" s="118">
        <f>AI209+AI223+AI224+AI236+AI239+AI247+AI262+AI291+AI303+AI307</f>
        <v>25619.4575471698</v>
      </c>
      <c r="AJ208" s="118"/>
      <c r="AK208" s="118"/>
      <c r="AL208" s="118">
        <f>AL209+AL223+AL224+AL236+AL239+AL247+AL262+AL291+AL303+AL307</f>
        <v>25619.4575471698</v>
      </c>
      <c r="AM208" s="118"/>
      <c r="AN208" s="118"/>
      <c r="AO208" s="118">
        <f>AO209+AO223+AO224+AO236+AO239+AO247+AO262+AO291+AO303+AO307</f>
        <v>25619.4575471698</v>
      </c>
      <c r="AP208" s="118"/>
      <c r="AQ208" s="118"/>
      <c r="AR208" s="118">
        <f>AR209+AR223+AR224+AR236+AR239+AR247+AR262+AR291+AR303+AR307</f>
        <v>25619.4575471698</v>
      </c>
      <c r="AS208" s="118"/>
      <c r="AT208" s="118"/>
      <c r="AU208" s="118">
        <f>AU209+AU223+AU224+AU236+AU239+AU247+AU262+AU291+AU303+AU307</f>
        <v>25619.4575471698</v>
      </c>
      <c r="AV208" s="118"/>
      <c r="AW208" s="118"/>
      <c r="AX208" s="118">
        <f>AX209+AX223+AX224+AX236+AX239+AX247+AX262+AX291+AX303+AX307</f>
        <v>25619.4575471698</v>
      </c>
      <c r="AY208" s="118"/>
      <c r="AZ208" s="118"/>
      <c r="BA208" s="118">
        <f>BA209+BA223+BA224+BA236+BA239+BA247+BA262+BA291+BA303+BA307</f>
        <v>25619.4575471698</v>
      </c>
      <c r="BB208" s="118"/>
      <c r="BC208" s="118"/>
      <c r="BD208" s="118">
        <f>BD209+BD223+BD224+BD236+BD239+BD247+BD262+BD291+BD303+BD307</f>
        <v>25619.4575471698</v>
      </c>
      <c r="BE208" s="118"/>
      <c r="BF208" s="118"/>
      <c r="BG208" s="118">
        <f>BG209+BG223+BG224+BG236+BG239+BG247+BG262+BG291+BG303+BG307</f>
        <v>25619.4575471698</v>
      </c>
      <c r="BH208" s="118"/>
      <c r="BI208" s="118"/>
      <c r="BJ208" s="118">
        <f>BJ209+BJ223+BJ224+BJ236+BJ239+BJ247+BJ262+BJ291+BJ303+BJ307</f>
        <v>25619.4575471698</v>
      </c>
      <c r="BK208" s="118"/>
      <c r="BL208" s="310"/>
      <c r="BM208" s="317"/>
      <c r="BN208" s="318"/>
    </row>
    <row r="209" s="43" customFormat="1" ht="33.95" customHeight="1" outlineLevel="3" spans="2:66">
      <c r="B209" s="121" t="s">
        <v>787</v>
      </c>
      <c r="C209" s="122" t="s">
        <v>32</v>
      </c>
      <c r="D209" s="43" t="s">
        <v>33</v>
      </c>
      <c r="E209" s="121" t="s">
        <v>1139</v>
      </c>
      <c r="F209" s="121"/>
      <c r="G209" s="121"/>
      <c r="H209" s="121">
        <f>SUM(H210:H222)</f>
        <v>0</v>
      </c>
      <c r="I209" s="121"/>
      <c r="J209" s="121"/>
      <c r="K209" s="121"/>
      <c r="L209" s="121"/>
      <c r="M209" s="121"/>
      <c r="N209" s="121"/>
      <c r="O209" s="121"/>
      <c r="P209" s="294"/>
      <c r="Q209" s="294"/>
      <c r="R209" s="294"/>
      <c r="S209" s="294"/>
      <c r="T209" s="294"/>
      <c r="U209" s="294"/>
      <c r="V209" s="294"/>
      <c r="W209" s="294"/>
      <c r="X209" s="294"/>
      <c r="Y209" s="294"/>
      <c r="Z209" s="294"/>
      <c r="AA209" s="294"/>
      <c r="AB209" s="121">
        <f t="shared" ref="AB209:AF209" si="461">SUM(AB210:AB222)</f>
        <v>0</v>
      </c>
      <c r="AC209" s="121">
        <f t="shared" si="461"/>
        <v>0</v>
      </c>
      <c r="AD209" s="121"/>
      <c r="AE209" s="121"/>
      <c r="AF209" s="121">
        <f t="shared" si="461"/>
        <v>0</v>
      </c>
      <c r="AG209" s="121"/>
      <c r="AH209" s="121"/>
      <c r="AI209" s="121">
        <f>SUM(AI210:AI222)</f>
        <v>0</v>
      </c>
      <c r="AJ209" s="121"/>
      <c r="AK209" s="121"/>
      <c r="AL209" s="121">
        <f>SUM(AL210:AL222)</f>
        <v>0</v>
      </c>
      <c r="AM209" s="121"/>
      <c r="AN209" s="121"/>
      <c r="AO209" s="121">
        <f>SUM(AO210:AO222)</f>
        <v>0</v>
      </c>
      <c r="AP209" s="121"/>
      <c r="AQ209" s="121"/>
      <c r="AR209" s="121">
        <f>SUM(AR210:AR222)</f>
        <v>0</v>
      </c>
      <c r="AS209" s="121"/>
      <c r="AT209" s="121"/>
      <c r="AU209" s="121">
        <f>SUM(AU210:AU222)</f>
        <v>0</v>
      </c>
      <c r="AV209" s="121"/>
      <c r="AW209" s="121"/>
      <c r="AX209" s="121">
        <f>SUM(AX210:AX222)</f>
        <v>0</v>
      </c>
      <c r="AY209" s="121"/>
      <c r="AZ209" s="121"/>
      <c r="BA209" s="121">
        <f>SUM(BA210:BA222)</f>
        <v>0</v>
      </c>
      <c r="BB209" s="121"/>
      <c r="BC209" s="121"/>
      <c r="BD209" s="121">
        <f>SUM(BD210:BD222)</f>
        <v>0</v>
      </c>
      <c r="BE209" s="121"/>
      <c r="BF209" s="121"/>
      <c r="BG209" s="121">
        <f>SUM(BG210:BG222)</f>
        <v>0</v>
      </c>
      <c r="BH209" s="121"/>
      <c r="BI209" s="121"/>
      <c r="BJ209" s="121">
        <f>SUM(BJ210:BJ222)</f>
        <v>0</v>
      </c>
      <c r="BK209" s="121"/>
      <c r="BL209" s="311"/>
      <c r="BM209" s="317"/>
      <c r="BN209" s="319"/>
    </row>
    <row r="210" s="124" customFormat="1" ht="33.95" customHeight="1" outlineLevel="5" spans="2:66">
      <c r="B210" s="125" t="s">
        <v>792</v>
      </c>
      <c r="C210" s="126" t="s">
        <v>1140</v>
      </c>
      <c r="D210" s="124" t="s">
        <v>1141</v>
      </c>
      <c r="E210" s="125"/>
      <c r="F210" s="125"/>
      <c r="G210" s="125" t="s">
        <v>796</v>
      </c>
      <c r="H210" s="125">
        <f t="shared" ref="H210:H222" si="462">AB210</f>
        <v>0</v>
      </c>
      <c r="I210" s="125" t="s">
        <v>1142</v>
      </c>
      <c r="J210" s="125" t="e">
        <f t="shared" ref="J210:J222" si="463">SUM(AD210,AG210,AJ210,AM210,AP210,AS210,AV210,AY210,BB210,BE210,BH210,BK210)/N210</f>
        <v>#DIV/0!</v>
      </c>
      <c r="K210" s="125" t="s">
        <v>1143</v>
      </c>
      <c r="L210" s="125" t="e">
        <f t="shared" ref="L210:L222" si="464">H210/N210/J210</f>
        <v>#DIV/0!</v>
      </c>
      <c r="M210" s="125" t="s">
        <v>1144</v>
      </c>
      <c r="N210" s="125">
        <f t="shared" ref="N210:N222" si="465">COUNTIF(AD210,"&gt;0")+COUNTIF(AG210,"&gt;0")+COUNTIF(AJ210,"&gt;0")+COUNTIF(AM210,"&gt;0")+COUNTIF(AP210,"&gt;0")+COUNTIF(AS210,"&gt;0")+COUNTIF(AV210,"&gt;0")+COUNTIF(AY210,"&gt;0")+COUNTIF(BB210,"&gt;0")+COUNTIF(BE210,"&gt;0")+COUNTIF(BH210,"&gt;0")+COUNTIF(BK210,"&gt;0")</f>
        <v>0</v>
      </c>
      <c r="O210" s="125"/>
      <c r="P210" s="295"/>
      <c r="Q210" s="295"/>
      <c r="R210" s="295"/>
      <c r="S210" s="295"/>
      <c r="T210" s="295"/>
      <c r="U210" s="295"/>
      <c r="V210" s="295"/>
      <c r="W210" s="295"/>
      <c r="X210" s="295"/>
      <c r="Y210" s="295"/>
      <c r="Z210" s="295"/>
      <c r="AA210" s="295"/>
      <c r="AB210" s="125">
        <f t="shared" ref="AB210:AB223" si="466">SUM(AC210,AF210,AI210,AL210,AO210,AR210,AU210,AX210,BA210,BD210,BG210,BJ210)</f>
        <v>0</v>
      </c>
      <c r="AC210" s="125">
        <f t="shared" ref="AC210:AC223" si="467">AD210*AE210</f>
        <v>0</v>
      </c>
      <c r="AD210" s="125">
        <f>'1-1 项目基础信息'!H21</f>
        <v>0</v>
      </c>
      <c r="AE210" s="295">
        <f>SUMIFS('附表1-数据库'!$F30:$EA30,'附表1-数据库'!$F$26:$EA$26,'1-1 项目基础信息'!$D$19,'附表1-数据库'!$F$28:$EA$28,'1-1 项目基础信息'!$D$20,'附表1-数据库'!$F$27:$EA$27,'1-1 项目基础信息'!$D$21,'附表1-数据库'!$F$29:$EA$29,'1-1 项目基础信息'!$D$18)</f>
        <v>340</v>
      </c>
      <c r="AF210" s="125">
        <f t="shared" ref="AF210:AF223" si="468">AG210*AH210</f>
        <v>0</v>
      </c>
      <c r="AG210" s="125">
        <f>'1-1 项目基础信息'!I21</f>
        <v>0</v>
      </c>
      <c r="AH210" s="324">
        <f t="shared" ref="AH210:AH222" si="469">AE210</f>
        <v>340</v>
      </c>
      <c r="AI210" s="125">
        <f t="shared" ref="AI210:AI223" si="470">AJ210*AK210</f>
        <v>0</v>
      </c>
      <c r="AJ210" s="125">
        <f>'1-1 项目基础信息'!J21</f>
        <v>0</v>
      </c>
      <c r="AK210" s="324">
        <f t="shared" ref="AK210:AK222" si="471">AH210</f>
        <v>340</v>
      </c>
      <c r="AL210" s="125">
        <f t="shared" ref="AL210:AL223" si="472">AM210*AN210</f>
        <v>0</v>
      </c>
      <c r="AM210" s="125">
        <f>'1-1 项目基础信息'!K21</f>
        <v>0</v>
      </c>
      <c r="AN210" s="324">
        <f t="shared" ref="AN210:AN222" si="473">AK210</f>
        <v>340</v>
      </c>
      <c r="AO210" s="125">
        <f t="shared" ref="AO210:AO223" si="474">AP210*AQ210</f>
        <v>0</v>
      </c>
      <c r="AP210" s="125">
        <f>'1-1 项目基础信息'!L21</f>
        <v>0</v>
      </c>
      <c r="AQ210" s="324">
        <f t="shared" ref="AQ210:AQ222" si="475">AN210</f>
        <v>340</v>
      </c>
      <c r="AR210" s="125">
        <f t="shared" ref="AR210:AR223" si="476">AS210*AT210</f>
        <v>0</v>
      </c>
      <c r="AS210" s="125">
        <f>'1-1 项目基础信息'!M21</f>
        <v>0</v>
      </c>
      <c r="AT210" s="324">
        <f t="shared" ref="AT210:AT222" si="477">AQ210</f>
        <v>340</v>
      </c>
      <c r="AU210" s="125">
        <f t="shared" ref="AU210:AU223" si="478">AV210*AW210</f>
        <v>0</v>
      </c>
      <c r="AV210" s="125">
        <f>'1-1 项目基础信息'!N21</f>
        <v>0</v>
      </c>
      <c r="AW210" s="324">
        <f t="shared" ref="AW210:AW222" si="479">AT210</f>
        <v>340</v>
      </c>
      <c r="AX210" s="125">
        <f t="shared" ref="AX210:AX223" si="480">AY210*AZ210</f>
        <v>0</v>
      </c>
      <c r="AY210" s="125">
        <f>'1-1 项目基础信息'!O21</f>
        <v>0</v>
      </c>
      <c r="AZ210" s="324">
        <f t="shared" ref="AZ210:AZ222" si="481">AW210</f>
        <v>340</v>
      </c>
      <c r="BA210" s="125">
        <f t="shared" ref="BA210:BA223" si="482">BB210*BC210</f>
        <v>0</v>
      </c>
      <c r="BB210" s="125">
        <f>'1-1 项目基础信息'!P21</f>
        <v>0</v>
      </c>
      <c r="BC210" s="324">
        <f t="shared" ref="BC210:BC222" si="483">AZ210</f>
        <v>340</v>
      </c>
      <c r="BD210" s="125">
        <f t="shared" ref="BD210:BD223" si="484">BE210*BF210</f>
        <v>0</v>
      </c>
      <c r="BE210" s="125">
        <f>'1-1 项目基础信息'!Q21</f>
        <v>0</v>
      </c>
      <c r="BF210" s="324">
        <f t="shared" ref="BF210:BF222" si="485">BC210</f>
        <v>340</v>
      </c>
      <c r="BG210" s="125">
        <f t="shared" ref="BG210:BG223" si="486">BH210*BI210</f>
        <v>0</v>
      </c>
      <c r="BH210" s="125">
        <f>'1-1 项目基础信息'!R21</f>
        <v>0</v>
      </c>
      <c r="BI210" s="324">
        <f t="shared" ref="BI210:BI222" si="487">BF210</f>
        <v>340</v>
      </c>
      <c r="BJ210" s="125">
        <f t="shared" ref="BJ210:BJ223" si="488">BK210*BL210</f>
        <v>0</v>
      </c>
      <c r="BK210" s="125">
        <f>'1-1 项目基础信息'!S21</f>
        <v>0</v>
      </c>
      <c r="BL210" s="325">
        <f t="shared" ref="BL210:BL222" si="489">BI210</f>
        <v>340</v>
      </c>
      <c r="BM210" s="317"/>
      <c r="BN210" s="320"/>
    </row>
    <row r="211" s="124" customFormat="1" ht="33.95" customHeight="1" outlineLevel="5" spans="2:66">
      <c r="B211" s="125" t="s">
        <v>792</v>
      </c>
      <c r="C211" s="126" t="s">
        <v>1145</v>
      </c>
      <c r="D211" s="124" t="s">
        <v>1146</v>
      </c>
      <c r="E211" s="125"/>
      <c r="F211" s="125"/>
      <c r="G211" s="125" t="s">
        <v>796</v>
      </c>
      <c r="H211" s="125">
        <f t="shared" si="462"/>
        <v>0</v>
      </c>
      <c r="I211" s="125" t="s">
        <v>1142</v>
      </c>
      <c r="J211" s="125" t="e">
        <f t="shared" si="463"/>
        <v>#DIV/0!</v>
      </c>
      <c r="K211" s="125" t="s">
        <v>1143</v>
      </c>
      <c r="L211" s="125" t="e">
        <f t="shared" si="464"/>
        <v>#DIV/0!</v>
      </c>
      <c r="M211" s="125" t="s">
        <v>1144</v>
      </c>
      <c r="N211" s="125">
        <f t="shared" si="465"/>
        <v>0</v>
      </c>
      <c r="O211" s="125"/>
      <c r="P211" s="295"/>
      <c r="Q211" s="295"/>
      <c r="R211" s="295"/>
      <c r="S211" s="295"/>
      <c r="T211" s="295"/>
      <c r="U211" s="295"/>
      <c r="V211" s="295"/>
      <c r="W211" s="295"/>
      <c r="X211" s="295"/>
      <c r="Y211" s="295"/>
      <c r="Z211" s="295"/>
      <c r="AA211" s="295"/>
      <c r="AB211" s="125">
        <f t="shared" si="466"/>
        <v>0</v>
      </c>
      <c r="AC211" s="125">
        <f t="shared" si="467"/>
        <v>0</v>
      </c>
      <c r="AD211" s="125">
        <f>'1-1 项目基础信息'!H22</f>
        <v>0</v>
      </c>
      <c r="AE211" s="295">
        <f>SUMIFS('附表1-数据库'!$F31:$EA31,'附表1-数据库'!$F$26:$EA$26,'1-1 项目基础信息'!$D$19,'附表1-数据库'!$F$28:$EA$28,'1-1 项目基础信息'!$D$20,'附表1-数据库'!$F$27:$EA$27,'1-1 项目基础信息'!$D$21,'附表1-数据库'!$F$29:$EA$29,'1-1 项目基础信息'!$D$18)</f>
        <v>360</v>
      </c>
      <c r="AF211" s="125">
        <f t="shared" si="468"/>
        <v>0</v>
      </c>
      <c r="AG211" s="125">
        <f>'1-1 项目基础信息'!I22</f>
        <v>0</v>
      </c>
      <c r="AH211" s="324">
        <f t="shared" si="469"/>
        <v>360</v>
      </c>
      <c r="AI211" s="125">
        <f t="shared" si="470"/>
        <v>0</v>
      </c>
      <c r="AJ211" s="125">
        <f>'1-1 项目基础信息'!J22</f>
        <v>0</v>
      </c>
      <c r="AK211" s="324">
        <f t="shared" si="471"/>
        <v>360</v>
      </c>
      <c r="AL211" s="125">
        <f t="shared" si="472"/>
        <v>0</v>
      </c>
      <c r="AM211" s="125">
        <f>'1-1 项目基础信息'!K22</f>
        <v>0</v>
      </c>
      <c r="AN211" s="324">
        <f t="shared" si="473"/>
        <v>360</v>
      </c>
      <c r="AO211" s="125">
        <f t="shared" si="474"/>
        <v>0</v>
      </c>
      <c r="AP211" s="125">
        <f>'1-1 项目基础信息'!L22</f>
        <v>0</v>
      </c>
      <c r="AQ211" s="324">
        <f t="shared" si="475"/>
        <v>360</v>
      </c>
      <c r="AR211" s="125">
        <f t="shared" si="476"/>
        <v>0</v>
      </c>
      <c r="AS211" s="125">
        <f>'1-1 项目基础信息'!M22</f>
        <v>0</v>
      </c>
      <c r="AT211" s="324">
        <f t="shared" si="477"/>
        <v>360</v>
      </c>
      <c r="AU211" s="125">
        <f t="shared" si="478"/>
        <v>0</v>
      </c>
      <c r="AV211" s="125">
        <f>'1-1 项目基础信息'!N22</f>
        <v>0</v>
      </c>
      <c r="AW211" s="324">
        <f t="shared" si="479"/>
        <v>360</v>
      </c>
      <c r="AX211" s="125">
        <f t="shared" si="480"/>
        <v>0</v>
      </c>
      <c r="AY211" s="125">
        <f>'1-1 项目基础信息'!O22</f>
        <v>0</v>
      </c>
      <c r="AZ211" s="324">
        <f t="shared" si="481"/>
        <v>360</v>
      </c>
      <c r="BA211" s="125">
        <f t="shared" si="482"/>
        <v>0</v>
      </c>
      <c r="BB211" s="125">
        <f>'1-1 项目基础信息'!P22</f>
        <v>0</v>
      </c>
      <c r="BC211" s="324">
        <f t="shared" si="483"/>
        <v>360</v>
      </c>
      <c r="BD211" s="125">
        <f t="shared" si="484"/>
        <v>0</v>
      </c>
      <c r="BE211" s="125">
        <f>'1-1 项目基础信息'!Q22</f>
        <v>0</v>
      </c>
      <c r="BF211" s="324">
        <f t="shared" si="485"/>
        <v>360</v>
      </c>
      <c r="BG211" s="125">
        <f t="shared" si="486"/>
        <v>0</v>
      </c>
      <c r="BH211" s="125">
        <f>'1-1 项目基础信息'!R22</f>
        <v>0</v>
      </c>
      <c r="BI211" s="324">
        <f t="shared" si="487"/>
        <v>360</v>
      </c>
      <c r="BJ211" s="125">
        <f t="shared" si="488"/>
        <v>0</v>
      </c>
      <c r="BK211" s="125">
        <f>'1-1 项目基础信息'!S22</f>
        <v>0</v>
      </c>
      <c r="BL211" s="325">
        <f t="shared" si="489"/>
        <v>360</v>
      </c>
      <c r="BM211" s="317"/>
      <c r="BN211" s="320"/>
    </row>
    <row r="212" s="124" customFormat="1" ht="33.95" customHeight="1" outlineLevel="5" spans="2:66">
      <c r="B212" s="125" t="s">
        <v>792</v>
      </c>
      <c r="C212" s="126" t="s">
        <v>1147</v>
      </c>
      <c r="D212" s="124" t="s">
        <v>1148</v>
      </c>
      <c r="E212" s="125"/>
      <c r="F212" s="125"/>
      <c r="G212" s="125" t="s">
        <v>796</v>
      </c>
      <c r="H212" s="125">
        <f t="shared" si="462"/>
        <v>0</v>
      </c>
      <c r="I212" s="125" t="s">
        <v>1142</v>
      </c>
      <c r="J212" s="125" t="e">
        <f t="shared" si="463"/>
        <v>#DIV/0!</v>
      </c>
      <c r="K212" s="125" t="s">
        <v>1143</v>
      </c>
      <c r="L212" s="125" t="e">
        <f t="shared" si="464"/>
        <v>#DIV/0!</v>
      </c>
      <c r="M212" s="125" t="s">
        <v>1144</v>
      </c>
      <c r="N212" s="125">
        <f t="shared" si="465"/>
        <v>0</v>
      </c>
      <c r="O212" s="125"/>
      <c r="P212" s="295"/>
      <c r="Q212" s="295"/>
      <c r="R212" s="295"/>
      <c r="S212" s="295"/>
      <c r="T212" s="295"/>
      <c r="U212" s="295"/>
      <c r="V212" s="295"/>
      <c r="W212" s="295"/>
      <c r="X212" s="295"/>
      <c r="Y212" s="295"/>
      <c r="Z212" s="295"/>
      <c r="AA212" s="295"/>
      <c r="AB212" s="125">
        <f t="shared" si="466"/>
        <v>0</v>
      </c>
      <c r="AC212" s="125">
        <f t="shared" si="467"/>
        <v>0</v>
      </c>
      <c r="AD212" s="125">
        <f>'1-1 项目基础信息'!H23</f>
        <v>0</v>
      </c>
      <c r="AE212" s="295">
        <f>SUMIFS('附表1-数据库'!$F32:$EA32,'附表1-数据库'!$F$26:$EA$26,'1-1 项目基础信息'!$D$19,'附表1-数据库'!$F$28:$EA$28,'1-1 项目基础信息'!$D$20,'附表1-数据库'!$F$27:$EA$27,'1-1 项目基础信息'!$D$21,'附表1-数据库'!$F$29:$EA$29,'1-1 项目基础信息'!$D$18)</f>
        <v>390</v>
      </c>
      <c r="AF212" s="125">
        <f t="shared" si="468"/>
        <v>0</v>
      </c>
      <c r="AG212" s="125">
        <f>'1-1 项目基础信息'!I23</f>
        <v>0</v>
      </c>
      <c r="AH212" s="324">
        <f t="shared" si="469"/>
        <v>390</v>
      </c>
      <c r="AI212" s="125">
        <f t="shared" si="470"/>
        <v>0</v>
      </c>
      <c r="AJ212" s="125">
        <f>'1-1 项目基础信息'!J23</f>
        <v>0</v>
      </c>
      <c r="AK212" s="324">
        <f t="shared" si="471"/>
        <v>390</v>
      </c>
      <c r="AL212" s="125">
        <f t="shared" si="472"/>
        <v>0</v>
      </c>
      <c r="AM212" s="125">
        <f>'1-1 项目基础信息'!K23</f>
        <v>0</v>
      </c>
      <c r="AN212" s="324">
        <f t="shared" si="473"/>
        <v>390</v>
      </c>
      <c r="AO212" s="125">
        <f t="shared" si="474"/>
        <v>0</v>
      </c>
      <c r="AP212" s="125">
        <f>'1-1 项目基础信息'!L23</f>
        <v>0</v>
      </c>
      <c r="AQ212" s="324">
        <f t="shared" si="475"/>
        <v>390</v>
      </c>
      <c r="AR212" s="125">
        <f t="shared" si="476"/>
        <v>0</v>
      </c>
      <c r="AS212" s="125">
        <f>'1-1 项目基础信息'!M23</f>
        <v>0</v>
      </c>
      <c r="AT212" s="324">
        <f t="shared" si="477"/>
        <v>390</v>
      </c>
      <c r="AU212" s="125">
        <f t="shared" si="478"/>
        <v>0</v>
      </c>
      <c r="AV212" s="125">
        <f>'1-1 项目基础信息'!N23</f>
        <v>0</v>
      </c>
      <c r="AW212" s="324">
        <f t="shared" si="479"/>
        <v>390</v>
      </c>
      <c r="AX212" s="125">
        <f t="shared" si="480"/>
        <v>0</v>
      </c>
      <c r="AY212" s="125">
        <f>'1-1 项目基础信息'!O23</f>
        <v>0</v>
      </c>
      <c r="AZ212" s="324">
        <f t="shared" si="481"/>
        <v>390</v>
      </c>
      <c r="BA212" s="125">
        <f t="shared" si="482"/>
        <v>0</v>
      </c>
      <c r="BB212" s="125">
        <f>'1-1 项目基础信息'!P23</f>
        <v>0</v>
      </c>
      <c r="BC212" s="324">
        <f t="shared" si="483"/>
        <v>390</v>
      </c>
      <c r="BD212" s="125">
        <f t="shared" si="484"/>
        <v>0</v>
      </c>
      <c r="BE212" s="125">
        <f>'1-1 项目基础信息'!Q23</f>
        <v>0</v>
      </c>
      <c r="BF212" s="324">
        <f t="shared" si="485"/>
        <v>390</v>
      </c>
      <c r="BG212" s="125">
        <f t="shared" si="486"/>
        <v>0</v>
      </c>
      <c r="BH212" s="125">
        <f>'1-1 项目基础信息'!R23</f>
        <v>0</v>
      </c>
      <c r="BI212" s="324">
        <f t="shared" si="487"/>
        <v>390</v>
      </c>
      <c r="BJ212" s="125">
        <f t="shared" si="488"/>
        <v>0</v>
      </c>
      <c r="BK212" s="125">
        <f>'1-1 项目基础信息'!S23</f>
        <v>0</v>
      </c>
      <c r="BL212" s="325">
        <f t="shared" si="489"/>
        <v>390</v>
      </c>
      <c r="BM212" s="317"/>
      <c r="BN212" s="320"/>
    </row>
    <row r="213" s="124" customFormat="1" ht="33.95" customHeight="1" outlineLevel="5" spans="2:66">
      <c r="B213" s="125" t="s">
        <v>792</v>
      </c>
      <c r="C213" s="126" t="s">
        <v>1149</v>
      </c>
      <c r="D213" s="124" t="s">
        <v>1150</v>
      </c>
      <c r="E213" s="125"/>
      <c r="F213" s="125"/>
      <c r="G213" s="125" t="s">
        <v>796</v>
      </c>
      <c r="H213" s="125">
        <f t="shared" si="462"/>
        <v>0</v>
      </c>
      <c r="I213" s="125" t="s">
        <v>1142</v>
      </c>
      <c r="J213" s="125" t="e">
        <f t="shared" si="463"/>
        <v>#DIV/0!</v>
      </c>
      <c r="K213" s="125" t="s">
        <v>1143</v>
      </c>
      <c r="L213" s="125" t="e">
        <f t="shared" si="464"/>
        <v>#DIV/0!</v>
      </c>
      <c r="M213" s="125" t="s">
        <v>1144</v>
      </c>
      <c r="N213" s="125">
        <f t="shared" si="465"/>
        <v>0</v>
      </c>
      <c r="O213" s="125"/>
      <c r="P213" s="295"/>
      <c r="Q213" s="295"/>
      <c r="R213" s="295"/>
      <c r="S213" s="295"/>
      <c r="T213" s="295"/>
      <c r="U213" s="295"/>
      <c r="V213" s="295"/>
      <c r="W213" s="295"/>
      <c r="X213" s="295"/>
      <c r="Y213" s="295"/>
      <c r="Z213" s="295"/>
      <c r="AA213" s="295"/>
      <c r="AB213" s="125">
        <f t="shared" si="466"/>
        <v>0</v>
      </c>
      <c r="AC213" s="125">
        <f t="shared" si="467"/>
        <v>0</v>
      </c>
      <c r="AD213" s="125">
        <f>'1-1 项目基础信息'!H24</f>
        <v>0</v>
      </c>
      <c r="AE213" s="295">
        <f>SUMIFS('附表1-数据库'!$F33:$EA33,'附表1-数据库'!$F$26:$EA$26,'1-1 项目基础信息'!$D$19,'附表1-数据库'!$F$28:$EA$28,'1-1 项目基础信息'!$D$20,'附表1-数据库'!$F$27:$EA$27,'1-1 项目基础信息'!$D$21,'附表1-数据库'!$F$29:$EA$29,'1-1 项目基础信息'!$D$18)</f>
        <v>440</v>
      </c>
      <c r="AF213" s="125">
        <f t="shared" si="468"/>
        <v>0</v>
      </c>
      <c r="AG213" s="125">
        <f>'1-1 项目基础信息'!I24</f>
        <v>0</v>
      </c>
      <c r="AH213" s="324">
        <f t="shared" si="469"/>
        <v>440</v>
      </c>
      <c r="AI213" s="125">
        <f t="shared" si="470"/>
        <v>0</v>
      </c>
      <c r="AJ213" s="125">
        <f>'1-1 项目基础信息'!J24</f>
        <v>0</v>
      </c>
      <c r="AK213" s="324">
        <f t="shared" si="471"/>
        <v>440</v>
      </c>
      <c r="AL213" s="125">
        <f t="shared" si="472"/>
        <v>0</v>
      </c>
      <c r="AM213" s="125">
        <f>'1-1 项目基础信息'!K24</f>
        <v>0</v>
      </c>
      <c r="AN213" s="324">
        <f t="shared" si="473"/>
        <v>440</v>
      </c>
      <c r="AO213" s="125">
        <f t="shared" si="474"/>
        <v>0</v>
      </c>
      <c r="AP213" s="125">
        <f>'1-1 项目基础信息'!L24</f>
        <v>0</v>
      </c>
      <c r="AQ213" s="324">
        <f t="shared" si="475"/>
        <v>440</v>
      </c>
      <c r="AR213" s="125">
        <f t="shared" si="476"/>
        <v>0</v>
      </c>
      <c r="AS213" s="125">
        <f>'1-1 项目基础信息'!M24</f>
        <v>0</v>
      </c>
      <c r="AT213" s="324">
        <f t="shared" si="477"/>
        <v>440</v>
      </c>
      <c r="AU213" s="125">
        <f t="shared" si="478"/>
        <v>0</v>
      </c>
      <c r="AV213" s="125">
        <f>'1-1 项目基础信息'!N24</f>
        <v>0</v>
      </c>
      <c r="AW213" s="324">
        <f t="shared" si="479"/>
        <v>440</v>
      </c>
      <c r="AX213" s="125">
        <f t="shared" si="480"/>
        <v>0</v>
      </c>
      <c r="AY213" s="125">
        <f>'1-1 项目基础信息'!O24</f>
        <v>0</v>
      </c>
      <c r="AZ213" s="324">
        <f t="shared" si="481"/>
        <v>440</v>
      </c>
      <c r="BA213" s="125">
        <f t="shared" si="482"/>
        <v>0</v>
      </c>
      <c r="BB213" s="125">
        <f>'1-1 项目基础信息'!P24</f>
        <v>0</v>
      </c>
      <c r="BC213" s="324">
        <f t="shared" si="483"/>
        <v>440</v>
      </c>
      <c r="BD213" s="125">
        <f t="shared" si="484"/>
        <v>0</v>
      </c>
      <c r="BE213" s="125">
        <f>'1-1 项目基础信息'!Q24</f>
        <v>0</v>
      </c>
      <c r="BF213" s="324">
        <f t="shared" si="485"/>
        <v>440</v>
      </c>
      <c r="BG213" s="125">
        <f t="shared" si="486"/>
        <v>0</v>
      </c>
      <c r="BH213" s="125">
        <f>'1-1 项目基础信息'!R24</f>
        <v>0</v>
      </c>
      <c r="BI213" s="324">
        <f t="shared" si="487"/>
        <v>440</v>
      </c>
      <c r="BJ213" s="125">
        <f t="shared" si="488"/>
        <v>0</v>
      </c>
      <c r="BK213" s="125">
        <f>'1-1 项目基础信息'!S24</f>
        <v>0</v>
      </c>
      <c r="BL213" s="325">
        <f t="shared" si="489"/>
        <v>440</v>
      </c>
      <c r="BM213" s="317"/>
      <c r="BN213" s="320"/>
    </row>
    <row r="214" s="124" customFormat="1" ht="33.95" customHeight="1" outlineLevel="5" spans="2:66">
      <c r="B214" s="125" t="s">
        <v>792</v>
      </c>
      <c r="C214" s="126" t="s">
        <v>1151</v>
      </c>
      <c r="D214" s="124" t="s">
        <v>1152</v>
      </c>
      <c r="E214" s="125"/>
      <c r="F214" s="125"/>
      <c r="G214" s="125" t="s">
        <v>796</v>
      </c>
      <c r="H214" s="125">
        <f t="shared" si="462"/>
        <v>0</v>
      </c>
      <c r="I214" s="125" t="s">
        <v>1142</v>
      </c>
      <c r="J214" s="125" t="e">
        <f t="shared" si="463"/>
        <v>#DIV/0!</v>
      </c>
      <c r="K214" s="125" t="s">
        <v>1143</v>
      </c>
      <c r="L214" s="125" t="e">
        <f t="shared" si="464"/>
        <v>#DIV/0!</v>
      </c>
      <c r="M214" s="125" t="s">
        <v>1144</v>
      </c>
      <c r="N214" s="125">
        <f t="shared" si="465"/>
        <v>0</v>
      </c>
      <c r="O214" s="125"/>
      <c r="P214" s="295"/>
      <c r="Q214" s="295"/>
      <c r="R214" s="295"/>
      <c r="S214" s="295"/>
      <c r="T214" s="295"/>
      <c r="U214" s="295"/>
      <c r="V214" s="295"/>
      <c r="W214" s="295"/>
      <c r="X214" s="295"/>
      <c r="Y214" s="295"/>
      <c r="Z214" s="295"/>
      <c r="AA214" s="295"/>
      <c r="AB214" s="125">
        <f t="shared" si="466"/>
        <v>0</v>
      </c>
      <c r="AC214" s="125">
        <f t="shared" si="467"/>
        <v>0</v>
      </c>
      <c r="AD214" s="125">
        <f>'1-1 项目基础信息'!H25</f>
        <v>0</v>
      </c>
      <c r="AE214" s="295">
        <f>SUMIFS('附表1-数据库'!$F34:$EA34,'附表1-数据库'!$F$26:$EA$26,'1-1 项目基础信息'!$D$19,'附表1-数据库'!$F$28:$EA$28,'1-1 项目基础信息'!$D$20,'附表1-数据库'!$F$27:$EA$27,'1-1 项目基础信息'!$D$21,'附表1-数据库'!$F$29:$EA$29,'1-1 项目基础信息'!$D$18)</f>
        <v>624</v>
      </c>
      <c r="AF214" s="125">
        <f t="shared" si="468"/>
        <v>0</v>
      </c>
      <c r="AG214" s="125">
        <f>'1-1 项目基础信息'!I25</f>
        <v>0</v>
      </c>
      <c r="AH214" s="324">
        <f t="shared" si="469"/>
        <v>624</v>
      </c>
      <c r="AI214" s="125">
        <f t="shared" si="470"/>
        <v>0</v>
      </c>
      <c r="AJ214" s="125">
        <f>'1-1 项目基础信息'!J25</f>
        <v>0</v>
      </c>
      <c r="AK214" s="324">
        <f t="shared" si="471"/>
        <v>624</v>
      </c>
      <c r="AL214" s="125">
        <f t="shared" si="472"/>
        <v>0</v>
      </c>
      <c r="AM214" s="125">
        <f>'1-1 项目基础信息'!K25</f>
        <v>0</v>
      </c>
      <c r="AN214" s="324">
        <f t="shared" si="473"/>
        <v>624</v>
      </c>
      <c r="AO214" s="125">
        <f t="shared" si="474"/>
        <v>0</v>
      </c>
      <c r="AP214" s="125">
        <f>'1-1 项目基础信息'!L25</f>
        <v>0</v>
      </c>
      <c r="AQ214" s="324">
        <f t="shared" si="475"/>
        <v>624</v>
      </c>
      <c r="AR214" s="125">
        <f t="shared" si="476"/>
        <v>0</v>
      </c>
      <c r="AS214" s="125">
        <f>'1-1 项目基础信息'!M25</f>
        <v>0</v>
      </c>
      <c r="AT214" s="324">
        <f t="shared" si="477"/>
        <v>624</v>
      </c>
      <c r="AU214" s="125">
        <f t="shared" si="478"/>
        <v>0</v>
      </c>
      <c r="AV214" s="125">
        <f>'1-1 项目基础信息'!N25</f>
        <v>0</v>
      </c>
      <c r="AW214" s="324">
        <f t="shared" si="479"/>
        <v>624</v>
      </c>
      <c r="AX214" s="125">
        <f t="shared" si="480"/>
        <v>0</v>
      </c>
      <c r="AY214" s="125">
        <f>'1-1 项目基础信息'!O25</f>
        <v>0</v>
      </c>
      <c r="AZ214" s="324">
        <f t="shared" si="481"/>
        <v>624</v>
      </c>
      <c r="BA214" s="125">
        <f t="shared" si="482"/>
        <v>0</v>
      </c>
      <c r="BB214" s="125">
        <f>'1-1 项目基础信息'!P25</f>
        <v>0</v>
      </c>
      <c r="BC214" s="324">
        <f t="shared" si="483"/>
        <v>624</v>
      </c>
      <c r="BD214" s="125">
        <f t="shared" si="484"/>
        <v>0</v>
      </c>
      <c r="BE214" s="125">
        <f>'1-1 项目基础信息'!Q25</f>
        <v>0</v>
      </c>
      <c r="BF214" s="324">
        <f t="shared" si="485"/>
        <v>624</v>
      </c>
      <c r="BG214" s="125">
        <f t="shared" si="486"/>
        <v>0</v>
      </c>
      <c r="BH214" s="125">
        <f>'1-1 项目基础信息'!R25</f>
        <v>0</v>
      </c>
      <c r="BI214" s="324">
        <f t="shared" si="487"/>
        <v>624</v>
      </c>
      <c r="BJ214" s="125">
        <f t="shared" si="488"/>
        <v>0</v>
      </c>
      <c r="BK214" s="125">
        <f>'1-1 项目基础信息'!S25</f>
        <v>0</v>
      </c>
      <c r="BL214" s="325">
        <f t="shared" si="489"/>
        <v>624</v>
      </c>
      <c r="BM214" s="317"/>
      <c r="BN214" s="320"/>
    </row>
    <row r="215" s="124" customFormat="1" ht="33.95" customHeight="1" outlineLevel="5" spans="2:66">
      <c r="B215" s="125" t="s">
        <v>792</v>
      </c>
      <c r="C215" s="126" t="s">
        <v>1153</v>
      </c>
      <c r="D215" s="124" t="s">
        <v>1154</v>
      </c>
      <c r="E215" s="125"/>
      <c r="F215" s="125"/>
      <c r="G215" s="125" t="s">
        <v>796</v>
      </c>
      <c r="H215" s="125">
        <f t="shared" si="462"/>
        <v>0</v>
      </c>
      <c r="I215" s="125" t="s">
        <v>1142</v>
      </c>
      <c r="J215" s="125" t="e">
        <f t="shared" si="463"/>
        <v>#DIV/0!</v>
      </c>
      <c r="K215" s="125" t="s">
        <v>1143</v>
      </c>
      <c r="L215" s="125" t="e">
        <f t="shared" si="464"/>
        <v>#DIV/0!</v>
      </c>
      <c r="M215" s="125" t="s">
        <v>1144</v>
      </c>
      <c r="N215" s="125">
        <f t="shared" si="465"/>
        <v>0</v>
      </c>
      <c r="O215" s="125"/>
      <c r="P215" s="295"/>
      <c r="Q215" s="295"/>
      <c r="R215" s="295"/>
      <c r="S215" s="295"/>
      <c r="T215" s="295"/>
      <c r="U215" s="295"/>
      <c r="V215" s="295"/>
      <c r="W215" s="295"/>
      <c r="X215" s="295"/>
      <c r="Y215" s="295"/>
      <c r="Z215" s="295"/>
      <c r="AA215" s="295"/>
      <c r="AB215" s="125">
        <f t="shared" si="466"/>
        <v>0</v>
      </c>
      <c r="AC215" s="125">
        <f t="shared" si="467"/>
        <v>0</v>
      </c>
      <c r="AD215" s="125">
        <f>'1-1 项目基础信息'!H26</f>
        <v>0</v>
      </c>
      <c r="AE215" s="295">
        <f>SUMIFS('附表1-数据库'!$F35:$EA35,'附表1-数据库'!$F$26:$EA$26,'1-1 项目基础信息'!$D$19,'附表1-数据库'!$F$28:$EA$28,'1-1 项目基础信息'!$D$20,'附表1-数据库'!$F$27:$EA$27,'1-1 项目基础信息'!$D$21,'附表1-数据库'!$F$29:$EA$29,'1-1 项目基础信息'!$D$18)</f>
        <v>780</v>
      </c>
      <c r="AF215" s="125">
        <f t="shared" si="468"/>
        <v>0</v>
      </c>
      <c r="AG215" s="125">
        <f>'1-1 项目基础信息'!I26</f>
        <v>0</v>
      </c>
      <c r="AH215" s="324">
        <f t="shared" si="469"/>
        <v>780</v>
      </c>
      <c r="AI215" s="125">
        <f t="shared" si="470"/>
        <v>0</v>
      </c>
      <c r="AJ215" s="125">
        <f>'1-1 项目基础信息'!J26</f>
        <v>0</v>
      </c>
      <c r="AK215" s="324">
        <f t="shared" si="471"/>
        <v>780</v>
      </c>
      <c r="AL215" s="125">
        <f t="shared" si="472"/>
        <v>0</v>
      </c>
      <c r="AM215" s="125">
        <f>'1-1 项目基础信息'!K26</f>
        <v>0</v>
      </c>
      <c r="AN215" s="324">
        <f t="shared" si="473"/>
        <v>780</v>
      </c>
      <c r="AO215" s="125">
        <f t="shared" si="474"/>
        <v>0</v>
      </c>
      <c r="AP215" s="125">
        <f>'1-1 项目基础信息'!L26</f>
        <v>0</v>
      </c>
      <c r="AQ215" s="324">
        <f t="shared" si="475"/>
        <v>780</v>
      </c>
      <c r="AR215" s="125">
        <f t="shared" si="476"/>
        <v>0</v>
      </c>
      <c r="AS215" s="125">
        <f>'1-1 项目基础信息'!M26</f>
        <v>0</v>
      </c>
      <c r="AT215" s="324">
        <f t="shared" si="477"/>
        <v>780</v>
      </c>
      <c r="AU215" s="125">
        <f t="shared" si="478"/>
        <v>0</v>
      </c>
      <c r="AV215" s="125">
        <f>'1-1 项目基础信息'!N26</f>
        <v>0</v>
      </c>
      <c r="AW215" s="324">
        <f t="shared" si="479"/>
        <v>780</v>
      </c>
      <c r="AX215" s="125">
        <f t="shared" si="480"/>
        <v>0</v>
      </c>
      <c r="AY215" s="125">
        <f>'1-1 项目基础信息'!O26</f>
        <v>0</v>
      </c>
      <c r="AZ215" s="324">
        <f t="shared" si="481"/>
        <v>780</v>
      </c>
      <c r="BA215" s="125">
        <f t="shared" si="482"/>
        <v>0</v>
      </c>
      <c r="BB215" s="125">
        <f>'1-1 项目基础信息'!P26</f>
        <v>0</v>
      </c>
      <c r="BC215" s="324">
        <f t="shared" si="483"/>
        <v>780</v>
      </c>
      <c r="BD215" s="125">
        <f t="shared" si="484"/>
        <v>0</v>
      </c>
      <c r="BE215" s="125">
        <f>'1-1 项目基础信息'!Q26</f>
        <v>0</v>
      </c>
      <c r="BF215" s="324">
        <f t="shared" si="485"/>
        <v>780</v>
      </c>
      <c r="BG215" s="125">
        <f t="shared" si="486"/>
        <v>0</v>
      </c>
      <c r="BH215" s="125">
        <f>'1-1 项目基础信息'!R26</f>
        <v>0</v>
      </c>
      <c r="BI215" s="324">
        <f t="shared" si="487"/>
        <v>780</v>
      </c>
      <c r="BJ215" s="125">
        <f t="shared" si="488"/>
        <v>0</v>
      </c>
      <c r="BK215" s="125">
        <f>'1-1 项目基础信息'!S26</f>
        <v>0</v>
      </c>
      <c r="BL215" s="325">
        <f t="shared" si="489"/>
        <v>780</v>
      </c>
      <c r="BM215" s="317"/>
      <c r="BN215" s="320"/>
    </row>
    <row r="216" s="124" customFormat="1" ht="33.95" customHeight="1" outlineLevel="5" spans="2:66">
      <c r="B216" s="125" t="s">
        <v>792</v>
      </c>
      <c r="C216" s="126" t="s">
        <v>1155</v>
      </c>
      <c r="D216" s="124" t="s">
        <v>1156</v>
      </c>
      <c r="E216" s="125"/>
      <c r="F216" s="125"/>
      <c r="G216" s="125" t="s">
        <v>796</v>
      </c>
      <c r="H216" s="125">
        <f t="shared" si="462"/>
        <v>0</v>
      </c>
      <c r="I216" s="125" t="s">
        <v>1142</v>
      </c>
      <c r="J216" s="125" t="e">
        <f t="shared" si="463"/>
        <v>#DIV/0!</v>
      </c>
      <c r="K216" s="125" t="s">
        <v>1143</v>
      </c>
      <c r="L216" s="125" t="e">
        <f t="shared" si="464"/>
        <v>#DIV/0!</v>
      </c>
      <c r="M216" s="125" t="s">
        <v>1144</v>
      </c>
      <c r="N216" s="125">
        <f t="shared" si="465"/>
        <v>0</v>
      </c>
      <c r="O216" s="125"/>
      <c r="P216" s="295"/>
      <c r="Q216" s="295"/>
      <c r="R216" s="295"/>
      <c r="S216" s="295"/>
      <c r="T216" s="295"/>
      <c r="U216" s="295"/>
      <c r="V216" s="295"/>
      <c r="W216" s="295"/>
      <c r="X216" s="295"/>
      <c r="Y216" s="295"/>
      <c r="Z216" s="295"/>
      <c r="AA216" s="295"/>
      <c r="AB216" s="125">
        <f t="shared" si="466"/>
        <v>0</v>
      </c>
      <c r="AC216" s="125">
        <f t="shared" si="467"/>
        <v>0</v>
      </c>
      <c r="AD216" s="125">
        <f>'1-1 项目基础信息'!H27</f>
        <v>0</v>
      </c>
      <c r="AE216" s="295">
        <f>SUMIFS('附表1-数据库'!$F36:$EA36,'附表1-数据库'!$F$26:$EA$26,'1-1 项目基础信息'!$D$19,'附表1-数据库'!$F$28:$EA$28,'1-1 项目基础信息'!$D$20,'附表1-数据库'!$F$27:$EA$27,'1-1 项目基础信息'!$D$21,'附表1-数据库'!$F$29:$EA$29,'1-1 项目基础信息'!$D$18)</f>
        <v>912</v>
      </c>
      <c r="AF216" s="125">
        <f t="shared" si="468"/>
        <v>0</v>
      </c>
      <c r="AG216" s="125">
        <f>'1-1 项目基础信息'!I27</f>
        <v>0</v>
      </c>
      <c r="AH216" s="324">
        <f t="shared" si="469"/>
        <v>912</v>
      </c>
      <c r="AI216" s="125">
        <f t="shared" si="470"/>
        <v>0</v>
      </c>
      <c r="AJ216" s="125">
        <f>'1-1 项目基础信息'!J27</f>
        <v>0</v>
      </c>
      <c r="AK216" s="324">
        <f t="shared" si="471"/>
        <v>912</v>
      </c>
      <c r="AL216" s="125">
        <f t="shared" si="472"/>
        <v>0</v>
      </c>
      <c r="AM216" s="125">
        <f>'1-1 项目基础信息'!K27</f>
        <v>0</v>
      </c>
      <c r="AN216" s="324">
        <f t="shared" si="473"/>
        <v>912</v>
      </c>
      <c r="AO216" s="125">
        <f t="shared" si="474"/>
        <v>0</v>
      </c>
      <c r="AP216" s="125">
        <f>'1-1 项目基础信息'!L27</f>
        <v>0</v>
      </c>
      <c r="AQ216" s="324">
        <f t="shared" si="475"/>
        <v>912</v>
      </c>
      <c r="AR216" s="125">
        <f t="shared" si="476"/>
        <v>0</v>
      </c>
      <c r="AS216" s="125">
        <f>'1-1 项目基础信息'!M27</f>
        <v>0</v>
      </c>
      <c r="AT216" s="324">
        <f t="shared" si="477"/>
        <v>912</v>
      </c>
      <c r="AU216" s="125">
        <f t="shared" si="478"/>
        <v>0</v>
      </c>
      <c r="AV216" s="125">
        <f>'1-1 项目基础信息'!N27</f>
        <v>0</v>
      </c>
      <c r="AW216" s="324">
        <f t="shared" si="479"/>
        <v>912</v>
      </c>
      <c r="AX216" s="125">
        <f t="shared" si="480"/>
        <v>0</v>
      </c>
      <c r="AY216" s="125">
        <f>'1-1 项目基础信息'!O27</f>
        <v>0</v>
      </c>
      <c r="AZ216" s="324">
        <f t="shared" si="481"/>
        <v>912</v>
      </c>
      <c r="BA216" s="125">
        <f t="shared" si="482"/>
        <v>0</v>
      </c>
      <c r="BB216" s="125">
        <f>'1-1 项目基础信息'!P27</f>
        <v>0</v>
      </c>
      <c r="BC216" s="324">
        <f t="shared" si="483"/>
        <v>912</v>
      </c>
      <c r="BD216" s="125">
        <f t="shared" si="484"/>
        <v>0</v>
      </c>
      <c r="BE216" s="125">
        <f>'1-1 项目基础信息'!Q27</f>
        <v>0</v>
      </c>
      <c r="BF216" s="324">
        <f t="shared" si="485"/>
        <v>912</v>
      </c>
      <c r="BG216" s="125">
        <f t="shared" si="486"/>
        <v>0</v>
      </c>
      <c r="BH216" s="125">
        <f>'1-1 项目基础信息'!R27</f>
        <v>0</v>
      </c>
      <c r="BI216" s="324">
        <f t="shared" si="487"/>
        <v>912</v>
      </c>
      <c r="BJ216" s="125">
        <f t="shared" si="488"/>
        <v>0</v>
      </c>
      <c r="BK216" s="125">
        <f>'1-1 项目基础信息'!S27</f>
        <v>0</v>
      </c>
      <c r="BL216" s="325">
        <f t="shared" si="489"/>
        <v>912</v>
      </c>
      <c r="BM216" s="317"/>
      <c r="BN216" s="320"/>
    </row>
    <row r="217" s="124" customFormat="1" ht="33.95" customHeight="1" outlineLevel="5" spans="2:66">
      <c r="B217" s="125" t="s">
        <v>792</v>
      </c>
      <c r="C217" s="126" t="s">
        <v>1157</v>
      </c>
      <c r="D217" s="124" t="s">
        <v>1158</v>
      </c>
      <c r="E217" s="125"/>
      <c r="F217" s="125"/>
      <c r="G217" s="125" t="s">
        <v>796</v>
      </c>
      <c r="H217" s="125">
        <f t="shared" si="462"/>
        <v>0</v>
      </c>
      <c r="I217" s="125" t="s">
        <v>1142</v>
      </c>
      <c r="J217" s="125" t="e">
        <f t="shared" si="463"/>
        <v>#DIV/0!</v>
      </c>
      <c r="K217" s="125" t="s">
        <v>1143</v>
      </c>
      <c r="L217" s="125" t="e">
        <f t="shared" si="464"/>
        <v>#DIV/0!</v>
      </c>
      <c r="M217" s="125" t="s">
        <v>1144</v>
      </c>
      <c r="N217" s="125">
        <f t="shared" si="465"/>
        <v>0</v>
      </c>
      <c r="O217" s="125"/>
      <c r="P217" s="295"/>
      <c r="Q217" s="295"/>
      <c r="R217" s="295"/>
      <c r="S217" s="295"/>
      <c r="T217" s="295"/>
      <c r="U217" s="295"/>
      <c r="V217" s="295"/>
      <c r="W217" s="295"/>
      <c r="X217" s="295"/>
      <c r="Y217" s="295"/>
      <c r="Z217" s="295"/>
      <c r="AA217" s="295"/>
      <c r="AB217" s="125">
        <f t="shared" si="466"/>
        <v>0</v>
      </c>
      <c r="AC217" s="125">
        <f t="shared" si="467"/>
        <v>0</v>
      </c>
      <c r="AD217" s="125">
        <f>'1-1 项目基础信息'!H28</f>
        <v>0</v>
      </c>
      <c r="AE217" s="295">
        <f>SUMIFS('附表1-数据库'!$F37:$EA37,'附表1-数据库'!$F$26:$EA$26,'1-1 项目基础信息'!$D$19,'附表1-数据库'!$F$28:$EA$28,'1-1 项目基础信息'!$D$20,'附表1-数据库'!$F$27:$EA$27,'1-1 项目基础信息'!$D$21,'附表1-数据库'!$F$29:$EA$29,'1-1 项目基础信息'!$D$18)</f>
        <v>1030</v>
      </c>
      <c r="AF217" s="125">
        <f t="shared" si="468"/>
        <v>0</v>
      </c>
      <c r="AG217" s="125">
        <f>'1-1 项目基础信息'!I28</f>
        <v>0</v>
      </c>
      <c r="AH217" s="324">
        <f t="shared" si="469"/>
        <v>1030</v>
      </c>
      <c r="AI217" s="125">
        <f t="shared" si="470"/>
        <v>0</v>
      </c>
      <c r="AJ217" s="125">
        <f>'1-1 项目基础信息'!J28</f>
        <v>0</v>
      </c>
      <c r="AK217" s="324">
        <f t="shared" si="471"/>
        <v>1030</v>
      </c>
      <c r="AL217" s="125">
        <f t="shared" si="472"/>
        <v>0</v>
      </c>
      <c r="AM217" s="125">
        <f>'1-1 项目基础信息'!K28</f>
        <v>0</v>
      </c>
      <c r="AN217" s="324">
        <f t="shared" si="473"/>
        <v>1030</v>
      </c>
      <c r="AO217" s="125">
        <f t="shared" si="474"/>
        <v>0</v>
      </c>
      <c r="AP217" s="125">
        <f>'1-1 项目基础信息'!L28</f>
        <v>0</v>
      </c>
      <c r="AQ217" s="324">
        <f t="shared" si="475"/>
        <v>1030</v>
      </c>
      <c r="AR217" s="125">
        <f t="shared" si="476"/>
        <v>0</v>
      </c>
      <c r="AS217" s="125">
        <f>'1-1 项目基础信息'!M28</f>
        <v>0</v>
      </c>
      <c r="AT217" s="324">
        <f t="shared" si="477"/>
        <v>1030</v>
      </c>
      <c r="AU217" s="125">
        <f t="shared" si="478"/>
        <v>0</v>
      </c>
      <c r="AV217" s="125">
        <f>'1-1 项目基础信息'!N28</f>
        <v>0</v>
      </c>
      <c r="AW217" s="324">
        <f t="shared" si="479"/>
        <v>1030</v>
      </c>
      <c r="AX217" s="125">
        <f t="shared" si="480"/>
        <v>0</v>
      </c>
      <c r="AY217" s="125">
        <f>'1-1 项目基础信息'!O28</f>
        <v>0</v>
      </c>
      <c r="AZ217" s="324">
        <f t="shared" si="481"/>
        <v>1030</v>
      </c>
      <c r="BA217" s="125">
        <f t="shared" si="482"/>
        <v>0</v>
      </c>
      <c r="BB217" s="125">
        <f>'1-1 项目基础信息'!P28</f>
        <v>0</v>
      </c>
      <c r="BC217" s="324">
        <f t="shared" si="483"/>
        <v>1030</v>
      </c>
      <c r="BD217" s="125">
        <f t="shared" si="484"/>
        <v>0</v>
      </c>
      <c r="BE217" s="125">
        <f>'1-1 项目基础信息'!Q28</f>
        <v>0</v>
      </c>
      <c r="BF217" s="324">
        <f t="shared" si="485"/>
        <v>1030</v>
      </c>
      <c r="BG217" s="125">
        <f t="shared" si="486"/>
        <v>0</v>
      </c>
      <c r="BH217" s="125">
        <f>'1-1 项目基础信息'!R28</f>
        <v>0</v>
      </c>
      <c r="BI217" s="324">
        <f t="shared" si="487"/>
        <v>1030</v>
      </c>
      <c r="BJ217" s="125">
        <f t="shared" si="488"/>
        <v>0</v>
      </c>
      <c r="BK217" s="125">
        <f>'1-1 项目基础信息'!S28</f>
        <v>0</v>
      </c>
      <c r="BL217" s="325">
        <f t="shared" si="489"/>
        <v>1030</v>
      </c>
      <c r="BM217" s="317"/>
      <c r="BN217" s="320"/>
    </row>
    <row r="218" s="124" customFormat="1" ht="33.95" customHeight="1" outlineLevel="5" spans="2:66">
      <c r="B218" s="125" t="s">
        <v>792</v>
      </c>
      <c r="C218" s="126" t="s">
        <v>1159</v>
      </c>
      <c r="D218" s="124" t="s">
        <v>1160</v>
      </c>
      <c r="E218" s="125"/>
      <c r="F218" s="125"/>
      <c r="G218" s="125" t="s">
        <v>796</v>
      </c>
      <c r="H218" s="125">
        <f t="shared" si="462"/>
        <v>0</v>
      </c>
      <c r="I218" s="125" t="s">
        <v>1142</v>
      </c>
      <c r="J218" s="125" t="e">
        <f t="shared" si="463"/>
        <v>#DIV/0!</v>
      </c>
      <c r="K218" s="125" t="s">
        <v>1143</v>
      </c>
      <c r="L218" s="125" t="e">
        <f t="shared" si="464"/>
        <v>#DIV/0!</v>
      </c>
      <c r="M218" s="125" t="s">
        <v>1144</v>
      </c>
      <c r="N218" s="125">
        <f t="shared" si="465"/>
        <v>0</v>
      </c>
      <c r="O218" s="125"/>
      <c r="P218" s="295"/>
      <c r="Q218" s="295"/>
      <c r="R218" s="295"/>
      <c r="S218" s="295"/>
      <c r="T218" s="295"/>
      <c r="U218" s="295"/>
      <c r="V218" s="295"/>
      <c r="W218" s="295"/>
      <c r="X218" s="295"/>
      <c r="Y218" s="295"/>
      <c r="Z218" s="295"/>
      <c r="AA218" s="295"/>
      <c r="AB218" s="125">
        <f t="shared" si="466"/>
        <v>0</v>
      </c>
      <c r="AC218" s="125">
        <f t="shared" si="467"/>
        <v>0</v>
      </c>
      <c r="AD218" s="125">
        <f>'1-1 项目基础信息'!H29</f>
        <v>0</v>
      </c>
      <c r="AE218" s="295">
        <f>SUMIFS('附表1-数据库'!$F38:$EA38,'附表1-数据库'!$F$26:$EA$26,'1-1 项目基础信息'!$D$19,'附表1-数据库'!$F$28:$EA$28,'1-1 项目基础信息'!$D$20,'附表1-数据库'!$F$27:$EA$27,'1-1 项目基础信息'!$D$21,'附表1-数据库'!$F$29:$EA$29,'1-1 项目基础信息'!$D$18)</f>
        <v>948</v>
      </c>
      <c r="AF218" s="125">
        <f t="shared" si="468"/>
        <v>0</v>
      </c>
      <c r="AG218" s="125">
        <f>'1-1 项目基础信息'!I29</f>
        <v>0</v>
      </c>
      <c r="AH218" s="324">
        <f t="shared" si="469"/>
        <v>948</v>
      </c>
      <c r="AI218" s="125">
        <f t="shared" si="470"/>
        <v>0</v>
      </c>
      <c r="AJ218" s="125">
        <f>'1-1 项目基础信息'!J29</f>
        <v>0</v>
      </c>
      <c r="AK218" s="324">
        <f t="shared" si="471"/>
        <v>948</v>
      </c>
      <c r="AL218" s="125">
        <f t="shared" si="472"/>
        <v>0</v>
      </c>
      <c r="AM218" s="125">
        <f>'1-1 项目基础信息'!K29</f>
        <v>0</v>
      </c>
      <c r="AN218" s="324">
        <f t="shared" si="473"/>
        <v>948</v>
      </c>
      <c r="AO218" s="125">
        <f t="shared" si="474"/>
        <v>0</v>
      </c>
      <c r="AP218" s="125">
        <f>'1-1 项目基础信息'!L29</f>
        <v>0</v>
      </c>
      <c r="AQ218" s="324">
        <f t="shared" si="475"/>
        <v>948</v>
      </c>
      <c r="AR218" s="125">
        <f t="shared" si="476"/>
        <v>0</v>
      </c>
      <c r="AS218" s="125">
        <f>'1-1 项目基础信息'!M29</f>
        <v>0</v>
      </c>
      <c r="AT218" s="324">
        <f t="shared" si="477"/>
        <v>948</v>
      </c>
      <c r="AU218" s="125">
        <f t="shared" si="478"/>
        <v>0</v>
      </c>
      <c r="AV218" s="125">
        <f>'1-1 项目基础信息'!N29</f>
        <v>0</v>
      </c>
      <c r="AW218" s="324">
        <f t="shared" si="479"/>
        <v>948</v>
      </c>
      <c r="AX218" s="125">
        <f t="shared" si="480"/>
        <v>0</v>
      </c>
      <c r="AY218" s="125">
        <f>'1-1 项目基础信息'!O29</f>
        <v>0</v>
      </c>
      <c r="AZ218" s="324">
        <f t="shared" si="481"/>
        <v>948</v>
      </c>
      <c r="BA218" s="125">
        <f t="shared" si="482"/>
        <v>0</v>
      </c>
      <c r="BB218" s="125">
        <f>'1-1 项目基础信息'!P29</f>
        <v>0</v>
      </c>
      <c r="BC218" s="324">
        <f t="shared" si="483"/>
        <v>948</v>
      </c>
      <c r="BD218" s="125">
        <f t="shared" si="484"/>
        <v>0</v>
      </c>
      <c r="BE218" s="125">
        <f>'1-1 项目基础信息'!Q29</f>
        <v>0</v>
      </c>
      <c r="BF218" s="324">
        <f t="shared" si="485"/>
        <v>948</v>
      </c>
      <c r="BG218" s="125">
        <f t="shared" si="486"/>
        <v>0</v>
      </c>
      <c r="BH218" s="125">
        <f>'1-1 项目基础信息'!R29</f>
        <v>0</v>
      </c>
      <c r="BI218" s="324">
        <f t="shared" si="487"/>
        <v>948</v>
      </c>
      <c r="BJ218" s="125">
        <f t="shared" si="488"/>
        <v>0</v>
      </c>
      <c r="BK218" s="125">
        <f>'1-1 项目基础信息'!S29</f>
        <v>0</v>
      </c>
      <c r="BL218" s="325">
        <f t="shared" si="489"/>
        <v>948</v>
      </c>
      <c r="BM218" s="317"/>
      <c r="BN218" s="320"/>
    </row>
    <row r="219" s="124" customFormat="1" ht="33.95" customHeight="1" outlineLevel="5" spans="2:66">
      <c r="B219" s="125" t="s">
        <v>792</v>
      </c>
      <c r="C219" s="126" t="s">
        <v>1161</v>
      </c>
      <c r="D219" s="124" t="s">
        <v>1162</v>
      </c>
      <c r="E219" s="125"/>
      <c r="F219" s="125"/>
      <c r="G219" s="125" t="s">
        <v>796</v>
      </c>
      <c r="H219" s="125">
        <f t="shared" si="462"/>
        <v>0</v>
      </c>
      <c r="I219" s="125" t="s">
        <v>1142</v>
      </c>
      <c r="J219" s="125" t="e">
        <f t="shared" si="463"/>
        <v>#DIV/0!</v>
      </c>
      <c r="K219" s="125" t="s">
        <v>1143</v>
      </c>
      <c r="L219" s="125" t="e">
        <f t="shared" si="464"/>
        <v>#DIV/0!</v>
      </c>
      <c r="M219" s="125" t="s">
        <v>1144</v>
      </c>
      <c r="N219" s="125">
        <f t="shared" si="465"/>
        <v>0</v>
      </c>
      <c r="O219" s="125"/>
      <c r="P219" s="295"/>
      <c r="Q219" s="295"/>
      <c r="R219" s="295"/>
      <c r="S219" s="295"/>
      <c r="T219" s="295"/>
      <c r="U219" s="295"/>
      <c r="V219" s="295"/>
      <c r="W219" s="295"/>
      <c r="X219" s="295"/>
      <c r="Y219" s="295"/>
      <c r="Z219" s="295"/>
      <c r="AA219" s="295"/>
      <c r="AB219" s="125">
        <f t="shared" si="466"/>
        <v>0</v>
      </c>
      <c r="AC219" s="125">
        <f t="shared" si="467"/>
        <v>0</v>
      </c>
      <c r="AD219" s="125">
        <f>'1-1 项目基础信息'!H30</f>
        <v>0</v>
      </c>
      <c r="AE219" s="295">
        <f>SUMIFS('附表1-数据库'!$F39:$EA39,'附表1-数据库'!$F$26:$EA$26,'1-1 项目基础信息'!$D$19,'附表1-数据库'!$F$28:$EA$28,'1-1 项目基础信息'!$D$20,'附表1-数据库'!$F$27:$EA$27,'1-1 项目基础信息'!$D$21,'附表1-数据库'!$F$29:$EA$29,'1-1 项目基础信息'!$D$18)</f>
        <v>1008</v>
      </c>
      <c r="AF219" s="125">
        <f t="shared" si="468"/>
        <v>0</v>
      </c>
      <c r="AG219" s="125">
        <f>'1-1 项目基础信息'!I30</f>
        <v>0</v>
      </c>
      <c r="AH219" s="324">
        <f t="shared" si="469"/>
        <v>1008</v>
      </c>
      <c r="AI219" s="125">
        <f t="shared" si="470"/>
        <v>0</v>
      </c>
      <c r="AJ219" s="125">
        <f>'1-1 项目基础信息'!J30</f>
        <v>0</v>
      </c>
      <c r="AK219" s="324">
        <f t="shared" si="471"/>
        <v>1008</v>
      </c>
      <c r="AL219" s="125">
        <f t="shared" si="472"/>
        <v>0</v>
      </c>
      <c r="AM219" s="125">
        <f>'1-1 项目基础信息'!K30</f>
        <v>0</v>
      </c>
      <c r="AN219" s="324">
        <f t="shared" si="473"/>
        <v>1008</v>
      </c>
      <c r="AO219" s="125">
        <f t="shared" si="474"/>
        <v>0</v>
      </c>
      <c r="AP219" s="125">
        <f>'1-1 项目基础信息'!L30</f>
        <v>0</v>
      </c>
      <c r="AQ219" s="324">
        <f t="shared" si="475"/>
        <v>1008</v>
      </c>
      <c r="AR219" s="125">
        <f t="shared" si="476"/>
        <v>0</v>
      </c>
      <c r="AS219" s="125">
        <f>'1-1 项目基础信息'!M30</f>
        <v>0</v>
      </c>
      <c r="AT219" s="324">
        <f t="shared" si="477"/>
        <v>1008</v>
      </c>
      <c r="AU219" s="125">
        <f t="shared" si="478"/>
        <v>0</v>
      </c>
      <c r="AV219" s="125">
        <f>'1-1 项目基础信息'!N30</f>
        <v>0</v>
      </c>
      <c r="AW219" s="324">
        <f t="shared" si="479"/>
        <v>1008</v>
      </c>
      <c r="AX219" s="125">
        <f t="shared" si="480"/>
        <v>0</v>
      </c>
      <c r="AY219" s="125">
        <f>'1-1 项目基础信息'!O30</f>
        <v>0</v>
      </c>
      <c r="AZ219" s="324">
        <f t="shared" si="481"/>
        <v>1008</v>
      </c>
      <c r="BA219" s="125">
        <f t="shared" si="482"/>
        <v>0</v>
      </c>
      <c r="BB219" s="125">
        <f>'1-1 项目基础信息'!P30</f>
        <v>0</v>
      </c>
      <c r="BC219" s="324">
        <f t="shared" si="483"/>
        <v>1008</v>
      </c>
      <c r="BD219" s="125">
        <f t="shared" si="484"/>
        <v>0</v>
      </c>
      <c r="BE219" s="125">
        <f>'1-1 项目基础信息'!Q30</f>
        <v>0</v>
      </c>
      <c r="BF219" s="324">
        <f t="shared" si="485"/>
        <v>1008</v>
      </c>
      <c r="BG219" s="125">
        <f t="shared" si="486"/>
        <v>0</v>
      </c>
      <c r="BH219" s="125">
        <f>'1-1 项目基础信息'!R30</f>
        <v>0</v>
      </c>
      <c r="BI219" s="324">
        <f t="shared" si="487"/>
        <v>1008</v>
      </c>
      <c r="BJ219" s="125">
        <f t="shared" si="488"/>
        <v>0</v>
      </c>
      <c r="BK219" s="125">
        <f>'1-1 项目基础信息'!S30</f>
        <v>0</v>
      </c>
      <c r="BL219" s="325">
        <f t="shared" si="489"/>
        <v>1008</v>
      </c>
      <c r="BM219" s="317"/>
      <c r="BN219" s="320"/>
    </row>
    <row r="220" s="124" customFormat="1" ht="33.95" customHeight="1" outlineLevel="5" spans="2:66">
      <c r="B220" s="125" t="s">
        <v>792</v>
      </c>
      <c r="C220" s="126" t="s">
        <v>1163</v>
      </c>
      <c r="D220" s="124" t="s">
        <v>1164</v>
      </c>
      <c r="E220" s="125"/>
      <c r="F220" s="125"/>
      <c r="G220" s="125" t="s">
        <v>796</v>
      </c>
      <c r="H220" s="125">
        <f t="shared" si="462"/>
        <v>0</v>
      </c>
      <c r="I220" s="125" t="s">
        <v>1142</v>
      </c>
      <c r="J220" s="125" t="e">
        <f t="shared" si="463"/>
        <v>#DIV/0!</v>
      </c>
      <c r="K220" s="125" t="s">
        <v>1143</v>
      </c>
      <c r="L220" s="125" t="e">
        <f t="shared" si="464"/>
        <v>#DIV/0!</v>
      </c>
      <c r="M220" s="125" t="s">
        <v>1144</v>
      </c>
      <c r="N220" s="125">
        <f t="shared" si="465"/>
        <v>0</v>
      </c>
      <c r="O220" s="125"/>
      <c r="P220" s="295"/>
      <c r="Q220" s="295"/>
      <c r="R220" s="295"/>
      <c r="S220" s="295"/>
      <c r="T220" s="295"/>
      <c r="U220" s="295"/>
      <c r="V220" s="295"/>
      <c r="W220" s="295"/>
      <c r="X220" s="295"/>
      <c r="Y220" s="295"/>
      <c r="Z220" s="295"/>
      <c r="AA220" s="295"/>
      <c r="AB220" s="125">
        <f t="shared" si="466"/>
        <v>0</v>
      </c>
      <c r="AC220" s="125">
        <f t="shared" si="467"/>
        <v>0</v>
      </c>
      <c r="AD220" s="125">
        <f>'1-1 项目基础信息'!H31</f>
        <v>0</v>
      </c>
      <c r="AE220" s="295">
        <f>SUMIFS('附表1-数据库'!$F40:$EA40,'附表1-数据库'!$F$26:$EA$26,'1-1 项目基础信息'!$D$19,'附表1-数据库'!$F$28:$EA$28,'1-1 项目基础信息'!$D$20,'附表1-数据库'!$F$27:$EA$27,'1-1 项目基础信息'!$D$21,'附表1-数据库'!$F$29:$EA$29,'1-1 项目基础信息'!$D$18)</f>
        <v>1152</v>
      </c>
      <c r="AF220" s="125">
        <f t="shared" si="468"/>
        <v>0</v>
      </c>
      <c r="AG220" s="125">
        <f>'1-1 项目基础信息'!I31</f>
        <v>0</v>
      </c>
      <c r="AH220" s="324">
        <f t="shared" si="469"/>
        <v>1152</v>
      </c>
      <c r="AI220" s="125">
        <f t="shared" si="470"/>
        <v>0</v>
      </c>
      <c r="AJ220" s="125">
        <f>'1-1 项目基础信息'!J31</f>
        <v>0</v>
      </c>
      <c r="AK220" s="324">
        <f t="shared" si="471"/>
        <v>1152</v>
      </c>
      <c r="AL220" s="125">
        <f t="shared" si="472"/>
        <v>0</v>
      </c>
      <c r="AM220" s="125">
        <f>'1-1 项目基础信息'!K31</f>
        <v>0</v>
      </c>
      <c r="AN220" s="324">
        <f t="shared" si="473"/>
        <v>1152</v>
      </c>
      <c r="AO220" s="125">
        <f t="shared" si="474"/>
        <v>0</v>
      </c>
      <c r="AP220" s="125">
        <f>'1-1 项目基础信息'!L31</f>
        <v>0</v>
      </c>
      <c r="AQ220" s="324">
        <f t="shared" si="475"/>
        <v>1152</v>
      </c>
      <c r="AR220" s="125">
        <f t="shared" si="476"/>
        <v>0</v>
      </c>
      <c r="AS220" s="125">
        <f>'1-1 项目基础信息'!M31</f>
        <v>0</v>
      </c>
      <c r="AT220" s="324">
        <f t="shared" si="477"/>
        <v>1152</v>
      </c>
      <c r="AU220" s="125">
        <f t="shared" si="478"/>
        <v>0</v>
      </c>
      <c r="AV220" s="125">
        <f>'1-1 项目基础信息'!N31</f>
        <v>0</v>
      </c>
      <c r="AW220" s="324">
        <f t="shared" si="479"/>
        <v>1152</v>
      </c>
      <c r="AX220" s="125">
        <f t="shared" si="480"/>
        <v>0</v>
      </c>
      <c r="AY220" s="125">
        <f>'1-1 项目基础信息'!O31</f>
        <v>0</v>
      </c>
      <c r="AZ220" s="324">
        <f t="shared" si="481"/>
        <v>1152</v>
      </c>
      <c r="BA220" s="125">
        <f t="shared" si="482"/>
        <v>0</v>
      </c>
      <c r="BB220" s="125">
        <f>'1-1 项目基础信息'!P31</f>
        <v>0</v>
      </c>
      <c r="BC220" s="324">
        <f t="shared" si="483"/>
        <v>1152</v>
      </c>
      <c r="BD220" s="125">
        <f t="shared" si="484"/>
        <v>0</v>
      </c>
      <c r="BE220" s="125">
        <f>'1-1 项目基础信息'!Q31</f>
        <v>0</v>
      </c>
      <c r="BF220" s="324">
        <f t="shared" si="485"/>
        <v>1152</v>
      </c>
      <c r="BG220" s="125">
        <f t="shared" si="486"/>
        <v>0</v>
      </c>
      <c r="BH220" s="125">
        <f>'1-1 项目基础信息'!R31</f>
        <v>0</v>
      </c>
      <c r="BI220" s="324">
        <f t="shared" si="487"/>
        <v>1152</v>
      </c>
      <c r="BJ220" s="125">
        <f t="shared" si="488"/>
        <v>0</v>
      </c>
      <c r="BK220" s="125">
        <f>'1-1 项目基础信息'!S31</f>
        <v>0</v>
      </c>
      <c r="BL220" s="325">
        <f t="shared" si="489"/>
        <v>1152</v>
      </c>
      <c r="BM220" s="317"/>
      <c r="BN220" s="320"/>
    </row>
    <row r="221" s="124" customFormat="1" ht="33.95" customHeight="1" outlineLevel="5" spans="2:66">
      <c r="B221" s="125" t="s">
        <v>792</v>
      </c>
      <c r="C221" s="126" t="s">
        <v>1165</v>
      </c>
      <c r="D221" s="124" t="s">
        <v>1166</v>
      </c>
      <c r="E221" s="125"/>
      <c r="F221" s="125"/>
      <c r="G221" s="125" t="s">
        <v>796</v>
      </c>
      <c r="H221" s="125">
        <f t="shared" si="462"/>
        <v>0</v>
      </c>
      <c r="I221" s="125" t="s">
        <v>1142</v>
      </c>
      <c r="J221" s="125" t="e">
        <f t="shared" si="463"/>
        <v>#DIV/0!</v>
      </c>
      <c r="K221" s="125" t="s">
        <v>1143</v>
      </c>
      <c r="L221" s="125" t="e">
        <f t="shared" si="464"/>
        <v>#DIV/0!</v>
      </c>
      <c r="M221" s="125" t="s">
        <v>1144</v>
      </c>
      <c r="N221" s="125">
        <f t="shared" si="465"/>
        <v>0</v>
      </c>
      <c r="O221" s="125"/>
      <c r="P221" s="295"/>
      <c r="Q221" s="295"/>
      <c r="R221" s="295"/>
      <c r="S221" s="295"/>
      <c r="T221" s="295"/>
      <c r="U221" s="295"/>
      <c r="V221" s="295"/>
      <c r="W221" s="295"/>
      <c r="X221" s="295"/>
      <c r="Y221" s="295"/>
      <c r="Z221" s="295"/>
      <c r="AA221" s="295"/>
      <c r="AB221" s="125">
        <f t="shared" si="466"/>
        <v>0</v>
      </c>
      <c r="AC221" s="125">
        <f t="shared" si="467"/>
        <v>0</v>
      </c>
      <c r="AD221" s="125">
        <f>'1-1 项目基础信息'!H32</f>
        <v>0</v>
      </c>
      <c r="AE221" s="295">
        <f>SUMIFS('附表1-数据库'!$F41:$EA41,'附表1-数据库'!$F$26:$EA$26,'1-1 项目基础信息'!$D$19,'附表1-数据库'!$F$28:$EA$28,'1-1 项目基础信息'!$D$20,'附表1-数据库'!$F$27:$EA$27,'1-1 项目基础信息'!$D$21,'附表1-数据库'!$F$29:$EA$29,'1-1 项目基础信息'!$D$18)</f>
        <v>0</v>
      </c>
      <c r="AF221" s="125">
        <f t="shared" si="468"/>
        <v>0</v>
      </c>
      <c r="AG221" s="125">
        <f>'1-1 项目基础信息'!I32</f>
        <v>0</v>
      </c>
      <c r="AH221" s="324">
        <f t="shared" si="469"/>
        <v>0</v>
      </c>
      <c r="AI221" s="125">
        <f t="shared" si="470"/>
        <v>0</v>
      </c>
      <c r="AJ221" s="125">
        <f>'1-1 项目基础信息'!J32</f>
        <v>0</v>
      </c>
      <c r="AK221" s="324">
        <f t="shared" si="471"/>
        <v>0</v>
      </c>
      <c r="AL221" s="125">
        <f t="shared" si="472"/>
        <v>0</v>
      </c>
      <c r="AM221" s="125">
        <f>'1-1 项目基础信息'!K32</f>
        <v>0</v>
      </c>
      <c r="AN221" s="324">
        <f t="shared" si="473"/>
        <v>0</v>
      </c>
      <c r="AO221" s="125">
        <f t="shared" si="474"/>
        <v>0</v>
      </c>
      <c r="AP221" s="125">
        <f>'1-1 项目基础信息'!L32</f>
        <v>0</v>
      </c>
      <c r="AQ221" s="324">
        <f t="shared" si="475"/>
        <v>0</v>
      </c>
      <c r="AR221" s="125">
        <f t="shared" si="476"/>
        <v>0</v>
      </c>
      <c r="AS221" s="125">
        <f>'1-1 项目基础信息'!M32</f>
        <v>0</v>
      </c>
      <c r="AT221" s="324">
        <f t="shared" si="477"/>
        <v>0</v>
      </c>
      <c r="AU221" s="125">
        <f t="shared" si="478"/>
        <v>0</v>
      </c>
      <c r="AV221" s="125">
        <f>'1-1 项目基础信息'!N32</f>
        <v>0</v>
      </c>
      <c r="AW221" s="324">
        <f t="shared" si="479"/>
        <v>0</v>
      </c>
      <c r="AX221" s="125">
        <f t="shared" si="480"/>
        <v>0</v>
      </c>
      <c r="AY221" s="125">
        <f>'1-1 项目基础信息'!O32</f>
        <v>0</v>
      </c>
      <c r="AZ221" s="324">
        <f t="shared" si="481"/>
        <v>0</v>
      </c>
      <c r="BA221" s="125">
        <f t="shared" si="482"/>
        <v>0</v>
      </c>
      <c r="BB221" s="125">
        <f>'1-1 项目基础信息'!P32</f>
        <v>0</v>
      </c>
      <c r="BC221" s="324">
        <f t="shared" si="483"/>
        <v>0</v>
      </c>
      <c r="BD221" s="125">
        <f t="shared" si="484"/>
        <v>0</v>
      </c>
      <c r="BE221" s="125">
        <f>'1-1 项目基础信息'!Q32</f>
        <v>0</v>
      </c>
      <c r="BF221" s="324">
        <f t="shared" si="485"/>
        <v>0</v>
      </c>
      <c r="BG221" s="125">
        <f t="shared" si="486"/>
        <v>0</v>
      </c>
      <c r="BH221" s="125">
        <f>'1-1 项目基础信息'!R32</f>
        <v>0</v>
      </c>
      <c r="BI221" s="324">
        <f t="shared" si="487"/>
        <v>0</v>
      </c>
      <c r="BJ221" s="125">
        <f t="shared" si="488"/>
        <v>0</v>
      </c>
      <c r="BK221" s="125">
        <f>'1-1 项目基础信息'!S32</f>
        <v>0</v>
      </c>
      <c r="BL221" s="325">
        <f t="shared" si="489"/>
        <v>0</v>
      </c>
      <c r="BM221" s="317"/>
      <c r="BN221" s="320"/>
    </row>
    <row r="222" s="124" customFormat="1" ht="33.95" customHeight="1" outlineLevel="5" spans="2:66">
      <c r="B222" s="125" t="s">
        <v>792</v>
      </c>
      <c r="C222" s="126" t="s">
        <v>1167</v>
      </c>
      <c r="D222" s="124" t="s">
        <v>1168</v>
      </c>
      <c r="E222" s="125"/>
      <c r="F222" s="125"/>
      <c r="G222" s="125" t="s">
        <v>796</v>
      </c>
      <c r="H222" s="125">
        <f t="shared" si="462"/>
        <v>0</v>
      </c>
      <c r="I222" s="125" t="s">
        <v>1142</v>
      </c>
      <c r="J222" s="125" t="e">
        <f t="shared" si="463"/>
        <v>#DIV/0!</v>
      </c>
      <c r="K222" s="125" t="s">
        <v>1143</v>
      </c>
      <c r="L222" s="125" t="e">
        <f t="shared" si="464"/>
        <v>#DIV/0!</v>
      </c>
      <c r="M222" s="125" t="s">
        <v>1144</v>
      </c>
      <c r="N222" s="125">
        <f t="shared" si="465"/>
        <v>0</v>
      </c>
      <c r="O222" s="125"/>
      <c r="P222" s="295"/>
      <c r="Q222" s="295"/>
      <c r="R222" s="295"/>
      <c r="S222" s="295"/>
      <c r="T222" s="295"/>
      <c r="U222" s="295"/>
      <c r="V222" s="295"/>
      <c r="W222" s="295"/>
      <c r="X222" s="295"/>
      <c r="Y222" s="295"/>
      <c r="Z222" s="295"/>
      <c r="AA222" s="295"/>
      <c r="AB222" s="125">
        <f t="shared" si="466"/>
        <v>0</v>
      </c>
      <c r="AC222" s="125">
        <f t="shared" si="467"/>
        <v>0</v>
      </c>
      <c r="AD222" s="125">
        <f>'1-1 项目基础信息'!H33</f>
        <v>0</v>
      </c>
      <c r="AE222" s="295">
        <f>SUMIFS('附表1-数据库'!$F42:$EA42,'附表1-数据库'!$F$26:$EA$26,'1-1 项目基础信息'!$D$19,'附表1-数据库'!$F$28:$EA$28,'1-1 项目基础信息'!$D$20,'附表1-数据库'!$F$27:$EA$27,'1-1 项目基础信息'!$D$21,'附表1-数据库'!$F$29:$EA$29,'1-1 项目基础信息'!$D$18)</f>
        <v>0</v>
      </c>
      <c r="AF222" s="125">
        <f t="shared" si="468"/>
        <v>0</v>
      </c>
      <c r="AG222" s="125">
        <f>'1-1 项目基础信息'!I33</f>
        <v>0</v>
      </c>
      <c r="AH222" s="324">
        <f t="shared" si="469"/>
        <v>0</v>
      </c>
      <c r="AI222" s="125">
        <f t="shared" si="470"/>
        <v>0</v>
      </c>
      <c r="AJ222" s="125">
        <f>'1-1 项目基础信息'!J33</f>
        <v>0</v>
      </c>
      <c r="AK222" s="324">
        <f t="shared" si="471"/>
        <v>0</v>
      </c>
      <c r="AL222" s="125">
        <f t="shared" si="472"/>
        <v>0</v>
      </c>
      <c r="AM222" s="125">
        <f>'1-1 项目基础信息'!K33</f>
        <v>0</v>
      </c>
      <c r="AN222" s="324">
        <f t="shared" si="473"/>
        <v>0</v>
      </c>
      <c r="AO222" s="125">
        <f t="shared" si="474"/>
        <v>0</v>
      </c>
      <c r="AP222" s="125">
        <f>'1-1 项目基础信息'!L33</f>
        <v>0</v>
      </c>
      <c r="AQ222" s="324">
        <f t="shared" si="475"/>
        <v>0</v>
      </c>
      <c r="AR222" s="125">
        <f t="shared" si="476"/>
        <v>0</v>
      </c>
      <c r="AS222" s="125">
        <f>'1-1 项目基础信息'!M33</f>
        <v>0</v>
      </c>
      <c r="AT222" s="324">
        <f t="shared" si="477"/>
        <v>0</v>
      </c>
      <c r="AU222" s="125">
        <f t="shared" si="478"/>
        <v>0</v>
      </c>
      <c r="AV222" s="125">
        <f>'1-1 项目基础信息'!N33</f>
        <v>0</v>
      </c>
      <c r="AW222" s="324">
        <f t="shared" si="479"/>
        <v>0</v>
      </c>
      <c r="AX222" s="125">
        <f t="shared" si="480"/>
        <v>0</v>
      </c>
      <c r="AY222" s="125">
        <f>'1-1 项目基础信息'!O33</f>
        <v>0</v>
      </c>
      <c r="AZ222" s="324">
        <f t="shared" si="481"/>
        <v>0</v>
      </c>
      <c r="BA222" s="125">
        <f t="shared" si="482"/>
        <v>0</v>
      </c>
      <c r="BB222" s="125">
        <f>'1-1 项目基础信息'!P33</f>
        <v>0</v>
      </c>
      <c r="BC222" s="324">
        <f t="shared" si="483"/>
        <v>0</v>
      </c>
      <c r="BD222" s="125">
        <f t="shared" si="484"/>
        <v>0</v>
      </c>
      <c r="BE222" s="125">
        <f>'1-1 项目基础信息'!Q33</f>
        <v>0</v>
      </c>
      <c r="BF222" s="324">
        <f t="shared" si="485"/>
        <v>0</v>
      </c>
      <c r="BG222" s="125">
        <f t="shared" si="486"/>
        <v>0</v>
      </c>
      <c r="BH222" s="125">
        <f>'1-1 项目基础信息'!R33</f>
        <v>0</v>
      </c>
      <c r="BI222" s="324">
        <f t="shared" si="487"/>
        <v>0</v>
      </c>
      <c r="BJ222" s="125">
        <f t="shared" si="488"/>
        <v>0</v>
      </c>
      <c r="BK222" s="125">
        <f>'1-1 项目基础信息'!S33</f>
        <v>0</v>
      </c>
      <c r="BL222" s="325">
        <f t="shared" si="489"/>
        <v>0</v>
      </c>
      <c r="BM222" s="317"/>
      <c r="BN222" s="320"/>
    </row>
    <row r="223" s="43" customFormat="1" ht="33.95" customHeight="1" outlineLevel="3" spans="2:66">
      <c r="B223" s="121" t="s">
        <v>792</v>
      </c>
      <c r="C223" s="122" t="s">
        <v>46</v>
      </c>
      <c r="D223" s="43" t="s">
        <v>47</v>
      </c>
      <c r="E223" s="121" t="s">
        <v>1169</v>
      </c>
      <c r="F223" s="121"/>
      <c r="G223" s="121" t="s">
        <v>796</v>
      </c>
      <c r="H223" s="311">
        <f>IFERROR(J223*L223*N223,0)</f>
        <v>0</v>
      </c>
      <c r="I223" s="311" t="s">
        <v>1170</v>
      </c>
      <c r="J223" s="311">
        <f>AVERAGE(AD223,AG223,AJ223,AM223,AP223,AS223,AV223,AY223,BB223,BE223,BH223,BK223)</f>
        <v>252764</v>
      </c>
      <c r="K223" s="311" t="s">
        <v>1026</v>
      </c>
      <c r="L223" s="311">
        <f>AVERAGE(AE223,AH223,AK223,AN223,AQ223,AT223,AW223,AZ223,BC223,BF223,BI223,BL223)</f>
        <v>0</v>
      </c>
      <c r="M223" s="121" t="s">
        <v>799</v>
      </c>
      <c r="N223" s="121">
        <v>12</v>
      </c>
      <c r="O223" s="121"/>
      <c r="P223" s="294"/>
      <c r="Q223" s="294"/>
      <c r="R223" s="294"/>
      <c r="S223" s="294"/>
      <c r="T223" s="294"/>
      <c r="U223" s="294"/>
      <c r="V223" s="294"/>
      <c r="W223" s="294"/>
      <c r="X223" s="294"/>
      <c r="Y223" s="294"/>
      <c r="Z223" s="294"/>
      <c r="AA223" s="294"/>
      <c r="AB223" s="121">
        <f t="shared" si="466"/>
        <v>0</v>
      </c>
      <c r="AC223" s="121">
        <f t="shared" si="467"/>
        <v>0</v>
      </c>
      <c r="AD223" s="121">
        <f>VLOOKUP($I223,'1-1 项目基础信息'!$F:$S,3,FALSE)</f>
        <v>252764</v>
      </c>
      <c r="AE223" s="304">
        <f>预算主表!$P$85/(12*'1-1 项目基础信息'!$H$12)</f>
        <v>0</v>
      </c>
      <c r="AF223" s="121">
        <f t="shared" si="468"/>
        <v>0</v>
      </c>
      <c r="AG223" s="121">
        <f>VLOOKUP($I223,'1-1 项目基础信息'!$F:$S,4,FALSE)</f>
        <v>252764</v>
      </c>
      <c r="AH223" s="304">
        <f>预算主表!$P$85/(12*'1-1 项目基础信息'!$H$12)</f>
        <v>0</v>
      </c>
      <c r="AI223" s="121">
        <f t="shared" si="470"/>
        <v>0</v>
      </c>
      <c r="AJ223" s="121">
        <f>VLOOKUP($I223,'1-1 项目基础信息'!$F:$S,5,FALSE)</f>
        <v>252764</v>
      </c>
      <c r="AK223" s="304">
        <f>预算主表!$P$85/(12*'1-1 项目基础信息'!$H$12)</f>
        <v>0</v>
      </c>
      <c r="AL223" s="121">
        <f t="shared" si="472"/>
        <v>0</v>
      </c>
      <c r="AM223" s="121">
        <f>VLOOKUP($I223,'1-1 项目基础信息'!$F:$S,6,FALSE)</f>
        <v>252764</v>
      </c>
      <c r="AN223" s="304">
        <f>预算主表!$P$85/(12*'1-1 项目基础信息'!$H$12)</f>
        <v>0</v>
      </c>
      <c r="AO223" s="121">
        <f t="shared" si="474"/>
        <v>0</v>
      </c>
      <c r="AP223" s="121">
        <f>VLOOKUP($I223,'1-1 项目基础信息'!$F:$S,7,FALSE)</f>
        <v>252764</v>
      </c>
      <c r="AQ223" s="304">
        <f>预算主表!$P$85/(12*'1-1 项目基础信息'!$H$12)</f>
        <v>0</v>
      </c>
      <c r="AR223" s="121">
        <f t="shared" si="476"/>
        <v>0</v>
      </c>
      <c r="AS223" s="121">
        <f>VLOOKUP($I223,'1-1 项目基础信息'!$F:$S,8,FALSE)</f>
        <v>252764</v>
      </c>
      <c r="AT223" s="304">
        <f>预算主表!$P$85/(12*'1-1 项目基础信息'!$H$12)</f>
        <v>0</v>
      </c>
      <c r="AU223" s="121">
        <f t="shared" si="478"/>
        <v>0</v>
      </c>
      <c r="AV223" s="121">
        <f>VLOOKUP($I223,'1-1 项目基础信息'!$F:$S,9,FALSE)</f>
        <v>252764</v>
      </c>
      <c r="AW223" s="304">
        <f>预算主表!$P$85/(12*'1-1 项目基础信息'!$H$12)</f>
        <v>0</v>
      </c>
      <c r="AX223" s="121">
        <f t="shared" si="480"/>
        <v>0</v>
      </c>
      <c r="AY223" s="121">
        <f>VLOOKUP($I223,'1-1 项目基础信息'!$F:$S,10,FALSE)</f>
        <v>252764</v>
      </c>
      <c r="AZ223" s="304">
        <f>预算主表!$P$85/(12*'1-1 项目基础信息'!$H$12)</f>
        <v>0</v>
      </c>
      <c r="BA223" s="121">
        <f t="shared" si="482"/>
        <v>0</v>
      </c>
      <c r="BB223" s="121">
        <f>VLOOKUP($I223,'1-1 项目基础信息'!$F:$S,11,FALSE)</f>
        <v>252764</v>
      </c>
      <c r="BC223" s="304">
        <f>预算主表!$P$85/(12*'1-1 项目基础信息'!$H$12)</f>
        <v>0</v>
      </c>
      <c r="BD223" s="121">
        <f t="shared" si="484"/>
        <v>0</v>
      </c>
      <c r="BE223" s="121">
        <f>VLOOKUP($I223,'1-1 项目基础信息'!$F:$S,12,FALSE)</f>
        <v>252764</v>
      </c>
      <c r="BF223" s="304">
        <f>预算主表!$P$85/(12*'1-1 项目基础信息'!$H$12)</f>
        <v>0</v>
      </c>
      <c r="BG223" s="121">
        <f t="shared" si="486"/>
        <v>0</v>
      </c>
      <c r="BH223" s="121">
        <f>VLOOKUP($I223,'1-1 项目基础信息'!$F:$S,13,FALSE)</f>
        <v>252764</v>
      </c>
      <c r="BI223" s="304">
        <f>预算主表!$P$85/(12*'1-1 项目基础信息'!$H$12)</f>
        <v>0</v>
      </c>
      <c r="BJ223" s="121">
        <f t="shared" si="488"/>
        <v>0</v>
      </c>
      <c r="BK223" s="121">
        <f>VLOOKUP($I223,'1-1 项目基础信息'!$F:$S,14,FALSE)</f>
        <v>252764</v>
      </c>
      <c r="BL223" s="304">
        <f>预算主表!$P$85/(12*'1-1 项目基础信息'!$H$12)</f>
        <v>0</v>
      </c>
      <c r="BM223" s="317"/>
      <c r="BN223" s="319"/>
    </row>
    <row r="224" s="43" customFormat="1" ht="33.95" customHeight="1" outlineLevel="3" spans="2:66">
      <c r="B224" s="121" t="s">
        <v>787</v>
      </c>
      <c r="C224" s="122" t="s">
        <v>36</v>
      </c>
      <c r="D224" s="43" t="s">
        <v>37</v>
      </c>
      <c r="E224" s="121"/>
      <c r="F224" s="121"/>
      <c r="G224" s="121"/>
      <c r="H224" s="121">
        <f>H225+H230+H231+H232+H233+H234+H235</f>
        <v>0</v>
      </c>
      <c r="I224" s="121"/>
      <c r="J224" s="121"/>
      <c r="K224" s="121"/>
      <c r="L224" s="121"/>
      <c r="M224" s="121"/>
      <c r="N224" s="121"/>
      <c r="O224" s="121"/>
      <c r="P224" s="294"/>
      <c r="Q224" s="294"/>
      <c r="R224" s="294"/>
      <c r="S224" s="294"/>
      <c r="T224" s="294"/>
      <c r="U224" s="294"/>
      <c r="V224" s="294"/>
      <c r="W224" s="294"/>
      <c r="X224" s="294"/>
      <c r="Y224" s="294"/>
      <c r="Z224" s="294"/>
      <c r="AA224" s="294"/>
      <c r="AB224" s="121">
        <f t="shared" ref="AB224:AF224" si="490">AB225+AB230+AB231+AB232+AB233+AB234+AB235</f>
        <v>0</v>
      </c>
      <c r="AC224" s="121">
        <f t="shared" si="490"/>
        <v>0</v>
      </c>
      <c r="AD224" s="121"/>
      <c r="AE224" s="121"/>
      <c r="AF224" s="121">
        <f t="shared" si="490"/>
        <v>0</v>
      </c>
      <c r="AG224" s="121"/>
      <c r="AH224" s="121"/>
      <c r="AI224" s="121">
        <f>AI225+AI230+AI231+AI232+AI233+AI234+AI235</f>
        <v>0</v>
      </c>
      <c r="AJ224" s="121"/>
      <c r="AK224" s="121"/>
      <c r="AL224" s="121">
        <f>AL225+AL230+AL231+AL232+AL233+AL234+AL235</f>
        <v>0</v>
      </c>
      <c r="AM224" s="121"/>
      <c r="AN224" s="121"/>
      <c r="AO224" s="121">
        <f>AO225+AO230+AO231+AO232+AO233+AO234+AO235</f>
        <v>0</v>
      </c>
      <c r="AP224" s="121"/>
      <c r="AQ224" s="121"/>
      <c r="AR224" s="121">
        <f>AR225+AR230+AR231+AR232+AR233+AR234+AR235</f>
        <v>0</v>
      </c>
      <c r="AS224" s="121"/>
      <c r="AT224" s="121"/>
      <c r="AU224" s="121">
        <f>AU225+AU230+AU231+AU232+AU233+AU234+AU235</f>
        <v>0</v>
      </c>
      <c r="AV224" s="121"/>
      <c r="AW224" s="121"/>
      <c r="AX224" s="121">
        <f>AX225+AX230+AX231+AX232+AX233+AX234+AX235</f>
        <v>0</v>
      </c>
      <c r="AY224" s="121"/>
      <c r="AZ224" s="121"/>
      <c r="BA224" s="121">
        <f>BA225+BA230+BA231+BA232+BA233+BA234+BA235</f>
        <v>0</v>
      </c>
      <c r="BB224" s="121"/>
      <c r="BC224" s="121"/>
      <c r="BD224" s="121">
        <f>BD225+BD230+BD231+BD232+BD233+BD234+BD235</f>
        <v>0</v>
      </c>
      <c r="BE224" s="121"/>
      <c r="BF224" s="121"/>
      <c r="BG224" s="121">
        <f>BG225+BG230+BG231+BG232+BG233+BG234+BG235</f>
        <v>0</v>
      </c>
      <c r="BH224" s="121"/>
      <c r="BI224" s="121"/>
      <c r="BJ224" s="121">
        <f>BJ225+BJ230+BJ231+BJ232+BJ233+BJ234+BJ235</f>
        <v>0</v>
      </c>
      <c r="BK224" s="121"/>
      <c r="BL224" s="311"/>
      <c r="BM224" s="317"/>
      <c r="BN224" s="319"/>
    </row>
    <row r="225" s="124" customFormat="1" ht="33.95" customHeight="1" outlineLevel="4" spans="2:66">
      <c r="B225" s="125" t="s">
        <v>787</v>
      </c>
      <c r="C225" s="126" t="s">
        <v>1171</v>
      </c>
      <c r="D225" s="124" t="s">
        <v>1172</v>
      </c>
      <c r="E225" s="125" t="s">
        <v>1173</v>
      </c>
      <c r="F225" s="125"/>
      <c r="G225" s="125"/>
      <c r="H225" s="125">
        <f>SUM(H226:H229)</f>
        <v>0</v>
      </c>
      <c r="I225" s="125"/>
      <c r="J225" s="125"/>
      <c r="K225" s="125"/>
      <c r="L225" s="125"/>
      <c r="M225" s="125"/>
      <c r="N225" s="125"/>
      <c r="O225" s="125"/>
      <c r="P225" s="295"/>
      <c r="Q225" s="295"/>
      <c r="R225" s="295"/>
      <c r="S225" s="295"/>
      <c r="T225" s="295"/>
      <c r="U225" s="295"/>
      <c r="V225" s="295"/>
      <c r="W225" s="295"/>
      <c r="X225" s="295"/>
      <c r="Y225" s="295"/>
      <c r="Z225" s="295"/>
      <c r="AA225" s="295"/>
      <c r="AB225" s="125">
        <f t="shared" ref="AB225:AF225" si="491">SUM(AB226:AB229)</f>
        <v>0</v>
      </c>
      <c r="AC225" s="125">
        <f t="shared" si="491"/>
        <v>0</v>
      </c>
      <c r="AD225" s="125"/>
      <c r="AE225" s="125"/>
      <c r="AF225" s="125">
        <f t="shared" si="491"/>
        <v>0</v>
      </c>
      <c r="AG225" s="125"/>
      <c r="AH225" s="125"/>
      <c r="AI225" s="125">
        <f>SUM(AI226:AI229)</f>
        <v>0</v>
      </c>
      <c r="AJ225" s="125"/>
      <c r="AK225" s="125"/>
      <c r="AL225" s="125">
        <f>SUM(AL226:AL229)</f>
        <v>0</v>
      </c>
      <c r="AM225" s="125"/>
      <c r="AN225" s="125"/>
      <c r="AO225" s="125">
        <f>SUM(AO226:AO229)</f>
        <v>0</v>
      </c>
      <c r="AP225" s="125"/>
      <c r="AQ225" s="125"/>
      <c r="AR225" s="125">
        <f>SUM(AR226:AR229)</f>
        <v>0</v>
      </c>
      <c r="AS225" s="125"/>
      <c r="AT225" s="125"/>
      <c r="AU225" s="125">
        <f>SUM(AU226:AU229)</f>
        <v>0</v>
      </c>
      <c r="AV225" s="125"/>
      <c r="AW225" s="125"/>
      <c r="AX225" s="125">
        <f>SUM(AX226:AX229)</f>
        <v>0</v>
      </c>
      <c r="AY225" s="125"/>
      <c r="AZ225" s="125"/>
      <c r="BA225" s="125">
        <f>SUM(BA226:BA229)</f>
        <v>0</v>
      </c>
      <c r="BB225" s="125"/>
      <c r="BC225" s="125"/>
      <c r="BD225" s="125">
        <f>SUM(BD226:BD229)</f>
        <v>0</v>
      </c>
      <c r="BE225" s="125"/>
      <c r="BF225" s="125"/>
      <c r="BG225" s="125">
        <f>SUM(BG226:BG229)</f>
        <v>0</v>
      </c>
      <c r="BH225" s="125"/>
      <c r="BI225" s="125"/>
      <c r="BJ225" s="125">
        <f>SUM(BJ226:BJ229)</f>
        <v>0</v>
      </c>
      <c r="BK225" s="125"/>
      <c r="BL225" s="312"/>
      <c r="BM225" s="317"/>
      <c r="BN225" s="320"/>
    </row>
    <row r="226" s="269" customFormat="1" ht="33.95" customHeight="1" outlineLevel="5" spans="2:66">
      <c r="B226" s="181" t="s">
        <v>792</v>
      </c>
      <c r="C226" s="289" t="s">
        <v>1171</v>
      </c>
      <c r="D226" s="269" t="s">
        <v>1174</v>
      </c>
      <c r="E226" s="181"/>
      <c r="F226" s="181"/>
      <c r="G226" s="181" t="s">
        <v>796</v>
      </c>
      <c r="H226" s="181">
        <f t="shared" ref="H226:H235" si="492">IFERROR(J226*L226*N226,0)</f>
        <v>0</v>
      </c>
      <c r="I226" s="181" t="s">
        <v>1175</v>
      </c>
      <c r="J226" s="181" t="e">
        <f t="shared" ref="J226:J229" si="493">AVERAGE(AD226,AG226,AJ226,AM226,AP226,AS226,AV226,AY226,BB226,BE226,BH226,BK226)</f>
        <v>#DIV/0!</v>
      </c>
      <c r="K226" s="181" t="s">
        <v>1143</v>
      </c>
      <c r="L226" s="181" t="e">
        <f t="shared" ref="L226:L229" si="494">AVERAGE(AE226,AH226,AK226,AN226,AQ226,AT226,AW226,AZ226,BC226,BF226,BI226,BL226)</f>
        <v>#DIV/0!</v>
      </c>
      <c r="M226" s="181" t="s">
        <v>1176</v>
      </c>
      <c r="N226" s="181">
        <v>1</v>
      </c>
      <c r="O226" s="181"/>
      <c r="P226" s="296"/>
      <c r="Q226" s="296"/>
      <c r="R226" s="296"/>
      <c r="S226" s="296"/>
      <c r="T226" s="296"/>
      <c r="U226" s="296"/>
      <c r="V226" s="296"/>
      <c r="W226" s="296"/>
      <c r="X226" s="296"/>
      <c r="Y226" s="296"/>
      <c r="Z226" s="296"/>
      <c r="AA226" s="296"/>
      <c r="AB226" s="181">
        <f t="shared" ref="AB226:AB235" si="495">SUM(AC226,AF226,AI226,AL226,AO226,AR226,AU226,AX226,BA226,BD226,BG226,BJ226)</f>
        <v>0</v>
      </c>
      <c r="AC226" s="181">
        <f>AD226*AE226</f>
        <v>0</v>
      </c>
      <c r="AD226" s="304"/>
      <c r="AE226" s="304"/>
      <c r="AF226" s="181">
        <f>AG226*AH226</f>
        <v>0</v>
      </c>
      <c r="AG226" s="304"/>
      <c r="AH226" s="304"/>
      <c r="AI226" s="181">
        <f>AJ226*AK226</f>
        <v>0</v>
      </c>
      <c r="AJ226" s="304"/>
      <c r="AK226" s="304"/>
      <c r="AL226" s="181">
        <f>AM226*AN226</f>
        <v>0</v>
      </c>
      <c r="AM226" s="304"/>
      <c r="AN226" s="304"/>
      <c r="AO226" s="181">
        <f>AP226*AQ226</f>
        <v>0</v>
      </c>
      <c r="AP226" s="304"/>
      <c r="AQ226" s="304"/>
      <c r="AR226" s="181">
        <f>AS226*AT226</f>
        <v>0</v>
      </c>
      <c r="AS226" s="304"/>
      <c r="AT226" s="304"/>
      <c r="AU226" s="181">
        <f>AV226*AW226</f>
        <v>0</v>
      </c>
      <c r="AV226" s="304"/>
      <c r="AW226" s="304"/>
      <c r="AX226" s="181">
        <f>AY226*AZ226</f>
        <v>0</v>
      </c>
      <c r="AY226" s="304"/>
      <c r="AZ226" s="304"/>
      <c r="BA226" s="181">
        <f>BB226*BC226</f>
        <v>0</v>
      </c>
      <c r="BB226" s="304"/>
      <c r="BC226" s="304"/>
      <c r="BD226" s="181">
        <f>BE226*BF226</f>
        <v>0</v>
      </c>
      <c r="BE226" s="304"/>
      <c r="BF226" s="304"/>
      <c r="BG226" s="181">
        <f>BH226*BI226</f>
        <v>0</v>
      </c>
      <c r="BH226" s="304"/>
      <c r="BI226" s="304"/>
      <c r="BJ226" s="181">
        <f>BK226*BL226</f>
        <v>0</v>
      </c>
      <c r="BK226" s="304"/>
      <c r="BL226" s="313"/>
      <c r="BM226" s="317"/>
      <c r="BN226" s="321"/>
    </row>
    <row r="227" s="269" customFormat="1" ht="33.95" customHeight="1" outlineLevel="5" spans="2:66">
      <c r="B227" s="181" t="s">
        <v>792</v>
      </c>
      <c r="C227" s="289" t="s">
        <v>1177</v>
      </c>
      <c r="D227" s="269" t="s">
        <v>1178</v>
      </c>
      <c r="E227" s="181"/>
      <c r="F227" s="181"/>
      <c r="G227" s="181" t="s">
        <v>796</v>
      </c>
      <c r="H227" s="181">
        <f t="shared" si="492"/>
        <v>0</v>
      </c>
      <c r="I227" s="181" t="s">
        <v>1175</v>
      </c>
      <c r="J227" s="181" t="e">
        <f t="shared" si="493"/>
        <v>#DIV/0!</v>
      </c>
      <c r="K227" s="181" t="s">
        <v>1143</v>
      </c>
      <c r="L227" s="181" t="e">
        <f t="shared" si="494"/>
        <v>#DIV/0!</v>
      </c>
      <c r="M227" s="181" t="s">
        <v>1176</v>
      </c>
      <c r="N227" s="181">
        <v>1</v>
      </c>
      <c r="O227" s="181"/>
      <c r="P227" s="296"/>
      <c r="Q227" s="296"/>
      <c r="R227" s="296"/>
      <c r="S227" s="296"/>
      <c r="T227" s="296"/>
      <c r="U227" s="296"/>
      <c r="V227" s="296"/>
      <c r="W227" s="296"/>
      <c r="X227" s="296"/>
      <c r="Y227" s="296"/>
      <c r="Z227" s="296"/>
      <c r="AA227" s="296"/>
      <c r="AB227" s="181">
        <f t="shared" si="495"/>
        <v>0</v>
      </c>
      <c r="AC227" s="181">
        <f>AD227*AE227</f>
        <v>0</v>
      </c>
      <c r="AD227" s="304"/>
      <c r="AE227" s="304"/>
      <c r="AF227" s="181">
        <f>AG227*AH227</f>
        <v>0</v>
      </c>
      <c r="AG227" s="304"/>
      <c r="AH227" s="304"/>
      <c r="AI227" s="181">
        <f>AJ227*AK227</f>
        <v>0</v>
      </c>
      <c r="AJ227" s="304"/>
      <c r="AK227" s="304"/>
      <c r="AL227" s="181">
        <f>AM227*AN227</f>
        <v>0</v>
      </c>
      <c r="AM227" s="304"/>
      <c r="AN227" s="304"/>
      <c r="AO227" s="181">
        <f>AP227*AQ227</f>
        <v>0</v>
      </c>
      <c r="AP227" s="304"/>
      <c r="AQ227" s="304"/>
      <c r="AR227" s="181">
        <f>AS227*AT227</f>
        <v>0</v>
      </c>
      <c r="AS227" s="304"/>
      <c r="AT227" s="304"/>
      <c r="AU227" s="181">
        <f>AV227*AW227</f>
        <v>0</v>
      </c>
      <c r="AV227" s="304"/>
      <c r="AW227" s="304"/>
      <c r="AX227" s="181">
        <f>AY227*AZ227</f>
        <v>0</v>
      </c>
      <c r="AY227" s="304"/>
      <c r="AZ227" s="304"/>
      <c r="BA227" s="181">
        <f>BB227*BC227</f>
        <v>0</v>
      </c>
      <c r="BB227" s="304"/>
      <c r="BC227" s="304"/>
      <c r="BD227" s="181">
        <f>BE227*BF227</f>
        <v>0</v>
      </c>
      <c r="BE227" s="304"/>
      <c r="BF227" s="304"/>
      <c r="BG227" s="181">
        <f>BH227*BI227</f>
        <v>0</v>
      </c>
      <c r="BH227" s="304"/>
      <c r="BI227" s="304"/>
      <c r="BJ227" s="181">
        <f>BK227*BL227</f>
        <v>0</v>
      </c>
      <c r="BK227" s="304"/>
      <c r="BL227" s="313"/>
      <c r="BM227" s="317"/>
      <c r="BN227" s="321"/>
    </row>
    <row r="228" s="269" customFormat="1" ht="33.95" customHeight="1" outlineLevel="5" spans="2:66">
      <c r="B228" s="181" t="s">
        <v>792</v>
      </c>
      <c r="C228" s="289" t="s">
        <v>1179</v>
      </c>
      <c r="D228" s="269" t="s">
        <v>1180</v>
      </c>
      <c r="E228" s="181"/>
      <c r="F228" s="181"/>
      <c r="G228" s="181" t="s">
        <v>796</v>
      </c>
      <c r="H228" s="181">
        <f t="shared" si="492"/>
        <v>0</v>
      </c>
      <c r="I228" s="181" t="s">
        <v>1175</v>
      </c>
      <c r="J228" s="181" t="e">
        <f t="shared" si="493"/>
        <v>#DIV/0!</v>
      </c>
      <c r="K228" s="181" t="s">
        <v>1143</v>
      </c>
      <c r="L228" s="181" t="e">
        <f t="shared" si="494"/>
        <v>#DIV/0!</v>
      </c>
      <c r="M228" s="181" t="s">
        <v>1176</v>
      </c>
      <c r="N228" s="181">
        <v>1</v>
      </c>
      <c r="O228" s="181"/>
      <c r="P228" s="296"/>
      <c r="Q228" s="296"/>
      <c r="R228" s="296"/>
      <c r="S228" s="296"/>
      <c r="T228" s="296"/>
      <c r="U228" s="296"/>
      <c r="V228" s="296"/>
      <c r="W228" s="296"/>
      <c r="X228" s="296"/>
      <c r="Y228" s="296"/>
      <c r="Z228" s="296"/>
      <c r="AA228" s="296"/>
      <c r="AB228" s="181">
        <f t="shared" si="495"/>
        <v>0</v>
      </c>
      <c r="AC228" s="181">
        <f>AD228*AE228</f>
        <v>0</v>
      </c>
      <c r="AD228" s="304"/>
      <c r="AE228" s="304"/>
      <c r="AF228" s="181">
        <f>AG228*AH228</f>
        <v>0</v>
      </c>
      <c r="AG228" s="304"/>
      <c r="AH228" s="304"/>
      <c r="AI228" s="181">
        <f>AJ228*AK228</f>
        <v>0</v>
      </c>
      <c r="AJ228" s="304"/>
      <c r="AK228" s="304"/>
      <c r="AL228" s="181">
        <f>AM228*AN228</f>
        <v>0</v>
      </c>
      <c r="AM228" s="304"/>
      <c r="AN228" s="304"/>
      <c r="AO228" s="181">
        <f>AP228*AQ228</f>
        <v>0</v>
      </c>
      <c r="AP228" s="304"/>
      <c r="AQ228" s="304"/>
      <c r="AR228" s="181">
        <f>AS228*AT228</f>
        <v>0</v>
      </c>
      <c r="AS228" s="304"/>
      <c r="AT228" s="304"/>
      <c r="AU228" s="181">
        <f>AV228*AW228</f>
        <v>0</v>
      </c>
      <c r="AV228" s="304"/>
      <c r="AW228" s="304"/>
      <c r="AX228" s="181">
        <f>AY228*AZ228</f>
        <v>0</v>
      </c>
      <c r="AY228" s="304"/>
      <c r="AZ228" s="304"/>
      <c r="BA228" s="181">
        <f>BB228*BC228</f>
        <v>0</v>
      </c>
      <c r="BB228" s="304"/>
      <c r="BC228" s="304"/>
      <c r="BD228" s="181">
        <f>BE228*BF228</f>
        <v>0</v>
      </c>
      <c r="BE228" s="304"/>
      <c r="BF228" s="304"/>
      <c r="BG228" s="181">
        <f>BH228*BI228</f>
        <v>0</v>
      </c>
      <c r="BH228" s="304"/>
      <c r="BI228" s="304"/>
      <c r="BJ228" s="181">
        <f>BK228*BL228</f>
        <v>0</v>
      </c>
      <c r="BK228" s="304"/>
      <c r="BL228" s="313"/>
      <c r="BM228" s="317"/>
      <c r="BN228" s="321"/>
    </row>
    <row r="229" s="269" customFormat="1" ht="33.95" customHeight="1" outlineLevel="5" spans="2:66">
      <c r="B229" s="181" t="s">
        <v>792</v>
      </c>
      <c r="C229" s="289" t="s">
        <v>1181</v>
      </c>
      <c r="D229" s="269" t="s">
        <v>1182</v>
      </c>
      <c r="E229" s="181"/>
      <c r="F229" s="181"/>
      <c r="G229" s="181" t="s">
        <v>796</v>
      </c>
      <c r="H229" s="181">
        <f t="shared" si="492"/>
        <v>0</v>
      </c>
      <c r="I229" s="181" t="s">
        <v>1175</v>
      </c>
      <c r="J229" s="181" t="e">
        <f t="shared" si="493"/>
        <v>#DIV/0!</v>
      </c>
      <c r="K229" s="181" t="s">
        <v>1143</v>
      </c>
      <c r="L229" s="181" t="e">
        <f t="shared" si="494"/>
        <v>#DIV/0!</v>
      </c>
      <c r="M229" s="181" t="s">
        <v>1176</v>
      </c>
      <c r="N229" s="181">
        <v>1</v>
      </c>
      <c r="O229" s="181"/>
      <c r="P229" s="296"/>
      <c r="Q229" s="296"/>
      <c r="R229" s="296"/>
      <c r="S229" s="296"/>
      <c r="T229" s="296"/>
      <c r="U229" s="296"/>
      <c r="V229" s="296"/>
      <c r="W229" s="296"/>
      <c r="X229" s="296"/>
      <c r="Y229" s="296"/>
      <c r="Z229" s="296"/>
      <c r="AA229" s="296"/>
      <c r="AB229" s="181">
        <f t="shared" si="495"/>
        <v>0</v>
      </c>
      <c r="AC229" s="181">
        <f>AD229*AE229</f>
        <v>0</v>
      </c>
      <c r="AD229" s="304"/>
      <c r="AE229" s="304"/>
      <c r="AF229" s="181">
        <f>AG229*AH229</f>
        <v>0</v>
      </c>
      <c r="AG229" s="304"/>
      <c r="AH229" s="304"/>
      <c r="AI229" s="181">
        <f>AJ229*AK229</f>
        <v>0</v>
      </c>
      <c r="AJ229" s="304"/>
      <c r="AK229" s="304"/>
      <c r="AL229" s="181">
        <f>AM229*AN229</f>
        <v>0</v>
      </c>
      <c r="AM229" s="304"/>
      <c r="AN229" s="304"/>
      <c r="AO229" s="181">
        <f>AP229*AQ229</f>
        <v>0</v>
      </c>
      <c r="AP229" s="304"/>
      <c r="AQ229" s="304"/>
      <c r="AR229" s="181">
        <f>AS229*AT229</f>
        <v>0</v>
      </c>
      <c r="AS229" s="304"/>
      <c r="AT229" s="304"/>
      <c r="AU229" s="181">
        <f>AV229*AW229</f>
        <v>0</v>
      </c>
      <c r="AV229" s="304"/>
      <c r="AW229" s="304"/>
      <c r="AX229" s="181">
        <f>AY229*AZ229</f>
        <v>0</v>
      </c>
      <c r="AY229" s="304"/>
      <c r="AZ229" s="304"/>
      <c r="BA229" s="181">
        <f>BB229*BC229</f>
        <v>0</v>
      </c>
      <c r="BB229" s="304"/>
      <c r="BC229" s="304"/>
      <c r="BD229" s="181">
        <f>BE229*BF229</f>
        <v>0</v>
      </c>
      <c r="BE229" s="304"/>
      <c r="BF229" s="304"/>
      <c r="BG229" s="181">
        <f>BH229*BI229</f>
        <v>0</v>
      </c>
      <c r="BH229" s="304"/>
      <c r="BI229" s="304"/>
      <c r="BJ229" s="181">
        <f>BK229*BL229</f>
        <v>0</v>
      </c>
      <c r="BK229" s="304"/>
      <c r="BL229" s="313"/>
      <c r="BM229" s="317"/>
      <c r="BN229" s="321"/>
    </row>
    <row r="230" s="124" customFormat="1" ht="33.95" customHeight="1" outlineLevel="4" spans="2:66">
      <c r="B230" s="125" t="s">
        <v>792</v>
      </c>
      <c r="C230" s="126" t="s">
        <v>1177</v>
      </c>
      <c r="D230" s="124" t="s">
        <v>1183</v>
      </c>
      <c r="E230" s="125" t="s">
        <v>1184</v>
      </c>
      <c r="F230" s="125"/>
      <c r="G230" s="125" t="s">
        <v>936</v>
      </c>
      <c r="H230" s="125">
        <f t="shared" si="492"/>
        <v>0</v>
      </c>
      <c r="I230" s="125" t="s">
        <v>1025</v>
      </c>
      <c r="J230" s="125">
        <f>AVERAGE('1-1 项目基础信息'!$H$9:$S$9)</f>
        <v>252764</v>
      </c>
      <c r="K230" s="125" t="s">
        <v>1026</v>
      </c>
      <c r="L230" s="304"/>
      <c r="M230" s="125" t="s">
        <v>799</v>
      </c>
      <c r="N230" s="125">
        <f>COUNTA(O230:Z230)</f>
        <v>0</v>
      </c>
      <c r="O230" s="304"/>
      <c r="P230" s="304"/>
      <c r="Q230" s="304"/>
      <c r="R230" s="304"/>
      <c r="S230" s="304"/>
      <c r="T230" s="304"/>
      <c r="U230" s="304"/>
      <c r="V230" s="304"/>
      <c r="W230" s="304"/>
      <c r="X230" s="304"/>
      <c r="Y230" s="304"/>
      <c r="Z230" s="304"/>
      <c r="AA230" s="125"/>
      <c r="AB230" s="125">
        <f t="shared" si="495"/>
        <v>0</v>
      </c>
      <c r="AC230" s="125">
        <f t="shared" ref="AC230:AC235" si="496">IF(O230="",0,$J230*$L230)</f>
        <v>0</v>
      </c>
      <c r="AD230" s="125"/>
      <c r="AE230" s="125"/>
      <c r="AF230" s="125">
        <f t="shared" ref="AF230:AF235" si="497">IF(P230="",0,$J230*$L230)</f>
        <v>0</v>
      </c>
      <c r="AG230" s="125"/>
      <c r="AH230" s="125"/>
      <c r="AI230" s="125">
        <f t="shared" ref="AI230:AI235" si="498">IF(Q230="",0,$J230*$L230)</f>
        <v>0</v>
      </c>
      <c r="AJ230" s="125"/>
      <c r="AK230" s="125"/>
      <c r="AL230" s="125">
        <f t="shared" ref="AL230:AL235" si="499">IF(R230="",0,$J230*$L230)</f>
        <v>0</v>
      </c>
      <c r="AM230" s="125"/>
      <c r="AN230" s="125"/>
      <c r="AO230" s="125">
        <f t="shared" ref="AO230:AO235" si="500">IF(S230="",0,$J230*$L230)</f>
        <v>0</v>
      </c>
      <c r="AP230" s="125"/>
      <c r="AQ230" s="125"/>
      <c r="AR230" s="125">
        <f t="shared" ref="AR230:AR235" si="501">IF(T230="",0,$J230*$L230)</f>
        <v>0</v>
      </c>
      <c r="AS230" s="125"/>
      <c r="AT230" s="125"/>
      <c r="AU230" s="125">
        <f t="shared" ref="AU230:AU235" si="502">IF(U230="",0,$J230*$L230)</f>
        <v>0</v>
      </c>
      <c r="AV230" s="125"/>
      <c r="AW230" s="125"/>
      <c r="AX230" s="125">
        <f t="shared" ref="AX230:AX235" si="503">IF(V230="",0,$J230*$L230)</f>
        <v>0</v>
      </c>
      <c r="AY230" s="125"/>
      <c r="AZ230" s="125"/>
      <c r="BA230" s="125">
        <f t="shared" ref="BA230:BA235" si="504">IF(W230="",0,$J230*$L230)</f>
        <v>0</v>
      </c>
      <c r="BB230" s="125"/>
      <c r="BC230" s="125"/>
      <c r="BD230" s="125">
        <f t="shared" ref="BD230:BD235" si="505">IF(X230="",0,$J230*$L230)</f>
        <v>0</v>
      </c>
      <c r="BE230" s="125"/>
      <c r="BF230" s="125"/>
      <c r="BG230" s="125">
        <f t="shared" ref="BG230:BG235" si="506">IF(Y230="",0,$J230*$L230)</f>
        <v>0</v>
      </c>
      <c r="BH230" s="125"/>
      <c r="BI230" s="125"/>
      <c r="BJ230" s="125">
        <f t="shared" ref="BJ230:BJ235" si="507">IF(Z230="",0,$J230*$L230)</f>
        <v>0</v>
      </c>
      <c r="BK230" s="125"/>
      <c r="BL230" s="312"/>
      <c r="BM230" s="317"/>
      <c r="BN230" s="320"/>
    </row>
    <row r="231" s="124" customFormat="1" ht="33.95" customHeight="1" outlineLevel="4" spans="2:66">
      <c r="B231" s="125" t="s">
        <v>792</v>
      </c>
      <c r="C231" s="126" t="s">
        <v>1179</v>
      </c>
      <c r="D231" s="124" t="s">
        <v>1185</v>
      </c>
      <c r="E231" s="125" t="s">
        <v>1186</v>
      </c>
      <c r="F231" s="125"/>
      <c r="G231" s="125" t="s">
        <v>936</v>
      </c>
      <c r="H231" s="125">
        <f t="shared" si="492"/>
        <v>0</v>
      </c>
      <c r="I231" s="125" t="s">
        <v>1025</v>
      </c>
      <c r="J231" s="125">
        <f>AVERAGE('1-1 项目基础信息'!$H$9:$S$9)</f>
        <v>252764</v>
      </c>
      <c r="K231" s="125" t="s">
        <v>1026</v>
      </c>
      <c r="L231" s="304"/>
      <c r="M231" s="125" t="s">
        <v>799</v>
      </c>
      <c r="N231" s="125">
        <f>COUNTA(O231:Z231)</f>
        <v>0</v>
      </c>
      <c r="O231" s="304"/>
      <c r="P231" s="304"/>
      <c r="Q231" s="304"/>
      <c r="R231" s="304"/>
      <c r="S231" s="304"/>
      <c r="T231" s="304"/>
      <c r="U231" s="304"/>
      <c r="V231" s="304"/>
      <c r="W231" s="304"/>
      <c r="X231" s="304"/>
      <c r="Y231" s="304"/>
      <c r="Z231" s="304"/>
      <c r="AA231" s="125"/>
      <c r="AB231" s="125">
        <f t="shared" si="495"/>
        <v>0</v>
      </c>
      <c r="AC231" s="125">
        <f t="shared" si="496"/>
        <v>0</v>
      </c>
      <c r="AD231" s="125"/>
      <c r="AE231" s="125"/>
      <c r="AF231" s="125">
        <f t="shared" si="497"/>
        <v>0</v>
      </c>
      <c r="AG231" s="125"/>
      <c r="AH231" s="125"/>
      <c r="AI231" s="125">
        <f t="shared" si="498"/>
        <v>0</v>
      </c>
      <c r="AJ231" s="125"/>
      <c r="AK231" s="125"/>
      <c r="AL231" s="125">
        <f t="shared" si="499"/>
        <v>0</v>
      </c>
      <c r="AM231" s="125"/>
      <c r="AN231" s="125"/>
      <c r="AO231" s="125">
        <f t="shared" si="500"/>
        <v>0</v>
      </c>
      <c r="AP231" s="125"/>
      <c r="AQ231" s="125"/>
      <c r="AR231" s="125">
        <f t="shared" si="501"/>
        <v>0</v>
      </c>
      <c r="AS231" s="125"/>
      <c r="AT231" s="125"/>
      <c r="AU231" s="125">
        <f t="shared" si="502"/>
        <v>0</v>
      </c>
      <c r="AV231" s="125"/>
      <c r="AW231" s="125"/>
      <c r="AX231" s="125">
        <f t="shared" si="503"/>
        <v>0</v>
      </c>
      <c r="AY231" s="125"/>
      <c r="AZ231" s="125"/>
      <c r="BA231" s="125">
        <f t="shared" si="504"/>
        <v>0</v>
      </c>
      <c r="BB231" s="125"/>
      <c r="BC231" s="125"/>
      <c r="BD231" s="125">
        <f t="shared" si="505"/>
        <v>0</v>
      </c>
      <c r="BE231" s="125"/>
      <c r="BF231" s="125"/>
      <c r="BG231" s="125">
        <f t="shared" si="506"/>
        <v>0</v>
      </c>
      <c r="BH231" s="125"/>
      <c r="BI231" s="125"/>
      <c r="BJ231" s="125">
        <f t="shared" si="507"/>
        <v>0</v>
      </c>
      <c r="BK231" s="125"/>
      <c r="BL231" s="312"/>
      <c r="BM231" s="317"/>
      <c r="BN231" s="320"/>
    </row>
    <row r="232" s="124" customFormat="1" ht="33.95" customHeight="1" outlineLevel="4" spans="2:66">
      <c r="B232" s="125" t="s">
        <v>792</v>
      </c>
      <c r="C232" s="126" t="s">
        <v>1181</v>
      </c>
      <c r="D232" s="124" t="s">
        <v>1187</v>
      </c>
      <c r="E232" s="125" t="s">
        <v>1188</v>
      </c>
      <c r="F232" s="125"/>
      <c r="G232" s="125" t="s">
        <v>936</v>
      </c>
      <c r="H232" s="125">
        <f t="shared" si="492"/>
        <v>0</v>
      </c>
      <c r="I232" s="125" t="s">
        <v>1025</v>
      </c>
      <c r="J232" s="125">
        <f>AVERAGE('1-1 项目基础信息'!$H$9:$S$9)</f>
        <v>252764</v>
      </c>
      <c r="K232" s="125" t="s">
        <v>1026</v>
      </c>
      <c r="L232" s="304"/>
      <c r="M232" s="125" t="s">
        <v>1189</v>
      </c>
      <c r="N232" s="125">
        <f t="shared" ref="N232:N235" si="508">COUNTA(O232:Z232)</f>
        <v>0</v>
      </c>
      <c r="O232" s="304"/>
      <c r="P232" s="304"/>
      <c r="Q232" s="304"/>
      <c r="R232" s="304"/>
      <c r="S232" s="304"/>
      <c r="T232" s="304"/>
      <c r="U232" s="304"/>
      <c r="V232" s="304"/>
      <c r="W232" s="304"/>
      <c r="X232" s="304"/>
      <c r="Y232" s="304"/>
      <c r="Z232" s="304"/>
      <c r="AA232" s="125"/>
      <c r="AB232" s="125">
        <f t="shared" si="495"/>
        <v>0</v>
      </c>
      <c r="AC232" s="125">
        <f t="shared" si="496"/>
        <v>0</v>
      </c>
      <c r="AD232" s="125"/>
      <c r="AE232" s="125"/>
      <c r="AF232" s="125">
        <f t="shared" si="497"/>
        <v>0</v>
      </c>
      <c r="AG232" s="125"/>
      <c r="AH232" s="125"/>
      <c r="AI232" s="125">
        <f t="shared" si="498"/>
        <v>0</v>
      </c>
      <c r="AJ232" s="125"/>
      <c r="AK232" s="125"/>
      <c r="AL232" s="125">
        <f t="shared" si="499"/>
        <v>0</v>
      </c>
      <c r="AM232" s="125"/>
      <c r="AN232" s="125"/>
      <c r="AO232" s="125">
        <f t="shared" si="500"/>
        <v>0</v>
      </c>
      <c r="AP232" s="125"/>
      <c r="AQ232" s="125"/>
      <c r="AR232" s="125">
        <f t="shared" si="501"/>
        <v>0</v>
      </c>
      <c r="AS232" s="125"/>
      <c r="AT232" s="125"/>
      <c r="AU232" s="125">
        <f t="shared" si="502"/>
        <v>0</v>
      </c>
      <c r="AV232" s="125"/>
      <c r="AW232" s="125"/>
      <c r="AX232" s="125">
        <f t="shared" si="503"/>
        <v>0</v>
      </c>
      <c r="AY232" s="125"/>
      <c r="AZ232" s="125"/>
      <c r="BA232" s="125">
        <f t="shared" si="504"/>
        <v>0</v>
      </c>
      <c r="BB232" s="125"/>
      <c r="BC232" s="125"/>
      <c r="BD232" s="125">
        <f t="shared" si="505"/>
        <v>0</v>
      </c>
      <c r="BE232" s="125"/>
      <c r="BF232" s="125"/>
      <c r="BG232" s="125">
        <f t="shared" si="506"/>
        <v>0</v>
      </c>
      <c r="BH232" s="125"/>
      <c r="BI232" s="125"/>
      <c r="BJ232" s="125">
        <f t="shared" si="507"/>
        <v>0</v>
      </c>
      <c r="BK232" s="125"/>
      <c r="BL232" s="312"/>
      <c r="BM232" s="317"/>
      <c r="BN232" s="320"/>
    </row>
    <row r="233" s="124" customFormat="1" ht="33.95" customHeight="1" outlineLevel="4" spans="2:66">
      <c r="B233" s="125" t="s">
        <v>792</v>
      </c>
      <c r="C233" s="126" t="s">
        <v>1190</v>
      </c>
      <c r="D233" s="124" t="s">
        <v>1191</v>
      </c>
      <c r="E233" s="125" t="s">
        <v>1192</v>
      </c>
      <c r="F233" s="125"/>
      <c r="G233" s="125" t="s">
        <v>936</v>
      </c>
      <c r="H233" s="125">
        <f t="shared" si="492"/>
        <v>0</v>
      </c>
      <c r="I233" s="125" t="s">
        <v>1193</v>
      </c>
      <c r="J233" s="304"/>
      <c r="K233" s="125" t="s">
        <v>1194</v>
      </c>
      <c r="L233" s="304"/>
      <c r="M233" s="125" t="s">
        <v>1195</v>
      </c>
      <c r="N233" s="125">
        <f t="shared" si="508"/>
        <v>0</v>
      </c>
      <c r="O233" s="304"/>
      <c r="P233" s="304"/>
      <c r="Q233" s="304"/>
      <c r="R233" s="304"/>
      <c r="S233" s="304"/>
      <c r="T233" s="304"/>
      <c r="U233" s="304"/>
      <c r="V233" s="304"/>
      <c r="W233" s="304"/>
      <c r="X233" s="304"/>
      <c r="Y233" s="304"/>
      <c r="Z233" s="304"/>
      <c r="AA233" s="125"/>
      <c r="AB233" s="125">
        <f t="shared" si="495"/>
        <v>0</v>
      </c>
      <c r="AC233" s="125">
        <f t="shared" si="496"/>
        <v>0</v>
      </c>
      <c r="AD233" s="125"/>
      <c r="AE233" s="125"/>
      <c r="AF233" s="125">
        <f t="shared" si="497"/>
        <v>0</v>
      </c>
      <c r="AG233" s="125"/>
      <c r="AH233" s="125"/>
      <c r="AI233" s="125">
        <f t="shared" si="498"/>
        <v>0</v>
      </c>
      <c r="AJ233" s="125"/>
      <c r="AK233" s="125"/>
      <c r="AL233" s="125">
        <f t="shared" si="499"/>
        <v>0</v>
      </c>
      <c r="AM233" s="125"/>
      <c r="AN233" s="125"/>
      <c r="AO233" s="125">
        <f t="shared" si="500"/>
        <v>0</v>
      </c>
      <c r="AP233" s="125"/>
      <c r="AQ233" s="125"/>
      <c r="AR233" s="125">
        <f t="shared" si="501"/>
        <v>0</v>
      </c>
      <c r="AS233" s="125"/>
      <c r="AT233" s="125"/>
      <c r="AU233" s="125">
        <f t="shared" si="502"/>
        <v>0</v>
      </c>
      <c r="AV233" s="125"/>
      <c r="AW233" s="125"/>
      <c r="AX233" s="125">
        <f t="shared" si="503"/>
        <v>0</v>
      </c>
      <c r="AY233" s="125"/>
      <c r="AZ233" s="125"/>
      <c r="BA233" s="125">
        <f t="shared" si="504"/>
        <v>0</v>
      </c>
      <c r="BB233" s="125"/>
      <c r="BC233" s="125"/>
      <c r="BD233" s="125">
        <f t="shared" si="505"/>
        <v>0</v>
      </c>
      <c r="BE233" s="125"/>
      <c r="BF233" s="125"/>
      <c r="BG233" s="125">
        <f t="shared" si="506"/>
        <v>0</v>
      </c>
      <c r="BH233" s="125"/>
      <c r="BI233" s="125"/>
      <c r="BJ233" s="125">
        <f t="shared" si="507"/>
        <v>0</v>
      </c>
      <c r="BK233" s="125"/>
      <c r="BL233" s="312"/>
      <c r="BM233" s="317"/>
      <c r="BN233" s="320"/>
    </row>
    <row r="234" s="124" customFormat="1" ht="33.95" customHeight="1" outlineLevel="4" spans="2:66">
      <c r="B234" s="125" t="s">
        <v>792</v>
      </c>
      <c r="C234" s="126" t="s">
        <v>1196</v>
      </c>
      <c r="D234" s="124" t="s">
        <v>1197</v>
      </c>
      <c r="E234" s="125" t="s">
        <v>1198</v>
      </c>
      <c r="F234" s="125"/>
      <c r="G234" s="125" t="s">
        <v>936</v>
      </c>
      <c r="H234" s="125">
        <f t="shared" si="492"/>
        <v>0</v>
      </c>
      <c r="I234" s="125" t="s">
        <v>1193</v>
      </c>
      <c r="J234" s="304"/>
      <c r="K234" s="125" t="s">
        <v>1194</v>
      </c>
      <c r="L234" s="304"/>
      <c r="M234" s="125" t="s">
        <v>1195</v>
      </c>
      <c r="N234" s="125">
        <f t="shared" si="508"/>
        <v>0</v>
      </c>
      <c r="O234" s="304"/>
      <c r="P234" s="304"/>
      <c r="Q234" s="304"/>
      <c r="R234" s="304"/>
      <c r="S234" s="304"/>
      <c r="T234" s="304"/>
      <c r="U234" s="304"/>
      <c r="V234" s="304"/>
      <c r="W234" s="304"/>
      <c r="X234" s="304"/>
      <c r="Y234" s="304"/>
      <c r="Z234" s="304"/>
      <c r="AA234" s="125"/>
      <c r="AB234" s="125">
        <f t="shared" si="495"/>
        <v>0</v>
      </c>
      <c r="AC234" s="125">
        <f t="shared" si="496"/>
        <v>0</v>
      </c>
      <c r="AD234" s="125"/>
      <c r="AE234" s="125"/>
      <c r="AF234" s="125">
        <f t="shared" si="497"/>
        <v>0</v>
      </c>
      <c r="AG234" s="125"/>
      <c r="AH234" s="125"/>
      <c r="AI234" s="125">
        <f t="shared" si="498"/>
        <v>0</v>
      </c>
      <c r="AJ234" s="125"/>
      <c r="AK234" s="125"/>
      <c r="AL234" s="125">
        <f t="shared" si="499"/>
        <v>0</v>
      </c>
      <c r="AM234" s="125"/>
      <c r="AN234" s="125"/>
      <c r="AO234" s="125">
        <f t="shared" si="500"/>
        <v>0</v>
      </c>
      <c r="AP234" s="125"/>
      <c r="AQ234" s="125"/>
      <c r="AR234" s="125">
        <f t="shared" si="501"/>
        <v>0</v>
      </c>
      <c r="AS234" s="125"/>
      <c r="AT234" s="125"/>
      <c r="AU234" s="125">
        <f t="shared" si="502"/>
        <v>0</v>
      </c>
      <c r="AV234" s="125"/>
      <c r="AW234" s="125"/>
      <c r="AX234" s="125">
        <f t="shared" si="503"/>
        <v>0</v>
      </c>
      <c r="AY234" s="125"/>
      <c r="AZ234" s="125"/>
      <c r="BA234" s="125">
        <f t="shared" si="504"/>
        <v>0</v>
      </c>
      <c r="BB234" s="125"/>
      <c r="BC234" s="125"/>
      <c r="BD234" s="125">
        <f t="shared" si="505"/>
        <v>0</v>
      </c>
      <c r="BE234" s="125"/>
      <c r="BF234" s="125"/>
      <c r="BG234" s="125">
        <f t="shared" si="506"/>
        <v>0</v>
      </c>
      <c r="BH234" s="125"/>
      <c r="BI234" s="125"/>
      <c r="BJ234" s="125">
        <f t="shared" si="507"/>
        <v>0</v>
      </c>
      <c r="BK234" s="125"/>
      <c r="BL234" s="312"/>
      <c r="BM234" s="317"/>
      <c r="BN234" s="320"/>
    </row>
    <row r="235" s="124" customFormat="1" ht="33.95" customHeight="1" outlineLevel="4" spans="2:66">
      <c r="B235" s="125" t="s">
        <v>792</v>
      </c>
      <c r="C235" s="126" t="s">
        <v>1199</v>
      </c>
      <c r="D235" s="124" t="s">
        <v>1200</v>
      </c>
      <c r="E235" s="125" t="s">
        <v>1201</v>
      </c>
      <c r="F235" s="125"/>
      <c r="G235" s="125" t="s">
        <v>936</v>
      </c>
      <c r="H235" s="125">
        <f t="shared" si="492"/>
        <v>0</v>
      </c>
      <c r="I235" s="125" t="s">
        <v>1025</v>
      </c>
      <c r="J235" s="125">
        <f>AVERAGE('1-1 项目基础信息'!$H$9:$S$9)</f>
        <v>252764</v>
      </c>
      <c r="K235" s="125" t="s">
        <v>1026</v>
      </c>
      <c r="L235" s="304"/>
      <c r="M235" s="125" t="s">
        <v>799</v>
      </c>
      <c r="N235" s="125">
        <f t="shared" si="508"/>
        <v>0</v>
      </c>
      <c r="O235" s="304"/>
      <c r="P235" s="322"/>
      <c r="Q235" s="322"/>
      <c r="R235" s="322"/>
      <c r="S235" s="322"/>
      <c r="T235" s="322"/>
      <c r="U235" s="322"/>
      <c r="V235" s="322"/>
      <c r="W235" s="322"/>
      <c r="X235" s="322"/>
      <c r="Y235" s="322"/>
      <c r="Z235" s="322"/>
      <c r="AA235" s="125"/>
      <c r="AB235" s="125">
        <f t="shared" si="495"/>
        <v>0</v>
      </c>
      <c r="AC235" s="125">
        <f t="shared" si="496"/>
        <v>0</v>
      </c>
      <c r="AD235" s="125"/>
      <c r="AE235" s="125"/>
      <c r="AF235" s="125">
        <f t="shared" si="497"/>
        <v>0</v>
      </c>
      <c r="AG235" s="125"/>
      <c r="AH235" s="125"/>
      <c r="AI235" s="125">
        <f t="shared" si="498"/>
        <v>0</v>
      </c>
      <c r="AJ235" s="125"/>
      <c r="AK235" s="125"/>
      <c r="AL235" s="125">
        <f t="shared" si="499"/>
        <v>0</v>
      </c>
      <c r="AM235" s="125"/>
      <c r="AN235" s="125"/>
      <c r="AO235" s="125">
        <f t="shared" si="500"/>
        <v>0</v>
      </c>
      <c r="AP235" s="125"/>
      <c r="AQ235" s="125"/>
      <c r="AR235" s="125">
        <f t="shared" si="501"/>
        <v>0</v>
      </c>
      <c r="AS235" s="125"/>
      <c r="AT235" s="125"/>
      <c r="AU235" s="125">
        <f t="shared" si="502"/>
        <v>0</v>
      </c>
      <c r="AV235" s="125"/>
      <c r="AW235" s="125"/>
      <c r="AX235" s="125">
        <f t="shared" si="503"/>
        <v>0</v>
      </c>
      <c r="AY235" s="125"/>
      <c r="AZ235" s="125"/>
      <c r="BA235" s="125">
        <f t="shared" si="504"/>
        <v>0</v>
      </c>
      <c r="BB235" s="125"/>
      <c r="BC235" s="125"/>
      <c r="BD235" s="125">
        <f t="shared" si="505"/>
        <v>0</v>
      </c>
      <c r="BE235" s="125"/>
      <c r="BF235" s="125"/>
      <c r="BG235" s="125">
        <f t="shared" si="506"/>
        <v>0</v>
      </c>
      <c r="BH235" s="125"/>
      <c r="BI235" s="125"/>
      <c r="BJ235" s="125">
        <f t="shared" si="507"/>
        <v>0</v>
      </c>
      <c r="BK235" s="125"/>
      <c r="BL235" s="312"/>
      <c r="BM235" s="317"/>
      <c r="BN235" s="320"/>
    </row>
    <row r="236" s="43" customFormat="1" ht="33.95" customHeight="1" outlineLevel="3" spans="2:66">
      <c r="B236" s="121" t="s">
        <v>787</v>
      </c>
      <c r="C236" s="122" t="s">
        <v>38</v>
      </c>
      <c r="D236" s="43" t="s">
        <v>39</v>
      </c>
      <c r="E236" s="121"/>
      <c r="F236" s="121"/>
      <c r="G236" s="121"/>
      <c r="H236" s="121">
        <f>H237+H238</f>
        <v>0</v>
      </c>
      <c r="I236" s="121"/>
      <c r="J236" s="121"/>
      <c r="K236" s="121"/>
      <c r="L236" s="121"/>
      <c r="M236" s="121"/>
      <c r="N236" s="121"/>
      <c r="O236" s="121"/>
      <c r="P236" s="294"/>
      <c r="Q236" s="294"/>
      <c r="R236" s="294"/>
      <c r="S236" s="294"/>
      <c r="T236" s="294"/>
      <c r="U236" s="294"/>
      <c r="V236" s="294"/>
      <c r="W236" s="294"/>
      <c r="X236" s="294"/>
      <c r="Y236" s="294"/>
      <c r="Z236" s="294"/>
      <c r="AA236" s="294"/>
      <c r="AB236" s="121">
        <f t="shared" ref="AB236:AF236" si="509">AB237+AB238</f>
        <v>0</v>
      </c>
      <c r="AC236" s="121">
        <f t="shared" si="509"/>
        <v>0</v>
      </c>
      <c r="AD236" s="121"/>
      <c r="AE236" s="121"/>
      <c r="AF236" s="121">
        <f t="shared" si="509"/>
        <v>0</v>
      </c>
      <c r="AG236" s="121"/>
      <c r="AH236" s="121"/>
      <c r="AI236" s="121">
        <f>AI237+AI238</f>
        <v>0</v>
      </c>
      <c r="AJ236" s="121"/>
      <c r="AK236" s="121"/>
      <c r="AL236" s="121">
        <f>AL237+AL238</f>
        <v>0</v>
      </c>
      <c r="AM236" s="121"/>
      <c r="AN236" s="121"/>
      <c r="AO236" s="121">
        <f>AO237+AO238</f>
        <v>0</v>
      </c>
      <c r="AP236" s="121"/>
      <c r="AQ236" s="121"/>
      <c r="AR236" s="121">
        <f>AR237+AR238</f>
        <v>0</v>
      </c>
      <c r="AS236" s="121"/>
      <c r="AT236" s="121"/>
      <c r="AU236" s="121">
        <f>AU237+AU238</f>
        <v>0</v>
      </c>
      <c r="AV236" s="121"/>
      <c r="AW236" s="121"/>
      <c r="AX236" s="121">
        <f>AX237+AX238</f>
        <v>0</v>
      </c>
      <c r="AY236" s="121"/>
      <c r="AZ236" s="121"/>
      <c r="BA236" s="121">
        <f>BA237+BA238</f>
        <v>0</v>
      </c>
      <c r="BB236" s="121"/>
      <c r="BC236" s="121"/>
      <c r="BD236" s="121">
        <f>BD237+BD238</f>
        <v>0</v>
      </c>
      <c r="BE236" s="121"/>
      <c r="BF236" s="121"/>
      <c r="BG236" s="121">
        <f>BG237+BG238</f>
        <v>0</v>
      </c>
      <c r="BH236" s="121"/>
      <c r="BI236" s="121"/>
      <c r="BJ236" s="121">
        <f>BJ237+BJ238</f>
        <v>0</v>
      </c>
      <c r="BK236" s="121"/>
      <c r="BL236" s="311"/>
      <c r="BM236" s="317"/>
      <c r="BN236" s="319"/>
    </row>
    <row r="237" s="124" customFormat="1" ht="33.95" customHeight="1" outlineLevel="4" spans="2:66">
      <c r="B237" s="125" t="s">
        <v>792</v>
      </c>
      <c r="C237" s="126" t="s">
        <v>1202</v>
      </c>
      <c r="D237" s="124" t="s">
        <v>1203</v>
      </c>
      <c r="E237" s="125" t="s">
        <v>1204</v>
      </c>
      <c r="F237" s="125"/>
      <c r="G237" s="125" t="s">
        <v>936</v>
      </c>
      <c r="H237" s="125">
        <f t="shared" ref="H237:H240" si="510">IFERROR(J237*L237*N237,0)</f>
        <v>0</v>
      </c>
      <c r="I237" s="125" t="s">
        <v>1025</v>
      </c>
      <c r="J237" s="125">
        <f>AVERAGE('1-1 项目基础信息'!$H$9:$S$9)</f>
        <v>252764</v>
      </c>
      <c r="K237" s="125" t="s">
        <v>1026</v>
      </c>
      <c r="L237" s="304"/>
      <c r="M237" s="125" t="s">
        <v>799</v>
      </c>
      <c r="N237" s="125">
        <f t="shared" ref="N237:N240" si="511">COUNTA(O237:Z237)</f>
        <v>0</v>
      </c>
      <c r="O237" s="304"/>
      <c r="P237" s="323"/>
      <c r="Q237" s="323"/>
      <c r="R237" s="323"/>
      <c r="S237" s="323"/>
      <c r="T237" s="323"/>
      <c r="U237" s="323"/>
      <c r="V237" s="323"/>
      <c r="W237" s="323"/>
      <c r="X237" s="323"/>
      <c r="Y237" s="323"/>
      <c r="Z237" s="323"/>
      <c r="AA237" s="125"/>
      <c r="AB237" s="125">
        <f t="shared" ref="AB237:AB240" si="512">SUM(AC237,AF237,AI237,AL237,AO237,AR237,AU237,AX237,BA237,BD237,BG237,BJ237)</f>
        <v>0</v>
      </c>
      <c r="AC237" s="125">
        <f t="shared" ref="AC237:AC240" si="513">IF(O237="",0,$J237*$L237)</f>
        <v>0</v>
      </c>
      <c r="AD237" s="125"/>
      <c r="AE237" s="125"/>
      <c r="AF237" s="125">
        <f t="shared" ref="AF237:AF240" si="514">IF(P237="",0,$J237*$L237)</f>
        <v>0</v>
      </c>
      <c r="AG237" s="125"/>
      <c r="AH237" s="125"/>
      <c r="AI237" s="125">
        <f t="shared" ref="AI237:AI240" si="515">IF(Q237="",0,$J237*$L237)</f>
        <v>0</v>
      </c>
      <c r="AJ237" s="125"/>
      <c r="AK237" s="125"/>
      <c r="AL237" s="125">
        <f t="shared" ref="AL237:AL240" si="516">IF(R237="",0,$J237*$L237)</f>
        <v>0</v>
      </c>
      <c r="AM237" s="125"/>
      <c r="AN237" s="125"/>
      <c r="AO237" s="125">
        <f t="shared" ref="AO237:AO240" si="517">IF(S237="",0,$J237*$L237)</f>
        <v>0</v>
      </c>
      <c r="AP237" s="125"/>
      <c r="AQ237" s="125"/>
      <c r="AR237" s="125">
        <f t="shared" ref="AR237:AR240" si="518">IF(T237="",0,$J237*$L237)</f>
        <v>0</v>
      </c>
      <c r="AS237" s="125"/>
      <c r="AT237" s="125"/>
      <c r="AU237" s="125">
        <f t="shared" ref="AU237:AU240" si="519">IF(U237="",0,$J237*$L237)</f>
        <v>0</v>
      </c>
      <c r="AV237" s="125"/>
      <c r="AW237" s="125"/>
      <c r="AX237" s="125">
        <f t="shared" ref="AX237:AX240" si="520">IF(V237="",0,$J237*$L237)</f>
        <v>0</v>
      </c>
      <c r="AY237" s="125"/>
      <c r="AZ237" s="125"/>
      <c r="BA237" s="125">
        <f t="shared" ref="BA237:BA240" si="521">IF(W237="",0,$J237*$L237)</f>
        <v>0</v>
      </c>
      <c r="BB237" s="125"/>
      <c r="BC237" s="125"/>
      <c r="BD237" s="125">
        <f t="shared" ref="BD237:BD240" si="522">IF(X237="",0,$J237*$L237)</f>
        <v>0</v>
      </c>
      <c r="BE237" s="125"/>
      <c r="BF237" s="125"/>
      <c r="BG237" s="125">
        <f t="shared" ref="BG237:BG240" si="523">IF(Y237="",0,$J237*$L237)</f>
        <v>0</v>
      </c>
      <c r="BH237" s="125"/>
      <c r="BI237" s="125"/>
      <c r="BJ237" s="125">
        <f t="shared" ref="BJ237:BJ240" si="524">IF(Z237="",0,$J237*$L237)</f>
        <v>0</v>
      </c>
      <c r="BK237" s="125"/>
      <c r="BL237" s="312"/>
      <c r="BM237" s="317"/>
      <c r="BN237" s="320"/>
    </row>
    <row r="238" s="124" customFormat="1" ht="33.95" customHeight="1" outlineLevel="4" spans="2:66">
      <c r="B238" s="125" t="s">
        <v>792</v>
      </c>
      <c r="C238" s="126" t="s">
        <v>1205</v>
      </c>
      <c r="D238" s="124" t="s">
        <v>1206</v>
      </c>
      <c r="E238" s="125" t="s">
        <v>1207</v>
      </c>
      <c r="F238" s="125"/>
      <c r="G238" s="125" t="s">
        <v>936</v>
      </c>
      <c r="H238" s="125">
        <f t="shared" si="510"/>
        <v>0</v>
      </c>
      <c r="I238" s="125" t="s">
        <v>1025</v>
      </c>
      <c r="J238" s="125">
        <f>AVERAGE('1-1 项目基础信息'!$H$9:$S$9)</f>
        <v>252764</v>
      </c>
      <c r="K238" s="125" t="s">
        <v>1026</v>
      </c>
      <c r="L238" s="304"/>
      <c r="M238" s="125" t="s">
        <v>799</v>
      </c>
      <c r="N238" s="125">
        <f t="shared" si="511"/>
        <v>0</v>
      </c>
      <c r="O238" s="304"/>
      <c r="P238" s="304"/>
      <c r="Q238" s="304"/>
      <c r="R238" s="304"/>
      <c r="S238" s="304"/>
      <c r="T238" s="304"/>
      <c r="U238" s="304"/>
      <c r="V238" s="304"/>
      <c r="W238" s="304"/>
      <c r="X238" s="304"/>
      <c r="Y238" s="304"/>
      <c r="Z238" s="304"/>
      <c r="AA238" s="125"/>
      <c r="AB238" s="125">
        <f t="shared" si="512"/>
        <v>0</v>
      </c>
      <c r="AC238" s="125">
        <f t="shared" si="513"/>
        <v>0</v>
      </c>
      <c r="AD238" s="125"/>
      <c r="AE238" s="125"/>
      <c r="AF238" s="125">
        <f t="shared" si="514"/>
        <v>0</v>
      </c>
      <c r="AG238" s="125"/>
      <c r="AH238" s="125"/>
      <c r="AI238" s="125">
        <f t="shared" si="515"/>
        <v>0</v>
      </c>
      <c r="AJ238" s="125"/>
      <c r="AK238" s="125"/>
      <c r="AL238" s="125">
        <f t="shared" si="516"/>
        <v>0</v>
      </c>
      <c r="AM238" s="125"/>
      <c r="AN238" s="125"/>
      <c r="AO238" s="125">
        <f t="shared" si="517"/>
        <v>0</v>
      </c>
      <c r="AP238" s="125"/>
      <c r="AQ238" s="125"/>
      <c r="AR238" s="125">
        <f t="shared" si="518"/>
        <v>0</v>
      </c>
      <c r="AS238" s="125"/>
      <c r="AT238" s="125"/>
      <c r="AU238" s="125">
        <f t="shared" si="519"/>
        <v>0</v>
      </c>
      <c r="AV238" s="125"/>
      <c r="AW238" s="125"/>
      <c r="AX238" s="125">
        <f t="shared" si="520"/>
        <v>0</v>
      </c>
      <c r="AY238" s="125"/>
      <c r="AZ238" s="125"/>
      <c r="BA238" s="125">
        <f t="shared" si="521"/>
        <v>0</v>
      </c>
      <c r="BB238" s="125"/>
      <c r="BC238" s="125"/>
      <c r="BD238" s="125">
        <f t="shared" si="522"/>
        <v>0</v>
      </c>
      <c r="BE238" s="125"/>
      <c r="BF238" s="125"/>
      <c r="BG238" s="125">
        <f t="shared" si="523"/>
        <v>0</v>
      </c>
      <c r="BH238" s="125"/>
      <c r="BI238" s="125"/>
      <c r="BJ238" s="125">
        <f t="shared" si="524"/>
        <v>0</v>
      </c>
      <c r="BK238" s="125"/>
      <c r="BL238" s="312"/>
      <c r="BM238" s="317"/>
      <c r="BN238" s="320"/>
    </row>
    <row r="239" s="43" customFormat="1" ht="33.95" customHeight="1" outlineLevel="3" spans="2:66">
      <c r="B239" s="121" t="s">
        <v>787</v>
      </c>
      <c r="C239" s="122" t="s">
        <v>40</v>
      </c>
      <c r="D239" s="43" t="s">
        <v>41</v>
      </c>
      <c r="E239" s="121"/>
      <c r="F239" s="121"/>
      <c r="G239" s="121"/>
      <c r="H239" s="121">
        <f>H240+H241</f>
        <v>0</v>
      </c>
      <c r="I239" s="121"/>
      <c r="J239" s="121"/>
      <c r="K239" s="121"/>
      <c r="L239" s="121"/>
      <c r="M239" s="121"/>
      <c r="N239" s="121"/>
      <c r="O239" s="121"/>
      <c r="P239" s="294"/>
      <c r="Q239" s="294"/>
      <c r="R239" s="294"/>
      <c r="S239" s="294"/>
      <c r="T239" s="294"/>
      <c r="U239" s="294"/>
      <c r="V239" s="294"/>
      <c r="W239" s="294"/>
      <c r="X239" s="294"/>
      <c r="Y239" s="294"/>
      <c r="Z239" s="294"/>
      <c r="AA239" s="294"/>
      <c r="AB239" s="121">
        <f t="shared" ref="AB239:AF239" si="525">AB240+AB241</f>
        <v>0</v>
      </c>
      <c r="AC239" s="121">
        <f t="shared" si="525"/>
        <v>0</v>
      </c>
      <c r="AD239" s="121"/>
      <c r="AE239" s="121"/>
      <c r="AF239" s="121">
        <f t="shared" si="525"/>
        <v>0</v>
      </c>
      <c r="AG239" s="121"/>
      <c r="AH239" s="121"/>
      <c r="AI239" s="121">
        <f>AI240+AI241</f>
        <v>0</v>
      </c>
      <c r="AJ239" s="121"/>
      <c r="AK239" s="121"/>
      <c r="AL239" s="121">
        <f>AL240+AL241</f>
        <v>0</v>
      </c>
      <c r="AM239" s="121"/>
      <c r="AN239" s="121"/>
      <c r="AO239" s="121">
        <f>AO240+AO241</f>
        <v>0</v>
      </c>
      <c r="AP239" s="121"/>
      <c r="AQ239" s="121"/>
      <c r="AR239" s="121">
        <f>AR240+AR241</f>
        <v>0</v>
      </c>
      <c r="AS239" s="121"/>
      <c r="AT239" s="121"/>
      <c r="AU239" s="121">
        <f>AU240+AU241</f>
        <v>0</v>
      </c>
      <c r="AV239" s="121"/>
      <c r="AW239" s="121"/>
      <c r="AX239" s="121">
        <f>AX240+AX241</f>
        <v>0</v>
      </c>
      <c r="AY239" s="121"/>
      <c r="AZ239" s="121"/>
      <c r="BA239" s="121">
        <f>BA240+BA241</f>
        <v>0</v>
      </c>
      <c r="BB239" s="121"/>
      <c r="BC239" s="121"/>
      <c r="BD239" s="121">
        <f>BD240+BD241</f>
        <v>0</v>
      </c>
      <c r="BE239" s="121"/>
      <c r="BF239" s="121"/>
      <c r="BG239" s="121">
        <f>BG240+BG241</f>
        <v>0</v>
      </c>
      <c r="BH239" s="121"/>
      <c r="BI239" s="121"/>
      <c r="BJ239" s="121">
        <f>BJ240+BJ241</f>
        <v>0</v>
      </c>
      <c r="BK239" s="121"/>
      <c r="BL239" s="311"/>
      <c r="BM239" s="317"/>
      <c r="BN239" s="319"/>
    </row>
    <row r="240" s="124" customFormat="1" ht="33.95" customHeight="1" outlineLevel="4" spans="2:66">
      <c r="B240" s="125" t="s">
        <v>792</v>
      </c>
      <c r="C240" s="126" t="s">
        <v>1208</v>
      </c>
      <c r="D240" s="124" t="s">
        <v>1209</v>
      </c>
      <c r="E240" s="125" t="s">
        <v>1210</v>
      </c>
      <c r="F240" s="125"/>
      <c r="G240" s="125" t="s">
        <v>936</v>
      </c>
      <c r="H240" s="125">
        <f t="shared" si="510"/>
        <v>0</v>
      </c>
      <c r="I240" s="125" t="s">
        <v>1025</v>
      </c>
      <c r="J240" s="125">
        <f>AVERAGE('1-1 项目基础信息'!$H$9:$S$9)</f>
        <v>252764</v>
      </c>
      <c r="K240" s="125" t="s">
        <v>1026</v>
      </c>
      <c r="L240" s="304"/>
      <c r="M240" s="125" t="s">
        <v>799</v>
      </c>
      <c r="N240" s="125">
        <f t="shared" si="511"/>
        <v>0</v>
      </c>
      <c r="O240" s="304"/>
      <c r="P240" s="304"/>
      <c r="Q240" s="304"/>
      <c r="R240" s="304"/>
      <c r="S240" s="304"/>
      <c r="T240" s="304"/>
      <c r="U240" s="304"/>
      <c r="V240" s="304"/>
      <c r="W240" s="304"/>
      <c r="X240" s="304"/>
      <c r="Y240" s="304"/>
      <c r="Z240" s="304"/>
      <c r="AA240" s="125"/>
      <c r="AB240" s="125">
        <f t="shared" si="512"/>
        <v>0</v>
      </c>
      <c r="AC240" s="125">
        <f t="shared" si="513"/>
        <v>0</v>
      </c>
      <c r="AD240" s="125"/>
      <c r="AE240" s="125"/>
      <c r="AF240" s="125">
        <f t="shared" si="514"/>
        <v>0</v>
      </c>
      <c r="AG240" s="125"/>
      <c r="AH240" s="125"/>
      <c r="AI240" s="125">
        <f t="shared" si="515"/>
        <v>0</v>
      </c>
      <c r="AJ240" s="125"/>
      <c r="AK240" s="125"/>
      <c r="AL240" s="125">
        <f t="shared" si="516"/>
        <v>0</v>
      </c>
      <c r="AM240" s="125"/>
      <c r="AN240" s="125"/>
      <c r="AO240" s="125">
        <f t="shared" si="517"/>
        <v>0</v>
      </c>
      <c r="AP240" s="125"/>
      <c r="AQ240" s="125"/>
      <c r="AR240" s="125">
        <f t="shared" si="518"/>
        <v>0</v>
      </c>
      <c r="AS240" s="125"/>
      <c r="AT240" s="125"/>
      <c r="AU240" s="125">
        <f t="shared" si="519"/>
        <v>0</v>
      </c>
      <c r="AV240" s="125"/>
      <c r="AW240" s="125"/>
      <c r="AX240" s="125">
        <f t="shared" si="520"/>
        <v>0</v>
      </c>
      <c r="AY240" s="125"/>
      <c r="AZ240" s="125"/>
      <c r="BA240" s="125">
        <f t="shared" si="521"/>
        <v>0</v>
      </c>
      <c r="BB240" s="125"/>
      <c r="BC240" s="125"/>
      <c r="BD240" s="125">
        <f t="shared" si="522"/>
        <v>0</v>
      </c>
      <c r="BE240" s="125"/>
      <c r="BF240" s="125"/>
      <c r="BG240" s="125">
        <f t="shared" si="523"/>
        <v>0</v>
      </c>
      <c r="BH240" s="125"/>
      <c r="BI240" s="125"/>
      <c r="BJ240" s="125">
        <f t="shared" si="524"/>
        <v>0</v>
      </c>
      <c r="BK240" s="125"/>
      <c r="BL240" s="312"/>
      <c r="BM240" s="317"/>
      <c r="BN240" s="320"/>
    </row>
    <row r="241" s="124" customFormat="1" ht="33.95" customHeight="1" outlineLevel="4" spans="2:66">
      <c r="B241" s="125" t="s">
        <v>787</v>
      </c>
      <c r="C241" s="126" t="s">
        <v>1211</v>
      </c>
      <c r="D241" s="124" t="s">
        <v>1212</v>
      </c>
      <c r="E241" s="125"/>
      <c r="F241" s="125"/>
      <c r="G241" s="125"/>
      <c r="H241" s="125">
        <f>SUM(H242:H246)</f>
        <v>0</v>
      </c>
      <c r="I241" s="125"/>
      <c r="J241" s="125"/>
      <c r="K241" s="125"/>
      <c r="L241" s="125"/>
      <c r="M241" s="125"/>
      <c r="N241" s="125"/>
      <c r="O241" s="125"/>
      <c r="P241" s="295"/>
      <c r="Q241" s="295"/>
      <c r="R241" s="295"/>
      <c r="S241" s="295"/>
      <c r="T241" s="295"/>
      <c r="U241" s="295"/>
      <c r="V241" s="295"/>
      <c r="W241" s="295"/>
      <c r="X241" s="295"/>
      <c r="Y241" s="295"/>
      <c r="Z241" s="295"/>
      <c r="AA241" s="295"/>
      <c r="AB241" s="125">
        <f t="shared" ref="AB241:AF241" si="526">SUM(AB242:AB246)</f>
        <v>0</v>
      </c>
      <c r="AC241" s="125">
        <f t="shared" si="526"/>
        <v>0</v>
      </c>
      <c r="AD241" s="125"/>
      <c r="AE241" s="125"/>
      <c r="AF241" s="125">
        <f t="shared" si="526"/>
        <v>0</v>
      </c>
      <c r="AG241" s="125"/>
      <c r="AH241" s="125"/>
      <c r="AI241" s="125">
        <f>SUM(AI242:AI246)</f>
        <v>0</v>
      </c>
      <c r="AJ241" s="125"/>
      <c r="AK241" s="125"/>
      <c r="AL241" s="125">
        <f>SUM(AL242:AL246)</f>
        <v>0</v>
      </c>
      <c r="AM241" s="125"/>
      <c r="AN241" s="125"/>
      <c r="AO241" s="125">
        <f>SUM(AO242:AO246)</f>
        <v>0</v>
      </c>
      <c r="AP241" s="125"/>
      <c r="AQ241" s="125"/>
      <c r="AR241" s="125">
        <f>SUM(AR242:AR246)</f>
        <v>0</v>
      </c>
      <c r="AS241" s="125"/>
      <c r="AT241" s="125"/>
      <c r="AU241" s="125">
        <f>SUM(AU242:AU246)</f>
        <v>0</v>
      </c>
      <c r="AV241" s="125"/>
      <c r="AW241" s="125"/>
      <c r="AX241" s="125">
        <f>SUM(AX242:AX246)</f>
        <v>0</v>
      </c>
      <c r="AY241" s="125"/>
      <c r="AZ241" s="125"/>
      <c r="BA241" s="125">
        <f>SUM(BA242:BA246)</f>
        <v>0</v>
      </c>
      <c r="BB241" s="125"/>
      <c r="BC241" s="125"/>
      <c r="BD241" s="125">
        <f>SUM(BD242:BD246)</f>
        <v>0</v>
      </c>
      <c r="BE241" s="125"/>
      <c r="BF241" s="125"/>
      <c r="BG241" s="125">
        <f>SUM(BG242:BG246)</f>
        <v>0</v>
      </c>
      <c r="BH241" s="125"/>
      <c r="BI241" s="125"/>
      <c r="BJ241" s="125">
        <f>SUM(BJ242:BJ246)</f>
        <v>0</v>
      </c>
      <c r="BK241" s="125"/>
      <c r="BL241" s="312"/>
      <c r="BM241" s="317"/>
      <c r="BN241" s="320"/>
    </row>
    <row r="242" s="269" customFormat="1" ht="33.95" customHeight="1" outlineLevel="5" spans="2:66">
      <c r="B242" s="181" t="s">
        <v>792</v>
      </c>
      <c r="C242" s="289" t="s">
        <v>1213</v>
      </c>
      <c r="D242" s="269" t="s">
        <v>1214</v>
      </c>
      <c r="E242" s="181" t="s">
        <v>1215</v>
      </c>
      <c r="F242" s="181"/>
      <c r="G242" s="181" t="s">
        <v>936</v>
      </c>
      <c r="H242" s="181">
        <f t="shared" ref="H242:H246" si="527">IFERROR(J242*L242*N242,0)</f>
        <v>0</v>
      </c>
      <c r="I242" s="181" t="s">
        <v>1216</v>
      </c>
      <c r="J242" s="304"/>
      <c r="K242" s="181" t="s">
        <v>1217</v>
      </c>
      <c r="L242" s="304"/>
      <c r="M242" s="181" t="s">
        <v>1218</v>
      </c>
      <c r="N242" s="181">
        <f t="shared" ref="N242:N246" si="528">COUNTA(O242:Z242)</f>
        <v>0</v>
      </c>
      <c r="O242" s="304"/>
      <c r="P242" s="323"/>
      <c r="Q242" s="323"/>
      <c r="R242" s="323"/>
      <c r="S242" s="323"/>
      <c r="T242" s="323"/>
      <c r="U242" s="323"/>
      <c r="V242" s="323"/>
      <c r="W242" s="323"/>
      <c r="X242" s="323"/>
      <c r="Y242" s="323"/>
      <c r="Z242" s="323"/>
      <c r="AA242" s="181"/>
      <c r="AB242" s="181">
        <f t="shared" ref="AB242:AB246" si="529">SUM(AC242,AF242,AI242,AL242,AO242,AR242,AU242,AX242,BA242,BD242,BG242,BJ242)</f>
        <v>0</v>
      </c>
      <c r="AC242" s="181">
        <f t="shared" ref="AC242:AC246" si="530">IF(O242="",0,$J242*$L242)</f>
        <v>0</v>
      </c>
      <c r="AD242" s="181"/>
      <c r="AE242" s="181"/>
      <c r="AF242" s="181">
        <f t="shared" ref="AF242:AF246" si="531">IF(P242="",0,$J242*$L242)</f>
        <v>0</v>
      </c>
      <c r="AG242" s="181"/>
      <c r="AH242" s="181"/>
      <c r="AI242" s="181">
        <f t="shared" ref="AI242:AI246" si="532">IF(Q242="",0,$J242*$L242)</f>
        <v>0</v>
      </c>
      <c r="AJ242" s="181"/>
      <c r="AK242" s="181"/>
      <c r="AL242" s="181">
        <f t="shared" ref="AL242:AL246" si="533">IF(R242="",0,$J242*$L242)</f>
        <v>0</v>
      </c>
      <c r="AM242" s="181"/>
      <c r="AN242" s="181"/>
      <c r="AO242" s="181">
        <f t="shared" ref="AO242:AO246" si="534">IF(S242="",0,$J242*$L242)</f>
        <v>0</v>
      </c>
      <c r="AP242" s="181"/>
      <c r="AQ242" s="181"/>
      <c r="AR242" s="181">
        <f t="shared" ref="AR242:AR246" si="535">IF(T242="",0,$J242*$L242)</f>
        <v>0</v>
      </c>
      <c r="AS242" s="181"/>
      <c r="AT242" s="181"/>
      <c r="AU242" s="181">
        <f t="shared" ref="AU242:AU246" si="536">IF(U242="",0,$J242*$L242)</f>
        <v>0</v>
      </c>
      <c r="AV242" s="181"/>
      <c r="AW242" s="181"/>
      <c r="AX242" s="181">
        <f t="shared" ref="AX242:AX246" si="537">IF(V242="",0,$J242*$L242)</f>
        <v>0</v>
      </c>
      <c r="AY242" s="181"/>
      <c r="AZ242" s="181"/>
      <c r="BA242" s="181">
        <f t="shared" ref="BA242:BA246" si="538">IF(W242="",0,$J242*$L242)</f>
        <v>0</v>
      </c>
      <c r="BB242" s="181"/>
      <c r="BC242" s="181"/>
      <c r="BD242" s="181">
        <f t="shared" ref="BD242:BD246" si="539">IF(X242="",0,$J242*$L242)</f>
        <v>0</v>
      </c>
      <c r="BE242" s="181"/>
      <c r="BF242" s="181"/>
      <c r="BG242" s="181">
        <f t="shared" ref="BG242:BG246" si="540">IF(Y242="",0,$J242*$L242)</f>
        <v>0</v>
      </c>
      <c r="BH242" s="181"/>
      <c r="BI242" s="181"/>
      <c r="BJ242" s="181">
        <f t="shared" ref="BJ242:BJ246" si="541">IF(Z242="",0,$J242*$L242)</f>
        <v>0</v>
      </c>
      <c r="BK242" s="181"/>
      <c r="BL242" s="326"/>
      <c r="BM242" s="317"/>
      <c r="BN242" s="321"/>
    </row>
    <row r="243" s="269" customFormat="1" ht="33.95" customHeight="1" outlineLevel="5" spans="2:66">
      <c r="B243" s="181" t="s">
        <v>792</v>
      </c>
      <c r="C243" s="289" t="s">
        <v>1219</v>
      </c>
      <c r="D243" s="269" t="s">
        <v>1220</v>
      </c>
      <c r="E243" s="181" t="s">
        <v>1221</v>
      </c>
      <c r="F243" s="181"/>
      <c r="G243" s="181" t="s">
        <v>936</v>
      </c>
      <c r="H243" s="181">
        <f t="shared" si="527"/>
        <v>0</v>
      </c>
      <c r="I243" s="181" t="s">
        <v>1222</v>
      </c>
      <c r="J243" s="304"/>
      <c r="K243" s="181" t="s">
        <v>1217</v>
      </c>
      <c r="L243" s="304"/>
      <c r="M243" s="181" t="s">
        <v>1218</v>
      </c>
      <c r="N243" s="181">
        <f t="shared" si="528"/>
        <v>0</v>
      </c>
      <c r="O243" s="304"/>
      <c r="P243" s="304"/>
      <c r="Q243" s="304"/>
      <c r="R243" s="304"/>
      <c r="S243" s="304"/>
      <c r="T243" s="304"/>
      <c r="U243" s="304"/>
      <c r="V243" s="304"/>
      <c r="W243" s="304"/>
      <c r="X243" s="304"/>
      <c r="Y243" s="304"/>
      <c r="Z243" s="304"/>
      <c r="AA243" s="181"/>
      <c r="AB243" s="181">
        <f t="shared" si="529"/>
        <v>0</v>
      </c>
      <c r="AC243" s="181">
        <f t="shared" si="530"/>
        <v>0</v>
      </c>
      <c r="AD243" s="181"/>
      <c r="AE243" s="181"/>
      <c r="AF243" s="181">
        <f t="shared" si="531"/>
        <v>0</v>
      </c>
      <c r="AG243" s="181"/>
      <c r="AH243" s="181"/>
      <c r="AI243" s="181">
        <f t="shared" si="532"/>
        <v>0</v>
      </c>
      <c r="AJ243" s="181"/>
      <c r="AK243" s="181"/>
      <c r="AL243" s="181">
        <f t="shared" si="533"/>
        <v>0</v>
      </c>
      <c r="AM243" s="181"/>
      <c r="AN243" s="181"/>
      <c r="AO243" s="181">
        <f t="shared" si="534"/>
        <v>0</v>
      </c>
      <c r="AP243" s="181"/>
      <c r="AQ243" s="181"/>
      <c r="AR243" s="181">
        <f t="shared" si="535"/>
        <v>0</v>
      </c>
      <c r="AS243" s="181"/>
      <c r="AT243" s="181"/>
      <c r="AU243" s="181">
        <f t="shared" si="536"/>
        <v>0</v>
      </c>
      <c r="AV243" s="181"/>
      <c r="AW243" s="181"/>
      <c r="AX243" s="181">
        <f t="shared" si="537"/>
        <v>0</v>
      </c>
      <c r="AY243" s="181"/>
      <c r="AZ243" s="181"/>
      <c r="BA243" s="181">
        <f t="shared" si="538"/>
        <v>0</v>
      </c>
      <c r="BB243" s="181"/>
      <c r="BC243" s="181"/>
      <c r="BD243" s="181">
        <f t="shared" si="539"/>
        <v>0</v>
      </c>
      <c r="BE243" s="181"/>
      <c r="BF243" s="181"/>
      <c r="BG243" s="181">
        <f t="shared" si="540"/>
        <v>0</v>
      </c>
      <c r="BH243" s="181"/>
      <c r="BI243" s="181"/>
      <c r="BJ243" s="181">
        <f t="shared" si="541"/>
        <v>0</v>
      </c>
      <c r="BK243" s="181"/>
      <c r="BL243" s="326"/>
      <c r="BM243" s="317"/>
      <c r="BN243" s="321"/>
    </row>
    <row r="244" s="269" customFormat="1" ht="33.95" customHeight="1" outlineLevel="5" spans="2:66">
      <c r="B244" s="181" t="s">
        <v>792</v>
      </c>
      <c r="C244" s="289" t="s">
        <v>1223</v>
      </c>
      <c r="D244" s="269" t="s">
        <v>1224</v>
      </c>
      <c r="E244" s="181" t="s">
        <v>1225</v>
      </c>
      <c r="F244" s="181"/>
      <c r="G244" s="181" t="s">
        <v>936</v>
      </c>
      <c r="H244" s="181">
        <f t="shared" si="527"/>
        <v>0</v>
      </c>
      <c r="I244" s="181" t="s">
        <v>1226</v>
      </c>
      <c r="J244" s="304"/>
      <c r="K244" s="181" t="s">
        <v>1227</v>
      </c>
      <c r="L244" s="304"/>
      <c r="M244" s="181" t="s">
        <v>1228</v>
      </c>
      <c r="N244" s="181">
        <f t="shared" si="528"/>
        <v>0</v>
      </c>
      <c r="O244" s="304"/>
      <c r="P244" s="304"/>
      <c r="Q244" s="304"/>
      <c r="R244" s="304"/>
      <c r="S244" s="304"/>
      <c r="T244" s="304"/>
      <c r="U244" s="304"/>
      <c r="V244" s="304"/>
      <c r="W244" s="304"/>
      <c r="X244" s="304"/>
      <c r="Y244" s="304"/>
      <c r="Z244" s="304"/>
      <c r="AA244" s="181"/>
      <c r="AB244" s="181">
        <f t="shared" si="529"/>
        <v>0</v>
      </c>
      <c r="AC244" s="181">
        <f t="shared" si="530"/>
        <v>0</v>
      </c>
      <c r="AD244" s="181"/>
      <c r="AE244" s="181"/>
      <c r="AF244" s="181">
        <f t="shared" si="531"/>
        <v>0</v>
      </c>
      <c r="AG244" s="181"/>
      <c r="AH244" s="181"/>
      <c r="AI244" s="181">
        <f t="shared" si="532"/>
        <v>0</v>
      </c>
      <c r="AJ244" s="181"/>
      <c r="AK244" s="181"/>
      <c r="AL244" s="181">
        <f t="shared" si="533"/>
        <v>0</v>
      </c>
      <c r="AM244" s="181"/>
      <c r="AN244" s="181"/>
      <c r="AO244" s="181">
        <f t="shared" si="534"/>
        <v>0</v>
      </c>
      <c r="AP244" s="181"/>
      <c r="AQ244" s="181"/>
      <c r="AR244" s="181">
        <f t="shared" si="535"/>
        <v>0</v>
      </c>
      <c r="AS244" s="181"/>
      <c r="AT244" s="181"/>
      <c r="AU244" s="181">
        <f t="shared" si="536"/>
        <v>0</v>
      </c>
      <c r="AV244" s="181"/>
      <c r="AW244" s="181"/>
      <c r="AX244" s="181">
        <f t="shared" si="537"/>
        <v>0</v>
      </c>
      <c r="AY244" s="181"/>
      <c r="AZ244" s="181"/>
      <c r="BA244" s="181">
        <f t="shared" si="538"/>
        <v>0</v>
      </c>
      <c r="BB244" s="181"/>
      <c r="BC244" s="181"/>
      <c r="BD244" s="181">
        <f t="shared" si="539"/>
        <v>0</v>
      </c>
      <c r="BE244" s="181"/>
      <c r="BF244" s="181"/>
      <c r="BG244" s="181">
        <f t="shared" si="540"/>
        <v>0</v>
      </c>
      <c r="BH244" s="181"/>
      <c r="BI244" s="181"/>
      <c r="BJ244" s="181">
        <f t="shared" si="541"/>
        <v>0</v>
      </c>
      <c r="BK244" s="181"/>
      <c r="BL244" s="326"/>
      <c r="BM244" s="317"/>
      <c r="BN244" s="321"/>
    </row>
    <row r="245" s="269" customFormat="1" ht="33.95" customHeight="1" outlineLevel="5" spans="2:66">
      <c r="B245" s="181" t="s">
        <v>792</v>
      </c>
      <c r="C245" s="289" t="s">
        <v>1229</v>
      </c>
      <c r="D245" s="269" t="s">
        <v>1230</v>
      </c>
      <c r="E245" s="181" t="s">
        <v>1231</v>
      </c>
      <c r="F245" s="181"/>
      <c r="G245" s="181" t="s">
        <v>936</v>
      </c>
      <c r="H245" s="181">
        <f t="shared" si="527"/>
        <v>0</v>
      </c>
      <c r="I245" s="181" t="s">
        <v>1226</v>
      </c>
      <c r="J245" s="304"/>
      <c r="K245" s="181" t="s">
        <v>1227</v>
      </c>
      <c r="L245" s="304"/>
      <c r="M245" s="181" t="s">
        <v>1228</v>
      </c>
      <c r="N245" s="181">
        <f t="shared" si="528"/>
        <v>0</v>
      </c>
      <c r="O245" s="304"/>
      <c r="P245" s="304"/>
      <c r="Q245" s="304"/>
      <c r="R245" s="304"/>
      <c r="S245" s="304"/>
      <c r="T245" s="304"/>
      <c r="U245" s="304"/>
      <c r="V245" s="304"/>
      <c r="W245" s="304"/>
      <c r="X245" s="304"/>
      <c r="Y245" s="304"/>
      <c r="Z245" s="304"/>
      <c r="AA245" s="181"/>
      <c r="AB245" s="181">
        <f t="shared" si="529"/>
        <v>0</v>
      </c>
      <c r="AC245" s="181">
        <f t="shared" si="530"/>
        <v>0</v>
      </c>
      <c r="AD245" s="181"/>
      <c r="AE245" s="181"/>
      <c r="AF245" s="181">
        <f t="shared" si="531"/>
        <v>0</v>
      </c>
      <c r="AG245" s="181"/>
      <c r="AH245" s="181"/>
      <c r="AI245" s="181">
        <f t="shared" si="532"/>
        <v>0</v>
      </c>
      <c r="AJ245" s="181"/>
      <c r="AK245" s="181"/>
      <c r="AL245" s="181">
        <f t="shared" si="533"/>
        <v>0</v>
      </c>
      <c r="AM245" s="181"/>
      <c r="AN245" s="181"/>
      <c r="AO245" s="181">
        <f t="shared" si="534"/>
        <v>0</v>
      </c>
      <c r="AP245" s="181"/>
      <c r="AQ245" s="181"/>
      <c r="AR245" s="181">
        <f t="shared" si="535"/>
        <v>0</v>
      </c>
      <c r="AS245" s="181"/>
      <c r="AT245" s="181"/>
      <c r="AU245" s="181">
        <f t="shared" si="536"/>
        <v>0</v>
      </c>
      <c r="AV245" s="181"/>
      <c r="AW245" s="181"/>
      <c r="AX245" s="181">
        <f t="shared" si="537"/>
        <v>0</v>
      </c>
      <c r="AY245" s="181"/>
      <c r="AZ245" s="181"/>
      <c r="BA245" s="181">
        <f t="shared" si="538"/>
        <v>0</v>
      </c>
      <c r="BB245" s="181"/>
      <c r="BC245" s="181"/>
      <c r="BD245" s="181">
        <f t="shared" si="539"/>
        <v>0</v>
      </c>
      <c r="BE245" s="181"/>
      <c r="BF245" s="181"/>
      <c r="BG245" s="181">
        <f t="shared" si="540"/>
        <v>0</v>
      </c>
      <c r="BH245" s="181"/>
      <c r="BI245" s="181"/>
      <c r="BJ245" s="181">
        <f t="shared" si="541"/>
        <v>0</v>
      </c>
      <c r="BK245" s="181"/>
      <c r="BL245" s="326"/>
      <c r="BM245" s="317"/>
      <c r="BN245" s="321"/>
    </row>
    <row r="246" s="269" customFormat="1" ht="33.95" customHeight="1" outlineLevel="5" spans="2:66">
      <c r="B246" s="181" t="s">
        <v>792</v>
      </c>
      <c r="C246" s="289" t="s">
        <v>1232</v>
      </c>
      <c r="D246" s="269" t="s">
        <v>1233</v>
      </c>
      <c r="E246" s="181" t="s">
        <v>1234</v>
      </c>
      <c r="F246" s="181"/>
      <c r="G246" s="181" t="s">
        <v>936</v>
      </c>
      <c r="H246" s="181">
        <f t="shared" si="527"/>
        <v>0</v>
      </c>
      <c r="I246" s="181" t="s">
        <v>1235</v>
      </c>
      <c r="J246" s="181">
        <v>1</v>
      </c>
      <c r="K246" s="181" t="s">
        <v>1236</v>
      </c>
      <c r="L246" s="304"/>
      <c r="M246" s="181" t="s">
        <v>1237</v>
      </c>
      <c r="N246" s="181">
        <f t="shared" si="528"/>
        <v>0</v>
      </c>
      <c r="O246" s="304"/>
      <c r="P246" s="322"/>
      <c r="Q246" s="322"/>
      <c r="R246" s="322"/>
      <c r="S246" s="322"/>
      <c r="T246" s="322"/>
      <c r="U246" s="322"/>
      <c r="V246" s="322"/>
      <c r="W246" s="322"/>
      <c r="X246" s="322"/>
      <c r="Y246" s="322"/>
      <c r="Z246" s="322"/>
      <c r="AA246" s="181"/>
      <c r="AB246" s="181">
        <f t="shared" si="529"/>
        <v>0</v>
      </c>
      <c r="AC246" s="181">
        <f t="shared" si="530"/>
        <v>0</v>
      </c>
      <c r="AD246" s="181"/>
      <c r="AE246" s="181"/>
      <c r="AF246" s="181">
        <f t="shared" si="531"/>
        <v>0</v>
      </c>
      <c r="AG246" s="181"/>
      <c r="AH246" s="181"/>
      <c r="AI246" s="181">
        <f t="shared" si="532"/>
        <v>0</v>
      </c>
      <c r="AJ246" s="181"/>
      <c r="AK246" s="181"/>
      <c r="AL246" s="181">
        <f t="shared" si="533"/>
        <v>0</v>
      </c>
      <c r="AM246" s="181"/>
      <c r="AN246" s="181"/>
      <c r="AO246" s="181">
        <f t="shared" si="534"/>
        <v>0</v>
      </c>
      <c r="AP246" s="181"/>
      <c r="AQ246" s="181"/>
      <c r="AR246" s="181">
        <f t="shared" si="535"/>
        <v>0</v>
      </c>
      <c r="AS246" s="181"/>
      <c r="AT246" s="181"/>
      <c r="AU246" s="181">
        <f t="shared" si="536"/>
        <v>0</v>
      </c>
      <c r="AV246" s="181"/>
      <c r="AW246" s="181"/>
      <c r="AX246" s="181">
        <f t="shared" si="537"/>
        <v>0</v>
      </c>
      <c r="AY246" s="181"/>
      <c r="AZ246" s="181"/>
      <c r="BA246" s="181">
        <f t="shared" si="538"/>
        <v>0</v>
      </c>
      <c r="BB246" s="181"/>
      <c r="BC246" s="181"/>
      <c r="BD246" s="181">
        <f t="shared" si="539"/>
        <v>0</v>
      </c>
      <c r="BE246" s="181"/>
      <c r="BF246" s="181"/>
      <c r="BG246" s="181">
        <f t="shared" si="540"/>
        <v>0</v>
      </c>
      <c r="BH246" s="181"/>
      <c r="BI246" s="181"/>
      <c r="BJ246" s="181">
        <f t="shared" si="541"/>
        <v>0</v>
      </c>
      <c r="BK246" s="181"/>
      <c r="BL246" s="326"/>
      <c r="BM246" s="317"/>
      <c r="BN246" s="321"/>
    </row>
    <row r="247" s="43" customFormat="1" ht="33.95" customHeight="1" outlineLevel="3" spans="2:66">
      <c r="B247" s="121" t="s">
        <v>787</v>
      </c>
      <c r="C247" s="122" t="s">
        <v>42</v>
      </c>
      <c r="D247" s="43" t="s">
        <v>43</v>
      </c>
      <c r="E247" s="121"/>
      <c r="F247" s="121"/>
      <c r="G247" s="121"/>
      <c r="H247" s="121">
        <f>H248+H249+H250+H251+H252+H253+H254+H255+H256+H257</f>
        <v>0</v>
      </c>
      <c r="I247" s="121"/>
      <c r="J247" s="121"/>
      <c r="K247" s="121"/>
      <c r="L247" s="121"/>
      <c r="M247" s="121"/>
      <c r="N247" s="121"/>
      <c r="O247" s="121"/>
      <c r="P247" s="294"/>
      <c r="Q247" s="294"/>
      <c r="R247" s="294"/>
      <c r="S247" s="294"/>
      <c r="T247" s="294"/>
      <c r="U247" s="294"/>
      <c r="V247" s="294"/>
      <c r="W247" s="294"/>
      <c r="X247" s="294"/>
      <c r="Y247" s="294"/>
      <c r="Z247" s="294"/>
      <c r="AA247" s="294"/>
      <c r="AB247" s="121">
        <f t="shared" ref="AB247:AF247" si="542">AB248+AB249+AB250+AB251+AB252+AB253+AB254+AB255+AB256+AB257</f>
        <v>0</v>
      </c>
      <c r="AC247" s="121">
        <f t="shared" si="542"/>
        <v>0</v>
      </c>
      <c r="AD247" s="121"/>
      <c r="AE247" s="121"/>
      <c r="AF247" s="121">
        <f t="shared" si="542"/>
        <v>0</v>
      </c>
      <c r="AG247" s="121"/>
      <c r="AH247" s="121"/>
      <c r="AI247" s="121">
        <f>AI248+AI249+AI250+AI251+AI252+AI253+AI254+AI255+AI256+AI257</f>
        <v>0</v>
      </c>
      <c r="AJ247" s="121"/>
      <c r="AK247" s="121"/>
      <c r="AL247" s="121">
        <f>AL248+AL249+AL250+AL251+AL252+AL253+AL254+AL255+AL256+AL257</f>
        <v>0</v>
      </c>
      <c r="AM247" s="121"/>
      <c r="AN247" s="121"/>
      <c r="AO247" s="121">
        <f>AO248+AO249+AO250+AO251+AO252+AO253+AO254+AO255+AO256+AO257</f>
        <v>0</v>
      </c>
      <c r="AP247" s="121"/>
      <c r="AQ247" s="121"/>
      <c r="AR247" s="121">
        <f>AR248+AR249+AR250+AR251+AR252+AR253+AR254+AR255+AR256+AR257</f>
        <v>0</v>
      </c>
      <c r="AS247" s="121"/>
      <c r="AT247" s="121"/>
      <c r="AU247" s="121">
        <f>AU248+AU249+AU250+AU251+AU252+AU253+AU254+AU255+AU256+AU257</f>
        <v>0</v>
      </c>
      <c r="AV247" s="121"/>
      <c r="AW247" s="121"/>
      <c r="AX247" s="121">
        <f>AX248+AX249+AX250+AX251+AX252+AX253+AX254+AX255+AX256+AX257</f>
        <v>0</v>
      </c>
      <c r="AY247" s="121"/>
      <c r="AZ247" s="121"/>
      <c r="BA247" s="121">
        <f>BA248+BA249+BA250+BA251+BA252+BA253+BA254+BA255+BA256+BA257</f>
        <v>0</v>
      </c>
      <c r="BB247" s="121"/>
      <c r="BC247" s="121"/>
      <c r="BD247" s="121">
        <f>BD248+BD249+BD250+BD251+BD252+BD253+BD254+BD255+BD256+BD257</f>
        <v>0</v>
      </c>
      <c r="BE247" s="121"/>
      <c r="BF247" s="121"/>
      <c r="BG247" s="121">
        <f>BG248+BG249+BG250+BG251+BG252+BG253+BG254+BG255+BG256+BG257</f>
        <v>0</v>
      </c>
      <c r="BH247" s="121"/>
      <c r="BI247" s="121"/>
      <c r="BJ247" s="121">
        <f>BJ248+BJ249+BJ250+BJ251+BJ252+BJ253+BJ254+BJ255+BJ256+BJ257</f>
        <v>0</v>
      </c>
      <c r="BK247" s="121"/>
      <c r="BL247" s="311"/>
      <c r="BM247" s="317"/>
      <c r="BN247" s="319"/>
    </row>
    <row r="248" s="124" customFormat="1" ht="33.95" customHeight="1" outlineLevel="4" spans="2:66">
      <c r="B248" s="125" t="s">
        <v>792</v>
      </c>
      <c r="C248" s="126" t="s">
        <v>1238</v>
      </c>
      <c r="D248" s="124" t="s">
        <v>1239</v>
      </c>
      <c r="E248" s="125" t="s">
        <v>1240</v>
      </c>
      <c r="F248" s="125"/>
      <c r="G248" s="125" t="s">
        <v>936</v>
      </c>
      <c r="H248" s="125">
        <f t="shared" ref="H248:H256" si="543">IFERROR(J248*L248*N248,0)</f>
        <v>0</v>
      </c>
      <c r="I248" s="125" t="s">
        <v>1025</v>
      </c>
      <c r="J248" s="125">
        <f>AVERAGE('1-1 项目基础信息'!$H$9:$S$9)</f>
        <v>252764</v>
      </c>
      <c r="K248" s="125" t="s">
        <v>1026</v>
      </c>
      <c r="L248" s="304"/>
      <c r="M248" s="125" t="s">
        <v>799</v>
      </c>
      <c r="N248" s="125">
        <f t="shared" ref="N248:N256" si="544">COUNTA(O248:Z248)</f>
        <v>0</v>
      </c>
      <c r="O248" s="304"/>
      <c r="P248" s="304"/>
      <c r="Q248" s="304"/>
      <c r="R248" s="304"/>
      <c r="S248" s="304"/>
      <c r="T248" s="304"/>
      <c r="U248" s="304"/>
      <c r="V248" s="304"/>
      <c r="W248" s="304"/>
      <c r="X248" s="304"/>
      <c r="Y248" s="304"/>
      <c r="Z248" s="304"/>
      <c r="AA248" s="125"/>
      <c r="AB248" s="125">
        <f t="shared" ref="AB248:AB256" si="545">SUM(AC248,AF248,AI248,AL248,AO248,AR248,AU248,AX248,BA248,BD248,BG248,BJ248)</f>
        <v>0</v>
      </c>
      <c r="AC248" s="125">
        <f t="shared" ref="AC248:AC256" si="546">IF(O248="",0,$J248*$L248)</f>
        <v>0</v>
      </c>
      <c r="AD248" s="125"/>
      <c r="AE248" s="125"/>
      <c r="AF248" s="125">
        <f t="shared" ref="AF248:AF256" si="547">IF(P248="",0,$J248*$L248)</f>
        <v>0</v>
      </c>
      <c r="AG248" s="125"/>
      <c r="AH248" s="125"/>
      <c r="AI248" s="125">
        <f t="shared" ref="AI248:AI256" si="548">IF(Q248="",0,$J248*$L248)</f>
        <v>0</v>
      </c>
      <c r="AJ248" s="125"/>
      <c r="AK248" s="125"/>
      <c r="AL248" s="125">
        <f t="shared" ref="AL248:AL256" si="549">IF(R248="",0,$J248*$L248)</f>
        <v>0</v>
      </c>
      <c r="AM248" s="125"/>
      <c r="AN248" s="125"/>
      <c r="AO248" s="125">
        <f t="shared" ref="AO248:AO256" si="550">IF(S248="",0,$J248*$L248)</f>
        <v>0</v>
      </c>
      <c r="AP248" s="125"/>
      <c r="AQ248" s="125"/>
      <c r="AR248" s="125">
        <f t="shared" ref="AR248:AR256" si="551">IF(T248="",0,$J248*$L248)</f>
        <v>0</v>
      </c>
      <c r="AS248" s="125"/>
      <c r="AT248" s="125"/>
      <c r="AU248" s="125">
        <f t="shared" ref="AU248:AU256" si="552">IF(U248="",0,$J248*$L248)</f>
        <v>0</v>
      </c>
      <c r="AV248" s="125"/>
      <c r="AW248" s="125"/>
      <c r="AX248" s="125">
        <f t="shared" ref="AX248:AX256" si="553">IF(V248="",0,$J248*$L248)</f>
        <v>0</v>
      </c>
      <c r="AY248" s="125"/>
      <c r="AZ248" s="125"/>
      <c r="BA248" s="125">
        <f t="shared" ref="BA248:BA256" si="554">IF(W248="",0,$J248*$L248)</f>
        <v>0</v>
      </c>
      <c r="BB248" s="125"/>
      <c r="BC248" s="125"/>
      <c r="BD248" s="125">
        <f t="shared" ref="BD248:BD256" si="555">IF(X248="",0,$J248*$L248)</f>
        <v>0</v>
      </c>
      <c r="BE248" s="125"/>
      <c r="BF248" s="125"/>
      <c r="BG248" s="125">
        <f t="shared" ref="BG248:BG256" si="556">IF(Y248="",0,$J248*$L248)</f>
        <v>0</v>
      </c>
      <c r="BH248" s="125"/>
      <c r="BI248" s="125"/>
      <c r="BJ248" s="125">
        <f t="shared" ref="BJ248:BJ256" si="557">IF(Z248="",0,$J248*$L248)</f>
        <v>0</v>
      </c>
      <c r="BK248" s="125"/>
      <c r="BL248" s="312"/>
      <c r="BM248" s="317"/>
      <c r="BN248" s="320"/>
    </row>
    <row r="249" s="124" customFormat="1" ht="33.95" customHeight="1" outlineLevel="4" spans="2:66">
      <c r="B249" s="125" t="s">
        <v>792</v>
      </c>
      <c r="C249" s="126" t="s">
        <v>1241</v>
      </c>
      <c r="D249" s="124" t="s">
        <v>1242</v>
      </c>
      <c r="E249" s="125" t="s">
        <v>1243</v>
      </c>
      <c r="F249" s="125"/>
      <c r="G249" s="125" t="s">
        <v>936</v>
      </c>
      <c r="H249" s="125">
        <f t="shared" si="543"/>
        <v>0</v>
      </c>
      <c r="I249" s="125" t="s">
        <v>1025</v>
      </c>
      <c r="J249" s="125">
        <f>AVERAGE('1-1 项目基础信息'!$H$9:$S$9)</f>
        <v>252764</v>
      </c>
      <c r="K249" s="125" t="s">
        <v>1026</v>
      </c>
      <c r="L249" s="304"/>
      <c r="M249" s="125" t="s">
        <v>799</v>
      </c>
      <c r="N249" s="125">
        <f t="shared" si="544"/>
        <v>0</v>
      </c>
      <c r="O249" s="304"/>
      <c r="P249" s="304"/>
      <c r="Q249" s="304"/>
      <c r="R249" s="304"/>
      <c r="S249" s="304"/>
      <c r="T249" s="304"/>
      <c r="U249" s="304"/>
      <c r="V249" s="304"/>
      <c r="W249" s="304"/>
      <c r="X249" s="304"/>
      <c r="Y249" s="304"/>
      <c r="Z249" s="304"/>
      <c r="AA249" s="125"/>
      <c r="AB249" s="125">
        <f t="shared" si="545"/>
        <v>0</v>
      </c>
      <c r="AC249" s="125">
        <f t="shared" si="546"/>
        <v>0</v>
      </c>
      <c r="AD249" s="125"/>
      <c r="AE249" s="125"/>
      <c r="AF249" s="125">
        <f t="shared" si="547"/>
        <v>0</v>
      </c>
      <c r="AG249" s="125"/>
      <c r="AH249" s="125"/>
      <c r="AI249" s="125">
        <f t="shared" si="548"/>
        <v>0</v>
      </c>
      <c r="AJ249" s="125"/>
      <c r="AK249" s="125"/>
      <c r="AL249" s="125">
        <f t="shared" si="549"/>
        <v>0</v>
      </c>
      <c r="AM249" s="125"/>
      <c r="AN249" s="125"/>
      <c r="AO249" s="125">
        <f t="shared" si="550"/>
        <v>0</v>
      </c>
      <c r="AP249" s="125"/>
      <c r="AQ249" s="125"/>
      <c r="AR249" s="125">
        <f t="shared" si="551"/>
        <v>0</v>
      </c>
      <c r="AS249" s="125"/>
      <c r="AT249" s="125"/>
      <c r="AU249" s="125">
        <f t="shared" si="552"/>
        <v>0</v>
      </c>
      <c r="AV249" s="125"/>
      <c r="AW249" s="125"/>
      <c r="AX249" s="125">
        <f t="shared" si="553"/>
        <v>0</v>
      </c>
      <c r="AY249" s="125"/>
      <c r="AZ249" s="125"/>
      <c r="BA249" s="125">
        <f t="shared" si="554"/>
        <v>0</v>
      </c>
      <c r="BB249" s="125"/>
      <c r="BC249" s="125"/>
      <c r="BD249" s="125">
        <f t="shared" si="555"/>
        <v>0</v>
      </c>
      <c r="BE249" s="125"/>
      <c r="BF249" s="125"/>
      <c r="BG249" s="125">
        <f t="shared" si="556"/>
        <v>0</v>
      </c>
      <c r="BH249" s="125"/>
      <c r="BI249" s="125"/>
      <c r="BJ249" s="125">
        <f t="shared" si="557"/>
        <v>0</v>
      </c>
      <c r="BK249" s="125"/>
      <c r="BL249" s="312"/>
      <c r="BM249" s="317"/>
      <c r="BN249" s="320"/>
    </row>
    <row r="250" s="124" customFormat="1" ht="33.95" customHeight="1" outlineLevel="4" spans="2:66">
      <c r="B250" s="125" t="s">
        <v>792</v>
      </c>
      <c r="C250" s="126" t="s">
        <v>1244</v>
      </c>
      <c r="D250" s="124" t="s">
        <v>1245</v>
      </c>
      <c r="E250" s="125"/>
      <c r="F250" s="125"/>
      <c r="G250" s="125" t="s">
        <v>936</v>
      </c>
      <c r="H250" s="125">
        <f t="shared" si="543"/>
        <v>0</v>
      </c>
      <c r="I250" s="125" t="s">
        <v>1025</v>
      </c>
      <c r="J250" s="125">
        <f>AVERAGE('1-1 项目基础信息'!$H$9:$S$9)</f>
        <v>252764</v>
      </c>
      <c r="K250" s="125" t="s">
        <v>1026</v>
      </c>
      <c r="L250" s="304"/>
      <c r="M250" s="125" t="s">
        <v>799</v>
      </c>
      <c r="N250" s="125">
        <f t="shared" si="544"/>
        <v>0</v>
      </c>
      <c r="O250" s="304"/>
      <c r="P250" s="304"/>
      <c r="Q250" s="304"/>
      <c r="R250" s="304"/>
      <c r="S250" s="304"/>
      <c r="T250" s="304"/>
      <c r="U250" s="304"/>
      <c r="V250" s="304"/>
      <c r="W250" s="304"/>
      <c r="X250" s="304"/>
      <c r="Y250" s="304"/>
      <c r="Z250" s="304"/>
      <c r="AA250" s="125"/>
      <c r="AB250" s="125">
        <f t="shared" si="545"/>
        <v>0</v>
      </c>
      <c r="AC250" s="125">
        <f t="shared" si="546"/>
        <v>0</v>
      </c>
      <c r="AD250" s="125"/>
      <c r="AE250" s="125"/>
      <c r="AF250" s="125">
        <f t="shared" si="547"/>
        <v>0</v>
      </c>
      <c r="AG250" s="125"/>
      <c r="AH250" s="125"/>
      <c r="AI250" s="125">
        <f t="shared" si="548"/>
        <v>0</v>
      </c>
      <c r="AJ250" s="125"/>
      <c r="AK250" s="125"/>
      <c r="AL250" s="125">
        <f t="shared" si="549"/>
        <v>0</v>
      </c>
      <c r="AM250" s="125"/>
      <c r="AN250" s="125"/>
      <c r="AO250" s="125">
        <f t="shared" si="550"/>
        <v>0</v>
      </c>
      <c r="AP250" s="125"/>
      <c r="AQ250" s="125"/>
      <c r="AR250" s="125">
        <f t="shared" si="551"/>
        <v>0</v>
      </c>
      <c r="AS250" s="125"/>
      <c r="AT250" s="125"/>
      <c r="AU250" s="125">
        <f t="shared" si="552"/>
        <v>0</v>
      </c>
      <c r="AV250" s="125"/>
      <c r="AW250" s="125"/>
      <c r="AX250" s="125">
        <f t="shared" si="553"/>
        <v>0</v>
      </c>
      <c r="AY250" s="125"/>
      <c r="AZ250" s="125"/>
      <c r="BA250" s="125">
        <f t="shared" si="554"/>
        <v>0</v>
      </c>
      <c r="BB250" s="125"/>
      <c r="BC250" s="125"/>
      <c r="BD250" s="125">
        <f t="shared" si="555"/>
        <v>0</v>
      </c>
      <c r="BE250" s="125"/>
      <c r="BF250" s="125"/>
      <c r="BG250" s="125">
        <f t="shared" si="556"/>
        <v>0</v>
      </c>
      <c r="BH250" s="125"/>
      <c r="BI250" s="125"/>
      <c r="BJ250" s="125">
        <f t="shared" si="557"/>
        <v>0</v>
      </c>
      <c r="BK250" s="125"/>
      <c r="BL250" s="312"/>
      <c r="BM250" s="317"/>
      <c r="BN250" s="320"/>
    </row>
    <row r="251" s="124" customFormat="1" ht="33.95" customHeight="1" outlineLevel="4" spans="2:66">
      <c r="B251" s="125" t="s">
        <v>792</v>
      </c>
      <c r="C251" s="126" t="s">
        <v>1246</v>
      </c>
      <c r="D251" s="124" t="s">
        <v>1247</v>
      </c>
      <c r="E251" s="125" t="s">
        <v>1248</v>
      </c>
      <c r="F251" s="125"/>
      <c r="G251" s="125" t="s">
        <v>936</v>
      </c>
      <c r="H251" s="125">
        <f t="shared" si="543"/>
        <v>0</v>
      </c>
      <c r="I251" s="125" t="s">
        <v>1025</v>
      </c>
      <c r="J251" s="125">
        <f>AVERAGE('1-1 项目基础信息'!$H$9:$S$9)</f>
        <v>252764</v>
      </c>
      <c r="K251" s="125" t="s">
        <v>1026</v>
      </c>
      <c r="L251" s="304"/>
      <c r="M251" s="125" t="s">
        <v>799</v>
      </c>
      <c r="N251" s="125">
        <f t="shared" si="544"/>
        <v>0</v>
      </c>
      <c r="O251" s="304"/>
      <c r="P251" s="304"/>
      <c r="Q251" s="304"/>
      <c r="R251" s="304"/>
      <c r="S251" s="304"/>
      <c r="T251" s="304"/>
      <c r="U251" s="304"/>
      <c r="V251" s="304"/>
      <c r="W251" s="304"/>
      <c r="X251" s="304"/>
      <c r="Y251" s="304"/>
      <c r="Z251" s="304"/>
      <c r="AA251" s="125"/>
      <c r="AB251" s="125">
        <f t="shared" si="545"/>
        <v>0</v>
      </c>
      <c r="AC251" s="125">
        <f t="shared" si="546"/>
        <v>0</v>
      </c>
      <c r="AD251" s="125"/>
      <c r="AE251" s="125"/>
      <c r="AF251" s="125">
        <f t="shared" si="547"/>
        <v>0</v>
      </c>
      <c r="AG251" s="125"/>
      <c r="AH251" s="125"/>
      <c r="AI251" s="125">
        <f t="shared" si="548"/>
        <v>0</v>
      </c>
      <c r="AJ251" s="125"/>
      <c r="AK251" s="125"/>
      <c r="AL251" s="125">
        <f t="shared" si="549"/>
        <v>0</v>
      </c>
      <c r="AM251" s="125"/>
      <c r="AN251" s="125"/>
      <c r="AO251" s="125">
        <f t="shared" si="550"/>
        <v>0</v>
      </c>
      <c r="AP251" s="125"/>
      <c r="AQ251" s="125"/>
      <c r="AR251" s="125">
        <f t="shared" si="551"/>
        <v>0</v>
      </c>
      <c r="AS251" s="125"/>
      <c r="AT251" s="125"/>
      <c r="AU251" s="125">
        <f t="shared" si="552"/>
        <v>0</v>
      </c>
      <c r="AV251" s="125"/>
      <c r="AW251" s="125"/>
      <c r="AX251" s="125">
        <f t="shared" si="553"/>
        <v>0</v>
      </c>
      <c r="AY251" s="125"/>
      <c r="AZ251" s="125"/>
      <c r="BA251" s="125">
        <f t="shared" si="554"/>
        <v>0</v>
      </c>
      <c r="BB251" s="125"/>
      <c r="BC251" s="125"/>
      <c r="BD251" s="125">
        <f t="shared" si="555"/>
        <v>0</v>
      </c>
      <c r="BE251" s="125"/>
      <c r="BF251" s="125"/>
      <c r="BG251" s="125">
        <f t="shared" si="556"/>
        <v>0</v>
      </c>
      <c r="BH251" s="125"/>
      <c r="BI251" s="125"/>
      <c r="BJ251" s="125">
        <f t="shared" si="557"/>
        <v>0</v>
      </c>
      <c r="BK251" s="125"/>
      <c r="BL251" s="312"/>
      <c r="BM251" s="317"/>
      <c r="BN251" s="320"/>
    </row>
    <row r="252" s="124" customFormat="1" ht="33.95" customHeight="1" outlineLevel="4" spans="2:66">
      <c r="B252" s="125" t="s">
        <v>792</v>
      </c>
      <c r="C252" s="126" t="s">
        <v>1249</v>
      </c>
      <c r="D252" s="124" t="s">
        <v>1250</v>
      </c>
      <c r="E252" s="125" t="s">
        <v>1251</v>
      </c>
      <c r="F252" s="125"/>
      <c r="G252" s="125" t="s">
        <v>936</v>
      </c>
      <c r="H252" s="125">
        <f t="shared" si="543"/>
        <v>0</v>
      </c>
      <c r="I252" s="125" t="s">
        <v>1025</v>
      </c>
      <c r="J252" s="125">
        <f>AVERAGE('1-1 项目基础信息'!$H$9:$S$9)</f>
        <v>252764</v>
      </c>
      <c r="K252" s="125" t="s">
        <v>1026</v>
      </c>
      <c r="L252" s="304"/>
      <c r="M252" s="125" t="s">
        <v>799</v>
      </c>
      <c r="N252" s="125">
        <f t="shared" si="544"/>
        <v>0</v>
      </c>
      <c r="O252" s="304"/>
      <c r="P252" s="304"/>
      <c r="Q252" s="304"/>
      <c r="R252" s="304"/>
      <c r="S252" s="304"/>
      <c r="T252" s="304"/>
      <c r="U252" s="304"/>
      <c r="V252" s="304"/>
      <c r="W252" s="304"/>
      <c r="X252" s="304"/>
      <c r="Y252" s="304"/>
      <c r="Z252" s="304"/>
      <c r="AA252" s="125"/>
      <c r="AB252" s="125">
        <f t="shared" si="545"/>
        <v>0</v>
      </c>
      <c r="AC252" s="125">
        <f t="shared" si="546"/>
        <v>0</v>
      </c>
      <c r="AD252" s="125"/>
      <c r="AE252" s="125"/>
      <c r="AF252" s="125">
        <f t="shared" si="547"/>
        <v>0</v>
      </c>
      <c r="AG252" s="125"/>
      <c r="AH252" s="125"/>
      <c r="AI252" s="125">
        <f t="shared" si="548"/>
        <v>0</v>
      </c>
      <c r="AJ252" s="125"/>
      <c r="AK252" s="125"/>
      <c r="AL252" s="125">
        <f t="shared" si="549"/>
        <v>0</v>
      </c>
      <c r="AM252" s="125"/>
      <c r="AN252" s="125"/>
      <c r="AO252" s="125">
        <f t="shared" si="550"/>
        <v>0</v>
      </c>
      <c r="AP252" s="125"/>
      <c r="AQ252" s="125"/>
      <c r="AR252" s="125">
        <f t="shared" si="551"/>
        <v>0</v>
      </c>
      <c r="AS252" s="125"/>
      <c r="AT252" s="125"/>
      <c r="AU252" s="125">
        <f t="shared" si="552"/>
        <v>0</v>
      </c>
      <c r="AV252" s="125"/>
      <c r="AW252" s="125"/>
      <c r="AX252" s="125">
        <f t="shared" si="553"/>
        <v>0</v>
      </c>
      <c r="AY252" s="125"/>
      <c r="AZ252" s="125"/>
      <c r="BA252" s="125">
        <f t="shared" si="554"/>
        <v>0</v>
      </c>
      <c r="BB252" s="125"/>
      <c r="BC252" s="125"/>
      <c r="BD252" s="125">
        <f t="shared" si="555"/>
        <v>0</v>
      </c>
      <c r="BE252" s="125"/>
      <c r="BF252" s="125"/>
      <c r="BG252" s="125">
        <f t="shared" si="556"/>
        <v>0</v>
      </c>
      <c r="BH252" s="125"/>
      <c r="BI252" s="125"/>
      <c r="BJ252" s="125">
        <f t="shared" si="557"/>
        <v>0</v>
      </c>
      <c r="BK252" s="125"/>
      <c r="BL252" s="312"/>
      <c r="BM252" s="317"/>
      <c r="BN252" s="320"/>
    </row>
    <row r="253" s="124" customFormat="1" ht="33.95" customHeight="1" outlineLevel="4" spans="2:66">
      <c r="B253" s="125" t="s">
        <v>792</v>
      </c>
      <c r="C253" s="126" t="s">
        <v>1252</v>
      </c>
      <c r="D253" s="124" t="s">
        <v>1253</v>
      </c>
      <c r="E253" s="125" t="s">
        <v>1254</v>
      </c>
      <c r="F253" s="125"/>
      <c r="G253" s="125" t="s">
        <v>936</v>
      </c>
      <c r="H253" s="125">
        <f t="shared" si="543"/>
        <v>0</v>
      </c>
      <c r="I253" s="125" t="s">
        <v>1025</v>
      </c>
      <c r="J253" s="125">
        <f>AVERAGE('1-1 项目基础信息'!$H$9:$S$9)</f>
        <v>252764</v>
      </c>
      <c r="K253" s="125" t="s">
        <v>1026</v>
      </c>
      <c r="L253" s="304"/>
      <c r="M253" s="125" t="s">
        <v>799</v>
      </c>
      <c r="N253" s="125">
        <f t="shared" si="544"/>
        <v>0</v>
      </c>
      <c r="O253" s="304"/>
      <c r="P253" s="304"/>
      <c r="Q253" s="304"/>
      <c r="R253" s="304"/>
      <c r="S253" s="304"/>
      <c r="T253" s="304"/>
      <c r="U253" s="304"/>
      <c r="V253" s="304"/>
      <c r="W253" s="304"/>
      <c r="X253" s="304"/>
      <c r="Y253" s="304"/>
      <c r="Z253" s="304"/>
      <c r="AA253" s="125"/>
      <c r="AB253" s="125">
        <f t="shared" si="545"/>
        <v>0</v>
      </c>
      <c r="AC253" s="125">
        <f t="shared" si="546"/>
        <v>0</v>
      </c>
      <c r="AD253" s="125"/>
      <c r="AE253" s="125"/>
      <c r="AF253" s="125">
        <f t="shared" si="547"/>
        <v>0</v>
      </c>
      <c r="AG253" s="125"/>
      <c r="AH253" s="125"/>
      <c r="AI253" s="125">
        <f t="shared" si="548"/>
        <v>0</v>
      </c>
      <c r="AJ253" s="125"/>
      <c r="AK253" s="125"/>
      <c r="AL253" s="125">
        <f t="shared" si="549"/>
        <v>0</v>
      </c>
      <c r="AM253" s="125"/>
      <c r="AN253" s="125"/>
      <c r="AO253" s="125">
        <f t="shared" si="550"/>
        <v>0</v>
      </c>
      <c r="AP253" s="125"/>
      <c r="AQ253" s="125"/>
      <c r="AR253" s="125">
        <f t="shared" si="551"/>
        <v>0</v>
      </c>
      <c r="AS253" s="125"/>
      <c r="AT253" s="125"/>
      <c r="AU253" s="125">
        <f t="shared" si="552"/>
        <v>0</v>
      </c>
      <c r="AV253" s="125"/>
      <c r="AW253" s="125"/>
      <c r="AX253" s="125">
        <f t="shared" si="553"/>
        <v>0</v>
      </c>
      <c r="AY253" s="125"/>
      <c r="AZ253" s="125"/>
      <c r="BA253" s="125">
        <f t="shared" si="554"/>
        <v>0</v>
      </c>
      <c r="BB253" s="125"/>
      <c r="BC253" s="125"/>
      <c r="BD253" s="125">
        <f t="shared" si="555"/>
        <v>0</v>
      </c>
      <c r="BE253" s="125"/>
      <c r="BF253" s="125"/>
      <c r="BG253" s="125">
        <f t="shared" si="556"/>
        <v>0</v>
      </c>
      <c r="BH253" s="125"/>
      <c r="BI253" s="125"/>
      <c r="BJ253" s="125">
        <f t="shared" si="557"/>
        <v>0</v>
      </c>
      <c r="BK253" s="125"/>
      <c r="BL253" s="312"/>
      <c r="BM253" s="317"/>
      <c r="BN253" s="320"/>
    </row>
    <row r="254" s="124" customFormat="1" ht="33.95" customHeight="1" outlineLevel="4" spans="2:66">
      <c r="B254" s="125" t="s">
        <v>792</v>
      </c>
      <c r="C254" s="126" t="s">
        <v>1255</v>
      </c>
      <c r="D254" s="124" t="s">
        <v>1256</v>
      </c>
      <c r="E254" s="125" t="s">
        <v>1257</v>
      </c>
      <c r="F254" s="125"/>
      <c r="G254" s="125" t="s">
        <v>936</v>
      </c>
      <c r="H254" s="125">
        <f t="shared" si="543"/>
        <v>0</v>
      </c>
      <c r="I254" s="125" t="s">
        <v>1025</v>
      </c>
      <c r="J254" s="125">
        <f>AVERAGE('1-1 项目基础信息'!$H$9:$S$9)</f>
        <v>252764</v>
      </c>
      <c r="K254" s="125" t="s">
        <v>1026</v>
      </c>
      <c r="L254" s="304"/>
      <c r="M254" s="125" t="s">
        <v>799</v>
      </c>
      <c r="N254" s="125">
        <f t="shared" si="544"/>
        <v>0</v>
      </c>
      <c r="O254" s="304"/>
      <c r="P254" s="304"/>
      <c r="Q254" s="304"/>
      <c r="R254" s="304"/>
      <c r="S254" s="304"/>
      <c r="T254" s="304"/>
      <c r="U254" s="304"/>
      <c r="V254" s="304"/>
      <c r="W254" s="304"/>
      <c r="X254" s="304"/>
      <c r="Y254" s="304"/>
      <c r="Z254" s="304"/>
      <c r="AA254" s="125"/>
      <c r="AB254" s="125">
        <f t="shared" si="545"/>
        <v>0</v>
      </c>
      <c r="AC254" s="125">
        <f t="shared" si="546"/>
        <v>0</v>
      </c>
      <c r="AD254" s="125"/>
      <c r="AE254" s="125"/>
      <c r="AF254" s="125">
        <f t="shared" si="547"/>
        <v>0</v>
      </c>
      <c r="AG254" s="125"/>
      <c r="AH254" s="125"/>
      <c r="AI254" s="125">
        <f t="shared" si="548"/>
        <v>0</v>
      </c>
      <c r="AJ254" s="125"/>
      <c r="AK254" s="125"/>
      <c r="AL254" s="125">
        <f t="shared" si="549"/>
        <v>0</v>
      </c>
      <c r="AM254" s="125"/>
      <c r="AN254" s="125"/>
      <c r="AO254" s="125">
        <f t="shared" si="550"/>
        <v>0</v>
      </c>
      <c r="AP254" s="125"/>
      <c r="AQ254" s="125"/>
      <c r="AR254" s="125">
        <f t="shared" si="551"/>
        <v>0</v>
      </c>
      <c r="AS254" s="125"/>
      <c r="AT254" s="125"/>
      <c r="AU254" s="125">
        <f t="shared" si="552"/>
        <v>0</v>
      </c>
      <c r="AV254" s="125"/>
      <c r="AW254" s="125"/>
      <c r="AX254" s="125">
        <f t="shared" si="553"/>
        <v>0</v>
      </c>
      <c r="AY254" s="125"/>
      <c r="AZ254" s="125"/>
      <c r="BA254" s="125">
        <f t="shared" si="554"/>
        <v>0</v>
      </c>
      <c r="BB254" s="125"/>
      <c r="BC254" s="125"/>
      <c r="BD254" s="125">
        <f t="shared" si="555"/>
        <v>0</v>
      </c>
      <c r="BE254" s="125"/>
      <c r="BF254" s="125"/>
      <c r="BG254" s="125">
        <f t="shared" si="556"/>
        <v>0</v>
      </c>
      <c r="BH254" s="125"/>
      <c r="BI254" s="125"/>
      <c r="BJ254" s="125">
        <f t="shared" si="557"/>
        <v>0</v>
      </c>
      <c r="BK254" s="125"/>
      <c r="BL254" s="312"/>
      <c r="BM254" s="317"/>
      <c r="BN254" s="320"/>
    </row>
    <row r="255" s="124" customFormat="1" ht="33.95" customHeight="1" outlineLevel="4" spans="2:66">
      <c r="B255" s="125" t="s">
        <v>792</v>
      </c>
      <c r="C255" s="126" t="s">
        <v>1258</v>
      </c>
      <c r="D255" s="124" t="s">
        <v>1259</v>
      </c>
      <c r="E255" s="125" t="s">
        <v>1257</v>
      </c>
      <c r="F255" s="125"/>
      <c r="G255" s="125" t="s">
        <v>936</v>
      </c>
      <c r="H255" s="125">
        <f t="shared" si="543"/>
        <v>0</v>
      </c>
      <c r="I255" s="125" t="s">
        <v>1025</v>
      </c>
      <c r="J255" s="125">
        <f>AVERAGE('1-1 项目基础信息'!$H$9:$S$9)</f>
        <v>252764</v>
      </c>
      <c r="K255" s="125" t="s">
        <v>1026</v>
      </c>
      <c r="L255" s="304"/>
      <c r="M255" s="125" t="s">
        <v>799</v>
      </c>
      <c r="N255" s="125">
        <f t="shared" si="544"/>
        <v>0</v>
      </c>
      <c r="O255" s="304"/>
      <c r="P255" s="304"/>
      <c r="Q255" s="304"/>
      <c r="R255" s="304"/>
      <c r="S255" s="304"/>
      <c r="T255" s="304"/>
      <c r="U255" s="304"/>
      <c r="V255" s="304"/>
      <c r="W255" s="304"/>
      <c r="X255" s="304"/>
      <c r="Y255" s="304"/>
      <c r="Z255" s="304"/>
      <c r="AA255" s="125"/>
      <c r="AB255" s="125">
        <f t="shared" si="545"/>
        <v>0</v>
      </c>
      <c r="AC255" s="125">
        <f t="shared" si="546"/>
        <v>0</v>
      </c>
      <c r="AD255" s="125"/>
      <c r="AE255" s="125"/>
      <c r="AF255" s="125">
        <f t="shared" si="547"/>
        <v>0</v>
      </c>
      <c r="AG255" s="125"/>
      <c r="AH255" s="125"/>
      <c r="AI255" s="125">
        <f t="shared" si="548"/>
        <v>0</v>
      </c>
      <c r="AJ255" s="125"/>
      <c r="AK255" s="125"/>
      <c r="AL255" s="125">
        <f t="shared" si="549"/>
        <v>0</v>
      </c>
      <c r="AM255" s="125"/>
      <c r="AN255" s="125"/>
      <c r="AO255" s="125">
        <f t="shared" si="550"/>
        <v>0</v>
      </c>
      <c r="AP255" s="125"/>
      <c r="AQ255" s="125"/>
      <c r="AR255" s="125">
        <f t="shared" si="551"/>
        <v>0</v>
      </c>
      <c r="AS255" s="125"/>
      <c r="AT255" s="125"/>
      <c r="AU255" s="125">
        <f t="shared" si="552"/>
        <v>0</v>
      </c>
      <c r="AV255" s="125"/>
      <c r="AW255" s="125"/>
      <c r="AX255" s="125">
        <f t="shared" si="553"/>
        <v>0</v>
      </c>
      <c r="AY255" s="125"/>
      <c r="AZ255" s="125"/>
      <c r="BA255" s="125">
        <f t="shared" si="554"/>
        <v>0</v>
      </c>
      <c r="BB255" s="125"/>
      <c r="BC255" s="125"/>
      <c r="BD255" s="125">
        <f t="shared" si="555"/>
        <v>0</v>
      </c>
      <c r="BE255" s="125"/>
      <c r="BF255" s="125"/>
      <c r="BG255" s="125">
        <f t="shared" si="556"/>
        <v>0</v>
      </c>
      <c r="BH255" s="125"/>
      <c r="BI255" s="125"/>
      <c r="BJ255" s="125">
        <f t="shared" si="557"/>
        <v>0</v>
      </c>
      <c r="BK255" s="125"/>
      <c r="BL255" s="312"/>
      <c r="BM255" s="317"/>
      <c r="BN255" s="320"/>
    </row>
    <row r="256" s="124" customFormat="1" ht="33.95" customHeight="1" outlineLevel="4" spans="2:66">
      <c r="B256" s="125" t="s">
        <v>792</v>
      </c>
      <c r="C256" s="126" t="s">
        <v>1260</v>
      </c>
      <c r="D256" s="124" t="s">
        <v>1261</v>
      </c>
      <c r="E256" s="125" t="s">
        <v>1262</v>
      </c>
      <c r="F256" s="125"/>
      <c r="G256" s="125" t="s">
        <v>936</v>
      </c>
      <c r="H256" s="125">
        <f t="shared" si="543"/>
        <v>0</v>
      </c>
      <c r="I256" s="125" t="s">
        <v>1025</v>
      </c>
      <c r="J256" s="125">
        <f>AVERAGE('1-1 项目基础信息'!$H$9:$S$9)</f>
        <v>252764</v>
      </c>
      <c r="K256" s="125" t="s">
        <v>1026</v>
      </c>
      <c r="L256" s="304"/>
      <c r="M256" s="125" t="s">
        <v>799</v>
      </c>
      <c r="N256" s="125">
        <f t="shared" si="544"/>
        <v>0</v>
      </c>
      <c r="O256" s="304"/>
      <c r="P256" s="322"/>
      <c r="Q256" s="322"/>
      <c r="R256" s="322"/>
      <c r="S256" s="322"/>
      <c r="T256" s="322"/>
      <c r="U256" s="322"/>
      <c r="V256" s="322"/>
      <c r="W256" s="322"/>
      <c r="X256" s="322"/>
      <c r="Y256" s="322"/>
      <c r="Z256" s="322"/>
      <c r="AA256" s="125"/>
      <c r="AB256" s="125">
        <f t="shared" si="545"/>
        <v>0</v>
      </c>
      <c r="AC256" s="125">
        <f t="shared" si="546"/>
        <v>0</v>
      </c>
      <c r="AD256" s="125"/>
      <c r="AE256" s="125"/>
      <c r="AF256" s="125">
        <f t="shared" si="547"/>
        <v>0</v>
      </c>
      <c r="AG256" s="125"/>
      <c r="AH256" s="125"/>
      <c r="AI256" s="125">
        <f t="shared" si="548"/>
        <v>0</v>
      </c>
      <c r="AJ256" s="125"/>
      <c r="AK256" s="125"/>
      <c r="AL256" s="125">
        <f t="shared" si="549"/>
        <v>0</v>
      </c>
      <c r="AM256" s="125"/>
      <c r="AN256" s="125"/>
      <c r="AO256" s="125">
        <f t="shared" si="550"/>
        <v>0</v>
      </c>
      <c r="AP256" s="125"/>
      <c r="AQ256" s="125"/>
      <c r="AR256" s="125">
        <f t="shared" si="551"/>
        <v>0</v>
      </c>
      <c r="AS256" s="125"/>
      <c r="AT256" s="125"/>
      <c r="AU256" s="125">
        <f t="shared" si="552"/>
        <v>0</v>
      </c>
      <c r="AV256" s="125"/>
      <c r="AW256" s="125"/>
      <c r="AX256" s="125">
        <f t="shared" si="553"/>
        <v>0</v>
      </c>
      <c r="AY256" s="125"/>
      <c r="AZ256" s="125"/>
      <c r="BA256" s="125">
        <f t="shared" si="554"/>
        <v>0</v>
      </c>
      <c r="BB256" s="125"/>
      <c r="BC256" s="125"/>
      <c r="BD256" s="125">
        <f t="shared" si="555"/>
        <v>0</v>
      </c>
      <c r="BE256" s="125"/>
      <c r="BF256" s="125"/>
      <c r="BG256" s="125">
        <f t="shared" si="556"/>
        <v>0</v>
      </c>
      <c r="BH256" s="125"/>
      <c r="BI256" s="125"/>
      <c r="BJ256" s="125">
        <f t="shared" si="557"/>
        <v>0</v>
      </c>
      <c r="BK256" s="125"/>
      <c r="BL256" s="312"/>
      <c r="BM256" s="317"/>
      <c r="BN256" s="320"/>
    </row>
    <row r="257" s="124" customFormat="1" ht="33.95" customHeight="1" outlineLevel="4" spans="2:66">
      <c r="B257" s="125" t="s">
        <v>787</v>
      </c>
      <c r="C257" s="126" t="s">
        <v>1263</v>
      </c>
      <c r="D257" s="124" t="s">
        <v>1264</v>
      </c>
      <c r="E257" s="125"/>
      <c r="F257" s="125"/>
      <c r="G257" s="125"/>
      <c r="H257" s="125">
        <f>SUM(H258:H261)</f>
        <v>0</v>
      </c>
      <c r="I257" s="125"/>
      <c r="J257" s="125"/>
      <c r="K257" s="125"/>
      <c r="L257" s="125"/>
      <c r="M257" s="125"/>
      <c r="N257" s="125"/>
      <c r="O257" s="125"/>
      <c r="P257" s="295"/>
      <c r="Q257" s="295"/>
      <c r="R257" s="295"/>
      <c r="S257" s="295"/>
      <c r="T257" s="295"/>
      <c r="U257" s="295"/>
      <c r="V257" s="295"/>
      <c r="W257" s="295"/>
      <c r="X257" s="295"/>
      <c r="Y257" s="295"/>
      <c r="Z257" s="295"/>
      <c r="AA257" s="295"/>
      <c r="AB257" s="125">
        <f t="shared" ref="AB257:AF257" si="558">SUM(AB258:AB261)</f>
        <v>0</v>
      </c>
      <c r="AC257" s="125">
        <f t="shared" si="558"/>
        <v>0</v>
      </c>
      <c r="AD257" s="125"/>
      <c r="AE257" s="125"/>
      <c r="AF257" s="125">
        <f t="shared" si="558"/>
        <v>0</v>
      </c>
      <c r="AG257" s="125"/>
      <c r="AH257" s="125"/>
      <c r="AI257" s="125">
        <f>SUM(AI258:AI261)</f>
        <v>0</v>
      </c>
      <c r="AJ257" s="125"/>
      <c r="AK257" s="125"/>
      <c r="AL257" s="125">
        <f>SUM(AL258:AL261)</f>
        <v>0</v>
      </c>
      <c r="AM257" s="125"/>
      <c r="AN257" s="125"/>
      <c r="AO257" s="125">
        <f>SUM(AO258:AO261)</f>
        <v>0</v>
      </c>
      <c r="AP257" s="125"/>
      <c r="AQ257" s="125"/>
      <c r="AR257" s="125">
        <f>SUM(AR258:AR261)</f>
        <v>0</v>
      </c>
      <c r="AS257" s="125"/>
      <c r="AT257" s="125"/>
      <c r="AU257" s="125">
        <f>SUM(AU258:AU261)</f>
        <v>0</v>
      </c>
      <c r="AV257" s="125"/>
      <c r="AW257" s="125"/>
      <c r="AX257" s="125">
        <f>SUM(AX258:AX261)</f>
        <v>0</v>
      </c>
      <c r="AY257" s="125"/>
      <c r="AZ257" s="125"/>
      <c r="BA257" s="125">
        <f>SUM(BA258:BA261)</f>
        <v>0</v>
      </c>
      <c r="BB257" s="125"/>
      <c r="BC257" s="125"/>
      <c r="BD257" s="125">
        <f>SUM(BD258:BD261)</f>
        <v>0</v>
      </c>
      <c r="BE257" s="125"/>
      <c r="BF257" s="125"/>
      <c r="BG257" s="125">
        <f>SUM(BG258:BG261)</f>
        <v>0</v>
      </c>
      <c r="BH257" s="125"/>
      <c r="BI257" s="125"/>
      <c r="BJ257" s="125">
        <f>SUM(BJ258:BJ261)</f>
        <v>0</v>
      </c>
      <c r="BK257" s="125"/>
      <c r="BL257" s="312"/>
      <c r="BM257" s="317"/>
      <c r="BN257" s="320"/>
    </row>
    <row r="258" s="269" customFormat="1" ht="33.95" customHeight="1" outlineLevel="5" collapsed="1" spans="2:66">
      <c r="B258" s="181" t="s">
        <v>792</v>
      </c>
      <c r="C258" s="289" t="s">
        <v>1265</v>
      </c>
      <c r="D258" s="269" t="s">
        <v>1266</v>
      </c>
      <c r="E258" s="181" t="s">
        <v>1267</v>
      </c>
      <c r="F258" s="181"/>
      <c r="G258" s="181" t="s">
        <v>936</v>
      </c>
      <c r="H258" s="181">
        <f t="shared" ref="H258:H261" si="559">IFERROR(J258*L258*N258,0)</f>
        <v>0</v>
      </c>
      <c r="I258" s="181" t="s">
        <v>1268</v>
      </c>
      <c r="J258" s="304"/>
      <c r="K258" s="181" t="s">
        <v>1269</v>
      </c>
      <c r="L258" s="304"/>
      <c r="M258" s="181" t="s">
        <v>1270</v>
      </c>
      <c r="N258" s="181">
        <f t="shared" ref="N258:N261" si="560">COUNTA(O258:Z258)</f>
        <v>0</v>
      </c>
      <c r="O258" s="304"/>
      <c r="P258" s="323"/>
      <c r="Q258" s="323"/>
      <c r="R258" s="323"/>
      <c r="S258" s="323"/>
      <c r="T258" s="323"/>
      <c r="U258" s="323"/>
      <c r="V258" s="323"/>
      <c r="W258" s="323"/>
      <c r="X258" s="323"/>
      <c r="Y258" s="323"/>
      <c r="Z258" s="323"/>
      <c r="AA258" s="181"/>
      <c r="AB258" s="181">
        <f t="shared" ref="AB258:AB261" si="561">SUM(AC258,AF258,AI258,AL258,AO258,AR258,AU258,AX258,BA258,BD258,BG258,BJ258)</f>
        <v>0</v>
      </c>
      <c r="AC258" s="181">
        <f t="shared" ref="AC258:AC261" si="562">IF(O258="",0,$J258*$L258)</f>
        <v>0</v>
      </c>
      <c r="AD258" s="181"/>
      <c r="AE258" s="181"/>
      <c r="AF258" s="181">
        <f t="shared" ref="AF258:AF261" si="563">IF(P258="",0,$J258*$L258)</f>
        <v>0</v>
      </c>
      <c r="AG258" s="181"/>
      <c r="AH258" s="181"/>
      <c r="AI258" s="181">
        <f t="shared" ref="AI258:AI261" si="564">IF(Q258="",0,$J258*$L258)</f>
        <v>0</v>
      </c>
      <c r="AJ258" s="181"/>
      <c r="AK258" s="181"/>
      <c r="AL258" s="181">
        <f t="shared" ref="AL258:AL261" si="565">IF(R258="",0,$J258*$L258)</f>
        <v>0</v>
      </c>
      <c r="AM258" s="181"/>
      <c r="AN258" s="181"/>
      <c r="AO258" s="181">
        <f t="shared" ref="AO258:AO261" si="566">IF(S258="",0,$J258*$L258)</f>
        <v>0</v>
      </c>
      <c r="AP258" s="181"/>
      <c r="AQ258" s="181"/>
      <c r="AR258" s="181">
        <f t="shared" ref="AR258:AR261" si="567">IF(T258="",0,$J258*$L258)</f>
        <v>0</v>
      </c>
      <c r="AS258" s="181"/>
      <c r="AT258" s="181"/>
      <c r="AU258" s="181">
        <f t="shared" ref="AU258:AU261" si="568">IF(U258="",0,$J258*$L258)</f>
        <v>0</v>
      </c>
      <c r="AV258" s="181"/>
      <c r="AW258" s="181"/>
      <c r="AX258" s="181">
        <f t="shared" ref="AX258:AX261" si="569">IF(V258="",0,$J258*$L258)</f>
        <v>0</v>
      </c>
      <c r="AY258" s="181"/>
      <c r="AZ258" s="181"/>
      <c r="BA258" s="181">
        <f t="shared" ref="BA258:BA261" si="570">IF(W258="",0,$J258*$L258)</f>
        <v>0</v>
      </c>
      <c r="BB258" s="181"/>
      <c r="BC258" s="181"/>
      <c r="BD258" s="181">
        <f t="shared" ref="BD258:BD261" si="571">IF(X258="",0,$J258*$L258)</f>
        <v>0</v>
      </c>
      <c r="BE258" s="181"/>
      <c r="BF258" s="181"/>
      <c r="BG258" s="181">
        <f t="shared" ref="BG258:BG261" si="572">IF(Y258="",0,$J258*$L258)</f>
        <v>0</v>
      </c>
      <c r="BH258" s="181"/>
      <c r="BI258" s="181"/>
      <c r="BJ258" s="181">
        <f t="shared" ref="BJ258:BJ261" si="573">IF(Z258="",0,$J258*$L258)</f>
        <v>0</v>
      </c>
      <c r="BK258" s="181"/>
      <c r="BL258" s="326"/>
      <c r="BM258" s="317"/>
      <c r="BN258" s="321"/>
    </row>
    <row r="259" s="269" customFormat="1" ht="33.95" customHeight="1" outlineLevel="5" collapsed="1" spans="2:66">
      <c r="B259" s="181" t="s">
        <v>792</v>
      </c>
      <c r="C259" s="289" t="s">
        <v>1271</v>
      </c>
      <c r="D259" s="269" t="s">
        <v>1272</v>
      </c>
      <c r="E259" s="181" t="s">
        <v>1273</v>
      </c>
      <c r="F259" s="181"/>
      <c r="G259" s="181" t="s">
        <v>936</v>
      </c>
      <c r="H259" s="181">
        <f t="shared" si="559"/>
        <v>0</v>
      </c>
      <c r="I259" s="181" t="s">
        <v>1268</v>
      </c>
      <c r="J259" s="304"/>
      <c r="K259" s="181" t="s">
        <v>1269</v>
      </c>
      <c r="L259" s="304"/>
      <c r="M259" s="181" t="s">
        <v>1270</v>
      </c>
      <c r="N259" s="181">
        <f t="shared" si="560"/>
        <v>0</v>
      </c>
      <c r="O259" s="304"/>
      <c r="P259" s="304"/>
      <c r="Q259" s="304"/>
      <c r="R259" s="304"/>
      <c r="S259" s="304"/>
      <c r="T259" s="304"/>
      <c r="U259" s="304"/>
      <c r="V259" s="304"/>
      <c r="W259" s="304"/>
      <c r="X259" s="304"/>
      <c r="Y259" s="304"/>
      <c r="Z259" s="304"/>
      <c r="AA259" s="181"/>
      <c r="AB259" s="181">
        <f t="shared" si="561"/>
        <v>0</v>
      </c>
      <c r="AC259" s="181">
        <f t="shared" si="562"/>
        <v>0</v>
      </c>
      <c r="AD259" s="181"/>
      <c r="AE259" s="181"/>
      <c r="AF259" s="181">
        <f t="shared" si="563"/>
        <v>0</v>
      </c>
      <c r="AG259" s="181"/>
      <c r="AH259" s="181"/>
      <c r="AI259" s="181">
        <f t="shared" si="564"/>
        <v>0</v>
      </c>
      <c r="AJ259" s="181"/>
      <c r="AK259" s="181"/>
      <c r="AL259" s="181">
        <f t="shared" si="565"/>
        <v>0</v>
      </c>
      <c r="AM259" s="181"/>
      <c r="AN259" s="181"/>
      <c r="AO259" s="181">
        <f t="shared" si="566"/>
        <v>0</v>
      </c>
      <c r="AP259" s="181"/>
      <c r="AQ259" s="181"/>
      <c r="AR259" s="181">
        <f t="shared" si="567"/>
        <v>0</v>
      </c>
      <c r="AS259" s="181"/>
      <c r="AT259" s="181"/>
      <c r="AU259" s="181">
        <f t="shared" si="568"/>
        <v>0</v>
      </c>
      <c r="AV259" s="181"/>
      <c r="AW259" s="181"/>
      <c r="AX259" s="181">
        <f t="shared" si="569"/>
        <v>0</v>
      </c>
      <c r="AY259" s="181"/>
      <c r="AZ259" s="181"/>
      <c r="BA259" s="181">
        <f t="shared" si="570"/>
        <v>0</v>
      </c>
      <c r="BB259" s="181"/>
      <c r="BC259" s="181"/>
      <c r="BD259" s="181">
        <f t="shared" si="571"/>
        <v>0</v>
      </c>
      <c r="BE259" s="181"/>
      <c r="BF259" s="181"/>
      <c r="BG259" s="181">
        <f t="shared" si="572"/>
        <v>0</v>
      </c>
      <c r="BH259" s="181"/>
      <c r="BI259" s="181"/>
      <c r="BJ259" s="181">
        <f t="shared" si="573"/>
        <v>0</v>
      </c>
      <c r="BK259" s="181"/>
      <c r="BL259" s="326"/>
      <c r="BM259" s="317"/>
      <c r="BN259" s="321"/>
    </row>
    <row r="260" s="269" customFormat="1" ht="33.95" customHeight="1" outlineLevel="5" collapsed="1" spans="2:66">
      <c r="B260" s="181" t="s">
        <v>792</v>
      </c>
      <c r="C260" s="289" t="s">
        <v>1274</v>
      </c>
      <c r="D260" s="269" t="s">
        <v>1275</v>
      </c>
      <c r="E260" s="181" t="s">
        <v>1276</v>
      </c>
      <c r="F260" s="181"/>
      <c r="G260" s="181" t="s">
        <v>936</v>
      </c>
      <c r="H260" s="181">
        <f t="shared" si="559"/>
        <v>0</v>
      </c>
      <c r="I260" s="181" t="s">
        <v>1268</v>
      </c>
      <c r="J260" s="304"/>
      <c r="K260" s="181" t="s">
        <v>1269</v>
      </c>
      <c r="L260" s="304"/>
      <c r="M260" s="181" t="s">
        <v>1270</v>
      </c>
      <c r="N260" s="181">
        <f t="shared" si="560"/>
        <v>0</v>
      </c>
      <c r="O260" s="304"/>
      <c r="P260" s="304"/>
      <c r="Q260" s="304"/>
      <c r="R260" s="304"/>
      <c r="S260" s="304"/>
      <c r="T260" s="304"/>
      <c r="U260" s="304"/>
      <c r="V260" s="304"/>
      <c r="W260" s="304"/>
      <c r="X260" s="304"/>
      <c r="Y260" s="304"/>
      <c r="Z260" s="304"/>
      <c r="AA260" s="181"/>
      <c r="AB260" s="181">
        <f t="shared" si="561"/>
        <v>0</v>
      </c>
      <c r="AC260" s="181">
        <f t="shared" si="562"/>
        <v>0</v>
      </c>
      <c r="AD260" s="181"/>
      <c r="AE260" s="181"/>
      <c r="AF260" s="181">
        <f t="shared" si="563"/>
        <v>0</v>
      </c>
      <c r="AG260" s="181"/>
      <c r="AH260" s="181"/>
      <c r="AI260" s="181">
        <f t="shared" si="564"/>
        <v>0</v>
      </c>
      <c r="AJ260" s="181"/>
      <c r="AK260" s="181"/>
      <c r="AL260" s="181">
        <f t="shared" si="565"/>
        <v>0</v>
      </c>
      <c r="AM260" s="181"/>
      <c r="AN260" s="181"/>
      <c r="AO260" s="181">
        <f t="shared" si="566"/>
        <v>0</v>
      </c>
      <c r="AP260" s="181"/>
      <c r="AQ260" s="181"/>
      <c r="AR260" s="181">
        <f t="shared" si="567"/>
        <v>0</v>
      </c>
      <c r="AS260" s="181"/>
      <c r="AT260" s="181"/>
      <c r="AU260" s="181">
        <f t="shared" si="568"/>
        <v>0</v>
      </c>
      <c r="AV260" s="181"/>
      <c r="AW260" s="181"/>
      <c r="AX260" s="181">
        <f t="shared" si="569"/>
        <v>0</v>
      </c>
      <c r="AY260" s="181"/>
      <c r="AZ260" s="181"/>
      <c r="BA260" s="181">
        <f t="shared" si="570"/>
        <v>0</v>
      </c>
      <c r="BB260" s="181"/>
      <c r="BC260" s="181"/>
      <c r="BD260" s="181">
        <f t="shared" si="571"/>
        <v>0</v>
      </c>
      <c r="BE260" s="181"/>
      <c r="BF260" s="181"/>
      <c r="BG260" s="181">
        <f t="shared" si="572"/>
        <v>0</v>
      </c>
      <c r="BH260" s="181"/>
      <c r="BI260" s="181"/>
      <c r="BJ260" s="181">
        <f t="shared" si="573"/>
        <v>0</v>
      </c>
      <c r="BK260" s="181"/>
      <c r="BL260" s="326"/>
      <c r="BM260" s="317"/>
      <c r="BN260" s="321"/>
    </row>
    <row r="261" s="269" customFormat="1" ht="33.95" customHeight="1" outlineLevel="5" collapsed="1" spans="2:66">
      <c r="B261" s="181" t="s">
        <v>792</v>
      </c>
      <c r="C261" s="289" t="s">
        <v>1277</v>
      </c>
      <c r="D261" s="269" t="s">
        <v>1278</v>
      </c>
      <c r="E261" s="181" t="s">
        <v>1279</v>
      </c>
      <c r="F261" s="181"/>
      <c r="G261" s="181" t="s">
        <v>936</v>
      </c>
      <c r="H261" s="181">
        <f t="shared" si="559"/>
        <v>0</v>
      </c>
      <c r="I261" s="181" t="s">
        <v>1268</v>
      </c>
      <c r="J261" s="304"/>
      <c r="K261" s="181" t="s">
        <v>1269</v>
      </c>
      <c r="L261" s="304"/>
      <c r="M261" s="181" t="s">
        <v>1270</v>
      </c>
      <c r="N261" s="181">
        <f t="shared" si="560"/>
        <v>0</v>
      </c>
      <c r="O261" s="304"/>
      <c r="P261" s="322"/>
      <c r="Q261" s="322"/>
      <c r="R261" s="322"/>
      <c r="S261" s="322"/>
      <c r="T261" s="322"/>
      <c r="U261" s="322"/>
      <c r="V261" s="322"/>
      <c r="W261" s="322"/>
      <c r="X261" s="322"/>
      <c r="Y261" s="322"/>
      <c r="Z261" s="322"/>
      <c r="AA261" s="181"/>
      <c r="AB261" s="181">
        <f t="shared" si="561"/>
        <v>0</v>
      </c>
      <c r="AC261" s="181">
        <f t="shared" si="562"/>
        <v>0</v>
      </c>
      <c r="AD261" s="181"/>
      <c r="AE261" s="181"/>
      <c r="AF261" s="181">
        <f t="shared" si="563"/>
        <v>0</v>
      </c>
      <c r="AG261" s="181"/>
      <c r="AH261" s="181"/>
      <c r="AI261" s="181">
        <f t="shared" si="564"/>
        <v>0</v>
      </c>
      <c r="AJ261" s="181"/>
      <c r="AK261" s="181"/>
      <c r="AL261" s="181">
        <f t="shared" si="565"/>
        <v>0</v>
      </c>
      <c r="AM261" s="181"/>
      <c r="AN261" s="181"/>
      <c r="AO261" s="181">
        <f t="shared" si="566"/>
        <v>0</v>
      </c>
      <c r="AP261" s="181"/>
      <c r="AQ261" s="181"/>
      <c r="AR261" s="181">
        <f t="shared" si="567"/>
        <v>0</v>
      </c>
      <c r="AS261" s="181"/>
      <c r="AT261" s="181"/>
      <c r="AU261" s="181">
        <f t="shared" si="568"/>
        <v>0</v>
      </c>
      <c r="AV261" s="181"/>
      <c r="AW261" s="181"/>
      <c r="AX261" s="181">
        <f t="shared" si="569"/>
        <v>0</v>
      </c>
      <c r="AY261" s="181"/>
      <c r="AZ261" s="181"/>
      <c r="BA261" s="181">
        <f t="shared" si="570"/>
        <v>0</v>
      </c>
      <c r="BB261" s="181"/>
      <c r="BC261" s="181"/>
      <c r="BD261" s="181">
        <f t="shared" si="571"/>
        <v>0</v>
      </c>
      <c r="BE261" s="181"/>
      <c r="BF261" s="181"/>
      <c r="BG261" s="181">
        <f t="shared" si="572"/>
        <v>0</v>
      </c>
      <c r="BH261" s="181"/>
      <c r="BI261" s="181"/>
      <c r="BJ261" s="181">
        <f t="shared" si="573"/>
        <v>0</v>
      </c>
      <c r="BK261" s="181"/>
      <c r="BL261" s="326"/>
      <c r="BM261" s="317"/>
      <c r="BN261" s="321"/>
    </row>
    <row r="262" s="43" customFormat="1" ht="33.95" customHeight="1" outlineLevel="3" spans="2:66">
      <c r="B262" s="121" t="s">
        <v>787</v>
      </c>
      <c r="C262" s="122" t="s">
        <v>1280</v>
      </c>
      <c r="D262" s="43" t="s">
        <v>1281</v>
      </c>
      <c r="E262" s="121" t="s">
        <v>1282</v>
      </c>
      <c r="F262" s="121"/>
      <c r="G262" s="121" t="s">
        <v>936</v>
      </c>
      <c r="H262" s="121">
        <f>H263+H264+H273+H274+H283+H287+H288+H289+H290</f>
        <v>312059.662941931</v>
      </c>
      <c r="I262" s="121"/>
      <c r="J262" s="121"/>
      <c r="K262" s="121"/>
      <c r="L262" s="121"/>
      <c r="M262" s="121"/>
      <c r="N262" s="121"/>
      <c r="O262" s="121"/>
      <c r="P262" s="294"/>
      <c r="Q262" s="294"/>
      <c r="R262" s="294"/>
      <c r="S262" s="294"/>
      <c r="T262" s="294"/>
      <c r="U262" s="294"/>
      <c r="V262" s="294"/>
      <c r="W262" s="294"/>
      <c r="X262" s="294"/>
      <c r="Y262" s="294"/>
      <c r="Z262" s="294"/>
      <c r="AA262" s="294"/>
      <c r="AB262" s="121">
        <f>AB263+AB264+AB273+AB274+AB283+AB287+AB288+AB289+AB290</f>
        <v>312059.662941931</v>
      </c>
      <c r="AC262" s="121">
        <f t="shared" ref="AC262:AF262" si="574">AC263+AC264+AC273+AC274+AC283+AC287+AC288+AC289+AC290</f>
        <v>173039.379923063</v>
      </c>
      <c r="AD262" s="121"/>
      <c r="AE262" s="121"/>
      <c r="AF262" s="121">
        <f t="shared" si="574"/>
        <v>12638.2075471698</v>
      </c>
      <c r="AG262" s="121"/>
      <c r="AH262" s="121"/>
      <c r="AI262" s="121">
        <f>AI263+AI264+AI273+AI274+AI283+AI287+AI288+AI289+AI290</f>
        <v>12638.2075471698</v>
      </c>
      <c r="AJ262" s="121"/>
      <c r="AK262" s="121"/>
      <c r="AL262" s="121">
        <f>AL263+AL264+AL273+AL274+AL283+AL287+AL288+AL289+AL290</f>
        <v>12638.2075471698</v>
      </c>
      <c r="AM262" s="121"/>
      <c r="AN262" s="121"/>
      <c r="AO262" s="121">
        <f>AO263+AO264+AO273+AO274+AO283+AO287+AO288+AO289+AO290</f>
        <v>12638.2075471698</v>
      </c>
      <c r="AP262" s="121"/>
      <c r="AQ262" s="121"/>
      <c r="AR262" s="121">
        <f>AR263+AR264+AR273+AR274+AR283+AR287+AR288+AR289+AR290</f>
        <v>12638.2075471698</v>
      </c>
      <c r="AS262" s="121"/>
      <c r="AT262" s="121"/>
      <c r="AU262" s="121">
        <f>AU263+AU264+AU273+AU274+AU283+AU287+AU288+AU289+AU290</f>
        <v>12638.2075471698</v>
      </c>
      <c r="AV262" s="121"/>
      <c r="AW262" s="121"/>
      <c r="AX262" s="121">
        <f>AX263+AX264+AX273+AX274+AX283+AX287+AX288+AX289+AX290</f>
        <v>12638.2075471698</v>
      </c>
      <c r="AY262" s="121"/>
      <c r="AZ262" s="121"/>
      <c r="BA262" s="121">
        <f>BA263+BA264+BA273+BA274+BA283+BA287+BA288+BA289+BA290</f>
        <v>12638.2075471698</v>
      </c>
      <c r="BB262" s="121"/>
      <c r="BC262" s="121"/>
      <c r="BD262" s="121">
        <f>BD263+BD264+BD273+BD274+BD283+BD287+BD288+BD289+BD290</f>
        <v>12638.2075471698</v>
      </c>
      <c r="BE262" s="121"/>
      <c r="BF262" s="121"/>
      <c r="BG262" s="121">
        <f>BG263+BG264+BG273+BG274+BG283+BG287+BG288+BG289+BG290</f>
        <v>12638.2075471698</v>
      </c>
      <c r="BH262" s="121"/>
      <c r="BI262" s="121"/>
      <c r="BJ262" s="121">
        <f>BJ263+BJ264+BJ273+BJ274+BJ283+BJ287+BJ288+BJ289+BJ290</f>
        <v>12638.2075471698</v>
      </c>
      <c r="BK262" s="121"/>
      <c r="BL262" s="311"/>
      <c r="BM262" s="317"/>
      <c r="BN262" s="319"/>
    </row>
    <row r="263" s="124" customFormat="1" ht="33.95" customHeight="1" outlineLevel="4" spans="2:66">
      <c r="B263" s="125" t="s">
        <v>792</v>
      </c>
      <c r="C263" s="126" t="s">
        <v>28</v>
      </c>
      <c r="D263" s="124" t="s">
        <v>29</v>
      </c>
      <c r="E263" s="125" t="s">
        <v>1283</v>
      </c>
      <c r="F263" s="125"/>
      <c r="G263" s="125" t="s">
        <v>936</v>
      </c>
      <c r="H263" s="125">
        <f>IFERROR(J263*L263*N263,0)</f>
        <v>151658.490566038</v>
      </c>
      <c r="I263" s="125" t="s">
        <v>1284</v>
      </c>
      <c r="J263" s="304">
        <f>预算主表!P82/12</f>
        <v>12638.2075471698</v>
      </c>
      <c r="K263" s="125" t="s">
        <v>1026</v>
      </c>
      <c r="L263" s="304">
        <v>1</v>
      </c>
      <c r="M263" s="125" t="s">
        <v>1189</v>
      </c>
      <c r="N263" s="125">
        <f t="shared" ref="N263:N273" si="575">COUNTA(O263:Z263)</f>
        <v>12</v>
      </c>
      <c r="O263" s="304" t="s">
        <v>1285</v>
      </c>
      <c r="P263" s="304" t="s">
        <v>1285</v>
      </c>
      <c r="Q263" s="304" t="s">
        <v>1285</v>
      </c>
      <c r="R263" s="304" t="s">
        <v>1285</v>
      </c>
      <c r="S263" s="304" t="s">
        <v>1285</v>
      </c>
      <c r="T263" s="304" t="s">
        <v>1285</v>
      </c>
      <c r="U263" s="304" t="s">
        <v>1285</v>
      </c>
      <c r="V263" s="304" t="s">
        <v>1285</v>
      </c>
      <c r="W263" s="304" t="s">
        <v>1285</v>
      </c>
      <c r="X263" s="304" t="s">
        <v>1285</v>
      </c>
      <c r="Y263" s="304" t="s">
        <v>1285</v>
      </c>
      <c r="Z263" s="304" t="s">
        <v>1285</v>
      </c>
      <c r="AA263" s="125"/>
      <c r="AB263" s="125">
        <f t="shared" ref="AB263:AB273" si="576">SUM(AC263,AF263,AI263,AL263,AO263,AR263,AU263,AX263,BA263,BD263,BG263,BJ263)</f>
        <v>151658.490566038</v>
      </c>
      <c r="AC263" s="125">
        <f t="shared" ref="AC263:AC273" si="577">IF(O263="",0,$J263*$L263)</f>
        <v>12638.2075471698</v>
      </c>
      <c r="AD263" s="125"/>
      <c r="AE263" s="125"/>
      <c r="AF263" s="125">
        <f t="shared" ref="AF263:AF273" si="578">IF(P263="",0,$J263*$L263)</f>
        <v>12638.2075471698</v>
      </c>
      <c r="AG263" s="125"/>
      <c r="AH263" s="125"/>
      <c r="AI263" s="125">
        <f t="shared" ref="AI263:AI273" si="579">IF(Q263="",0,$J263*$L263)</f>
        <v>12638.2075471698</v>
      </c>
      <c r="AJ263" s="125"/>
      <c r="AK263" s="125"/>
      <c r="AL263" s="125">
        <f t="shared" ref="AL263:AL273" si="580">IF(R263="",0,$J263*$L263)</f>
        <v>12638.2075471698</v>
      </c>
      <c r="AM263" s="125"/>
      <c r="AN263" s="125"/>
      <c r="AO263" s="125">
        <f t="shared" ref="AO263:AO273" si="581">IF(S263="",0,$J263*$L263)</f>
        <v>12638.2075471698</v>
      </c>
      <c r="AP263" s="125"/>
      <c r="AQ263" s="125"/>
      <c r="AR263" s="125">
        <f t="shared" ref="AR263:AR273" si="582">IF(T263="",0,$J263*$L263)</f>
        <v>12638.2075471698</v>
      </c>
      <c r="AS263" s="125"/>
      <c r="AT263" s="125"/>
      <c r="AU263" s="125">
        <f t="shared" ref="AU263:AU273" si="583">IF(U263="",0,$J263*$L263)</f>
        <v>12638.2075471698</v>
      </c>
      <c r="AV263" s="125"/>
      <c r="AW263" s="125"/>
      <c r="AX263" s="125">
        <f t="shared" ref="AX263:AX273" si="584">IF(V263="",0,$J263*$L263)</f>
        <v>12638.2075471698</v>
      </c>
      <c r="AY263" s="125"/>
      <c r="AZ263" s="125"/>
      <c r="BA263" s="125">
        <f t="shared" ref="BA263:BA273" si="585">IF(W263="",0,$J263*$L263)</f>
        <v>12638.2075471698</v>
      </c>
      <c r="BB263" s="125"/>
      <c r="BC263" s="125"/>
      <c r="BD263" s="125">
        <f t="shared" ref="BD263:BD273" si="586">IF(X263="",0,$J263*$L263)</f>
        <v>12638.2075471698</v>
      </c>
      <c r="BE263" s="125"/>
      <c r="BF263" s="125"/>
      <c r="BG263" s="125">
        <f t="shared" ref="BG263:BG273" si="587">IF(Y263="",0,$J263*$L263)</f>
        <v>12638.2075471698</v>
      </c>
      <c r="BH263" s="125"/>
      <c r="BI263" s="125"/>
      <c r="BJ263" s="125">
        <f t="shared" ref="BJ263:BJ273" si="588">IF(Z263="",0,$J263*$L263)</f>
        <v>12638.2075471698</v>
      </c>
      <c r="BK263" s="125"/>
      <c r="BL263" s="312"/>
      <c r="BM263" s="317"/>
      <c r="BN263" s="320"/>
    </row>
    <row r="264" s="124" customFormat="1" ht="33.95" customHeight="1" outlineLevel="4" spans="2:66">
      <c r="B264" s="125" t="s">
        <v>787</v>
      </c>
      <c r="C264" s="126" t="s">
        <v>1286</v>
      </c>
      <c r="D264" s="124" t="s">
        <v>1287</v>
      </c>
      <c r="E264" s="125"/>
      <c r="F264" s="125"/>
      <c r="G264" s="125"/>
      <c r="H264" s="125">
        <f>SUM(H265:H272)</f>
        <v>160401.172375893</v>
      </c>
      <c r="I264" s="125"/>
      <c r="J264" s="125"/>
      <c r="K264" s="125"/>
      <c r="L264" s="125"/>
      <c r="M264" s="125"/>
      <c r="N264" s="125"/>
      <c r="O264" s="125"/>
      <c r="P264" s="295"/>
      <c r="Q264" s="295"/>
      <c r="R264" s="295"/>
      <c r="S264" s="295"/>
      <c r="T264" s="295"/>
      <c r="U264" s="295"/>
      <c r="V264" s="295"/>
      <c r="W264" s="295"/>
      <c r="X264" s="295"/>
      <c r="Y264" s="295"/>
      <c r="Z264" s="295"/>
      <c r="AA264" s="295"/>
      <c r="AB264" s="125">
        <f t="shared" ref="AB264:AF264" si="589">SUM(AB265:AB272)</f>
        <v>160401.172375893</v>
      </c>
      <c r="AC264" s="125">
        <f t="shared" si="589"/>
        <v>160401.172375893</v>
      </c>
      <c r="AD264" s="125"/>
      <c r="AE264" s="125"/>
      <c r="AF264" s="125">
        <f t="shared" si="589"/>
        <v>0</v>
      </c>
      <c r="AG264" s="125"/>
      <c r="AH264" s="125"/>
      <c r="AI264" s="125">
        <f>SUM(AI265:AI272)</f>
        <v>0</v>
      </c>
      <c r="AJ264" s="125"/>
      <c r="AK264" s="125"/>
      <c r="AL264" s="125">
        <f>SUM(AL265:AL272)</f>
        <v>0</v>
      </c>
      <c r="AM264" s="125"/>
      <c r="AN264" s="125"/>
      <c r="AO264" s="125">
        <f>SUM(AO265:AO272)</f>
        <v>0</v>
      </c>
      <c r="AP264" s="125"/>
      <c r="AQ264" s="125"/>
      <c r="AR264" s="125">
        <f>SUM(AR265:AR272)</f>
        <v>0</v>
      </c>
      <c r="AS264" s="125"/>
      <c r="AT264" s="125"/>
      <c r="AU264" s="125">
        <f>SUM(AU265:AU272)</f>
        <v>0</v>
      </c>
      <c r="AV264" s="125"/>
      <c r="AW264" s="125"/>
      <c r="AX264" s="125">
        <f>SUM(AX265:AX272)</f>
        <v>0</v>
      </c>
      <c r="AY264" s="125"/>
      <c r="AZ264" s="125"/>
      <c r="BA264" s="125">
        <f>SUM(BA265:BA272)</f>
        <v>0</v>
      </c>
      <c r="BB264" s="125"/>
      <c r="BC264" s="125"/>
      <c r="BD264" s="125">
        <f>SUM(BD265:BD272)</f>
        <v>0</v>
      </c>
      <c r="BE264" s="125"/>
      <c r="BF264" s="125"/>
      <c r="BG264" s="125">
        <f>SUM(BG265:BG272)</f>
        <v>0</v>
      </c>
      <c r="BH264" s="125"/>
      <c r="BI264" s="125"/>
      <c r="BJ264" s="125">
        <f>SUM(BJ265:BJ272)</f>
        <v>0</v>
      </c>
      <c r="BK264" s="125"/>
      <c r="BL264" s="312"/>
      <c r="BM264" s="317"/>
      <c r="BN264" s="320"/>
    </row>
    <row r="265" s="269" customFormat="1" ht="33.95" customHeight="1" outlineLevel="5" spans="2:66">
      <c r="B265" s="181" t="s">
        <v>792</v>
      </c>
      <c r="C265" s="289" t="s">
        <v>56</v>
      </c>
      <c r="D265" s="269" t="s">
        <v>57</v>
      </c>
      <c r="E265" s="181" t="s">
        <v>1288</v>
      </c>
      <c r="F265" s="181"/>
      <c r="G265" s="181" t="s">
        <v>936</v>
      </c>
      <c r="H265" s="181">
        <f t="shared" ref="H265:H273" si="590">IFERROR(J265*L265*N265,0)</f>
        <v>0</v>
      </c>
      <c r="I265" s="181" t="s">
        <v>1289</v>
      </c>
      <c r="J265" s="304"/>
      <c r="K265" s="181" t="s">
        <v>1290</v>
      </c>
      <c r="L265" s="304"/>
      <c r="M265" s="181" t="s">
        <v>1291</v>
      </c>
      <c r="N265" s="181">
        <f t="shared" si="575"/>
        <v>0</v>
      </c>
      <c r="O265" s="304"/>
      <c r="P265" s="323"/>
      <c r="Q265" s="323"/>
      <c r="R265" s="323"/>
      <c r="S265" s="323"/>
      <c r="T265" s="323"/>
      <c r="U265" s="323"/>
      <c r="V265" s="323"/>
      <c r="W265" s="323"/>
      <c r="X265" s="323"/>
      <c r="Y265" s="323"/>
      <c r="Z265" s="323"/>
      <c r="AA265" s="181"/>
      <c r="AB265" s="181">
        <f t="shared" si="576"/>
        <v>0</v>
      </c>
      <c r="AC265" s="181">
        <f t="shared" si="577"/>
        <v>0</v>
      </c>
      <c r="AD265" s="181"/>
      <c r="AE265" s="181"/>
      <c r="AF265" s="181">
        <f t="shared" si="578"/>
        <v>0</v>
      </c>
      <c r="AG265" s="181"/>
      <c r="AH265" s="181"/>
      <c r="AI265" s="181">
        <f t="shared" si="579"/>
        <v>0</v>
      </c>
      <c r="AJ265" s="181"/>
      <c r="AK265" s="181"/>
      <c r="AL265" s="181">
        <f t="shared" si="580"/>
        <v>0</v>
      </c>
      <c r="AM265" s="181"/>
      <c r="AN265" s="181"/>
      <c r="AO265" s="181">
        <f t="shared" si="581"/>
        <v>0</v>
      </c>
      <c r="AP265" s="181"/>
      <c r="AQ265" s="181"/>
      <c r="AR265" s="181">
        <f t="shared" si="582"/>
        <v>0</v>
      </c>
      <c r="AS265" s="181"/>
      <c r="AT265" s="181"/>
      <c r="AU265" s="181">
        <f t="shared" si="583"/>
        <v>0</v>
      </c>
      <c r="AV265" s="181"/>
      <c r="AW265" s="181"/>
      <c r="AX265" s="181">
        <f t="shared" si="584"/>
        <v>0</v>
      </c>
      <c r="AY265" s="181"/>
      <c r="AZ265" s="181"/>
      <c r="BA265" s="181">
        <f t="shared" si="585"/>
        <v>0</v>
      </c>
      <c r="BB265" s="181"/>
      <c r="BC265" s="181"/>
      <c r="BD265" s="181">
        <f t="shared" si="586"/>
        <v>0</v>
      </c>
      <c r="BE265" s="181"/>
      <c r="BF265" s="181"/>
      <c r="BG265" s="181">
        <f t="shared" si="587"/>
        <v>0</v>
      </c>
      <c r="BH265" s="181"/>
      <c r="BI265" s="181"/>
      <c r="BJ265" s="181">
        <f t="shared" si="588"/>
        <v>0</v>
      </c>
      <c r="BK265" s="181"/>
      <c r="BL265" s="326"/>
      <c r="BM265" s="317"/>
      <c r="BN265" s="321"/>
    </row>
    <row r="266" s="269" customFormat="1" ht="33.95" customHeight="1" outlineLevel="5" spans="2:66">
      <c r="B266" s="181" t="s">
        <v>792</v>
      </c>
      <c r="C266" s="289" t="s">
        <v>58</v>
      </c>
      <c r="D266" s="269" t="s">
        <v>59</v>
      </c>
      <c r="E266" s="181" t="s">
        <v>1292</v>
      </c>
      <c r="F266" s="181"/>
      <c r="G266" s="181" t="s">
        <v>936</v>
      </c>
      <c r="H266" s="181">
        <f t="shared" si="590"/>
        <v>114174.757281553</v>
      </c>
      <c r="I266" s="181" t="s">
        <v>1293</v>
      </c>
      <c r="J266" s="304">
        <f>预算主表!P87</f>
        <v>114174.757281553</v>
      </c>
      <c r="K266" s="181" t="s">
        <v>1269</v>
      </c>
      <c r="L266" s="304">
        <v>1</v>
      </c>
      <c r="M266" s="181" t="s">
        <v>1294</v>
      </c>
      <c r="N266" s="181">
        <f t="shared" si="575"/>
        <v>1</v>
      </c>
      <c r="O266" s="304" t="s">
        <v>1285</v>
      </c>
      <c r="P266" s="304"/>
      <c r="Q266" s="304"/>
      <c r="R266" s="304"/>
      <c r="S266" s="304"/>
      <c r="T266" s="304"/>
      <c r="U266" s="304"/>
      <c r="V266" s="304"/>
      <c r="W266" s="304"/>
      <c r="X266" s="304"/>
      <c r="Y266" s="304"/>
      <c r="Z266" s="304"/>
      <c r="AA266" s="181"/>
      <c r="AB266" s="181">
        <f t="shared" si="576"/>
        <v>114174.757281553</v>
      </c>
      <c r="AC266" s="181">
        <f t="shared" si="577"/>
        <v>114174.757281553</v>
      </c>
      <c r="AD266" s="181"/>
      <c r="AE266" s="181"/>
      <c r="AF266" s="181">
        <f t="shared" si="578"/>
        <v>0</v>
      </c>
      <c r="AG266" s="181"/>
      <c r="AH266" s="181"/>
      <c r="AI266" s="181">
        <f t="shared" si="579"/>
        <v>0</v>
      </c>
      <c r="AJ266" s="181"/>
      <c r="AK266" s="181"/>
      <c r="AL266" s="181">
        <f t="shared" si="580"/>
        <v>0</v>
      </c>
      <c r="AM266" s="181"/>
      <c r="AN266" s="181"/>
      <c r="AO266" s="181">
        <f t="shared" si="581"/>
        <v>0</v>
      </c>
      <c r="AP266" s="181"/>
      <c r="AQ266" s="181"/>
      <c r="AR266" s="181">
        <f t="shared" si="582"/>
        <v>0</v>
      </c>
      <c r="AS266" s="181"/>
      <c r="AT266" s="181"/>
      <c r="AU266" s="181">
        <f t="shared" si="583"/>
        <v>0</v>
      </c>
      <c r="AV266" s="181"/>
      <c r="AW266" s="181"/>
      <c r="AX266" s="181">
        <f t="shared" si="584"/>
        <v>0</v>
      </c>
      <c r="AY266" s="181"/>
      <c r="AZ266" s="181"/>
      <c r="BA266" s="181">
        <f t="shared" si="585"/>
        <v>0</v>
      </c>
      <c r="BB266" s="181"/>
      <c r="BC266" s="181"/>
      <c r="BD266" s="181">
        <f t="shared" si="586"/>
        <v>0</v>
      </c>
      <c r="BE266" s="181"/>
      <c r="BF266" s="181"/>
      <c r="BG266" s="181">
        <f t="shared" si="587"/>
        <v>0</v>
      </c>
      <c r="BH266" s="181"/>
      <c r="BI266" s="181"/>
      <c r="BJ266" s="181">
        <f t="shared" si="588"/>
        <v>0</v>
      </c>
      <c r="BK266" s="181"/>
      <c r="BL266" s="326"/>
      <c r="BM266" s="317"/>
      <c r="BN266" s="321"/>
    </row>
    <row r="267" s="269" customFormat="1" ht="33.95" customHeight="1" outlineLevel="5" spans="2:66">
      <c r="B267" s="181" t="s">
        <v>792</v>
      </c>
      <c r="C267" s="289" t="s">
        <v>60</v>
      </c>
      <c r="D267" s="269" t="s">
        <v>61</v>
      </c>
      <c r="E267" s="181" t="s">
        <v>1295</v>
      </c>
      <c r="F267" s="181"/>
      <c r="G267" s="181" t="s">
        <v>936</v>
      </c>
      <c r="H267" s="181">
        <f t="shared" si="590"/>
        <v>0</v>
      </c>
      <c r="I267" s="181" t="s">
        <v>1296</v>
      </c>
      <c r="J267" s="304"/>
      <c r="K267" s="181" t="s">
        <v>1297</v>
      </c>
      <c r="L267" s="304"/>
      <c r="M267" s="181" t="s">
        <v>1298</v>
      </c>
      <c r="N267" s="181">
        <f t="shared" si="575"/>
        <v>0</v>
      </c>
      <c r="O267" s="304"/>
      <c r="P267" s="304"/>
      <c r="Q267" s="304"/>
      <c r="R267" s="304"/>
      <c r="S267" s="304"/>
      <c r="T267" s="304"/>
      <c r="U267" s="304"/>
      <c r="V267" s="304"/>
      <c r="W267" s="304"/>
      <c r="X267" s="304"/>
      <c r="Y267" s="304"/>
      <c r="Z267" s="304"/>
      <c r="AA267" s="181"/>
      <c r="AB267" s="181">
        <f t="shared" si="576"/>
        <v>0</v>
      </c>
      <c r="AC267" s="181">
        <f t="shared" si="577"/>
        <v>0</v>
      </c>
      <c r="AD267" s="181"/>
      <c r="AE267" s="181"/>
      <c r="AF267" s="181">
        <f t="shared" si="578"/>
        <v>0</v>
      </c>
      <c r="AG267" s="181"/>
      <c r="AH267" s="181"/>
      <c r="AI267" s="181">
        <f t="shared" si="579"/>
        <v>0</v>
      </c>
      <c r="AJ267" s="181"/>
      <c r="AK267" s="181"/>
      <c r="AL267" s="181">
        <f t="shared" si="580"/>
        <v>0</v>
      </c>
      <c r="AM267" s="181"/>
      <c r="AN267" s="181"/>
      <c r="AO267" s="181">
        <f t="shared" si="581"/>
        <v>0</v>
      </c>
      <c r="AP267" s="181"/>
      <c r="AQ267" s="181"/>
      <c r="AR267" s="181">
        <f t="shared" si="582"/>
        <v>0</v>
      </c>
      <c r="AS267" s="181"/>
      <c r="AT267" s="181"/>
      <c r="AU267" s="181">
        <f t="shared" si="583"/>
        <v>0</v>
      </c>
      <c r="AV267" s="181"/>
      <c r="AW267" s="181"/>
      <c r="AX267" s="181">
        <f t="shared" si="584"/>
        <v>0</v>
      </c>
      <c r="AY267" s="181"/>
      <c r="AZ267" s="181"/>
      <c r="BA267" s="181">
        <f t="shared" si="585"/>
        <v>0</v>
      </c>
      <c r="BB267" s="181"/>
      <c r="BC267" s="181"/>
      <c r="BD267" s="181">
        <f t="shared" si="586"/>
        <v>0</v>
      </c>
      <c r="BE267" s="181"/>
      <c r="BF267" s="181"/>
      <c r="BG267" s="181">
        <f t="shared" si="587"/>
        <v>0</v>
      </c>
      <c r="BH267" s="181"/>
      <c r="BI267" s="181"/>
      <c r="BJ267" s="181">
        <f t="shared" si="588"/>
        <v>0</v>
      </c>
      <c r="BK267" s="181"/>
      <c r="BL267" s="326"/>
      <c r="BM267" s="317"/>
      <c r="BN267" s="321"/>
    </row>
    <row r="268" s="269" customFormat="1" ht="33.95" customHeight="1" outlineLevel="5" spans="2:66">
      <c r="B268" s="181" t="s">
        <v>792</v>
      </c>
      <c r="C268" s="289" t="s">
        <v>50</v>
      </c>
      <c r="D268" s="269" t="s">
        <v>51</v>
      </c>
      <c r="E268" s="181" t="s">
        <v>1292</v>
      </c>
      <c r="F268" s="181"/>
      <c r="G268" s="181" t="s">
        <v>936</v>
      </c>
      <c r="H268" s="181">
        <f t="shared" si="590"/>
        <v>46226.4150943396</v>
      </c>
      <c r="I268" s="181" t="s">
        <v>1235</v>
      </c>
      <c r="J268" s="304">
        <f>预算主表!P86</f>
        <v>46226.4150943396</v>
      </c>
      <c r="K268" s="181" t="s">
        <v>1269</v>
      </c>
      <c r="L268" s="304">
        <v>1</v>
      </c>
      <c r="M268" s="181" t="s">
        <v>1294</v>
      </c>
      <c r="N268" s="181">
        <f t="shared" si="575"/>
        <v>1</v>
      </c>
      <c r="O268" s="304" t="s">
        <v>1285</v>
      </c>
      <c r="P268" s="304"/>
      <c r="Q268" s="304"/>
      <c r="R268" s="304"/>
      <c r="S268" s="304"/>
      <c r="T268" s="304"/>
      <c r="U268" s="304"/>
      <c r="V268" s="304"/>
      <c r="W268" s="304"/>
      <c r="X268" s="304"/>
      <c r="Y268" s="304"/>
      <c r="Z268" s="304"/>
      <c r="AA268" s="181"/>
      <c r="AB268" s="181">
        <f t="shared" si="576"/>
        <v>46226.4150943396</v>
      </c>
      <c r="AC268" s="181">
        <f t="shared" si="577"/>
        <v>46226.4150943396</v>
      </c>
      <c r="AD268" s="181"/>
      <c r="AE268" s="181"/>
      <c r="AF268" s="181">
        <f t="shared" si="578"/>
        <v>0</v>
      </c>
      <c r="AG268" s="181"/>
      <c r="AH268" s="181"/>
      <c r="AI268" s="181">
        <f t="shared" si="579"/>
        <v>0</v>
      </c>
      <c r="AJ268" s="181"/>
      <c r="AK268" s="181"/>
      <c r="AL268" s="181">
        <f t="shared" si="580"/>
        <v>0</v>
      </c>
      <c r="AM268" s="181"/>
      <c r="AN268" s="181"/>
      <c r="AO268" s="181">
        <f t="shared" si="581"/>
        <v>0</v>
      </c>
      <c r="AP268" s="181"/>
      <c r="AQ268" s="181"/>
      <c r="AR268" s="181">
        <f t="shared" si="582"/>
        <v>0</v>
      </c>
      <c r="AS268" s="181"/>
      <c r="AT268" s="181"/>
      <c r="AU268" s="181">
        <f t="shared" si="583"/>
        <v>0</v>
      </c>
      <c r="AV268" s="181"/>
      <c r="AW268" s="181"/>
      <c r="AX268" s="181">
        <f t="shared" si="584"/>
        <v>0</v>
      </c>
      <c r="AY268" s="181"/>
      <c r="AZ268" s="181"/>
      <c r="BA268" s="181">
        <f t="shared" si="585"/>
        <v>0</v>
      </c>
      <c r="BB268" s="181"/>
      <c r="BC268" s="181"/>
      <c r="BD268" s="181">
        <f t="shared" si="586"/>
        <v>0</v>
      </c>
      <c r="BE268" s="181"/>
      <c r="BF268" s="181"/>
      <c r="BG268" s="181">
        <f t="shared" si="587"/>
        <v>0</v>
      </c>
      <c r="BH268" s="181"/>
      <c r="BI268" s="181"/>
      <c r="BJ268" s="181">
        <f t="shared" si="588"/>
        <v>0</v>
      </c>
      <c r="BK268" s="181"/>
      <c r="BL268" s="326"/>
      <c r="BM268" s="317"/>
      <c r="BN268" s="321"/>
    </row>
    <row r="269" s="269" customFormat="1" ht="33.95" customHeight="1" outlineLevel="5" spans="2:66">
      <c r="B269" s="181" t="s">
        <v>792</v>
      </c>
      <c r="C269" s="289" t="s">
        <v>52</v>
      </c>
      <c r="D269" s="269" t="s">
        <v>53</v>
      </c>
      <c r="E269" s="181" t="s">
        <v>1292</v>
      </c>
      <c r="F269" s="181"/>
      <c r="G269" s="181" t="s">
        <v>936</v>
      </c>
      <c r="H269" s="181">
        <f t="shared" si="590"/>
        <v>0</v>
      </c>
      <c r="I269" s="181" t="s">
        <v>1235</v>
      </c>
      <c r="J269" s="304"/>
      <c r="K269" s="181" t="s">
        <v>1269</v>
      </c>
      <c r="L269" s="304"/>
      <c r="M269" s="181" t="s">
        <v>1294</v>
      </c>
      <c r="N269" s="181">
        <f t="shared" si="575"/>
        <v>0</v>
      </c>
      <c r="O269" s="304"/>
      <c r="P269" s="304"/>
      <c r="Q269" s="304"/>
      <c r="R269" s="304"/>
      <c r="S269" s="304"/>
      <c r="T269" s="304"/>
      <c r="U269" s="304"/>
      <c r="V269" s="304"/>
      <c r="W269" s="304"/>
      <c r="X269" s="304"/>
      <c r="Y269" s="304"/>
      <c r="Z269" s="304"/>
      <c r="AA269" s="181"/>
      <c r="AB269" s="181">
        <f t="shared" si="576"/>
        <v>0</v>
      </c>
      <c r="AC269" s="181">
        <f t="shared" si="577"/>
        <v>0</v>
      </c>
      <c r="AD269" s="181"/>
      <c r="AE269" s="181"/>
      <c r="AF269" s="181">
        <f t="shared" si="578"/>
        <v>0</v>
      </c>
      <c r="AG269" s="181"/>
      <c r="AH269" s="181"/>
      <c r="AI269" s="181">
        <f t="shared" si="579"/>
        <v>0</v>
      </c>
      <c r="AJ269" s="181"/>
      <c r="AK269" s="181"/>
      <c r="AL269" s="181">
        <f t="shared" si="580"/>
        <v>0</v>
      </c>
      <c r="AM269" s="181"/>
      <c r="AN269" s="181"/>
      <c r="AO269" s="181">
        <f t="shared" si="581"/>
        <v>0</v>
      </c>
      <c r="AP269" s="181"/>
      <c r="AQ269" s="181"/>
      <c r="AR269" s="181">
        <f t="shared" si="582"/>
        <v>0</v>
      </c>
      <c r="AS269" s="181"/>
      <c r="AT269" s="181"/>
      <c r="AU269" s="181">
        <f t="shared" si="583"/>
        <v>0</v>
      </c>
      <c r="AV269" s="181"/>
      <c r="AW269" s="181"/>
      <c r="AX269" s="181">
        <f t="shared" si="584"/>
        <v>0</v>
      </c>
      <c r="AY269" s="181"/>
      <c r="AZ269" s="181"/>
      <c r="BA269" s="181">
        <f t="shared" si="585"/>
        <v>0</v>
      </c>
      <c r="BB269" s="181"/>
      <c r="BC269" s="181"/>
      <c r="BD269" s="181">
        <f t="shared" si="586"/>
        <v>0</v>
      </c>
      <c r="BE269" s="181"/>
      <c r="BF269" s="181"/>
      <c r="BG269" s="181">
        <f t="shared" si="587"/>
        <v>0</v>
      </c>
      <c r="BH269" s="181"/>
      <c r="BI269" s="181"/>
      <c r="BJ269" s="181">
        <f t="shared" si="588"/>
        <v>0</v>
      </c>
      <c r="BK269" s="181"/>
      <c r="BL269" s="326"/>
      <c r="BM269" s="317"/>
      <c r="BN269" s="321"/>
    </row>
    <row r="270" s="269" customFormat="1" ht="33.95" customHeight="1" outlineLevel="5" spans="2:66">
      <c r="B270" s="181" t="s">
        <v>792</v>
      </c>
      <c r="C270" s="289" t="s">
        <v>1299</v>
      </c>
      <c r="D270" s="269" t="s">
        <v>1300</v>
      </c>
      <c r="E270" s="181" t="s">
        <v>1292</v>
      </c>
      <c r="F270" s="181"/>
      <c r="G270" s="181" t="s">
        <v>936</v>
      </c>
      <c r="H270" s="181">
        <f t="shared" si="590"/>
        <v>0</v>
      </c>
      <c r="I270" s="181" t="s">
        <v>1235</v>
      </c>
      <c r="J270" s="304"/>
      <c r="K270" s="181" t="s">
        <v>1269</v>
      </c>
      <c r="L270" s="304"/>
      <c r="M270" s="181" t="s">
        <v>1294</v>
      </c>
      <c r="N270" s="181">
        <f t="shared" si="575"/>
        <v>0</v>
      </c>
      <c r="O270" s="304"/>
      <c r="P270" s="304"/>
      <c r="Q270" s="304"/>
      <c r="R270" s="304"/>
      <c r="S270" s="304"/>
      <c r="T270" s="304"/>
      <c r="U270" s="304"/>
      <c r="V270" s="304"/>
      <c r="W270" s="304"/>
      <c r="X270" s="304"/>
      <c r="Y270" s="304"/>
      <c r="Z270" s="304"/>
      <c r="AA270" s="181"/>
      <c r="AB270" s="181">
        <f t="shared" si="576"/>
        <v>0</v>
      </c>
      <c r="AC270" s="181">
        <f t="shared" si="577"/>
        <v>0</v>
      </c>
      <c r="AD270" s="181"/>
      <c r="AE270" s="181"/>
      <c r="AF270" s="181">
        <f t="shared" si="578"/>
        <v>0</v>
      </c>
      <c r="AG270" s="181"/>
      <c r="AH270" s="181"/>
      <c r="AI270" s="181">
        <f t="shared" si="579"/>
        <v>0</v>
      </c>
      <c r="AJ270" s="181"/>
      <c r="AK270" s="181"/>
      <c r="AL270" s="181">
        <f t="shared" si="580"/>
        <v>0</v>
      </c>
      <c r="AM270" s="181"/>
      <c r="AN270" s="181"/>
      <c r="AO270" s="181">
        <f t="shared" si="581"/>
        <v>0</v>
      </c>
      <c r="AP270" s="181"/>
      <c r="AQ270" s="181"/>
      <c r="AR270" s="181">
        <f t="shared" si="582"/>
        <v>0</v>
      </c>
      <c r="AS270" s="181"/>
      <c r="AT270" s="181"/>
      <c r="AU270" s="181">
        <f t="shared" si="583"/>
        <v>0</v>
      </c>
      <c r="AV270" s="181"/>
      <c r="AW270" s="181"/>
      <c r="AX270" s="181">
        <f t="shared" si="584"/>
        <v>0</v>
      </c>
      <c r="AY270" s="181"/>
      <c r="AZ270" s="181"/>
      <c r="BA270" s="181">
        <f t="shared" si="585"/>
        <v>0</v>
      </c>
      <c r="BB270" s="181"/>
      <c r="BC270" s="181"/>
      <c r="BD270" s="181">
        <f t="shared" si="586"/>
        <v>0</v>
      </c>
      <c r="BE270" s="181"/>
      <c r="BF270" s="181"/>
      <c r="BG270" s="181">
        <f t="shared" si="587"/>
        <v>0</v>
      </c>
      <c r="BH270" s="181"/>
      <c r="BI270" s="181"/>
      <c r="BJ270" s="181">
        <f t="shared" si="588"/>
        <v>0</v>
      </c>
      <c r="BK270" s="181"/>
      <c r="BL270" s="326"/>
      <c r="BM270" s="317"/>
      <c r="BN270" s="321"/>
    </row>
    <row r="271" s="269" customFormat="1" ht="33.95" customHeight="1" outlineLevel="5" spans="2:66">
      <c r="B271" s="181" t="s">
        <v>792</v>
      </c>
      <c r="C271" s="289" t="s">
        <v>1301</v>
      </c>
      <c r="D271" s="269" t="s">
        <v>1302</v>
      </c>
      <c r="E271" s="181" t="s">
        <v>1292</v>
      </c>
      <c r="F271" s="181"/>
      <c r="G271" s="181" t="s">
        <v>936</v>
      </c>
      <c r="H271" s="181">
        <f t="shared" si="590"/>
        <v>0</v>
      </c>
      <c r="I271" s="181" t="s">
        <v>1235</v>
      </c>
      <c r="J271" s="304"/>
      <c r="K271" s="181" t="s">
        <v>1269</v>
      </c>
      <c r="L271" s="304"/>
      <c r="M271" s="181" t="s">
        <v>1294</v>
      </c>
      <c r="N271" s="181">
        <f t="shared" si="575"/>
        <v>0</v>
      </c>
      <c r="O271" s="304"/>
      <c r="P271" s="304"/>
      <c r="Q271" s="304"/>
      <c r="R271" s="304"/>
      <c r="S271" s="304"/>
      <c r="T271" s="304"/>
      <c r="U271" s="304"/>
      <c r="V271" s="304"/>
      <c r="W271" s="304"/>
      <c r="X271" s="304"/>
      <c r="Y271" s="304"/>
      <c r="Z271" s="304"/>
      <c r="AA271" s="181"/>
      <c r="AB271" s="181">
        <f t="shared" si="576"/>
        <v>0</v>
      </c>
      <c r="AC271" s="181">
        <f t="shared" si="577"/>
        <v>0</v>
      </c>
      <c r="AD271" s="181"/>
      <c r="AE271" s="181"/>
      <c r="AF271" s="181">
        <f t="shared" si="578"/>
        <v>0</v>
      </c>
      <c r="AG271" s="181"/>
      <c r="AH271" s="181"/>
      <c r="AI271" s="181">
        <f t="shared" si="579"/>
        <v>0</v>
      </c>
      <c r="AJ271" s="181"/>
      <c r="AK271" s="181"/>
      <c r="AL271" s="181">
        <f t="shared" si="580"/>
        <v>0</v>
      </c>
      <c r="AM271" s="181"/>
      <c r="AN271" s="181"/>
      <c r="AO271" s="181">
        <f t="shared" si="581"/>
        <v>0</v>
      </c>
      <c r="AP271" s="181"/>
      <c r="AQ271" s="181"/>
      <c r="AR271" s="181">
        <f t="shared" si="582"/>
        <v>0</v>
      </c>
      <c r="AS271" s="181"/>
      <c r="AT271" s="181"/>
      <c r="AU271" s="181">
        <f t="shared" si="583"/>
        <v>0</v>
      </c>
      <c r="AV271" s="181"/>
      <c r="AW271" s="181"/>
      <c r="AX271" s="181">
        <f t="shared" si="584"/>
        <v>0</v>
      </c>
      <c r="AY271" s="181"/>
      <c r="AZ271" s="181"/>
      <c r="BA271" s="181">
        <f t="shared" si="585"/>
        <v>0</v>
      </c>
      <c r="BB271" s="181"/>
      <c r="BC271" s="181"/>
      <c r="BD271" s="181">
        <f t="shared" si="586"/>
        <v>0</v>
      </c>
      <c r="BE271" s="181"/>
      <c r="BF271" s="181"/>
      <c r="BG271" s="181">
        <f t="shared" si="587"/>
        <v>0</v>
      </c>
      <c r="BH271" s="181"/>
      <c r="BI271" s="181"/>
      <c r="BJ271" s="181">
        <f t="shared" si="588"/>
        <v>0</v>
      </c>
      <c r="BK271" s="181"/>
      <c r="BL271" s="326"/>
      <c r="BM271" s="317"/>
      <c r="BN271" s="321"/>
    </row>
    <row r="272" s="269" customFormat="1" ht="33.95" customHeight="1" outlineLevel="5" spans="2:66">
      <c r="B272" s="181" t="s">
        <v>792</v>
      </c>
      <c r="C272" s="289" t="s">
        <v>1303</v>
      </c>
      <c r="D272" s="269" t="s">
        <v>1304</v>
      </c>
      <c r="E272" s="181" t="s">
        <v>1292</v>
      </c>
      <c r="F272" s="181"/>
      <c r="G272" s="181" t="s">
        <v>936</v>
      </c>
      <c r="H272" s="181">
        <f t="shared" si="590"/>
        <v>0</v>
      </c>
      <c r="I272" s="181" t="s">
        <v>1235</v>
      </c>
      <c r="J272" s="304"/>
      <c r="K272" s="181" t="s">
        <v>1269</v>
      </c>
      <c r="L272" s="304"/>
      <c r="M272" s="181" t="s">
        <v>1294</v>
      </c>
      <c r="N272" s="181">
        <f t="shared" si="575"/>
        <v>0</v>
      </c>
      <c r="O272" s="304"/>
      <c r="P272" s="304"/>
      <c r="Q272" s="304"/>
      <c r="R272" s="304"/>
      <c r="S272" s="304"/>
      <c r="T272" s="304"/>
      <c r="U272" s="304"/>
      <c r="V272" s="304"/>
      <c r="W272" s="304"/>
      <c r="X272" s="304"/>
      <c r="Y272" s="304"/>
      <c r="Z272" s="304"/>
      <c r="AA272" s="181"/>
      <c r="AB272" s="181">
        <f t="shared" si="576"/>
        <v>0</v>
      </c>
      <c r="AC272" s="181">
        <f t="shared" si="577"/>
        <v>0</v>
      </c>
      <c r="AD272" s="181"/>
      <c r="AE272" s="181"/>
      <c r="AF272" s="181">
        <f t="shared" si="578"/>
        <v>0</v>
      </c>
      <c r="AG272" s="181"/>
      <c r="AH272" s="181"/>
      <c r="AI272" s="181">
        <f t="shared" si="579"/>
        <v>0</v>
      </c>
      <c r="AJ272" s="181"/>
      <c r="AK272" s="181"/>
      <c r="AL272" s="181">
        <f t="shared" si="580"/>
        <v>0</v>
      </c>
      <c r="AM272" s="181"/>
      <c r="AN272" s="181"/>
      <c r="AO272" s="181">
        <f t="shared" si="581"/>
        <v>0</v>
      </c>
      <c r="AP272" s="181"/>
      <c r="AQ272" s="181"/>
      <c r="AR272" s="181">
        <f t="shared" si="582"/>
        <v>0</v>
      </c>
      <c r="AS272" s="181"/>
      <c r="AT272" s="181"/>
      <c r="AU272" s="181">
        <f t="shared" si="583"/>
        <v>0</v>
      </c>
      <c r="AV272" s="181"/>
      <c r="AW272" s="181"/>
      <c r="AX272" s="181">
        <f t="shared" si="584"/>
        <v>0</v>
      </c>
      <c r="AY272" s="181"/>
      <c r="AZ272" s="181"/>
      <c r="BA272" s="181">
        <f t="shared" si="585"/>
        <v>0</v>
      </c>
      <c r="BB272" s="181"/>
      <c r="BC272" s="181"/>
      <c r="BD272" s="181">
        <f t="shared" si="586"/>
        <v>0</v>
      </c>
      <c r="BE272" s="181"/>
      <c r="BF272" s="181"/>
      <c r="BG272" s="181">
        <f t="shared" si="587"/>
        <v>0</v>
      </c>
      <c r="BH272" s="181"/>
      <c r="BI272" s="181"/>
      <c r="BJ272" s="181">
        <f t="shared" si="588"/>
        <v>0</v>
      </c>
      <c r="BK272" s="181"/>
      <c r="BL272" s="326"/>
      <c r="BM272" s="317"/>
      <c r="BN272" s="321"/>
    </row>
    <row r="273" s="124" customFormat="1" ht="33.95" customHeight="1" outlineLevel="4" spans="2:66">
      <c r="B273" s="125" t="s">
        <v>792</v>
      </c>
      <c r="C273" s="126" t="s">
        <v>1305</v>
      </c>
      <c r="D273" s="124" t="s">
        <v>1306</v>
      </c>
      <c r="E273" s="125"/>
      <c r="F273" s="125"/>
      <c r="G273" s="125" t="s">
        <v>936</v>
      </c>
      <c r="H273" s="125">
        <f t="shared" si="590"/>
        <v>0</v>
      </c>
      <c r="I273" s="125" t="s">
        <v>1236</v>
      </c>
      <c r="J273" s="125">
        <v>1</v>
      </c>
      <c r="K273" s="125" t="s">
        <v>1236</v>
      </c>
      <c r="L273" s="304"/>
      <c r="M273" s="125" t="s">
        <v>1228</v>
      </c>
      <c r="N273" s="125">
        <f t="shared" si="575"/>
        <v>0</v>
      </c>
      <c r="O273" s="304"/>
      <c r="P273" s="322"/>
      <c r="Q273" s="322"/>
      <c r="R273" s="322"/>
      <c r="S273" s="322"/>
      <c r="T273" s="322"/>
      <c r="U273" s="322"/>
      <c r="V273" s="322"/>
      <c r="W273" s="322"/>
      <c r="X273" s="322"/>
      <c r="Y273" s="322"/>
      <c r="Z273" s="322"/>
      <c r="AA273" s="125"/>
      <c r="AB273" s="125">
        <f t="shared" si="576"/>
        <v>0</v>
      </c>
      <c r="AC273" s="125">
        <f t="shared" si="577"/>
        <v>0</v>
      </c>
      <c r="AD273" s="125"/>
      <c r="AE273" s="125"/>
      <c r="AF273" s="125">
        <f t="shared" si="578"/>
        <v>0</v>
      </c>
      <c r="AG273" s="125"/>
      <c r="AH273" s="125"/>
      <c r="AI273" s="125">
        <f t="shared" si="579"/>
        <v>0</v>
      </c>
      <c r="AJ273" s="125"/>
      <c r="AK273" s="125"/>
      <c r="AL273" s="125">
        <f t="shared" si="580"/>
        <v>0</v>
      </c>
      <c r="AM273" s="125"/>
      <c r="AN273" s="125"/>
      <c r="AO273" s="125">
        <f t="shared" si="581"/>
        <v>0</v>
      </c>
      <c r="AP273" s="125"/>
      <c r="AQ273" s="125"/>
      <c r="AR273" s="125">
        <f t="shared" si="582"/>
        <v>0</v>
      </c>
      <c r="AS273" s="125"/>
      <c r="AT273" s="125"/>
      <c r="AU273" s="125">
        <f t="shared" si="583"/>
        <v>0</v>
      </c>
      <c r="AV273" s="125"/>
      <c r="AW273" s="125"/>
      <c r="AX273" s="125">
        <f t="shared" si="584"/>
        <v>0</v>
      </c>
      <c r="AY273" s="125"/>
      <c r="AZ273" s="125"/>
      <c r="BA273" s="125">
        <f t="shared" si="585"/>
        <v>0</v>
      </c>
      <c r="BB273" s="125"/>
      <c r="BC273" s="125"/>
      <c r="BD273" s="125">
        <f t="shared" si="586"/>
        <v>0</v>
      </c>
      <c r="BE273" s="125"/>
      <c r="BF273" s="125"/>
      <c r="BG273" s="125">
        <f t="shared" si="587"/>
        <v>0</v>
      </c>
      <c r="BH273" s="125"/>
      <c r="BI273" s="125"/>
      <c r="BJ273" s="125">
        <f t="shared" si="588"/>
        <v>0</v>
      </c>
      <c r="BK273" s="125"/>
      <c r="BL273" s="312"/>
      <c r="BM273" s="317"/>
      <c r="BN273" s="320"/>
    </row>
    <row r="274" s="124" customFormat="1" ht="33.95" customHeight="1" outlineLevel="4" spans="2:66">
      <c r="B274" s="125" t="s">
        <v>787</v>
      </c>
      <c r="C274" s="126" t="s">
        <v>1307</v>
      </c>
      <c r="D274" s="124" t="s">
        <v>1308</v>
      </c>
      <c r="E274" s="125"/>
      <c r="F274" s="125"/>
      <c r="G274" s="125"/>
      <c r="H274" s="125">
        <f>SUM(H275:H282)</f>
        <v>0</v>
      </c>
      <c r="I274" s="125"/>
      <c r="J274" s="125"/>
      <c r="K274" s="125"/>
      <c r="L274" s="125"/>
      <c r="M274" s="125"/>
      <c r="N274" s="125"/>
      <c r="O274" s="125"/>
      <c r="P274" s="295"/>
      <c r="Q274" s="295"/>
      <c r="R274" s="295"/>
      <c r="S274" s="295"/>
      <c r="T274" s="295"/>
      <c r="U274" s="295"/>
      <c r="V274" s="295"/>
      <c r="W274" s="295"/>
      <c r="X274" s="295"/>
      <c r="Y274" s="295"/>
      <c r="Z274" s="295"/>
      <c r="AA274" s="295"/>
      <c r="AB274" s="125">
        <f>SUM(AB275:AB282)</f>
        <v>0</v>
      </c>
      <c r="AC274" s="125">
        <f>SUM(AC275:AC282)</f>
        <v>0</v>
      </c>
      <c r="AD274" s="125"/>
      <c r="AE274" s="125"/>
      <c r="AF274" s="125">
        <f>SUM(AF275:AF282)</f>
        <v>0</v>
      </c>
      <c r="AG274" s="125"/>
      <c r="AH274" s="125"/>
      <c r="AI274" s="125">
        <f>SUM(AI275:AI282)</f>
        <v>0</v>
      </c>
      <c r="AJ274" s="125"/>
      <c r="AK274" s="125"/>
      <c r="AL274" s="125">
        <f>SUM(AL275:AL282)</f>
        <v>0</v>
      </c>
      <c r="AM274" s="125"/>
      <c r="AN274" s="125"/>
      <c r="AO274" s="125">
        <f>SUM(AO275:AO282)</f>
        <v>0</v>
      </c>
      <c r="AP274" s="125"/>
      <c r="AQ274" s="125"/>
      <c r="AR274" s="125">
        <f>SUM(AR275:AR282)</f>
        <v>0</v>
      </c>
      <c r="AS274" s="125"/>
      <c r="AT274" s="125"/>
      <c r="AU274" s="125">
        <f>SUM(AU275:AU282)</f>
        <v>0</v>
      </c>
      <c r="AV274" s="125"/>
      <c r="AW274" s="125"/>
      <c r="AX274" s="125">
        <f>SUM(AX275:AX282)</f>
        <v>0</v>
      </c>
      <c r="AY274" s="125"/>
      <c r="AZ274" s="125"/>
      <c r="BA274" s="125">
        <f>SUM(BA275:BA282)</f>
        <v>0</v>
      </c>
      <c r="BB274" s="125"/>
      <c r="BC274" s="125"/>
      <c r="BD274" s="125">
        <f>SUM(BD275:BD282)</f>
        <v>0</v>
      </c>
      <c r="BE274" s="125"/>
      <c r="BF274" s="125"/>
      <c r="BG274" s="125">
        <f>SUM(BG275:BG282)</f>
        <v>0</v>
      </c>
      <c r="BH274" s="125"/>
      <c r="BI274" s="125"/>
      <c r="BJ274" s="125">
        <f>SUM(BJ275:BJ282)</f>
        <v>0</v>
      </c>
      <c r="BK274" s="125"/>
      <c r="BL274" s="312"/>
      <c r="BM274" s="317"/>
      <c r="BN274" s="320"/>
    </row>
    <row r="275" s="269" customFormat="1" ht="33.95" customHeight="1" outlineLevel="5" spans="2:66">
      <c r="B275" s="181" t="s">
        <v>792</v>
      </c>
      <c r="C275" s="289" t="s">
        <v>1309</v>
      </c>
      <c r="D275" s="269" t="s">
        <v>1310</v>
      </c>
      <c r="E275" s="181" t="s">
        <v>1311</v>
      </c>
      <c r="F275" s="181"/>
      <c r="G275" s="181" t="s">
        <v>936</v>
      </c>
      <c r="H275" s="181">
        <f t="shared" ref="H275:H282" si="591">IFERROR(J275*L275*N275,0)</f>
        <v>0</v>
      </c>
      <c r="I275" s="181" t="s">
        <v>1312</v>
      </c>
      <c r="J275" s="304"/>
      <c r="K275" s="181" t="s">
        <v>1026</v>
      </c>
      <c r="L275" s="304"/>
      <c r="M275" s="181" t="s">
        <v>1189</v>
      </c>
      <c r="N275" s="181">
        <f t="shared" ref="N275:N282" si="592">COUNTA(O275:Z275)</f>
        <v>0</v>
      </c>
      <c r="O275" s="304"/>
      <c r="P275" s="323"/>
      <c r="Q275" s="323"/>
      <c r="R275" s="323"/>
      <c r="S275" s="323"/>
      <c r="T275" s="323"/>
      <c r="U275" s="323"/>
      <c r="V275" s="323"/>
      <c r="W275" s="323"/>
      <c r="X275" s="323"/>
      <c r="Y275" s="323"/>
      <c r="Z275" s="323"/>
      <c r="AA275" s="181"/>
      <c r="AB275" s="181">
        <f t="shared" ref="AB275:AB282" si="593">SUM(AC275,AF275,AI275,AL275,AO275,AR275,AU275,AX275,BA275,BD275,BG275,BJ275)</f>
        <v>0</v>
      </c>
      <c r="AC275" s="181">
        <f t="shared" ref="AC275:AC282" si="594">IF(O275="",0,$J275*$L275)</f>
        <v>0</v>
      </c>
      <c r="AD275" s="181"/>
      <c r="AE275" s="181"/>
      <c r="AF275" s="181">
        <f t="shared" ref="AF275:AF282" si="595">IF(P275="",0,$J275*$L275)</f>
        <v>0</v>
      </c>
      <c r="AG275" s="181"/>
      <c r="AH275" s="181"/>
      <c r="AI275" s="181">
        <f t="shared" ref="AI275:AI282" si="596">IF(Q275="",0,$J275*$L275)</f>
        <v>0</v>
      </c>
      <c r="AJ275" s="181"/>
      <c r="AK275" s="181"/>
      <c r="AL275" s="181">
        <f t="shared" ref="AL275:AL282" si="597">IF(R275="",0,$J275*$L275)</f>
        <v>0</v>
      </c>
      <c r="AM275" s="181"/>
      <c r="AN275" s="181"/>
      <c r="AO275" s="181">
        <f t="shared" ref="AO275:AO282" si="598">IF(S275="",0,$J275*$L275)</f>
        <v>0</v>
      </c>
      <c r="AP275" s="181"/>
      <c r="AQ275" s="181"/>
      <c r="AR275" s="181">
        <f t="shared" ref="AR275:AR282" si="599">IF(T275="",0,$J275*$L275)</f>
        <v>0</v>
      </c>
      <c r="AS275" s="181"/>
      <c r="AT275" s="181"/>
      <c r="AU275" s="181">
        <f t="shared" ref="AU275:AU282" si="600">IF(U275="",0,$J275*$L275)</f>
        <v>0</v>
      </c>
      <c r="AV275" s="181"/>
      <c r="AW275" s="181"/>
      <c r="AX275" s="181">
        <f t="shared" ref="AX275:AX282" si="601">IF(V275="",0,$J275*$L275)</f>
        <v>0</v>
      </c>
      <c r="AY275" s="181"/>
      <c r="AZ275" s="181"/>
      <c r="BA275" s="181">
        <f t="shared" ref="BA275:BA282" si="602">IF(W275="",0,$J275*$L275)</f>
        <v>0</v>
      </c>
      <c r="BB275" s="181"/>
      <c r="BC275" s="181"/>
      <c r="BD275" s="181">
        <f t="shared" ref="BD275:BD282" si="603">IF(X275="",0,$J275*$L275)</f>
        <v>0</v>
      </c>
      <c r="BE275" s="181"/>
      <c r="BF275" s="181"/>
      <c r="BG275" s="181">
        <f t="shared" ref="BG275:BG282" si="604">IF(Y275="",0,$J275*$L275)</f>
        <v>0</v>
      </c>
      <c r="BH275" s="181"/>
      <c r="BI275" s="181"/>
      <c r="BJ275" s="181">
        <f t="shared" ref="BJ275:BJ282" si="605">IF(Z275="",0,$J275*$L275)</f>
        <v>0</v>
      </c>
      <c r="BK275" s="181"/>
      <c r="BL275" s="326"/>
      <c r="BM275" s="317"/>
      <c r="BN275" s="321"/>
    </row>
    <row r="276" s="269" customFormat="1" ht="33.95" customHeight="1" outlineLevel="5" spans="2:66">
      <c r="B276" s="181" t="s">
        <v>792</v>
      </c>
      <c r="C276" s="289" t="s">
        <v>1313</v>
      </c>
      <c r="D276" s="269" t="s">
        <v>1314</v>
      </c>
      <c r="E276" s="181" t="s">
        <v>1315</v>
      </c>
      <c r="F276" s="181"/>
      <c r="G276" s="181" t="s">
        <v>936</v>
      </c>
      <c r="H276" s="181">
        <f t="shared" si="591"/>
        <v>0</v>
      </c>
      <c r="I276" s="181" t="s">
        <v>1312</v>
      </c>
      <c r="J276" s="304"/>
      <c r="K276" s="181" t="s">
        <v>1026</v>
      </c>
      <c r="L276" s="304"/>
      <c r="M276" s="181" t="s">
        <v>1189</v>
      </c>
      <c r="N276" s="181">
        <f t="shared" si="592"/>
        <v>0</v>
      </c>
      <c r="O276" s="304"/>
      <c r="P276" s="304"/>
      <c r="Q276" s="304"/>
      <c r="R276" s="304"/>
      <c r="S276" s="304"/>
      <c r="T276" s="304"/>
      <c r="U276" s="304"/>
      <c r="V276" s="304"/>
      <c r="W276" s="304"/>
      <c r="X276" s="304"/>
      <c r="Y276" s="304"/>
      <c r="Z276" s="304"/>
      <c r="AA276" s="181"/>
      <c r="AB276" s="181">
        <f t="shared" si="593"/>
        <v>0</v>
      </c>
      <c r="AC276" s="181">
        <f t="shared" si="594"/>
        <v>0</v>
      </c>
      <c r="AD276" s="181"/>
      <c r="AE276" s="181"/>
      <c r="AF276" s="181">
        <f t="shared" si="595"/>
        <v>0</v>
      </c>
      <c r="AG276" s="181"/>
      <c r="AH276" s="181"/>
      <c r="AI276" s="181">
        <f t="shared" si="596"/>
        <v>0</v>
      </c>
      <c r="AJ276" s="181"/>
      <c r="AK276" s="181"/>
      <c r="AL276" s="181">
        <f t="shared" si="597"/>
        <v>0</v>
      </c>
      <c r="AM276" s="181"/>
      <c r="AN276" s="181"/>
      <c r="AO276" s="181">
        <f t="shared" si="598"/>
        <v>0</v>
      </c>
      <c r="AP276" s="181"/>
      <c r="AQ276" s="181"/>
      <c r="AR276" s="181">
        <f t="shared" si="599"/>
        <v>0</v>
      </c>
      <c r="AS276" s="181"/>
      <c r="AT276" s="181"/>
      <c r="AU276" s="181">
        <f t="shared" si="600"/>
        <v>0</v>
      </c>
      <c r="AV276" s="181"/>
      <c r="AW276" s="181"/>
      <c r="AX276" s="181">
        <f t="shared" si="601"/>
        <v>0</v>
      </c>
      <c r="AY276" s="181"/>
      <c r="AZ276" s="181"/>
      <c r="BA276" s="181">
        <f t="shared" si="602"/>
        <v>0</v>
      </c>
      <c r="BB276" s="181"/>
      <c r="BC276" s="181"/>
      <c r="BD276" s="181">
        <f t="shared" si="603"/>
        <v>0</v>
      </c>
      <c r="BE276" s="181"/>
      <c r="BF276" s="181"/>
      <c r="BG276" s="181">
        <f t="shared" si="604"/>
        <v>0</v>
      </c>
      <c r="BH276" s="181"/>
      <c r="BI276" s="181"/>
      <c r="BJ276" s="181">
        <f t="shared" si="605"/>
        <v>0</v>
      </c>
      <c r="BK276" s="181"/>
      <c r="BL276" s="326"/>
      <c r="BM276" s="317"/>
      <c r="BN276" s="321"/>
    </row>
    <row r="277" s="269" customFormat="1" ht="33.95" customHeight="1" outlineLevel="5" spans="2:66">
      <c r="B277" s="181" t="s">
        <v>792</v>
      </c>
      <c r="C277" s="289" t="s">
        <v>1316</v>
      </c>
      <c r="D277" s="269" t="s">
        <v>1317</v>
      </c>
      <c r="E277" s="181" t="s">
        <v>1318</v>
      </c>
      <c r="F277" s="181"/>
      <c r="G277" s="181" t="s">
        <v>936</v>
      </c>
      <c r="H277" s="181">
        <f t="shared" si="591"/>
        <v>0</v>
      </c>
      <c r="I277" s="181" t="s">
        <v>1312</v>
      </c>
      <c r="J277" s="304"/>
      <c r="K277" s="181" t="s">
        <v>1026</v>
      </c>
      <c r="L277" s="304"/>
      <c r="M277" s="181" t="s">
        <v>1189</v>
      </c>
      <c r="N277" s="181">
        <f t="shared" si="592"/>
        <v>0</v>
      </c>
      <c r="O277" s="304"/>
      <c r="P277" s="304"/>
      <c r="Q277" s="304"/>
      <c r="R277" s="304"/>
      <c r="S277" s="304"/>
      <c r="T277" s="304"/>
      <c r="U277" s="304"/>
      <c r="V277" s="304"/>
      <c r="W277" s="304"/>
      <c r="X277" s="304"/>
      <c r="Y277" s="304"/>
      <c r="Z277" s="304"/>
      <c r="AA277" s="181"/>
      <c r="AB277" s="181">
        <f t="shared" si="593"/>
        <v>0</v>
      </c>
      <c r="AC277" s="181">
        <f t="shared" si="594"/>
        <v>0</v>
      </c>
      <c r="AD277" s="181"/>
      <c r="AE277" s="181"/>
      <c r="AF277" s="181">
        <f t="shared" si="595"/>
        <v>0</v>
      </c>
      <c r="AG277" s="181"/>
      <c r="AH277" s="181"/>
      <c r="AI277" s="181">
        <f t="shared" si="596"/>
        <v>0</v>
      </c>
      <c r="AJ277" s="181"/>
      <c r="AK277" s="181"/>
      <c r="AL277" s="181">
        <f t="shared" si="597"/>
        <v>0</v>
      </c>
      <c r="AM277" s="181"/>
      <c r="AN277" s="181"/>
      <c r="AO277" s="181">
        <f t="shared" si="598"/>
        <v>0</v>
      </c>
      <c r="AP277" s="181"/>
      <c r="AQ277" s="181"/>
      <c r="AR277" s="181">
        <f t="shared" si="599"/>
        <v>0</v>
      </c>
      <c r="AS277" s="181"/>
      <c r="AT277" s="181"/>
      <c r="AU277" s="181">
        <f t="shared" si="600"/>
        <v>0</v>
      </c>
      <c r="AV277" s="181"/>
      <c r="AW277" s="181"/>
      <c r="AX277" s="181">
        <f t="shared" si="601"/>
        <v>0</v>
      </c>
      <c r="AY277" s="181"/>
      <c r="AZ277" s="181"/>
      <c r="BA277" s="181">
        <f t="shared" si="602"/>
        <v>0</v>
      </c>
      <c r="BB277" s="181"/>
      <c r="BC277" s="181"/>
      <c r="BD277" s="181">
        <f t="shared" si="603"/>
        <v>0</v>
      </c>
      <c r="BE277" s="181"/>
      <c r="BF277" s="181"/>
      <c r="BG277" s="181">
        <f t="shared" si="604"/>
        <v>0</v>
      </c>
      <c r="BH277" s="181"/>
      <c r="BI277" s="181"/>
      <c r="BJ277" s="181">
        <f t="shared" si="605"/>
        <v>0</v>
      </c>
      <c r="BK277" s="181"/>
      <c r="BL277" s="326"/>
      <c r="BM277" s="317"/>
      <c r="BN277" s="321"/>
    </row>
    <row r="278" s="269" customFormat="1" ht="33.95" customHeight="1" outlineLevel="5" spans="2:66">
      <c r="B278" s="181" t="s">
        <v>792</v>
      </c>
      <c r="C278" s="289" t="s">
        <v>1319</v>
      </c>
      <c r="D278" s="269" t="s">
        <v>1320</v>
      </c>
      <c r="E278" s="181" t="s">
        <v>1321</v>
      </c>
      <c r="F278" s="181"/>
      <c r="G278" s="181" t="s">
        <v>936</v>
      </c>
      <c r="H278" s="181">
        <f t="shared" si="591"/>
        <v>0</v>
      </c>
      <c r="I278" s="181" t="s">
        <v>1312</v>
      </c>
      <c r="J278" s="304"/>
      <c r="K278" s="181" t="s">
        <v>1026</v>
      </c>
      <c r="L278" s="304"/>
      <c r="M278" s="181" t="s">
        <v>1189</v>
      </c>
      <c r="N278" s="181">
        <f t="shared" si="592"/>
        <v>0</v>
      </c>
      <c r="O278" s="304"/>
      <c r="P278" s="304"/>
      <c r="Q278" s="304"/>
      <c r="R278" s="304"/>
      <c r="S278" s="304"/>
      <c r="T278" s="304"/>
      <c r="U278" s="304"/>
      <c r="V278" s="304"/>
      <c r="W278" s="304"/>
      <c r="X278" s="304"/>
      <c r="Y278" s="304"/>
      <c r="Z278" s="304"/>
      <c r="AA278" s="181"/>
      <c r="AB278" s="181">
        <f t="shared" si="593"/>
        <v>0</v>
      </c>
      <c r="AC278" s="181">
        <f t="shared" si="594"/>
        <v>0</v>
      </c>
      <c r="AD278" s="181"/>
      <c r="AE278" s="181"/>
      <c r="AF278" s="181">
        <f t="shared" si="595"/>
        <v>0</v>
      </c>
      <c r="AG278" s="181"/>
      <c r="AH278" s="181"/>
      <c r="AI278" s="181">
        <f t="shared" si="596"/>
        <v>0</v>
      </c>
      <c r="AJ278" s="181"/>
      <c r="AK278" s="181"/>
      <c r="AL278" s="181">
        <f t="shared" si="597"/>
        <v>0</v>
      </c>
      <c r="AM278" s="181"/>
      <c r="AN278" s="181"/>
      <c r="AO278" s="181">
        <f t="shared" si="598"/>
        <v>0</v>
      </c>
      <c r="AP278" s="181"/>
      <c r="AQ278" s="181"/>
      <c r="AR278" s="181">
        <f t="shared" si="599"/>
        <v>0</v>
      </c>
      <c r="AS278" s="181"/>
      <c r="AT278" s="181"/>
      <c r="AU278" s="181">
        <f t="shared" si="600"/>
        <v>0</v>
      </c>
      <c r="AV278" s="181"/>
      <c r="AW278" s="181"/>
      <c r="AX278" s="181">
        <f t="shared" si="601"/>
        <v>0</v>
      </c>
      <c r="AY278" s="181"/>
      <c r="AZ278" s="181"/>
      <c r="BA278" s="181">
        <f t="shared" si="602"/>
        <v>0</v>
      </c>
      <c r="BB278" s="181"/>
      <c r="BC278" s="181"/>
      <c r="BD278" s="181">
        <f t="shared" si="603"/>
        <v>0</v>
      </c>
      <c r="BE278" s="181"/>
      <c r="BF278" s="181"/>
      <c r="BG278" s="181">
        <f t="shared" si="604"/>
        <v>0</v>
      </c>
      <c r="BH278" s="181"/>
      <c r="BI278" s="181"/>
      <c r="BJ278" s="181">
        <f t="shared" si="605"/>
        <v>0</v>
      </c>
      <c r="BK278" s="181"/>
      <c r="BL278" s="326"/>
      <c r="BM278" s="317"/>
      <c r="BN278" s="321"/>
    </row>
    <row r="279" s="269" customFormat="1" ht="33.95" customHeight="1" outlineLevel="5" spans="2:66">
      <c r="B279" s="181" t="s">
        <v>792</v>
      </c>
      <c r="C279" s="289" t="s">
        <v>1322</v>
      </c>
      <c r="D279" s="269" t="s">
        <v>1323</v>
      </c>
      <c r="E279" s="181" t="s">
        <v>1324</v>
      </c>
      <c r="F279" s="181"/>
      <c r="G279" s="181" t="s">
        <v>936</v>
      </c>
      <c r="H279" s="181">
        <f t="shared" si="591"/>
        <v>0</v>
      </c>
      <c r="I279" s="181" t="s">
        <v>1312</v>
      </c>
      <c r="J279" s="304"/>
      <c r="K279" s="181" t="s">
        <v>1026</v>
      </c>
      <c r="L279" s="304"/>
      <c r="M279" s="181" t="s">
        <v>1189</v>
      </c>
      <c r="N279" s="181">
        <f t="shared" si="592"/>
        <v>0</v>
      </c>
      <c r="O279" s="304"/>
      <c r="P279" s="304"/>
      <c r="Q279" s="304"/>
      <c r="R279" s="304"/>
      <c r="S279" s="304"/>
      <c r="T279" s="304"/>
      <c r="U279" s="304"/>
      <c r="V279" s="304"/>
      <c r="W279" s="304"/>
      <c r="X279" s="304"/>
      <c r="Y279" s="304"/>
      <c r="Z279" s="304"/>
      <c r="AA279" s="181"/>
      <c r="AB279" s="181">
        <f t="shared" si="593"/>
        <v>0</v>
      </c>
      <c r="AC279" s="181">
        <f t="shared" si="594"/>
        <v>0</v>
      </c>
      <c r="AD279" s="181"/>
      <c r="AE279" s="181"/>
      <c r="AF279" s="181">
        <f t="shared" si="595"/>
        <v>0</v>
      </c>
      <c r="AG279" s="181"/>
      <c r="AH279" s="181"/>
      <c r="AI279" s="181">
        <f t="shared" si="596"/>
        <v>0</v>
      </c>
      <c r="AJ279" s="181"/>
      <c r="AK279" s="181"/>
      <c r="AL279" s="181">
        <f t="shared" si="597"/>
        <v>0</v>
      </c>
      <c r="AM279" s="181"/>
      <c r="AN279" s="181"/>
      <c r="AO279" s="181">
        <f t="shared" si="598"/>
        <v>0</v>
      </c>
      <c r="AP279" s="181"/>
      <c r="AQ279" s="181"/>
      <c r="AR279" s="181">
        <f t="shared" si="599"/>
        <v>0</v>
      </c>
      <c r="AS279" s="181"/>
      <c r="AT279" s="181"/>
      <c r="AU279" s="181">
        <f t="shared" si="600"/>
        <v>0</v>
      </c>
      <c r="AV279" s="181"/>
      <c r="AW279" s="181"/>
      <c r="AX279" s="181">
        <f t="shared" si="601"/>
        <v>0</v>
      </c>
      <c r="AY279" s="181"/>
      <c r="AZ279" s="181"/>
      <c r="BA279" s="181">
        <f t="shared" si="602"/>
        <v>0</v>
      </c>
      <c r="BB279" s="181"/>
      <c r="BC279" s="181"/>
      <c r="BD279" s="181">
        <f t="shared" si="603"/>
        <v>0</v>
      </c>
      <c r="BE279" s="181"/>
      <c r="BF279" s="181"/>
      <c r="BG279" s="181">
        <f t="shared" si="604"/>
        <v>0</v>
      </c>
      <c r="BH279" s="181"/>
      <c r="BI279" s="181"/>
      <c r="BJ279" s="181">
        <f t="shared" si="605"/>
        <v>0</v>
      </c>
      <c r="BK279" s="181"/>
      <c r="BL279" s="326"/>
      <c r="BM279" s="317"/>
      <c r="BN279" s="321"/>
    </row>
    <row r="280" s="269" customFormat="1" ht="33.95" customHeight="1" outlineLevel="5" spans="2:66">
      <c r="B280" s="181" t="s">
        <v>792</v>
      </c>
      <c r="C280" s="289" t="s">
        <v>1325</v>
      </c>
      <c r="D280" s="269" t="s">
        <v>1326</v>
      </c>
      <c r="E280" s="181" t="s">
        <v>1327</v>
      </c>
      <c r="F280" s="181"/>
      <c r="G280" s="181" t="s">
        <v>936</v>
      </c>
      <c r="H280" s="181">
        <f t="shared" si="591"/>
        <v>0</v>
      </c>
      <c r="I280" s="181" t="s">
        <v>1312</v>
      </c>
      <c r="J280" s="304"/>
      <c r="K280" s="181" t="s">
        <v>1026</v>
      </c>
      <c r="L280" s="304"/>
      <c r="M280" s="181" t="s">
        <v>1189</v>
      </c>
      <c r="N280" s="181">
        <f t="shared" si="592"/>
        <v>0</v>
      </c>
      <c r="O280" s="304"/>
      <c r="P280" s="304"/>
      <c r="Q280" s="304"/>
      <c r="R280" s="304"/>
      <c r="S280" s="304"/>
      <c r="T280" s="304"/>
      <c r="U280" s="304"/>
      <c r="V280" s="304"/>
      <c r="W280" s="304"/>
      <c r="X280" s="304"/>
      <c r="Y280" s="304"/>
      <c r="Z280" s="304"/>
      <c r="AA280" s="181"/>
      <c r="AB280" s="181">
        <f t="shared" si="593"/>
        <v>0</v>
      </c>
      <c r="AC280" s="181">
        <f t="shared" si="594"/>
        <v>0</v>
      </c>
      <c r="AD280" s="181"/>
      <c r="AE280" s="181"/>
      <c r="AF280" s="181">
        <f t="shared" si="595"/>
        <v>0</v>
      </c>
      <c r="AG280" s="181"/>
      <c r="AH280" s="181"/>
      <c r="AI280" s="181">
        <f t="shared" si="596"/>
        <v>0</v>
      </c>
      <c r="AJ280" s="181"/>
      <c r="AK280" s="181"/>
      <c r="AL280" s="181">
        <f t="shared" si="597"/>
        <v>0</v>
      </c>
      <c r="AM280" s="181"/>
      <c r="AN280" s="181"/>
      <c r="AO280" s="181">
        <f t="shared" si="598"/>
        <v>0</v>
      </c>
      <c r="AP280" s="181"/>
      <c r="AQ280" s="181"/>
      <c r="AR280" s="181">
        <f t="shared" si="599"/>
        <v>0</v>
      </c>
      <c r="AS280" s="181"/>
      <c r="AT280" s="181"/>
      <c r="AU280" s="181">
        <f t="shared" si="600"/>
        <v>0</v>
      </c>
      <c r="AV280" s="181"/>
      <c r="AW280" s="181"/>
      <c r="AX280" s="181">
        <f t="shared" si="601"/>
        <v>0</v>
      </c>
      <c r="AY280" s="181"/>
      <c r="AZ280" s="181"/>
      <c r="BA280" s="181">
        <f t="shared" si="602"/>
        <v>0</v>
      </c>
      <c r="BB280" s="181"/>
      <c r="BC280" s="181"/>
      <c r="BD280" s="181">
        <f t="shared" si="603"/>
        <v>0</v>
      </c>
      <c r="BE280" s="181"/>
      <c r="BF280" s="181"/>
      <c r="BG280" s="181">
        <f t="shared" si="604"/>
        <v>0</v>
      </c>
      <c r="BH280" s="181"/>
      <c r="BI280" s="181"/>
      <c r="BJ280" s="181">
        <f t="shared" si="605"/>
        <v>0</v>
      </c>
      <c r="BK280" s="181"/>
      <c r="BL280" s="326"/>
      <c r="BM280" s="317"/>
      <c r="BN280" s="321"/>
    </row>
    <row r="281" s="269" customFormat="1" ht="33.95" customHeight="1" outlineLevel="5" spans="2:66">
      <c r="B281" s="181" t="s">
        <v>792</v>
      </c>
      <c r="C281" s="289" t="s">
        <v>1328</v>
      </c>
      <c r="D281" s="269" t="s">
        <v>1329</v>
      </c>
      <c r="E281" s="181" t="s">
        <v>1330</v>
      </c>
      <c r="F281" s="181"/>
      <c r="G281" s="181" t="s">
        <v>936</v>
      </c>
      <c r="H281" s="181">
        <f t="shared" si="591"/>
        <v>0</v>
      </c>
      <c r="I281" s="181" t="s">
        <v>1312</v>
      </c>
      <c r="J281" s="304"/>
      <c r="K281" s="181" t="s">
        <v>1026</v>
      </c>
      <c r="L281" s="304"/>
      <c r="M281" s="181" t="s">
        <v>1189</v>
      </c>
      <c r="N281" s="181">
        <f t="shared" si="592"/>
        <v>0</v>
      </c>
      <c r="O281" s="304"/>
      <c r="P281" s="304"/>
      <c r="Q281" s="304"/>
      <c r="R281" s="304"/>
      <c r="S281" s="304"/>
      <c r="T281" s="304"/>
      <c r="U281" s="304"/>
      <c r="V281" s="304"/>
      <c r="W281" s="304"/>
      <c r="X281" s="304"/>
      <c r="Y281" s="304"/>
      <c r="Z281" s="304"/>
      <c r="AA281" s="181"/>
      <c r="AB281" s="181">
        <f t="shared" si="593"/>
        <v>0</v>
      </c>
      <c r="AC281" s="181">
        <f t="shared" si="594"/>
        <v>0</v>
      </c>
      <c r="AD281" s="181"/>
      <c r="AE281" s="181"/>
      <c r="AF281" s="181">
        <f t="shared" si="595"/>
        <v>0</v>
      </c>
      <c r="AG281" s="181"/>
      <c r="AH281" s="181"/>
      <c r="AI281" s="181">
        <f t="shared" si="596"/>
        <v>0</v>
      </c>
      <c r="AJ281" s="181"/>
      <c r="AK281" s="181"/>
      <c r="AL281" s="181">
        <f t="shared" si="597"/>
        <v>0</v>
      </c>
      <c r="AM281" s="181"/>
      <c r="AN281" s="181"/>
      <c r="AO281" s="181">
        <f t="shared" si="598"/>
        <v>0</v>
      </c>
      <c r="AP281" s="181"/>
      <c r="AQ281" s="181"/>
      <c r="AR281" s="181">
        <f t="shared" si="599"/>
        <v>0</v>
      </c>
      <c r="AS281" s="181"/>
      <c r="AT281" s="181"/>
      <c r="AU281" s="181">
        <f t="shared" si="600"/>
        <v>0</v>
      </c>
      <c r="AV281" s="181"/>
      <c r="AW281" s="181"/>
      <c r="AX281" s="181">
        <f t="shared" si="601"/>
        <v>0</v>
      </c>
      <c r="AY281" s="181"/>
      <c r="AZ281" s="181"/>
      <c r="BA281" s="181">
        <f t="shared" si="602"/>
        <v>0</v>
      </c>
      <c r="BB281" s="181"/>
      <c r="BC281" s="181"/>
      <c r="BD281" s="181">
        <f t="shared" si="603"/>
        <v>0</v>
      </c>
      <c r="BE281" s="181"/>
      <c r="BF281" s="181"/>
      <c r="BG281" s="181">
        <f t="shared" si="604"/>
        <v>0</v>
      </c>
      <c r="BH281" s="181"/>
      <c r="BI281" s="181"/>
      <c r="BJ281" s="181">
        <f t="shared" si="605"/>
        <v>0</v>
      </c>
      <c r="BK281" s="181"/>
      <c r="BL281" s="326"/>
      <c r="BM281" s="317"/>
      <c r="BN281" s="321"/>
    </row>
    <row r="282" s="269" customFormat="1" ht="33.95" customHeight="1" outlineLevel="5" spans="2:66">
      <c r="B282" s="181" t="s">
        <v>792</v>
      </c>
      <c r="C282" s="289" t="s">
        <v>1331</v>
      </c>
      <c r="D282" s="269" t="s">
        <v>1332</v>
      </c>
      <c r="E282" s="181" t="s">
        <v>1333</v>
      </c>
      <c r="F282" s="181"/>
      <c r="G282" s="181" t="s">
        <v>936</v>
      </c>
      <c r="H282" s="181">
        <f t="shared" si="591"/>
        <v>0</v>
      </c>
      <c r="I282" s="181" t="s">
        <v>1312</v>
      </c>
      <c r="J282" s="304"/>
      <c r="K282" s="181" t="s">
        <v>1026</v>
      </c>
      <c r="L282" s="304"/>
      <c r="M282" s="181" t="s">
        <v>1189</v>
      </c>
      <c r="N282" s="181">
        <f t="shared" si="592"/>
        <v>0</v>
      </c>
      <c r="O282" s="304"/>
      <c r="P282" s="322"/>
      <c r="Q282" s="322"/>
      <c r="R282" s="322"/>
      <c r="S282" s="322"/>
      <c r="T282" s="322"/>
      <c r="U282" s="322"/>
      <c r="V282" s="322"/>
      <c r="W282" s="322"/>
      <c r="X282" s="322"/>
      <c r="Y282" s="322"/>
      <c r="Z282" s="322"/>
      <c r="AA282" s="181"/>
      <c r="AB282" s="181">
        <f t="shared" si="593"/>
        <v>0</v>
      </c>
      <c r="AC282" s="181">
        <f t="shared" si="594"/>
        <v>0</v>
      </c>
      <c r="AD282" s="181"/>
      <c r="AE282" s="181"/>
      <c r="AF282" s="181">
        <f t="shared" si="595"/>
        <v>0</v>
      </c>
      <c r="AG282" s="181"/>
      <c r="AH282" s="181"/>
      <c r="AI282" s="181">
        <f t="shared" si="596"/>
        <v>0</v>
      </c>
      <c r="AJ282" s="181"/>
      <c r="AK282" s="181"/>
      <c r="AL282" s="181">
        <f t="shared" si="597"/>
        <v>0</v>
      </c>
      <c r="AM282" s="181"/>
      <c r="AN282" s="181"/>
      <c r="AO282" s="181">
        <f t="shared" si="598"/>
        <v>0</v>
      </c>
      <c r="AP282" s="181"/>
      <c r="AQ282" s="181"/>
      <c r="AR282" s="181">
        <f t="shared" si="599"/>
        <v>0</v>
      </c>
      <c r="AS282" s="181"/>
      <c r="AT282" s="181"/>
      <c r="AU282" s="181">
        <f t="shared" si="600"/>
        <v>0</v>
      </c>
      <c r="AV282" s="181"/>
      <c r="AW282" s="181"/>
      <c r="AX282" s="181">
        <f t="shared" si="601"/>
        <v>0</v>
      </c>
      <c r="AY282" s="181"/>
      <c r="AZ282" s="181"/>
      <c r="BA282" s="181">
        <f t="shared" si="602"/>
        <v>0</v>
      </c>
      <c r="BB282" s="181"/>
      <c r="BC282" s="181"/>
      <c r="BD282" s="181">
        <f t="shared" si="603"/>
        <v>0</v>
      </c>
      <c r="BE282" s="181"/>
      <c r="BF282" s="181"/>
      <c r="BG282" s="181">
        <f t="shared" si="604"/>
        <v>0</v>
      </c>
      <c r="BH282" s="181"/>
      <c r="BI282" s="181"/>
      <c r="BJ282" s="181">
        <f t="shared" si="605"/>
        <v>0</v>
      </c>
      <c r="BK282" s="181"/>
      <c r="BL282" s="326"/>
      <c r="BM282" s="317"/>
      <c r="BN282" s="321"/>
    </row>
    <row r="283" s="124" customFormat="1" ht="33.95" customHeight="1" outlineLevel="4" spans="2:66">
      <c r="B283" s="125" t="s">
        <v>787</v>
      </c>
      <c r="C283" s="126" t="s">
        <v>1334</v>
      </c>
      <c r="D283" s="124" t="s">
        <v>1335</v>
      </c>
      <c r="E283" s="125" t="s">
        <v>1336</v>
      </c>
      <c r="F283" s="125"/>
      <c r="G283" s="125"/>
      <c r="H283" s="125">
        <f>SUM(H284:H286)</f>
        <v>0</v>
      </c>
      <c r="I283" s="125"/>
      <c r="J283" s="125"/>
      <c r="K283" s="125"/>
      <c r="L283" s="125"/>
      <c r="M283" s="125"/>
      <c r="N283" s="125"/>
      <c r="O283" s="125"/>
      <c r="P283" s="295"/>
      <c r="Q283" s="295"/>
      <c r="R283" s="295"/>
      <c r="S283" s="295"/>
      <c r="T283" s="295"/>
      <c r="U283" s="295"/>
      <c r="V283" s="295"/>
      <c r="W283" s="295"/>
      <c r="X283" s="295"/>
      <c r="Y283" s="295"/>
      <c r="Z283" s="295"/>
      <c r="AA283" s="295"/>
      <c r="AB283" s="125">
        <f t="shared" ref="AB283:AF283" si="606">SUM(AB284:AB286)</f>
        <v>0</v>
      </c>
      <c r="AC283" s="125">
        <f t="shared" si="606"/>
        <v>0</v>
      </c>
      <c r="AD283" s="125"/>
      <c r="AE283" s="125"/>
      <c r="AF283" s="125">
        <f t="shared" si="606"/>
        <v>0</v>
      </c>
      <c r="AG283" s="125"/>
      <c r="AH283" s="125"/>
      <c r="AI283" s="125">
        <f>SUM(AI284:AI286)</f>
        <v>0</v>
      </c>
      <c r="AJ283" s="125"/>
      <c r="AK283" s="125"/>
      <c r="AL283" s="125">
        <f>SUM(AL284:AL286)</f>
        <v>0</v>
      </c>
      <c r="AM283" s="125"/>
      <c r="AN283" s="125"/>
      <c r="AO283" s="125">
        <f>SUM(AO284:AO286)</f>
        <v>0</v>
      </c>
      <c r="AP283" s="125"/>
      <c r="AQ283" s="125"/>
      <c r="AR283" s="125">
        <f>SUM(AR284:AR286)</f>
        <v>0</v>
      </c>
      <c r="AS283" s="125"/>
      <c r="AT283" s="125"/>
      <c r="AU283" s="125">
        <f>SUM(AU284:AU286)</f>
        <v>0</v>
      </c>
      <c r="AV283" s="125"/>
      <c r="AW283" s="125"/>
      <c r="AX283" s="125">
        <f>SUM(AX284:AX286)</f>
        <v>0</v>
      </c>
      <c r="AY283" s="125"/>
      <c r="AZ283" s="125"/>
      <c r="BA283" s="125">
        <f>SUM(BA284:BA286)</f>
        <v>0</v>
      </c>
      <c r="BB283" s="125"/>
      <c r="BC283" s="125"/>
      <c r="BD283" s="125">
        <f>SUM(BD284:BD286)</f>
        <v>0</v>
      </c>
      <c r="BE283" s="125"/>
      <c r="BF283" s="125"/>
      <c r="BG283" s="125">
        <f>SUM(BG284:BG286)</f>
        <v>0</v>
      </c>
      <c r="BH283" s="125"/>
      <c r="BI283" s="125"/>
      <c r="BJ283" s="125">
        <f>SUM(BJ284:BJ286)</f>
        <v>0</v>
      </c>
      <c r="BK283" s="125"/>
      <c r="BL283" s="312"/>
      <c r="BM283" s="317"/>
      <c r="BN283" s="320"/>
    </row>
    <row r="284" s="269" customFormat="1" ht="33.95" customHeight="1" outlineLevel="5" spans="2:66">
      <c r="B284" s="181" t="s">
        <v>792</v>
      </c>
      <c r="C284" s="289" t="s">
        <v>1337</v>
      </c>
      <c r="D284" s="269" t="s">
        <v>1338</v>
      </c>
      <c r="E284" s="181" t="s">
        <v>1339</v>
      </c>
      <c r="F284" s="181"/>
      <c r="G284" s="181" t="s">
        <v>936</v>
      </c>
      <c r="H284" s="181">
        <f t="shared" ref="H284:H290" si="607">IFERROR(J284*L284*N284,0)</f>
        <v>0</v>
      </c>
      <c r="I284" s="181" t="s">
        <v>1340</v>
      </c>
      <c r="J284" s="304"/>
      <c r="K284" s="181" t="s">
        <v>1341</v>
      </c>
      <c r="L284" s="304"/>
      <c r="M284" s="181" t="s">
        <v>1342</v>
      </c>
      <c r="N284" s="181">
        <f t="shared" ref="N284:N290" si="608">COUNTA(O284:Z284)</f>
        <v>0</v>
      </c>
      <c r="O284" s="304"/>
      <c r="P284" s="323"/>
      <c r="Q284" s="323"/>
      <c r="R284" s="323"/>
      <c r="S284" s="323"/>
      <c r="T284" s="323"/>
      <c r="U284" s="323"/>
      <c r="V284" s="323"/>
      <c r="W284" s="323"/>
      <c r="X284" s="323"/>
      <c r="Y284" s="323"/>
      <c r="Z284" s="323"/>
      <c r="AA284" s="181"/>
      <c r="AB284" s="181">
        <f t="shared" ref="AB284:AB290" si="609">SUM(AC284,AF284,AI284,AL284,AO284,AR284,AU284,AX284,BA284,BD284,BG284,BJ284)</f>
        <v>0</v>
      </c>
      <c r="AC284" s="181">
        <f t="shared" ref="AC284:AC290" si="610">IF(O284="",0,$J284*$L284)</f>
        <v>0</v>
      </c>
      <c r="AD284" s="181"/>
      <c r="AE284" s="181"/>
      <c r="AF284" s="181">
        <f t="shared" ref="AF284:AF290" si="611">IF(P284="",0,$J284*$L284)</f>
        <v>0</v>
      </c>
      <c r="AG284" s="181"/>
      <c r="AH284" s="181"/>
      <c r="AI284" s="181">
        <f t="shared" ref="AI284:AI290" si="612">IF(Q284="",0,$J284*$L284)</f>
        <v>0</v>
      </c>
      <c r="AJ284" s="181"/>
      <c r="AK284" s="181"/>
      <c r="AL284" s="181">
        <f t="shared" ref="AL284:AL290" si="613">IF(R284="",0,$J284*$L284)</f>
        <v>0</v>
      </c>
      <c r="AM284" s="181"/>
      <c r="AN284" s="181"/>
      <c r="AO284" s="181">
        <f t="shared" ref="AO284:AO290" si="614">IF(S284="",0,$J284*$L284)</f>
        <v>0</v>
      </c>
      <c r="AP284" s="181"/>
      <c r="AQ284" s="181"/>
      <c r="AR284" s="181">
        <f t="shared" ref="AR284:AR290" si="615">IF(T284="",0,$J284*$L284)</f>
        <v>0</v>
      </c>
      <c r="AS284" s="181"/>
      <c r="AT284" s="181"/>
      <c r="AU284" s="181">
        <f t="shared" ref="AU284:AU290" si="616">IF(U284="",0,$J284*$L284)</f>
        <v>0</v>
      </c>
      <c r="AV284" s="181"/>
      <c r="AW284" s="181"/>
      <c r="AX284" s="181">
        <f t="shared" ref="AX284:AX290" si="617">IF(V284="",0,$J284*$L284)</f>
        <v>0</v>
      </c>
      <c r="AY284" s="181"/>
      <c r="AZ284" s="181"/>
      <c r="BA284" s="181">
        <f t="shared" ref="BA284:BA290" si="618">IF(W284="",0,$J284*$L284)</f>
        <v>0</v>
      </c>
      <c r="BB284" s="181"/>
      <c r="BC284" s="181"/>
      <c r="BD284" s="181">
        <f t="shared" ref="BD284:BD290" si="619">IF(X284="",0,$J284*$L284)</f>
        <v>0</v>
      </c>
      <c r="BE284" s="181"/>
      <c r="BF284" s="181"/>
      <c r="BG284" s="181">
        <f t="shared" ref="BG284:BG290" si="620">IF(Y284="",0,$J284*$L284)</f>
        <v>0</v>
      </c>
      <c r="BH284" s="181"/>
      <c r="BI284" s="181"/>
      <c r="BJ284" s="181">
        <f t="shared" ref="BJ284:BJ290" si="621">IF(Z284="",0,$J284*$L284)</f>
        <v>0</v>
      </c>
      <c r="BK284" s="181"/>
      <c r="BL284" s="326"/>
      <c r="BM284" s="317"/>
      <c r="BN284" s="321"/>
    </row>
    <row r="285" s="269" customFormat="1" ht="33.95" customHeight="1" outlineLevel="5" spans="2:66">
      <c r="B285" s="181" t="s">
        <v>792</v>
      </c>
      <c r="C285" s="289" t="s">
        <v>1343</v>
      </c>
      <c r="D285" s="269" t="s">
        <v>1344</v>
      </c>
      <c r="E285" s="181" t="s">
        <v>1345</v>
      </c>
      <c r="F285" s="181"/>
      <c r="G285" s="181" t="s">
        <v>936</v>
      </c>
      <c r="H285" s="181">
        <f t="shared" si="607"/>
        <v>0</v>
      </c>
      <c r="I285" s="181" t="s">
        <v>1340</v>
      </c>
      <c r="J285" s="304"/>
      <c r="K285" s="181" t="s">
        <v>1341</v>
      </c>
      <c r="L285" s="304"/>
      <c r="M285" s="181" t="s">
        <v>1342</v>
      </c>
      <c r="N285" s="181">
        <f t="shared" si="608"/>
        <v>0</v>
      </c>
      <c r="O285" s="304"/>
      <c r="P285" s="304"/>
      <c r="Q285" s="304"/>
      <c r="R285" s="304"/>
      <c r="S285" s="304"/>
      <c r="T285" s="304"/>
      <c r="U285" s="304"/>
      <c r="V285" s="304"/>
      <c r="W285" s="304"/>
      <c r="X285" s="304"/>
      <c r="Y285" s="304"/>
      <c r="Z285" s="304"/>
      <c r="AA285" s="181"/>
      <c r="AB285" s="181">
        <f t="shared" si="609"/>
        <v>0</v>
      </c>
      <c r="AC285" s="181">
        <f t="shared" si="610"/>
        <v>0</v>
      </c>
      <c r="AD285" s="181"/>
      <c r="AE285" s="181"/>
      <c r="AF285" s="181">
        <f t="shared" si="611"/>
        <v>0</v>
      </c>
      <c r="AG285" s="181"/>
      <c r="AH285" s="181"/>
      <c r="AI285" s="181">
        <f t="shared" si="612"/>
        <v>0</v>
      </c>
      <c r="AJ285" s="181"/>
      <c r="AK285" s="181"/>
      <c r="AL285" s="181">
        <f t="shared" si="613"/>
        <v>0</v>
      </c>
      <c r="AM285" s="181"/>
      <c r="AN285" s="181"/>
      <c r="AO285" s="181">
        <f t="shared" si="614"/>
        <v>0</v>
      </c>
      <c r="AP285" s="181"/>
      <c r="AQ285" s="181"/>
      <c r="AR285" s="181">
        <f t="shared" si="615"/>
        <v>0</v>
      </c>
      <c r="AS285" s="181"/>
      <c r="AT285" s="181"/>
      <c r="AU285" s="181">
        <f t="shared" si="616"/>
        <v>0</v>
      </c>
      <c r="AV285" s="181"/>
      <c r="AW285" s="181"/>
      <c r="AX285" s="181">
        <f t="shared" si="617"/>
        <v>0</v>
      </c>
      <c r="AY285" s="181"/>
      <c r="AZ285" s="181"/>
      <c r="BA285" s="181">
        <f t="shared" si="618"/>
        <v>0</v>
      </c>
      <c r="BB285" s="181"/>
      <c r="BC285" s="181"/>
      <c r="BD285" s="181">
        <f t="shared" si="619"/>
        <v>0</v>
      </c>
      <c r="BE285" s="181"/>
      <c r="BF285" s="181"/>
      <c r="BG285" s="181">
        <f t="shared" si="620"/>
        <v>0</v>
      </c>
      <c r="BH285" s="181"/>
      <c r="BI285" s="181"/>
      <c r="BJ285" s="181">
        <f t="shared" si="621"/>
        <v>0</v>
      </c>
      <c r="BK285" s="181"/>
      <c r="BL285" s="326"/>
      <c r="BM285" s="317"/>
      <c r="BN285" s="321"/>
    </row>
    <row r="286" s="269" customFormat="1" ht="33.95" customHeight="1" outlineLevel="5" spans="2:66">
      <c r="B286" s="181" t="s">
        <v>792</v>
      </c>
      <c r="C286" s="289" t="s">
        <v>1346</v>
      </c>
      <c r="D286" s="269" t="s">
        <v>1347</v>
      </c>
      <c r="E286" s="181" t="s">
        <v>1348</v>
      </c>
      <c r="F286" s="181"/>
      <c r="G286" s="181" t="s">
        <v>936</v>
      </c>
      <c r="H286" s="181">
        <f t="shared" si="607"/>
        <v>0</v>
      </c>
      <c r="I286" s="181" t="s">
        <v>1340</v>
      </c>
      <c r="J286" s="304"/>
      <c r="K286" s="181" t="s">
        <v>1341</v>
      </c>
      <c r="L286" s="304"/>
      <c r="M286" s="181" t="s">
        <v>1342</v>
      </c>
      <c r="N286" s="181">
        <f t="shared" si="608"/>
        <v>0</v>
      </c>
      <c r="O286" s="304"/>
      <c r="P286" s="304"/>
      <c r="Q286" s="304"/>
      <c r="R286" s="304"/>
      <c r="S286" s="304"/>
      <c r="T286" s="304"/>
      <c r="U286" s="304"/>
      <c r="V286" s="304"/>
      <c r="W286" s="304"/>
      <c r="X286" s="304"/>
      <c r="Y286" s="304"/>
      <c r="Z286" s="304"/>
      <c r="AA286" s="181"/>
      <c r="AB286" s="181">
        <f t="shared" si="609"/>
        <v>0</v>
      </c>
      <c r="AC286" s="181">
        <f t="shared" si="610"/>
        <v>0</v>
      </c>
      <c r="AD286" s="181"/>
      <c r="AE286" s="181"/>
      <c r="AF286" s="181">
        <f t="shared" si="611"/>
        <v>0</v>
      </c>
      <c r="AG286" s="181"/>
      <c r="AH286" s="181"/>
      <c r="AI286" s="181">
        <f t="shared" si="612"/>
        <v>0</v>
      </c>
      <c r="AJ286" s="181"/>
      <c r="AK286" s="181"/>
      <c r="AL286" s="181">
        <f t="shared" si="613"/>
        <v>0</v>
      </c>
      <c r="AM286" s="181"/>
      <c r="AN286" s="181"/>
      <c r="AO286" s="181">
        <f t="shared" si="614"/>
        <v>0</v>
      </c>
      <c r="AP286" s="181"/>
      <c r="AQ286" s="181"/>
      <c r="AR286" s="181">
        <f t="shared" si="615"/>
        <v>0</v>
      </c>
      <c r="AS286" s="181"/>
      <c r="AT286" s="181"/>
      <c r="AU286" s="181">
        <f t="shared" si="616"/>
        <v>0</v>
      </c>
      <c r="AV286" s="181"/>
      <c r="AW286" s="181"/>
      <c r="AX286" s="181">
        <f t="shared" si="617"/>
        <v>0</v>
      </c>
      <c r="AY286" s="181"/>
      <c r="AZ286" s="181"/>
      <c r="BA286" s="181">
        <f t="shared" si="618"/>
        <v>0</v>
      </c>
      <c r="BB286" s="181"/>
      <c r="BC286" s="181"/>
      <c r="BD286" s="181">
        <f t="shared" si="619"/>
        <v>0</v>
      </c>
      <c r="BE286" s="181"/>
      <c r="BF286" s="181"/>
      <c r="BG286" s="181">
        <f t="shared" si="620"/>
        <v>0</v>
      </c>
      <c r="BH286" s="181"/>
      <c r="BI286" s="181"/>
      <c r="BJ286" s="181">
        <f t="shared" si="621"/>
        <v>0</v>
      </c>
      <c r="BK286" s="181"/>
      <c r="BL286" s="326"/>
      <c r="BM286" s="317"/>
      <c r="BN286" s="321"/>
    </row>
    <row r="287" s="124" customFormat="1" ht="33.95" customHeight="1" outlineLevel="4" spans="2:66">
      <c r="B287" s="125" t="s">
        <v>792</v>
      </c>
      <c r="C287" s="126" t="s">
        <v>1349</v>
      </c>
      <c r="D287" s="124" t="s">
        <v>1350</v>
      </c>
      <c r="E287" s="125" t="s">
        <v>1351</v>
      </c>
      <c r="F287" s="125"/>
      <c r="G287" s="125" t="s">
        <v>936</v>
      </c>
      <c r="H287" s="125">
        <f t="shared" si="607"/>
        <v>0</v>
      </c>
      <c r="I287" s="125" t="s">
        <v>1236</v>
      </c>
      <c r="J287" s="125">
        <v>1</v>
      </c>
      <c r="K287" s="125" t="s">
        <v>1236</v>
      </c>
      <c r="L287" s="304"/>
      <c r="M287" s="125" t="s">
        <v>1237</v>
      </c>
      <c r="N287" s="125">
        <f t="shared" si="608"/>
        <v>0</v>
      </c>
      <c r="O287" s="304"/>
      <c r="P287" s="304"/>
      <c r="Q287" s="304"/>
      <c r="R287" s="304"/>
      <c r="S287" s="304"/>
      <c r="T287" s="304"/>
      <c r="U287" s="304"/>
      <c r="V287" s="304"/>
      <c r="W287" s="304"/>
      <c r="X287" s="304"/>
      <c r="Y287" s="304"/>
      <c r="Z287" s="304"/>
      <c r="AA287" s="125"/>
      <c r="AB287" s="125">
        <f t="shared" si="609"/>
        <v>0</v>
      </c>
      <c r="AC287" s="125">
        <f t="shared" si="610"/>
        <v>0</v>
      </c>
      <c r="AD287" s="125"/>
      <c r="AE287" s="125"/>
      <c r="AF287" s="125">
        <f t="shared" si="611"/>
        <v>0</v>
      </c>
      <c r="AG287" s="125"/>
      <c r="AH287" s="125"/>
      <c r="AI287" s="125">
        <f t="shared" si="612"/>
        <v>0</v>
      </c>
      <c r="AJ287" s="125"/>
      <c r="AK287" s="125"/>
      <c r="AL287" s="125">
        <f t="shared" si="613"/>
        <v>0</v>
      </c>
      <c r="AM287" s="125"/>
      <c r="AN287" s="125"/>
      <c r="AO287" s="125">
        <f t="shared" si="614"/>
        <v>0</v>
      </c>
      <c r="AP287" s="125"/>
      <c r="AQ287" s="125"/>
      <c r="AR287" s="125">
        <f t="shared" si="615"/>
        <v>0</v>
      </c>
      <c r="AS287" s="125"/>
      <c r="AT287" s="125"/>
      <c r="AU287" s="125">
        <f t="shared" si="616"/>
        <v>0</v>
      </c>
      <c r="AV287" s="125"/>
      <c r="AW287" s="125"/>
      <c r="AX287" s="125">
        <f t="shared" si="617"/>
        <v>0</v>
      </c>
      <c r="AY287" s="125"/>
      <c r="AZ287" s="125"/>
      <c r="BA287" s="125">
        <f t="shared" si="618"/>
        <v>0</v>
      </c>
      <c r="BB287" s="125"/>
      <c r="BC287" s="125"/>
      <c r="BD287" s="125">
        <f t="shared" si="619"/>
        <v>0</v>
      </c>
      <c r="BE287" s="125"/>
      <c r="BF287" s="125"/>
      <c r="BG287" s="125">
        <f t="shared" si="620"/>
        <v>0</v>
      </c>
      <c r="BH287" s="125"/>
      <c r="BI287" s="125"/>
      <c r="BJ287" s="125">
        <f t="shared" si="621"/>
        <v>0</v>
      </c>
      <c r="BK287" s="125"/>
      <c r="BL287" s="312"/>
      <c r="BM287" s="317"/>
      <c r="BN287" s="320"/>
    </row>
    <row r="288" s="124" customFormat="1" ht="33.95" customHeight="1" outlineLevel="4" spans="2:66">
      <c r="B288" s="125" t="s">
        <v>792</v>
      </c>
      <c r="C288" s="126" t="s">
        <v>1352</v>
      </c>
      <c r="D288" s="124" t="s">
        <v>1353</v>
      </c>
      <c r="E288" s="125" t="s">
        <v>1354</v>
      </c>
      <c r="F288" s="125"/>
      <c r="G288" s="125" t="s">
        <v>936</v>
      </c>
      <c r="H288" s="125">
        <f t="shared" si="607"/>
        <v>0</v>
      </c>
      <c r="I288" s="125" t="s">
        <v>1355</v>
      </c>
      <c r="J288" s="304"/>
      <c r="K288" s="125" t="s">
        <v>1026</v>
      </c>
      <c r="L288" s="304"/>
      <c r="M288" s="125" t="s">
        <v>1189</v>
      </c>
      <c r="N288" s="125">
        <f t="shared" si="608"/>
        <v>0</v>
      </c>
      <c r="O288" s="304"/>
      <c r="P288" s="304"/>
      <c r="Q288" s="304"/>
      <c r="R288" s="304"/>
      <c r="S288" s="304"/>
      <c r="T288" s="304"/>
      <c r="U288" s="304"/>
      <c r="V288" s="304"/>
      <c r="W288" s="304"/>
      <c r="X288" s="304"/>
      <c r="Y288" s="304"/>
      <c r="Z288" s="304"/>
      <c r="AA288" s="125"/>
      <c r="AB288" s="125">
        <f t="shared" si="609"/>
        <v>0</v>
      </c>
      <c r="AC288" s="125">
        <f t="shared" si="610"/>
        <v>0</v>
      </c>
      <c r="AD288" s="125"/>
      <c r="AE288" s="125"/>
      <c r="AF288" s="125">
        <f t="shared" si="611"/>
        <v>0</v>
      </c>
      <c r="AG288" s="125"/>
      <c r="AH288" s="125"/>
      <c r="AI288" s="125">
        <f t="shared" si="612"/>
        <v>0</v>
      </c>
      <c r="AJ288" s="125"/>
      <c r="AK288" s="125"/>
      <c r="AL288" s="125">
        <f t="shared" si="613"/>
        <v>0</v>
      </c>
      <c r="AM288" s="125"/>
      <c r="AN288" s="125"/>
      <c r="AO288" s="125">
        <f t="shared" si="614"/>
        <v>0</v>
      </c>
      <c r="AP288" s="125"/>
      <c r="AQ288" s="125"/>
      <c r="AR288" s="125">
        <f t="shared" si="615"/>
        <v>0</v>
      </c>
      <c r="AS288" s="125"/>
      <c r="AT288" s="125"/>
      <c r="AU288" s="125">
        <f t="shared" si="616"/>
        <v>0</v>
      </c>
      <c r="AV288" s="125"/>
      <c r="AW288" s="125"/>
      <c r="AX288" s="125">
        <f t="shared" si="617"/>
        <v>0</v>
      </c>
      <c r="AY288" s="125"/>
      <c r="AZ288" s="125"/>
      <c r="BA288" s="125">
        <f t="shared" si="618"/>
        <v>0</v>
      </c>
      <c r="BB288" s="125"/>
      <c r="BC288" s="125"/>
      <c r="BD288" s="125">
        <f t="shared" si="619"/>
        <v>0</v>
      </c>
      <c r="BE288" s="125"/>
      <c r="BF288" s="125"/>
      <c r="BG288" s="125">
        <f t="shared" si="620"/>
        <v>0</v>
      </c>
      <c r="BH288" s="125"/>
      <c r="BI288" s="125"/>
      <c r="BJ288" s="125">
        <f t="shared" si="621"/>
        <v>0</v>
      </c>
      <c r="BK288" s="125"/>
      <c r="BL288" s="312"/>
      <c r="BM288" s="317"/>
      <c r="BN288" s="320"/>
    </row>
    <row r="289" s="124" customFormat="1" ht="33.95" customHeight="1" outlineLevel="4" spans="2:66">
      <c r="B289" s="125" t="s">
        <v>792</v>
      </c>
      <c r="C289" s="126" t="s">
        <v>1356</v>
      </c>
      <c r="D289" s="124" t="s">
        <v>1357</v>
      </c>
      <c r="E289" s="125" t="s">
        <v>1358</v>
      </c>
      <c r="F289" s="125"/>
      <c r="G289" s="125" t="s">
        <v>936</v>
      </c>
      <c r="H289" s="125">
        <f t="shared" si="607"/>
        <v>0</v>
      </c>
      <c r="I289" s="125" t="s">
        <v>1359</v>
      </c>
      <c r="J289" s="304"/>
      <c r="K289" s="125" t="s">
        <v>1026</v>
      </c>
      <c r="L289" s="304"/>
      <c r="M289" s="125" t="s">
        <v>1189</v>
      </c>
      <c r="N289" s="125">
        <f t="shared" si="608"/>
        <v>0</v>
      </c>
      <c r="O289" s="304"/>
      <c r="P289" s="304"/>
      <c r="Q289" s="304"/>
      <c r="R289" s="304"/>
      <c r="S289" s="304"/>
      <c r="T289" s="304"/>
      <c r="U289" s="304"/>
      <c r="V289" s="304"/>
      <c r="W289" s="304"/>
      <c r="X289" s="304"/>
      <c r="Y289" s="304"/>
      <c r="Z289" s="304"/>
      <c r="AA289" s="125"/>
      <c r="AB289" s="125">
        <f t="shared" si="609"/>
        <v>0</v>
      </c>
      <c r="AC289" s="125">
        <f t="shared" si="610"/>
        <v>0</v>
      </c>
      <c r="AD289" s="125"/>
      <c r="AE289" s="125"/>
      <c r="AF289" s="125">
        <f t="shared" si="611"/>
        <v>0</v>
      </c>
      <c r="AG289" s="125"/>
      <c r="AH289" s="125"/>
      <c r="AI289" s="125">
        <f t="shared" si="612"/>
        <v>0</v>
      </c>
      <c r="AJ289" s="125"/>
      <c r="AK289" s="125"/>
      <c r="AL289" s="125">
        <f t="shared" si="613"/>
        <v>0</v>
      </c>
      <c r="AM289" s="125"/>
      <c r="AN289" s="125"/>
      <c r="AO289" s="125">
        <f t="shared" si="614"/>
        <v>0</v>
      </c>
      <c r="AP289" s="125"/>
      <c r="AQ289" s="125"/>
      <c r="AR289" s="125">
        <f t="shared" si="615"/>
        <v>0</v>
      </c>
      <c r="AS289" s="125"/>
      <c r="AT289" s="125"/>
      <c r="AU289" s="125">
        <f t="shared" si="616"/>
        <v>0</v>
      </c>
      <c r="AV289" s="125"/>
      <c r="AW289" s="125"/>
      <c r="AX289" s="125">
        <f t="shared" si="617"/>
        <v>0</v>
      </c>
      <c r="AY289" s="125"/>
      <c r="AZ289" s="125"/>
      <c r="BA289" s="125">
        <f t="shared" si="618"/>
        <v>0</v>
      </c>
      <c r="BB289" s="125"/>
      <c r="BC289" s="125"/>
      <c r="BD289" s="125">
        <f t="shared" si="619"/>
        <v>0</v>
      </c>
      <c r="BE289" s="125"/>
      <c r="BF289" s="125"/>
      <c r="BG289" s="125">
        <f t="shared" si="620"/>
        <v>0</v>
      </c>
      <c r="BH289" s="125"/>
      <c r="BI289" s="125"/>
      <c r="BJ289" s="125">
        <f t="shared" si="621"/>
        <v>0</v>
      </c>
      <c r="BK289" s="125"/>
      <c r="BL289" s="312"/>
      <c r="BM289" s="317"/>
      <c r="BN289" s="320"/>
    </row>
    <row r="290" s="124" customFormat="1" ht="33.95" customHeight="1" outlineLevel="4" spans="2:66">
      <c r="B290" s="125" t="s">
        <v>792</v>
      </c>
      <c r="C290" s="126" t="s">
        <v>1360</v>
      </c>
      <c r="D290" s="124" t="s">
        <v>1361</v>
      </c>
      <c r="E290" s="125" t="s">
        <v>1362</v>
      </c>
      <c r="F290" s="125"/>
      <c r="G290" s="125" t="s">
        <v>936</v>
      </c>
      <c r="H290" s="125">
        <f t="shared" si="607"/>
        <v>0</v>
      </c>
      <c r="I290" s="125" t="s">
        <v>1363</v>
      </c>
      <c r="J290" s="304"/>
      <c r="K290" s="125" t="s">
        <v>1026</v>
      </c>
      <c r="L290" s="304"/>
      <c r="M290" s="125" t="s">
        <v>1189</v>
      </c>
      <c r="N290" s="125">
        <f t="shared" si="608"/>
        <v>0</v>
      </c>
      <c r="O290" s="304"/>
      <c r="P290" s="322"/>
      <c r="Q290" s="322"/>
      <c r="R290" s="322"/>
      <c r="S290" s="322"/>
      <c r="T290" s="322"/>
      <c r="U290" s="322"/>
      <c r="V290" s="322"/>
      <c r="W290" s="322"/>
      <c r="X290" s="322"/>
      <c r="Y290" s="322"/>
      <c r="Z290" s="322"/>
      <c r="AA290" s="125"/>
      <c r="AB290" s="125">
        <f t="shared" si="609"/>
        <v>0</v>
      </c>
      <c r="AC290" s="125">
        <f t="shared" si="610"/>
        <v>0</v>
      </c>
      <c r="AD290" s="125"/>
      <c r="AE290" s="125"/>
      <c r="AF290" s="125">
        <f t="shared" si="611"/>
        <v>0</v>
      </c>
      <c r="AG290" s="125"/>
      <c r="AH290" s="125"/>
      <c r="AI290" s="125">
        <f t="shared" si="612"/>
        <v>0</v>
      </c>
      <c r="AJ290" s="125"/>
      <c r="AK290" s="125"/>
      <c r="AL290" s="125">
        <f t="shared" si="613"/>
        <v>0</v>
      </c>
      <c r="AM290" s="125"/>
      <c r="AN290" s="125"/>
      <c r="AO290" s="125">
        <f t="shared" si="614"/>
        <v>0</v>
      </c>
      <c r="AP290" s="125"/>
      <c r="AQ290" s="125"/>
      <c r="AR290" s="125">
        <f t="shared" si="615"/>
        <v>0</v>
      </c>
      <c r="AS290" s="125"/>
      <c r="AT290" s="125"/>
      <c r="AU290" s="125">
        <f t="shared" si="616"/>
        <v>0</v>
      </c>
      <c r="AV290" s="125"/>
      <c r="AW290" s="125"/>
      <c r="AX290" s="125">
        <f t="shared" si="617"/>
        <v>0</v>
      </c>
      <c r="AY290" s="125"/>
      <c r="AZ290" s="125"/>
      <c r="BA290" s="125">
        <f t="shared" si="618"/>
        <v>0</v>
      </c>
      <c r="BB290" s="125"/>
      <c r="BC290" s="125"/>
      <c r="BD290" s="125">
        <f t="shared" si="619"/>
        <v>0</v>
      </c>
      <c r="BE290" s="125"/>
      <c r="BF290" s="125"/>
      <c r="BG290" s="125">
        <f t="shared" si="620"/>
        <v>0</v>
      </c>
      <c r="BH290" s="125"/>
      <c r="BI290" s="125"/>
      <c r="BJ290" s="125">
        <f t="shared" si="621"/>
        <v>0</v>
      </c>
      <c r="BK290" s="125"/>
      <c r="BL290" s="312"/>
      <c r="BM290" s="317"/>
      <c r="BN290" s="320"/>
    </row>
    <row r="291" s="43" customFormat="1" ht="33.95" customHeight="1" outlineLevel="3" spans="2:66">
      <c r="B291" s="121" t="s">
        <v>787</v>
      </c>
      <c r="C291" s="122" t="s">
        <v>1364</v>
      </c>
      <c r="D291" s="43" t="s">
        <v>1365</v>
      </c>
      <c r="E291" s="121"/>
      <c r="F291" s="121"/>
      <c r="G291" s="121"/>
      <c r="H291" s="121">
        <f>H292+H293+H294+H299</f>
        <v>155775</v>
      </c>
      <c r="I291" s="121"/>
      <c r="J291" s="121"/>
      <c r="K291" s="121"/>
      <c r="L291" s="121"/>
      <c r="M291" s="121"/>
      <c r="N291" s="121"/>
      <c r="O291" s="121"/>
      <c r="P291" s="294"/>
      <c r="Q291" s="294"/>
      <c r="R291" s="294"/>
      <c r="S291" s="294"/>
      <c r="T291" s="294"/>
      <c r="U291" s="294"/>
      <c r="V291" s="294"/>
      <c r="W291" s="294"/>
      <c r="X291" s="294"/>
      <c r="Y291" s="294"/>
      <c r="Z291" s="294"/>
      <c r="AA291" s="294"/>
      <c r="AB291" s="121">
        <f t="shared" ref="AB291:AF291" si="622">AB292+AB293+AB294+AB299</f>
        <v>155775</v>
      </c>
      <c r="AC291" s="121">
        <f t="shared" si="622"/>
        <v>12981.25</v>
      </c>
      <c r="AD291" s="121"/>
      <c r="AE291" s="121"/>
      <c r="AF291" s="121">
        <f t="shared" si="622"/>
        <v>12981.25</v>
      </c>
      <c r="AG291" s="121"/>
      <c r="AH291" s="121"/>
      <c r="AI291" s="121">
        <f>AI292+AI293+AI294+AI299</f>
        <v>12981.25</v>
      </c>
      <c r="AJ291" s="121"/>
      <c r="AK291" s="121"/>
      <c r="AL291" s="121">
        <f>AL292+AL293+AL294+AL299</f>
        <v>12981.25</v>
      </c>
      <c r="AM291" s="121"/>
      <c r="AN291" s="121"/>
      <c r="AO291" s="121">
        <f>AO292+AO293+AO294+AO299</f>
        <v>12981.25</v>
      </c>
      <c r="AP291" s="121"/>
      <c r="AQ291" s="121"/>
      <c r="AR291" s="121">
        <f>AR292+AR293+AR294+AR299</f>
        <v>12981.25</v>
      </c>
      <c r="AS291" s="121"/>
      <c r="AT291" s="121"/>
      <c r="AU291" s="121">
        <f>AU292+AU293+AU294+AU299</f>
        <v>12981.25</v>
      </c>
      <c r="AV291" s="121"/>
      <c r="AW291" s="121"/>
      <c r="AX291" s="121">
        <f>AX292+AX293+AX294+AX299</f>
        <v>12981.25</v>
      </c>
      <c r="AY291" s="121"/>
      <c r="AZ291" s="121"/>
      <c r="BA291" s="121">
        <f>BA292+BA293+BA294+BA299</f>
        <v>12981.25</v>
      </c>
      <c r="BB291" s="121"/>
      <c r="BC291" s="121"/>
      <c r="BD291" s="121">
        <f>BD292+BD293+BD294+BD299</f>
        <v>12981.25</v>
      </c>
      <c r="BE291" s="121"/>
      <c r="BF291" s="121"/>
      <c r="BG291" s="121">
        <f>BG292+BG293+BG294+BG299</f>
        <v>12981.25</v>
      </c>
      <c r="BH291" s="121"/>
      <c r="BI291" s="121"/>
      <c r="BJ291" s="121">
        <f>BJ292+BJ293+BJ294+BJ299</f>
        <v>12981.25</v>
      </c>
      <c r="BK291" s="121"/>
      <c r="BL291" s="311"/>
      <c r="BM291" s="317"/>
      <c r="BN291" s="319"/>
    </row>
    <row r="292" s="124" customFormat="1" ht="33.95" customHeight="1" outlineLevel="4" spans="2:66">
      <c r="B292" s="125" t="s">
        <v>792</v>
      </c>
      <c r="C292" s="126" t="s">
        <v>1366</v>
      </c>
      <c r="D292" s="124" t="s">
        <v>1367</v>
      </c>
      <c r="E292" s="125" t="s">
        <v>1368</v>
      </c>
      <c r="F292" s="125"/>
      <c r="G292" s="125" t="s">
        <v>936</v>
      </c>
      <c r="H292" s="125">
        <f t="shared" ref="H292:H298" si="623">IFERROR(J292*L292*N292,0)</f>
        <v>0</v>
      </c>
      <c r="I292" s="125" t="s">
        <v>1369</v>
      </c>
      <c r="J292" s="304"/>
      <c r="K292" s="125" t="s">
        <v>1370</v>
      </c>
      <c r="L292" s="327">
        <f>0.379248/1000</f>
        <v>0.000379248</v>
      </c>
      <c r="M292" s="125" t="s">
        <v>1371</v>
      </c>
      <c r="N292" s="125">
        <f>COUNTA(O292:Z292)</f>
        <v>0</v>
      </c>
      <c r="O292" s="304"/>
      <c r="P292" s="323"/>
      <c r="Q292" s="323"/>
      <c r="R292" s="323"/>
      <c r="S292" s="323"/>
      <c r="T292" s="323"/>
      <c r="U292" s="323"/>
      <c r="V292" s="323"/>
      <c r="W292" s="323"/>
      <c r="X292" s="323"/>
      <c r="Y292" s="323"/>
      <c r="Z292" s="323"/>
      <c r="AA292" s="125"/>
      <c r="AB292" s="125">
        <f>SUM(AC292,AF292,AI292,AL292,AO292,AR292,AU292,AX292,BA292,BD292,BG292,BJ292)</f>
        <v>0</v>
      </c>
      <c r="AC292" s="125">
        <f>IF(O292="",0,$J292*$L292)</f>
        <v>0</v>
      </c>
      <c r="AD292" s="125"/>
      <c r="AE292" s="125"/>
      <c r="AF292" s="125">
        <f>IF(P292="",0,$J292*$L292)</f>
        <v>0</v>
      </c>
      <c r="AG292" s="125"/>
      <c r="AH292" s="125"/>
      <c r="AI292" s="125">
        <f>IF(Q292="",0,$J292*$L292)</f>
        <v>0</v>
      </c>
      <c r="AJ292" s="125"/>
      <c r="AK292" s="125"/>
      <c r="AL292" s="125">
        <f>IF(R292="",0,$J292*$L292)</f>
        <v>0</v>
      </c>
      <c r="AM292" s="125"/>
      <c r="AN292" s="125"/>
      <c r="AO292" s="125">
        <f>IF(S292="",0,$J292*$L292)</f>
        <v>0</v>
      </c>
      <c r="AP292" s="125"/>
      <c r="AQ292" s="125"/>
      <c r="AR292" s="125">
        <f>IF(T292="",0,$J292*$L292)</f>
        <v>0</v>
      </c>
      <c r="AS292" s="125"/>
      <c r="AT292" s="125"/>
      <c r="AU292" s="125">
        <f>IF(U292="",0,$J292*$L292)</f>
        <v>0</v>
      </c>
      <c r="AV292" s="125"/>
      <c r="AW292" s="125"/>
      <c r="AX292" s="125">
        <f>IF(V292="",0,$J292*$L292)</f>
        <v>0</v>
      </c>
      <c r="AY292" s="125"/>
      <c r="AZ292" s="125"/>
      <c r="BA292" s="125">
        <f>IF(W292="",0,$J292*$L292)</f>
        <v>0</v>
      </c>
      <c r="BB292" s="125"/>
      <c r="BC292" s="125"/>
      <c r="BD292" s="125">
        <f>IF(X292="",0,$J292*$L292)</f>
        <v>0</v>
      </c>
      <c r="BE292" s="125"/>
      <c r="BF292" s="125"/>
      <c r="BG292" s="125">
        <f>IF(Y292="",0,$J292*$L292)</f>
        <v>0</v>
      </c>
      <c r="BH292" s="125"/>
      <c r="BI292" s="125"/>
      <c r="BJ292" s="125">
        <f>IF(Z292="",0,$J292*$L292)</f>
        <v>0</v>
      </c>
      <c r="BK292" s="125"/>
      <c r="BL292" s="312"/>
      <c r="BM292" s="317"/>
      <c r="BN292" s="320"/>
    </row>
    <row r="293" s="124" customFormat="1" ht="33.95" customHeight="1" outlineLevel="4" spans="2:66">
      <c r="B293" s="125" t="s">
        <v>792</v>
      </c>
      <c r="C293" s="126" t="s">
        <v>1372</v>
      </c>
      <c r="D293" s="124" t="s">
        <v>1373</v>
      </c>
      <c r="E293" s="125" t="s">
        <v>1368</v>
      </c>
      <c r="F293" s="125"/>
      <c r="G293" s="125" t="s">
        <v>936</v>
      </c>
      <c r="H293" s="125">
        <f t="shared" si="623"/>
        <v>0</v>
      </c>
      <c r="I293" s="125" t="s">
        <v>1374</v>
      </c>
      <c r="J293" s="304">
        <f>预算主表!P140/L293</f>
        <v>0</v>
      </c>
      <c r="K293" s="125" t="s">
        <v>1375</v>
      </c>
      <c r="L293" s="125">
        <v>1000</v>
      </c>
      <c r="M293" s="125" t="s">
        <v>1376</v>
      </c>
      <c r="N293" s="125">
        <f>COUNTA(O293:Z293)</f>
        <v>1</v>
      </c>
      <c r="O293" s="304" t="s">
        <v>1285</v>
      </c>
      <c r="P293" s="322"/>
      <c r="Q293" s="322"/>
      <c r="R293" s="322"/>
      <c r="S293" s="322"/>
      <c r="T293" s="322"/>
      <c r="U293" s="322"/>
      <c r="V293" s="322"/>
      <c r="W293" s="322"/>
      <c r="X293" s="322"/>
      <c r="Y293" s="322"/>
      <c r="Z293" s="322"/>
      <c r="AA293" s="125"/>
      <c r="AB293" s="125">
        <f>SUM(AC293,AF293,AI293,AL293,AO293,AR293,AU293,AX293,BA293,BD293,BG293,BJ293)</f>
        <v>0</v>
      </c>
      <c r="AC293" s="125">
        <f>IF(O293="",0,$J293*$L293)</f>
        <v>0</v>
      </c>
      <c r="AD293" s="125"/>
      <c r="AE293" s="125"/>
      <c r="AF293" s="125">
        <f>IF(P293="",0,$J293*$L293)</f>
        <v>0</v>
      </c>
      <c r="AG293" s="125"/>
      <c r="AH293" s="125"/>
      <c r="AI293" s="125">
        <f>IF(Q293="",0,$J293*$L293)</f>
        <v>0</v>
      </c>
      <c r="AJ293" s="125"/>
      <c r="AK293" s="125"/>
      <c r="AL293" s="125">
        <f>IF(R293="",0,$J293*$L293)</f>
        <v>0</v>
      </c>
      <c r="AM293" s="125"/>
      <c r="AN293" s="125"/>
      <c r="AO293" s="125">
        <f>IF(S293="",0,$J293*$L293)</f>
        <v>0</v>
      </c>
      <c r="AP293" s="125"/>
      <c r="AQ293" s="125"/>
      <c r="AR293" s="125">
        <f>IF(T293="",0,$J293*$L293)</f>
        <v>0</v>
      </c>
      <c r="AS293" s="125"/>
      <c r="AT293" s="125"/>
      <c r="AU293" s="125">
        <f>IF(U293="",0,$J293*$L293)</f>
        <v>0</v>
      </c>
      <c r="AV293" s="125"/>
      <c r="AW293" s="125"/>
      <c r="AX293" s="125">
        <f>IF(V293="",0,$J293*$L293)</f>
        <v>0</v>
      </c>
      <c r="AY293" s="125"/>
      <c r="AZ293" s="125"/>
      <c r="BA293" s="125">
        <f>IF(W293="",0,$J293*$L293)</f>
        <v>0</v>
      </c>
      <c r="BB293" s="125"/>
      <c r="BC293" s="125"/>
      <c r="BD293" s="125">
        <f>IF(X293="",0,$J293*$L293)</f>
        <v>0</v>
      </c>
      <c r="BE293" s="125"/>
      <c r="BF293" s="125"/>
      <c r="BG293" s="125">
        <f>IF(Y293="",0,$J293*$L293)</f>
        <v>0</v>
      </c>
      <c r="BH293" s="125"/>
      <c r="BI293" s="125"/>
      <c r="BJ293" s="125">
        <f>IF(Z293="",0,$J293*$L293)</f>
        <v>0</v>
      </c>
      <c r="BK293" s="125"/>
      <c r="BL293" s="312"/>
      <c r="BM293" s="317"/>
      <c r="BN293" s="320"/>
    </row>
    <row r="294" s="124" customFormat="1" ht="33.95" customHeight="1" outlineLevel="4" spans="2:66">
      <c r="B294" s="125" t="s">
        <v>787</v>
      </c>
      <c r="C294" s="126" t="s">
        <v>1377</v>
      </c>
      <c r="D294" s="124" t="s">
        <v>1378</v>
      </c>
      <c r="E294" s="125"/>
      <c r="F294" s="125"/>
      <c r="G294" s="125"/>
      <c r="H294" s="125">
        <f>SUM(H295:H298)</f>
        <v>0</v>
      </c>
      <c r="I294" s="125"/>
      <c r="J294" s="125"/>
      <c r="K294" s="125"/>
      <c r="L294" s="125"/>
      <c r="M294" s="125"/>
      <c r="N294" s="125"/>
      <c r="O294" s="125"/>
      <c r="P294" s="295"/>
      <c r="Q294" s="295"/>
      <c r="R294" s="295"/>
      <c r="S294" s="295"/>
      <c r="T294" s="295"/>
      <c r="U294" s="295"/>
      <c r="V294" s="295"/>
      <c r="W294" s="295"/>
      <c r="X294" s="295"/>
      <c r="Y294" s="295"/>
      <c r="Z294" s="295"/>
      <c r="AA294" s="295"/>
      <c r="AB294" s="125">
        <f t="shared" ref="AB294:AF294" si="624">SUM(AB295:AB298)</f>
        <v>0</v>
      </c>
      <c r="AC294" s="125">
        <f t="shared" si="624"/>
        <v>0</v>
      </c>
      <c r="AD294" s="125"/>
      <c r="AE294" s="125"/>
      <c r="AF294" s="125">
        <f t="shared" si="624"/>
        <v>0</v>
      </c>
      <c r="AG294" s="125"/>
      <c r="AH294" s="125"/>
      <c r="AI294" s="125">
        <f>SUM(AI295:AI298)</f>
        <v>0</v>
      </c>
      <c r="AJ294" s="125"/>
      <c r="AK294" s="125"/>
      <c r="AL294" s="125">
        <f>SUM(AL295:AL298)</f>
        <v>0</v>
      </c>
      <c r="AM294" s="125"/>
      <c r="AN294" s="125"/>
      <c r="AO294" s="125">
        <f>SUM(AO295:AO298)</f>
        <v>0</v>
      </c>
      <c r="AP294" s="125"/>
      <c r="AQ294" s="125"/>
      <c r="AR294" s="125">
        <f>SUM(AR295:AR298)</f>
        <v>0</v>
      </c>
      <c r="AS294" s="125"/>
      <c r="AT294" s="125"/>
      <c r="AU294" s="125">
        <f>SUM(AU295:AU298)</f>
        <v>0</v>
      </c>
      <c r="AV294" s="125"/>
      <c r="AW294" s="125"/>
      <c r="AX294" s="125">
        <f>SUM(AX295:AX298)</f>
        <v>0</v>
      </c>
      <c r="AY294" s="125"/>
      <c r="AZ294" s="125"/>
      <c r="BA294" s="125">
        <f>SUM(BA295:BA298)</f>
        <v>0</v>
      </c>
      <c r="BB294" s="125"/>
      <c r="BC294" s="125"/>
      <c r="BD294" s="125">
        <f>SUM(BD295:BD298)</f>
        <v>0</v>
      </c>
      <c r="BE294" s="125"/>
      <c r="BF294" s="125"/>
      <c r="BG294" s="125">
        <f>SUM(BG295:BG298)</f>
        <v>0</v>
      </c>
      <c r="BH294" s="125"/>
      <c r="BI294" s="125"/>
      <c r="BJ294" s="125">
        <f>SUM(BJ295:BJ298)</f>
        <v>0</v>
      </c>
      <c r="BK294" s="125"/>
      <c r="BL294" s="312"/>
      <c r="BM294" s="317"/>
      <c r="BN294" s="320"/>
    </row>
    <row r="295" s="269" customFormat="1" ht="33.95" customHeight="1" outlineLevel="5" spans="2:66">
      <c r="B295" s="181" t="s">
        <v>792</v>
      </c>
      <c r="C295" s="289" t="s">
        <v>1379</v>
      </c>
      <c r="D295" s="269" t="s">
        <v>1380</v>
      </c>
      <c r="E295" s="181"/>
      <c r="F295" s="181"/>
      <c r="G295" s="181" t="s">
        <v>936</v>
      </c>
      <c r="H295" s="181">
        <f t="shared" si="623"/>
        <v>0</v>
      </c>
      <c r="I295" s="181" t="s">
        <v>1235</v>
      </c>
      <c r="J295" s="181">
        <v>1</v>
      </c>
      <c r="K295" s="181" t="s">
        <v>1236</v>
      </c>
      <c r="L295" s="181">
        <f>IF('1-1 项目基础信息'!K9&gt;200000,7500,5000)</f>
        <v>7500</v>
      </c>
      <c r="M295" s="181" t="s">
        <v>1381</v>
      </c>
      <c r="N295" s="181">
        <f>COUNTA(O295:Z295)</f>
        <v>0</v>
      </c>
      <c r="O295" s="304"/>
      <c r="P295" s="323"/>
      <c r="Q295" s="323"/>
      <c r="R295" s="323"/>
      <c r="S295" s="323"/>
      <c r="T295" s="323"/>
      <c r="U295" s="323"/>
      <c r="V295" s="323"/>
      <c r="W295" s="323"/>
      <c r="X295" s="323"/>
      <c r="Y295" s="323"/>
      <c r="Z295" s="323"/>
      <c r="AA295" s="181"/>
      <c r="AB295" s="181">
        <f>SUM(AC295,AF295,AI295,AL295,AO295,AR295,AU295,AX295,BA295,BD295,BG295,BJ295)</f>
        <v>0</v>
      </c>
      <c r="AC295" s="181">
        <f>IF(O295="",0,$J295*$L295)</f>
        <v>0</v>
      </c>
      <c r="AD295" s="181"/>
      <c r="AE295" s="181"/>
      <c r="AF295" s="181">
        <f>IF(P295="",0,$J295*$L295)</f>
        <v>0</v>
      </c>
      <c r="AG295" s="181"/>
      <c r="AH295" s="181"/>
      <c r="AI295" s="181">
        <f>IF(Q295="",0,$J295*$L295)</f>
        <v>0</v>
      </c>
      <c r="AJ295" s="181"/>
      <c r="AK295" s="181"/>
      <c r="AL295" s="181">
        <f>IF(R295="",0,$J295*$L295)</f>
        <v>0</v>
      </c>
      <c r="AM295" s="181"/>
      <c r="AN295" s="181"/>
      <c r="AO295" s="181">
        <f>IF(S295="",0,$J295*$L295)</f>
        <v>0</v>
      </c>
      <c r="AP295" s="181"/>
      <c r="AQ295" s="181"/>
      <c r="AR295" s="181">
        <f>IF(T295="",0,$J295*$L295)</f>
        <v>0</v>
      </c>
      <c r="AS295" s="181"/>
      <c r="AT295" s="181"/>
      <c r="AU295" s="181">
        <f>IF(U295="",0,$J295*$L295)</f>
        <v>0</v>
      </c>
      <c r="AV295" s="181"/>
      <c r="AW295" s="181"/>
      <c r="AX295" s="181">
        <f>IF(V295="",0,$J295*$L295)</f>
        <v>0</v>
      </c>
      <c r="AY295" s="181"/>
      <c r="AZ295" s="181"/>
      <c r="BA295" s="181">
        <f>IF(W295="",0,$J295*$L295)</f>
        <v>0</v>
      </c>
      <c r="BB295" s="181"/>
      <c r="BC295" s="181"/>
      <c r="BD295" s="181">
        <f>IF(X295="",0,$J295*$L295)</f>
        <v>0</v>
      </c>
      <c r="BE295" s="181"/>
      <c r="BF295" s="181"/>
      <c r="BG295" s="181">
        <f>IF(Y295="",0,$J295*$L295)</f>
        <v>0</v>
      </c>
      <c r="BH295" s="181"/>
      <c r="BI295" s="181"/>
      <c r="BJ295" s="181">
        <f>IF(Z295="",0,$J295*$L295)</f>
        <v>0</v>
      </c>
      <c r="BK295" s="181"/>
      <c r="BL295" s="326"/>
      <c r="BM295" s="317"/>
      <c r="BN295" s="321"/>
    </row>
    <row r="296" s="269" customFormat="1" ht="33.95" customHeight="1" outlineLevel="5" spans="2:66">
      <c r="B296" s="181" t="s">
        <v>792</v>
      </c>
      <c r="C296" s="289" t="s">
        <v>1382</v>
      </c>
      <c r="D296" s="269" t="s">
        <v>1383</v>
      </c>
      <c r="E296" s="181"/>
      <c r="F296" s="181"/>
      <c r="G296" s="181" t="s">
        <v>936</v>
      </c>
      <c r="H296" s="181">
        <f t="shared" si="623"/>
        <v>0</v>
      </c>
      <c r="I296" s="181" t="s">
        <v>1235</v>
      </c>
      <c r="J296" s="181">
        <v>1</v>
      </c>
      <c r="K296" s="181" t="s">
        <v>1236</v>
      </c>
      <c r="L296" s="181">
        <v>750</v>
      </c>
      <c r="M296" s="181" t="s">
        <v>1381</v>
      </c>
      <c r="N296" s="181">
        <f>COUNTA(O296:Z296)</f>
        <v>0</v>
      </c>
      <c r="O296" s="304"/>
      <c r="P296" s="304"/>
      <c r="Q296" s="304"/>
      <c r="R296" s="304"/>
      <c r="S296" s="304"/>
      <c r="T296" s="304"/>
      <c r="U296" s="304"/>
      <c r="V296" s="304"/>
      <c r="W296" s="304"/>
      <c r="X296" s="304"/>
      <c r="Y296" s="304"/>
      <c r="Z296" s="304"/>
      <c r="AA296" s="181"/>
      <c r="AB296" s="181">
        <f>SUM(AC296,AF296,AI296,AL296,AO296,AR296,AU296,AX296,BA296,BD296,BG296,BJ296)</f>
        <v>0</v>
      </c>
      <c r="AC296" s="181">
        <f>IF(O296="",0,$J296*$L296)</f>
        <v>0</v>
      </c>
      <c r="AD296" s="181"/>
      <c r="AE296" s="181"/>
      <c r="AF296" s="181">
        <f>IF(P296="",0,$J296*$L296)</f>
        <v>0</v>
      </c>
      <c r="AG296" s="181"/>
      <c r="AH296" s="181"/>
      <c r="AI296" s="181">
        <f>IF(Q296="",0,$J296*$L296)</f>
        <v>0</v>
      </c>
      <c r="AJ296" s="181"/>
      <c r="AK296" s="181"/>
      <c r="AL296" s="181">
        <f>IF(R296="",0,$J296*$L296)</f>
        <v>0</v>
      </c>
      <c r="AM296" s="181"/>
      <c r="AN296" s="181"/>
      <c r="AO296" s="181">
        <f>IF(S296="",0,$J296*$L296)</f>
        <v>0</v>
      </c>
      <c r="AP296" s="181"/>
      <c r="AQ296" s="181"/>
      <c r="AR296" s="181">
        <f>IF(T296="",0,$J296*$L296)</f>
        <v>0</v>
      </c>
      <c r="AS296" s="181"/>
      <c r="AT296" s="181"/>
      <c r="AU296" s="181">
        <f>IF(U296="",0,$J296*$L296)</f>
        <v>0</v>
      </c>
      <c r="AV296" s="181"/>
      <c r="AW296" s="181"/>
      <c r="AX296" s="181">
        <f>IF(V296="",0,$J296*$L296)</f>
        <v>0</v>
      </c>
      <c r="AY296" s="181"/>
      <c r="AZ296" s="181"/>
      <c r="BA296" s="181">
        <f>IF(W296="",0,$J296*$L296)</f>
        <v>0</v>
      </c>
      <c r="BB296" s="181"/>
      <c r="BC296" s="181"/>
      <c r="BD296" s="181">
        <f>IF(X296="",0,$J296*$L296)</f>
        <v>0</v>
      </c>
      <c r="BE296" s="181"/>
      <c r="BF296" s="181"/>
      <c r="BG296" s="181">
        <f>IF(Y296="",0,$J296*$L296)</f>
        <v>0</v>
      </c>
      <c r="BH296" s="181"/>
      <c r="BI296" s="181"/>
      <c r="BJ296" s="181">
        <f>IF(Z296="",0,$J296*$L296)</f>
        <v>0</v>
      </c>
      <c r="BK296" s="181"/>
      <c r="BL296" s="326"/>
      <c r="BM296" s="317"/>
      <c r="BN296" s="321"/>
    </row>
    <row r="297" s="269" customFormat="1" ht="33.95" customHeight="1" outlineLevel="5" spans="2:66">
      <c r="B297" s="181" t="s">
        <v>792</v>
      </c>
      <c r="C297" s="289" t="s">
        <v>1384</v>
      </c>
      <c r="D297" s="269" t="s">
        <v>1385</v>
      </c>
      <c r="E297" s="181"/>
      <c r="F297" s="181"/>
      <c r="G297" s="181" t="s">
        <v>936</v>
      </c>
      <c r="H297" s="181">
        <f t="shared" si="623"/>
        <v>0</v>
      </c>
      <c r="I297" s="181" t="s">
        <v>1235</v>
      </c>
      <c r="J297" s="181">
        <v>1</v>
      </c>
      <c r="K297" s="181" t="s">
        <v>1236</v>
      </c>
      <c r="L297" s="181">
        <v>1780</v>
      </c>
      <c r="M297" s="181" t="s">
        <v>1381</v>
      </c>
      <c r="N297" s="181">
        <f>COUNTA(O297:Z297)</f>
        <v>0</v>
      </c>
      <c r="O297" s="304"/>
      <c r="P297" s="304"/>
      <c r="Q297" s="304"/>
      <c r="R297" s="304"/>
      <c r="S297" s="304"/>
      <c r="T297" s="304"/>
      <c r="U297" s="304"/>
      <c r="V297" s="304"/>
      <c r="W297" s="304"/>
      <c r="X297" s="304"/>
      <c r="Y297" s="304"/>
      <c r="Z297" s="304"/>
      <c r="AA297" s="181"/>
      <c r="AB297" s="181">
        <f>SUM(AC297,AF297,AI297,AL297,AO297,AR297,AU297,AX297,BA297,BD297,BG297,BJ297)</f>
        <v>0</v>
      </c>
      <c r="AC297" s="181">
        <f>IF(O297="",0,$J297*$L297)</f>
        <v>0</v>
      </c>
      <c r="AD297" s="181"/>
      <c r="AE297" s="181"/>
      <c r="AF297" s="181">
        <f>IF(P297="",0,$J297*$L297)</f>
        <v>0</v>
      </c>
      <c r="AG297" s="181"/>
      <c r="AH297" s="181"/>
      <c r="AI297" s="181">
        <f>IF(Q297="",0,$J297*$L297)</f>
        <v>0</v>
      </c>
      <c r="AJ297" s="181"/>
      <c r="AK297" s="181"/>
      <c r="AL297" s="181">
        <f>IF(R297="",0,$J297*$L297)</f>
        <v>0</v>
      </c>
      <c r="AM297" s="181"/>
      <c r="AN297" s="181"/>
      <c r="AO297" s="181">
        <f>IF(S297="",0,$J297*$L297)</f>
        <v>0</v>
      </c>
      <c r="AP297" s="181"/>
      <c r="AQ297" s="181"/>
      <c r="AR297" s="181">
        <f>IF(T297="",0,$J297*$L297)</f>
        <v>0</v>
      </c>
      <c r="AS297" s="181"/>
      <c r="AT297" s="181"/>
      <c r="AU297" s="181">
        <f>IF(U297="",0,$J297*$L297)</f>
        <v>0</v>
      </c>
      <c r="AV297" s="181"/>
      <c r="AW297" s="181"/>
      <c r="AX297" s="181">
        <f>IF(V297="",0,$J297*$L297)</f>
        <v>0</v>
      </c>
      <c r="AY297" s="181"/>
      <c r="AZ297" s="181"/>
      <c r="BA297" s="181">
        <f>IF(W297="",0,$J297*$L297)</f>
        <v>0</v>
      </c>
      <c r="BB297" s="181"/>
      <c r="BC297" s="181"/>
      <c r="BD297" s="181">
        <f>IF(X297="",0,$J297*$L297)</f>
        <v>0</v>
      </c>
      <c r="BE297" s="181"/>
      <c r="BF297" s="181"/>
      <c r="BG297" s="181">
        <f>IF(Y297="",0,$J297*$L297)</f>
        <v>0</v>
      </c>
      <c r="BH297" s="181"/>
      <c r="BI297" s="181"/>
      <c r="BJ297" s="181">
        <f>IF(Z297="",0,$J297*$L297)</f>
        <v>0</v>
      </c>
      <c r="BK297" s="181"/>
      <c r="BL297" s="326"/>
      <c r="BM297" s="317"/>
      <c r="BN297" s="321"/>
    </row>
    <row r="298" s="269" customFormat="1" ht="33.95" customHeight="1" outlineLevel="5" spans="2:66">
      <c r="B298" s="181" t="s">
        <v>792</v>
      </c>
      <c r="C298" s="289" t="s">
        <v>1386</v>
      </c>
      <c r="D298" s="269" t="s">
        <v>1387</v>
      </c>
      <c r="E298" s="181"/>
      <c r="F298" s="181"/>
      <c r="G298" s="181"/>
      <c r="H298" s="181">
        <f t="shared" si="623"/>
        <v>0</v>
      </c>
      <c r="I298" s="181" t="s">
        <v>1388</v>
      </c>
      <c r="J298" s="304"/>
      <c r="K298" s="181" t="s">
        <v>1389</v>
      </c>
      <c r="L298" s="181">
        <v>780</v>
      </c>
      <c r="M298" s="181" t="s">
        <v>1390</v>
      </c>
      <c r="N298" s="181">
        <f>COUNTA(O298:Z298)</f>
        <v>0</v>
      </c>
      <c r="O298" s="304"/>
      <c r="P298" s="322"/>
      <c r="Q298" s="322"/>
      <c r="R298" s="322"/>
      <c r="S298" s="322"/>
      <c r="T298" s="322"/>
      <c r="U298" s="322"/>
      <c r="V298" s="322"/>
      <c r="W298" s="322"/>
      <c r="X298" s="322"/>
      <c r="Y298" s="322"/>
      <c r="Z298" s="322"/>
      <c r="AA298" s="181"/>
      <c r="AB298" s="181">
        <f>SUM(AC298,AF298,AI298,AL298,AO298,AR298,AU298,AX298,BA298,BD298,BG298,BJ298)</f>
        <v>0</v>
      </c>
      <c r="AC298" s="181">
        <f>IF(O298="",0,$J298*$L298)</f>
        <v>0</v>
      </c>
      <c r="AD298" s="181"/>
      <c r="AE298" s="181"/>
      <c r="AF298" s="181">
        <f>IF(P298="",0,$J298*$L298)</f>
        <v>0</v>
      </c>
      <c r="AG298" s="181"/>
      <c r="AH298" s="181"/>
      <c r="AI298" s="181">
        <f>IF(Q298="",0,$J298*$L298)</f>
        <v>0</v>
      </c>
      <c r="AJ298" s="181"/>
      <c r="AK298" s="181"/>
      <c r="AL298" s="181">
        <f>IF(R298="",0,$J298*$L298)</f>
        <v>0</v>
      </c>
      <c r="AM298" s="181"/>
      <c r="AN298" s="181"/>
      <c r="AO298" s="181">
        <f>IF(S298="",0,$J298*$L298)</f>
        <v>0</v>
      </c>
      <c r="AP298" s="181"/>
      <c r="AQ298" s="181"/>
      <c r="AR298" s="181">
        <f>IF(T298="",0,$J298*$L298)</f>
        <v>0</v>
      </c>
      <c r="AS298" s="181"/>
      <c r="AT298" s="181"/>
      <c r="AU298" s="181">
        <f>IF(U298="",0,$J298*$L298)</f>
        <v>0</v>
      </c>
      <c r="AV298" s="181"/>
      <c r="AW298" s="181"/>
      <c r="AX298" s="181">
        <f>IF(V298="",0,$J298*$L298)</f>
        <v>0</v>
      </c>
      <c r="AY298" s="181"/>
      <c r="AZ298" s="181"/>
      <c r="BA298" s="181">
        <f>IF(W298="",0,$J298*$L298)</f>
        <v>0</v>
      </c>
      <c r="BB298" s="181"/>
      <c r="BC298" s="181"/>
      <c r="BD298" s="181">
        <f>IF(X298="",0,$J298*$L298)</f>
        <v>0</v>
      </c>
      <c r="BE298" s="181"/>
      <c r="BF298" s="181"/>
      <c r="BG298" s="181">
        <f>IF(Y298="",0,$J298*$L298)</f>
        <v>0</v>
      </c>
      <c r="BH298" s="181"/>
      <c r="BI298" s="181"/>
      <c r="BJ298" s="181">
        <f>IF(Z298="",0,$J298*$L298)</f>
        <v>0</v>
      </c>
      <c r="BK298" s="181"/>
      <c r="BL298" s="326"/>
      <c r="BM298" s="317"/>
      <c r="BN298" s="321"/>
    </row>
    <row r="299" s="124" customFormat="1" ht="33.95" customHeight="1" outlineLevel="4" spans="2:66">
      <c r="B299" s="125" t="s">
        <v>787</v>
      </c>
      <c r="C299" s="126" t="s">
        <v>1391</v>
      </c>
      <c r="D299" s="124" t="s">
        <v>1392</v>
      </c>
      <c r="E299" s="125"/>
      <c r="F299" s="125"/>
      <c r="G299" s="125"/>
      <c r="H299" s="125">
        <f>SUM(H300:H302)</f>
        <v>155775</v>
      </c>
      <c r="I299" s="125"/>
      <c r="J299" s="125"/>
      <c r="K299" s="125"/>
      <c r="L299" s="125"/>
      <c r="M299" s="125"/>
      <c r="N299" s="125"/>
      <c r="O299" s="125"/>
      <c r="P299" s="295"/>
      <c r="Q299" s="295"/>
      <c r="R299" s="295"/>
      <c r="S299" s="295"/>
      <c r="T299" s="295"/>
      <c r="U299" s="295"/>
      <c r="V299" s="295"/>
      <c r="W299" s="295"/>
      <c r="X299" s="295"/>
      <c r="Y299" s="295"/>
      <c r="Z299" s="295"/>
      <c r="AA299" s="295"/>
      <c r="AB299" s="125">
        <f t="shared" ref="AB299:AF299" si="625">SUM(AB300:AB302)</f>
        <v>155775</v>
      </c>
      <c r="AC299" s="125">
        <f t="shared" si="625"/>
        <v>12981.25</v>
      </c>
      <c r="AD299" s="125"/>
      <c r="AE299" s="125"/>
      <c r="AF299" s="125">
        <f t="shared" si="625"/>
        <v>12981.25</v>
      </c>
      <c r="AG299" s="125"/>
      <c r="AH299" s="125"/>
      <c r="AI299" s="125">
        <f>SUM(AI300:AI302)</f>
        <v>12981.25</v>
      </c>
      <c r="AJ299" s="125"/>
      <c r="AK299" s="125"/>
      <c r="AL299" s="125">
        <f>SUM(AL300:AL302)</f>
        <v>12981.25</v>
      </c>
      <c r="AM299" s="125"/>
      <c r="AN299" s="125"/>
      <c r="AO299" s="125">
        <f>SUM(AO300:AO302)</f>
        <v>12981.25</v>
      </c>
      <c r="AP299" s="125"/>
      <c r="AQ299" s="125"/>
      <c r="AR299" s="125">
        <f>SUM(AR300:AR302)</f>
        <v>12981.25</v>
      </c>
      <c r="AS299" s="125"/>
      <c r="AT299" s="125"/>
      <c r="AU299" s="125">
        <f>SUM(AU300:AU302)</f>
        <v>12981.25</v>
      </c>
      <c r="AV299" s="125"/>
      <c r="AW299" s="125"/>
      <c r="AX299" s="125">
        <f>SUM(AX300:AX302)</f>
        <v>12981.25</v>
      </c>
      <c r="AY299" s="125"/>
      <c r="AZ299" s="125"/>
      <c r="BA299" s="125">
        <f>SUM(BA300:BA302)</f>
        <v>12981.25</v>
      </c>
      <c r="BB299" s="125"/>
      <c r="BC299" s="125"/>
      <c r="BD299" s="125">
        <f>SUM(BD300:BD302)</f>
        <v>12981.25</v>
      </c>
      <c r="BE299" s="125"/>
      <c r="BF299" s="125"/>
      <c r="BG299" s="125">
        <f>SUM(BG300:BG302)</f>
        <v>12981.25</v>
      </c>
      <c r="BH299" s="125"/>
      <c r="BI299" s="125"/>
      <c r="BJ299" s="125">
        <f>SUM(BJ300:BJ302)</f>
        <v>12981.25</v>
      </c>
      <c r="BK299" s="125"/>
      <c r="BL299" s="312"/>
      <c r="BM299" s="317"/>
      <c r="BN299" s="320"/>
    </row>
    <row r="300" s="269" customFormat="1" ht="33.95" customHeight="1" outlineLevel="5" spans="2:66">
      <c r="B300" s="181" t="s">
        <v>792</v>
      </c>
      <c r="C300" s="289" t="s">
        <v>1393</v>
      </c>
      <c r="D300" s="269" t="s">
        <v>1394</v>
      </c>
      <c r="E300" s="181"/>
      <c r="F300" s="181"/>
      <c r="G300" s="181" t="s">
        <v>936</v>
      </c>
      <c r="H300" s="181">
        <f t="shared" ref="H300:H302" si="626">IFERROR(J300*L300*N300,0)</f>
        <v>0</v>
      </c>
      <c r="I300" s="181" t="s">
        <v>1374</v>
      </c>
      <c r="J300" s="304"/>
      <c r="K300" s="181" t="s">
        <v>1375</v>
      </c>
      <c r="L300" s="181">
        <v>5000</v>
      </c>
      <c r="M300" s="181" t="s">
        <v>1228</v>
      </c>
      <c r="N300" s="181">
        <f t="shared" ref="N300:N306" si="627">COUNTA(O300:Z300)</f>
        <v>0</v>
      </c>
      <c r="O300" s="304"/>
      <c r="P300" s="323"/>
      <c r="Q300" s="323"/>
      <c r="R300" s="323"/>
      <c r="S300" s="323"/>
      <c r="T300" s="323"/>
      <c r="U300" s="323"/>
      <c r="V300" s="323"/>
      <c r="W300" s="323"/>
      <c r="X300" s="323"/>
      <c r="Y300" s="323"/>
      <c r="Z300" s="323"/>
      <c r="AA300" s="181"/>
      <c r="AB300" s="181">
        <f t="shared" ref="AB300:AB307" si="628">SUM(AC300,AF300,AI300,AL300,AO300,AR300,AU300,AX300,BA300,BD300,BG300,BJ300)</f>
        <v>0</v>
      </c>
      <c r="AC300" s="181">
        <f t="shared" ref="AC300:AC306" si="629">IF(O300="",0,$J300*$L300)</f>
        <v>0</v>
      </c>
      <c r="AD300" s="181"/>
      <c r="AE300" s="181"/>
      <c r="AF300" s="181">
        <f t="shared" ref="AF300:AF306" si="630">IF(P300="",0,$J300*$L300)</f>
        <v>0</v>
      </c>
      <c r="AG300" s="181"/>
      <c r="AH300" s="181"/>
      <c r="AI300" s="181">
        <f t="shared" ref="AI300:AI306" si="631">IF(Q300="",0,$J300*$L300)</f>
        <v>0</v>
      </c>
      <c r="AJ300" s="181"/>
      <c r="AK300" s="181"/>
      <c r="AL300" s="181">
        <f t="shared" ref="AL300:AL306" si="632">IF(R300="",0,$J300*$L300)</f>
        <v>0</v>
      </c>
      <c r="AM300" s="181"/>
      <c r="AN300" s="181"/>
      <c r="AO300" s="181">
        <f t="shared" ref="AO300:AO306" si="633">IF(S300="",0,$J300*$L300)</f>
        <v>0</v>
      </c>
      <c r="AP300" s="181"/>
      <c r="AQ300" s="181"/>
      <c r="AR300" s="181">
        <f t="shared" ref="AR300:AR306" si="634">IF(T300="",0,$J300*$L300)</f>
        <v>0</v>
      </c>
      <c r="AS300" s="181"/>
      <c r="AT300" s="181"/>
      <c r="AU300" s="181">
        <f t="shared" ref="AU300:AU306" si="635">IF(U300="",0,$J300*$L300)</f>
        <v>0</v>
      </c>
      <c r="AV300" s="181"/>
      <c r="AW300" s="181"/>
      <c r="AX300" s="181">
        <f t="shared" ref="AX300:AX306" si="636">IF(V300="",0,$J300*$L300)</f>
        <v>0</v>
      </c>
      <c r="AY300" s="181"/>
      <c r="AZ300" s="181"/>
      <c r="BA300" s="181">
        <f t="shared" ref="BA300:BA306" si="637">IF(W300="",0,$J300*$L300)</f>
        <v>0</v>
      </c>
      <c r="BB300" s="181"/>
      <c r="BC300" s="181"/>
      <c r="BD300" s="181">
        <f t="shared" ref="BD300:BD306" si="638">IF(X300="",0,$J300*$L300)</f>
        <v>0</v>
      </c>
      <c r="BE300" s="181"/>
      <c r="BF300" s="181"/>
      <c r="BG300" s="181">
        <f t="shared" ref="BG300:BG306" si="639">IF(Y300="",0,$J300*$L300)</f>
        <v>0</v>
      </c>
      <c r="BH300" s="181"/>
      <c r="BI300" s="181"/>
      <c r="BJ300" s="181">
        <f t="shared" ref="BJ300:BJ306" si="640">IF(Z300="",0,$J300*$L300)</f>
        <v>0</v>
      </c>
      <c r="BK300" s="181"/>
      <c r="BL300" s="326"/>
      <c r="BM300" s="317"/>
      <c r="BN300" s="321"/>
    </row>
    <row r="301" s="269" customFormat="1" ht="33.95" customHeight="1" outlineLevel="5" spans="2:66">
      <c r="B301" s="181" t="s">
        <v>792</v>
      </c>
      <c r="C301" s="289" t="s">
        <v>1395</v>
      </c>
      <c r="D301" s="269" t="s">
        <v>1396</v>
      </c>
      <c r="E301" s="181"/>
      <c r="F301" s="181"/>
      <c r="G301" s="181" t="s">
        <v>936</v>
      </c>
      <c r="H301" s="181">
        <f t="shared" si="626"/>
        <v>155775</v>
      </c>
      <c r="I301" s="181" t="s">
        <v>1374</v>
      </c>
      <c r="J301" s="304">
        <f>预算主表!P134/(12*L301)</f>
        <v>12.98125</v>
      </c>
      <c r="K301" s="181" t="s">
        <v>1375</v>
      </c>
      <c r="L301" s="181">
        <v>1000</v>
      </c>
      <c r="M301" s="181" t="s">
        <v>1228</v>
      </c>
      <c r="N301" s="181">
        <f t="shared" si="627"/>
        <v>12</v>
      </c>
      <c r="O301" s="304" t="s">
        <v>1285</v>
      </c>
      <c r="P301" s="304" t="s">
        <v>1285</v>
      </c>
      <c r="Q301" s="304" t="s">
        <v>1285</v>
      </c>
      <c r="R301" s="304" t="s">
        <v>1285</v>
      </c>
      <c r="S301" s="304" t="s">
        <v>1285</v>
      </c>
      <c r="T301" s="304" t="s">
        <v>1285</v>
      </c>
      <c r="U301" s="304" t="s">
        <v>1285</v>
      </c>
      <c r="V301" s="304" t="s">
        <v>1285</v>
      </c>
      <c r="W301" s="304" t="s">
        <v>1285</v>
      </c>
      <c r="X301" s="304" t="s">
        <v>1285</v>
      </c>
      <c r="Y301" s="304" t="s">
        <v>1285</v>
      </c>
      <c r="Z301" s="304" t="s">
        <v>1285</v>
      </c>
      <c r="AA301" s="181"/>
      <c r="AB301" s="181">
        <f t="shared" si="628"/>
        <v>155775</v>
      </c>
      <c r="AC301" s="181">
        <f t="shared" si="629"/>
        <v>12981.25</v>
      </c>
      <c r="AD301" s="181"/>
      <c r="AE301" s="181"/>
      <c r="AF301" s="181">
        <f t="shared" si="630"/>
        <v>12981.25</v>
      </c>
      <c r="AG301" s="181"/>
      <c r="AH301" s="181"/>
      <c r="AI301" s="181">
        <f t="shared" si="631"/>
        <v>12981.25</v>
      </c>
      <c r="AJ301" s="181"/>
      <c r="AK301" s="181"/>
      <c r="AL301" s="181">
        <f t="shared" si="632"/>
        <v>12981.25</v>
      </c>
      <c r="AM301" s="181"/>
      <c r="AN301" s="181"/>
      <c r="AO301" s="181">
        <f t="shared" si="633"/>
        <v>12981.25</v>
      </c>
      <c r="AP301" s="181"/>
      <c r="AQ301" s="181"/>
      <c r="AR301" s="181">
        <f t="shared" si="634"/>
        <v>12981.25</v>
      </c>
      <c r="AS301" s="181"/>
      <c r="AT301" s="181"/>
      <c r="AU301" s="181">
        <f t="shared" si="635"/>
        <v>12981.25</v>
      </c>
      <c r="AV301" s="181"/>
      <c r="AW301" s="181"/>
      <c r="AX301" s="181">
        <f t="shared" si="636"/>
        <v>12981.25</v>
      </c>
      <c r="AY301" s="181"/>
      <c r="AZ301" s="181"/>
      <c r="BA301" s="181">
        <f t="shared" si="637"/>
        <v>12981.25</v>
      </c>
      <c r="BB301" s="181"/>
      <c r="BC301" s="181"/>
      <c r="BD301" s="181">
        <f t="shared" si="638"/>
        <v>12981.25</v>
      </c>
      <c r="BE301" s="181"/>
      <c r="BF301" s="181"/>
      <c r="BG301" s="181">
        <f t="shared" si="639"/>
        <v>12981.25</v>
      </c>
      <c r="BH301" s="181"/>
      <c r="BI301" s="181"/>
      <c r="BJ301" s="181">
        <f t="shared" si="640"/>
        <v>12981.25</v>
      </c>
      <c r="BK301" s="181"/>
      <c r="BL301" s="326"/>
      <c r="BM301" s="317"/>
      <c r="BN301" s="321"/>
    </row>
    <row r="302" s="269" customFormat="1" ht="33.95" customHeight="1" outlineLevel="5" spans="2:66">
      <c r="B302" s="181" t="s">
        <v>792</v>
      </c>
      <c r="C302" s="289" t="s">
        <v>1397</v>
      </c>
      <c r="D302" s="269" t="s">
        <v>1398</v>
      </c>
      <c r="E302" s="181"/>
      <c r="F302" s="181"/>
      <c r="G302" s="181" t="s">
        <v>936</v>
      </c>
      <c r="H302" s="181">
        <f t="shared" si="626"/>
        <v>0</v>
      </c>
      <c r="I302" s="181" t="s">
        <v>1399</v>
      </c>
      <c r="J302" s="304"/>
      <c r="K302" s="181" t="s">
        <v>1370</v>
      </c>
      <c r="L302" s="181">
        <v>0.2</v>
      </c>
      <c r="M302" s="181" t="s">
        <v>1371</v>
      </c>
      <c r="N302" s="181">
        <f t="shared" si="627"/>
        <v>0</v>
      </c>
      <c r="O302" s="304"/>
      <c r="P302" s="322"/>
      <c r="Q302" s="322"/>
      <c r="R302" s="322"/>
      <c r="S302" s="322"/>
      <c r="T302" s="322"/>
      <c r="U302" s="322"/>
      <c r="V302" s="322"/>
      <c r="W302" s="322"/>
      <c r="X302" s="322"/>
      <c r="Y302" s="322"/>
      <c r="Z302" s="322"/>
      <c r="AA302" s="181"/>
      <c r="AB302" s="181">
        <f t="shared" si="628"/>
        <v>0</v>
      </c>
      <c r="AC302" s="181">
        <f t="shared" si="629"/>
        <v>0</v>
      </c>
      <c r="AD302" s="181"/>
      <c r="AE302" s="181"/>
      <c r="AF302" s="181">
        <f t="shared" si="630"/>
        <v>0</v>
      </c>
      <c r="AG302" s="181"/>
      <c r="AH302" s="181"/>
      <c r="AI302" s="181">
        <f t="shared" si="631"/>
        <v>0</v>
      </c>
      <c r="AJ302" s="181"/>
      <c r="AK302" s="181"/>
      <c r="AL302" s="181">
        <f t="shared" si="632"/>
        <v>0</v>
      </c>
      <c r="AM302" s="181"/>
      <c r="AN302" s="181"/>
      <c r="AO302" s="181">
        <f t="shared" si="633"/>
        <v>0</v>
      </c>
      <c r="AP302" s="181"/>
      <c r="AQ302" s="181"/>
      <c r="AR302" s="181">
        <f t="shared" si="634"/>
        <v>0</v>
      </c>
      <c r="AS302" s="181"/>
      <c r="AT302" s="181"/>
      <c r="AU302" s="181">
        <f t="shared" si="635"/>
        <v>0</v>
      </c>
      <c r="AV302" s="181"/>
      <c r="AW302" s="181"/>
      <c r="AX302" s="181">
        <f t="shared" si="636"/>
        <v>0</v>
      </c>
      <c r="AY302" s="181"/>
      <c r="AZ302" s="181"/>
      <c r="BA302" s="181">
        <f t="shared" si="637"/>
        <v>0</v>
      </c>
      <c r="BB302" s="181"/>
      <c r="BC302" s="181"/>
      <c r="BD302" s="181">
        <f t="shared" si="638"/>
        <v>0</v>
      </c>
      <c r="BE302" s="181"/>
      <c r="BF302" s="181"/>
      <c r="BG302" s="181">
        <f t="shared" si="639"/>
        <v>0</v>
      </c>
      <c r="BH302" s="181"/>
      <c r="BI302" s="181"/>
      <c r="BJ302" s="181">
        <f t="shared" si="640"/>
        <v>0</v>
      </c>
      <c r="BK302" s="181"/>
      <c r="BL302" s="326"/>
      <c r="BM302" s="317"/>
      <c r="BN302" s="321"/>
    </row>
    <row r="303" s="43" customFormat="1" ht="33.95" customHeight="1" outlineLevel="3" spans="2:66">
      <c r="B303" s="121" t="s">
        <v>787</v>
      </c>
      <c r="C303" s="122" t="s">
        <v>1400</v>
      </c>
      <c r="D303" s="43" t="s">
        <v>1401</v>
      </c>
      <c r="E303" s="121"/>
      <c r="F303" s="121"/>
      <c r="G303" s="121"/>
      <c r="H303" s="121">
        <f>SUM(H304:H306)</f>
        <v>0</v>
      </c>
      <c r="I303" s="121"/>
      <c r="J303" s="121"/>
      <c r="K303" s="121"/>
      <c r="L303" s="121"/>
      <c r="M303" s="121"/>
      <c r="N303" s="121"/>
      <c r="O303" s="121"/>
      <c r="P303" s="294"/>
      <c r="Q303" s="294"/>
      <c r="R303" s="294"/>
      <c r="S303" s="294"/>
      <c r="T303" s="294"/>
      <c r="U303" s="294"/>
      <c r="V303" s="294"/>
      <c r="W303" s="294"/>
      <c r="X303" s="294"/>
      <c r="Y303" s="294"/>
      <c r="Z303" s="294"/>
      <c r="AA303" s="294"/>
      <c r="AB303" s="121">
        <f t="shared" ref="AB303:AF303" si="641">SUM(AB304:AB306)</f>
        <v>0</v>
      </c>
      <c r="AC303" s="121">
        <f t="shared" si="641"/>
        <v>0</v>
      </c>
      <c r="AD303" s="121"/>
      <c r="AE303" s="121"/>
      <c r="AF303" s="121">
        <f t="shared" si="641"/>
        <v>0</v>
      </c>
      <c r="AG303" s="121"/>
      <c r="AH303" s="121"/>
      <c r="AI303" s="121">
        <f>SUM(AI304:AI306)</f>
        <v>0</v>
      </c>
      <c r="AJ303" s="121"/>
      <c r="AK303" s="121"/>
      <c r="AL303" s="121">
        <f>SUM(AL304:AL306)</f>
        <v>0</v>
      </c>
      <c r="AM303" s="121"/>
      <c r="AN303" s="121"/>
      <c r="AO303" s="121">
        <f>SUM(AO304:AO306)</f>
        <v>0</v>
      </c>
      <c r="AP303" s="121"/>
      <c r="AQ303" s="121"/>
      <c r="AR303" s="121">
        <f>SUM(AR304:AR306)</f>
        <v>0</v>
      </c>
      <c r="AS303" s="121"/>
      <c r="AT303" s="121"/>
      <c r="AU303" s="121">
        <f>SUM(AU304:AU306)</f>
        <v>0</v>
      </c>
      <c r="AV303" s="121"/>
      <c r="AW303" s="121"/>
      <c r="AX303" s="121">
        <f>SUM(AX304:AX306)</f>
        <v>0</v>
      </c>
      <c r="AY303" s="121"/>
      <c r="AZ303" s="121"/>
      <c r="BA303" s="121">
        <f>SUM(BA304:BA306)</f>
        <v>0</v>
      </c>
      <c r="BB303" s="121"/>
      <c r="BC303" s="121"/>
      <c r="BD303" s="121">
        <f>SUM(BD304:BD306)</f>
        <v>0</v>
      </c>
      <c r="BE303" s="121"/>
      <c r="BF303" s="121"/>
      <c r="BG303" s="121">
        <f>SUM(BG304:BG306)</f>
        <v>0</v>
      </c>
      <c r="BH303" s="121"/>
      <c r="BI303" s="121"/>
      <c r="BJ303" s="121">
        <f>SUM(BJ304:BJ306)</f>
        <v>0</v>
      </c>
      <c r="BK303" s="121"/>
      <c r="BL303" s="311"/>
      <c r="BM303" s="317"/>
      <c r="BN303" s="319"/>
    </row>
    <row r="304" s="124" customFormat="1" ht="33.95" customHeight="1" outlineLevel="4" spans="2:66">
      <c r="B304" s="125" t="s">
        <v>792</v>
      </c>
      <c r="C304" s="126" t="s">
        <v>1402</v>
      </c>
      <c r="D304" s="124" t="s">
        <v>1403</v>
      </c>
      <c r="E304" s="125" t="s">
        <v>1404</v>
      </c>
      <c r="F304" s="125"/>
      <c r="G304" s="125" t="s">
        <v>936</v>
      </c>
      <c r="H304" s="125">
        <f t="shared" ref="H304:H306" si="642">IFERROR(J304*L304*N304,0)</f>
        <v>0</v>
      </c>
      <c r="I304" s="125" t="s">
        <v>1405</v>
      </c>
      <c r="J304" s="304"/>
      <c r="K304" s="125" t="s">
        <v>1370</v>
      </c>
      <c r="L304" s="304"/>
      <c r="M304" s="125" t="s">
        <v>1371</v>
      </c>
      <c r="N304" s="125">
        <f t="shared" si="627"/>
        <v>0</v>
      </c>
      <c r="O304" s="304"/>
      <c r="P304" s="323"/>
      <c r="Q304" s="323"/>
      <c r="R304" s="323"/>
      <c r="S304" s="323"/>
      <c r="T304" s="323"/>
      <c r="U304" s="323"/>
      <c r="V304" s="323"/>
      <c r="W304" s="323"/>
      <c r="X304" s="323"/>
      <c r="Y304" s="323"/>
      <c r="Z304" s="323"/>
      <c r="AA304" s="125"/>
      <c r="AB304" s="125">
        <f t="shared" si="628"/>
        <v>0</v>
      </c>
      <c r="AC304" s="125">
        <f t="shared" si="629"/>
        <v>0</v>
      </c>
      <c r="AD304" s="125"/>
      <c r="AE304" s="125"/>
      <c r="AF304" s="125">
        <f t="shared" si="630"/>
        <v>0</v>
      </c>
      <c r="AG304" s="125"/>
      <c r="AH304" s="125"/>
      <c r="AI304" s="125">
        <f t="shared" si="631"/>
        <v>0</v>
      </c>
      <c r="AJ304" s="125"/>
      <c r="AK304" s="125"/>
      <c r="AL304" s="125">
        <f t="shared" si="632"/>
        <v>0</v>
      </c>
      <c r="AM304" s="125"/>
      <c r="AN304" s="125"/>
      <c r="AO304" s="125">
        <f t="shared" si="633"/>
        <v>0</v>
      </c>
      <c r="AP304" s="125"/>
      <c r="AQ304" s="125"/>
      <c r="AR304" s="125">
        <f t="shared" si="634"/>
        <v>0</v>
      </c>
      <c r="AS304" s="125"/>
      <c r="AT304" s="125"/>
      <c r="AU304" s="125">
        <f t="shared" si="635"/>
        <v>0</v>
      </c>
      <c r="AV304" s="125"/>
      <c r="AW304" s="125"/>
      <c r="AX304" s="125">
        <f t="shared" si="636"/>
        <v>0</v>
      </c>
      <c r="AY304" s="125"/>
      <c r="AZ304" s="125"/>
      <c r="BA304" s="125">
        <f t="shared" si="637"/>
        <v>0</v>
      </c>
      <c r="BB304" s="125"/>
      <c r="BC304" s="125"/>
      <c r="BD304" s="125">
        <f t="shared" si="638"/>
        <v>0</v>
      </c>
      <c r="BE304" s="125"/>
      <c r="BF304" s="125"/>
      <c r="BG304" s="125">
        <f t="shared" si="639"/>
        <v>0</v>
      </c>
      <c r="BH304" s="125"/>
      <c r="BI304" s="125"/>
      <c r="BJ304" s="125">
        <f t="shared" si="640"/>
        <v>0</v>
      </c>
      <c r="BK304" s="125"/>
      <c r="BL304" s="312"/>
      <c r="BM304" s="317"/>
      <c r="BN304" s="320"/>
    </row>
    <row r="305" s="124" customFormat="1" ht="33.95" customHeight="1" outlineLevel="4" spans="2:66">
      <c r="B305" s="125" t="s">
        <v>792</v>
      </c>
      <c r="C305" s="126" t="s">
        <v>1406</v>
      </c>
      <c r="D305" s="124" t="s">
        <v>1407</v>
      </c>
      <c r="E305" s="125" t="s">
        <v>1408</v>
      </c>
      <c r="F305" s="125"/>
      <c r="G305" s="125" t="s">
        <v>936</v>
      </c>
      <c r="H305" s="125">
        <f t="shared" si="642"/>
        <v>0</v>
      </c>
      <c r="I305" s="125" t="s">
        <v>1409</v>
      </c>
      <c r="J305" s="304"/>
      <c r="K305" s="125" t="s">
        <v>1389</v>
      </c>
      <c r="L305" s="304"/>
      <c r="M305" s="125" t="s">
        <v>1410</v>
      </c>
      <c r="N305" s="125">
        <f t="shared" si="627"/>
        <v>0</v>
      </c>
      <c r="O305" s="304"/>
      <c r="P305" s="304"/>
      <c r="Q305" s="304"/>
      <c r="R305" s="304"/>
      <c r="S305" s="304"/>
      <c r="T305" s="304"/>
      <c r="U305" s="304"/>
      <c r="V305" s="304"/>
      <c r="W305" s="304"/>
      <c r="X305" s="304"/>
      <c r="Y305" s="304"/>
      <c r="Z305" s="304"/>
      <c r="AA305" s="125"/>
      <c r="AB305" s="125">
        <f t="shared" si="628"/>
        <v>0</v>
      </c>
      <c r="AC305" s="125">
        <f t="shared" si="629"/>
        <v>0</v>
      </c>
      <c r="AD305" s="125"/>
      <c r="AE305" s="125"/>
      <c r="AF305" s="125">
        <f t="shared" si="630"/>
        <v>0</v>
      </c>
      <c r="AG305" s="125"/>
      <c r="AH305" s="125"/>
      <c r="AI305" s="125">
        <f t="shared" si="631"/>
        <v>0</v>
      </c>
      <c r="AJ305" s="125"/>
      <c r="AK305" s="125"/>
      <c r="AL305" s="125">
        <f t="shared" si="632"/>
        <v>0</v>
      </c>
      <c r="AM305" s="125"/>
      <c r="AN305" s="125"/>
      <c r="AO305" s="125">
        <f t="shared" si="633"/>
        <v>0</v>
      </c>
      <c r="AP305" s="125"/>
      <c r="AQ305" s="125"/>
      <c r="AR305" s="125">
        <f t="shared" si="634"/>
        <v>0</v>
      </c>
      <c r="AS305" s="125"/>
      <c r="AT305" s="125"/>
      <c r="AU305" s="125">
        <f t="shared" si="635"/>
        <v>0</v>
      </c>
      <c r="AV305" s="125"/>
      <c r="AW305" s="125"/>
      <c r="AX305" s="125">
        <f t="shared" si="636"/>
        <v>0</v>
      </c>
      <c r="AY305" s="125"/>
      <c r="AZ305" s="125"/>
      <c r="BA305" s="125">
        <f t="shared" si="637"/>
        <v>0</v>
      </c>
      <c r="BB305" s="125"/>
      <c r="BC305" s="125"/>
      <c r="BD305" s="125">
        <f t="shared" si="638"/>
        <v>0</v>
      </c>
      <c r="BE305" s="125"/>
      <c r="BF305" s="125"/>
      <c r="BG305" s="125">
        <f t="shared" si="639"/>
        <v>0</v>
      </c>
      <c r="BH305" s="125"/>
      <c r="BI305" s="125"/>
      <c r="BJ305" s="125">
        <f t="shared" si="640"/>
        <v>0</v>
      </c>
      <c r="BK305" s="125"/>
      <c r="BL305" s="312"/>
      <c r="BM305" s="317"/>
      <c r="BN305" s="320"/>
    </row>
    <row r="306" s="124" customFormat="1" ht="33.95" customHeight="1" outlineLevel="4" spans="2:66">
      <c r="B306" s="125" t="s">
        <v>792</v>
      </c>
      <c r="C306" s="126" t="s">
        <v>1411</v>
      </c>
      <c r="D306" s="124" t="s">
        <v>1412</v>
      </c>
      <c r="E306" s="125" t="s">
        <v>1413</v>
      </c>
      <c r="F306" s="125"/>
      <c r="G306" s="125" t="s">
        <v>936</v>
      </c>
      <c r="H306" s="125">
        <f t="shared" si="642"/>
        <v>0</v>
      </c>
      <c r="I306" s="125" t="s">
        <v>1414</v>
      </c>
      <c r="J306" s="125">
        <v>1</v>
      </c>
      <c r="K306" s="125" t="s">
        <v>1236</v>
      </c>
      <c r="L306" s="304"/>
      <c r="M306" s="125" t="s">
        <v>1228</v>
      </c>
      <c r="N306" s="125">
        <f t="shared" si="627"/>
        <v>0</v>
      </c>
      <c r="O306" s="304"/>
      <c r="P306" s="322"/>
      <c r="Q306" s="322"/>
      <c r="R306" s="322"/>
      <c r="S306" s="322"/>
      <c r="T306" s="322"/>
      <c r="U306" s="322"/>
      <c r="V306" s="322"/>
      <c r="W306" s="322"/>
      <c r="X306" s="322"/>
      <c r="Y306" s="322"/>
      <c r="Z306" s="322"/>
      <c r="AA306" s="125"/>
      <c r="AB306" s="125">
        <f t="shared" si="628"/>
        <v>0</v>
      </c>
      <c r="AC306" s="125">
        <f t="shared" si="629"/>
        <v>0</v>
      </c>
      <c r="AD306" s="125"/>
      <c r="AE306" s="125"/>
      <c r="AF306" s="125">
        <f t="shared" si="630"/>
        <v>0</v>
      </c>
      <c r="AG306" s="125"/>
      <c r="AH306" s="125"/>
      <c r="AI306" s="125">
        <f t="shared" si="631"/>
        <v>0</v>
      </c>
      <c r="AJ306" s="125"/>
      <c r="AK306" s="125"/>
      <c r="AL306" s="125">
        <f t="shared" si="632"/>
        <v>0</v>
      </c>
      <c r="AM306" s="125"/>
      <c r="AN306" s="125"/>
      <c r="AO306" s="125">
        <f t="shared" si="633"/>
        <v>0</v>
      </c>
      <c r="AP306" s="125"/>
      <c r="AQ306" s="125"/>
      <c r="AR306" s="125">
        <f t="shared" si="634"/>
        <v>0</v>
      </c>
      <c r="AS306" s="125"/>
      <c r="AT306" s="125"/>
      <c r="AU306" s="125">
        <f t="shared" si="635"/>
        <v>0</v>
      </c>
      <c r="AV306" s="125"/>
      <c r="AW306" s="125"/>
      <c r="AX306" s="125">
        <f t="shared" si="636"/>
        <v>0</v>
      </c>
      <c r="AY306" s="125"/>
      <c r="AZ306" s="125"/>
      <c r="BA306" s="125">
        <f t="shared" si="637"/>
        <v>0</v>
      </c>
      <c r="BB306" s="125"/>
      <c r="BC306" s="125"/>
      <c r="BD306" s="125">
        <f t="shared" si="638"/>
        <v>0</v>
      </c>
      <c r="BE306" s="125"/>
      <c r="BF306" s="125"/>
      <c r="BG306" s="125">
        <f t="shared" si="639"/>
        <v>0</v>
      </c>
      <c r="BH306" s="125"/>
      <c r="BI306" s="125"/>
      <c r="BJ306" s="125">
        <f t="shared" si="640"/>
        <v>0</v>
      </c>
      <c r="BK306" s="125"/>
      <c r="BL306" s="312"/>
      <c r="BM306" s="317"/>
      <c r="BN306" s="320"/>
    </row>
    <row r="307" s="43" customFormat="1" ht="33.95" customHeight="1" outlineLevel="3" spans="2:66">
      <c r="B307" s="121" t="s">
        <v>792</v>
      </c>
      <c r="C307" s="122" t="s">
        <v>1415</v>
      </c>
      <c r="D307" s="43" t="s">
        <v>1416</v>
      </c>
      <c r="E307" s="121" t="s">
        <v>1282</v>
      </c>
      <c r="F307" s="121"/>
      <c r="G307" s="121" t="s">
        <v>1417</v>
      </c>
      <c r="H307" s="121">
        <f>AB307</f>
        <v>0</v>
      </c>
      <c r="I307" s="121" t="s">
        <v>1025</v>
      </c>
      <c r="J307" s="121">
        <f>AVERAGE('1-1 项目基础信息'!$H$9:$S$9)</f>
        <v>252764</v>
      </c>
      <c r="K307" s="121" t="s">
        <v>1236</v>
      </c>
      <c r="L307" s="121">
        <f>H307/J307/N307</f>
        <v>0</v>
      </c>
      <c r="M307" s="121" t="s">
        <v>799</v>
      </c>
      <c r="N307" s="121">
        <v>12</v>
      </c>
      <c r="O307" s="121"/>
      <c r="P307" s="294"/>
      <c r="Q307" s="294"/>
      <c r="R307" s="294"/>
      <c r="S307" s="294"/>
      <c r="T307" s="294"/>
      <c r="U307" s="294"/>
      <c r="V307" s="294"/>
      <c r="W307" s="294"/>
      <c r="X307" s="294"/>
      <c r="Y307" s="294"/>
      <c r="Z307" s="294"/>
      <c r="AA307" s="294"/>
      <c r="AB307" s="121">
        <f t="shared" si="628"/>
        <v>0</v>
      </c>
      <c r="AC307" s="304"/>
      <c r="AD307" s="121"/>
      <c r="AE307" s="121"/>
      <c r="AF307" s="304"/>
      <c r="AG307" s="121"/>
      <c r="AH307" s="121"/>
      <c r="AI307" s="304"/>
      <c r="AJ307" s="121"/>
      <c r="AK307" s="121"/>
      <c r="AL307" s="304"/>
      <c r="AM307" s="121"/>
      <c r="AN307" s="121"/>
      <c r="AO307" s="304"/>
      <c r="AP307" s="121"/>
      <c r="AQ307" s="121"/>
      <c r="AR307" s="304"/>
      <c r="AS307" s="121"/>
      <c r="AT307" s="121"/>
      <c r="AU307" s="304"/>
      <c r="AV307" s="121"/>
      <c r="AW307" s="121"/>
      <c r="AX307" s="304"/>
      <c r="AY307" s="121"/>
      <c r="AZ307" s="121"/>
      <c r="BA307" s="304"/>
      <c r="BB307" s="121"/>
      <c r="BC307" s="121"/>
      <c r="BD307" s="304"/>
      <c r="BE307" s="121"/>
      <c r="BF307" s="121"/>
      <c r="BG307" s="304"/>
      <c r="BH307" s="121"/>
      <c r="BI307" s="121"/>
      <c r="BJ307" s="304"/>
      <c r="BK307" s="121"/>
      <c r="BL307" s="311"/>
      <c r="BM307" s="317"/>
      <c r="BN307" s="319"/>
    </row>
    <row r="308" s="14" customFormat="1" ht="33.95" customHeight="1" outlineLevel="2" spans="2:66">
      <c r="B308" s="118" t="s">
        <v>787</v>
      </c>
      <c r="C308" s="119" t="s">
        <v>222</v>
      </c>
      <c r="D308" s="14" t="s">
        <v>223</v>
      </c>
      <c r="E308" s="118"/>
      <c r="F308" s="118"/>
      <c r="G308" s="118"/>
      <c r="H308" s="118">
        <f>H309+H314+H315+H335+H356+H362+H363+H364+H365+H371+H372+H373+H380</f>
        <v>0</v>
      </c>
      <c r="I308" s="118"/>
      <c r="J308" s="118"/>
      <c r="K308" s="118"/>
      <c r="L308" s="118"/>
      <c r="M308" s="118"/>
      <c r="N308" s="118"/>
      <c r="O308" s="118"/>
      <c r="P308" s="293"/>
      <c r="Q308" s="293"/>
      <c r="R308" s="293"/>
      <c r="S308" s="293"/>
      <c r="T308" s="293"/>
      <c r="U308" s="293"/>
      <c r="V308" s="293"/>
      <c r="W308" s="293"/>
      <c r="X308" s="293"/>
      <c r="Y308" s="293"/>
      <c r="Z308" s="293"/>
      <c r="AA308" s="293"/>
      <c r="AB308" s="118">
        <f t="shared" ref="AB308:AF308" si="643">AB309+AB314+AB315+AB335+AB356+AB362+AB363+AB364+AB365+AB371+AB372+AB373+AB380</f>
        <v>0</v>
      </c>
      <c r="AC308" s="118">
        <f t="shared" si="643"/>
        <v>0</v>
      </c>
      <c r="AD308" s="118"/>
      <c r="AE308" s="118"/>
      <c r="AF308" s="118">
        <f t="shared" si="643"/>
        <v>0</v>
      </c>
      <c r="AG308" s="118"/>
      <c r="AH308" s="118"/>
      <c r="AI308" s="118">
        <f>AI309+AI314+AI315+AI335+AI356+AI362+AI363+AI364+AI365+AI371+AI372+AI373+AI380</f>
        <v>0</v>
      </c>
      <c r="AJ308" s="118"/>
      <c r="AK308" s="118"/>
      <c r="AL308" s="118">
        <f>AL309+AL314+AL315+AL335+AL356+AL362+AL363+AL364+AL365+AL371+AL372+AL373+AL380</f>
        <v>0</v>
      </c>
      <c r="AM308" s="118"/>
      <c r="AN308" s="118"/>
      <c r="AO308" s="118">
        <f>AO309+AO314+AO315+AO335+AO356+AO362+AO363+AO364+AO365+AO371+AO372+AO373+AO380</f>
        <v>0</v>
      </c>
      <c r="AP308" s="118"/>
      <c r="AQ308" s="118"/>
      <c r="AR308" s="118">
        <f>AR309+AR314+AR315+AR335+AR356+AR362+AR363+AR364+AR365+AR371+AR372+AR373+AR380</f>
        <v>0</v>
      </c>
      <c r="AS308" s="118"/>
      <c r="AT308" s="118"/>
      <c r="AU308" s="118">
        <f>AU309+AU314+AU315+AU335+AU356+AU362+AU363+AU364+AU365+AU371+AU372+AU373+AU380</f>
        <v>0</v>
      </c>
      <c r="AV308" s="118"/>
      <c r="AW308" s="118"/>
      <c r="AX308" s="118">
        <f>AX309+AX314+AX315+AX335+AX356+AX362+AX363+AX364+AX365+AX371+AX372+AX373+AX380</f>
        <v>0</v>
      </c>
      <c r="AY308" s="118"/>
      <c r="AZ308" s="118"/>
      <c r="BA308" s="118">
        <f>BA309+BA314+BA315+BA335+BA356+BA362+BA363+BA364+BA365+BA371+BA372+BA373+BA380</f>
        <v>0</v>
      </c>
      <c r="BB308" s="118"/>
      <c r="BC308" s="118"/>
      <c r="BD308" s="118">
        <f>BD309+BD314+BD315+BD335+BD356+BD362+BD363+BD364+BD365+BD371+BD372+BD373+BD380</f>
        <v>0</v>
      </c>
      <c r="BE308" s="118"/>
      <c r="BF308" s="118"/>
      <c r="BG308" s="118">
        <f>BG309+BG314+BG315+BG335+BG356+BG362+BG363+BG364+BG365+BG371+BG372+BG373+BG380</f>
        <v>0</v>
      </c>
      <c r="BH308" s="118"/>
      <c r="BI308" s="118"/>
      <c r="BJ308" s="118">
        <f>BJ309+BJ314+BJ315+BJ335+BJ356+BJ362+BJ363+BJ364+BJ365+BJ371+BJ372+BJ373+BJ380</f>
        <v>0</v>
      </c>
      <c r="BK308" s="118"/>
      <c r="BL308" s="310"/>
      <c r="BM308" s="317"/>
      <c r="BN308" s="318"/>
    </row>
    <row r="309" s="43" customFormat="1" ht="33.95" customHeight="1" outlineLevel="3" spans="2:66">
      <c r="B309" s="121" t="s">
        <v>787</v>
      </c>
      <c r="C309" s="122" t="s">
        <v>1418</v>
      </c>
      <c r="D309" s="43" t="s">
        <v>1419</v>
      </c>
      <c r="E309" s="121"/>
      <c r="F309" s="121"/>
      <c r="G309" s="121"/>
      <c r="H309" s="121">
        <f>SUM(H310:H313)</f>
        <v>0</v>
      </c>
      <c r="I309" s="121"/>
      <c r="J309" s="121"/>
      <c r="K309" s="121"/>
      <c r="L309" s="121"/>
      <c r="M309" s="121"/>
      <c r="N309" s="121"/>
      <c r="O309" s="121"/>
      <c r="P309" s="294"/>
      <c r="Q309" s="294"/>
      <c r="R309" s="294"/>
      <c r="S309" s="294"/>
      <c r="T309" s="294"/>
      <c r="U309" s="294"/>
      <c r="V309" s="294"/>
      <c r="W309" s="294"/>
      <c r="X309" s="294"/>
      <c r="Y309" s="294"/>
      <c r="Z309" s="294"/>
      <c r="AA309" s="294"/>
      <c r="AB309" s="121">
        <f t="shared" ref="AB309:AF309" si="644">SUM(AB310:AB313)</f>
        <v>0</v>
      </c>
      <c r="AC309" s="121">
        <f t="shared" si="644"/>
        <v>0</v>
      </c>
      <c r="AD309" s="121"/>
      <c r="AE309" s="121"/>
      <c r="AF309" s="121">
        <f t="shared" si="644"/>
        <v>0</v>
      </c>
      <c r="AG309" s="121"/>
      <c r="AH309" s="121"/>
      <c r="AI309" s="121">
        <f>SUM(AI310:AI313)</f>
        <v>0</v>
      </c>
      <c r="AJ309" s="121"/>
      <c r="AK309" s="121"/>
      <c r="AL309" s="121">
        <f>SUM(AL310:AL313)</f>
        <v>0</v>
      </c>
      <c r="AM309" s="121"/>
      <c r="AN309" s="121"/>
      <c r="AO309" s="121">
        <f>SUM(AO310:AO313)</f>
        <v>0</v>
      </c>
      <c r="AP309" s="121"/>
      <c r="AQ309" s="121"/>
      <c r="AR309" s="121">
        <f>SUM(AR310:AR313)</f>
        <v>0</v>
      </c>
      <c r="AS309" s="121"/>
      <c r="AT309" s="121"/>
      <c r="AU309" s="121">
        <f>SUM(AU310:AU313)</f>
        <v>0</v>
      </c>
      <c r="AV309" s="121"/>
      <c r="AW309" s="121"/>
      <c r="AX309" s="121">
        <f>SUM(AX310:AX313)</f>
        <v>0</v>
      </c>
      <c r="AY309" s="121"/>
      <c r="AZ309" s="121"/>
      <c r="BA309" s="121">
        <f>SUM(BA310:BA313)</f>
        <v>0</v>
      </c>
      <c r="BB309" s="121"/>
      <c r="BC309" s="121"/>
      <c r="BD309" s="121">
        <f>SUM(BD310:BD313)</f>
        <v>0</v>
      </c>
      <c r="BE309" s="121"/>
      <c r="BF309" s="121"/>
      <c r="BG309" s="121">
        <f>SUM(BG310:BG313)</f>
        <v>0</v>
      </c>
      <c r="BH309" s="121"/>
      <c r="BI309" s="121"/>
      <c r="BJ309" s="121">
        <f>SUM(BJ310:BJ313)</f>
        <v>0</v>
      </c>
      <c r="BK309" s="121"/>
      <c r="BL309" s="311"/>
      <c r="BM309" s="317"/>
      <c r="BN309" s="319"/>
    </row>
    <row r="310" s="124" customFormat="1" ht="33.95" customHeight="1" outlineLevel="4" spans="2:66">
      <c r="B310" s="125" t="s">
        <v>792</v>
      </c>
      <c r="C310" s="126" t="s">
        <v>1420</v>
      </c>
      <c r="D310" s="124" t="s">
        <v>1421</v>
      </c>
      <c r="E310" s="125" t="s">
        <v>1422</v>
      </c>
      <c r="F310" s="125"/>
      <c r="G310" s="125" t="s">
        <v>936</v>
      </c>
      <c r="H310" s="125">
        <f t="shared" ref="H310:H314" si="645">IFERROR(J310*L310*N310,0)</f>
        <v>0</v>
      </c>
      <c r="I310" s="125" t="s">
        <v>1423</v>
      </c>
      <c r="J310" s="304"/>
      <c r="K310" s="125" t="s">
        <v>1143</v>
      </c>
      <c r="L310" s="304"/>
      <c r="M310" s="125" t="s">
        <v>1176</v>
      </c>
      <c r="N310" s="125">
        <f t="shared" ref="N310:N313" si="646">COUNTA(O310:Z310)</f>
        <v>0</v>
      </c>
      <c r="O310" s="304"/>
      <c r="P310" s="323"/>
      <c r="Q310" s="323"/>
      <c r="R310" s="323"/>
      <c r="S310" s="323"/>
      <c r="T310" s="323"/>
      <c r="U310" s="323"/>
      <c r="V310" s="323"/>
      <c r="W310" s="323"/>
      <c r="X310" s="323"/>
      <c r="Y310" s="323"/>
      <c r="Z310" s="323"/>
      <c r="AA310" s="125"/>
      <c r="AB310" s="125">
        <f t="shared" ref="AB310:AB314" si="647">SUM(AC310,AF310,AI310,AL310,AO310,AR310,AU310,AX310,BA310,BD310,BG310,BJ310)</f>
        <v>0</v>
      </c>
      <c r="AC310" s="125">
        <f t="shared" ref="AC310:AC313" si="648">IF(O310="",0,$J310*$L310)</f>
        <v>0</v>
      </c>
      <c r="AD310" s="125"/>
      <c r="AE310" s="125"/>
      <c r="AF310" s="125">
        <f t="shared" ref="AF310:AF313" si="649">IF(P310="",0,$J310*$L310)</f>
        <v>0</v>
      </c>
      <c r="AG310" s="125"/>
      <c r="AH310" s="125"/>
      <c r="AI310" s="125">
        <f t="shared" ref="AI310:AI313" si="650">IF(Q310="",0,$J310*$L310)</f>
        <v>0</v>
      </c>
      <c r="AJ310" s="125"/>
      <c r="AK310" s="125"/>
      <c r="AL310" s="125">
        <f t="shared" ref="AL310:AL313" si="651">IF(R310="",0,$J310*$L310)</f>
        <v>0</v>
      </c>
      <c r="AM310" s="125"/>
      <c r="AN310" s="125"/>
      <c r="AO310" s="125">
        <f t="shared" ref="AO310:AO313" si="652">IF(S310="",0,$J310*$L310)</f>
        <v>0</v>
      </c>
      <c r="AP310" s="125"/>
      <c r="AQ310" s="125"/>
      <c r="AR310" s="125">
        <f t="shared" ref="AR310:AR313" si="653">IF(T310="",0,$J310*$L310)</f>
        <v>0</v>
      </c>
      <c r="AS310" s="125"/>
      <c r="AT310" s="125"/>
      <c r="AU310" s="125">
        <f t="shared" ref="AU310:AU313" si="654">IF(U310="",0,$J310*$L310)</f>
        <v>0</v>
      </c>
      <c r="AV310" s="125"/>
      <c r="AW310" s="125"/>
      <c r="AX310" s="125">
        <f t="shared" ref="AX310:AX313" si="655">IF(V310="",0,$J310*$L310)</f>
        <v>0</v>
      </c>
      <c r="AY310" s="125"/>
      <c r="AZ310" s="125"/>
      <c r="BA310" s="125">
        <f t="shared" ref="BA310:BA313" si="656">IF(W310="",0,$J310*$L310)</f>
        <v>0</v>
      </c>
      <c r="BB310" s="125"/>
      <c r="BC310" s="125"/>
      <c r="BD310" s="125">
        <f t="shared" ref="BD310:BD313" si="657">IF(X310="",0,$J310*$L310)</f>
        <v>0</v>
      </c>
      <c r="BE310" s="125"/>
      <c r="BF310" s="125"/>
      <c r="BG310" s="125">
        <f t="shared" ref="BG310:BG313" si="658">IF(Y310="",0,$J310*$L310)</f>
        <v>0</v>
      </c>
      <c r="BH310" s="125"/>
      <c r="BI310" s="125"/>
      <c r="BJ310" s="125">
        <f t="shared" ref="BJ310:BJ313" si="659">IF(Z310="",0,$J310*$L310)</f>
        <v>0</v>
      </c>
      <c r="BK310" s="125"/>
      <c r="BL310" s="312"/>
      <c r="BM310" s="317"/>
      <c r="BN310" s="320"/>
    </row>
    <row r="311" s="124" customFormat="1" ht="33.95" customHeight="1" outlineLevel="4" spans="2:66">
      <c r="B311" s="125" t="s">
        <v>792</v>
      </c>
      <c r="C311" s="126" t="s">
        <v>1424</v>
      </c>
      <c r="D311" s="124" t="s">
        <v>1425</v>
      </c>
      <c r="E311" s="125" t="s">
        <v>1426</v>
      </c>
      <c r="F311" s="125"/>
      <c r="G311" s="125" t="s">
        <v>936</v>
      </c>
      <c r="H311" s="125">
        <f t="shared" si="645"/>
        <v>0</v>
      </c>
      <c r="I311" s="125" t="s">
        <v>1423</v>
      </c>
      <c r="J311" s="304"/>
      <c r="K311" s="125" t="s">
        <v>1143</v>
      </c>
      <c r="L311" s="304"/>
      <c r="M311" s="125" t="s">
        <v>1176</v>
      </c>
      <c r="N311" s="125">
        <f t="shared" si="646"/>
        <v>0</v>
      </c>
      <c r="O311" s="304"/>
      <c r="P311" s="304"/>
      <c r="Q311" s="304"/>
      <c r="R311" s="304"/>
      <c r="S311" s="304"/>
      <c r="T311" s="304"/>
      <c r="U311" s="304"/>
      <c r="V311" s="304"/>
      <c r="W311" s="304"/>
      <c r="X311" s="304"/>
      <c r="Y311" s="304"/>
      <c r="Z311" s="304"/>
      <c r="AA311" s="125"/>
      <c r="AB311" s="125">
        <f t="shared" si="647"/>
        <v>0</v>
      </c>
      <c r="AC311" s="125">
        <f t="shared" si="648"/>
        <v>0</v>
      </c>
      <c r="AD311" s="125"/>
      <c r="AE311" s="125"/>
      <c r="AF311" s="125">
        <f t="shared" si="649"/>
        <v>0</v>
      </c>
      <c r="AG311" s="125"/>
      <c r="AH311" s="125"/>
      <c r="AI311" s="125">
        <f t="shared" si="650"/>
        <v>0</v>
      </c>
      <c r="AJ311" s="125"/>
      <c r="AK311" s="125"/>
      <c r="AL311" s="125">
        <f t="shared" si="651"/>
        <v>0</v>
      </c>
      <c r="AM311" s="125"/>
      <c r="AN311" s="125"/>
      <c r="AO311" s="125">
        <f t="shared" si="652"/>
        <v>0</v>
      </c>
      <c r="AP311" s="125"/>
      <c r="AQ311" s="125"/>
      <c r="AR311" s="125">
        <f t="shared" si="653"/>
        <v>0</v>
      </c>
      <c r="AS311" s="125"/>
      <c r="AT311" s="125"/>
      <c r="AU311" s="125">
        <f t="shared" si="654"/>
        <v>0</v>
      </c>
      <c r="AV311" s="125"/>
      <c r="AW311" s="125"/>
      <c r="AX311" s="125">
        <f t="shared" si="655"/>
        <v>0</v>
      </c>
      <c r="AY311" s="125"/>
      <c r="AZ311" s="125"/>
      <c r="BA311" s="125">
        <f t="shared" si="656"/>
        <v>0</v>
      </c>
      <c r="BB311" s="125"/>
      <c r="BC311" s="125"/>
      <c r="BD311" s="125">
        <f t="shared" si="657"/>
        <v>0</v>
      </c>
      <c r="BE311" s="125"/>
      <c r="BF311" s="125"/>
      <c r="BG311" s="125">
        <f t="shared" si="658"/>
        <v>0</v>
      </c>
      <c r="BH311" s="125"/>
      <c r="BI311" s="125"/>
      <c r="BJ311" s="125">
        <f t="shared" si="659"/>
        <v>0</v>
      </c>
      <c r="BK311" s="125"/>
      <c r="BL311" s="312"/>
      <c r="BM311" s="317"/>
      <c r="BN311" s="320"/>
    </row>
    <row r="312" s="124" customFormat="1" ht="33.95" customHeight="1" outlineLevel="4" spans="2:66">
      <c r="B312" s="125" t="s">
        <v>792</v>
      </c>
      <c r="C312" s="126" t="s">
        <v>1427</v>
      </c>
      <c r="D312" s="124" t="s">
        <v>1428</v>
      </c>
      <c r="E312" s="125" t="s">
        <v>1429</v>
      </c>
      <c r="F312" s="125"/>
      <c r="G312" s="125" t="s">
        <v>936</v>
      </c>
      <c r="H312" s="125">
        <f t="shared" si="645"/>
        <v>0</v>
      </c>
      <c r="I312" s="125" t="s">
        <v>1423</v>
      </c>
      <c r="J312" s="304"/>
      <c r="K312" s="125" t="s">
        <v>1143</v>
      </c>
      <c r="L312" s="304"/>
      <c r="M312" s="125" t="s">
        <v>1176</v>
      </c>
      <c r="N312" s="125">
        <f t="shared" si="646"/>
        <v>0</v>
      </c>
      <c r="O312" s="304"/>
      <c r="P312" s="304"/>
      <c r="Q312" s="304"/>
      <c r="R312" s="304"/>
      <c r="S312" s="304"/>
      <c r="T312" s="304"/>
      <c r="U312" s="304"/>
      <c r="V312" s="304"/>
      <c r="W312" s="304"/>
      <c r="X312" s="304"/>
      <c r="Y312" s="304"/>
      <c r="Z312" s="304"/>
      <c r="AA312" s="125"/>
      <c r="AB312" s="125">
        <f t="shared" si="647"/>
        <v>0</v>
      </c>
      <c r="AC312" s="125">
        <f t="shared" si="648"/>
        <v>0</v>
      </c>
      <c r="AD312" s="125"/>
      <c r="AE312" s="125"/>
      <c r="AF312" s="125">
        <f t="shared" si="649"/>
        <v>0</v>
      </c>
      <c r="AG312" s="125"/>
      <c r="AH312" s="125"/>
      <c r="AI312" s="125">
        <f t="shared" si="650"/>
        <v>0</v>
      </c>
      <c r="AJ312" s="125"/>
      <c r="AK312" s="125"/>
      <c r="AL312" s="125">
        <f t="shared" si="651"/>
        <v>0</v>
      </c>
      <c r="AM312" s="125"/>
      <c r="AN312" s="125"/>
      <c r="AO312" s="125">
        <f t="shared" si="652"/>
        <v>0</v>
      </c>
      <c r="AP312" s="125"/>
      <c r="AQ312" s="125"/>
      <c r="AR312" s="125">
        <f t="shared" si="653"/>
        <v>0</v>
      </c>
      <c r="AS312" s="125"/>
      <c r="AT312" s="125"/>
      <c r="AU312" s="125">
        <f t="shared" si="654"/>
        <v>0</v>
      </c>
      <c r="AV312" s="125"/>
      <c r="AW312" s="125"/>
      <c r="AX312" s="125">
        <f t="shared" si="655"/>
        <v>0</v>
      </c>
      <c r="AY312" s="125"/>
      <c r="AZ312" s="125"/>
      <c r="BA312" s="125">
        <f t="shared" si="656"/>
        <v>0</v>
      </c>
      <c r="BB312" s="125"/>
      <c r="BC312" s="125"/>
      <c r="BD312" s="125">
        <f t="shared" si="657"/>
        <v>0</v>
      </c>
      <c r="BE312" s="125"/>
      <c r="BF312" s="125"/>
      <c r="BG312" s="125">
        <f t="shared" si="658"/>
        <v>0</v>
      </c>
      <c r="BH312" s="125"/>
      <c r="BI312" s="125"/>
      <c r="BJ312" s="125">
        <f t="shared" si="659"/>
        <v>0</v>
      </c>
      <c r="BK312" s="125"/>
      <c r="BL312" s="312"/>
      <c r="BM312" s="317"/>
      <c r="BN312" s="320"/>
    </row>
    <row r="313" s="124" customFormat="1" ht="33.95" customHeight="1" outlineLevel="4" spans="2:66">
      <c r="B313" s="125" t="s">
        <v>792</v>
      </c>
      <c r="C313" s="126" t="s">
        <v>1430</v>
      </c>
      <c r="D313" s="124" t="s">
        <v>1431</v>
      </c>
      <c r="E313" s="125" t="s">
        <v>1432</v>
      </c>
      <c r="F313" s="125"/>
      <c r="G313" s="125" t="s">
        <v>936</v>
      </c>
      <c r="H313" s="125">
        <f t="shared" si="645"/>
        <v>0</v>
      </c>
      <c r="I313" s="125" t="s">
        <v>1423</v>
      </c>
      <c r="J313" s="304"/>
      <c r="K313" s="125" t="s">
        <v>1143</v>
      </c>
      <c r="L313" s="304"/>
      <c r="M313" s="125" t="s">
        <v>1176</v>
      </c>
      <c r="N313" s="125">
        <f t="shared" si="646"/>
        <v>0</v>
      </c>
      <c r="O313" s="304"/>
      <c r="P313" s="322"/>
      <c r="Q313" s="322"/>
      <c r="R313" s="322"/>
      <c r="S313" s="322"/>
      <c r="T313" s="322"/>
      <c r="U313" s="322"/>
      <c r="V313" s="322"/>
      <c r="W313" s="322"/>
      <c r="X313" s="322"/>
      <c r="Y313" s="322"/>
      <c r="Z313" s="322"/>
      <c r="AA313" s="125"/>
      <c r="AB313" s="125">
        <f t="shared" si="647"/>
        <v>0</v>
      </c>
      <c r="AC313" s="125">
        <f t="shared" si="648"/>
        <v>0</v>
      </c>
      <c r="AD313" s="125"/>
      <c r="AE313" s="125"/>
      <c r="AF313" s="125">
        <f t="shared" si="649"/>
        <v>0</v>
      </c>
      <c r="AG313" s="125"/>
      <c r="AH313" s="125"/>
      <c r="AI313" s="125">
        <f t="shared" si="650"/>
        <v>0</v>
      </c>
      <c r="AJ313" s="125"/>
      <c r="AK313" s="125"/>
      <c r="AL313" s="125">
        <f t="shared" si="651"/>
        <v>0</v>
      </c>
      <c r="AM313" s="125"/>
      <c r="AN313" s="125"/>
      <c r="AO313" s="125">
        <f t="shared" si="652"/>
        <v>0</v>
      </c>
      <c r="AP313" s="125"/>
      <c r="AQ313" s="125"/>
      <c r="AR313" s="125">
        <f t="shared" si="653"/>
        <v>0</v>
      </c>
      <c r="AS313" s="125"/>
      <c r="AT313" s="125"/>
      <c r="AU313" s="125">
        <f t="shared" si="654"/>
        <v>0</v>
      </c>
      <c r="AV313" s="125"/>
      <c r="AW313" s="125"/>
      <c r="AX313" s="125">
        <f t="shared" si="655"/>
        <v>0</v>
      </c>
      <c r="AY313" s="125"/>
      <c r="AZ313" s="125"/>
      <c r="BA313" s="125">
        <f t="shared" si="656"/>
        <v>0</v>
      </c>
      <c r="BB313" s="125"/>
      <c r="BC313" s="125"/>
      <c r="BD313" s="125">
        <f t="shared" si="657"/>
        <v>0</v>
      </c>
      <c r="BE313" s="125"/>
      <c r="BF313" s="125"/>
      <c r="BG313" s="125">
        <f t="shared" si="658"/>
        <v>0</v>
      </c>
      <c r="BH313" s="125"/>
      <c r="BI313" s="125"/>
      <c r="BJ313" s="125">
        <f t="shared" si="659"/>
        <v>0</v>
      </c>
      <c r="BK313" s="125"/>
      <c r="BL313" s="312"/>
      <c r="BM313" s="317"/>
      <c r="BN313" s="320"/>
    </row>
    <row r="314" s="43" customFormat="1" ht="33.95" customHeight="1" outlineLevel="3" spans="2:66">
      <c r="B314" s="121" t="s">
        <v>792</v>
      </c>
      <c r="C314" s="122" t="s">
        <v>1433</v>
      </c>
      <c r="D314" s="43" t="s">
        <v>1434</v>
      </c>
      <c r="E314" s="121"/>
      <c r="F314" s="121"/>
      <c r="G314" s="121" t="s">
        <v>936</v>
      </c>
      <c r="H314" s="311">
        <f t="shared" si="645"/>
        <v>0</v>
      </c>
      <c r="I314" s="311" t="s">
        <v>1170</v>
      </c>
      <c r="J314" s="311">
        <f>AVERAGE(AD314,AG314,AJ314,AM314,AP314,AS314,AV314,AY314,BB314,BE314,BH314,BK314)</f>
        <v>252764</v>
      </c>
      <c r="K314" s="311" t="s">
        <v>1026</v>
      </c>
      <c r="L314" s="311" t="e">
        <f>AVERAGE(AE314,AH314,AK314,AN314,AQ314,AT314,AW314,AZ314,BC314,BF314,BI314,BL314)</f>
        <v>#DIV/0!</v>
      </c>
      <c r="M314" s="121" t="s">
        <v>799</v>
      </c>
      <c r="N314" s="121">
        <v>12</v>
      </c>
      <c r="O314" s="121"/>
      <c r="P314" s="294"/>
      <c r="Q314" s="294"/>
      <c r="R314" s="294"/>
      <c r="S314" s="294"/>
      <c r="T314" s="294"/>
      <c r="U314" s="294"/>
      <c r="V314" s="294"/>
      <c r="W314" s="294"/>
      <c r="X314" s="294"/>
      <c r="Y314" s="294"/>
      <c r="Z314" s="294"/>
      <c r="AA314" s="294"/>
      <c r="AB314" s="121">
        <f t="shared" si="647"/>
        <v>0</v>
      </c>
      <c r="AC314" s="121">
        <f>AD314*AE314</f>
        <v>0</v>
      </c>
      <c r="AD314" s="121">
        <f>VLOOKUP($I314,'1-1 项目基础信息'!$F:$S,3,FALSE)</f>
        <v>252764</v>
      </c>
      <c r="AE314" s="304"/>
      <c r="AF314" s="121">
        <f>AG314*AH314</f>
        <v>0</v>
      </c>
      <c r="AG314" s="121">
        <f>VLOOKUP($I314,'1-1 项目基础信息'!$F:$S,4,FALSE)</f>
        <v>252764</v>
      </c>
      <c r="AH314" s="304"/>
      <c r="AI314" s="121">
        <f>AJ314*AK314</f>
        <v>0</v>
      </c>
      <c r="AJ314" s="121">
        <f>VLOOKUP($I314,'1-1 项目基础信息'!$F:$S,5,FALSE)</f>
        <v>252764</v>
      </c>
      <c r="AK314" s="304"/>
      <c r="AL314" s="121">
        <f>AM314*AN314</f>
        <v>0</v>
      </c>
      <c r="AM314" s="121">
        <f>VLOOKUP($I314,'1-1 项目基础信息'!$F:$S,6,FALSE)</f>
        <v>252764</v>
      </c>
      <c r="AN314" s="304"/>
      <c r="AO314" s="121">
        <f>AP314*AQ314</f>
        <v>0</v>
      </c>
      <c r="AP314" s="121">
        <f>VLOOKUP($I314,'1-1 项目基础信息'!$F:$S,7,FALSE)</f>
        <v>252764</v>
      </c>
      <c r="AQ314" s="304"/>
      <c r="AR314" s="121">
        <f>AS314*AT314</f>
        <v>0</v>
      </c>
      <c r="AS314" s="121">
        <f>VLOOKUP($I314,'1-1 项目基础信息'!$F:$S,8,FALSE)</f>
        <v>252764</v>
      </c>
      <c r="AT314" s="304"/>
      <c r="AU314" s="121">
        <f>AV314*AW314</f>
        <v>0</v>
      </c>
      <c r="AV314" s="121">
        <f>VLOOKUP($I314,'1-1 项目基础信息'!$F:$S,9,FALSE)</f>
        <v>252764</v>
      </c>
      <c r="AW314" s="304"/>
      <c r="AX314" s="121">
        <f>AY314*AZ314</f>
        <v>0</v>
      </c>
      <c r="AY314" s="121">
        <f>VLOOKUP($I314,'1-1 项目基础信息'!$F:$S,10,FALSE)</f>
        <v>252764</v>
      </c>
      <c r="AZ314" s="304"/>
      <c r="BA314" s="121">
        <f>BB314*BC314</f>
        <v>0</v>
      </c>
      <c r="BB314" s="121">
        <f>VLOOKUP($I314,'1-1 项目基础信息'!$F:$S,11,FALSE)</f>
        <v>252764</v>
      </c>
      <c r="BC314" s="304"/>
      <c r="BD314" s="121">
        <f>BE314*BF314</f>
        <v>0</v>
      </c>
      <c r="BE314" s="121">
        <f>VLOOKUP($I314,'1-1 项目基础信息'!$F:$S,12,FALSE)</f>
        <v>252764</v>
      </c>
      <c r="BF314" s="304"/>
      <c r="BG314" s="121">
        <f>BH314*BI314</f>
        <v>0</v>
      </c>
      <c r="BH314" s="121">
        <f>VLOOKUP($I314,'1-1 项目基础信息'!$F:$S,13,FALSE)</f>
        <v>252764</v>
      </c>
      <c r="BI314" s="304"/>
      <c r="BJ314" s="121">
        <f>BK314*BL314</f>
        <v>0</v>
      </c>
      <c r="BK314" s="121">
        <f>VLOOKUP($I314,'1-1 项目基础信息'!$F:$S,14,FALSE)</f>
        <v>252764</v>
      </c>
      <c r="BL314" s="313"/>
      <c r="BM314" s="317"/>
      <c r="BN314" s="319"/>
    </row>
    <row r="315" s="43" customFormat="1" ht="33.95" customHeight="1" outlineLevel="3" spans="2:66">
      <c r="B315" s="121" t="s">
        <v>787</v>
      </c>
      <c r="C315" s="122" t="s">
        <v>1435</v>
      </c>
      <c r="D315" s="43" t="s">
        <v>1436</v>
      </c>
      <c r="E315" s="121"/>
      <c r="F315" s="121"/>
      <c r="G315" s="121"/>
      <c r="H315" s="121">
        <f>SUM(H316:H334)</f>
        <v>0</v>
      </c>
      <c r="I315" s="121"/>
      <c r="J315" s="121"/>
      <c r="K315" s="121"/>
      <c r="L315" s="121"/>
      <c r="M315" s="121"/>
      <c r="N315" s="121"/>
      <c r="O315" s="121"/>
      <c r="P315" s="294"/>
      <c r="Q315" s="294"/>
      <c r="R315" s="294"/>
      <c r="S315" s="294"/>
      <c r="T315" s="294"/>
      <c r="U315" s="294"/>
      <c r="V315" s="294"/>
      <c r="W315" s="294"/>
      <c r="X315" s="294"/>
      <c r="Y315" s="294"/>
      <c r="Z315" s="294"/>
      <c r="AA315" s="294"/>
      <c r="AB315" s="121">
        <f t="shared" ref="AB315:AF315" si="660">SUM(AB316:AB334)</f>
        <v>0</v>
      </c>
      <c r="AC315" s="121">
        <f t="shared" si="660"/>
        <v>0</v>
      </c>
      <c r="AD315" s="121"/>
      <c r="AE315" s="121"/>
      <c r="AF315" s="121">
        <f t="shared" si="660"/>
        <v>0</v>
      </c>
      <c r="AG315" s="121"/>
      <c r="AH315" s="121"/>
      <c r="AI315" s="121">
        <f>SUM(AI316:AI334)</f>
        <v>0</v>
      </c>
      <c r="AJ315" s="121"/>
      <c r="AK315" s="121"/>
      <c r="AL315" s="121">
        <f>SUM(AL316:AL334)</f>
        <v>0</v>
      </c>
      <c r="AM315" s="121"/>
      <c r="AN315" s="121"/>
      <c r="AO315" s="121">
        <f>SUM(AO316:AO334)</f>
        <v>0</v>
      </c>
      <c r="AP315" s="121"/>
      <c r="AQ315" s="121"/>
      <c r="AR315" s="121">
        <f>SUM(AR316:AR334)</f>
        <v>0</v>
      </c>
      <c r="AS315" s="121"/>
      <c r="AT315" s="121"/>
      <c r="AU315" s="121">
        <f>SUM(AU316:AU334)</f>
        <v>0</v>
      </c>
      <c r="AV315" s="121"/>
      <c r="AW315" s="121"/>
      <c r="AX315" s="121">
        <f>SUM(AX316:AX334)</f>
        <v>0</v>
      </c>
      <c r="AY315" s="121"/>
      <c r="AZ315" s="121"/>
      <c r="BA315" s="121">
        <f>SUM(BA316:BA334)</f>
        <v>0</v>
      </c>
      <c r="BB315" s="121"/>
      <c r="BC315" s="121"/>
      <c r="BD315" s="121">
        <f>SUM(BD316:BD334)</f>
        <v>0</v>
      </c>
      <c r="BE315" s="121"/>
      <c r="BF315" s="121"/>
      <c r="BG315" s="121">
        <f>SUM(BG316:BG334)</f>
        <v>0</v>
      </c>
      <c r="BH315" s="121"/>
      <c r="BI315" s="121"/>
      <c r="BJ315" s="121">
        <f>SUM(BJ316:BJ334)</f>
        <v>0</v>
      </c>
      <c r="BK315" s="121"/>
      <c r="BL315" s="311"/>
      <c r="BM315" s="317"/>
      <c r="BN315" s="319"/>
    </row>
    <row r="316" s="124" customFormat="1" ht="33.95" customHeight="1" outlineLevel="4" spans="2:66">
      <c r="B316" s="125" t="s">
        <v>792</v>
      </c>
      <c r="C316" s="126" t="s">
        <v>1437</v>
      </c>
      <c r="D316" s="124" t="s">
        <v>1438</v>
      </c>
      <c r="E316" s="125" t="s">
        <v>1439</v>
      </c>
      <c r="F316" s="125"/>
      <c r="G316" s="125" t="s">
        <v>936</v>
      </c>
      <c r="H316" s="125">
        <f t="shared" ref="H316:H334" si="661">IFERROR(J316*L316*N316,0)</f>
        <v>0</v>
      </c>
      <c r="I316" s="125" t="s">
        <v>1440</v>
      </c>
      <c r="J316" s="304"/>
      <c r="K316" s="125" t="s">
        <v>1389</v>
      </c>
      <c r="L316" s="304"/>
      <c r="M316" s="125" t="s">
        <v>1441</v>
      </c>
      <c r="N316" s="125">
        <f t="shared" ref="N316:N334" si="662">COUNTA(O316:Z316)</f>
        <v>0</v>
      </c>
      <c r="O316" s="304"/>
      <c r="P316" s="323"/>
      <c r="Q316" s="323"/>
      <c r="R316" s="323"/>
      <c r="S316" s="323"/>
      <c r="T316" s="323"/>
      <c r="U316" s="323"/>
      <c r="V316" s="323"/>
      <c r="W316" s="323"/>
      <c r="X316" s="323"/>
      <c r="Y316" s="323"/>
      <c r="Z316" s="323"/>
      <c r="AA316" s="125"/>
      <c r="AB316" s="125">
        <f t="shared" ref="AB316:AB334" si="663">SUM(AC316,AF316,AI316,AL316,AO316,AR316,AU316,AX316,BA316,BD316,BG316,BJ316)</f>
        <v>0</v>
      </c>
      <c r="AC316" s="125">
        <f t="shared" ref="AC316:AC334" si="664">IF(O316="",0,$J316*$L316)</f>
        <v>0</v>
      </c>
      <c r="AD316" s="125"/>
      <c r="AE316" s="125"/>
      <c r="AF316" s="125">
        <f t="shared" ref="AF316:AF334" si="665">IF(P316="",0,$J316*$L316)</f>
        <v>0</v>
      </c>
      <c r="AG316" s="125"/>
      <c r="AH316" s="125"/>
      <c r="AI316" s="125">
        <f t="shared" ref="AI316:AI334" si="666">IF(Q316="",0,$J316*$L316)</f>
        <v>0</v>
      </c>
      <c r="AJ316" s="125"/>
      <c r="AK316" s="125"/>
      <c r="AL316" s="125">
        <f t="shared" ref="AL316:AL334" si="667">IF(R316="",0,$J316*$L316)</f>
        <v>0</v>
      </c>
      <c r="AM316" s="125"/>
      <c r="AN316" s="125"/>
      <c r="AO316" s="125">
        <f t="shared" ref="AO316:AO334" si="668">IF(S316="",0,$J316*$L316)</f>
        <v>0</v>
      </c>
      <c r="AP316" s="125"/>
      <c r="AQ316" s="125"/>
      <c r="AR316" s="125">
        <f t="shared" ref="AR316:AR334" si="669">IF(T316="",0,$J316*$L316)</f>
        <v>0</v>
      </c>
      <c r="AS316" s="125"/>
      <c r="AT316" s="125"/>
      <c r="AU316" s="125">
        <f t="shared" ref="AU316:AU334" si="670">IF(U316="",0,$J316*$L316)</f>
        <v>0</v>
      </c>
      <c r="AV316" s="125"/>
      <c r="AW316" s="125"/>
      <c r="AX316" s="125">
        <f t="shared" ref="AX316:AX334" si="671">IF(V316="",0,$J316*$L316)</f>
        <v>0</v>
      </c>
      <c r="AY316" s="125"/>
      <c r="AZ316" s="125"/>
      <c r="BA316" s="125">
        <f t="shared" ref="BA316:BA334" si="672">IF(W316="",0,$J316*$L316)</f>
        <v>0</v>
      </c>
      <c r="BB316" s="125"/>
      <c r="BC316" s="125"/>
      <c r="BD316" s="125">
        <f t="shared" ref="BD316:BD334" si="673">IF(X316="",0,$J316*$L316)</f>
        <v>0</v>
      </c>
      <c r="BE316" s="125"/>
      <c r="BF316" s="125"/>
      <c r="BG316" s="125">
        <f t="shared" ref="BG316:BG334" si="674">IF(Y316="",0,$J316*$L316)</f>
        <v>0</v>
      </c>
      <c r="BH316" s="125"/>
      <c r="BI316" s="125"/>
      <c r="BJ316" s="125">
        <f t="shared" ref="BJ316:BJ334" si="675">IF(Z316="",0,$J316*$L316)</f>
        <v>0</v>
      </c>
      <c r="BK316" s="125"/>
      <c r="BL316" s="312"/>
      <c r="BM316" s="317"/>
      <c r="BN316" s="320"/>
    </row>
    <row r="317" s="124" customFormat="1" ht="33.95" customHeight="1" outlineLevel="4" spans="2:66">
      <c r="B317" s="125" t="s">
        <v>792</v>
      </c>
      <c r="C317" s="126" t="s">
        <v>1442</v>
      </c>
      <c r="D317" s="124" t="s">
        <v>1443</v>
      </c>
      <c r="E317" s="125" t="s">
        <v>1444</v>
      </c>
      <c r="F317" s="125"/>
      <c r="G317" s="125" t="s">
        <v>936</v>
      </c>
      <c r="H317" s="125">
        <f t="shared" si="661"/>
        <v>0</v>
      </c>
      <c r="I317" s="125" t="s">
        <v>1440</v>
      </c>
      <c r="J317" s="304"/>
      <c r="K317" s="125" t="s">
        <v>1389</v>
      </c>
      <c r="L317" s="304"/>
      <c r="M317" s="125" t="s">
        <v>1441</v>
      </c>
      <c r="N317" s="125">
        <f t="shared" si="662"/>
        <v>0</v>
      </c>
      <c r="O317" s="304"/>
      <c r="P317" s="304"/>
      <c r="Q317" s="304"/>
      <c r="R317" s="304"/>
      <c r="S317" s="304"/>
      <c r="T317" s="304"/>
      <c r="U317" s="304"/>
      <c r="V317" s="304"/>
      <c r="W317" s="304"/>
      <c r="X317" s="304"/>
      <c r="Y317" s="304"/>
      <c r="Z317" s="304"/>
      <c r="AA317" s="125"/>
      <c r="AB317" s="125">
        <f t="shared" si="663"/>
        <v>0</v>
      </c>
      <c r="AC317" s="125">
        <f t="shared" si="664"/>
        <v>0</v>
      </c>
      <c r="AD317" s="125"/>
      <c r="AE317" s="125"/>
      <c r="AF317" s="125">
        <f t="shared" si="665"/>
        <v>0</v>
      </c>
      <c r="AG317" s="125"/>
      <c r="AH317" s="125"/>
      <c r="AI317" s="125">
        <f t="shared" si="666"/>
        <v>0</v>
      </c>
      <c r="AJ317" s="125"/>
      <c r="AK317" s="125"/>
      <c r="AL317" s="125">
        <f t="shared" si="667"/>
        <v>0</v>
      </c>
      <c r="AM317" s="125"/>
      <c r="AN317" s="125"/>
      <c r="AO317" s="125">
        <f t="shared" si="668"/>
        <v>0</v>
      </c>
      <c r="AP317" s="125"/>
      <c r="AQ317" s="125"/>
      <c r="AR317" s="125">
        <f t="shared" si="669"/>
        <v>0</v>
      </c>
      <c r="AS317" s="125"/>
      <c r="AT317" s="125"/>
      <c r="AU317" s="125">
        <f t="shared" si="670"/>
        <v>0</v>
      </c>
      <c r="AV317" s="125"/>
      <c r="AW317" s="125"/>
      <c r="AX317" s="125">
        <f t="shared" si="671"/>
        <v>0</v>
      </c>
      <c r="AY317" s="125"/>
      <c r="AZ317" s="125"/>
      <c r="BA317" s="125">
        <f t="shared" si="672"/>
        <v>0</v>
      </c>
      <c r="BB317" s="125"/>
      <c r="BC317" s="125"/>
      <c r="BD317" s="125">
        <f t="shared" si="673"/>
        <v>0</v>
      </c>
      <c r="BE317" s="125"/>
      <c r="BF317" s="125"/>
      <c r="BG317" s="125">
        <f t="shared" si="674"/>
        <v>0</v>
      </c>
      <c r="BH317" s="125"/>
      <c r="BI317" s="125"/>
      <c r="BJ317" s="125">
        <f t="shared" si="675"/>
        <v>0</v>
      </c>
      <c r="BK317" s="125"/>
      <c r="BL317" s="312"/>
      <c r="BM317" s="317"/>
      <c r="BN317" s="320"/>
    </row>
    <row r="318" s="124" customFormat="1" ht="33.95" customHeight="1" outlineLevel="4" spans="2:66">
      <c r="B318" s="125" t="s">
        <v>792</v>
      </c>
      <c r="C318" s="126" t="s">
        <v>1445</v>
      </c>
      <c r="D318" s="124" t="s">
        <v>1446</v>
      </c>
      <c r="E318" s="125" t="s">
        <v>1447</v>
      </c>
      <c r="F318" s="125"/>
      <c r="G318" s="125" t="s">
        <v>936</v>
      </c>
      <c r="H318" s="125">
        <f t="shared" si="661"/>
        <v>0</v>
      </c>
      <c r="I318" s="125" t="s">
        <v>1440</v>
      </c>
      <c r="J318" s="304"/>
      <c r="K318" s="125" t="s">
        <v>1389</v>
      </c>
      <c r="L318" s="304"/>
      <c r="M318" s="125" t="s">
        <v>1441</v>
      </c>
      <c r="N318" s="125">
        <f t="shared" si="662"/>
        <v>0</v>
      </c>
      <c r="O318" s="304"/>
      <c r="P318" s="304"/>
      <c r="Q318" s="304"/>
      <c r="R318" s="304"/>
      <c r="S318" s="304"/>
      <c r="T318" s="304"/>
      <c r="U318" s="304"/>
      <c r="V318" s="304"/>
      <c r="W318" s="304"/>
      <c r="X318" s="304"/>
      <c r="Y318" s="304"/>
      <c r="Z318" s="304"/>
      <c r="AA318" s="125"/>
      <c r="AB318" s="125">
        <f t="shared" si="663"/>
        <v>0</v>
      </c>
      <c r="AC318" s="125">
        <f t="shared" si="664"/>
        <v>0</v>
      </c>
      <c r="AD318" s="125"/>
      <c r="AE318" s="125"/>
      <c r="AF318" s="125">
        <f t="shared" si="665"/>
        <v>0</v>
      </c>
      <c r="AG318" s="125"/>
      <c r="AH318" s="125"/>
      <c r="AI318" s="125">
        <f t="shared" si="666"/>
        <v>0</v>
      </c>
      <c r="AJ318" s="125"/>
      <c r="AK318" s="125"/>
      <c r="AL318" s="125">
        <f t="shared" si="667"/>
        <v>0</v>
      </c>
      <c r="AM318" s="125"/>
      <c r="AN318" s="125"/>
      <c r="AO318" s="125">
        <f t="shared" si="668"/>
        <v>0</v>
      </c>
      <c r="AP318" s="125"/>
      <c r="AQ318" s="125"/>
      <c r="AR318" s="125">
        <f t="shared" si="669"/>
        <v>0</v>
      </c>
      <c r="AS318" s="125"/>
      <c r="AT318" s="125"/>
      <c r="AU318" s="125">
        <f t="shared" si="670"/>
        <v>0</v>
      </c>
      <c r="AV318" s="125"/>
      <c r="AW318" s="125"/>
      <c r="AX318" s="125">
        <f t="shared" si="671"/>
        <v>0</v>
      </c>
      <c r="AY318" s="125"/>
      <c r="AZ318" s="125"/>
      <c r="BA318" s="125">
        <f t="shared" si="672"/>
        <v>0</v>
      </c>
      <c r="BB318" s="125"/>
      <c r="BC318" s="125"/>
      <c r="BD318" s="125">
        <f t="shared" si="673"/>
        <v>0</v>
      </c>
      <c r="BE318" s="125"/>
      <c r="BF318" s="125"/>
      <c r="BG318" s="125">
        <f t="shared" si="674"/>
        <v>0</v>
      </c>
      <c r="BH318" s="125"/>
      <c r="BI318" s="125"/>
      <c r="BJ318" s="125">
        <f t="shared" si="675"/>
        <v>0</v>
      </c>
      <c r="BK318" s="125"/>
      <c r="BL318" s="312"/>
      <c r="BM318" s="317"/>
      <c r="BN318" s="320"/>
    </row>
    <row r="319" s="124" customFormat="1" ht="33.95" customHeight="1" outlineLevel="4" spans="2:66">
      <c r="B319" s="125" t="s">
        <v>792</v>
      </c>
      <c r="C319" s="126" t="s">
        <v>1448</v>
      </c>
      <c r="D319" s="124" t="s">
        <v>1449</v>
      </c>
      <c r="E319" s="125" t="s">
        <v>1450</v>
      </c>
      <c r="F319" s="125"/>
      <c r="G319" s="125" t="s">
        <v>936</v>
      </c>
      <c r="H319" s="125">
        <f t="shared" si="661"/>
        <v>0</v>
      </c>
      <c r="I319" s="125" t="s">
        <v>1440</v>
      </c>
      <c r="J319" s="304"/>
      <c r="K319" s="125" t="s">
        <v>1389</v>
      </c>
      <c r="L319" s="304"/>
      <c r="M319" s="125" t="s">
        <v>1441</v>
      </c>
      <c r="N319" s="125">
        <f t="shared" si="662"/>
        <v>0</v>
      </c>
      <c r="O319" s="304"/>
      <c r="P319" s="304"/>
      <c r="Q319" s="304"/>
      <c r="R319" s="304"/>
      <c r="S319" s="304"/>
      <c r="T319" s="304"/>
      <c r="U319" s="304"/>
      <c r="V319" s="304"/>
      <c r="W319" s="304"/>
      <c r="X319" s="304"/>
      <c r="Y319" s="304"/>
      <c r="Z319" s="304"/>
      <c r="AA319" s="125"/>
      <c r="AB319" s="125">
        <f t="shared" si="663"/>
        <v>0</v>
      </c>
      <c r="AC319" s="125">
        <f t="shared" si="664"/>
        <v>0</v>
      </c>
      <c r="AD319" s="125"/>
      <c r="AE319" s="125"/>
      <c r="AF319" s="125">
        <f t="shared" si="665"/>
        <v>0</v>
      </c>
      <c r="AG319" s="125"/>
      <c r="AH319" s="125"/>
      <c r="AI319" s="125">
        <f t="shared" si="666"/>
        <v>0</v>
      </c>
      <c r="AJ319" s="125"/>
      <c r="AK319" s="125"/>
      <c r="AL319" s="125">
        <f t="shared" si="667"/>
        <v>0</v>
      </c>
      <c r="AM319" s="125"/>
      <c r="AN319" s="125"/>
      <c r="AO319" s="125">
        <f t="shared" si="668"/>
        <v>0</v>
      </c>
      <c r="AP319" s="125"/>
      <c r="AQ319" s="125"/>
      <c r="AR319" s="125">
        <f t="shared" si="669"/>
        <v>0</v>
      </c>
      <c r="AS319" s="125"/>
      <c r="AT319" s="125"/>
      <c r="AU319" s="125">
        <f t="shared" si="670"/>
        <v>0</v>
      </c>
      <c r="AV319" s="125"/>
      <c r="AW319" s="125"/>
      <c r="AX319" s="125">
        <f t="shared" si="671"/>
        <v>0</v>
      </c>
      <c r="AY319" s="125"/>
      <c r="AZ319" s="125"/>
      <c r="BA319" s="125">
        <f t="shared" si="672"/>
        <v>0</v>
      </c>
      <c r="BB319" s="125"/>
      <c r="BC319" s="125"/>
      <c r="BD319" s="125">
        <f t="shared" si="673"/>
        <v>0</v>
      </c>
      <c r="BE319" s="125"/>
      <c r="BF319" s="125"/>
      <c r="BG319" s="125">
        <f t="shared" si="674"/>
        <v>0</v>
      </c>
      <c r="BH319" s="125"/>
      <c r="BI319" s="125"/>
      <c r="BJ319" s="125">
        <f t="shared" si="675"/>
        <v>0</v>
      </c>
      <c r="BK319" s="125"/>
      <c r="BL319" s="312"/>
      <c r="BM319" s="317"/>
      <c r="BN319" s="320"/>
    </row>
    <row r="320" s="124" customFormat="1" ht="33.95" customHeight="1" outlineLevel="4" spans="2:66">
      <c r="B320" s="125" t="s">
        <v>792</v>
      </c>
      <c r="C320" s="126" t="s">
        <v>1451</v>
      </c>
      <c r="D320" s="124" t="s">
        <v>1452</v>
      </c>
      <c r="E320" s="125" t="s">
        <v>1453</v>
      </c>
      <c r="F320" s="125"/>
      <c r="G320" s="125" t="s">
        <v>936</v>
      </c>
      <c r="H320" s="125">
        <f t="shared" si="661"/>
        <v>0</v>
      </c>
      <c r="I320" s="125" t="s">
        <v>1440</v>
      </c>
      <c r="J320" s="304"/>
      <c r="K320" s="125" t="s">
        <v>1389</v>
      </c>
      <c r="L320" s="304"/>
      <c r="M320" s="125" t="s">
        <v>1441</v>
      </c>
      <c r="N320" s="125">
        <f t="shared" si="662"/>
        <v>0</v>
      </c>
      <c r="O320" s="304"/>
      <c r="P320" s="304"/>
      <c r="Q320" s="304"/>
      <c r="R320" s="304"/>
      <c r="S320" s="304"/>
      <c r="T320" s="304"/>
      <c r="U320" s="304"/>
      <c r="V320" s="304"/>
      <c r="W320" s="304"/>
      <c r="X320" s="304"/>
      <c r="Y320" s="304"/>
      <c r="Z320" s="304"/>
      <c r="AA320" s="125"/>
      <c r="AB320" s="125">
        <f t="shared" si="663"/>
        <v>0</v>
      </c>
      <c r="AC320" s="125">
        <f t="shared" si="664"/>
        <v>0</v>
      </c>
      <c r="AD320" s="125"/>
      <c r="AE320" s="125"/>
      <c r="AF320" s="125">
        <f t="shared" si="665"/>
        <v>0</v>
      </c>
      <c r="AG320" s="125"/>
      <c r="AH320" s="125"/>
      <c r="AI320" s="125">
        <f t="shared" si="666"/>
        <v>0</v>
      </c>
      <c r="AJ320" s="125"/>
      <c r="AK320" s="125"/>
      <c r="AL320" s="125">
        <f t="shared" si="667"/>
        <v>0</v>
      </c>
      <c r="AM320" s="125"/>
      <c r="AN320" s="125"/>
      <c r="AO320" s="125">
        <f t="shared" si="668"/>
        <v>0</v>
      </c>
      <c r="AP320" s="125"/>
      <c r="AQ320" s="125"/>
      <c r="AR320" s="125">
        <f t="shared" si="669"/>
        <v>0</v>
      </c>
      <c r="AS320" s="125"/>
      <c r="AT320" s="125"/>
      <c r="AU320" s="125">
        <f t="shared" si="670"/>
        <v>0</v>
      </c>
      <c r="AV320" s="125"/>
      <c r="AW320" s="125"/>
      <c r="AX320" s="125">
        <f t="shared" si="671"/>
        <v>0</v>
      </c>
      <c r="AY320" s="125"/>
      <c r="AZ320" s="125"/>
      <c r="BA320" s="125">
        <f t="shared" si="672"/>
        <v>0</v>
      </c>
      <c r="BB320" s="125"/>
      <c r="BC320" s="125"/>
      <c r="BD320" s="125">
        <f t="shared" si="673"/>
        <v>0</v>
      </c>
      <c r="BE320" s="125"/>
      <c r="BF320" s="125"/>
      <c r="BG320" s="125">
        <f t="shared" si="674"/>
        <v>0</v>
      </c>
      <c r="BH320" s="125"/>
      <c r="BI320" s="125"/>
      <c r="BJ320" s="125">
        <f t="shared" si="675"/>
        <v>0</v>
      </c>
      <c r="BK320" s="125"/>
      <c r="BL320" s="312"/>
      <c r="BM320" s="317"/>
      <c r="BN320" s="320"/>
    </row>
    <row r="321" s="124" customFormat="1" ht="33.95" customHeight="1" outlineLevel="4" spans="2:66">
      <c r="B321" s="125" t="s">
        <v>792</v>
      </c>
      <c r="C321" s="126" t="s">
        <v>1454</v>
      </c>
      <c r="D321" s="124" t="s">
        <v>1455</v>
      </c>
      <c r="E321" s="125" t="s">
        <v>1456</v>
      </c>
      <c r="F321" s="125"/>
      <c r="G321" s="125" t="s">
        <v>936</v>
      </c>
      <c r="H321" s="125">
        <f t="shared" si="661"/>
        <v>0</v>
      </c>
      <c r="I321" s="125" t="s">
        <v>1440</v>
      </c>
      <c r="J321" s="304"/>
      <c r="K321" s="125" t="s">
        <v>1389</v>
      </c>
      <c r="L321" s="304"/>
      <c r="M321" s="125" t="s">
        <v>1441</v>
      </c>
      <c r="N321" s="125">
        <f t="shared" si="662"/>
        <v>0</v>
      </c>
      <c r="O321" s="304"/>
      <c r="P321" s="304"/>
      <c r="Q321" s="304"/>
      <c r="R321" s="304"/>
      <c r="S321" s="304"/>
      <c r="T321" s="304"/>
      <c r="U321" s="304"/>
      <c r="V321" s="304"/>
      <c r="W321" s="304"/>
      <c r="X321" s="304"/>
      <c r="Y321" s="304"/>
      <c r="Z321" s="304"/>
      <c r="AA321" s="125"/>
      <c r="AB321" s="125">
        <f t="shared" si="663"/>
        <v>0</v>
      </c>
      <c r="AC321" s="125">
        <f t="shared" si="664"/>
        <v>0</v>
      </c>
      <c r="AD321" s="125"/>
      <c r="AE321" s="125"/>
      <c r="AF321" s="125">
        <f t="shared" si="665"/>
        <v>0</v>
      </c>
      <c r="AG321" s="125"/>
      <c r="AH321" s="125"/>
      <c r="AI321" s="125">
        <f t="shared" si="666"/>
        <v>0</v>
      </c>
      <c r="AJ321" s="125"/>
      <c r="AK321" s="125"/>
      <c r="AL321" s="125">
        <f t="shared" si="667"/>
        <v>0</v>
      </c>
      <c r="AM321" s="125"/>
      <c r="AN321" s="125"/>
      <c r="AO321" s="125">
        <f t="shared" si="668"/>
        <v>0</v>
      </c>
      <c r="AP321" s="125"/>
      <c r="AQ321" s="125"/>
      <c r="AR321" s="125">
        <f t="shared" si="669"/>
        <v>0</v>
      </c>
      <c r="AS321" s="125"/>
      <c r="AT321" s="125"/>
      <c r="AU321" s="125">
        <f t="shared" si="670"/>
        <v>0</v>
      </c>
      <c r="AV321" s="125"/>
      <c r="AW321" s="125"/>
      <c r="AX321" s="125">
        <f t="shared" si="671"/>
        <v>0</v>
      </c>
      <c r="AY321" s="125"/>
      <c r="AZ321" s="125"/>
      <c r="BA321" s="125">
        <f t="shared" si="672"/>
        <v>0</v>
      </c>
      <c r="BB321" s="125"/>
      <c r="BC321" s="125"/>
      <c r="BD321" s="125">
        <f t="shared" si="673"/>
        <v>0</v>
      </c>
      <c r="BE321" s="125"/>
      <c r="BF321" s="125"/>
      <c r="BG321" s="125">
        <f t="shared" si="674"/>
        <v>0</v>
      </c>
      <c r="BH321" s="125"/>
      <c r="BI321" s="125"/>
      <c r="BJ321" s="125">
        <f t="shared" si="675"/>
        <v>0</v>
      </c>
      <c r="BK321" s="125"/>
      <c r="BL321" s="312"/>
      <c r="BM321" s="317"/>
      <c r="BN321" s="320"/>
    </row>
    <row r="322" s="124" customFormat="1" ht="33.95" customHeight="1" outlineLevel="4" spans="2:66">
      <c r="B322" s="125" t="s">
        <v>792</v>
      </c>
      <c r="C322" s="126" t="s">
        <v>1457</v>
      </c>
      <c r="D322" s="124" t="s">
        <v>1458</v>
      </c>
      <c r="E322" s="125" t="s">
        <v>1459</v>
      </c>
      <c r="F322" s="125"/>
      <c r="G322" s="125" t="s">
        <v>936</v>
      </c>
      <c r="H322" s="125">
        <f t="shared" si="661"/>
        <v>0</v>
      </c>
      <c r="I322" s="125" t="s">
        <v>1440</v>
      </c>
      <c r="J322" s="304"/>
      <c r="K322" s="125" t="s">
        <v>1389</v>
      </c>
      <c r="L322" s="304"/>
      <c r="M322" s="125" t="s">
        <v>1441</v>
      </c>
      <c r="N322" s="125">
        <f t="shared" si="662"/>
        <v>0</v>
      </c>
      <c r="O322" s="304"/>
      <c r="P322" s="304"/>
      <c r="Q322" s="304"/>
      <c r="R322" s="304"/>
      <c r="S322" s="304"/>
      <c r="T322" s="304"/>
      <c r="U322" s="304"/>
      <c r="V322" s="304"/>
      <c r="W322" s="304"/>
      <c r="X322" s="304"/>
      <c r="Y322" s="304"/>
      <c r="Z322" s="304"/>
      <c r="AA322" s="125"/>
      <c r="AB322" s="125">
        <f t="shared" si="663"/>
        <v>0</v>
      </c>
      <c r="AC322" s="125">
        <f t="shared" si="664"/>
        <v>0</v>
      </c>
      <c r="AD322" s="125"/>
      <c r="AE322" s="125"/>
      <c r="AF322" s="125">
        <f t="shared" si="665"/>
        <v>0</v>
      </c>
      <c r="AG322" s="125"/>
      <c r="AH322" s="125"/>
      <c r="AI322" s="125">
        <f t="shared" si="666"/>
        <v>0</v>
      </c>
      <c r="AJ322" s="125"/>
      <c r="AK322" s="125"/>
      <c r="AL322" s="125">
        <f t="shared" si="667"/>
        <v>0</v>
      </c>
      <c r="AM322" s="125"/>
      <c r="AN322" s="125"/>
      <c r="AO322" s="125">
        <f t="shared" si="668"/>
        <v>0</v>
      </c>
      <c r="AP322" s="125"/>
      <c r="AQ322" s="125"/>
      <c r="AR322" s="125">
        <f t="shared" si="669"/>
        <v>0</v>
      </c>
      <c r="AS322" s="125"/>
      <c r="AT322" s="125"/>
      <c r="AU322" s="125">
        <f t="shared" si="670"/>
        <v>0</v>
      </c>
      <c r="AV322" s="125"/>
      <c r="AW322" s="125"/>
      <c r="AX322" s="125">
        <f t="shared" si="671"/>
        <v>0</v>
      </c>
      <c r="AY322" s="125"/>
      <c r="AZ322" s="125"/>
      <c r="BA322" s="125">
        <f t="shared" si="672"/>
        <v>0</v>
      </c>
      <c r="BB322" s="125"/>
      <c r="BC322" s="125"/>
      <c r="BD322" s="125">
        <f t="shared" si="673"/>
        <v>0</v>
      </c>
      <c r="BE322" s="125"/>
      <c r="BF322" s="125"/>
      <c r="BG322" s="125">
        <f t="shared" si="674"/>
        <v>0</v>
      </c>
      <c r="BH322" s="125"/>
      <c r="BI322" s="125"/>
      <c r="BJ322" s="125">
        <f t="shared" si="675"/>
        <v>0</v>
      </c>
      <c r="BK322" s="125"/>
      <c r="BL322" s="312"/>
      <c r="BM322" s="317"/>
      <c r="BN322" s="320"/>
    </row>
    <row r="323" s="124" customFormat="1" ht="33.95" customHeight="1" outlineLevel="4" spans="2:66">
      <c r="B323" s="125" t="s">
        <v>792</v>
      </c>
      <c r="C323" s="126" t="s">
        <v>1460</v>
      </c>
      <c r="D323" s="124" t="s">
        <v>1461</v>
      </c>
      <c r="E323" s="125" t="s">
        <v>1462</v>
      </c>
      <c r="F323" s="125"/>
      <c r="G323" s="125" t="s">
        <v>936</v>
      </c>
      <c r="H323" s="125">
        <f t="shared" si="661"/>
        <v>0</v>
      </c>
      <c r="I323" s="125" t="s">
        <v>1440</v>
      </c>
      <c r="J323" s="304"/>
      <c r="K323" s="125" t="s">
        <v>1389</v>
      </c>
      <c r="L323" s="304"/>
      <c r="M323" s="125" t="s">
        <v>1441</v>
      </c>
      <c r="N323" s="125">
        <f t="shared" si="662"/>
        <v>0</v>
      </c>
      <c r="O323" s="304"/>
      <c r="P323" s="304"/>
      <c r="Q323" s="304"/>
      <c r="R323" s="304"/>
      <c r="S323" s="304"/>
      <c r="T323" s="304"/>
      <c r="U323" s="304"/>
      <c r="V323" s="304"/>
      <c r="W323" s="304"/>
      <c r="X323" s="304"/>
      <c r="Y323" s="304"/>
      <c r="Z323" s="304"/>
      <c r="AA323" s="125"/>
      <c r="AB323" s="125">
        <f t="shared" si="663"/>
        <v>0</v>
      </c>
      <c r="AC323" s="125">
        <f t="shared" si="664"/>
        <v>0</v>
      </c>
      <c r="AD323" s="125"/>
      <c r="AE323" s="125"/>
      <c r="AF323" s="125">
        <f t="shared" si="665"/>
        <v>0</v>
      </c>
      <c r="AG323" s="125"/>
      <c r="AH323" s="125"/>
      <c r="AI323" s="125">
        <f t="shared" si="666"/>
        <v>0</v>
      </c>
      <c r="AJ323" s="125"/>
      <c r="AK323" s="125"/>
      <c r="AL323" s="125">
        <f t="shared" si="667"/>
        <v>0</v>
      </c>
      <c r="AM323" s="125"/>
      <c r="AN323" s="125"/>
      <c r="AO323" s="125">
        <f t="shared" si="668"/>
        <v>0</v>
      </c>
      <c r="AP323" s="125"/>
      <c r="AQ323" s="125"/>
      <c r="AR323" s="125">
        <f t="shared" si="669"/>
        <v>0</v>
      </c>
      <c r="AS323" s="125"/>
      <c r="AT323" s="125"/>
      <c r="AU323" s="125">
        <f t="shared" si="670"/>
        <v>0</v>
      </c>
      <c r="AV323" s="125"/>
      <c r="AW323" s="125"/>
      <c r="AX323" s="125">
        <f t="shared" si="671"/>
        <v>0</v>
      </c>
      <c r="AY323" s="125"/>
      <c r="AZ323" s="125"/>
      <c r="BA323" s="125">
        <f t="shared" si="672"/>
        <v>0</v>
      </c>
      <c r="BB323" s="125"/>
      <c r="BC323" s="125"/>
      <c r="BD323" s="125">
        <f t="shared" si="673"/>
        <v>0</v>
      </c>
      <c r="BE323" s="125"/>
      <c r="BF323" s="125"/>
      <c r="BG323" s="125">
        <f t="shared" si="674"/>
        <v>0</v>
      </c>
      <c r="BH323" s="125"/>
      <c r="BI323" s="125"/>
      <c r="BJ323" s="125">
        <f t="shared" si="675"/>
        <v>0</v>
      </c>
      <c r="BK323" s="125"/>
      <c r="BL323" s="312"/>
      <c r="BM323" s="317"/>
      <c r="BN323" s="320"/>
    </row>
    <row r="324" s="124" customFormat="1" ht="33.95" customHeight="1" outlineLevel="4" spans="2:66">
      <c r="B324" s="125" t="s">
        <v>792</v>
      </c>
      <c r="C324" s="126" t="s">
        <v>1463</v>
      </c>
      <c r="D324" s="124" t="s">
        <v>1464</v>
      </c>
      <c r="E324" s="125" t="s">
        <v>1465</v>
      </c>
      <c r="F324" s="125"/>
      <c r="G324" s="125" t="s">
        <v>936</v>
      </c>
      <c r="H324" s="125">
        <f t="shared" si="661"/>
        <v>0</v>
      </c>
      <c r="I324" s="125" t="s">
        <v>1440</v>
      </c>
      <c r="J324" s="304"/>
      <c r="K324" s="125" t="s">
        <v>1389</v>
      </c>
      <c r="L324" s="304"/>
      <c r="M324" s="125" t="s">
        <v>1441</v>
      </c>
      <c r="N324" s="125">
        <f t="shared" si="662"/>
        <v>0</v>
      </c>
      <c r="O324" s="304"/>
      <c r="P324" s="304"/>
      <c r="Q324" s="304"/>
      <c r="R324" s="304"/>
      <c r="S324" s="304"/>
      <c r="T324" s="304"/>
      <c r="U324" s="304"/>
      <c r="V324" s="304"/>
      <c r="W324" s="304"/>
      <c r="X324" s="304"/>
      <c r="Y324" s="304"/>
      <c r="Z324" s="304"/>
      <c r="AA324" s="125"/>
      <c r="AB324" s="125">
        <f t="shared" si="663"/>
        <v>0</v>
      </c>
      <c r="AC324" s="125">
        <f t="shared" si="664"/>
        <v>0</v>
      </c>
      <c r="AD324" s="125"/>
      <c r="AE324" s="125"/>
      <c r="AF324" s="125">
        <f t="shared" si="665"/>
        <v>0</v>
      </c>
      <c r="AG324" s="125"/>
      <c r="AH324" s="125"/>
      <c r="AI324" s="125">
        <f t="shared" si="666"/>
        <v>0</v>
      </c>
      <c r="AJ324" s="125"/>
      <c r="AK324" s="125"/>
      <c r="AL324" s="125">
        <f t="shared" si="667"/>
        <v>0</v>
      </c>
      <c r="AM324" s="125"/>
      <c r="AN324" s="125"/>
      <c r="AO324" s="125">
        <f t="shared" si="668"/>
        <v>0</v>
      </c>
      <c r="AP324" s="125"/>
      <c r="AQ324" s="125"/>
      <c r="AR324" s="125">
        <f t="shared" si="669"/>
        <v>0</v>
      </c>
      <c r="AS324" s="125"/>
      <c r="AT324" s="125"/>
      <c r="AU324" s="125">
        <f t="shared" si="670"/>
        <v>0</v>
      </c>
      <c r="AV324" s="125"/>
      <c r="AW324" s="125"/>
      <c r="AX324" s="125">
        <f t="shared" si="671"/>
        <v>0</v>
      </c>
      <c r="AY324" s="125"/>
      <c r="AZ324" s="125"/>
      <c r="BA324" s="125">
        <f t="shared" si="672"/>
        <v>0</v>
      </c>
      <c r="BB324" s="125"/>
      <c r="BC324" s="125"/>
      <c r="BD324" s="125">
        <f t="shared" si="673"/>
        <v>0</v>
      </c>
      <c r="BE324" s="125"/>
      <c r="BF324" s="125"/>
      <c r="BG324" s="125">
        <f t="shared" si="674"/>
        <v>0</v>
      </c>
      <c r="BH324" s="125"/>
      <c r="BI324" s="125"/>
      <c r="BJ324" s="125">
        <f t="shared" si="675"/>
        <v>0</v>
      </c>
      <c r="BK324" s="125"/>
      <c r="BL324" s="312"/>
      <c r="BM324" s="317"/>
      <c r="BN324" s="320"/>
    </row>
    <row r="325" s="124" customFormat="1" ht="33.95" customHeight="1" outlineLevel="4" spans="2:66">
      <c r="B325" s="125" t="s">
        <v>792</v>
      </c>
      <c r="C325" s="126" t="s">
        <v>1466</v>
      </c>
      <c r="D325" s="124" t="s">
        <v>1467</v>
      </c>
      <c r="E325" s="125" t="s">
        <v>1468</v>
      </c>
      <c r="F325" s="125"/>
      <c r="G325" s="125" t="s">
        <v>936</v>
      </c>
      <c r="H325" s="125">
        <f t="shared" si="661"/>
        <v>0</v>
      </c>
      <c r="I325" s="125" t="s">
        <v>1440</v>
      </c>
      <c r="J325" s="304"/>
      <c r="K325" s="125" t="s">
        <v>1389</v>
      </c>
      <c r="L325" s="304"/>
      <c r="M325" s="125" t="s">
        <v>1441</v>
      </c>
      <c r="N325" s="125">
        <f t="shared" si="662"/>
        <v>0</v>
      </c>
      <c r="O325" s="304"/>
      <c r="P325" s="304"/>
      <c r="Q325" s="304"/>
      <c r="R325" s="304"/>
      <c r="S325" s="304"/>
      <c r="T325" s="304"/>
      <c r="U325" s="304"/>
      <c r="V325" s="304"/>
      <c r="W325" s="304"/>
      <c r="X325" s="304"/>
      <c r="Y325" s="304"/>
      <c r="Z325" s="304"/>
      <c r="AA325" s="125"/>
      <c r="AB325" s="125">
        <f t="shared" si="663"/>
        <v>0</v>
      </c>
      <c r="AC325" s="125">
        <f t="shared" si="664"/>
        <v>0</v>
      </c>
      <c r="AD325" s="125"/>
      <c r="AE325" s="125"/>
      <c r="AF325" s="125">
        <f t="shared" si="665"/>
        <v>0</v>
      </c>
      <c r="AG325" s="125"/>
      <c r="AH325" s="125"/>
      <c r="AI325" s="125">
        <f t="shared" si="666"/>
        <v>0</v>
      </c>
      <c r="AJ325" s="125"/>
      <c r="AK325" s="125"/>
      <c r="AL325" s="125">
        <f t="shared" si="667"/>
        <v>0</v>
      </c>
      <c r="AM325" s="125"/>
      <c r="AN325" s="125"/>
      <c r="AO325" s="125">
        <f t="shared" si="668"/>
        <v>0</v>
      </c>
      <c r="AP325" s="125"/>
      <c r="AQ325" s="125"/>
      <c r="AR325" s="125">
        <f t="shared" si="669"/>
        <v>0</v>
      </c>
      <c r="AS325" s="125"/>
      <c r="AT325" s="125"/>
      <c r="AU325" s="125">
        <f t="shared" si="670"/>
        <v>0</v>
      </c>
      <c r="AV325" s="125"/>
      <c r="AW325" s="125"/>
      <c r="AX325" s="125">
        <f t="shared" si="671"/>
        <v>0</v>
      </c>
      <c r="AY325" s="125"/>
      <c r="AZ325" s="125"/>
      <c r="BA325" s="125">
        <f t="shared" si="672"/>
        <v>0</v>
      </c>
      <c r="BB325" s="125"/>
      <c r="BC325" s="125"/>
      <c r="BD325" s="125">
        <f t="shared" si="673"/>
        <v>0</v>
      </c>
      <c r="BE325" s="125"/>
      <c r="BF325" s="125"/>
      <c r="BG325" s="125">
        <f t="shared" si="674"/>
        <v>0</v>
      </c>
      <c r="BH325" s="125"/>
      <c r="BI325" s="125"/>
      <c r="BJ325" s="125">
        <f t="shared" si="675"/>
        <v>0</v>
      </c>
      <c r="BK325" s="125"/>
      <c r="BL325" s="312"/>
      <c r="BM325" s="317"/>
      <c r="BN325" s="320"/>
    </row>
    <row r="326" s="124" customFormat="1" ht="33.95" customHeight="1" outlineLevel="4" spans="2:66">
      <c r="B326" s="125" t="s">
        <v>792</v>
      </c>
      <c r="C326" s="126" t="s">
        <v>1469</v>
      </c>
      <c r="D326" s="124" t="s">
        <v>1470</v>
      </c>
      <c r="E326" s="125" t="s">
        <v>1471</v>
      </c>
      <c r="F326" s="125"/>
      <c r="G326" s="125" t="s">
        <v>936</v>
      </c>
      <c r="H326" s="125">
        <f t="shared" si="661"/>
        <v>0</v>
      </c>
      <c r="I326" s="125" t="s">
        <v>1440</v>
      </c>
      <c r="J326" s="304"/>
      <c r="K326" s="125" t="s">
        <v>1389</v>
      </c>
      <c r="L326" s="304"/>
      <c r="M326" s="125" t="s">
        <v>1441</v>
      </c>
      <c r="N326" s="125">
        <f t="shared" si="662"/>
        <v>0</v>
      </c>
      <c r="O326" s="304"/>
      <c r="P326" s="304"/>
      <c r="Q326" s="304"/>
      <c r="R326" s="304"/>
      <c r="S326" s="304"/>
      <c r="T326" s="304"/>
      <c r="U326" s="304"/>
      <c r="V326" s="304"/>
      <c r="W326" s="304"/>
      <c r="X326" s="304"/>
      <c r="Y326" s="304"/>
      <c r="Z326" s="304"/>
      <c r="AA326" s="125"/>
      <c r="AB326" s="125">
        <f t="shared" si="663"/>
        <v>0</v>
      </c>
      <c r="AC326" s="125">
        <f t="shared" si="664"/>
        <v>0</v>
      </c>
      <c r="AD326" s="125"/>
      <c r="AE326" s="125"/>
      <c r="AF326" s="125">
        <f t="shared" si="665"/>
        <v>0</v>
      </c>
      <c r="AG326" s="125"/>
      <c r="AH326" s="125"/>
      <c r="AI326" s="125">
        <f t="shared" si="666"/>
        <v>0</v>
      </c>
      <c r="AJ326" s="125"/>
      <c r="AK326" s="125"/>
      <c r="AL326" s="125">
        <f t="shared" si="667"/>
        <v>0</v>
      </c>
      <c r="AM326" s="125"/>
      <c r="AN326" s="125"/>
      <c r="AO326" s="125">
        <f t="shared" si="668"/>
        <v>0</v>
      </c>
      <c r="AP326" s="125"/>
      <c r="AQ326" s="125"/>
      <c r="AR326" s="125">
        <f t="shared" si="669"/>
        <v>0</v>
      </c>
      <c r="AS326" s="125"/>
      <c r="AT326" s="125"/>
      <c r="AU326" s="125">
        <f t="shared" si="670"/>
        <v>0</v>
      </c>
      <c r="AV326" s="125"/>
      <c r="AW326" s="125"/>
      <c r="AX326" s="125">
        <f t="shared" si="671"/>
        <v>0</v>
      </c>
      <c r="AY326" s="125"/>
      <c r="AZ326" s="125"/>
      <c r="BA326" s="125">
        <f t="shared" si="672"/>
        <v>0</v>
      </c>
      <c r="BB326" s="125"/>
      <c r="BC326" s="125"/>
      <c r="BD326" s="125">
        <f t="shared" si="673"/>
        <v>0</v>
      </c>
      <c r="BE326" s="125"/>
      <c r="BF326" s="125"/>
      <c r="BG326" s="125">
        <f t="shared" si="674"/>
        <v>0</v>
      </c>
      <c r="BH326" s="125"/>
      <c r="BI326" s="125"/>
      <c r="BJ326" s="125">
        <f t="shared" si="675"/>
        <v>0</v>
      </c>
      <c r="BK326" s="125"/>
      <c r="BL326" s="312"/>
      <c r="BM326" s="317"/>
      <c r="BN326" s="320"/>
    </row>
    <row r="327" s="124" customFormat="1" ht="33.95" customHeight="1" outlineLevel="4" spans="2:66">
      <c r="B327" s="125" t="s">
        <v>792</v>
      </c>
      <c r="C327" s="126" t="s">
        <v>1472</v>
      </c>
      <c r="D327" s="124" t="s">
        <v>1473</v>
      </c>
      <c r="E327" s="125" t="s">
        <v>1474</v>
      </c>
      <c r="F327" s="125"/>
      <c r="G327" s="125" t="s">
        <v>936</v>
      </c>
      <c r="H327" s="125">
        <f t="shared" si="661"/>
        <v>0</v>
      </c>
      <c r="I327" s="125" t="s">
        <v>1440</v>
      </c>
      <c r="J327" s="304"/>
      <c r="K327" s="125" t="s">
        <v>1389</v>
      </c>
      <c r="L327" s="304"/>
      <c r="M327" s="125" t="s">
        <v>1441</v>
      </c>
      <c r="N327" s="125">
        <f t="shared" si="662"/>
        <v>0</v>
      </c>
      <c r="O327" s="304"/>
      <c r="P327" s="304"/>
      <c r="Q327" s="304"/>
      <c r="R327" s="304"/>
      <c r="S327" s="304"/>
      <c r="T327" s="304"/>
      <c r="U327" s="304"/>
      <c r="V327" s="304"/>
      <c r="W327" s="304"/>
      <c r="X327" s="304"/>
      <c r="Y327" s="304"/>
      <c r="Z327" s="304"/>
      <c r="AA327" s="125"/>
      <c r="AB327" s="125">
        <f t="shared" si="663"/>
        <v>0</v>
      </c>
      <c r="AC327" s="125">
        <f t="shared" si="664"/>
        <v>0</v>
      </c>
      <c r="AD327" s="125"/>
      <c r="AE327" s="125"/>
      <c r="AF327" s="125">
        <f t="shared" si="665"/>
        <v>0</v>
      </c>
      <c r="AG327" s="125"/>
      <c r="AH327" s="125"/>
      <c r="AI327" s="125">
        <f t="shared" si="666"/>
        <v>0</v>
      </c>
      <c r="AJ327" s="125"/>
      <c r="AK327" s="125"/>
      <c r="AL327" s="125">
        <f t="shared" si="667"/>
        <v>0</v>
      </c>
      <c r="AM327" s="125"/>
      <c r="AN327" s="125"/>
      <c r="AO327" s="125">
        <f t="shared" si="668"/>
        <v>0</v>
      </c>
      <c r="AP327" s="125"/>
      <c r="AQ327" s="125"/>
      <c r="AR327" s="125">
        <f t="shared" si="669"/>
        <v>0</v>
      </c>
      <c r="AS327" s="125"/>
      <c r="AT327" s="125"/>
      <c r="AU327" s="125">
        <f t="shared" si="670"/>
        <v>0</v>
      </c>
      <c r="AV327" s="125"/>
      <c r="AW327" s="125"/>
      <c r="AX327" s="125">
        <f t="shared" si="671"/>
        <v>0</v>
      </c>
      <c r="AY327" s="125"/>
      <c r="AZ327" s="125"/>
      <c r="BA327" s="125">
        <f t="shared" si="672"/>
        <v>0</v>
      </c>
      <c r="BB327" s="125"/>
      <c r="BC327" s="125"/>
      <c r="BD327" s="125">
        <f t="shared" si="673"/>
        <v>0</v>
      </c>
      <c r="BE327" s="125"/>
      <c r="BF327" s="125"/>
      <c r="BG327" s="125">
        <f t="shared" si="674"/>
        <v>0</v>
      </c>
      <c r="BH327" s="125"/>
      <c r="BI327" s="125"/>
      <c r="BJ327" s="125">
        <f t="shared" si="675"/>
        <v>0</v>
      </c>
      <c r="BK327" s="125"/>
      <c r="BL327" s="312"/>
      <c r="BM327" s="317"/>
      <c r="BN327" s="320"/>
    </row>
    <row r="328" s="124" customFormat="1" ht="33.95" customHeight="1" outlineLevel="4" spans="2:66">
      <c r="B328" s="125" t="s">
        <v>792</v>
      </c>
      <c r="C328" s="126" t="s">
        <v>1475</v>
      </c>
      <c r="D328" s="124" t="s">
        <v>1476</v>
      </c>
      <c r="E328" s="125" t="s">
        <v>1444</v>
      </c>
      <c r="F328" s="125"/>
      <c r="G328" s="125" t="s">
        <v>936</v>
      </c>
      <c r="H328" s="125">
        <f t="shared" si="661"/>
        <v>0</v>
      </c>
      <c r="I328" s="125" t="s">
        <v>1440</v>
      </c>
      <c r="J328" s="304"/>
      <c r="K328" s="125" t="s">
        <v>1389</v>
      </c>
      <c r="L328" s="304"/>
      <c r="M328" s="125" t="s">
        <v>1441</v>
      </c>
      <c r="N328" s="125">
        <f t="shared" si="662"/>
        <v>0</v>
      </c>
      <c r="O328" s="304"/>
      <c r="P328" s="304"/>
      <c r="Q328" s="304"/>
      <c r="R328" s="304"/>
      <c r="S328" s="304"/>
      <c r="T328" s="304"/>
      <c r="U328" s="304"/>
      <c r="V328" s="304"/>
      <c r="W328" s="304"/>
      <c r="X328" s="304"/>
      <c r="Y328" s="304"/>
      <c r="Z328" s="304"/>
      <c r="AA328" s="125"/>
      <c r="AB328" s="125">
        <f t="shared" si="663"/>
        <v>0</v>
      </c>
      <c r="AC328" s="125">
        <f t="shared" si="664"/>
        <v>0</v>
      </c>
      <c r="AD328" s="125"/>
      <c r="AE328" s="125"/>
      <c r="AF328" s="125">
        <f t="shared" si="665"/>
        <v>0</v>
      </c>
      <c r="AG328" s="125"/>
      <c r="AH328" s="125"/>
      <c r="AI328" s="125">
        <f t="shared" si="666"/>
        <v>0</v>
      </c>
      <c r="AJ328" s="125"/>
      <c r="AK328" s="125"/>
      <c r="AL328" s="125">
        <f t="shared" si="667"/>
        <v>0</v>
      </c>
      <c r="AM328" s="125"/>
      <c r="AN328" s="125"/>
      <c r="AO328" s="125">
        <f t="shared" si="668"/>
        <v>0</v>
      </c>
      <c r="AP328" s="125"/>
      <c r="AQ328" s="125"/>
      <c r="AR328" s="125">
        <f t="shared" si="669"/>
        <v>0</v>
      </c>
      <c r="AS328" s="125"/>
      <c r="AT328" s="125"/>
      <c r="AU328" s="125">
        <f t="shared" si="670"/>
        <v>0</v>
      </c>
      <c r="AV328" s="125"/>
      <c r="AW328" s="125"/>
      <c r="AX328" s="125">
        <f t="shared" si="671"/>
        <v>0</v>
      </c>
      <c r="AY328" s="125"/>
      <c r="AZ328" s="125"/>
      <c r="BA328" s="125">
        <f t="shared" si="672"/>
        <v>0</v>
      </c>
      <c r="BB328" s="125"/>
      <c r="BC328" s="125"/>
      <c r="BD328" s="125">
        <f t="shared" si="673"/>
        <v>0</v>
      </c>
      <c r="BE328" s="125"/>
      <c r="BF328" s="125"/>
      <c r="BG328" s="125">
        <f t="shared" si="674"/>
        <v>0</v>
      </c>
      <c r="BH328" s="125"/>
      <c r="BI328" s="125"/>
      <c r="BJ328" s="125">
        <f t="shared" si="675"/>
        <v>0</v>
      </c>
      <c r="BK328" s="125"/>
      <c r="BL328" s="312"/>
      <c r="BM328" s="317"/>
      <c r="BN328" s="320"/>
    </row>
    <row r="329" s="124" customFormat="1" ht="33.95" customHeight="1" outlineLevel="4" spans="2:66">
      <c r="B329" s="125" t="s">
        <v>792</v>
      </c>
      <c r="C329" s="126" t="s">
        <v>1477</v>
      </c>
      <c r="D329" s="124" t="s">
        <v>1478</v>
      </c>
      <c r="E329" s="125" t="s">
        <v>1447</v>
      </c>
      <c r="F329" s="125"/>
      <c r="G329" s="125" t="s">
        <v>936</v>
      </c>
      <c r="H329" s="125">
        <f t="shared" si="661"/>
        <v>0</v>
      </c>
      <c r="I329" s="125" t="s">
        <v>1440</v>
      </c>
      <c r="J329" s="304"/>
      <c r="K329" s="125" t="s">
        <v>1389</v>
      </c>
      <c r="L329" s="304"/>
      <c r="M329" s="125" t="s">
        <v>1441</v>
      </c>
      <c r="N329" s="125">
        <f t="shared" si="662"/>
        <v>0</v>
      </c>
      <c r="O329" s="304"/>
      <c r="P329" s="304"/>
      <c r="Q329" s="304"/>
      <c r="R329" s="304"/>
      <c r="S329" s="304"/>
      <c r="T329" s="304"/>
      <c r="U329" s="304"/>
      <c r="V329" s="304"/>
      <c r="W329" s="304"/>
      <c r="X329" s="304"/>
      <c r="Y329" s="304"/>
      <c r="Z329" s="304"/>
      <c r="AA329" s="125"/>
      <c r="AB329" s="125">
        <f t="shared" si="663"/>
        <v>0</v>
      </c>
      <c r="AC329" s="125">
        <f t="shared" si="664"/>
        <v>0</v>
      </c>
      <c r="AD329" s="125"/>
      <c r="AE329" s="125"/>
      <c r="AF329" s="125">
        <f t="shared" si="665"/>
        <v>0</v>
      </c>
      <c r="AG329" s="125"/>
      <c r="AH329" s="125"/>
      <c r="AI329" s="125">
        <f t="shared" si="666"/>
        <v>0</v>
      </c>
      <c r="AJ329" s="125"/>
      <c r="AK329" s="125"/>
      <c r="AL329" s="125">
        <f t="shared" si="667"/>
        <v>0</v>
      </c>
      <c r="AM329" s="125"/>
      <c r="AN329" s="125"/>
      <c r="AO329" s="125">
        <f t="shared" si="668"/>
        <v>0</v>
      </c>
      <c r="AP329" s="125"/>
      <c r="AQ329" s="125"/>
      <c r="AR329" s="125">
        <f t="shared" si="669"/>
        <v>0</v>
      </c>
      <c r="AS329" s="125"/>
      <c r="AT329" s="125"/>
      <c r="AU329" s="125">
        <f t="shared" si="670"/>
        <v>0</v>
      </c>
      <c r="AV329" s="125"/>
      <c r="AW329" s="125"/>
      <c r="AX329" s="125">
        <f t="shared" si="671"/>
        <v>0</v>
      </c>
      <c r="AY329" s="125"/>
      <c r="AZ329" s="125"/>
      <c r="BA329" s="125">
        <f t="shared" si="672"/>
        <v>0</v>
      </c>
      <c r="BB329" s="125"/>
      <c r="BC329" s="125"/>
      <c r="BD329" s="125">
        <f t="shared" si="673"/>
        <v>0</v>
      </c>
      <c r="BE329" s="125"/>
      <c r="BF329" s="125"/>
      <c r="BG329" s="125">
        <f t="shared" si="674"/>
        <v>0</v>
      </c>
      <c r="BH329" s="125"/>
      <c r="BI329" s="125"/>
      <c r="BJ329" s="125">
        <f t="shared" si="675"/>
        <v>0</v>
      </c>
      <c r="BK329" s="125"/>
      <c r="BL329" s="312"/>
      <c r="BM329" s="317"/>
      <c r="BN329" s="320"/>
    </row>
    <row r="330" s="124" customFormat="1" ht="33.95" customHeight="1" outlineLevel="4" spans="2:66">
      <c r="B330" s="125" t="s">
        <v>792</v>
      </c>
      <c r="C330" s="126" t="s">
        <v>1479</v>
      </c>
      <c r="D330" s="124" t="s">
        <v>1480</v>
      </c>
      <c r="E330" s="125" t="s">
        <v>1450</v>
      </c>
      <c r="F330" s="125"/>
      <c r="G330" s="125" t="s">
        <v>936</v>
      </c>
      <c r="H330" s="125">
        <f t="shared" si="661"/>
        <v>0</v>
      </c>
      <c r="I330" s="125" t="s">
        <v>1440</v>
      </c>
      <c r="J330" s="304"/>
      <c r="K330" s="125" t="s">
        <v>1389</v>
      </c>
      <c r="L330" s="304"/>
      <c r="M330" s="125" t="s">
        <v>1441</v>
      </c>
      <c r="N330" s="125">
        <f t="shared" si="662"/>
        <v>0</v>
      </c>
      <c r="O330" s="304"/>
      <c r="P330" s="304"/>
      <c r="Q330" s="304"/>
      <c r="R330" s="304"/>
      <c r="S330" s="304"/>
      <c r="T330" s="304"/>
      <c r="U330" s="304"/>
      <c r="V330" s="304"/>
      <c r="W330" s="304"/>
      <c r="X330" s="304"/>
      <c r="Y330" s="304"/>
      <c r="Z330" s="304"/>
      <c r="AA330" s="125"/>
      <c r="AB330" s="125">
        <f t="shared" si="663"/>
        <v>0</v>
      </c>
      <c r="AC330" s="125">
        <f t="shared" si="664"/>
        <v>0</v>
      </c>
      <c r="AD330" s="125"/>
      <c r="AE330" s="125"/>
      <c r="AF330" s="125">
        <f t="shared" si="665"/>
        <v>0</v>
      </c>
      <c r="AG330" s="125"/>
      <c r="AH330" s="125"/>
      <c r="AI330" s="125">
        <f t="shared" si="666"/>
        <v>0</v>
      </c>
      <c r="AJ330" s="125"/>
      <c r="AK330" s="125"/>
      <c r="AL330" s="125">
        <f t="shared" si="667"/>
        <v>0</v>
      </c>
      <c r="AM330" s="125"/>
      <c r="AN330" s="125"/>
      <c r="AO330" s="125">
        <f t="shared" si="668"/>
        <v>0</v>
      </c>
      <c r="AP330" s="125"/>
      <c r="AQ330" s="125"/>
      <c r="AR330" s="125">
        <f t="shared" si="669"/>
        <v>0</v>
      </c>
      <c r="AS330" s="125"/>
      <c r="AT330" s="125"/>
      <c r="AU330" s="125">
        <f t="shared" si="670"/>
        <v>0</v>
      </c>
      <c r="AV330" s="125"/>
      <c r="AW330" s="125"/>
      <c r="AX330" s="125">
        <f t="shared" si="671"/>
        <v>0</v>
      </c>
      <c r="AY330" s="125"/>
      <c r="AZ330" s="125"/>
      <c r="BA330" s="125">
        <f t="shared" si="672"/>
        <v>0</v>
      </c>
      <c r="BB330" s="125"/>
      <c r="BC330" s="125"/>
      <c r="BD330" s="125">
        <f t="shared" si="673"/>
        <v>0</v>
      </c>
      <c r="BE330" s="125"/>
      <c r="BF330" s="125"/>
      <c r="BG330" s="125">
        <f t="shared" si="674"/>
        <v>0</v>
      </c>
      <c r="BH330" s="125"/>
      <c r="BI330" s="125"/>
      <c r="BJ330" s="125">
        <f t="shared" si="675"/>
        <v>0</v>
      </c>
      <c r="BK330" s="125"/>
      <c r="BL330" s="312"/>
      <c r="BM330" s="317"/>
      <c r="BN330" s="320"/>
    </row>
    <row r="331" s="124" customFormat="1" ht="33.95" customHeight="1" outlineLevel="4" spans="2:66">
      <c r="B331" s="125" t="s">
        <v>792</v>
      </c>
      <c r="C331" s="126" t="s">
        <v>1481</v>
      </c>
      <c r="D331" s="124" t="s">
        <v>1482</v>
      </c>
      <c r="E331" s="125" t="s">
        <v>1453</v>
      </c>
      <c r="F331" s="125"/>
      <c r="G331" s="125" t="s">
        <v>936</v>
      </c>
      <c r="H331" s="125">
        <f t="shared" si="661"/>
        <v>0</v>
      </c>
      <c r="I331" s="125" t="s">
        <v>1440</v>
      </c>
      <c r="J331" s="304"/>
      <c r="K331" s="125" t="s">
        <v>1389</v>
      </c>
      <c r="L331" s="304"/>
      <c r="M331" s="125" t="s">
        <v>1441</v>
      </c>
      <c r="N331" s="125">
        <f t="shared" si="662"/>
        <v>0</v>
      </c>
      <c r="O331" s="304"/>
      <c r="P331" s="304"/>
      <c r="Q331" s="304"/>
      <c r="R331" s="304"/>
      <c r="S331" s="304"/>
      <c r="T331" s="304"/>
      <c r="U331" s="304"/>
      <c r="V331" s="304"/>
      <c r="W331" s="304"/>
      <c r="X331" s="304"/>
      <c r="Y331" s="304"/>
      <c r="Z331" s="304"/>
      <c r="AA331" s="125"/>
      <c r="AB331" s="125">
        <f t="shared" si="663"/>
        <v>0</v>
      </c>
      <c r="AC331" s="125">
        <f t="shared" si="664"/>
        <v>0</v>
      </c>
      <c r="AD331" s="125"/>
      <c r="AE331" s="125"/>
      <c r="AF331" s="125">
        <f t="shared" si="665"/>
        <v>0</v>
      </c>
      <c r="AG331" s="125"/>
      <c r="AH331" s="125"/>
      <c r="AI331" s="125">
        <f t="shared" si="666"/>
        <v>0</v>
      </c>
      <c r="AJ331" s="125"/>
      <c r="AK331" s="125"/>
      <c r="AL331" s="125">
        <f t="shared" si="667"/>
        <v>0</v>
      </c>
      <c r="AM331" s="125"/>
      <c r="AN331" s="125"/>
      <c r="AO331" s="125">
        <f t="shared" si="668"/>
        <v>0</v>
      </c>
      <c r="AP331" s="125"/>
      <c r="AQ331" s="125"/>
      <c r="AR331" s="125">
        <f t="shared" si="669"/>
        <v>0</v>
      </c>
      <c r="AS331" s="125"/>
      <c r="AT331" s="125"/>
      <c r="AU331" s="125">
        <f t="shared" si="670"/>
        <v>0</v>
      </c>
      <c r="AV331" s="125"/>
      <c r="AW331" s="125"/>
      <c r="AX331" s="125">
        <f t="shared" si="671"/>
        <v>0</v>
      </c>
      <c r="AY331" s="125"/>
      <c r="AZ331" s="125"/>
      <c r="BA331" s="125">
        <f t="shared" si="672"/>
        <v>0</v>
      </c>
      <c r="BB331" s="125"/>
      <c r="BC331" s="125"/>
      <c r="BD331" s="125">
        <f t="shared" si="673"/>
        <v>0</v>
      </c>
      <c r="BE331" s="125"/>
      <c r="BF331" s="125"/>
      <c r="BG331" s="125">
        <f t="shared" si="674"/>
        <v>0</v>
      </c>
      <c r="BH331" s="125"/>
      <c r="BI331" s="125"/>
      <c r="BJ331" s="125">
        <f t="shared" si="675"/>
        <v>0</v>
      </c>
      <c r="BK331" s="125"/>
      <c r="BL331" s="312"/>
      <c r="BM331" s="317"/>
      <c r="BN331" s="320"/>
    </row>
    <row r="332" s="124" customFormat="1" ht="33.95" customHeight="1" outlineLevel="4" spans="2:66">
      <c r="B332" s="125" t="s">
        <v>792</v>
      </c>
      <c r="C332" s="126" t="s">
        <v>1483</v>
      </c>
      <c r="D332" s="124" t="s">
        <v>1484</v>
      </c>
      <c r="E332" s="125" t="s">
        <v>1456</v>
      </c>
      <c r="F332" s="125"/>
      <c r="G332" s="125" t="s">
        <v>936</v>
      </c>
      <c r="H332" s="125">
        <f t="shared" si="661"/>
        <v>0</v>
      </c>
      <c r="I332" s="125" t="s">
        <v>1440</v>
      </c>
      <c r="J332" s="304"/>
      <c r="K332" s="125" t="s">
        <v>1389</v>
      </c>
      <c r="L332" s="304"/>
      <c r="M332" s="125" t="s">
        <v>1441</v>
      </c>
      <c r="N332" s="125">
        <f t="shared" si="662"/>
        <v>0</v>
      </c>
      <c r="O332" s="304"/>
      <c r="P332" s="304"/>
      <c r="Q332" s="304"/>
      <c r="R332" s="304"/>
      <c r="S332" s="304"/>
      <c r="T332" s="304"/>
      <c r="U332" s="304"/>
      <c r="V332" s="304"/>
      <c r="W332" s="304"/>
      <c r="X332" s="304"/>
      <c r="Y332" s="304"/>
      <c r="Z332" s="304"/>
      <c r="AA332" s="125"/>
      <c r="AB332" s="125">
        <f t="shared" si="663"/>
        <v>0</v>
      </c>
      <c r="AC332" s="125">
        <f t="shared" si="664"/>
        <v>0</v>
      </c>
      <c r="AD332" s="125"/>
      <c r="AE332" s="125"/>
      <c r="AF332" s="125">
        <f t="shared" si="665"/>
        <v>0</v>
      </c>
      <c r="AG332" s="125"/>
      <c r="AH332" s="125"/>
      <c r="AI332" s="125">
        <f t="shared" si="666"/>
        <v>0</v>
      </c>
      <c r="AJ332" s="125"/>
      <c r="AK332" s="125"/>
      <c r="AL332" s="125">
        <f t="shared" si="667"/>
        <v>0</v>
      </c>
      <c r="AM332" s="125"/>
      <c r="AN332" s="125"/>
      <c r="AO332" s="125">
        <f t="shared" si="668"/>
        <v>0</v>
      </c>
      <c r="AP332" s="125"/>
      <c r="AQ332" s="125"/>
      <c r="AR332" s="125">
        <f t="shared" si="669"/>
        <v>0</v>
      </c>
      <c r="AS332" s="125"/>
      <c r="AT332" s="125"/>
      <c r="AU332" s="125">
        <f t="shared" si="670"/>
        <v>0</v>
      </c>
      <c r="AV332" s="125"/>
      <c r="AW332" s="125"/>
      <c r="AX332" s="125">
        <f t="shared" si="671"/>
        <v>0</v>
      </c>
      <c r="AY332" s="125"/>
      <c r="AZ332" s="125"/>
      <c r="BA332" s="125">
        <f t="shared" si="672"/>
        <v>0</v>
      </c>
      <c r="BB332" s="125"/>
      <c r="BC332" s="125"/>
      <c r="BD332" s="125">
        <f t="shared" si="673"/>
        <v>0</v>
      </c>
      <c r="BE332" s="125"/>
      <c r="BF332" s="125"/>
      <c r="BG332" s="125">
        <f t="shared" si="674"/>
        <v>0</v>
      </c>
      <c r="BH332" s="125"/>
      <c r="BI332" s="125"/>
      <c r="BJ332" s="125">
        <f t="shared" si="675"/>
        <v>0</v>
      </c>
      <c r="BK332" s="125"/>
      <c r="BL332" s="312"/>
      <c r="BM332" s="317"/>
      <c r="BN332" s="320"/>
    </row>
    <row r="333" s="124" customFormat="1" ht="33.95" customHeight="1" outlineLevel="4" spans="2:66">
      <c r="B333" s="125" t="s">
        <v>792</v>
      </c>
      <c r="C333" s="126" t="s">
        <v>1485</v>
      </c>
      <c r="D333" s="124" t="s">
        <v>1486</v>
      </c>
      <c r="E333" s="125" t="s">
        <v>1487</v>
      </c>
      <c r="F333" s="125"/>
      <c r="G333" s="125" t="s">
        <v>936</v>
      </c>
      <c r="H333" s="125">
        <f t="shared" si="661"/>
        <v>0</v>
      </c>
      <c r="I333" s="125" t="s">
        <v>1440</v>
      </c>
      <c r="J333" s="304"/>
      <c r="K333" s="125" t="s">
        <v>1389</v>
      </c>
      <c r="L333" s="304"/>
      <c r="M333" s="125" t="s">
        <v>1441</v>
      </c>
      <c r="N333" s="125">
        <f t="shared" si="662"/>
        <v>0</v>
      </c>
      <c r="O333" s="304"/>
      <c r="P333" s="304"/>
      <c r="Q333" s="304"/>
      <c r="R333" s="304"/>
      <c r="S333" s="304"/>
      <c r="T333" s="304"/>
      <c r="U333" s="304"/>
      <c r="V333" s="304"/>
      <c r="W333" s="304"/>
      <c r="X333" s="304"/>
      <c r="Y333" s="304"/>
      <c r="Z333" s="304"/>
      <c r="AA333" s="125"/>
      <c r="AB333" s="125">
        <f t="shared" si="663"/>
        <v>0</v>
      </c>
      <c r="AC333" s="125">
        <f t="shared" si="664"/>
        <v>0</v>
      </c>
      <c r="AD333" s="125"/>
      <c r="AE333" s="125"/>
      <c r="AF333" s="125">
        <f t="shared" si="665"/>
        <v>0</v>
      </c>
      <c r="AG333" s="125"/>
      <c r="AH333" s="125"/>
      <c r="AI333" s="125">
        <f t="shared" si="666"/>
        <v>0</v>
      </c>
      <c r="AJ333" s="125"/>
      <c r="AK333" s="125"/>
      <c r="AL333" s="125">
        <f t="shared" si="667"/>
        <v>0</v>
      </c>
      <c r="AM333" s="125"/>
      <c r="AN333" s="125"/>
      <c r="AO333" s="125">
        <f t="shared" si="668"/>
        <v>0</v>
      </c>
      <c r="AP333" s="125"/>
      <c r="AQ333" s="125"/>
      <c r="AR333" s="125">
        <f t="shared" si="669"/>
        <v>0</v>
      </c>
      <c r="AS333" s="125"/>
      <c r="AT333" s="125"/>
      <c r="AU333" s="125">
        <f t="shared" si="670"/>
        <v>0</v>
      </c>
      <c r="AV333" s="125"/>
      <c r="AW333" s="125"/>
      <c r="AX333" s="125">
        <f t="shared" si="671"/>
        <v>0</v>
      </c>
      <c r="AY333" s="125"/>
      <c r="AZ333" s="125"/>
      <c r="BA333" s="125">
        <f t="shared" si="672"/>
        <v>0</v>
      </c>
      <c r="BB333" s="125"/>
      <c r="BC333" s="125"/>
      <c r="BD333" s="125">
        <f t="shared" si="673"/>
        <v>0</v>
      </c>
      <c r="BE333" s="125"/>
      <c r="BF333" s="125"/>
      <c r="BG333" s="125">
        <f t="shared" si="674"/>
        <v>0</v>
      </c>
      <c r="BH333" s="125"/>
      <c r="BI333" s="125"/>
      <c r="BJ333" s="125">
        <f t="shared" si="675"/>
        <v>0</v>
      </c>
      <c r="BK333" s="125"/>
      <c r="BL333" s="312"/>
      <c r="BM333" s="317"/>
      <c r="BN333" s="320"/>
    </row>
    <row r="334" s="124" customFormat="1" ht="33.95" customHeight="1" outlineLevel="4" spans="2:66">
      <c r="B334" s="125" t="s">
        <v>792</v>
      </c>
      <c r="C334" s="126" t="s">
        <v>1488</v>
      </c>
      <c r="D334" s="124" t="s">
        <v>1489</v>
      </c>
      <c r="E334" s="125" t="s">
        <v>1490</v>
      </c>
      <c r="F334" s="125"/>
      <c r="G334" s="125" t="s">
        <v>936</v>
      </c>
      <c r="H334" s="125">
        <f t="shared" si="661"/>
        <v>0</v>
      </c>
      <c r="I334" s="125" t="s">
        <v>1440</v>
      </c>
      <c r="J334" s="304"/>
      <c r="K334" s="125" t="s">
        <v>1389</v>
      </c>
      <c r="L334" s="304"/>
      <c r="M334" s="125" t="s">
        <v>1441</v>
      </c>
      <c r="N334" s="125">
        <f t="shared" si="662"/>
        <v>0</v>
      </c>
      <c r="O334" s="304"/>
      <c r="P334" s="322"/>
      <c r="Q334" s="322"/>
      <c r="R334" s="322"/>
      <c r="S334" s="322"/>
      <c r="T334" s="322"/>
      <c r="U334" s="322"/>
      <c r="V334" s="322"/>
      <c r="W334" s="322"/>
      <c r="X334" s="322"/>
      <c r="Y334" s="322"/>
      <c r="Z334" s="322"/>
      <c r="AA334" s="125"/>
      <c r="AB334" s="125">
        <f t="shared" si="663"/>
        <v>0</v>
      </c>
      <c r="AC334" s="125">
        <f t="shared" si="664"/>
        <v>0</v>
      </c>
      <c r="AD334" s="125"/>
      <c r="AE334" s="125"/>
      <c r="AF334" s="125">
        <f t="shared" si="665"/>
        <v>0</v>
      </c>
      <c r="AG334" s="125"/>
      <c r="AH334" s="125"/>
      <c r="AI334" s="125">
        <f t="shared" si="666"/>
        <v>0</v>
      </c>
      <c r="AJ334" s="125"/>
      <c r="AK334" s="125"/>
      <c r="AL334" s="125">
        <f t="shared" si="667"/>
        <v>0</v>
      </c>
      <c r="AM334" s="125"/>
      <c r="AN334" s="125"/>
      <c r="AO334" s="125">
        <f t="shared" si="668"/>
        <v>0</v>
      </c>
      <c r="AP334" s="125"/>
      <c r="AQ334" s="125"/>
      <c r="AR334" s="125">
        <f t="shared" si="669"/>
        <v>0</v>
      </c>
      <c r="AS334" s="125"/>
      <c r="AT334" s="125"/>
      <c r="AU334" s="125">
        <f t="shared" si="670"/>
        <v>0</v>
      </c>
      <c r="AV334" s="125"/>
      <c r="AW334" s="125"/>
      <c r="AX334" s="125">
        <f t="shared" si="671"/>
        <v>0</v>
      </c>
      <c r="AY334" s="125"/>
      <c r="AZ334" s="125"/>
      <c r="BA334" s="125">
        <f t="shared" si="672"/>
        <v>0</v>
      </c>
      <c r="BB334" s="125"/>
      <c r="BC334" s="125"/>
      <c r="BD334" s="125">
        <f t="shared" si="673"/>
        <v>0</v>
      </c>
      <c r="BE334" s="125"/>
      <c r="BF334" s="125"/>
      <c r="BG334" s="125">
        <f t="shared" si="674"/>
        <v>0</v>
      </c>
      <c r="BH334" s="125"/>
      <c r="BI334" s="125"/>
      <c r="BJ334" s="125">
        <f t="shared" si="675"/>
        <v>0</v>
      </c>
      <c r="BK334" s="125"/>
      <c r="BL334" s="312"/>
      <c r="BM334" s="317"/>
      <c r="BN334" s="320"/>
    </row>
    <row r="335" s="43" customFormat="1" ht="33.95" customHeight="1" outlineLevel="3" spans="2:66">
      <c r="B335" s="121" t="s">
        <v>787</v>
      </c>
      <c r="C335" s="122" t="s">
        <v>1491</v>
      </c>
      <c r="D335" s="43" t="s">
        <v>1492</v>
      </c>
      <c r="E335" s="121"/>
      <c r="F335" s="121"/>
      <c r="G335" s="121"/>
      <c r="H335" s="121">
        <f>SUM(H336:H355)</f>
        <v>0</v>
      </c>
      <c r="I335" s="121"/>
      <c r="J335" s="121"/>
      <c r="K335" s="121"/>
      <c r="L335" s="121"/>
      <c r="M335" s="121"/>
      <c r="N335" s="121"/>
      <c r="O335" s="121"/>
      <c r="P335" s="294"/>
      <c r="Q335" s="294"/>
      <c r="R335" s="294"/>
      <c r="S335" s="294"/>
      <c r="T335" s="294"/>
      <c r="U335" s="294"/>
      <c r="V335" s="294"/>
      <c r="W335" s="294"/>
      <c r="X335" s="294"/>
      <c r="Y335" s="294"/>
      <c r="Z335" s="294"/>
      <c r="AA335" s="294"/>
      <c r="AB335" s="121">
        <f t="shared" ref="AB335:AF335" si="676">SUM(AB336:AB355)</f>
        <v>0</v>
      </c>
      <c r="AC335" s="121">
        <f t="shared" si="676"/>
        <v>0</v>
      </c>
      <c r="AD335" s="121"/>
      <c r="AE335" s="121"/>
      <c r="AF335" s="121">
        <f t="shared" si="676"/>
        <v>0</v>
      </c>
      <c r="AG335" s="121"/>
      <c r="AH335" s="121"/>
      <c r="AI335" s="121">
        <f>SUM(AI336:AI355)</f>
        <v>0</v>
      </c>
      <c r="AJ335" s="121"/>
      <c r="AK335" s="121"/>
      <c r="AL335" s="121">
        <f>SUM(AL336:AL355)</f>
        <v>0</v>
      </c>
      <c r="AM335" s="121"/>
      <c r="AN335" s="121"/>
      <c r="AO335" s="121">
        <f>SUM(AO336:AO355)</f>
        <v>0</v>
      </c>
      <c r="AP335" s="121"/>
      <c r="AQ335" s="121"/>
      <c r="AR335" s="121">
        <f>SUM(AR336:AR355)</f>
        <v>0</v>
      </c>
      <c r="AS335" s="121"/>
      <c r="AT335" s="121"/>
      <c r="AU335" s="121">
        <f>SUM(AU336:AU355)</f>
        <v>0</v>
      </c>
      <c r="AV335" s="121"/>
      <c r="AW335" s="121"/>
      <c r="AX335" s="121">
        <f>SUM(AX336:AX355)</f>
        <v>0</v>
      </c>
      <c r="AY335" s="121"/>
      <c r="AZ335" s="121"/>
      <c r="BA335" s="121">
        <f>SUM(BA336:BA355)</f>
        <v>0</v>
      </c>
      <c r="BB335" s="121"/>
      <c r="BC335" s="121"/>
      <c r="BD335" s="121">
        <f>SUM(BD336:BD355)</f>
        <v>0</v>
      </c>
      <c r="BE335" s="121"/>
      <c r="BF335" s="121"/>
      <c r="BG335" s="121">
        <f>SUM(BG336:BG355)</f>
        <v>0</v>
      </c>
      <c r="BH335" s="121"/>
      <c r="BI335" s="121"/>
      <c r="BJ335" s="121">
        <f>SUM(BJ336:BJ355)</f>
        <v>0</v>
      </c>
      <c r="BK335" s="121"/>
      <c r="BL335" s="311"/>
      <c r="BM335" s="317"/>
      <c r="BN335" s="319"/>
    </row>
    <row r="336" s="124" customFormat="1" ht="33.95" customHeight="1" outlineLevel="4" spans="2:66">
      <c r="B336" s="125" t="s">
        <v>792</v>
      </c>
      <c r="C336" s="126" t="s">
        <v>1493</v>
      </c>
      <c r="D336" s="124" t="s">
        <v>1494</v>
      </c>
      <c r="E336" s="125" t="s">
        <v>1495</v>
      </c>
      <c r="F336" s="125"/>
      <c r="G336" s="125" t="s">
        <v>936</v>
      </c>
      <c r="H336" s="125">
        <f t="shared" ref="H336:H355" si="677">IFERROR(J336*L336*N336,0)</f>
        <v>0</v>
      </c>
      <c r="I336" s="125" t="s">
        <v>1235</v>
      </c>
      <c r="J336" s="304"/>
      <c r="K336" s="125" t="s">
        <v>1143</v>
      </c>
      <c r="L336" s="304"/>
      <c r="M336" s="125" t="s">
        <v>1176</v>
      </c>
      <c r="N336" s="125">
        <f t="shared" ref="N336:N355" si="678">COUNTA(O336:Z336)</f>
        <v>0</v>
      </c>
      <c r="O336" s="304"/>
      <c r="P336" s="323"/>
      <c r="Q336" s="323"/>
      <c r="R336" s="323"/>
      <c r="S336" s="323"/>
      <c r="T336" s="323"/>
      <c r="U336" s="323"/>
      <c r="V336" s="323"/>
      <c r="W336" s="323"/>
      <c r="X336" s="323"/>
      <c r="Y336" s="323"/>
      <c r="Z336" s="323"/>
      <c r="AA336" s="125"/>
      <c r="AB336" s="125">
        <f t="shared" ref="AB336:AB355" si="679">SUM(AC336,AF336,AI336,AL336,AO336,AR336,AU336,AX336,BA336,BD336,BG336,BJ336)</f>
        <v>0</v>
      </c>
      <c r="AC336" s="125">
        <f t="shared" ref="AC336:AC355" si="680">IF(O336="",0,$J336*$L336)</f>
        <v>0</v>
      </c>
      <c r="AD336" s="125"/>
      <c r="AE336" s="125"/>
      <c r="AF336" s="125">
        <f t="shared" ref="AF336:AF355" si="681">IF(P336="",0,$J336*$L336)</f>
        <v>0</v>
      </c>
      <c r="AG336" s="125"/>
      <c r="AH336" s="125"/>
      <c r="AI336" s="125">
        <f t="shared" ref="AI336:AI355" si="682">IF(Q336="",0,$J336*$L336)</f>
        <v>0</v>
      </c>
      <c r="AJ336" s="125"/>
      <c r="AK336" s="125"/>
      <c r="AL336" s="125">
        <f t="shared" ref="AL336:AL355" si="683">IF(R336="",0,$J336*$L336)</f>
        <v>0</v>
      </c>
      <c r="AM336" s="125"/>
      <c r="AN336" s="125"/>
      <c r="AO336" s="125">
        <f t="shared" ref="AO336:AO355" si="684">IF(S336="",0,$J336*$L336)</f>
        <v>0</v>
      </c>
      <c r="AP336" s="125"/>
      <c r="AQ336" s="125"/>
      <c r="AR336" s="125">
        <f t="shared" ref="AR336:AR355" si="685">IF(T336="",0,$J336*$L336)</f>
        <v>0</v>
      </c>
      <c r="AS336" s="125"/>
      <c r="AT336" s="125"/>
      <c r="AU336" s="125">
        <f t="shared" ref="AU336:AU355" si="686">IF(U336="",0,$J336*$L336)</f>
        <v>0</v>
      </c>
      <c r="AV336" s="125"/>
      <c r="AW336" s="125"/>
      <c r="AX336" s="125">
        <f t="shared" ref="AX336:AX355" si="687">IF(V336="",0,$J336*$L336)</f>
        <v>0</v>
      </c>
      <c r="AY336" s="125"/>
      <c r="AZ336" s="125"/>
      <c r="BA336" s="125">
        <f t="shared" ref="BA336:BA355" si="688">IF(W336="",0,$J336*$L336)</f>
        <v>0</v>
      </c>
      <c r="BB336" s="125"/>
      <c r="BC336" s="125"/>
      <c r="BD336" s="125">
        <f t="shared" ref="BD336:BD355" si="689">IF(X336="",0,$J336*$L336)</f>
        <v>0</v>
      </c>
      <c r="BE336" s="125"/>
      <c r="BF336" s="125"/>
      <c r="BG336" s="125">
        <f t="shared" ref="BG336:BG355" si="690">IF(Y336="",0,$J336*$L336)</f>
        <v>0</v>
      </c>
      <c r="BH336" s="125"/>
      <c r="BI336" s="125"/>
      <c r="BJ336" s="125">
        <f t="shared" ref="BJ336:BJ355" si="691">IF(Z336="",0,$J336*$L336)</f>
        <v>0</v>
      </c>
      <c r="BK336" s="125"/>
      <c r="BL336" s="312"/>
      <c r="BM336" s="317"/>
      <c r="BN336" s="320"/>
    </row>
    <row r="337" s="124" customFormat="1" ht="33.95" customHeight="1" outlineLevel="4" spans="2:66">
      <c r="B337" s="125" t="s">
        <v>792</v>
      </c>
      <c r="C337" s="126" t="s">
        <v>1496</v>
      </c>
      <c r="D337" s="124" t="s">
        <v>1497</v>
      </c>
      <c r="E337" s="125" t="s">
        <v>1495</v>
      </c>
      <c r="F337" s="125"/>
      <c r="G337" s="125" t="s">
        <v>936</v>
      </c>
      <c r="H337" s="125">
        <f t="shared" si="677"/>
        <v>0</v>
      </c>
      <c r="I337" s="125" t="s">
        <v>1235</v>
      </c>
      <c r="J337" s="304"/>
      <c r="K337" s="125" t="s">
        <v>1143</v>
      </c>
      <c r="L337" s="304"/>
      <c r="M337" s="125" t="s">
        <v>1176</v>
      </c>
      <c r="N337" s="125">
        <f t="shared" si="678"/>
        <v>0</v>
      </c>
      <c r="O337" s="304"/>
      <c r="P337" s="304"/>
      <c r="Q337" s="304"/>
      <c r="R337" s="304"/>
      <c r="S337" s="304"/>
      <c r="T337" s="304"/>
      <c r="U337" s="304"/>
      <c r="V337" s="304"/>
      <c r="W337" s="304"/>
      <c r="X337" s="304"/>
      <c r="Y337" s="304"/>
      <c r="Z337" s="304"/>
      <c r="AA337" s="125"/>
      <c r="AB337" s="125">
        <f t="shared" si="679"/>
        <v>0</v>
      </c>
      <c r="AC337" s="125">
        <f t="shared" si="680"/>
        <v>0</v>
      </c>
      <c r="AD337" s="125"/>
      <c r="AE337" s="125"/>
      <c r="AF337" s="125">
        <f t="shared" si="681"/>
        <v>0</v>
      </c>
      <c r="AG337" s="125"/>
      <c r="AH337" s="125"/>
      <c r="AI337" s="125">
        <f t="shared" si="682"/>
        <v>0</v>
      </c>
      <c r="AJ337" s="125"/>
      <c r="AK337" s="125"/>
      <c r="AL337" s="125">
        <f t="shared" si="683"/>
        <v>0</v>
      </c>
      <c r="AM337" s="125"/>
      <c r="AN337" s="125"/>
      <c r="AO337" s="125">
        <f t="shared" si="684"/>
        <v>0</v>
      </c>
      <c r="AP337" s="125"/>
      <c r="AQ337" s="125"/>
      <c r="AR337" s="125">
        <f t="shared" si="685"/>
        <v>0</v>
      </c>
      <c r="AS337" s="125"/>
      <c r="AT337" s="125"/>
      <c r="AU337" s="125">
        <f t="shared" si="686"/>
        <v>0</v>
      </c>
      <c r="AV337" s="125"/>
      <c r="AW337" s="125"/>
      <c r="AX337" s="125">
        <f t="shared" si="687"/>
        <v>0</v>
      </c>
      <c r="AY337" s="125"/>
      <c r="AZ337" s="125"/>
      <c r="BA337" s="125">
        <f t="shared" si="688"/>
        <v>0</v>
      </c>
      <c r="BB337" s="125"/>
      <c r="BC337" s="125"/>
      <c r="BD337" s="125">
        <f t="shared" si="689"/>
        <v>0</v>
      </c>
      <c r="BE337" s="125"/>
      <c r="BF337" s="125"/>
      <c r="BG337" s="125">
        <f t="shared" si="690"/>
        <v>0</v>
      </c>
      <c r="BH337" s="125"/>
      <c r="BI337" s="125"/>
      <c r="BJ337" s="125">
        <f t="shared" si="691"/>
        <v>0</v>
      </c>
      <c r="BK337" s="125"/>
      <c r="BL337" s="312"/>
      <c r="BM337" s="317"/>
      <c r="BN337" s="320"/>
    </row>
    <row r="338" s="124" customFormat="1" ht="33.95" customHeight="1" outlineLevel="4" spans="2:66">
      <c r="B338" s="125" t="s">
        <v>792</v>
      </c>
      <c r="C338" s="126" t="s">
        <v>1498</v>
      </c>
      <c r="D338" s="124" t="s">
        <v>1499</v>
      </c>
      <c r="E338" s="125" t="s">
        <v>1495</v>
      </c>
      <c r="F338" s="125"/>
      <c r="G338" s="125" t="s">
        <v>936</v>
      </c>
      <c r="H338" s="125">
        <f t="shared" si="677"/>
        <v>0</v>
      </c>
      <c r="I338" s="125" t="s">
        <v>1235</v>
      </c>
      <c r="J338" s="304"/>
      <c r="K338" s="125" t="s">
        <v>1143</v>
      </c>
      <c r="L338" s="304"/>
      <c r="M338" s="125" t="s">
        <v>1176</v>
      </c>
      <c r="N338" s="125">
        <f t="shared" si="678"/>
        <v>0</v>
      </c>
      <c r="O338" s="304"/>
      <c r="P338" s="304"/>
      <c r="Q338" s="304"/>
      <c r="R338" s="304"/>
      <c r="S338" s="304"/>
      <c r="T338" s="304"/>
      <c r="U338" s="304"/>
      <c r="V338" s="304"/>
      <c r="W338" s="304"/>
      <c r="X338" s="304"/>
      <c r="Y338" s="304"/>
      <c r="Z338" s="304"/>
      <c r="AA338" s="125"/>
      <c r="AB338" s="125">
        <f t="shared" si="679"/>
        <v>0</v>
      </c>
      <c r="AC338" s="125">
        <f t="shared" si="680"/>
        <v>0</v>
      </c>
      <c r="AD338" s="125"/>
      <c r="AE338" s="125"/>
      <c r="AF338" s="125">
        <f t="shared" si="681"/>
        <v>0</v>
      </c>
      <c r="AG338" s="125"/>
      <c r="AH338" s="125"/>
      <c r="AI338" s="125">
        <f t="shared" si="682"/>
        <v>0</v>
      </c>
      <c r="AJ338" s="125"/>
      <c r="AK338" s="125"/>
      <c r="AL338" s="125">
        <f t="shared" si="683"/>
        <v>0</v>
      </c>
      <c r="AM338" s="125"/>
      <c r="AN338" s="125"/>
      <c r="AO338" s="125">
        <f t="shared" si="684"/>
        <v>0</v>
      </c>
      <c r="AP338" s="125"/>
      <c r="AQ338" s="125"/>
      <c r="AR338" s="125">
        <f t="shared" si="685"/>
        <v>0</v>
      </c>
      <c r="AS338" s="125"/>
      <c r="AT338" s="125"/>
      <c r="AU338" s="125">
        <f t="shared" si="686"/>
        <v>0</v>
      </c>
      <c r="AV338" s="125"/>
      <c r="AW338" s="125"/>
      <c r="AX338" s="125">
        <f t="shared" si="687"/>
        <v>0</v>
      </c>
      <c r="AY338" s="125"/>
      <c r="AZ338" s="125"/>
      <c r="BA338" s="125">
        <f t="shared" si="688"/>
        <v>0</v>
      </c>
      <c r="BB338" s="125"/>
      <c r="BC338" s="125"/>
      <c r="BD338" s="125">
        <f t="shared" si="689"/>
        <v>0</v>
      </c>
      <c r="BE338" s="125"/>
      <c r="BF338" s="125"/>
      <c r="BG338" s="125">
        <f t="shared" si="690"/>
        <v>0</v>
      </c>
      <c r="BH338" s="125"/>
      <c r="BI338" s="125"/>
      <c r="BJ338" s="125">
        <f t="shared" si="691"/>
        <v>0</v>
      </c>
      <c r="BK338" s="125"/>
      <c r="BL338" s="312"/>
      <c r="BM338" s="317"/>
      <c r="BN338" s="320"/>
    </row>
    <row r="339" s="124" customFormat="1" ht="33.95" customHeight="1" outlineLevel="4" spans="2:66">
      <c r="B339" s="125" t="s">
        <v>792</v>
      </c>
      <c r="C339" s="126" t="s">
        <v>1500</v>
      </c>
      <c r="D339" s="124" t="s">
        <v>1501</v>
      </c>
      <c r="E339" s="125" t="s">
        <v>1495</v>
      </c>
      <c r="F339" s="125"/>
      <c r="G339" s="125" t="s">
        <v>936</v>
      </c>
      <c r="H339" s="125">
        <f t="shared" si="677"/>
        <v>0</v>
      </c>
      <c r="I339" s="125" t="s">
        <v>1235</v>
      </c>
      <c r="J339" s="304"/>
      <c r="K339" s="125" t="s">
        <v>1143</v>
      </c>
      <c r="L339" s="304"/>
      <c r="M339" s="125" t="s">
        <v>1176</v>
      </c>
      <c r="N339" s="125">
        <f t="shared" si="678"/>
        <v>0</v>
      </c>
      <c r="O339" s="304"/>
      <c r="P339" s="304"/>
      <c r="Q339" s="304"/>
      <c r="R339" s="304"/>
      <c r="S339" s="304"/>
      <c r="T339" s="304"/>
      <c r="U339" s="304"/>
      <c r="V339" s="304"/>
      <c r="W339" s="304"/>
      <c r="X339" s="304"/>
      <c r="Y339" s="304"/>
      <c r="Z339" s="304"/>
      <c r="AA339" s="125"/>
      <c r="AB339" s="125">
        <f t="shared" si="679"/>
        <v>0</v>
      </c>
      <c r="AC339" s="125">
        <f t="shared" si="680"/>
        <v>0</v>
      </c>
      <c r="AD339" s="125"/>
      <c r="AE339" s="125"/>
      <c r="AF339" s="125">
        <f t="shared" si="681"/>
        <v>0</v>
      </c>
      <c r="AG339" s="125"/>
      <c r="AH339" s="125"/>
      <c r="AI339" s="125">
        <f t="shared" si="682"/>
        <v>0</v>
      </c>
      <c r="AJ339" s="125"/>
      <c r="AK339" s="125"/>
      <c r="AL339" s="125">
        <f t="shared" si="683"/>
        <v>0</v>
      </c>
      <c r="AM339" s="125"/>
      <c r="AN339" s="125"/>
      <c r="AO339" s="125">
        <f t="shared" si="684"/>
        <v>0</v>
      </c>
      <c r="AP339" s="125"/>
      <c r="AQ339" s="125"/>
      <c r="AR339" s="125">
        <f t="shared" si="685"/>
        <v>0</v>
      </c>
      <c r="AS339" s="125"/>
      <c r="AT339" s="125"/>
      <c r="AU339" s="125">
        <f t="shared" si="686"/>
        <v>0</v>
      </c>
      <c r="AV339" s="125"/>
      <c r="AW339" s="125"/>
      <c r="AX339" s="125">
        <f t="shared" si="687"/>
        <v>0</v>
      </c>
      <c r="AY339" s="125"/>
      <c r="AZ339" s="125"/>
      <c r="BA339" s="125">
        <f t="shared" si="688"/>
        <v>0</v>
      </c>
      <c r="BB339" s="125"/>
      <c r="BC339" s="125"/>
      <c r="BD339" s="125">
        <f t="shared" si="689"/>
        <v>0</v>
      </c>
      <c r="BE339" s="125"/>
      <c r="BF339" s="125"/>
      <c r="BG339" s="125">
        <f t="shared" si="690"/>
        <v>0</v>
      </c>
      <c r="BH339" s="125"/>
      <c r="BI339" s="125"/>
      <c r="BJ339" s="125">
        <f t="shared" si="691"/>
        <v>0</v>
      </c>
      <c r="BK339" s="125"/>
      <c r="BL339" s="312"/>
      <c r="BM339" s="317"/>
      <c r="BN339" s="320"/>
    </row>
    <row r="340" s="124" customFormat="1" ht="33.95" customHeight="1" outlineLevel="4" spans="2:66">
      <c r="B340" s="125" t="s">
        <v>792</v>
      </c>
      <c r="C340" s="126" t="s">
        <v>1502</v>
      </c>
      <c r="D340" s="124" t="s">
        <v>1503</v>
      </c>
      <c r="E340" s="125" t="s">
        <v>1495</v>
      </c>
      <c r="F340" s="125"/>
      <c r="G340" s="125" t="s">
        <v>936</v>
      </c>
      <c r="H340" s="125">
        <f t="shared" si="677"/>
        <v>0</v>
      </c>
      <c r="I340" s="125" t="s">
        <v>1235</v>
      </c>
      <c r="J340" s="304"/>
      <c r="K340" s="125" t="s">
        <v>1143</v>
      </c>
      <c r="L340" s="304"/>
      <c r="M340" s="125" t="s">
        <v>1176</v>
      </c>
      <c r="N340" s="125">
        <f t="shared" si="678"/>
        <v>0</v>
      </c>
      <c r="O340" s="304"/>
      <c r="P340" s="304"/>
      <c r="Q340" s="304"/>
      <c r="R340" s="304"/>
      <c r="S340" s="304"/>
      <c r="T340" s="304"/>
      <c r="U340" s="304"/>
      <c r="V340" s="304"/>
      <c r="W340" s="304"/>
      <c r="X340" s="304"/>
      <c r="Y340" s="304"/>
      <c r="Z340" s="304"/>
      <c r="AA340" s="125"/>
      <c r="AB340" s="125">
        <f t="shared" si="679"/>
        <v>0</v>
      </c>
      <c r="AC340" s="125">
        <f t="shared" si="680"/>
        <v>0</v>
      </c>
      <c r="AD340" s="125"/>
      <c r="AE340" s="125"/>
      <c r="AF340" s="125">
        <f t="shared" si="681"/>
        <v>0</v>
      </c>
      <c r="AG340" s="125"/>
      <c r="AH340" s="125"/>
      <c r="AI340" s="125">
        <f t="shared" si="682"/>
        <v>0</v>
      </c>
      <c r="AJ340" s="125"/>
      <c r="AK340" s="125"/>
      <c r="AL340" s="125">
        <f t="shared" si="683"/>
        <v>0</v>
      </c>
      <c r="AM340" s="125"/>
      <c r="AN340" s="125"/>
      <c r="AO340" s="125">
        <f t="shared" si="684"/>
        <v>0</v>
      </c>
      <c r="AP340" s="125"/>
      <c r="AQ340" s="125"/>
      <c r="AR340" s="125">
        <f t="shared" si="685"/>
        <v>0</v>
      </c>
      <c r="AS340" s="125"/>
      <c r="AT340" s="125"/>
      <c r="AU340" s="125">
        <f t="shared" si="686"/>
        <v>0</v>
      </c>
      <c r="AV340" s="125"/>
      <c r="AW340" s="125"/>
      <c r="AX340" s="125">
        <f t="shared" si="687"/>
        <v>0</v>
      </c>
      <c r="AY340" s="125"/>
      <c r="AZ340" s="125"/>
      <c r="BA340" s="125">
        <f t="shared" si="688"/>
        <v>0</v>
      </c>
      <c r="BB340" s="125"/>
      <c r="BC340" s="125"/>
      <c r="BD340" s="125">
        <f t="shared" si="689"/>
        <v>0</v>
      </c>
      <c r="BE340" s="125"/>
      <c r="BF340" s="125"/>
      <c r="BG340" s="125">
        <f t="shared" si="690"/>
        <v>0</v>
      </c>
      <c r="BH340" s="125"/>
      <c r="BI340" s="125"/>
      <c r="BJ340" s="125">
        <f t="shared" si="691"/>
        <v>0</v>
      </c>
      <c r="BK340" s="125"/>
      <c r="BL340" s="312"/>
      <c r="BM340" s="317"/>
      <c r="BN340" s="320"/>
    </row>
    <row r="341" s="124" customFormat="1" ht="33.95" customHeight="1" outlineLevel="4" spans="2:66">
      <c r="B341" s="125" t="s">
        <v>792</v>
      </c>
      <c r="C341" s="126" t="s">
        <v>1504</v>
      </c>
      <c r="D341" s="124" t="s">
        <v>1505</v>
      </c>
      <c r="E341" s="125" t="s">
        <v>1495</v>
      </c>
      <c r="F341" s="125"/>
      <c r="G341" s="125" t="s">
        <v>936</v>
      </c>
      <c r="H341" s="125">
        <f t="shared" si="677"/>
        <v>0</v>
      </c>
      <c r="I341" s="125" t="s">
        <v>1235</v>
      </c>
      <c r="J341" s="304"/>
      <c r="K341" s="125" t="s">
        <v>1143</v>
      </c>
      <c r="L341" s="304"/>
      <c r="M341" s="125" t="s">
        <v>1176</v>
      </c>
      <c r="N341" s="125">
        <f t="shared" si="678"/>
        <v>0</v>
      </c>
      <c r="O341" s="304"/>
      <c r="P341" s="304"/>
      <c r="Q341" s="304"/>
      <c r="R341" s="304"/>
      <c r="S341" s="304"/>
      <c r="T341" s="304"/>
      <c r="U341" s="304"/>
      <c r="V341" s="304"/>
      <c r="W341" s="304"/>
      <c r="X341" s="304"/>
      <c r="Y341" s="304"/>
      <c r="Z341" s="304"/>
      <c r="AA341" s="125"/>
      <c r="AB341" s="125">
        <f t="shared" si="679"/>
        <v>0</v>
      </c>
      <c r="AC341" s="125">
        <f t="shared" si="680"/>
        <v>0</v>
      </c>
      <c r="AD341" s="125"/>
      <c r="AE341" s="125"/>
      <c r="AF341" s="125">
        <f t="shared" si="681"/>
        <v>0</v>
      </c>
      <c r="AG341" s="125"/>
      <c r="AH341" s="125"/>
      <c r="AI341" s="125">
        <f t="shared" si="682"/>
        <v>0</v>
      </c>
      <c r="AJ341" s="125"/>
      <c r="AK341" s="125"/>
      <c r="AL341" s="125">
        <f t="shared" si="683"/>
        <v>0</v>
      </c>
      <c r="AM341" s="125"/>
      <c r="AN341" s="125"/>
      <c r="AO341" s="125">
        <f t="shared" si="684"/>
        <v>0</v>
      </c>
      <c r="AP341" s="125"/>
      <c r="AQ341" s="125"/>
      <c r="AR341" s="125">
        <f t="shared" si="685"/>
        <v>0</v>
      </c>
      <c r="AS341" s="125"/>
      <c r="AT341" s="125"/>
      <c r="AU341" s="125">
        <f t="shared" si="686"/>
        <v>0</v>
      </c>
      <c r="AV341" s="125"/>
      <c r="AW341" s="125"/>
      <c r="AX341" s="125">
        <f t="shared" si="687"/>
        <v>0</v>
      </c>
      <c r="AY341" s="125"/>
      <c r="AZ341" s="125"/>
      <c r="BA341" s="125">
        <f t="shared" si="688"/>
        <v>0</v>
      </c>
      <c r="BB341" s="125"/>
      <c r="BC341" s="125"/>
      <c r="BD341" s="125">
        <f t="shared" si="689"/>
        <v>0</v>
      </c>
      <c r="BE341" s="125"/>
      <c r="BF341" s="125"/>
      <c r="BG341" s="125">
        <f t="shared" si="690"/>
        <v>0</v>
      </c>
      <c r="BH341" s="125"/>
      <c r="BI341" s="125"/>
      <c r="BJ341" s="125">
        <f t="shared" si="691"/>
        <v>0</v>
      </c>
      <c r="BK341" s="125"/>
      <c r="BL341" s="312"/>
      <c r="BM341" s="317"/>
      <c r="BN341" s="320"/>
    </row>
    <row r="342" s="124" customFormat="1" ht="33.95" customHeight="1" outlineLevel="4" spans="2:66">
      <c r="B342" s="125" t="s">
        <v>792</v>
      </c>
      <c r="C342" s="126" t="s">
        <v>1506</v>
      </c>
      <c r="D342" s="124" t="s">
        <v>1507</v>
      </c>
      <c r="E342" s="125" t="s">
        <v>1508</v>
      </c>
      <c r="F342" s="125"/>
      <c r="G342" s="125" t="s">
        <v>936</v>
      </c>
      <c r="H342" s="125">
        <f t="shared" si="677"/>
        <v>0</v>
      </c>
      <c r="I342" s="125" t="s">
        <v>1235</v>
      </c>
      <c r="J342" s="304"/>
      <c r="K342" s="125" t="s">
        <v>1143</v>
      </c>
      <c r="L342" s="304"/>
      <c r="M342" s="125" t="s">
        <v>1176</v>
      </c>
      <c r="N342" s="125">
        <f t="shared" si="678"/>
        <v>0</v>
      </c>
      <c r="O342" s="304"/>
      <c r="P342" s="304"/>
      <c r="Q342" s="304"/>
      <c r="R342" s="304"/>
      <c r="S342" s="304"/>
      <c r="T342" s="304"/>
      <c r="U342" s="304"/>
      <c r="V342" s="304"/>
      <c r="W342" s="304"/>
      <c r="X342" s="304"/>
      <c r="Y342" s="304"/>
      <c r="Z342" s="304"/>
      <c r="AA342" s="125"/>
      <c r="AB342" s="125">
        <f t="shared" si="679"/>
        <v>0</v>
      </c>
      <c r="AC342" s="125">
        <f t="shared" si="680"/>
        <v>0</v>
      </c>
      <c r="AD342" s="125"/>
      <c r="AE342" s="125"/>
      <c r="AF342" s="125">
        <f t="shared" si="681"/>
        <v>0</v>
      </c>
      <c r="AG342" s="125"/>
      <c r="AH342" s="125"/>
      <c r="AI342" s="125">
        <f t="shared" si="682"/>
        <v>0</v>
      </c>
      <c r="AJ342" s="125"/>
      <c r="AK342" s="125"/>
      <c r="AL342" s="125">
        <f t="shared" si="683"/>
        <v>0</v>
      </c>
      <c r="AM342" s="125"/>
      <c r="AN342" s="125"/>
      <c r="AO342" s="125">
        <f t="shared" si="684"/>
        <v>0</v>
      </c>
      <c r="AP342" s="125"/>
      <c r="AQ342" s="125"/>
      <c r="AR342" s="125">
        <f t="shared" si="685"/>
        <v>0</v>
      </c>
      <c r="AS342" s="125"/>
      <c r="AT342" s="125"/>
      <c r="AU342" s="125">
        <f t="shared" si="686"/>
        <v>0</v>
      </c>
      <c r="AV342" s="125"/>
      <c r="AW342" s="125"/>
      <c r="AX342" s="125">
        <f t="shared" si="687"/>
        <v>0</v>
      </c>
      <c r="AY342" s="125"/>
      <c r="AZ342" s="125"/>
      <c r="BA342" s="125">
        <f t="shared" si="688"/>
        <v>0</v>
      </c>
      <c r="BB342" s="125"/>
      <c r="BC342" s="125"/>
      <c r="BD342" s="125">
        <f t="shared" si="689"/>
        <v>0</v>
      </c>
      <c r="BE342" s="125"/>
      <c r="BF342" s="125"/>
      <c r="BG342" s="125">
        <f t="shared" si="690"/>
        <v>0</v>
      </c>
      <c r="BH342" s="125"/>
      <c r="BI342" s="125"/>
      <c r="BJ342" s="125">
        <f t="shared" si="691"/>
        <v>0</v>
      </c>
      <c r="BK342" s="125"/>
      <c r="BL342" s="312"/>
      <c r="BM342" s="317"/>
      <c r="BN342" s="320"/>
    </row>
    <row r="343" s="124" customFormat="1" ht="33.95" customHeight="1" outlineLevel="4" spans="2:66">
      <c r="B343" s="125" t="s">
        <v>792</v>
      </c>
      <c r="C343" s="126" t="s">
        <v>1509</v>
      </c>
      <c r="D343" s="124" t="s">
        <v>1510</v>
      </c>
      <c r="E343" s="125" t="s">
        <v>1508</v>
      </c>
      <c r="F343" s="125"/>
      <c r="G343" s="125" t="s">
        <v>936</v>
      </c>
      <c r="H343" s="125">
        <f t="shared" si="677"/>
        <v>0</v>
      </c>
      <c r="I343" s="125" t="s">
        <v>1235</v>
      </c>
      <c r="J343" s="304"/>
      <c r="K343" s="125" t="s">
        <v>1143</v>
      </c>
      <c r="L343" s="304"/>
      <c r="M343" s="125" t="s">
        <v>1176</v>
      </c>
      <c r="N343" s="125">
        <f t="shared" si="678"/>
        <v>0</v>
      </c>
      <c r="O343" s="304"/>
      <c r="P343" s="304"/>
      <c r="Q343" s="304"/>
      <c r="R343" s="304"/>
      <c r="S343" s="304"/>
      <c r="T343" s="304"/>
      <c r="U343" s="304"/>
      <c r="V343" s="304"/>
      <c r="W343" s="304"/>
      <c r="X343" s="304"/>
      <c r="Y343" s="304"/>
      <c r="Z343" s="304"/>
      <c r="AA343" s="125"/>
      <c r="AB343" s="125">
        <f t="shared" si="679"/>
        <v>0</v>
      </c>
      <c r="AC343" s="125">
        <f t="shared" si="680"/>
        <v>0</v>
      </c>
      <c r="AD343" s="125"/>
      <c r="AE343" s="125"/>
      <c r="AF343" s="125">
        <f t="shared" si="681"/>
        <v>0</v>
      </c>
      <c r="AG343" s="125"/>
      <c r="AH343" s="125"/>
      <c r="AI343" s="125">
        <f t="shared" si="682"/>
        <v>0</v>
      </c>
      <c r="AJ343" s="125"/>
      <c r="AK343" s="125"/>
      <c r="AL343" s="125">
        <f t="shared" si="683"/>
        <v>0</v>
      </c>
      <c r="AM343" s="125"/>
      <c r="AN343" s="125"/>
      <c r="AO343" s="125">
        <f t="shared" si="684"/>
        <v>0</v>
      </c>
      <c r="AP343" s="125"/>
      <c r="AQ343" s="125"/>
      <c r="AR343" s="125">
        <f t="shared" si="685"/>
        <v>0</v>
      </c>
      <c r="AS343" s="125"/>
      <c r="AT343" s="125"/>
      <c r="AU343" s="125">
        <f t="shared" si="686"/>
        <v>0</v>
      </c>
      <c r="AV343" s="125"/>
      <c r="AW343" s="125"/>
      <c r="AX343" s="125">
        <f t="shared" si="687"/>
        <v>0</v>
      </c>
      <c r="AY343" s="125"/>
      <c r="AZ343" s="125"/>
      <c r="BA343" s="125">
        <f t="shared" si="688"/>
        <v>0</v>
      </c>
      <c r="BB343" s="125"/>
      <c r="BC343" s="125"/>
      <c r="BD343" s="125">
        <f t="shared" si="689"/>
        <v>0</v>
      </c>
      <c r="BE343" s="125"/>
      <c r="BF343" s="125"/>
      <c r="BG343" s="125">
        <f t="shared" si="690"/>
        <v>0</v>
      </c>
      <c r="BH343" s="125"/>
      <c r="BI343" s="125"/>
      <c r="BJ343" s="125">
        <f t="shared" si="691"/>
        <v>0</v>
      </c>
      <c r="BK343" s="125"/>
      <c r="BL343" s="312"/>
      <c r="BM343" s="317"/>
      <c r="BN343" s="320"/>
    </row>
    <row r="344" s="124" customFormat="1" ht="33.95" customHeight="1" outlineLevel="4" spans="2:66">
      <c r="B344" s="125" t="s">
        <v>792</v>
      </c>
      <c r="C344" s="126" t="s">
        <v>1511</v>
      </c>
      <c r="D344" s="124" t="s">
        <v>1512</v>
      </c>
      <c r="E344" s="125" t="s">
        <v>1513</v>
      </c>
      <c r="F344" s="125"/>
      <c r="G344" s="125" t="s">
        <v>936</v>
      </c>
      <c r="H344" s="125">
        <f t="shared" si="677"/>
        <v>0</v>
      </c>
      <c r="I344" s="125" t="s">
        <v>1235</v>
      </c>
      <c r="J344" s="304"/>
      <c r="K344" s="125" t="s">
        <v>1143</v>
      </c>
      <c r="L344" s="304"/>
      <c r="M344" s="125" t="s">
        <v>1176</v>
      </c>
      <c r="N344" s="125">
        <f t="shared" si="678"/>
        <v>0</v>
      </c>
      <c r="O344" s="304"/>
      <c r="P344" s="304"/>
      <c r="Q344" s="304"/>
      <c r="R344" s="304"/>
      <c r="S344" s="304"/>
      <c r="T344" s="304"/>
      <c r="U344" s="304"/>
      <c r="V344" s="304"/>
      <c r="W344" s="304"/>
      <c r="X344" s="304"/>
      <c r="Y344" s="304"/>
      <c r="Z344" s="304"/>
      <c r="AA344" s="125"/>
      <c r="AB344" s="125">
        <f t="shared" si="679"/>
        <v>0</v>
      </c>
      <c r="AC344" s="125">
        <f t="shared" si="680"/>
        <v>0</v>
      </c>
      <c r="AD344" s="125"/>
      <c r="AE344" s="125"/>
      <c r="AF344" s="125">
        <f t="shared" si="681"/>
        <v>0</v>
      </c>
      <c r="AG344" s="125"/>
      <c r="AH344" s="125"/>
      <c r="AI344" s="125">
        <f t="shared" si="682"/>
        <v>0</v>
      </c>
      <c r="AJ344" s="125"/>
      <c r="AK344" s="125"/>
      <c r="AL344" s="125">
        <f t="shared" si="683"/>
        <v>0</v>
      </c>
      <c r="AM344" s="125"/>
      <c r="AN344" s="125"/>
      <c r="AO344" s="125">
        <f t="shared" si="684"/>
        <v>0</v>
      </c>
      <c r="AP344" s="125"/>
      <c r="AQ344" s="125"/>
      <c r="AR344" s="125">
        <f t="shared" si="685"/>
        <v>0</v>
      </c>
      <c r="AS344" s="125"/>
      <c r="AT344" s="125"/>
      <c r="AU344" s="125">
        <f t="shared" si="686"/>
        <v>0</v>
      </c>
      <c r="AV344" s="125"/>
      <c r="AW344" s="125"/>
      <c r="AX344" s="125">
        <f t="shared" si="687"/>
        <v>0</v>
      </c>
      <c r="AY344" s="125"/>
      <c r="AZ344" s="125"/>
      <c r="BA344" s="125">
        <f t="shared" si="688"/>
        <v>0</v>
      </c>
      <c r="BB344" s="125"/>
      <c r="BC344" s="125"/>
      <c r="BD344" s="125">
        <f t="shared" si="689"/>
        <v>0</v>
      </c>
      <c r="BE344" s="125"/>
      <c r="BF344" s="125"/>
      <c r="BG344" s="125">
        <f t="shared" si="690"/>
        <v>0</v>
      </c>
      <c r="BH344" s="125"/>
      <c r="BI344" s="125"/>
      <c r="BJ344" s="125">
        <f t="shared" si="691"/>
        <v>0</v>
      </c>
      <c r="BK344" s="125"/>
      <c r="BL344" s="312"/>
      <c r="BM344" s="317"/>
      <c r="BN344" s="320"/>
    </row>
    <row r="345" s="124" customFormat="1" ht="33.95" customHeight="1" outlineLevel="4" spans="2:66">
      <c r="B345" s="125" t="s">
        <v>792</v>
      </c>
      <c r="C345" s="126" t="s">
        <v>1514</v>
      </c>
      <c r="D345" s="124" t="s">
        <v>1515</v>
      </c>
      <c r="E345" s="125" t="s">
        <v>1516</v>
      </c>
      <c r="F345" s="125"/>
      <c r="G345" s="125" t="s">
        <v>936</v>
      </c>
      <c r="H345" s="125">
        <f t="shared" si="677"/>
        <v>0</v>
      </c>
      <c r="I345" s="125" t="s">
        <v>1235</v>
      </c>
      <c r="J345" s="304"/>
      <c r="K345" s="125" t="s">
        <v>1143</v>
      </c>
      <c r="L345" s="304"/>
      <c r="M345" s="125" t="s">
        <v>1176</v>
      </c>
      <c r="N345" s="125">
        <f t="shared" si="678"/>
        <v>0</v>
      </c>
      <c r="O345" s="304"/>
      <c r="P345" s="304"/>
      <c r="Q345" s="304"/>
      <c r="R345" s="304"/>
      <c r="S345" s="304"/>
      <c r="T345" s="304"/>
      <c r="U345" s="304"/>
      <c r="V345" s="304"/>
      <c r="W345" s="304"/>
      <c r="X345" s="304"/>
      <c r="Y345" s="304"/>
      <c r="Z345" s="304"/>
      <c r="AA345" s="125"/>
      <c r="AB345" s="125">
        <f t="shared" si="679"/>
        <v>0</v>
      </c>
      <c r="AC345" s="125">
        <f t="shared" si="680"/>
        <v>0</v>
      </c>
      <c r="AD345" s="125"/>
      <c r="AE345" s="125"/>
      <c r="AF345" s="125">
        <f t="shared" si="681"/>
        <v>0</v>
      </c>
      <c r="AG345" s="125"/>
      <c r="AH345" s="125"/>
      <c r="AI345" s="125">
        <f t="shared" si="682"/>
        <v>0</v>
      </c>
      <c r="AJ345" s="125"/>
      <c r="AK345" s="125"/>
      <c r="AL345" s="125">
        <f t="shared" si="683"/>
        <v>0</v>
      </c>
      <c r="AM345" s="125"/>
      <c r="AN345" s="125"/>
      <c r="AO345" s="125">
        <f t="shared" si="684"/>
        <v>0</v>
      </c>
      <c r="AP345" s="125"/>
      <c r="AQ345" s="125"/>
      <c r="AR345" s="125">
        <f t="shared" si="685"/>
        <v>0</v>
      </c>
      <c r="AS345" s="125"/>
      <c r="AT345" s="125"/>
      <c r="AU345" s="125">
        <f t="shared" si="686"/>
        <v>0</v>
      </c>
      <c r="AV345" s="125"/>
      <c r="AW345" s="125"/>
      <c r="AX345" s="125">
        <f t="shared" si="687"/>
        <v>0</v>
      </c>
      <c r="AY345" s="125"/>
      <c r="AZ345" s="125"/>
      <c r="BA345" s="125">
        <f t="shared" si="688"/>
        <v>0</v>
      </c>
      <c r="BB345" s="125"/>
      <c r="BC345" s="125"/>
      <c r="BD345" s="125">
        <f t="shared" si="689"/>
        <v>0</v>
      </c>
      <c r="BE345" s="125"/>
      <c r="BF345" s="125"/>
      <c r="BG345" s="125">
        <f t="shared" si="690"/>
        <v>0</v>
      </c>
      <c r="BH345" s="125"/>
      <c r="BI345" s="125"/>
      <c r="BJ345" s="125">
        <f t="shared" si="691"/>
        <v>0</v>
      </c>
      <c r="BK345" s="125"/>
      <c r="BL345" s="312"/>
      <c r="BM345" s="317"/>
      <c r="BN345" s="320"/>
    </row>
    <row r="346" s="124" customFormat="1" ht="33.95" customHeight="1" outlineLevel="4" spans="2:66">
      <c r="B346" s="125" t="s">
        <v>792</v>
      </c>
      <c r="C346" s="126" t="s">
        <v>1517</v>
      </c>
      <c r="D346" s="124" t="s">
        <v>1518</v>
      </c>
      <c r="E346" s="125" t="s">
        <v>1519</v>
      </c>
      <c r="F346" s="125"/>
      <c r="G346" s="125" t="s">
        <v>936</v>
      </c>
      <c r="H346" s="125">
        <f t="shared" si="677"/>
        <v>0</v>
      </c>
      <c r="I346" s="125" t="s">
        <v>1235</v>
      </c>
      <c r="J346" s="304"/>
      <c r="K346" s="125" t="s">
        <v>1143</v>
      </c>
      <c r="L346" s="304"/>
      <c r="M346" s="125" t="s">
        <v>1176</v>
      </c>
      <c r="N346" s="125">
        <f t="shared" si="678"/>
        <v>0</v>
      </c>
      <c r="O346" s="304"/>
      <c r="P346" s="304"/>
      <c r="Q346" s="304"/>
      <c r="R346" s="304"/>
      <c r="S346" s="304"/>
      <c r="T346" s="304"/>
      <c r="U346" s="304"/>
      <c r="V346" s="304"/>
      <c r="W346" s="304"/>
      <c r="X346" s="304"/>
      <c r="Y346" s="304"/>
      <c r="Z346" s="304"/>
      <c r="AA346" s="125"/>
      <c r="AB346" s="125">
        <f t="shared" si="679"/>
        <v>0</v>
      </c>
      <c r="AC346" s="125">
        <f t="shared" si="680"/>
        <v>0</v>
      </c>
      <c r="AD346" s="125"/>
      <c r="AE346" s="125"/>
      <c r="AF346" s="125">
        <f t="shared" si="681"/>
        <v>0</v>
      </c>
      <c r="AG346" s="125"/>
      <c r="AH346" s="125"/>
      <c r="AI346" s="125">
        <f t="shared" si="682"/>
        <v>0</v>
      </c>
      <c r="AJ346" s="125"/>
      <c r="AK346" s="125"/>
      <c r="AL346" s="125">
        <f t="shared" si="683"/>
        <v>0</v>
      </c>
      <c r="AM346" s="125"/>
      <c r="AN346" s="125"/>
      <c r="AO346" s="125">
        <f t="shared" si="684"/>
        <v>0</v>
      </c>
      <c r="AP346" s="125"/>
      <c r="AQ346" s="125"/>
      <c r="AR346" s="125">
        <f t="shared" si="685"/>
        <v>0</v>
      </c>
      <c r="AS346" s="125"/>
      <c r="AT346" s="125"/>
      <c r="AU346" s="125">
        <f t="shared" si="686"/>
        <v>0</v>
      </c>
      <c r="AV346" s="125"/>
      <c r="AW346" s="125"/>
      <c r="AX346" s="125">
        <f t="shared" si="687"/>
        <v>0</v>
      </c>
      <c r="AY346" s="125"/>
      <c r="AZ346" s="125"/>
      <c r="BA346" s="125">
        <f t="shared" si="688"/>
        <v>0</v>
      </c>
      <c r="BB346" s="125"/>
      <c r="BC346" s="125"/>
      <c r="BD346" s="125">
        <f t="shared" si="689"/>
        <v>0</v>
      </c>
      <c r="BE346" s="125"/>
      <c r="BF346" s="125"/>
      <c r="BG346" s="125">
        <f t="shared" si="690"/>
        <v>0</v>
      </c>
      <c r="BH346" s="125"/>
      <c r="BI346" s="125"/>
      <c r="BJ346" s="125">
        <f t="shared" si="691"/>
        <v>0</v>
      </c>
      <c r="BK346" s="125"/>
      <c r="BL346" s="312"/>
      <c r="BM346" s="317"/>
      <c r="BN346" s="320"/>
    </row>
    <row r="347" s="124" customFormat="1" ht="33.95" customHeight="1" outlineLevel="4" spans="2:66">
      <c r="B347" s="125" t="s">
        <v>792</v>
      </c>
      <c r="C347" s="126" t="s">
        <v>1520</v>
      </c>
      <c r="D347" s="124" t="s">
        <v>1521</v>
      </c>
      <c r="E347" s="125" t="s">
        <v>1522</v>
      </c>
      <c r="F347" s="125"/>
      <c r="G347" s="125" t="s">
        <v>936</v>
      </c>
      <c r="H347" s="125">
        <f t="shared" si="677"/>
        <v>0</v>
      </c>
      <c r="I347" s="125" t="s">
        <v>1235</v>
      </c>
      <c r="J347" s="304"/>
      <c r="K347" s="125" t="s">
        <v>1143</v>
      </c>
      <c r="L347" s="304"/>
      <c r="M347" s="125" t="s">
        <v>1176</v>
      </c>
      <c r="N347" s="125">
        <f t="shared" si="678"/>
        <v>0</v>
      </c>
      <c r="O347" s="304"/>
      <c r="P347" s="304"/>
      <c r="Q347" s="304"/>
      <c r="R347" s="304"/>
      <c r="S347" s="304"/>
      <c r="T347" s="304"/>
      <c r="U347" s="304"/>
      <c r="V347" s="304"/>
      <c r="W347" s="304"/>
      <c r="X347" s="304"/>
      <c r="Y347" s="304"/>
      <c r="Z347" s="304"/>
      <c r="AA347" s="125"/>
      <c r="AB347" s="125">
        <f t="shared" si="679"/>
        <v>0</v>
      </c>
      <c r="AC347" s="125">
        <f t="shared" si="680"/>
        <v>0</v>
      </c>
      <c r="AD347" s="125"/>
      <c r="AE347" s="125"/>
      <c r="AF347" s="125">
        <f t="shared" si="681"/>
        <v>0</v>
      </c>
      <c r="AG347" s="125"/>
      <c r="AH347" s="125"/>
      <c r="AI347" s="125">
        <f t="shared" si="682"/>
        <v>0</v>
      </c>
      <c r="AJ347" s="125"/>
      <c r="AK347" s="125"/>
      <c r="AL347" s="125">
        <f t="shared" si="683"/>
        <v>0</v>
      </c>
      <c r="AM347" s="125"/>
      <c r="AN347" s="125"/>
      <c r="AO347" s="125">
        <f t="shared" si="684"/>
        <v>0</v>
      </c>
      <c r="AP347" s="125"/>
      <c r="AQ347" s="125"/>
      <c r="AR347" s="125">
        <f t="shared" si="685"/>
        <v>0</v>
      </c>
      <c r="AS347" s="125"/>
      <c r="AT347" s="125"/>
      <c r="AU347" s="125">
        <f t="shared" si="686"/>
        <v>0</v>
      </c>
      <c r="AV347" s="125"/>
      <c r="AW347" s="125"/>
      <c r="AX347" s="125">
        <f t="shared" si="687"/>
        <v>0</v>
      </c>
      <c r="AY347" s="125"/>
      <c r="AZ347" s="125"/>
      <c r="BA347" s="125">
        <f t="shared" si="688"/>
        <v>0</v>
      </c>
      <c r="BB347" s="125"/>
      <c r="BC347" s="125"/>
      <c r="BD347" s="125">
        <f t="shared" si="689"/>
        <v>0</v>
      </c>
      <c r="BE347" s="125"/>
      <c r="BF347" s="125"/>
      <c r="BG347" s="125">
        <f t="shared" si="690"/>
        <v>0</v>
      </c>
      <c r="BH347" s="125"/>
      <c r="BI347" s="125"/>
      <c r="BJ347" s="125">
        <f t="shared" si="691"/>
        <v>0</v>
      </c>
      <c r="BK347" s="125"/>
      <c r="BL347" s="312"/>
      <c r="BM347" s="317"/>
      <c r="BN347" s="320"/>
    </row>
    <row r="348" s="124" customFormat="1" ht="33.95" customHeight="1" outlineLevel="4" spans="2:66">
      <c r="B348" s="125" t="s">
        <v>792</v>
      </c>
      <c r="C348" s="126" t="s">
        <v>1523</v>
      </c>
      <c r="D348" s="124" t="s">
        <v>1524</v>
      </c>
      <c r="E348" s="125" t="s">
        <v>1525</v>
      </c>
      <c r="F348" s="125"/>
      <c r="G348" s="125" t="s">
        <v>936</v>
      </c>
      <c r="H348" s="125">
        <f t="shared" si="677"/>
        <v>0</v>
      </c>
      <c r="I348" s="125" t="s">
        <v>1235</v>
      </c>
      <c r="J348" s="304"/>
      <c r="K348" s="125" t="s">
        <v>1143</v>
      </c>
      <c r="L348" s="304"/>
      <c r="M348" s="125" t="s">
        <v>1176</v>
      </c>
      <c r="N348" s="125">
        <f t="shared" si="678"/>
        <v>0</v>
      </c>
      <c r="O348" s="304"/>
      <c r="P348" s="304"/>
      <c r="Q348" s="304"/>
      <c r="R348" s="304"/>
      <c r="S348" s="304"/>
      <c r="T348" s="304"/>
      <c r="U348" s="304"/>
      <c r="V348" s="304"/>
      <c r="W348" s="304"/>
      <c r="X348" s="304"/>
      <c r="Y348" s="304"/>
      <c r="Z348" s="304"/>
      <c r="AA348" s="125"/>
      <c r="AB348" s="125">
        <f t="shared" si="679"/>
        <v>0</v>
      </c>
      <c r="AC348" s="125">
        <f t="shared" si="680"/>
        <v>0</v>
      </c>
      <c r="AD348" s="125"/>
      <c r="AE348" s="125"/>
      <c r="AF348" s="125">
        <f t="shared" si="681"/>
        <v>0</v>
      </c>
      <c r="AG348" s="125"/>
      <c r="AH348" s="125"/>
      <c r="AI348" s="125">
        <f t="shared" si="682"/>
        <v>0</v>
      </c>
      <c r="AJ348" s="125"/>
      <c r="AK348" s="125"/>
      <c r="AL348" s="125">
        <f t="shared" si="683"/>
        <v>0</v>
      </c>
      <c r="AM348" s="125"/>
      <c r="AN348" s="125"/>
      <c r="AO348" s="125">
        <f t="shared" si="684"/>
        <v>0</v>
      </c>
      <c r="AP348" s="125"/>
      <c r="AQ348" s="125"/>
      <c r="AR348" s="125">
        <f t="shared" si="685"/>
        <v>0</v>
      </c>
      <c r="AS348" s="125"/>
      <c r="AT348" s="125"/>
      <c r="AU348" s="125">
        <f t="shared" si="686"/>
        <v>0</v>
      </c>
      <c r="AV348" s="125"/>
      <c r="AW348" s="125"/>
      <c r="AX348" s="125">
        <f t="shared" si="687"/>
        <v>0</v>
      </c>
      <c r="AY348" s="125"/>
      <c r="AZ348" s="125"/>
      <c r="BA348" s="125">
        <f t="shared" si="688"/>
        <v>0</v>
      </c>
      <c r="BB348" s="125"/>
      <c r="BC348" s="125"/>
      <c r="BD348" s="125">
        <f t="shared" si="689"/>
        <v>0</v>
      </c>
      <c r="BE348" s="125"/>
      <c r="BF348" s="125"/>
      <c r="BG348" s="125">
        <f t="shared" si="690"/>
        <v>0</v>
      </c>
      <c r="BH348" s="125"/>
      <c r="BI348" s="125"/>
      <c r="BJ348" s="125">
        <f t="shared" si="691"/>
        <v>0</v>
      </c>
      <c r="BK348" s="125"/>
      <c r="BL348" s="312"/>
      <c r="BM348" s="317"/>
      <c r="BN348" s="320"/>
    </row>
    <row r="349" s="124" customFormat="1" ht="33.95" customHeight="1" outlineLevel="4" spans="2:66">
      <c r="B349" s="125" t="s">
        <v>792</v>
      </c>
      <c r="C349" s="126" t="s">
        <v>1526</v>
      </c>
      <c r="D349" s="124" t="s">
        <v>1527</v>
      </c>
      <c r="E349" s="125" t="s">
        <v>1528</v>
      </c>
      <c r="F349" s="125"/>
      <c r="G349" s="125" t="s">
        <v>936</v>
      </c>
      <c r="H349" s="125">
        <f t="shared" si="677"/>
        <v>0</v>
      </c>
      <c r="I349" s="125" t="s">
        <v>1529</v>
      </c>
      <c r="J349" s="125">
        <v>1</v>
      </c>
      <c r="K349" s="125" t="s">
        <v>1236</v>
      </c>
      <c r="L349" s="304"/>
      <c r="M349" s="125" t="s">
        <v>1530</v>
      </c>
      <c r="N349" s="125">
        <f t="shared" si="678"/>
        <v>0</v>
      </c>
      <c r="O349" s="304"/>
      <c r="P349" s="304"/>
      <c r="Q349" s="304"/>
      <c r="R349" s="304"/>
      <c r="S349" s="304"/>
      <c r="T349" s="304"/>
      <c r="U349" s="304"/>
      <c r="V349" s="304"/>
      <c r="W349" s="304"/>
      <c r="X349" s="304"/>
      <c r="Y349" s="304"/>
      <c r="Z349" s="304"/>
      <c r="AA349" s="125"/>
      <c r="AB349" s="125">
        <f t="shared" si="679"/>
        <v>0</v>
      </c>
      <c r="AC349" s="125">
        <f t="shared" si="680"/>
        <v>0</v>
      </c>
      <c r="AD349" s="125"/>
      <c r="AE349" s="125"/>
      <c r="AF349" s="125">
        <f t="shared" si="681"/>
        <v>0</v>
      </c>
      <c r="AG349" s="125"/>
      <c r="AH349" s="125"/>
      <c r="AI349" s="125">
        <f t="shared" si="682"/>
        <v>0</v>
      </c>
      <c r="AJ349" s="125"/>
      <c r="AK349" s="125"/>
      <c r="AL349" s="125">
        <f t="shared" si="683"/>
        <v>0</v>
      </c>
      <c r="AM349" s="125"/>
      <c r="AN349" s="125"/>
      <c r="AO349" s="125">
        <f t="shared" si="684"/>
        <v>0</v>
      </c>
      <c r="AP349" s="125"/>
      <c r="AQ349" s="125"/>
      <c r="AR349" s="125">
        <f t="shared" si="685"/>
        <v>0</v>
      </c>
      <c r="AS349" s="125"/>
      <c r="AT349" s="125"/>
      <c r="AU349" s="125">
        <f t="shared" si="686"/>
        <v>0</v>
      </c>
      <c r="AV349" s="125"/>
      <c r="AW349" s="125"/>
      <c r="AX349" s="125">
        <f t="shared" si="687"/>
        <v>0</v>
      </c>
      <c r="AY349" s="125"/>
      <c r="AZ349" s="125"/>
      <c r="BA349" s="125">
        <f t="shared" si="688"/>
        <v>0</v>
      </c>
      <c r="BB349" s="125"/>
      <c r="BC349" s="125"/>
      <c r="BD349" s="125">
        <f t="shared" si="689"/>
        <v>0</v>
      </c>
      <c r="BE349" s="125"/>
      <c r="BF349" s="125"/>
      <c r="BG349" s="125">
        <f t="shared" si="690"/>
        <v>0</v>
      </c>
      <c r="BH349" s="125"/>
      <c r="BI349" s="125"/>
      <c r="BJ349" s="125">
        <f t="shared" si="691"/>
        <v>0</v>
      </c>
      <c r="BK349" s="125"/>
      <c r="BL349" s="312"/>
      <c r="BM349" s="317"/>
      <c r="BN349" s="320"/>
    </row>
    <row r="350" s="124" customFormat="1" ht="33.95" customHeight="1" outlineLevel="4" spans="2:66">
      <c r="B350" s="125" t="s">
        <v>792</v>
      </c>
      <c r="C350" s="126" t="s">
        <v>1531</v>
      </c>
      <c r="D350" s="124" t="s">
        <v>1532</v>
      </c>
      <c r="E350" s="125" t="s">
        <v>1528</v>
      </c>
      <c r="F350" s="125"/>
      <c r="G350" s="125" t="s">
        <v>936</v>
      </c>
      <c r="H350" s="125">
        <f t="shared" si="677"/>
        <v>0</v>
      </c>
      <c r="I350" s="125" t="s">
        <v>1529</v>
      </c>
      <c r="J350" s="125">
        <v>1</v>
      </c>
      <c r="K350" s="125" t="s">
        <v>1236</v>
      </c>
      <c r="L350" s="304"/>
      <c r="M350" s="125" t="s">
        <v>1530</v>
      </c>
      <c r="N350" s="125">
        <f t="shared" si="678"/>
        <v>0</v>
      </c>
      <c r="O350" s="304"/>
      <c r="P350" s="304"/>
      <c r="Q350" s="304"/>
      <c r="R350" s="304"/>
      <c r="S350" s="304"/>
      <c r="T350" s="304"/>
      <c r="U350" s="304"/>
      <c r="V350" s="304"/>
      <c r="W350" s="304"/>
      <c r="X350" s="304"/>
      <c r="Y350" s="304"/>
      <c r="Z350" s="304"/>
      <c r="AA350" s="125"/>
      <c r="AB350" s="125">
        <f t="shared" si="679"/>
        <v>0</v>
      </c>
      <c r="AC350" s="125">
        <f t="shared" si="680"/>
        <v>0</v>
      </c>
      <c r="AD350" s="125"/>
      <c r="AE350" s="125"/>
      <c r="AF350" s="125">
        <f t="shared" si="681"/>
        <v>0</v>
      </c>
      <c r="AG350" s="125"/>
      <c r="AH350" s="125"/>
      <c r="AI350" s="125">
        <f t="shared" si="682"/>
        <v>0</v>
      </c>
      <c r="AJ350" s="125"/>
      <c r="AK350" s="125"/>
      <c r="AL350" s="125">
        <f t="shared" si="683"/>
        <v>0</v>
      </c>
      <c r="AM350" s="125"/>
      <c r="AN350" s="125"/>
      <c r="AO350" s="125">
        <f t="shared" si="684"/>
        <v>0</v>
      </c>
      <c r="AP350" s="125"/>
      <c r="AQ350" s="125"/>
      <c r="AR350" s="125">
        <f t="shared" si="685"/>
        <v>0</v>
      </c>
      <c r="AS350" s="125"/>
      <c r="AT350" s="125"/>
      <c r="AU350" s="125">
        <f t="shared" si="686"/>
        <v>0</v>
      </c>
      <c r="AV350" s="125"/>
      <c r="AW350" s="125"/>
      <c r="AX350" s="125">
        <f t="shared" si="687"/>
        <v>0</v>
      </c>
      <c r="AY350" s="125"/>
      <c r="AZ350" s="125"/>
      <c r="BA350" s="125">
        <f t="shared" si="688"/>
        <v>0</v>
      </c>
      <c r="BB350" s="125"/>
      <c r="BC350" s="125"/>
      <c r="BD350" s="125">
        <f t="shared" si="689"/>
        <v>0</v>
      </c>
      <c r="BE350" s="125"/>
      <c r="BF350" s="125"/>
      <c r="BG350" s="125">
        <f t="shared" si="690"/>
        <v>0</v>
      </c>
      <c r="BH350" s="125"/>
      <c r="BI350" s="125"/>
      <c r="BJ350" s="125">
        <f t="shared" si="691"/>
        <v>0</v>
      </c>
      <c r="BK350" s="125"/>
      <c r="BL350" s="312"/>
      <c r="BM350" s="317"/>
      <c r="BN350" s="320"/>
    </row>
    <row r="351" s="124" customFormat="1" ht="33.95" customHeight="1" outlineLevel="4" spans="2:66">
      <c r="B351" s="125" t="s">
        <v>792</v>
      </c>
      <c r="C351" s="126" t="s">
        <v>1533</v>
      </c>
      <c r="D351" s="124" t="s">
        <v>1534</v>
      </c>
      <c r="E351" s="125" t="s">
        <v>1528</v>
      </c>
      <c r="F351" s="125"/>
      <c r="G351" s="125" t="s">
        <v>936</v>
      </c>
      <c r="H351" s="125">
        <f t="shared" si="677"/>
        <v>0</v>
      </c>
      <c r="I351" s="125" t="s">
        <v>1529</v>
      </c>
      <c r="J351" s="125">
        <v>1</v>
      </c>
      <c r="K351" s="125" t="s">
        <v>1236</v>
      </c>
      <c r="L351" s="304"/>
      <c r="M351" s="125" t="s">
        <v>1530</v>
      </c>
      <c r="N351" s="125">
        <f t="shared" si="678"/>
        <v>0</v>
      </c>
      <c r="O351" s="304"/>
      <c r="P351" s="304"/>
      <c r="Q351" s="304"/>
      <c r="R351" s="304"/>
      <c r="S351" s="304"/>
      <c r="T351" s="304"/>
      <c r="U351" s="304"/>
      <c r="V351" s="304"/>
      <c r="W351" s="304"/>
      <c r="X351" s="304"/>
      <c r="Y351" s="304"/>
      <c r="Z351" s="304"/>
      <c r="AA351" s="125"/>
      <c r="AB351" s="125">
        <f t="shared" si="679"/>
        <v>0</v>
      </c>
      <c r="AC351" s="125">
        <f t="shared" si="680"/>
        <v>0</v>
      </c>
      <c r="AD351" s="125"/>
      <c r="AE351" s="125"/>
      <c r="AF351" s="125">
        <f t="shared" si="681"/>
        <v>0</v>
      </c>
      <c r="AG351" s="125"/>
      <c r="AH351" s="125"/>
      <c r="AI351" s="125">
        <f t="shared" si="682"/>
        <v>0</v>
      </c>
      <c r="AJ351" s="125"/>
      <c r="AK351" s="125"/>
      <c r="AL351" s="125">
        <f t="shared" si="683"/>
        <v>0</v>
      </c>
      <c r="AM351" s="125"/>
      <c r="AN351" s="125"/>
      <c r="AO351" s="125">
        <f t="shared" si="684"/>
        <v>0</v>
      </c>
      <c r="AP351" s="125"/>
      <c r="AQ351" s="125"/>
      <c r="AR351" s="125">
        <f t="shared" si="685"/>
        <v>0</v>
      </c>
      <c r="AS351" s="125"/>
      <c r="AT351" s="125"/>
      <c r="AU351" s="125">
        <f t="shared" si="686"/>
        <v>0</v>
      </c>
      <c r="AV351" s="125"/>
      <c r="AW351" s="125"/>
      <c r="AX351" s="125">
        <f t="shared" si="687"/>
        <v>0</v>
      </c>
      <c r="AY351" s="125"/>
      <c r="AZ351" s="125"/>
      <c r="BA351" s="125">
        <f t="shared" si="688"/>
        <v>0</v>
      </c>
      <c r="BB351" s="125"/>
      <c r="BC351" s="125"/>
      <c r="BD351" s="125">
        <f t="shared" si="689"/>
        <v>0</v>
      </c>
      <c r="BE351" s="125"/>
      <c r="BF351" s="125"/>
      <c r="BG351" s="125">
        <f t="shared" si="690"/>
        <v>0</v>
      </c>
      <c r="BH351" s="125"/>
      <c r="BI351" s="125"/>
      <c r="BJ351" s="125">
        <f t="shared" si="691"/>
        <v>0</v>
      </c>
      <c r="BK351" s="125"/>
      <c r="BL351" s="312"/>
      <c r="BM351" s="317"/>
      <c r="BN351" s="320"/>
    </row>
    <row r="352" s="124" customFormat="1" ht="33.95" customHeight="1" outlineLevel="4" spans="2:66">
      <c r="B352" s="125" t="s">
        <v>792</v>
      </c>
      <c r="C352" s="126" t="s">
        <v>1535</v>
      </c>
      <c r="D352" s="124" t="s">
        <v>1536</v>
      </c>
      <c r="E352" s="125" t="s">
        <v>1537</v>
      </c>
      <c r="F352" s="125"/>
      <c r="G352" s="125" t="s">
        <v>936</v>
      </c>
      <c r="H352" s="125">
        <f t="shared" si="677"/>
        <v>0</v>
      </c>
      <c r="I352" s="125" t="s">
        <v>1529</v>
      </c>
      <c r="J352" s="125">
        <v>1</v>
      </c>
      <c r="K352" s="125" t="s">
        <v>1236</v>
      </c>
      <c r="L352" s="304"/>
      <c r="M352" s="125" t="s">
        <v>1530</v>
      </c>
      <c r="N352" s="125">
        <f t="shared" si="678"/>
        <v>0</v>
      </c>
      <c r="O352" s="304"/>
      <c r="P352" s="304"/>
      <c r="Q352" s="304"/>
      <c r="R352" s="304"/>
      <c r="S352" s="304"/>
      <c r="T352" s="304"/>
      <c r="U352" s="304"/>
      <c r="V352" s="304"/>
      <c r="W352" s="304"/>
      <c r="X352" s="304"/>
      <c r="Y352" s="304"/>
      <c r="Z352" s="304"/>
      <c r="AA352" s="125"/>
      <c r="AB352" s="125">
        <f t="shared" si="679"/>
        <v>0</v>
      </c>
      <c r="AC352" s="125">
        <f t="shared" si="680"/>
        <v>0</v>
      </c>
      <c r="AD352" s="125"/>
      <c r="AE352" s="125"/>
      <c r="AF352" s="125">
        <f t="shared" si="681"/>
        <v>0</v>
      </c>
      <c r="AG352" s="125"/>
      <c r="AH352" s="125"/>
      <c r="AI352" s="125">
        <f t="shared" si="682"/>
        <v>0</v>
      </c>
      <c r="AJ352" s="125"/>
      <c r="AK352" s="125"/>
      <c r="AL352" s="125">
        <f t="shared" si="683"/>
        <v>0</v>
      </c>
      <c r="AM352" s="125"/>
      <c r="AN352" s="125"/>
      <c r="AO352" s="125">
        <f t="shared" si="684"/>
        <v>0</v>
      </c>
      <c r="AP352" s="125"/>
      <c r="AQ352" s="125"/>
      <c r="AR352" s="125">
        <f t="shared" si="685"/>
        <v>0</v>
      </c>
      <c r="AS352" s="125"/>
      <c r="AT352" s="125"/>
      <c r="AU352" s="125">
        <f t="shared" si="686"/>
        <v>0</v>
      </c>
      <c r="AV352" s="125"/>
      <c r="AW352" s="125"/>
      <c r="AX352" s="125">
        <f t="shared" si="687"/>
        <v>0</v>
      </c>
      <c r="AY352" s="125"/>
      <c r="AZ352" s="125"/>
      <c r="BA352" s="125">
        <f t="shared" si="688"/>
        <v>0</v>
      </c>
      <c r="BB352" s="125"/>
      <c r="BC352" s="125"/>
      <c r="BD352" s="125">
        <f t="shared" si="689"/>
        <v>0</v>
      </c>
      <c r="BE352" s="125"/>
      <c r="BF352" s="125"/>
      <c r="BG352" s="125">
        <f t="shared" si="690"/>
        <v>0</v>
      </c>
      <c r="BH352" s="125"/>
      <c r="BI352" s="125"/>
      <c r="BJ352" s="125">
        <f t="shared" si="691"/>
        <v>0</v>
      </c>
      <c r="BK352" s="125"/>
      <c r="BL352" s="312"/>
      <c r="BM352" s="317"/>
      <c r="BN352" s="320"/>
    </row>
    <row r="353" s="124" customFormat="1" ht="33.95" customHeight="1" outlineLevel="4" spans="2:66">
      <c r="B353" s="125" t="s">
        <v>792</v>
      </c>
      <c r="C353" s="126" t="s">
        <v>1538</v>
      </c>
      <c r="D353" s="124" t="s">
        <v>1539</v>
      </c>
      <c r="E353" s="125" t="s">
        <v>1540</v>
      </c>
      <c r="F353" s="125"/>
      <c r="G353" s="125" t="s">
        <v>936</v>
      </c>
      <c r="H353" s="125">
        <f t="shared" si="677"/>
        <v>0</v>
      </c>
      <c r="I353" s="125" t="s">
        <v>1235</v>
      </c>
      <c r="J353" s="304"/>
      <c r="K353" s="125" t="s">
        <v>1143</v>
      </c>
      <c r="L353" s="304"/>
      <c r="M353" s="125" t="s">
        <v>1176</v>
      </c>
      <c r="N353" s="125">
        <f t="shared" si="678"/>
        <v>0</v>
      </c>
      <c r="O353" s="304"/>
      <c r="P353" s="304"/>
      <c r="Q353" s="304"/>
      <c r="R353" s="304"/>
      <c r="S353" s="304"/>
      <c r="T353" s="304"/>
      <c r="U353" s="304"/>
      <c r="V353" s="304"/>
      <c r="W353" s="304"/>
      <c r="X353" s="304"/>
      <c r="Y353" s="304"/>
      <c r="Z353" s="304"/>
      <c r="AA353" s="125"/>
      <c r="AB353" s="125">
        <f t="shared" si="679"/>
        <v>0</v>
      </c>
      <c r="AC353" s="125">
        <f t="shared" si="680"/>
        <v>0</v>
      </c>
      <c r="AD353" s="125"/>
      <c r="AE353" s="125"/>
      <c r="AF353" s="125">
        <f t="shared" si="681"/>
        <v>0</v>
      </c>
      <c r="AG353" s="125"/>
      <c r="AH353" s="125"/>
      <c r="AI353" s="125">
        <f t="shared" si="682"/>
        <v>0</v>
      </c>
      <c r="AJ353" s="125"/>
      <c r="AK353" s="125"/>
      <c r="AL353" s="125">
        <f t="shared" si="683"/>
        <v>0</v>
      </c>
      <c r="AM353" s="125"/>
      <c r="AN353" s="125"/>
      <c r="AO353" s="125">
        <f t="shared" si="684"/>
        <v>0</v>
      </c>
      <c r="AP353" s="125"/>
      <c r="AQ353" s="125"/>
      <c r="AR353" s="125">
        <f t="shared" si="685"/>
        <v>0</v>
      </c>
      <c r="AS353" s="125"/>
      <c r="AT353" s="125"/>
      <c r="AU353" s="125">
        <f t="shared" si="686"/>
        <v>0</v>
      </c>
      <c r="AV353" s="125"/>
      <c r="AW353" s="125"/>
      <c r="AX353" s="125">
        <f t="shared" si="687"/>
        <v>0</v>
      </c>
      <c r="AY353" s="125"/>
      <c r="AZ353" s="125"/>
      <c r="BA353" s="125">
        <f t="shared" si="688"/>
        <v>0</v>
      </c>
      <c r="BB353" s="125"/>
      <c r="BC353" s="125"/>
      <c r="BD353" s="125">
        <f t="shared" si="689"/>
        <v>0</v>
      </c>
      <c r="BE353" s="125"/>
      <c r="BF353" s="125"/>
      <c r="BG353" s="125">
        <f t="shared" si="690"/>
        <v>0</v>
      </c>
      <c r="BH353" s="125"/>
      <c r="BI353" s="125"/>
      <c r="BJ353" s="125">
        <f t="shared" si="691"/>
        <v>0</v>
      </c>
      <c r="BK353" s="125"/>
      <c r="BL353" s="312"/>
      <c r="BM353" s="317"/>
      <c r="BN353" s="320"/>
    </row>
    <row r="354" s="124" customFormat="1" ht="33.95" customHeight="1" outlineLevel="4" spans="2:66">
      <c r="B354" s="125" t="s">
        <v>792</v>
      </c>
      <c r="C354" s="126" t="s">
        <v>1541</v>
      </c>
      <c r="D354" s="124" t="s">
        <v>1542</v>
      </c>
      <c r="E354" s="125" t="s">
        <v>1543</v>
      </c>
      <c r="F354" s="125"/>
      <c r="G354" s="125" t="s">
        <v>936</v>
      </c>
      <c r="H354" s="125">
        <f t="shared" si="677"/>
        <v>0</v>
      </c>
      <c r="I354" s="125" t="s">
        <v>1235</v>
      </c>
      <c r="J354" s="304"/>
      <c r="K354" s="125" t="s">
        <v>1143</v>
      </c>
      <c r="L354" s="304"/>
      <c r="M354" s="125" t="s">
        <v>1176</v>
      </c>
      <c r="N354" s="125">
        <f t="shared" si="678"/>
        <v>0</v>
      </c>
      <c r="O354" s="304"/>
      <c r="P354" s="304"/>
      <c r="Q354" s="304"/>
      <c r="R354" s="304"/>
      <c r="S354" s="304"/>
      <c r="T354" s="304"/>
      <c r="U354" s="304"/>
      <c r="V354" s="304"/>
      <c r="W354" s="304"/>
      <c r="X354" s="304"/>
      <c r="Y354" s="304"/>
      <c r="Z354" s="304"/>
      <c r="AA354" s="125"/>
      <c r="AB354" s="125">
        <f t="shared" si="679"/>
        <v>0</v>
      </c>
      <c r="AC354" s="125">
        <f t="shared" si="680"/>
        <v>0</v>
      </c>
      <c r="AD354" s="125"/>
      <c r="AE354" s="125"/>
      <c r="AF354" s="125">
        <f t="shared" si="681"/>
        <v>0</v>
      </c>
      <c r="AG354" s="125"/>
      <c r="AH354" s="125"/>
      <c r="AI354" s="125">
        <f t="shared" si="682"/>
        <v>0</v>
      </c>
      <c r="AJ354" s="125"/>
      <c r="AK354" s="125"/>
      <c r="AL354" s="125">
        <f t="shared" si="683"/>
        <v>0</v>
      </c>
      <c r="AM354" s="125"/>
      <c r="AN354" s="125"/>
      <c r="AO354" s="125">
        <f t="shared" si="684"/>
        <v>0</v>
      </c>
      <c r="AP354" s="125"/>
      <c r="AQ354" s="125"/>
      <c r="AR354" s="125">
        <f t="shared" si="685"/>
        <v>0</v>
      </c>
      <c r="AS354" s="125"/>
      <c r="AT354" s="125"/>
      <c r="AU354" s="125">
        <f t="shared" si="686"/>
        <v>0</v>
      </c>
      <c r="AV354" s="125"/>
      <c r="AW354" s="125"/>
      <c r="AX354" s="125">
        <f t="shared" si="687"/>
        <v>0</v>
      </c>
      <c r="AY354" s="125"/>
      <c r="AZ354" s="125"/>
      <c r="BA354" s="125">
        <f t="shared" si="688"/>
        <v>0</v>
      </c>
      <c r="BB354" s="125"/>
      <c r="BC354" s="125"/>
      <c r="BD354" s="125">
        <f t="shared" si="689"/>
        <v>0</v>
      </c>
      <c r="BE354" s="125"/>
      <c r="BF354" s="125"/>
      <c r="BG354" s="125">
        <f t="shared" si="690"/>
        <v>0</v>
      </c>
      <c r="BH354" s="125"/>
      <c r="BI354" s="125"/>
      <c r="BJ354" s="125">
        <f t="shared" si="691"/>
        <v>0</v>
      </c>
      <c r="BK354" s="125"/>
      <c r="BL354" s="312"/>
      <c r="BM354" s="317"/>
      <c r="BN354" s="320"/>
    </row>
    <row r="355" s="124" customFormat="1" ht="33.95" customHeight="1" outlineLevel="4" spans="2:66">
      <c r="B355" s="125" t="s">
        <v>792</v>
      </c>
      <c r="C355" s="126" t="s">
        <v>1544</v>
      </c>
      <c r="D355" s="124" t="s">
        <v>1545</v>
      </c>
      <c r="E355" s="125" t="s">
        <v>1546</v>
      </c>
      <c r="F355" s="125"/>
      <c r="G355" s="125" t="s">
        <v>936</v>
      </c>
      <c r="H355" s="125">
        <f t="shared" si="677"/>
        <v>0</v>
      </c>
      <c r="I355" s="125" t="s">
        <v>1235</v>
      </c>
      <c r="J355" s="304"/>
      <c r="K355" s="125" t="s">
        <v>1143</v>
      </c>
      <c r="L355" s="304"/>
      <c r="M355" s="125" t="s">
        <v>1176</v>
      </c>
      <c r="N355" s="125">
        <f t="shared" si="678"/>
        <v>0</v>
      </c>
      <c r="O355" s="304"/>
      <c r="P355" s="322"/>
      <c r="Q355" s="322"/>
      <c r="R355" s="322"/>
      <c r="S355" s="322"/>
      <c r="T355" s="322"/>
      <c r="U355" s="322"/>
      <c r="V355" s="322"/>
      <c r="W355" s="322"/>
      <c r="X355" s="322"/>
      <c r="Y355" s="322"/>
      <c r="Z355" s="322"/>
      <c r="AA355" s="125"/>
      <c r="AB355" s="125">
        <f t="shared" si="679"/>
        <v>0</v>
      </c>
      <c r="AC355" s="125">
        <f t="shared" si="680"/>
        <v>0</v>
      </c>
      <c r="AD355" s="125"/>
      <c r="AE355" s="125"/>
      <c r="AF355" s="125">
        <f t="shared" si="681"/>
        <v>0</v>
      </c>
      <c r="AG355" s="125"/>
      <c r="AH355" s="125"/>
      <c r="AI355" s="125">
        <f t="shared" si="682"/>
        <v>0</v>
      </c>
      <c r="AJ355" s="125"/>
      <c r="AK355" s="125"/>
      <c r="AL355" s="125">
        <f t="shared" si="683"/>
        <v>0</v>
      </c>
      <c r="AM355" s="125"/>
      <c r="AN355" s="125"/>
      <c r="AO355" s="125">
        <f t="shared" si="684"/>
        <v>0</v>
      </c>
      <c r="AP355" s="125"/>
      <c r="AQ355" s="125"/>
      <c r="AR355" s="125">
        <f t="shared" si="685"/>
        <v>0</v>
      </c>
      <c r="AS355" s="125"/>
      <c r="AT355" s="125"/>
      <c r="AU355" s="125">
        <f t="shared" si="686"/>
        <v>0</v>
      </c>
      <c r="AV355" s="125"/>
      <c r="AW355" s="125"/>
      <c r="AX355" s="125">
        <f t="shared" si="687"/>
        <v>0</v>
      </c>
      <c r="AY355" s="125"/>
      <c r="AZ355" s="125"/>
      <c r="BA355" s="125">
        <f t="shared" si="688"/>
        <v>0</v>
      </c>
      <c r="BB355" s="125"/>
      <c r="BC355" s="125"/>
      <c r="BD355" s="125">
        <f t="shared" si="689"/>
        <v>0</v>
      </c>
      <c r="BE355" s="125"/>
      <c r="BF355" s="125"/>
      <c r="BG355" s="125">
        <f t="shared" si="690"/>
        <v>0</v>
      </c>
      <c r="BH355" s="125"/>
      <c r="BI355" s="125"/>
      <c r="BJ355" s="125">
        <f t="shared" si="691"/>
        <v>0</v>
      </c>
      <c r="BK355" s="125"/>
      <c r="BL355" s="312"/>
      <c r="BM355" s="317"/>
      <c r="BN355" s="320"/>
    </row>
    <row r="356" s="43" customFormat="1" ht="33.95" customHeight="1" outlineLevel="3" spans="2:66">
      <c r="B356" s="121" t="s">
        <v>787</v>
      </c>
      <c r="C356" s="122" t="s">
        <v>1547</v>
      </c>
      <c r="D356" s="43" t="s">
        <v>1548</v>
      </c>
      <c r="E356" s="121"/>
      <c r="F356" s="121"/>
      <c r="G356" s="121"/>
      <c r="H356" s="121">
        <f>SUM(H357:H361)</f>
        <v>0</v>
      </c>
      <c r="I356" s="121"/>
      <c r="J356" s="121"/>
      <c r="K356" s="121"/>
      <c r="L356" s="121"/>
      <c r="M356" s="121"/>
      <c r="N356" s="121"/>
      <c r="O356" s="121"/>
      <c r="P356" s="294"/>
      <c r="Q356" s="294"/>
      <c r="R356" s="294"/>
      <c r="S356" s="294"/>
      <c r="T356" s="294"/>
      <c r="U356" s="294"/>
      <c r="V356" s="294"/>
      <c r="W356" s="294"/>
      <c r="X356" s="294"/>
      <c r="Y356" s="294"/>
      <c r="Z356" s="294"/>
      <c r="AA356" s="294"/>
      <c r="AB356" s="121">
        <f t="shared" ref="AB356:AF356" si="692">SUM(AB357:AB361)</f>
        <v>0</v>
      </c>
      <c r="AC356" s="121">
        <f t="shared" si="692"/>
        <v>0</v>
      </c>
      <c r="AD356" s="121"/>
      <c r="AE356" s="121"/>
      <c r="AF356" s="121">
        <f t="shared" si="692"/>
        <v>0</v>
      </c>
      <c r="AG356" s="121"/>
      <c r="AH356" s="121"/>
      <c r="AI356" s="121">
        <f>SUM(AI357:AI361)</f>
        <v>0</v>
      </c>
      <c r="AJ356" s="121"/>
      <c r="AK356" s="121"/>
      <c r="AL356" s="121">
        <f>SUM(AL357:AL361)</f>
        <v>0</v>
      </c>
      <c r="AM356" s="121"/>
      <c r="AN356" s="121"/>
      <c r="AO356" s="121">
        <f>SUM(AO357:AO361)</f>
        <v>0</v>
      </c>
      <c r="AP356" s="121"/>
      <c r="AQ356" s="121"/>
      <c r="AR356" s="121">
        <f>SUM(AR357:AR361)</f>
        <v>0</v>
      </c>
      <c r="AS356" s="121"/>
      <c r="AT356" s="121"/>
      <c r="AU356" s="121">
        <f>SUM(AU357:AU361)</f>
        <v>0</v>
      </c>
      <c r="AV356" s="121"/>
      <c r="AW356" s="121"/>
      <c r="AX356" s="121">
        <f>SUM(AX357:AX361)</f>
        <v>0</v>
      </c>
      <c r="AY356" s="121"/>
      <c r="AZ356" s="121"/>
      <c r="BA356" s="121">
        <f>SUM(BA357:BA361)</f>
        <v>0</v>
      </c>
      <c r="BB356" s="121"/>
      <c r="BC356" s="121"/>
      <c r="BD356" s="121">
        <f>SUM(BD357:BD361)</f>
        <v>0</v>
      </c>
      <c r="BE356" s="121"/>
      <c r="BF356" s="121"/>
      <c r="BG356" s="121">
        <f>SUM(BG357:BG361)</f>
        <v>0</v>
      </c>
      <c r="BH356" s="121"/>
      <c r="BI356" s="121"/>
      <c r="BJ356" s="121">
        <f>SUM(BJ357:BJ361)</f>
        <v>0</v>
      </c>
      <c r="BK356" s="121"/>
      <c r="BL356" s="311"/>
      <c r="BM356" s="317"/>
      <c r="BN356" s="319"/>
    </row>
    <row r="357" s="124" customFormat="1" ht="33.95" customHeight="1" outlineLevel="4" spans="2:66">
      <c r="B357" s="125" t="s">
        <v>792</v>
      </c>
      <c r="C357" s="126" t="s">
        <v>1549</v>
      </c>
      <c r="D357" s="124" t="s">
        <v>1550</v>
      </c>
      <c r="E357" s="125" t="s">
        <v>1551</v>
      </c>
      <c r="F357" s="125"/>
      <c r="G357" s="125" t="s">
        <v>936</v>
      </c>
      <c r="H357" s="125">
        <f t="shared" ref="H357:H361" si="693">IFERROR(J357*L357*N357,0)</f>
        <v>0</v>
      </c>
      <c r="I357" s="125" t="s">
        <v>1235</v>
      </c>
      <c r="J357" s="304"/>
      <c r="K357" s="125" t="s">
        <v>1389</v>
      </c>
      <c r="L357" s="304"/>
      <c r="M357" s="125" t="s">
        <v>1441</v>
      </c>
      <c r="N357" s="125">
        <f t="shared" ref="N357:N364" si="694">COUNTA(O357:Z357)</f>
        <v>0</v>
      </c>
      <c r="O357" s="304"/>
      <c r="P357" s="323"/>
      <c r="Q357" s="323"/>
      <c r="R357" s="323"/>
      <c r="S357" s="323"/>
      <c r="T357" s="323"/>
      <c r="U357" s="323"/>
      <c r="V357" s="323"/>
      <c r="W357" s="323"/>
      <c r="X357" s="323"/>
      <c r="Y357" s="323"/>
      <c r="Z357" s="323"/>
      <c r="AA357" s="125"/>
      <c r="AB357" s="125">
        <f t="shared" ref="AB357:AB364" si="695">SUM(AC357,AF357,AI357,AL357,AO357,AR357,AU357,AX357,BA357,BD357,BG357,BJ357)</f>
        <v>0</v>
      </c>
      <c r="AC357" s="125">
        <f t="shared" ref="AC357:AC364" si="696">IF(O357="",0,$J357*$L357)</f>
        <v>0</v>
      </c>
      <c r="AD357" s="125"/>
      <c r="AE357" s="125"/>
      <c r="AF357" s="125">
        <f t="shared" ref="AF357:AF364" si="697">IF(P357="",0,$J357*$L357)</f>
        <v>0</v>
      </c>
      <c r="AG357" s="125"/>
      <c r="AH357" s="125"/>
      <c r="AI357" s="125">
        <f t="shared" ref="AI357:AI364" si="698">IF(Q357="",0,$J357*$L357)</f>
        <v>0</v>
      </c>
      <c r="AJ357" s="125"/>
      <c r="AK357" s="125"/>
      <c r="AL357" s="125">
        <f t="shared" ref="AL357:AL364" si="699">IF(R357="",0,$J357*$L357)</f>
        <v>0</v>
      </c>
      <c r="AM357" s="125"/>
      <c r="AN357" s="125"/>
      <c r="AO357" s="125">
        <f t="shared" ref="AO357:AO364" si="700">IF(S357="",0,$J357*$L357)</f>
        <v>0</v>
      </c>
      <c r="AP357" s="125"/>
      <c r="AQ357" s="125"/>
      <c r="AR357" s="125">
        <f t="shared" ref="AR357:AR364" si="701">IF(T357="",0,$J357*$L357)</f>
        <v>0</v>
      </c>
      <c r="AS357" s="125"/>
      <c r="AT357" s="125"/>
      <c r="AU357" s="125">
        <f t="shared" ref="AU357:AU364" si="702">IF(U357="",0,$J357*$L357)</f>
        <v>0</v>
      </c>
      <c r="AV357" s="125"/>
      <c r="AW357" s="125"/>
      <c r="AX357" s="125">
        <f t="shared" ref="AX357:AX364" si="703">IF(V357="",0,$J357*$L357)</f>
        <v>0</v>
      </c>
      <c r="AY357" s="125"/>
      <c r="AZ357" s="125"/>
      <c r="BA357" s="125">
        <f t="shared" ref="BA357:BA364" si="704">IF(W357="",0,$J357*$L357)</f>
        <v>0</v>
      </c>
      <c r="BB357" s="125"/>
      <c r="BC357" s="125"/>
      <c r="BD357" s="125">
        <f t="shared" ref="BD357:BD364" si="705">IF(X357="",0,$J357*$L357)</f>
        <v>0</v>
      </c>
      <c r="BE357" s="125"/>
      <c r="BF357" s="125"/>
      <c r="BG357" s="125">
        <f t="shared" ref="BG357:BG364" si="706">IF(Y357="",0,$J357*$L357)</f>
        <v>0</v>
      </c>
      <c r="BH357" s="125"/>
      <c r="BI357" s="125"/>
      <c r="BJ357" s="125">
        <f t="shared" ref="BJ357:BJ364" si="707">IF(Z357="",0,$J357*$L357)</f>
        <v>0</v>
      </c>
      <c r="BK357" s="125"/>
      <c r="BL357" s="312"/>
      <c r="BM357" s="317"/>
      <c r="BN357" s="320"/>
    </row>
    <row r="358" s="124" customFormat="1" ht="33.95" customHeight="1" outlineLevel="4" spans="2:66">
      <c r="B358" s="125" t="s">
        <v>792</v>
      </c>
      <c r="C358" s="126" t="s">
        <v>1552</v>
      </c>
      <c r="D358" s="124" t="s">
        <v>1553</v>
      </c>
      <c r="E358" s="125" t="s">
        <v>1551</v>
      </c>
      <c r="F358" s="125"/>
      <c r="G358" s="125" t="s">
        <v>936</v>
      </c>
      <c r="H358" s="125">
        <f t="shared" si="693"/>
        <v>0</v>
      </c>
      <c r="I358" s="125" t="s">
        <v>1235</v>
      </c>
      <c r="J358" s="304"/>
      <c r="K358" s="125" t="s">
        <v>1389</v>
      </c>
      <c r="L358" s="304"/>
      <c r="M358" s="125" t="s">
        <v>1441</v>
      </c>
      <c r="N358" s="125">
        <f t="shared" si="694"/>
        <v>0</v>
      </c>
      <c r="O358" s="304"/>
      <c r="P358" s="304"/>
      <c r="Q358" s="304"/>
      <c r="R358" s="304"/>
      <c r="S358" s="304"/>
      <c r="T358" s="304"/>
      <c r="U358" s="304"/>
      <c r="V358" s="304"/>
      <c r="W358" s="304"/>
      <c r="X358" s="304"/>
      <c r="Y358" s="304"/>
      <c r="Z358" s="304"/>
      <c r="AA358" s="125"/>
      <c r="AB358" s="125">
        <f t="shared" si="695"/>
        <v>0</v>
      </c>
      <c r="AC358" s="125">
        <f t="shared" si="696"/>
        <v>0</v>
      </c>
      <c r="AD358" s="125"/>
      <c r="AE358" s="125"/>
      <c r="AF358" s="125">
        <f t="shared" si="697"/>
        <v>0</v>
      </c>
      <c r="AG358" s="125"/>
      <c r="AH358" s="125"/>
      <c r="AI358" s="125">
        <f t="shared" si="698"/>
        <v>0</v>
      </c>
      <c r="AJ358" s="125"/>
      <c r="AK358" s="125"/>
      <c r="AL358" s="125">
        <f t="shared" si="699"/>
        <v>0</v>
      </c>
      <c r="AM358" s="125"/>
      <c r="AN358" s="125"/>
      <c r="AO358" s="125">
        <f t="shared" si="700"/>
        <v>0</v>
      </c>
      <c r="AP358" s="125"/>
      <c r="AQ358" s="125"/>
      <c r="AR358" s="125">
        <f t="shared" si="701"/>
        <v>0</v>
      </c>
      <c r="AS358" s="125"/>
      <c r="AT358" s="125"/>
      <c r="AU358" s="125">
        <f t="shared" si="702"/>
        <v>0</v>
      </c>
      <c r="AV358" s="125"/>
      <c r="AW358" s="125"/>
      <c r="AX358" s="125">
        <f t="shared" si="703"/>
        <v>0</v>
      </c>
      <c r="AY358" s="125"/>
      <c r="AZ358" s="125"/>
      <c r="BA358" s="125">
        <f t="shared" si="704"/>
        <v>0</v>
      </c>
      <c r="BB358" s="125"/>
      <c r="BC358" s="125"/>
      <c r="BD358" s="125">
        <f t="shared" si="705"/>
        <v>0</v>
      </c>
      <c r="BE358" s="125"/>
      <c r="BF358" s="125"/>
      <c r="BG358" s="125">
        <f t="shared" si="706"/>
        <v>0</v>
      </c>
      <c r="BH358" s="125"/>
      <c r="BI358" s="125"/>
      <c r="BJ358" s="125">
        <f t="shared" si="707"/>
        <v>0</v>
      </c>
      <c r="BK358" s="125"/>
      <c r="BL358" s="312"/>
      <c r="BM358" s="317"/>
      <c r="BN358" s="320"/>
    </row>
    <row r="359" s="124" customFormat="1" ht="33.95" customHeight="1" outlineLevel="4" spans="2:66">
      <c r="B359" s="125" t="s">
        <v>792</v>
      </c>
      <c r="C359" s="126" t="s">
        <v>1554</v>
      </c>
      <c r="D359" s="124" t="s">
        <v>1555</v>
      </c>
      <c r="E359" s="125" t="s">
        <v>1556</v>
      </c>
      <c r="F359" s="125"/>
      <c r="G359" s="125" t="s">
        <v>936</v>
      </c>
      <c r="H359" s="125">
        <f t="shared" si="693"/>
        <v>0</v>
      </c>
      <c r="I359" s="125" t="s">
        <v>1235</v>
      </c>
      <c r="J359" s="304"/>
      <c r="K359" s="125" t="s">
        <v>1389</v>
      </c>
      <c r="L359" s="304"/>
      <c r="M359" s="125" t="s">
        <v>1441</v>
      </c>
      <c r="N359" s="125">
        <f t="shared" si="694"/>
        <v>0</v>
      </c>
      <c r="O359" s="304"/>
      <c r="P359" s="304"/>
      <c r="Q359" s="304"/>
      <c r="R359" s="304"/>
      <c r="S359" s="304"/>
      <c r="T359" s="304"/>
      <c r="U359" s="304"/>
      <c r="V359" s="304"/>
      <c r="W359" s="304"/>
      <c r="X359" s="304"/>
      <c r="Y359" s="304"/>
      <c r="Z359" s="304"/>
      <c r="AA359" s="125"/>
      <c r="AB359" s="125">
        <f t="shared" si="695"/>
        <v>0</v>
      </c>
      <c r="AC359" s="125">
        <f t="shared" si="696"/>
        <v>0</v>
      </c>
      <c r="AD359" s="125"/>
      <c r="AE359" s="125"/>
      <c r="AF359" s="125">
        <f t="shared" si="697"/>
        <v>0</v>
      </c>
      <c r="AG359" s="125"/>
      <c r="AH359" s="125"/>
      <c r="AI359" s="125">
        <f t="shared" si="698"/>
        <v>0</v>
      </c>
      <c r="AJ359" s="125"/>
      <c r="AK359" s="125"/>
      <c r="AL359" s="125">
        <f t="shared" si="699"/>
        <v>0</v>
      </c>
      <c r="AM359" s="125"/>
      <c r="AN359" s="125"/>
      <c r="AO359" s="125">
        <f t="shared" si="700"/>
        <v>0</v>
      </c>
      <c r="AP359" s="125"/>
      <c r="AQ359" s="125"/>
      <c r="AR359" s="125">
        <f t="shared" si="701"/>
        <v>0</v>
      </c>
      <c r="AS359" s="125"/>
      <c r="AT359" s="125"/>
      <c r="AU359" s="125">
        <f t="shared" si="702"/>
        <v>0</v>
      </c>
      <c r="AV359" s="125"/>
      <c r="AW359" s="125"/>
      <c r="AX359" s="125">
        <f t="shared" si="703"/>
        <v>0</v>
      </c>
      <c r="AY359" s="125"/>
      <c r="AZ359" s="125"/>
      <c r="BA359" s="125">
        <f t="shared" si="704"/>
        <v>0</v>
      </c>
      <c r="BB359" s="125"/>
      <c r="BC359" s="125"/>
      <c r="BD359" s="125">
        <f t="shared" si="705"/>
        <v>0</v>
      </c>
      <c r="BE359" s="125"/>
      <c r="BF359" s="125"/>
      <c r="BG359" s="125">
        <f t="shared" si="706"/>
        <v>0</v>
      </c>
      <c r="BH359" s="125"/>
      <c r="BI359" s="125"/>
      <c r="BJ359" s="125">
        <f t="shared" si="707"/>
        <v>0</v>
      </c>
      <c r="BK359" s="125"/>
      <c r="BL359" s="312"/>
      <c r="BM359" s="317"/>
      <c r="BN359" s="320"/>
    </row>
    <row r="360" s="124" customFormat="1" ht="33.95" customHeight="1" outlineLevel="4" spans="2:66">
      <c r="B360" s="125" t="s">
        <v>792</v>
      </c>
      <c r="C360" s="126" t="s">
        <v>1557</v>
      </c>
      <c r="D360" s="124" t="s">
        <v>1558</v>
      </c>
      <c r="E360" s="125" t="s">
        <v>1551</v>
      </c>
      <c r="F360" s="125"/>
      <c r="G360" s="125" t="s">
        <v>936</v>
      </c>
      <c r="H360" s="125">
        <f t="shared" si="693"/>
        <v>0</v>
      </c>
      <c r="I360" s="125" t="s">
        <v>1235</v>
      </c>
      <c r="J360" s="304"/>
      <c r="K360" s="125" t="s">
        <v>1389</v>
      </c>
      <c r="L360" s="304"/>
      <c r="M360" s="125" t="s">
        <v>1441</v>
      </c>
      <c r="N360" s="125">
        <f t="shared" si="694"/>
        <v>0</v>
      </c>
      <c r="O360" s="304"/>
      <c r="P360" s="304"/>
      <c r="Q360" s="304"/>
      <c r="R360" s="304"/>
      <c r="S360" s="304"/>
      <c r="T360" s="304"/>
      <c r="U360" s="304"/>
      <c r="V360" s="304"/>
      <c r="W360" s="304"/>
      <c r="X360" s="304"/>
      <c r="Y360" s="304"/>
      <c r="Z360" s="304"/>
      <c r="AA360" s="125"/>
      <c r="AB360" s="125">
        <f t="shared" si="695"/>
        <v>0</v>
      </c>
      <c r="AC360" s="125">
        <f t="shared" si="696"/>
        <v>0</v>
      </c>
      <c r="AD360" s="125"/>
      <c r="AE360" s="125"/>
      <c r="AF360" s="125">
        <f t="shared" si="697"/>
        <v>0</v>
      </c>
      <c r="AG360" s="125"/>
      <c r="AH360" s="125"/>
      <c r="AI360" s="125">
        <f t="shared" si="698"/>
        <v>0</v>
      </c>
      <c r="AJ360" s="125"/>
      <c r="AK360" s="125"/>
      <c r="AL360" s="125">
        <f t="shared" si="699"/>
        <v>0</v>
      </c>
      <c r="AM360" s="125"/>
      <c r="AN360" s="125"/>
      <c r="AO360" s="125">
        <f t="shared" si="700"/>
        <v>0</v>
      </c>
      <c r="AP360" s="125"/>
      <c r="AQ360" s="125"/>
      <c r="AR360" s="125">
        <f t="shared" si="701"/>
        <v>0</v>
      </c>
      <c r="AS360" s="125"/>
      <c r="AT360" s="125"/>
      <c r="AU360" s="125">
        <f t="shared" si="702"/>
        <v>0</v>
      </c>
      <c r="AV360" s="125"/>
      <c r="AW360" s="125"/>
      <c r="AX360" s="125">
        <f t="shared" si="703"/>
        <v>0</v>
      </c>
      <c r="AY360" s="125"/>
      <c r="AZ360" s="125"/>
      <c r="BA360" s="125">
        <f t="shared" si="704"/>
        <v>0</v>
      </c>
      <c r="BB360" s="125"/>
      <c r="BC360" s="125"/>
      <c r="BD360" s="125">
        <f t="shared" si="705"/>
        <v>0</v>
      </c>
      <c r="BE360" s="125"/>
      <c r="BF360" s="125"/>
      <c r="BG360" s="125">
        <f t="shared" si="706"/>
        <v>0</v>
      </c>
      <c r="BH360" s="125"/>
      <c r="BI360" s="125"/>
      <c r="BJ360" s="125">
        <f t="shared" si="707"/>
        <v>0</v>
      </c>
      <c r="BK360" s="125"/>
      <c r="BL360" s="312"/>
      <c r="BM360" s="317"/>
      <c r="BN360" s="320"/>
    </row>
    <row r="361" s="124" customFormat="1" ht="33.95" customHeight="1" outlineLevel="4" spans="2:66">
      <c r="B361" s="125" t="s">
        <v>792</v>
      </c>
      <c r="C361" s="126" t="s">
        <v>1559</v>
      </c>
      <c r="D361" s="124" t="s">
        <v>1560</v>
      </c>
      <c r="E361" s="125" t="s">
        <v>1561</v>
      </c>
      <c r="F361" s="125"/>
      <c r="G361" s="125" t="s">
        <v>936</v>
      </c>
      <c r="H361" s="125">
        <f t="shared" si="693"/>
        <v>0</v>
      </c>
      <c r="I361" s="125" t="s">
        <v>1235</v>
      </c>
      <c r="J361" s="304"/>
      <c r="K361" s="125" t="s">
        <v>1389</v>
      </c>
      <c r="L361" s="304"/>
      <c r="M361" s="125" t="s">
        <v>1441</v>
      </c>
      <c r="N361" s="125">
        <f t="shared" si="694"/>
        <v>0</v>
      </c>
      <c r="O361" s="304"/>
      <c r="P361" s="304"/>
      <c r="Q361" s="304"/>
      <c r="R361" s="304"/>
      <c r="S361" s="304"/>
      <c r="T361" s="304"/>
      <c r="U361" s="304"/>
      <c r="V361" s="304"/>
      <c r="W361" s="304"/>
      <c r="X361" s="304"/>
      <c r="Y361" s="304"/>
      <c r="Z361" s="304"/>
      <c r="AA361" s="125"/>
      <c r="AB361" s="125">
        <f t="shared" si="695"/>
        <v>0</v>
      </c>
      <c r="AC361" s="125">
        <f t="shared" si="696"/>
        <v>0</v>
      </c>
      <c r="AD361" s="125"/>
      <c r="AE361" s="125"/>
      <c r="AF361" s="125">
        <f t="shared" si="697"/>
        <v>0</v>
      </c>
      <c r="AG361" s="125"/>
      <c r="AH361" s="125"/>
      <c r="AI361" s="125">
        <f t="shared" si="698"/>
        <v>0</v>
      </c>
      <c r="AJ361" s="125"/>
      <c r="AK361" s="125"/>
      <c r="AL361" s="125">
        <f t="shared" si="699"/>
        <v>0</v>
      </c>
      <c r="AM361" s="125"/>
      <c r="AN361" s="125"/>
      <c r="AO361" s="125">
        <f t="shared" si="700"/>
        <v>0</v>
      </c>
      <c r="AP361" s="125"/>
      <c r="AQ361" s="125"/>
      <c r="AR361" s="125">
        <f t="shared" si="701"/>
        <v>0</v>
      </c>
      <c r="AS361" s="125"/>
      <c r="AT361" s="125"/>
      <c r="AU361" s="125">
        <f t="shared" si="702"/>
        <v>0</v>
      </c>
      <c r="AV361" s="125"/>
      <c r="AW361" s="125"/>
      <c r="AX361" s="125">
        <f t="shared" si="703"/>
        <v>0</v>
      </c>
      <c r="AY361" s="125"/>
      <c r="AZ361" s="125"/>
      <c r="BA361" s="125">
        <f t="shared" si="704"/>
        <v>0</v>
      </c>
      <c r="BB361" s="125"/>
      <c r="BC361" s="125"/>
      <c r="BD361" s="125">
        <f t="shared" si="705"/>
        <v>0</v>
      </c>
      <c r="BE361" s="125"/>
      <c r="BF361" s="125"/>
      <c r="BG361" s="125">
        <f t="shared" si="706"/>
        <v>0</v>
      </c>
      <c r="BH361" s="125"/>
      <c r="BI361" s="125"/>
      <c r="BJ361" s="125">
        <f t="shared" si="707"/>
        <v>0</v>
      </c>
      <c r="BK361" s="125"/>
      <c r="BL361" s="312"/>
      <c r="BM361" s="317"/>
      <c r="BN361" s="320"/>
    </row>
    <row r="362" s="43" customFormat="1" ht="33.95" customHeight="1" outlineLevel="3" spans="2:66">
      <c r="B362" s="121" t="s">
        <v>792</v>
      </c>
      <c r="C362" s="122" t="s">
        <v>1562</v>
      </c>
      <c r="D362" s="43" t="s">
        <v>1563</v>
      </c>
      <c r="E362" s="121" t="s">
        <v>1564</v>
      </c>
      <c r="F362" s="121"/>
      <c r="G362" s="121" t="s">
        <v>936</v>
      </c>
      <c r="H362" s="121">
        <f t="shared" ref="H362:H369" si="708">J362*L362*N362</f>
        <v>0</v>
      </c>
      <c r="I362" s="121" t="s">
        <v>1340</v>
      </c>
      <c r="J362" s="304"/>
      <c r="K362" s="121" t="s">
        <v>1389</v>
      </c>
      <c r="L362" s="304"/>
      <c r="M362" s="121" t="s">
        <v>1441</v>
      </c>
      <c r="N362" s="121">
        <f t="shared" si="694"/>
        <v>0</v>
      </c>
      <c r="O362" s="304"/>
      <c r="P362" s="304"/>
      <c r="Q362" s="304"/>
      <c r="R362" s="304"/>
      <c r="S362" s="304"/>
      <c r="T362" s="304"/>
      <c r="U362" s="304"/>
      <c r="V362" s="304"/>
      <c r="W362" s="304"/>
      <c r="X362" s="304"/>
      <c r="Y362" s="304"/>
      <c r="Z362" s="304"/>
      <c r="AA362" s="121"/>
      <c r="AB362" s="121">
        <f t="shared" si="695"/>
        <v>0</v>
      </c>
      <c r="AC362" s="121">
        <f t="shared" si="696"/>
        <v>0</v>
      </c>
      <c r="AD362" s="121"/>
      <c r="AE362" s="121"/>
      <c r="AF362" s="121">
        <f t="shared" si="697"/>
        <v>0</v>
      </c>
      <c r="AG362" s="121"/>
      <c r="AH362" s="121"/>
      <c r="AI362" s="121">
        <f t="shared" si="698"/>
        <v>0</v>
      </c>
      <c r="AJ362" s="121"/>
      <c r="AK362" s="121"/>
      <c r="AL362" s="121">
        <f t="shared" si="699"/>
        <v>0</v>
      </c>
      <c r="AM362" s="121"/>
      <c r="AN362" s="121"/>
      <c r="AO362" s="121">
        <f t="shared" si="700"/>
        <v>0</v>
      </c>
      <c r="AP362" s="121"/>
      <c r="AQ362" s="121"/>
      <c r="AR362" s="121">
        <f t="shared" si="701"/>
        <v>0</v>
      </c>
      <c r="AS362" s="121"/>
      <c r="AT362" s="121"/>
      <c r="AU362" s="121">
        <f t="shared" si="702"/>
        <v>0</v>
      </c>
      <c r="AV362" s="121"/>
      <c r="AW362" s="121"/>
      <c r="AX362" s="121">
        <f t="shared" si="703"/>
        <v>0</v>
      </c>
      <c r="AY362" s="121"/>
      <c r="AZ362" s="121"/>
      <c r="BA362" s="121">
        <f t="shared" si="704"/>
        <v>0</v>
      </c>
      <c r="BB362" s="121"/>
      <c r="BC362" s="121"/>
      <c r="BD362" s="121">
        <f t="shared" si="705"/>
        <v>0</v>
      </c>
      <c r="BE362" s="121"/>
      <c r="BF362" s="121"/>
      <c r="BG362" s="121">
        <f t="shared" si="706"/>
        <v>0</v>
      </c>
      <c r="BH362" s="121"/>
      <c r="BI362" s="121"/>
      <c r="BJ362" s="121">
        <f t="shared" si="707"/>
        <v>0</v>
      </c>
      <c r="BK362" s="121"/>
      <c r="BL362" s="311"/>
      <c r="BM362" s="317"/>
      <c r="BN362" s="319"/>
    </row>
    <row r="363" s="43" customFormat="1" ht="33.95" customHeight="1" outlineLevel="3" spans="2:66">
      <c r="B363" s="121" t="s">
        <v>792</v>
      </c>
      <c r="C363" s="122" t="s">
        <v>1565</v>
      </c>
      <c r="D363" s="43" t="s">
        <v>1566</v>
      </c>
      <c r="E363" s="121" t="s">
        <v>1567</v>
      </c>
      <c r="F363" s="121"/>
      <c r="G363" s="121" t="s">
        <v>936</v>
      </c>
      <c r="H363" s="121">
        <f t="shared" si="708"/>
        <v>0</v>
      </c>
      <c r="I363" s="121" t="s">
        <v>1025</v>
      </c>
      <c r="J363" s="121">
        <f>AVERAGE('1-1 项目基础信息'!$H$9:$S$9)</f>
        <v>252764</v>
      </c>
      <c r="K363" s="121" t="s">
        <v>1026</v>
      </c>
      <c r="L363" s="304"/>
      <c r="M363" s="121" t="s">
        <v>1189</v>
      </c>
      <c r="N363" s="121">
        <f t="shared" si="694"/>
        <v>0</v>
      </c>
      <c r="O363" s="304"/>
      <c r="P363" s="304"/>
      <c r="Q363" s="304"/>
      <c r="R363" s="304"/>
      <c r="S363" s="304"/>
      <c r="T363" s="304"/>
      <c r="U363" s="304"/>
      <c r="V363" s="304"/>
      <c r="W363" s="304"/>
      <c r="X363" s="304"/>
      <c r="Y363" s="304"/>
      <c r="Z363" s="304"/>
      <c r="AA363" s="121"/>
      <c r="AB363" s="121">
        <f t="shared" si="695"/>
        <v>0</v>
      </c>
      <c r="AC363" s="121">
        <f t="shared" si="696"/>
        <v>0</v>
      </c>
      <c r="AD363" s="121"/>
      <c r="AE363" s="121"/>
      <c r="AF363" s="121">
        <f t="shared" si="697"/>
        <v>0</v>
      </c>
      <c r="AG363" s="121"/>
      <c r="AH363" s="121"/>
      <c r="AI363" s="121">
        <f t="shared" si="698"/>
        <v>0</v>
      </c>
      <c r="AJ363" s="121"/>
      <c r="AK363" s="121"/>
      <c r="AL363" s="121">
        <f t="shared" si="699"/>
        <v>0</v>
      </c>
      <c r="AM363" s="121"/>
      <c r="AN363" s="121"/>
      <c r="AO363" s="121">
        <f t="shared" si="700"/>
        <v>0</v>
      </c>
      <c r="AP363" s="121"/>
      <c r="AQ363" s="121"/>
      <c r="AR363" s="121">
        <f t="shared" si="701"/>
        <v>0</v>
      </c>
      <c r="AS363" s="121"/>
      <c r="AT363" s="121"/>
      <c r="AU363" s="121">
        <f t="shared" si="702"/>
        <v>0</v>
      </c>
      <c r="AV363" s="121"/>
      <c r="AW363" s="121"/>
      <c r="AX363" s="121">
        <f t="shared" si="703"/>
        <v>0</v>
      </c>
      <c r="AY363" s="121"/>
      <c r="AZ363" s="121"/>
      <c r="BA363" s="121">
        <f t="shared" si="704"/>
        <v>0</v>
      </c>
      <c r="BB363" s="121"/>
      <c r="BC363" s="121"/>
      <c r="BD363" s="121">
        <f t="shared" si="705"/>
        <v>0</v>
      </c>
      <c r="BE363" s="121"/>
      <c r="BF363" s="121"/>
      <c r="BG363" s="121">
        <f t="shared" si="706"/>
        <v>0</v>
      </c>
      <c r="BH363" s="121"/>
      <c r="BI363" s="121"/>
      <c r="BJ363" s="121">
        <f t="shared" si="707"/>
        <v>0</v>
      </c>
      <c r="BK363" s="121"/>
      <c r="BL363" s="311"/>
      <c r="BM363" s="317"/>
      <c r="BN363" s="319"/>
    </row>
    <row r="364" s="43" customFormat="1" ht="33.95" customHeight="1" outlineLevel="3" spans="2:66">
      <c r="B364" s="121" t="s">
        <v>792</v>
      </c>
      <c r="C364" s="122" t="s">
        <v>1568</v>
      </c>
      <c r="D364" s="43" t="s">
        <v>1569</v>
      </c>
      <c r="E364" s="121" t="s">
        <v>1570</v>
      </c>
      <c r="F364" s="121"/>
      <c r="G364" s="121" t="s">
        <v>936</v>
      </c>
      <c r="H364" s="121">
        <f t="shared" si="708"/>
        <v>0</v>
      </c>
      <c r="I364" s="121" t="s">
        <v>1175</v>
      </c>
      <c r="J364" s="304"/>
      <c r="K364" s="121" t="s">
        <v>1389</v>
      </c>
      <c r="L364" s="304"/>
      <c r="M364" s="121" t="s">
        <v>1441</v>
      </c>
      <c r="N364" s="121">
        <f t="shared" si="694"/>
        <v>0</v>
      </c>
      <c r="O364" s="304"/>
      <c r="P364" s="322"/>
      <c r="Q364" s="322"/>
      <c r="R364" s="322"/>
      <c r="S364" s="322"/>
      <c r="T364" s="322"/>
      <c r="U364" s="322"/>
      <c r="V364" s="322"/>
      <c r="W364" s="322"/>
      <c r="X364" s="322"/>
      <c r="Y364" s="322"/>
      <c r="Z364" s="322"/>
      <c r="AA364" s="121"/>
      <c r="AB364" s="121">
        <f t="shared" si="695"/>
        <v>0</v>
      </c>
      <c r="AC364" s="121">
        <f t="shared" si="696"/>
        <v>0</v>
      </c>
      <c r="AD364" s="121"/>
      <c r="AE364" s="121"/>
      <c r="AF364" s="121">
        <f t="shared" si="697"/>
        <v>0</v>
      </c>
      <c r="AG364" s="121"/>
      <c r="AH364" s="121"/>
      <c r="AI364" s="121">
        <f t="shared" si="698"/>
        <v>0</v>
      </c>
      <c r="AJ364" s="121"/>
      <c r="AK364" s="121"/>
      <c r="AL364" s="121">
        <f t="shared" si="699"/>
        <v>0</v>
      </c>
      <c r="AM364" s="121"/>
      <c r="AN364" s="121"/>
      <c r="AO364" s="121">
        <f t="shared" si="700"/>
        <v>0</v>
      </c>
      <c r="AP364" s="121"/>
      <c r="AQ364" s="121"/>
      <c r="AR364" s="121">
        <f t="shared" si="701"/>
        <v>0</v>
      </c>
      <c r="AS364" s="121"/>
      <c r="AT364" s="121"/>
      <c r="AU364" s="121">
        <f t="shared" si="702"/>
        <v>0</v>
      </c>
      <c r="AV364" s="121"/>
      <c r="AW364" s="121"/>
      <c r="AX364" s="121">
        <f t="shared" si="703"/>
        <v>0</v>
      </c>
      <c r="AY364" s="121"/>
      <c r="AZ364" s="121"/>
      <c r="BA364" s="121">
        <f t="shared" si="704"/>
        <v>0</v>
      </c>
      <c r="BB364" s="121"/>
      <c r="BC364" s="121"/>
      <c r="BD364" s="121">
        <f t="shared" si="705"/>
        <v>0</v>
      </c>
      <c r="BE364" s="121"/>
      <c r="BF364" s="121"/>
      <c r="BG364" s="121">
        <f t="shared" si="706"/>
        <v>0</v>
      </c>
      <c r="BH364" s="121"/>
      <c r="BI364" s="121"/>
      <c r="BJ364" s="121">
        <f t="shared" si="707"/>
        <v>0</v>
      </c>
      <c r="BK364" s="121"/>
      <c r="BL364" s="311"/>
      <c r="BM364" s="317"/>
      <c r="BN364" s="319"/>
    </row>
    <row r="365" s="43" customFormat="1" ht="33.95" customHeight="1" outlineLevel="3" spans="2:66">
      <c r="B365" s="121" t="s">
        <v>787</v>
      </c>
      <c r="C365" s="122" t="s">
        <v>1571</v>
      </c>
      <c r="D365" s="43" t="s">
        <v>1572</v>
      </c>
      <c r="E365" s="121"/>
      <c r="F365" s="121"/>
      <c r="G365" s="121" t="s">
        <v>936</v>
      </c>
      <c r="H365" s="121">
        <f>SUM(H366:H370)</f>
        <v>0</v>
      </c>
      <c r="I365" s="121"/>
      <c r="J365" s="121"/>
      <c r="K365" s="121"/>
      <c r="L365" s="121"/>
      <c r="M365" s="121"/>
      <c r="N365" s="121"/>
      <c r="O365" s="121"/>
      <c r="P365" s="294"/>
      <c r="Q365" s="294"/>
      <c r="R365" s="294"/>
      <c r="S365" s="294"/>
      <c r="T365" s="294"/>
      <c r="U365" s="294"/>
      <c r="V365" s="294"/>
      <c r="W365" s="294"/>
      <c r="X365" s="294"/>
      <c r="Y365" s="294"/>
      <c r="Z365" s="294"/>
      <c r="AA365" s="294"/>
      <c r="AB365" s="121">
        <f t="shared" ref="AB365:AF365" si="709">SUM(AB366:AB370)</f>
        <v>0</v>
      </c>
      <c r="AC365" s="121">
        <f t="shared" si="709"/>
        <v>0</v>
      </c>
      <c r="AD365" s="121"/>
      <c r="AE365" s="121"/>
      <c r="AF365" s="121">
        <f t="shared" si="709"/>
        <v>0</v>
      </c>
      <c r="AG365" s="121"/>
      <c r="AH365" s="121"/>
      <c r="AI365" s="121">
        <f>SUM(AI366:AI370)</f>
        <v>0</v>
      </c>
      <c r="AJ365" s="121"/>
      <c r="AK365" s="121"/>
      <c r="AL365" s="121">
        <f>SUM(AL366:AL370)</f>
        <v>0</v>
      </c>
      <c r="AM365" s="121"/>
      <c r="AN365" s="121"/>
      <c r="AO365" s="121">
        <f>SUM(AO366:AO370)</f>
        <v>0</v>
      </c>
      <c r="AP365" s="121"/>
      <c r="AQ365" s="121"/>
      <c r="AR365" s="121">
        <f>SUM(AR366:AR370)</f>
        <v>0</v>
      </c>
      <c r="AS365" s="121"/>
      <c r="AT365" s="121"/>
      <c r="AU365" s="121">
        <f>SUM(AU366:AU370)</f>
        <v>0</v>
      </c>
      <c r="AV365" s="121"/>
      <c r="AW365" s="121"/>
      <c r="AX365" s="121">
        <f>SUM(AX366:AX370)</f>
        <v>0</v>
      </c>
      <c r="AY365" s="121"/>
      <c r="AZ365" s="121"/>
      <c r="BA365" s="121">
        <f>SUM(BA366:BA370)</f>
        <v>0</v>
      </c>
      <c r="BB365" s="121"/>
      <c r="BC365" s="121"/>
      <c r="BD365" s="121">
        <f>SUM(BD366:BD370)</f>
        <v>0</v>
      </c>
      <c r="BE365" s="121"/>
      <c r="BF365" s="121"/>
      <c r="BG365" s="121">
        <f>SUM(BG366:BG370)</f>
        <v>0</v>
      </c>
      <c r="BH365" s="121"/>
      <c r="BI365" s="121"/>
      <c r="BJ365" s="121">
        <f>SUM(BJ366:BJ370)</f>
        <v>0</v>
      </c>
      <c r="BK365" s="121"/>
      <c r="BL365" s="311"/>
      <c r="BM365" s="317"/>
      <c r="BN365" s="319"/>
    </row>
    <row r="366" s="124" customFormat="1" ht="33.95" customHeight="1" outlineLevel="4" spans="2:66">
      <c r="B366" s="125" t="s">
        <v>792</v>
      </c>
      <c r="C366" s="126" t="s">
        <v>1573</v>
      </c>
      <c r="D366" s="124" t="s">
        <v>1574</v>
      </c>
      <c r="E366" s="125" t="s">
        <v>1575</v>
      </c>
      <c r="F366" s="125"/>
      <c r="G366" s="125" t="s">
        <v>936</v>
      </c>
      <c r="H366" s="125">
        <f t="shared" si="708"/>
        <v>0</v>
      </c>
      <c r="I366" s="125" t="s">
        <v>1576</v>
      </c>
      <c r="J366" s="304"/>
      <c r="K366" s="125" t="s">
        <v>1389</v>
      </c>
      <c r="L366" s="304"/>
      <c r="M366" s="125" t="s">
        <v>1441</v>
      </c>
      <c r="N366" s="125">
        <f t="shared" ref="N366:N372" si="710">COUNTA(O366:Z366)</f>
        <v>0</v>
      </c>
      <c r="O366" s="304"/>
      <c r="P366" s="323"/>
      <c r="Q366" s="323"/>
      <c r="R366" s="323"/>
      <c r="S366" s="323"/>
      <c r="T366" s="323"/>
      <c r="U366" s="323"/>
      <c r="V366" s="323"/>
      <c r="W366" s="323"/>
      <c r="X366" s="323"/>
      <c r="Y366" s="323"/>
      <c r="Z366" s="323"/>
      <c r="AA366" s="125"/>
      <c r="AB366" s="125">
        <f t="shared" ref="AB366:AB372" si="711">SUM(AC366,AF366,AI366,AL366,AO366,AR366,AU366,AX366,BA366,BD366,BG366,BJ366)</f>
        <v>0</v>
      </c>
      <c r="AC366" s="125">
        <f t="shared" ref="AC366:AC372" si="712">IF(O366="",0,$J366*$L366)</f>
        <v>0</v>
      </c>
      <c r="AD366" s="125"/>
      <c r="AE366" s="125"/>
      <c r="AF366" s="125">
        <f t="shared" ref="AF366:AF372" si="713">IF(P366="",0,$J366*$L366)</f>
        <v>0</v>
      </c>
      <c r="AG366" s="125"/>
      <c r="AH366" s="125"/>
      <c r="AI366" s="125">
        <f t="shared" ref="AI366:AI372" si="714">IF(Q366="",0,$J366*$L366)</f>
        <v>0</v>
      </c>
      <c r="AJ366" s="125"/>
      <c r="AK366" s="125"/>
      <c r="AL366" s="125">
        <f t="shared" ref="AL366:AL372" si="715">IF(R366="",0,$J366*$L366)</f>
        <v>0</v>
      </c>
      <c r="AM366" s="125"/>
      <c r="AN366" s="125"/>
      <c r="AO366" s="125">
        <f t="shared" ref="AO366:AO372" si="716">IF(S366="",0,$J366*$L366)</f>
        <v>0</v>
      </c>
      <c r="AP366" s="125"/>
      <c r="AQ366" s="125"/>
      <c r="AR366" s="125">
        <f t="shared" ref="AR366:AR372" si="717">IF(T366="",0,$J366*$L366)</f>
        <v>0</v>
      </c>
      <c r="AS366" s="125"/>
      <c r="AT366" s="125"/>
      <c r="AU366" s="125">
        <f t="shared" ref="AU366:AU372" si="718">IF(U366="",0,$J366*$L366)</f>
        <v>0</v>
      </c>
      <c r="AV366" s="125"/>
      <c r="AW366" s="125"/>
      <c r="AX366" s="125">
        <f t="shared" ref="AX366:AX372" si="719">IF(V366="",0,$J366*$L366)</f>
        <v>0</v>
      </c>
      <c r="AY366" s="125"/>
      <c r="AZ366" s="125"/>
      <c r="BA366" s="125">
        <f t="shared" ref="BA366:BA372" si="720">IF(W366="",0,$J366*$L366)</f>
        <v>0</v>
      </c>
      <c r="BB366" s="125"/>
      <c r="BC366" s="125"/>
      <c r="BD366" s="125">
        <f t="shared" ref="BD366:BD372" si="721">IF(X366="",0,$J366*$L366)</f>
        <v>0</v>
      </c>
      <c r="BE366" s="125"/>
      <c r="BF366" s="125"/>
      <c r="BG366" s="125">
        <f t="shared" ref="BG366:BG372" si="722">IF(Y366="",0,$J366*$L366)</f>
        <v>0</v>
      </c>
      <c r="BH366" s="125"/>
      <c r="BI366" s="125"/>
      <c r="BJ366" s="125">
        <f t="shared" ref="BJ366:BJ372" si="723">IF(Z366="",0,$J366*$L366)</f>
        <v>0</v>
      </c>
      <c r="BK366" s="125"/>
      <c r="BL366" s="312"/>
      <c r="BM366" s="317"/>
      <c r="BN366" s="320"/>
    </row>
    <row r="367" s="124" customFormat="1" ht="33.95" customHeight="1" outlineLevel="4" spans="2:66">
      <c r="B367" s="125" t="s">
        <v>792</v>
      </c>
      <c r="C367" s="126" t="s">
        <v>1577</v>
      </c>
      <c r="D367" s="124" t="s">
        <v>1578</v>
      </c>
      <c r="E367" s="125" t="s">
        <v>1579</v>
      </c>
      <c r="F367" s="125"/>
      <c r="G367" s="125" t="s">
        <v>936</v>
      </c>
      <c r="H367" s="125">
        <f t="shared" si="708"/>
        <v>0</v>
      </c>
      <c r="I367" s="125" t="s">
        <v>1576</v>
      </c>
      <c r="J367" s="304"/>
      <c r="K367" s="125" t="s">
        <v>1389</v>
      </c>
      <c r="L367" s="304"/>
      <c r="M367" s="125" t="s">
        <v>1441</v>
      </c>
      <c r="N367" s="125">
        <f t="shared" si="710"/>
        <v>0</v>
      </c>
      <c r="O367" s="304"/>
      <c r="P367" s="304"/>
      <c r="Q367" s="304"/>
      <c r="R367" s="304"/>
      <c r="S367" s="304"/>
      <c r="T367" s="304"/>
      <c r="U367" s="304"/>
      <c r="V367" s="304"/>
      <c r="W367" s="304"/>
      <c r="X367" s="304"/>
      <c r="Y367" s="304"/>
      <c r="Z367" s="304"/>
      <c r="AA367" s="125"/>
      <c r="AB367" s="125">
        <f t="shared" si="711"/>
        <v>0</v>
      </c>
      <c r="AC367" s="125">
        <f t="shared" si="712"/>
        <v>0</v>
      </c>
      <c r="AD367" s="125"/>
      <c r="AE367" s="125"/>
      <c r="AF367" s="125">
        <f t="shared" si="713"/>
        <v>0</v>
      </c>
      <c r="AG367" s="125"/>
      <c r="AH367" s="125"/>
      <c r="AI367" s="125">
        <f t="shared" si="714"/>
        <v>0</v>
      </c>
      <c r="AJ367" s="125"/>
      <c r="AK367" s="125"/>
      <c r="AL367" s="125">
        <f t="shared" si="715"/>
        <v>0</v>
      </c>
      <c r="AM367" s="125"/>
      <c r="AN367" s="125"/>
      <c r="AO367" s="125">
        <f t="shared" si="716"/>
        <v>0</v>
      </c>
      <c r="AP367" s="125"/>
      <c r="AQ367" s="125"/>
      <c r="AR367" s="125">
        <f t="shared" si="717"/>
        <v>0</v>
      </c>
      <c r="AS367" s="125"/>
      <c r="AT367" s="125"/>
      <c r="AU367" s="125">
        <f t="shared" si="718"/>
        <v>0</v>
      </c>
      <c r="AV367" s="125"/>
      <c r="AW367" s="125"/>
      <c r="AX367" s="125">
        <f t="shared" si="719"/>
        <v>0</v>
      </c>
      <c r="AY367" s="125"/>
      <c r="AZ367" s="125"/>
      <c r="BA367" s="125">
        <f t="shared" si="720"/>
        <v>0</v>
      </c>
      <c r="BB367" s="125"/>
      <c r="BC367" s="125"/>
      <c r="BD367" s="125">
        <f t="shared" si="721"/>
        <v>0</v>
      </c>
      <c r="BE367" s="125"/>
      <c r="BF367" s="125"/>
      <c r="BG367" s="125">
        <f t="shared" si="722"/>
        <v>0</v>
      </c>
      <c r="BH367" s="125"/>
      <c r="BI367" s="125"/>
      <c r="BJ367" s="125">
        <f t="shared" si="723"/>
        <v>0</v>
      </c>
      <c r="BK367" s="125"/>
      <c r="BL367" s="312"/>
      <c r="BM367" s="317"/>
      <c r="BN367" s="320"/>
    </row>
    <row r="368" s="124" customFormat="1" ht="33.95" customHeight="1" outlineLevel="4" spans="2:66">
      <c r="B368" s="125" t="s">
        <v>792</v>
      </c>
      <c r="C368" s="126" t="s">
        <v>1580</v>
      </c>
      <c r="D368" s="124" t="s">
        <v>1581</v>
      </c>
      <c r="E368" s="125" t="s">
        <v>1582</v>
      </c>
      <c r="F368" s="125"/>
      <c r="G368" s="125" t="s">
        <v>936</v>
      </c>
      <c r="H368" s="125">
        <f t="shared" si="708"/>
        <v>0</v>
      </c>
      <c r="I368" s="125" t="s">
        <v>1576</v>
      </c>
      <c r="J368" s="304"/>
      <c r="K368" s="125" t="s">
        <v>1389</v>
      </c>
      <c r="L368" s="304"/>
      <c r="M368" s="125" t="s">
        <v>1441</v>
      </c>
      <c r="N368" s="125">
        <f t="shared" si="710"/>
        <v>0</v>
      </c>
      <c r="O368" s="304"/>
      <c r="P368" s="304"/>
      <c r="Q368" s="304"/>
      <c r="R368" s="304"/>
      <c r="S368" s="304"/>
      <c r="T368" s="304"/>
      <c r="U368" s="304"/>
      <c r="V368" s="304"/>
      <c r="W368" s="304"/>
      <c r="X368" s="304"/>
      <c r="Y368" s="304"/>
      <c r="Z368" s="304"/>
      <c r="AA368" s="125"/>
      <c r="AB368" s="125">
        <f t="shared" si="711"/>
        <v>0</v>
      </c>
      <c r="AC368" s="125">
        <f t="shared" si="712"/>
        <v>0</v>
      </c>
      <c r="AD368" s="125"/>
      <c r="AE368" s="125"/>
      <c r="AF368" s="125">
        <f t="shared" si="713"/>
        <v>0</v>
      </c>
      <c r="AG368" s="125"/>
      <c r="AH368" s="125"/>
      <c r="AI368" s="125">
        <f t="shared" si="714"/>
        <v>0</v>
      </c>
      <c r="AJ368" s="125"/>
      <c r="AK368" s="125"/>
      <c r="AL368" s="125">
        <f t="shared" si="715"/>
        <v>0</v>
      </c>
      <c r="AM368" s="125"/>
      <c r="AN368" s="125"/>
      <c r="AO368" s="125">
        <f t="shared" si="716"/>
        <v>0</v>
      </c>
      <c r="AP368" s="125"/>
      <c r="AQ368" s="125"/>
      <c r="AR368" s="125">
        <f t="shared" si="717"/>
        <v>0</v>
      </c>
      <c r="AS368" s="125"/>
      <c r="AT368" s="125"/>
      <c r="AU368" s="125">
        <f t="shared" si="718"/>
        <v>0</v>
      </c>
      <c r="AV368" s="125"/>
      <c r="AW368" s="125"/>
      <c r="AX368" s="125">
        <f t="shared" si="719"/>
        <v>0</v>
      </c>
      <c r="AY368" s="125"/>
      <c r="AZ368" s="125"/>
      <c r="BA368" s="125">
        <f t="shared" si="720"/>
        <v>0</v>
      </c>
      <c r="BB368" s="125"/>
      <c r="BC368" s="125"/>
      <c r="BD368" s="125">
        <f t="shared" si="721"/>
        <v>0</v>
      </c>
      <c r="BE368" s="125"/>
      <c r="BF368" s="125"/>
      <c r="BG368" s="125">
        <f t="shared" si="722"/>
        <v>0</v>
      </c>
      <c r="BH368" s="125"/>
      <c r="BI368" s="125"/>
      <c r="BJ368" s="125">
        <f t="shared" si="723"/>
        <v>0</v>
      </c>
      <c r="BK368" s="125"/>
      <c r="BL368" s="312"/>
      <c r="BM368" s="317"/>
      <c r="BN368" s="320"/>
    </row>
    <row r="369" s="124" customFormat="1" ht="33.95" customHeight="1" outlineLevel="4" spans="2:66">
      <c r="B369" s="125" t="s">
        <v>792</v>
      </c>
      <c r="C369" s="126" t="s">
        <v>1583</v>
      </c>
      <c r="D369" s="124" t="s">
        <v>1584</v>
      </c>
      <c r="E369" s="125" t="s">
        <v>1585</v>
      </c>
      <c r="F369" s="125"/>
      <c r="G369" s="125" t="s">
        <v>936</v>
      </c>
      <c r="H369" s="125">
        <f t="shared" si="708"/>
        <v>0</v>
      </c>
      <c r="I369" s="125" t="s">
        <v>1576</v>
      </c>
      <c r="J369" s="304"/>
      <c r="K369" s="125" t="s">
        <v>1389</v>
      </c>
      <c r="L369" s="304"/>
      <c r="M369" s="125" t="s">
        <v>1441</v>
      </c>
      <c r="N369" s="125">
        <f t="shared" si="710"/>
        <v>0</v>
      </c>
      <c r="O369" s="304"/>
      <c r="P369" s="304"/>
      <c r="Q369" s="304"/>
      <c r="R369" s="304"/>
      <c r="S369" s="304"/>
      <c r="T369" s="304"/>
      <c r="U369" s="304"/>
      <c r="V369" s="304"/>
      <c r="W369" s="304"/>
      <c r="X369" s="304"/>
      <c r="Y369" s="304"/>
      <c r="Z369" s="304"/>
      <c r="AA369" s="125"/>
      <c r="AB369" s="125">
        <f t="shared" si="711"/>
        <v>0</v>
      </c>
      <c r="AC369" s="125">
        <f t="shared" si="712"/>
        <v>0</v>
      </c>
      <c r="AD369" s="125"/>
      <c r="AE369" s="125"/>
      <c r="AF369" s="125">
        <f t="shared" si="713"/>
        <v>0</v>
      </c>
      <c r="AG369" s="125"/>
      <c r="AH369" s="125"/>
      <c r="AI369" s="125">
        <f t="shared" si="714"/>
        <v>0</v>
      </c>
      <c r="AJ369" s="125"/>
      <c r="AK369" s="125"/>
      <c r="AL369" s="125">
        <f t="shared" si="715"/>
        <v>0</v>
      </c>
      <c r="AM369" s="125"/>
      <c r="AN369" s="125"/>
      <c r="AO369" s="125">
        <f t="shared" si="716"/>
        <v>0</v>
      </c>
      <c r="AP369" s="125"/>
      <c r="AQ369" s="125"/>
      <c r="AR369" s="125">
        <f t="shared" si="717"/>
        <v>0</v>
      </c>
      <c r="AS369" s="125"/>
      <c r="AT369" s="125"/>
      <c r="AU369" s="125">
        <f t="shared" si="718"/>
        <v>0</v>
      </c>
      <c r="AV369" s="125"/>
      <c r="AW369" s="125"/>
      <c r="AX369" s="125">
        <f t="shared" si="719"/>
        <v>0</v>
      </c>
      <c r="AY369" s="125"/>
      <c r="AZ369" s="125"/>
      <c r="BA369" s="125">
        <f t="shared" si="720"/>
        <v>0</v>
      </c>
      <c r="BB369" s="125"/>
      <c r="BC369" s="125"/>
      <c r="BD369" s="125">
        <f t="shared" si="721"/>
        <v>0</v>
      </c>
      <c r="BE369" s="125"/>
      <c r="BF369" s="125"/>
      <c r="BG369" s="125">
        <f t="shared" si="722"/>
        <v>0</v>
      </c>
      <c r="BH369" s="125"/>
      <c r="BI369" s="125"/>
      <c r="BJ369" s="125">
        <f t="shared" si="723"/>
        <v>0</v>
      </c>
      <c r="BK369" s="125"/>
      <c r="BL369" s="312"/>
      <c r="BM369" s="317"/>
      <c r="BN369" s="320"/>
    </row>
    <row r="370" s="124" customFormat="1" ht="33.95" customHeight="1" outlineLevel="4" spans="2:66">
      <c r="B370" s="125" t="s">
        <v>792</v>
      </c>
      <c r="C370" s="126" t="s">
        <v>1586</v>
      </c>
      <c r="D370" s="124" t="s">
        <v>1587</v>
      </c>
      <c r="E370" s="125" t="s">
        <v>1588</v>
      </c>
      <c r="F370" s="125"/>
      <c r="G370" s="125" t="s">
        <v>936</v>
      </c>
      <c r="H370" s="125">
        <f t="shared" ref="H370:H372" si="724">J370*L370*N370</f>
        <v>0</v>
      </c>
      <c r="I370" s="125" t="s">
        <v>1576</v>
      </c>
      <c r="J370" s="304"/>
      <c r="K370" s="125" t="s">
        <v>1389</v>
      </c>
      <c r="L370" s="304"/>
      <c r="M370" s="125" t="s">
        <v>1441</v>
      </c>
      <c r="N370" s="125">
        <f t="shared" si="710"/>
        <v>0</v>
      </c>
      <c r="O370" s="304"/>
      <c r="P370" s="304"/>
      <c r="Q370" s="304"/>
      <c r="R370" s="304"/>
      <c r="S370" s="304"/>
      <c r="T370" s="304"/>
      <c r="U370" s="304"/>
      <c r="V370" s="304"/>
      <c r="W370" s="304"/>
      <c r="X370" s="304"/>
      <c r="Y370" s="304"/>
      <c r="Z370" s="304"/>
      <c r="AA370" s="125"/>
      <c r="AB370" s="125">
        <f t="shared" si="711"/>
        <v>0</v>
      </c>
      <c r="AC370" s="125">
        <f t="shared" si="712"/>
        <v>0</v>
      </c>
      <c r="AD370" s="125"/>
      <c r="AE370" s="125"/>
      <c r="AF370" s="125">
        <f t="shared" si="713"/>
        <v>0</v>
      </c>
      <c r="AG370" s="125"/>
      <c r="AH370" s="125"/>
      <c r="AI370" s="125">
        <f t="shared" si="714"/>
        <v>0</v>
      </c>
      <c r="AJ370" s="125"/>
      <c r="AK370" s="125"/>
      <c r="AL370" s="125">
        <f t="shared" si="715"/>
        <v>0</v>
      </c>
      <c r="AM370" s="125"/>
      <c r="AN370" s="125"/>
      <c r="AO370" s="125">
        <f t="shared" si="716"/>
        <v>0</v>
      </c>
      <c r="AP370" s="125"/>
      <c r="AQ370" s="125"/>
      <c r="AR370" s="125">
        <f t="shared" si="717"/>
        <v>0</v>
      </c>
      <c r="AS370" s="125"/>
      <c r="AT370" s="125"/>
      <c r="AU370" s="125">
        <f t="shared" si="718"/>
        <v>0</v>
      </c>
      <c r="AV370" s="125"/>
      <c r="AW370" s="125"/>
      <c r="AX370" s="125">
        <f t="shared" si="719"/>
        <v>0</v>
      </c>
      <c r="AY370" s="125"/>
      <c r="AZ370" s="125"/>
      <c r="BA370" s="125">
        <f t="shared" si="720"/>
        <v>0</v>
      </c>
      <c r="BB370" s="125"/>
      <c r="BC370" s="125"/>
      <c r="BD370" s="125">
        <f t="shared" si="721"/>
        <v>0</v>
      </c>
      <c r="BE370" s="125"/>
      <c r="BF370" s="125"/>
      <c r="BG370" s="125">
        <f t="shared" si="722"/>
        <v>0</v>
      </c>
      <c r="BH370" s="125"/>
      <c r="BI370" s="125"/>
      <c r="BJ370" s="125">
        <f t="shared" si="723"/>
        <v>0</v>
      </c>
      <c r="BK370" s="125"/>
      <c r="BL370" s="312"/>
      <c r="BM370" s="317"/>
      <c r="BN370" s="320"/>
    </row>
    <row r="371" s="43" customFormat="1" ht="33.95" customHeight="1" outlineLevel="3" spans="2:66">
      <c r="B371" s="121" t="s">
        <v>792</v>
      </c>
      <c r="C371" s="122" t="s">
        <v>1589</v>
      </c>
      <c r="D371" s="43" t="s">
        <v>1590</v>
      </c>
      <c r="E371" s="121" t="s">
        <v>1591</v>
      </c>
      <c r="F371" s="121"/>
      <c r="G371" s="121" t="s">
        <v>936</v>
      </c>
      <c r="H371" s="121">
        <f t="shared" si="724"/>
        <v>0</v>
      </c>
      <c r="I371" s="121" t="s">
        <v>1175</v>
      </c>
      <c r="J371" s="304"/>
      <c r="K371" s="121" t="s">
        <v>1389</v>
      </c>
      <c r="L371" s="304"/>
      <c r="M371" s="121" t="s">
        <v>1441</v>
      </c>
      <c r="N371" s="121">
        <f t="shared" si="710"/>
        <v>0</v>
      </c>
      <c r="O371" s="304"/>
      <c r="P371" s="304"/>
      <c r="Q371" s="304"/>
      <c r="R371" s="304"/>
      <c r="S371" s="304"/>
      <c r="T371" s="304"/>
      <c r="U371" s="304"/>
      <c r="V371" s="304"/>
      <c r="W371" s="304"/>
      <c r="X371" s="304"/>
      <c r="Y371" s="304"/>
      <c r="Z371" s="304"/>
      <c r="AA371" s="121"/>
      <c r="AB371" s="121">
        <f t="shared" si="711"/>
        <v>0</v>
      </c>
      <c r="AC371" s="121">
        <f t="shared" si="712"/>
        <v>0</v>
      </c>
      <c r="AD371" s="121"/>
      <c r="AE371" s="121"/>
      <c r="AF371" s="121">
        <f t="shared" si="713"/>
        <v>0</v>
      </c>
      <c r="AG371" s="121"/>
      <c r="AH371" s="121"/>
      <c r="AI371" s="121">
        <f t="shared" si="714"/>
        <v>0</v>
      </c>
      <c r="AJ371" s="121"/>
      <c r="AK371" s="121"/>
      <c r="AL371" s="121">
        <f t="shared" si="715"/>
        <v>0</v>
      </c>
      <c r="AM371" s="121"/>
      <c r="AN371" s="121"/>
      <c r="AO371" s="121">
        <f t="shared" si="716"/>
        <v>0</v>
      </c>
      <c r="AP371" s="121"/>
      <c r="AQ371" s="121"/>
      <c r="AR371" s="121">
        <f t="shared" si="717"/>
        <v>0</v>
      </c>
      <c r="AS371" s="121"/>
      <c r="AT371" s="121"/>
      <c r="AU371" s="121">
        <f t="shared" si="718"/>
        <v>0</v>
      </c>
      <c r="AV371" s="121"/>
      <c r="AW371" s="121"/>
      <c r="AX371" s="121">
        <f t="shared" si="719"/>
        <v>0</v>
      </c>
      <c r="AY371" s="121"/>
      <c r="AZ371" s="121"/>
      <c r="BA371" s="121">
        <f t="shared" si="720"/>
        <v>0</v>
      </c>
      <c r="BB371" s="121"/>
      <c r="BC371" s="121"/>
      <c r="BD371" s="121">
        <f t="shared" si="721"/>
        <v>0</v>
      </c>
      <c r="BE371" s="121"/>
      <c r="BF371" s="121"/>
      <c r="BG371" s="121">
        <f t="shared" si="722"/>
        <v>0</v>
      </c>
      <c r="BH371" s="121"/>
      <c r="BI371" s="121"/>
      <c r="BJ371" s="121">
        <f t="shared" si="723"/>
        <v>0</v>
      </c>
      <c r="BK371" s="121"/>
      <c r="BL371" s="311"/>
      <c r="BM371" s="317"/>
      <c r="BN371" s="319"/>
    </row>
    <row r="372" s="43" customFormat="1" ht="33.95" customHeight="1" outlineLevel="3" spans="2:66">
      <c r="B372" s="121" t="s">
        <v>792</v>
      </c>
      <c r="C372" s="122" t="s">
        <v>1592</v>
      </c>
      <c r="D372" s="43" t="s">
        <v>1593</v>
      </c>
      <c r="E372" s="121" t="s">
        <v>1594</v>
      </c>
      <c r="F372" s="121"/>
      <c r="G372" s="121" t="s">
        <v>936</v>
      </c>
      <c r="H372" s="121">
        <f t="shared" si="724"/>
        <v>0</v>
      </c>
      <c r="I372" s="121" t="s">
        <v>1175</v>
      </c>
      <c r="J372" s="304"/>
      <c r="K372" s="121" t="s">
        <v>1389</v>
      </c>
      <c r="L372" s="304"/>
      <c r="M372" s="121" t="s">
        <v>1441</v>
      </c>
      <c r="N372" s="121">
        <f t="shared" si="710"/>
        <v>0</v>
      </c>
      <c r="O372" s="304"/>
      <c r="P372" s="322"/>
      <c r="Q372" s="322"/>
      <c r="R372" s="322"/>
      <c r="S372" s="322"/>
      <c r="T372" s="322"/>
      <c r="U372" s="322"/>
      <c r="V372" s="322"/>
      <c r="W372" s="322"/>
      <c r="X372" s="322"/>
      <c r="Y372" s="322"/>
      <c r="Z372" s="322"/>
      <c r="AA372" s="121"/>
      <c r="AB372" s="121">
        <f t="shared" si="711"/>
        <v>0</v>
      </c>
      <c r="AC372" s="121">
        <f t="shared" si="712"/>
        <v>0</v>
      </c>
      <c r="AD372" s="121"/>
      <c r="AE372" s="121"/>
      <c r="AF372" s="121">
        <f t="shared" si="713"/>
        <v>0</v>
      </c>
      <c r="AG372" s="121"/>
      <c r="AH372" s="121"/>
      <c r="AI372" s="121">
        <f t="shared" si="714"/>
        <v>0</v>
      </c>
      <c r="AJ372" s="121"/>
      <c r="AK372" s="121"/>
      <c r="AL372" s="121">
        <f t="shared" si="715"/>
        <v>0</v>
      </c>
      <c r="AM372" s="121"/>
      <c r="AN372" s="121"/>
      <c r="AO372" s="121">
        <f t="shared" si="716"/>
        <v>0</v>
      </c>
      <c r="AP372" s="121"/>
      <c r="AQ372" s="121"/>
      <c r="AR372" s="121">
        <f t="shared" si="717"/>
        <v>0</v>
      </c>
      <c r="AS372" s="121"/>
      <c r="AT372" s="121"/>
      <c r="AU372" s="121">
        <f t="shared" si="718"/>
        <v>0</v>
      </c>
      <c r="AV372" s="121"/>
      <c r="AW372" s="121"/>
      <c r="AX372" s="121">
        <f t="shared" si="719"/>
        <v>0</v>
      </c>
      <c r="AY372" s="121"/>
      <c r="AZ372" s="121"/>
      <c r="BA372" s="121">
        <f t="shared" si="720"/>
        <v>0</v>
      </c>
      <c r="BB372" s="121"/>
      <c r="BC372" s="121"/>
      <c r="BD372" s="121">
        <f t="shared" si="721"/>
        <v>0</v>
      </c>
      <c r="BE372" s="121"/>
      <c r="BF372" s="121"/>
      <c r="BG372" s="121">
        <f t="shared" si="722"/>
        <v>0</v>
      </c>
      <c r="BH372" s="121"/>
      <c r="BI372" s="121"/>
      <c r="BJ372" s="121">
        <f t="shared" si="723"/>
        <v>0</v>
      </c>
      <c r="BK372" s="121"/>
      <c r="BL372" s="311"/>
      <c r="BM372" s="317"/>
      <c r="BN372" s="319"/>
    </row>
    <row r="373" s="43" customFormat="1" ht="33.95" customHeight="1" outlineLevel="3" spans="2:66">
      <c r="B373" s="121" t="s">
        <v>787</v>
      </c>
      <c r="C373" s="122" t="s">
        <v>1595</v>
      </c>
      <c r="D373" s="43" t="s">
        <v>1596</v>
      </c>
      <c r="E373" s="121"/>
      <c r="F373" s="121"/>
      <c r="G373" s="121"/>
      <c r="H373" s="121">
        <f>SUM(H374:H379)</f>
        <v>0</v>
      </c>
      <c r="I373" s="121"/>
      <c r="J373" s="121"/>
      <c r="K373" s="121"/>
      <c r="L373" s="121"/>
      <c r="M373" s="121"/>
      <c r="N373" s="121"/>
      <c r="O373" s="121"/>
      <c r="P373" s="294"/>
      <c r="Q373" s="294"/>
      <c r="R373" s="294"/>
      <c r="S373" s="294"/>
      <c r="T373" s="294"/>
      <c r="U373" s="294"/>
      <c r="V373" s="294"/>
      <c r="W373" s="294"/>
      <c r="X373" s="294"/>
      <c r="Y373" s="294"/>
      <c r="Z373" s="294"/>
      <c r="AA373" s="294"/>
      <c r="AB373" s="121">
        <f t="shared" ref="AB373:AF373" si="725">SUM(AB374:AB379)</f>
        <v>0</v>
      </c>
      <c r="AC373" s="121">
        <f t="shared" si="725"/>
        <v>0</v>
      </c>
      <c r="AD373" s="121"/>
      <c r="AE373" s="121"/>
      <c r="AF373" s="121">
        <f t="shared" si="725"/>
        <v>0</v>
      </c>
      <c r="AG373" s="121"/>
      <c r="AH373" s="121"/>
      <c r="AI373" s="121">
        <f>SUM(AI374:AI379)</f>
        <v>0</v>
      </c>
      <c r="AJ373" s="121"/>
      <c r="AK373" s="121"/>
      <c r="AL373" s="121">
        <f>SUM(AL374:AL379)</f>
        <v>0</v>
      </c>
      <c r="AM373" s="121"/>
      <c r="AN373" s="121"/>
      <c r="AO373" s="121">
        <f>SUM(AO374:AO379)</f>
        <v>0</v>
      </c>
      <c r="AP373" s="121"/>
      <c r="AQ373" s="121"/>
      <c r="AR373" s="121">
        <f>SUM(AR374:AR379)</f>
        <v>0</v>
      </c>
      <c r="AS373" s="121"/>
      <c r="AT373" s="121"/>
      <c r="AU373" s="121">
        <f>SUM(AU374:AU379)</f>
        <v>0</v>
      </c>
      <c r="AV373" s="121"/>
      <c r="AW373" s="121"/>
      <c r="AX373" s="121">
        <f>SUM(AX374:AX379)</f>
        <v>0</v>
      </c>
      <c r="AY373" s="121"/>
      <c r="AZ373" s="121"/>
      <c r="BA373" s="121">
        <f>SUM(BA374:BA379)</f>
        <v>0</v>
      </c>
      <c r="BB373" s="121"/>
      <c r="BC373" s="121"/>
      <c r="BD373" s="121">
        <f>SUM(BD374:BD379)</f>
        <v>0</v>
      </c>
      <c r="BE373" s="121"/>
      <c r="BF373" s="121"/>
      <c r="BG373" s="121">
        <f>SUM(BG374:BG379)</f>
        <v>0</v>
      </c>
      <c r="BH373" s="121"/>
      <c r="BI373" s="121"/>
      <c r="BJ373" s="121">
        <f>SUM(BJ374:BJ379)</f>
        <v>0</v>
      </c>
      <c r="BK373" s="121"/>
      <c r="BL373" s="311"/>
      <c r="BM373" s="317"/>
      <c r="BN373" s="319"/>
    </row>
    <row r="374" s="124" customFormat="1" ht="33.95" customHeight="1" outlineLevel="4" spans="2:66">
      <c r="B374" s="125" t="s">
        <v>792</v>
      </c>
      <c r="C374" s="126" t="s">
        <v>1597</v>
      </c>
      <c r="D374" s="124" t="s">
        <v>1598</v>
      </c>
      <c r="E374" s="125" t="s">
        <v>1599</v>
      </c>
      <c r="F374" s="125"/>
      <c r="G374" s="125" t="s">
        <v>936</v>
      </c>
      <c r="H374" s="125">
        <f t="shared" ref="H374:H379" si="726">J374*L374*N374</f>
        <v>0</v>
      </c>
      <c r="I374" s="125" t="s">
        <v>1576</v>
      </c>
      <c r="J374" s="304"/>
      <c r="K374" s="125" t="s">
        <v>1389</v>
      </c>
      <c r="L374" s="304"/>
      <c r="M374" s="125" t="s">
        <v>1441</v>
      </c>
      <c r="N374" s="125">
        <f t="shared" ref="N374:N380" si="727">COUNTA(O374:Z374)</f>
        <v>0</v>
      </c>
      <c r="O374" s="323"/>
      <c r="P374" s="323"/>
      <c r="Q374" s="323"/>
      <c r="R374" s="323"/>
      <c r="S374" s="323"/>
      <c r="T374" s="323"/>
      <c r="U374" s="323"/>
      <c r="V374" s="323"/>
      <c r="W374" s="323"/>
      <c r="X374" s="323"/>
      <c r="Y374" s="323"/>
      <c r="Z374" s="323"/>
      <c r="AA374" s="125"/>
      <c r="AB374" s="125">
        <f t="shared" ref="AB374:AB380" si="728">SUM(AC374,AF374,AI374,AL374,AO374,AR374,AU374,AX374,BA374,BD374,BG374,BJ374)</f>
        <v>0</v>
      </c>
      <c r="AC374" s="125">
        <f t="shared" ref="AC374:AC379" si="729">IF(O374="",0,$J374*$L374)</f>
        <v>0</v>
      </c>
      <c r="AD374" s="125"/>
      <c r="AE374" s="125"/>
      <c r="AF374" s="125">
        <f t="shared" ref="AF374:AF379" si="730">IF(P374="",0,$J374*$L374)</f>
        <v>0</v>
      </c>
      <c r="AG374" s="125"/>
      <c r="AH374" s="125"/>
      <c r="AI374" s="125">
        <f t="shared" ref="AI374:AI379" si="731">IF(Q374="",0,$J374*$L374)</f>
        <v>0</v>
      </c>
      <c r="AJ374" s="125"/>
      <c r="AK374" s="125"/>
      <c r="AL374" s="125">
        <f t="shared" ref="AL374:AL379" si="732">IF(R374="",0,$J374*$L374)</f>
        <v>0</v>
      </c>
      <c r="AM374" s="125"/>
      <c r="AN374" s="125"/>
      <c r="AO374" s="125">
        <f t="shared" ref="AO374:AO379" si="733">IF(S374="",0,$J374*$L374)</f>
        <v>0</v>
      </c>
      <c r="AP374" s="125"/>
      <c r="AQ374" s="125"/>
      <c r="AR374" s="125">
        <f t="shared" ref="AR374:AR379" si="734">IF(T374="",0,$J374*$L374)</f>
        <v>0</v>
      </c>
      <c r="AS374" s="125"/>
      <c r="AT374" s="125"/>
      <c r="AU374" s="125">
        <f t="shared" ref="AU374:AU379" si="735">IF(U374="",0,$J374*$L374)</f>
        <v>0</v>
      </c>
      <c r="AV374" s="125"/>
      <c r="AW374" s="125"/>
      <c r="AX374" s="125">
        <f t="shared" ref="AX374:AX379" si="736">IF(V374="",0,$J374*$L374)</f>
        <v>0</v>
      </c>
      <c r="AY374" s="125"/>
      <c r="AZ374" s="125"/>
      <c r="BA374" s="125">
        <f t="shared" ref="BA374:BA379" si="737">IF(W374="",0,$J374*$L374)</f>
        <v>0</v>
      </c>
      <c r="BB374" s="125"/>
      <c r="BC374" s="125"/>
      <c r="BD374" s="125">
        <f t="shared" ref="BD374:BD379" si="738">IF(X374="",0,$J374*$L374)</f>
        <v>0</v>
      </c>
      <c r="BE374" s="125"/>
      <c r="BF374" s="125"/>
      <c r="BG374" s="125">
        <f t="shared" ref="BG374:BG379" si="739">IF(Y374="",0,$J374*$L374)</f>
        <v>0</v>
      </c>
      <c r="BH374" s="125"/>
      <c r="BI374" s="125"/>
      <c r="BJ374" s="125">
        <f t="shared" ref="BJ374:BJ379" si="740">IF(Z374="",0,$J374*$L374)</f>
        <v>0</v>
      </c>
      <c r="BK374" s="125"/>
      <c r="BL374" s="312"/>
      <c r="BM374" s="317"/>
      <c r="BN374" s="320"/>
    </row>
    <row r="375" s="124" customFormat="1" ht="33.95" customHeight="1" outlineLevel="4" spans="2:66">
      <c r="B375" s="125" t="s">
        <v>792</v>
      </c>
      <c r="C375" s="126" t="s">
        <v>1600</v>
      </c>
      <c r="D375" s="124" t="s">
        <v>1601</v>
      </c>
      <c r="E375" s="125" t="s">
        <v>1602</v>
      </c>
      <c r="F375" s="125"/>
      <c r="G375" s="125" t="s">
        <v>936</v>
      </c>
      <c r="H375" s="125">
        <f t="shared" si="726"/>
        <v>0</v>
      </c>
      <c r="I375" s="125" t="s">
        <v>1576</v>
      </c>
      <c r="J375" s="304"/>
      <c r="K375" s="125" t="s">
        <v>1389</v>
      </c>
      <c r="L375" s="304"/>
      <c r="M375" s="125" t="s">
        <v>1441</v>
      </c>
      <c r="N375" s="125">
        <f t="shared" si="727"/>
        <v>0</v>
      </c>
      <c r="O375" s="304"/>
      <c r="P375" s="304"/>
      <c r="Q375" s="304"/>
      <c r="R375" s="304"/>
      <c r="S375" s="304"/>
      <c r="T375" s="304"/>
      <c r="U375" s="304"/>
      <c r="V375" s="304"/>
      <c r="W375" s="304"/>
      <c r="X375" s="304"/>
      <c r="Y375" s="304"/>
      <c r="Z375" s="304"/>
      <c r="AA375" s="125"/>
      <c r="AB375" s="125">
        <f t="shared" si="728"/>
        <v>0</v>
      </c>
      <c r="AC375" s="125">
        <f t="shared" si="729"/>
        <v>0</v>
      </c>
      <c r="AD375" s="125"/>
      <c r="AE375" s="125"/>
      <c r="AF375" s="125">
        <f t="shared" si="730"/>
        <v>0</v>
      </c>
      <c r="AG375" s="125"/>
      <c r="AH375" s="125"/>
      <c r="AI375" s="125">
        <f t="shared" si="731"/>
        <v>0</v>
      </c>
      <c r="AJ375" s="125"/>
      <c r="AK375" s="125"/>
      <c r="AL375" s="125">
        <f t="shared" si="732"/>
        <v>0</v>
      </c>
      <c r="AM375" s="125"/>
      <c r="AN375" s="125"/>
      <c r="AO375" s="125">
        <f t="shared" si="733"/>
        <v>0</v>
      </c>
      <c r="AP375" s="125"/>
      <c r="AQ375" s="125"/>
      <c r="AR375" s="125">
        <f t="shared" si="734"/>
        <v>0</v>
      </c>
      <c r="AS375" s="125"/>
      <c r="AT375" s="125"/>
      <c r="AU375" s="125">
        <f t="shared" si="735"/>
        <v>0</v>
      </c>
      <c r="AV375" s="125"/>
      <c r="AW375" s="125"/>
      <c r="AX375" s="125">
        <f t="shared" si="736"/>
        <v>0</v>
      </c>
      <c r="AY375" s="125"/>
      <c r="AZ375" s="125"/>
      <c r="BA375" s="125">
        <f t="shared" si="737"/>
        <v>0</v>
      </c>
      <c r="BB375" s="125"/>
      <c r="BC375" s="125"/>
      <c r="BD375" s="125">
        <f t="shared" si="738"/>
        <v>0</v>
      </c>
      <c r="BE375" s="125"/>
      <c r="BF375" s="125"/>
      <c r="BG375" s="125">
        <f t="shared" si="739"/>
        <v>0</v>
      </c>
      <c r="BH375" s="125"/>
      <c r="BI375" s="125"/>
      <c r="BJ375" s="125">
        <f t="shared" si="740"/>
        <v>0</v>
      </c>
      <c r="BK375" s="125"/>
      <c r="BL375" s="312"/>
      <c r="BM375" s="317"/>
      <c r="BN375" s="320"/>
    </row>
    <row r="376" s="124" customFormat="1" ht="33.95" customHeight="1" outlineLevel="4" spans="2:66">
      <c r="B376" s="125" t="s">
        <v>792</v>
      </c>
      <c r="C376" s="126" t="s">
        <v>1603</v>
      </c>
      <c r="D376" s="124" t="s">
        <v>1604</v>
      </c>
      <c r="E376" s="125" t="s">
        <v>1605</v>
      </c>
      <c r="F376" s="125"/>
      <c r="G376" s="125" t="s">
        <v>936</v>
      </c>
      <c r="H376" s="125">
        <f t="shared" si="726"/>
        <v>0</v>
      </c>
      <c r="I376" s="125" t="s">
        <v>1576</v>
      </c>
      <c r="J376" s="304"/>
      <c r="K376" s="125" t="s">
        <v>1389</v>
      </c>
      <c r="L376" s="304"/>
      <c r="M376" s="125" t="s">
        <v>1441</v>
      </c>
      <c r="N376" s="125">
        <f t="shared" si="727"/>
        <v>0</v>
      </c>
      <c r="O376" s="304"/>
      <c r="P376" s="304"/>
      <c r="Q376" s="304"/>
      <c r="R376" s="304"/>
      <c r="S376" s="304"/>
      <c r="T376" s="304"/>
      <c r="U376" s="304"/>
      <c r="V376" s="304"/>
      <c r="W376" s="304"/>
      <c r="X376" s="304"/>
      <c r="Y376" s="304"/>
      <c r="Z376" s="304"/>
      <c r="AA376" s="125"/>
      <c r="AB376" s="125">
        <f t="shared" si="728"/>
        <v>0</v>
      </c>
      <c r="AC376" s="125">
        <f t="shared" si="729"/>
        <v>0</v>
      </c>
      <c r="AD376" s="125"/>
      <c r="AE376" s="125"/>
      <c r="AF376" s="125">
        <f t="shared" si="730"/>
        <v>0</v>
      </c>
      <c r="AG376" s="125"/>
      <c r="AH376" s="125"/>
      <c r="AI376" s="125">
        <f t="shared" si="731"/>
        <v>0</v>
      </c>
      <c r="AJ376" s="125"/>
      <c r="AK376" s="125"/>
      <c r="AL376" s="125">
        <f t="shared" si="732"/>
        <v>0</v>
      </c>
      <c r="AM376" s="125"/>
      <c r="AN376" s="125"/>
      <c r="AO376" s="125">
        <f t="shared" si="733"/>
        <v>0</v>
      </c>
      <c r="AP376" s="125"/>
      <c r="AQ376" s="125"/>
      <c r="AR376" s="125">
        <f t="shared" si="734"/>
        <v>0</v>
      </c>
      <c r="AS376" s="125"/>
      <c r="AT376" s="125"/>
      <c r="AU376" s="125">
        <f t="shared" si="735"/>
        <v>0</v>
      </c>
      <c r="AV376" s="125"/>
      <c r="AW376" s="125"/>
      <c r="AX376" s="125">
        <f t="shared" si="736"/>
        <v>0</v>
      </c>
      <c r="AY376" s="125"/>
      <c r="AZ376" s="125"/>
      <c r="BA376" s="125">
        <f t="shared" si="737"/>
        <v>0</v>
      </c>
      <c r="BB376" s="125"/>
      <c r="BC376" s="125"/>
      <c r="BD376" s="125">
        <f t="shared" si="738"/>
        <v>0</v>
      </c>
      <c r="BE376" s="125"/>
      <c r="BF376" s="125"/>
      <c r="BG376" s="125">
        <f t="shared" si="739"/>
        <v>0</v>
      </c>
      <c r="BH376" s="125"/>
      <c r="BI376" s="125"/>
      <c r="BJ376" s="125">
        <f t="shared" si="740"/>
        <v>0</v>
      </c>
      <c r="BK376" s="125"/>
      <c r="BL376" s="312"/>
      <c r="BM376" s="317"/>
      <c r="BN376" s="320"/>
    </row>
    <row r="377" s="124" customFormat="1" ht="33.95" customHeight="1" outlineLevel="4" spans="2:66">
      <c r="B377" s="125" t="s">
        <v>792</v>
      </c>
      <c r="C377" s="126" t="s">
        <v>1606</v>
      </c>
      <c r="D377" s="124" t="s">
        <v>1607</v>
      </c>
      <c r="E377" s="125" t="s">
        <v>1608</v>
      </c>
      <c r="F377" s="125"/>
      <c r="G377" s="125" t="s">
        <v>936</v>
      </c>
      <c r="H377" s="125">
        <f t="shared" si="726"/>
        <v>0</v>
      </c>
      <c r="I377" s="125" t="s">
        <v>1576</v>
      </c>
      <c r="J377" s="304"/>
      <c r="K377" s="125" t="s">
        <v>1389</v>
      </c>
      <c r="L377" s="304"/>
      <c r="M377" s="125" t="s">
        <v>1441</v>
      </c>
      <c r="N377" s="125">
        <f t="shared" si="727"/>
        <v>0</v>
      </c>
      <c r="O377" s="304"/>
      <c r="P377" s="304"/>
      <c r="Q377" s="304"/>
      <c r="R377" s="304"/>
      <c r="S377" s="304"/>
      <c r="T377" s="304"/>
      <c r="U377" s="304"/>
      <c r="V377" s="304"/>
      <c r="W377" s="304"/>
      <c r="X377" s="304"/>
      <c r="Y377" s="304"/>
      <c r="Z377" s="304"/>
      <c r="AA377" s="125"/>
      <c r="AB377" s="125">
        <f t="shared" si="728"/>
        <v>0</v>
      </c>
      <c r="AC377" s="125">
        <f t="shared" si="729"/>
        <v>0</v>
      </c>
      <c r="AD377" s="125"/>
      <c r="AE377" s="125"/>
      <c r="AF377" s="125">
        <f t="shared" si="730"/>
        <v>0</v>
      </c>
      <c r="AG377" s="125"/>
      <c r="AH377" s="125"/>
      <c r="AI377" s="125">
        <f t="shared" si="731"/>
        <v>0</v>
      </c>
      <c r="AJ377" s="125"/>
      <c r="AK377" s="125"/>
      <c r="AL377" s="125">
        <f t="shared" si="732"/>
        <v>0</v>
      </c>
      <c r="AM377" s="125"/>
      <c r="AN377" s="125"/>
      <c r="AO377" s="125">
        <f t="shared" si="733"/>
        <v>0</v>
      </c>
      <c r="AP377" s="125"/>
      <c r="AQ377" s="125"/>
      <c r="AR377" s="125">
        <f t="shared" si="734"/>
        <v>0</v>
      </c>
      <c r="AS377" s="125"/>
      <c r="AT377" s="125"/>
      <c r="AU377" s="125">
        <f t="shared" si="735"/>
        <v>0</v>
      </c>
      <c r="AV377" s="125"/>
      <c r="AW377" s="125"/>
      <c r="AX377" s="125">
        <f t="shared" si="736"/>
        <v>0</v>
      </c>
      <c r="AY377" s="125"/>
      <c r="AZ377" s="125"/>
      <c r="BA377" s="125">
        <f t="shared" si="737"/>
        <v>0</v>
      </c>
      <c r="BB377" s="125"/>
      <c r="BC377" s="125"/>
      <c r="BD377" s="125">
        <f t="shared" si="738"/>
        <v>0</v>
      </c>
      <c r="BE377" s="125"/>
      <c r="BF377" s="125"/>
      <c r="BG377" s="125">
        <f t="shared" si="739"/>
        <v>0</v>
      </c>
      <c r="BH377" s="125"/>
      <c r="BI377" s="125"/>
      <c r="BJ377" s="125">
        <f t="shared" si="740"/>
        <v>0</v>
      </c>
      <c r="BK377" s="125"/>
      <c r="BL377" s="312"/>
      <c r="BM377" s="317"/>
      <c r="BN377" s="320"/>
    </row>
    <row r="378" s="124" customFormat="1" ht="33.95" customHeight="1" outlineLevel="4" spans="2:66">
      <c r="B378" s="125" t="s">
        <v>792</v>
      </c>
      <c r="C378" s="126" t="s">
        <v>1609</v>
      </c>
      <c r="D378" s="124" t="s">
        <v>1610</v>
      </c>
      <c r="E378" s="125" t="s">
        <v>1611</v>
      </c>
      <c r="F378" s="125"/>
      <c r="G378" s="125" t="s">
        <v>936</v>
      </c>
      <c r="H378" s="125">
        <f t="shared" si="726"/>
        <v>0</v>
      </c>
      <c r="I378" s="125" t="s">
        <v>1576</v>
      </c>
      <c r="J378" s="304"/>
      <c r="K378" s="125" t="s">
        <v>1389</v>
      </c>
      <c r="L378" s="304"/>
      <c r="M378" s="125" t="s">
        <v>1441</v>
      </c>
      <c r="N378" s="125">
        <f t="shared" si="727"/>
        <v>0</v>
      </c>
      <c r="O378" s="304"/>
      <c r="P378" s="304"/>
      <c r="Q378" s="304"/>
      <c r="R378" s="304"/>
      <c r="S378" s="304"/>
      <c r="T378" s="304"/>
      <c r="U378" s="304"/>
      <c r="V378" s="304"/>
      <c r="W378" s="304"/>
      <c r="X378" s="304"/>
      <c r="Y378" s="304"/>
      <c r="Z378" s="304"/>
      <c r="AA378" s="125"/>
      <c r="AB378" s="125">
        <f t="shared" si="728"/>
        <v>0</v>
      </c>
      <c r="AC378" s="125">
        <f t="shared" si="729"/>
        <v>0</v>
      </c>
      <c r="AD378" s="125"/>
      <c r="AE378" s="125"/>
      <c r="AF378" s="125">
        <f t="shared" si="730"/>
        <v>0</v>
      </c>
      <c r="AG378" s="125"/>
      <c r="AH378" s="125"/>
      <c r="AI378" s="125">
        <f t="shared" si="731"/>
        <v>0</v>
      </c>
      <c r="AJ378" s="125"/>
      <c r="AK378" s="125"/>
      <c r="AL378" s="125">
        <f t="shared" si="732"/>
        <v>0</v>
      </c>
      <c r="AM378" s="125"/>
      <c r="AN378" s="125"/>
      <c r="AO378" s="125">
        <f t="shared" si="733"/>
        <v>0</v>
      </c>
      <c r="AP378" s="125"/>
      <c r="AQ378" s="125"/>
      <c r="AR378" s="125">
        <f t="shared" si="734"/>
        <v>0</v>
      </c>
      <c r="AS378" s="125"/>
      <c r="AT378" s="125"/>
      <c r="AU378" s="125">
        <f t="shared" si="735"/>
        <v>0</v>
      </c>
      <c r="AV378" s="125"/>
      <c r="AW378" s="125"/>
      <c r="AX378" s="125">
        <f t="shared" si="736"/>
        <v>0</v>
      </c>
      <c r="AY378" s="125"/>
      <c r="AZ378" s="125"/>
      <c r="BA378" s="125">
        <f t="shared" si="737"/>
        <v>0</v>
      </c>
      <c r="BB378" s="125"/>
      <c r="BC378" s="125"/>
      <c r="BD378" s="125">
        <f t="shared" si="738"/>
        <v>0</v>
      </c>
      <c r="BE378" s="125"/>
      <c r="BF378" s="125"/>
      <c r="BG378" s="125">
        <f t="shared" si="739"/>
        <v>0</v>
      </c>
      <c r="BH378" s="125"/>
      <c r="BI378" s="125"/>
      <c r="BJ378" s="125">
        <f t="shared" si="740"/>
        <v>0</v>
      </c>
      <c r="BK378" s="125"/>
      <c r="BL378" s="312"/>
      <c r="BM378" s="317"/>
      <c r="BN378" s="320"/>
    </row>
    <row r="379" s="124" customFormat="1" ht="33.95" customHeight="1" outlineLevel="4" spans="2:66">
      <c r="B379" s="125" t="s">
        <v>792</v>
      </c>
      <c r="C379" s="126" t="s">
        <v>1612</v>
      </c>
      <c r="D379" s="124" t="s">
        <v>1613</v>
      </c>
      <c r="E379" s="125" t="s">
        <v>1614</v>
      </c>
      <c r="F379" s="125"/>
      <c r="G379" s="125" t="s">
        <v>936</v>
      </c>
      <c r="H379" s="125">
        <f t="shared" si="726"/>
        <v>0</v>
      </c>
      <c r="I379" s="125" t="s">
        <v>1576</v>
      </c>
      <c r="J379" s="304"/>
      <c r="K379" s="125" t="s">
        <v>1389</v>
      </c>
      <c r="L379" s="304"/>
      <c r="M379" s="125" t="s">
        <v>1441</v>
      </c>
      <c r="N379" s="125">
        <f t="shared" si="727"/>
        <v>0</v>
      </c>
      <c r="O379" s="304"/>
      <c r="P379" s="304"/>
      <c r="Q379" s="304"/>
      <c r="R379" s="304"/>
      <c r="S379" s="304"/>
      <c r="T379" s="304"/>
      <c r="U379" s="304"/>
      <c r="V379" s="304"/>
      <c r="W379" s="304"/>
      <c r="X379" s="304"/>
      <c r="Y379" s="304"/>
      <c r="Z379" s="304"/>
      <c r="AA379" s="125"/>
      <c r="AB379" s="125">
        <f t="shared" si="728"/>
        <v>0</v>
      </c>
      <c r="AC379" s="125">
        <f t="shared" si="729"/>
        <v>0</v>
      </c>
      <c r="AD379" s="125"/>
      <c r="AE379" s="125"/>
      <c r="AF379" s="125">
        <f t="shared" si="730"/>
        <v>0</v>
      </c>
      <c r="AG379" s="125"/>
      <c r="AH379" s="125"/>
      <c r="AI379" s="125">
        <f t="shared" si="731"/>
        <v>0</v>
      </c>
      <c r="AJ379" s="125"/>
      <c r="AK379" s="125"/>
      <c r="AL379" s="125">
        <f t="shared" si="732"/>
        <v>0</v>
      </c>
      <c r="AM379" s="125"/>
      <c r="AN379" s="125"/>
      <c r="AO379" s="125">
        <f t="shared" si="733"/>
        <v>0</v>
      </c>
      <c r="AP379" s="125"/>
      <c r="AQ379" s="125"/>
      <c r="AR379" s="125">
        <f t="shared" si="734"/>
        <v>0</v>
      </c>
      <c r="AS379" s="125"/>
      <c r="AT379" s="125"/>
      <c r="AU379" s="125">
        <f t="shared" si="735"/>
        <v>0</v>
      </c>
      <c r="AV379" s="125"/>
      <c r="AW379" s="125"/>
      <c r="AX379" s="125">
        <f t="shared" si="736"/>
        <v>0</v>
      </c>
      <c r="AY379" s="125"/>
      <c r="AZ379" s="125"/>
      <c r="BA379" s="125">
        <f t="shared" si="737"/>
        <v>0</v>
      </c>
      <c r="BB379" s="125"/>
      <c r="BC379" s="125"/>
      <c r="BD379" s="125">
        <f t="shared" si="738"/>
        <v>0</v>
      </c>
      <c r="BE379" s="125"/>
      <c r="BF379" s="125"/>
      <c r="BG379" s="125">
        <f t="shared" si="739"/>
        <v>0</v>
      </c>
      <c r="BH379" s="125"/>
      <c r="BI379" s="125"/>
      <c r="BJ379" s="125">
        <f t="shared" si="740"/>
        <v>0</v>
      </c>
      <c r="BK379" s="125"/>
      <c r="BL379" s="312"/>
      <c r="BM379" s="317"/>
      <c r="BN379" s="320"/>
    </row>
    <row r="380" s="43" customFormat="1" ht="33.95" customHeight="1" outlineLevel="3" spans="2:66">
      <c r="B380" s="121" t="s">
        <v>792</v>
      </c>
      <c r="C380" s="122" t="s">
        <v>1615</v>
      </c>
      <c r="D380" s="43" t="s">
        <v>1616</v>
      </c>
      <c r="E380" s="121" t="s">
        <v>1617</v>
      </c>
      <c r="F380" s="121" t="s">
        <v>1618</v>
      </c>
      <c r="G380" s="121" t="s">
        <v>936</v>
      </c>
      <c r="H380" s="121">
        <f>J380*L380</f>
        <v>0</v>
      </c>
      <c r="I380" s="121" t="s">
        <v>1235</v>
      </c>
      <c r="J380" s="121">
        <v>1</v>
      </c>
      <c r="K380" s="121" t="s">
        <v>1236</v>
      </c>
      <c r="L380" s="304">
        <f>预算主表!P89</f>
        <v>0</v>
      </c>
      <c r="M380" s="121" t="s">
        <v>1370</v>
      </c>
      <c r="N380" s="121">
        <f t="shared" si="727"/>
        <v>1</v>
      </c>
      <c r="O380" s="322" t="s">
        <v>1285</v>
      </c>
      <c r="P380" s="322"/>
      <c r="Q380" s="322"/>
      <c r="R380" s="322"/>
      <c r="S380" s="322"/>
      <c r="T380" s="322"/>
      <c r="U380" s="322"/>
      <c r="V380" s="322"/>
      <c r="W380" s="322"/>
      <c r="X380" s="322"/>
      <c r="Y380" s="322"/>
      <c r="Z380" s="322"/>
      <c r="AA380" s="121"/>
      <c r="AB380" s="121">
        <f t="shared" si="728"/>
        <v>0</v>
      </c>
      <c r="AC380" s="121">
        <f>IF(O380="√",$J380*$L380/$N380,0)</f>
        <v>0</v>
      </c>
      <c r="AD380" s="121"/>
      <c r="AE380" s="121"/>
      <c r="AF380" s="121">
        <f>IF(P380="√",$J380*$L380/$N380,0)</f>
        <v>0</v>
      </c>
      <c r="AG380" s="121"/>
      <c r="AH380" s="121"/>
      <c r="AI380" s="121">
        <f>IF(Q380="√",$J380*$L380/$N380,0)</f>
        <v>0</v>
      </c>
      <c r="AJ380" s="121"/>
      <c r="AK380" s="121"/>
      <c r="AL380" s="121">
        <f>IF(R380="√",$J380*$L380/$N380,0)</f>
        <v>0</v>
      </c>
      <c r="AM380" s="121"/>
      <c r="AN380" s="121"/>
      <c r="AO380" s="121">
        <f>IF(S380="√",$J380*$L380/$N380,0)</f>
        <v>0</v>
      </c>
      <c r="AP380" s="121"/>
      <c r="AQ380" s="121"/>
      <c r="AR380" s="121">
        <f>IF(T380="√",$J380*$L380/$N380,0)</f>
        <v>0</v>
      </c>
      <c r="AS380" s="121"/>
      <c r="AT380" s="121"/>
      <c r="AU380" s="121">
        <f>IF(U380="√",$J380*$L380/$N380,0)</f>
        <v>0</v>
      </c>
      <c r="AV380" s="121"/>
      <c r="AW380" s="121"/>
      <c r="AX380" s="121">
        <f>IF(V380="√",$J380*$L380/$N380,0)</f>
        <v>0</v>
      </c>
      <c r="AY380" s="121"/>
      <c r="AZ380" s="121"/>
      <c r="BA380" s="121">
        <f>IF(W380="√",$J380*$L380/$N380,0)</f>
        <v>0</v>
      </c>
      <c r="BB380" s="121"/>
      <c r="BC380" s="121"/>
      <c r="BD380" s="121">
        <f>IF(X380="√",$J380*$L380/$N380,0)</f>
        <v>0</v>
      </c>
      <c r="BE380" s="121"/>
      <c r="BF380" s="121"/>
      <c r="BG380" s="121">
        <f>IF(Y380="√",$J380*$L380/$N380,0)</f>
        <v>0</v>
      </c>
      <c r="BH380" s="121"/>
      <c r="BI380" s="121"/>
      <c r="BJ380" s="121">
        <f>IF(Z380="√",$J380*$L380/$N380,0)</f>
        <v>0</v>
      </c>
      <c r="BK380" s="121"/>
      <c r="BL380" s="311"/>
      <c r="BM380" s="317"/>
      <c r="BN380" s="319"/>
    </row>
    <row r="381" s="114" customFormat="1" ht="33.95" customHeight="1" outlineLevel="1" collapsed="1" spans="2:66">
      <c r="B381" s="115" t="s">
        <v>787</v>
      </c>
      <c r="C381" s="116">
        <v>1.2</v>
      </c>
      <c r="D381" s="114" t="s">
        <v>9</v>
      </c>
      <c r="E381" s="115"/>
      <c r="F381" s="115"/>
      <c r="G381" s="115"/>
      <c r="H381" s="115">
        <f>H382+H430+H461+H486+H502+H540</f>
        <v>1837236.86</v>
      </c>
      <c r="N381" s="309"/>
      <c r="O381" s="292"/>
      <c r="P381" s="292"/>
      <c r="Q381" s="292"/>
      <c r="R381" s="292"/>
      <c r="S381" s="292"/>
      <c r="T381" s="292"/>
      <c r="U381" s="292"/>
      <c r="V381" s="292"/>
      <c r="W381" s="292"/>
      <c r="X381" s="292"/>
      <c r="Y381" s="292"/>
      <c r="Z381" s="292"/>
      <c r="AA381" s="292"/>
      <c r="AB381" s="115">
        <f t="shared" ref="AB381:AF381" si="741">AB382+AB430+AB461+AB486+AB502+AB540</f>
        <v>1737236.86</v>
      </c>
      <c r="AC381" s="115">
        <f t="shared" si="741"/>
        <v>1737236.86</v>
      </c>
      <c r="AF381" s="115">
        <f t="shared" si="741"/>
        <v>0</v>
      </c>
      <c r="AI381" s="115">
        <f>AI382+AI430+AI461+AI486+AI502+AI540</f>
        <v>0</v>
      </c>
      <c r="AL381" s="115">
        <f>AL382+AL430+AL461+AL486+AL502+AL540</f>
        <v>0</v>
      </c>
      <c r="AO381" s="115">
        <f>AO382+AO430+AO461+AO486+AO502+AO540</f>
        <v>0</v>
      </c>
      <c r="AR381" s="115">
        <f>AR382+AR430+AR461+AR486+AR502+AR540</f>
        <v>0</v>
      </c>
      <c r="AU381" s="115">
        <f>AU382+AU430+AU461+AU486+AU502+AU540</f>
        <v>0</v>
      </c>
      <c r="AX381" s="115">
        <f>AX382+AX430+AX461+AX486+AX502+AX540</f>
        <v>0</v>
      </c>
      <c r="BA381" s="115">
        <f>BA382+BA430+BA461+BA486+BA502+BA540</f>
        <v>0</v>
      </c>
      <c r="BD381" s="115">
        <f>BD382+BD430+BD461+BD486+BD502+BD540</f>
        <v>0</v>
      </c>
      <c r="BG381" s="115">
        <f>BG382+BG430+BG461+BG486+BG502+BG540</f>
        <v>0</v>
      </c>
      <c r="BJ381" s="115">
        <f>BJ382+BJ430+BJ461+BJ486+BJ502+BJ540</f>
        <v>0</v>
      </c>
      <c r="BL381" s="309"/>
      <c r="BM381" s="317"/>
      <c r="BN381" s="292"/>
    </row>
    <row r="382" s="14" customFormat="1" ht="33.95" hidden="1" customHeight="1" outlineLevel="2" spans="2:66">
      <c r="B382" s="118" t="s">
        <v>787</v>
      </c>
      <c r="C382" s="119" t="s">
        <v>1619</v>
      </c>
      <c r="D382" s="14" t="s">
        <v>1620</v>
      </c>
      <c r="E382" s="118"/>
      <c r="F382" s="118"/>
      <c r="G382" s="118"/>
      <c r="H382" s="118">
        <f>H383+H399+H410+H418</f>
        <v>1837236.86</v>
      </c>
      <c r="I382" s="118"/>
      <c r="J382" s="118"/>
      <c r="K382" s="118"/>
      <c r="L382" s="118"/>
      <c r="M382" s="118"/>
      <c r="N382" s="310"/>
      <c r="O382" s="293"/>
      <c r="P382" s="293"/>
      <c r="Q382" s="293"/>
      <c r="R382" s="293"/>
      <c r="S382" s="293"/>
      <c r="T382" s="293"/>
      <c r="U382" s="293"/>
      <c r="V382" s="293"/>
      <c r="W382" s="293"/>
      <c r="X382" s="293"/>
      <c r="Y382" s="293"/>
      <c r="Z382" s="293"/>
      <c r="AA382" s="293"/>
      <c r="AB382" s="118">
        <f t="shared" ref="AB382:AF382" si="742">AB383+AB399+AB410+AB418</f>
        <v>1737236.86</v>
      </c>
      <c r="AC382" s="118">
        <f t="shared" si="742"/>
        <v>1737236.86</v>
      </c>
      <c r="AD382" s="118"/>
      <c r="AE382" s="118"/>
      <c r="AF382" s="118">
        <f t="shared" si="742"/>
        <v>0</v>
      </c>
      <c r="AG382" s="118"/>
      <c r="AH382" s="118"/>
      <c r="AI382" s="118">
        <f>AI383+AI399+AI410+AI418</f>
        <v>0</v>
      </c>
      <c r="AJ382" s="118"/>
      <c r="AK382" s="118"/>
      <c r="AL382" s="118">
        <f>AL383+AL399+AL410+AL418</f>
        <v>0</v>
      </c>
      <c r="AM382" s="118"/>
      <c r="AN382" s="118"/>
      <c r="AO382" s="118">
        <f>AO383+AO399+AO410+AO418</f>
        <v>0</v>
      </c>
      <c r="AP382" s="118"/>
      <c r="AQ382" s="118"/>
      <c r="AR382" s="118">
        <f>AR383+AR399+AR410+AR418</f>
        <v>0</v>
      </c>
      <c r="AS382" s="118"/>
      <c r="AT382" s="118"/>
      <c r="AU382" s="118">
        <f>AU383+AU399+AU410+AU418</f>
        <v>0</v>
      </c>
      <c r="AV382" s="118"/>
      <c r="AW382" s="118"/>
      <c r="AX382" s="118">
        <f>AX383+AX399+AX410+AX418</f>
        <v>0</v>
      </c>
      <c r="AY382" s="118"/>
      <c r="AZ382" s="118"/>
      <c r="BA382" s="118">
        <f>BA383+BA399+BA410+BA418</f>
        <v>0</v>
      </c>
      <c r="BB382" s="118"/>
      <c r="BC382" s="118"/>
      <c r="BD382" s="118">
        <f>BD383+BD399+BD410+BD418</f>
        <v>0</v>
      </c>
      <c r="BE382" s="118"/>
      <c r="BF382" s="118"/>
      <c r="BG382" s="118">
        <f>BG383+BG399+BG410+BG418</f>
        <v>0</v>
      </c>
      <c r="BH382" s="118"/>
      <c r="BI382" s="118"/>
      <c r="BJ382" s="118">
        <f>BJ383+BJ399+BJ410+BJ418</f>
        <v>0</v>
      </c>
      <c r="BK382" s="118"/>
      <c r="BL382" s="310"/>
      <c r="BM382" s="317"/>
      <c r="BN382" s="318"/>
    </row>
    <row r="383" s="43" customFormat="1" ht="33.95" hidden="1" customHeight="1" outlineLevel="3" spans="2:66">
      <c r="B383" s="121" t="s">
        <v>787</v>
      </c>
      <c r="C383" s="122" t="s">
        <v>1621</v>
      </c>
      <c r="D383" s="43" t="s">
        <v>1622</v>
      </c>
      <c r="E383" s="121"/>
      <c r="F383" s="121"/>
      <c r="G383" s="121"/>
      <c r="H383" s="121">
        <f>SUM(H384:H398)</f>
        <v>1737236.86</v>
      </c>
      <c r="I383" s="121"/>
      <c r="J383" s="121"/>
      <c r="K383" s="121"/>
      <c r="L383" s="121"/>
      <c r="M383" s="121"/>
      <c r="N383" s="311"/>
      <c r="O383" s="294"/>
      <c r="P383" s="294"/>
      <c r="Q383" s="294"/>
      <c r="R383" s="294"/>
      <c r="S383" s="294"/>
      <c r="T383" s="294"/>
      <c r="U383" s="294"/>
      <c r="V383" s="294"/>
      <c r="W383" s="294"/>
      <c r="X383" s="294"/>
      <c r="Y383" s="294"/>
      <c r="Z383" s="294"/>
      <c r="AA383" s="294"/>
      <c r="AB383" s="121">
        <f t="shared" ref="AB383:AF383" si="743">SUM(AB384:AB398)</f>
        <v>1737236.86</v>
      </c>
      <c r="AC383" s="121">
        <f t="shared" si="743"/>
        <v>1737236.86</v>
      </c>
      <c r="AD383" s="121"/>
      <c r="AE383" s="121"/>
      <c r="AF383" s="121">
        <f t="shared" si="743"/>
        <v>0</v>
      </c>
      <c r="AG383" s="121"/>
      <c r="AH383" s="121"/>
      <c r="AI383" s="121">
        <f>SUM(AI384:AI398)</f>
        <v>0</v>
      </c>
      <c r="AJ383" s="121"/>
      <c r="AK383" s="121"/>
      <c r="AL383" s="121">
        <f>SUM(AL384:AL398)</f>
        <v>0</v>
      </c>
      <c r="AM383" s="121"/>
      <c r="AN383" s="121"/>
      <c r="AO383" s="121">
        <f>SUM(AO384:AO398)</f>
        <v>0</v>
      </c>
      <c r="AP383" s="121"/>
      <c r="AQ383" s="121"/>
      <c r="AR383" s="121">
        <f>SUM(AR384:AR398)</f>
        <v>0</v>
      </c>
      <c r="AS383" s="121"/>
      <c r="AT383" s="121"/>
      <c r="AU383" s="121">
        <f>SUM(AU384:AU398)</f>
        <v>0</v>
      </c>
      <c r="AV383" s="121"/>
      <c r="AW383" s="121"/>
      <c r="AX383" s="121">
        <f>SUM(AX384:AX398)</f>
        <v>0</v>
      </c>
      <c r="AY383" s="121"/>
      <c r="AZ383" s="121"/>
      <c r="BA383" s="121">
        <f>SUM(BA384:BA398)</f>
        <v>0</v>
      </c>
      <c r="BB383" s="121"/>
      <c r="BC383" s="121"/>
      <c r="BD383" s="121">
        <f>SUM(BD384:BD398)</f>
        <v>0</v>
      </c>
      <c r="BE383" s="121"/>
      <c r="BF383" s="121"/>
      <c r="BG383" s="121">
        <f>SUM(BG384:BG398)</f>
        <v>0</v>
      </c>
      <c r="BH383" s="121"/>
      <c r="BI383" s="121"/>
      <c r="BJ383" s="121">
        <f>SUM(BJ384:BJ398)</f>
        <v>0</v>
      </c>
      <c r="BK383" s="121"/>
      <c r="BL383" s="311"/>
      <c r="BM383" s="317"/>
      <c r="BN383" s="319"/>
    </row>
    <row r="384" s="124" customFormat="1" ht="33.95" hidden="1" customHeight="1" outlineLevel="5" spans="2:66">
      <c r="B384" s="125" t="s">
        <v>792</v>
      </c>
      <c r="C384" s="126" t="s">
        <v>1623</v>
      </c>
      <c r="D384" s="124" t="s">
        <v>1624</v>
      </c>
      <c r="E384" s="125" t="s">
        <v>1625</v>
      </c>
      <c r="F384" s="125" t="s">
        <v>1618</v>
      </c>
      <c r="G384" s="125" t="s">
        <v>936</v>
      </c>
      <c r="H384" s="125">
        <f t="shared" ref="H384:H398" si="744">J384*L384</f>
        <v>1737236.86</v>
      </c>
      <c r="I384" s="125" t="s">
        <v>1235</v>
      </c>
      <c r="J384" s="304">
        <f>预算主表!P77/2000</f>
        <v>868.61843</v>
      </c>
      <c r="K384" s="125" t="s">
        <v>1626</v>
      </c>
      <c r="L384" s="125">
        <v>2000</v>
      </c>
      <c r="M384" s="125" t="s">
        <v>1627</v>
      </c>
      <c r="N384" s="125">
        <f t="shared" ref="N384:N398" si="745">COUNTA(O384:Z384)</f>
        <v>1</v>
      </c>
      <c r="O384" s="323" t="s">
        <v>1285</v>
      </c>
      <c r="P384" s="323"/>
      <c r="Q384" s="323"/>
      <c r="R384" s="323"/>
      <c r="S384" s="323"/>
      <c r="T384" s="323"/>
      <c r="U384" s="323"/>
      <c r="V384" s="323"/>
      <c r="W384" s="323"/>
      <c r="X384" s="323"/>
      <c r="Y384" s="323"/>
      <c r="Z384" s="323"/>
      <c r="AA384" s="125"/>
      <c r="AB384" s="125">
        <f t="shared" ref="AB384:AB395" si="746">SUM(AC384,AF384,AI384,AL384,AO384,AR384,AU384,AX384,BA384,BD384,BG384,BJ384)</f>
        <v>1737236.86</v>
      </c>
      <c r="AC384" s="125">
        <f>IF(O384="√",$J384*$L384/$N384,0)</f>
        <v>1737236.86</v>
      </c>
      <c r="AD384" s="125"/>
      <c r="AE384" s="125"/>
      <c r="AF384" s="125">
        <f>IF(P384="√",$J384*$L384/$N384,0)</f>
        <v>0</v>
      </c>
      <c r="AG384" s="125"/>
      <c r="AH384" s="125"/>
      <c r="AI384" s="125">
        <f>IF(Q384="√",$J384*$L384/$N384,0)</f>
        <v>0</v>
      </c>
      <c r="AJ384" s="125"/>
      <c r="AK384" s="125"/>
      <c r="AL384" s="125">
        <f>IF(R384="√",$J384*$L384/$N384,0)</f>
        <v>0</v>
      </c>
      <c r="AM384" s="125"/>
      <c r="AN384" s="125"/>
      <c r="AO384" s="125">
        <f>IF(S384="√",$J384*$L384/$N384,0)</f>
        <v>0</v>
      </c>
      <c r="AP384" s="125"/>
      <c r="AQ384" s="125"/>
      <c r="AR384" s="125">
        <f>IF(T384="√",$J384*$L384/$N384,0)</f>
        <v>0</v>
      </c>
      <c r="AS384" s="125"/>
      <c r="AT384" s="125"/>
      <c r="AU384" s="125">
        <f>IF(U384="√",$J384*$L384/$N384,0)</f>
        <v>0</v>
      </c>
      <c r="AV384" s="125"/>
      <c r="AW384" s="125"/>
      <c r="AX384" s="125">
        <f>IF(V384="√",$J384*$L384/$N384,0)</f>
        <v>0</v>
      </c>
      <c r="AY384" s="125"/>
      <c r="AZ384" s="125"/>
      <c r="BA384" s="125">
        <f>IF(W384="√",$J384*$L384/$N384,0)</f>
        <v>0</v>
      </c>
      <c r="BB384" s="125"/>
      <c r="BC384" s="125"/>
      <c r="BD384" s="125">
        <f>IF(X384="√",$J384*$L384/$N384,0)</f>
        <v>0</v>
      </c>
      <c r="BE384" s="125"/>
      <c r="BF384" s="125"/>
      <c r="BG384" s="125">
        <f>IF(Y384="√",$J384*$L384/$N384,0)</f>
        <v>0</v>
      </c>
      <c r="BH384" s="125"/>
      <c r="BI384" s="125"/>
      <c r="BJ384" s="125">
        <f>IF(Z384="√",$J384*$L384/$N384,0)</f>
        <v>0</v>
      </c>
      <c r="BK384" s="125"/>
      <c r="BL384" s="312"/>
      <c r="BM384" s="317"/>
      <c r="BN384" s="320"/>
    </row>
    <row r="385" s="124" customFormat="1" ht="33.95" hidden="1" customHeight="1" outlineLevel="5" spans="2:66">
      <c r="B385" s="125" t="s">
        <v>792</v>
      </c>
      <c r="C385" s="126" t="s">
        <v>1628</v>
      </c>
      <c r="D385" s="124" t="s">
        <v>1629</v>
      </c>
      <c r="E385" s="125" t="s">
        <v>1630</v>
      </c>
      <c r="F385" s="125" t="s">
        <v>1618</v>
      </c>
      <c r="G385" s="125" t="s">
        <v>936</v>
      </c>
      <c r="H385" s="125">
        <f t="shared" si="744"/>
        <v>0</v>
      </c>
      <c r="I385" s="125" t="s">
        <v>1235</v>
      </c>
      <c r="J385" s="304"/>
      <c r="K385" s="125" t="s">
        <v>1626</v>
      </c>
      <c r="L385" s="125">
        <v>165</v>
      </c>
      <c r="M385" s="125" t="s">
        <v>1627</v>
      </c>
      <c r="N385" s="125">
        <f t="shared" si="745"/>
        <v>0</v>
      </c>
      <c r="O385" s="304"/>
      <c r="P385" s="304"/>
      <c r="Q385" s="304"/>
      <c r="R385" s="304"/>
      <c r="S385" s="304"/>
      <c r="T385" s="304"/>
      <c r="U385" s="304"/>
      <c r="V385" s="304"/>
      <c r="W385" s="304"/>
      <c r="X385" s="304"/>
      <c r="Y385" s="304"/>
      <c r="Z385" s="304"/>
      <c r="AA385" s="125"/>
      <c r="AB385" s="125">
        <f t="shared" si="746"/>
        <v>0</v>
      </c>
      <c r="AC385" s="125">
        <f t="shared" ref="AC385:AC395" si="747">IF(O385="√",$J385*$L385/$N385,0)</f>
        <v>0</v>
      </c>
      <c r="AD385" s="125"/>
      <c r="AE385" s="125"/>
      <c r="AF385" s="125">
        <f t="shared" ref="AF385:AF395" si="748">IF(P385="√",$J385*$L385/$N385,0)</f>
        <v>0</v>
      </c>
      <c r="AG385" s="125"/>
      <c r="AH385" s="125"/>
      <c r="AI385" s="125">
        <f t="shared" ref="AI385:AI395" si="749">IF(Q385="√",$J385*$L385/$N385,0)</f>
        <v>0</v>
      </c>
      <c r="AJ385" s="125"/>
      <c r="AK385" s="125"/>
      <c r="AL385" s="125">
        <f t="shared" ref="AL385:AL395" si="750">IF(R385="√",$J385*$L385/$N385,0)</f>
        <v>0</v>
      </c>
      <c r="AM385" s="125"/>
      <c r="AN385" s="125"/>
      <c r="AO385" s="125">
        <f t="shared" ref="AO385:AO395" si="751">IF(S385="√",$J385*$L385/$N385,0)</f>
        <v>0</v>
      </c>
      <c r="AP385" s="125"/>
      <c r="AQ385" s="125"/>
      <c r="AR385" s="125">
        <f t="shared" ref="AR385:AR395" si="752">IF(T385="√",$J385*$L385/$N385,0)</f>
        <v>0</v>
      </c>
      <c r="AS385" s="125"/>
      <c r="AT385" s="125"/>
      <c r="AU385" s="125">
        <f t="shared" ref="AU385:AU395" si="753">IF(U385="√",$J385*$L385/$N385,0)</f>
        <v>0</v>
      </c>
      <c r="AV385" s="125"/>
      <c r="AW385" s="125"/>
      <c r="AX385" s="125">
        <f t="shared" ref="AX385:AX395" si="754">IF(V385="√",$J385*$L385/$N385,0)</f>
        <v>0</v>
      </c>
      <c r="AY385" s="125"/>
      <c r="AZ385" s="125"/>
      <c r="BA385" s="125">
        <f t="shared" ref="BA385:BA395" si="755">IF(W385="√",$J385*$L385/$N385,0)</f>
        <v>0</v>
      </c>
      <c r="BB385" s="125"/>
      <c r="BC385" s="125"/>
      <c r="BD385" s="125">
        <f t="shared" ref="BD385:BD395" si="756">IF(X385="√",$J385*$L385/$N385,0)</f>
        <v>0</v>
      </c>
      <c r="BE385" s="125"/>
      <c r="BF385" s="125"/>
      <c r="BG385" s="125">
        <f t="shared" ref="BG385:BG395" si="757">IF(Y385="√",$J385*$L385/$N385,0)</f>
        <v>0</v>
      </c>
      <c r="BH385" s="125"/>
      <c r="BI385" s="125"/>
      <c r="BJ385" s="125">
        <f t="shared" ref="BJ385:BJ395" si="758">IF(Z385="√",$J385*$L385/$N385,0)</f>
        <v>0</v>
      </c>
      <c r="BK385" s="125"/>
      <c r="BL385" s="312"/>
      <c r="BM385" s="317"/>
      <c r="BN385" s="320"/>
    </row>
    <row r="386" s="124" customFormat="1" ht="33.95" hidden="1" customHeight="1" outlineLevel="5" spans="2:66">
      <c r="B386" s="125" t="s">
        <v>792</v>
      </c>
      <c r="C386" s="126" t="s">
        <v>1631</v>
      </c>
      <c r="D386" s="124" t="s">
        <v>1632</v>
      </c>
      <c r="E386" s="125" t="s">
        <v>1633</v>
      </c>
      <c r="F386" s="125" t="s">
        <v>1618</v>
      </c>
      <c r="G386" s="125" t="s">
        <v>936</v>
      </c>
      <c r="H386" s="125">
        <f t="shared" si="744"/>
        <v>0</v>
      </c>
      <c r="I386" s="125" t="s">
        <v>1235</v>
      </c>
      <c r="J386" s="304"/>
      <c r="K386" s="125" t="s">
        <v>1626</v>
      </c>
      <c r="L386" s="125">
        <v>540</v>
      </c>
      <c r="M386" s="125" t="s">
        <v>1627</v>
      </c>
      <c r="N386" s="125">
        <f t="shared" si="745"/>
        <v>0</v>
      </c>
      <c r="O386" s="304"/>
      <c r="P386" s="304"/>
      <c r="Q386" s="304"/>
      <c r="R386" s="304"/>
      <c r="S386" s="304"/>
      <c r="T386" s="304"/>
      <c r="U386" s="304"/>
      <c r="V386" s="304"/>
      <c r="W386" s="304"/>
      <c r="X386" s="304"/>
      <c r="Y386" s="304"/>
      <c r="Z386" s="304"/>
      <c r="AA386" s="125"/>
      <c r="AB386" s="125">
        <f t="shared" si="746"/>
        <v>0</v>
      </c>
      <c r="AC386" s="125">
        <f t="shared" si="747"/>
        <v>0</v>
      </c>
      <c r="AD386" s="125"/>
      <c r="AE386" s="125"/>
      <c r="AF386" s="125">
        <f t="shared" si="748"/>
        <v>0</v>
      </c>
      <c r="AG386" s="125"/>
      <c r="AH386" s="125"/>
      <c r="AI386" s="125">
        <f t="shared" si="749"/>
        <v>0</v>
      </c>
      <c r="AJ386" s="125"/>
      <c r="AK386" s="125"/>
      <c r="AL386" s="125">
        <f t="shared" si="750"/>
        <v>0</v>
      </c>
      <c r="AM386" s="125"/>
      <c r="AN386" s="125"/>
      <c r="AO386" s="125">
        <f t="shared" si="751"/>
        <v>0</v>
      </c>
      <c r="AP386" s="125"/>
      <c r="AQ386" s="125"/>
      <c r="AR386" s="125">
        <f t="shared" si="752"/>
        <v>0</v>
      </c>
      <c r="AS386" s="125"/>
      <c r="AT386" s="125"/>
      <c r="AU386" s="125">
        <f t="shared" si="753"/>
        <v>0</v>
      </c>
      <c r="AV386" s="125"/>
      <c r="AW386" s="125"/>
      <c r="AX386" s="125">
        <f t="shared" si="754"/>
        <v>0</v>
      </c>
      <c r="AY386" s="125"/>
      <c r="AZ386" s="125"/>
      <c r="BA386" s="125">
        <f t="shared" si="755"/>
        <v>0</v>
      </c>
      <c r="BB386" s="125"/>
      <c r="BC386" s="125"/>
      <c r="BD386" s="125">
        <f t="shared" si="756"/>
        <v>0</v>
      </c>
      <c r="BE386" s="125"/>
      <c r="BF386" s="125"/>
      <c r="BG386" s="125">
        <f t="shared" si="757"/>
        <v>0</v>
      </c>
      <c r="BH386" s="125"/>
      <c r="BI386" s="125"/>
      <c r="BJ386" s="125">
        <f t="shared" si="758"/>
        <v>0</v>
      </c>
      <c r="BK386" s="125"/>
      <c r="BL386" s="312"/>
      <c r="BM386" s="317"/>
      <c r="BN386" s="320"/>
    </row>
    <row r="387" s="124" customFormat="1" ht="33.95" hidden="1" customHeight="1" outlineLevel="5" spans="2:66">
      <c r="B387" s="125" t="s">
        <v>792</v>
      </c>
      <c r="C387" s="126" t="s">
        <v>1634</v>
      </c>
      <c r="D387" s="124" t="s">
        <v>1635</v>
      </c>
      <c r="E387" s="125" t="s">
        <v>1636</v>
      </c>
      <c r="F387" s="125" t="s">
        <v>1618</v>
      </c>
      <c r="G387" s="125" t="s">
        <v>936</v>
      </c>
      <c r="H387" s="125">
        <f t="shared" si="744"/>
        <v>0</v>
      </c>
      <c r="I387" s="125" t="s">
        <v>1235</v>
      </c>
      <c r="J387" s="304"/>
      <c r="K387" s="125" t="s">
        <v>1626</v>
      </c>
      <c r="L387" s="125">
        <v>930</v>
      </c>
      <c r="M387" s="125" t="s">
        <v>1627</v>
      </c>
      <c r="N387" s="125">
        <f t="shared" si="745"/>
        <v>0</v>
      </c>
      <c r="O387" s="304"/>
      <c r="P387" s="304"/>
      <c r="Q387" s="304"/>
      <c r="R387" s="304"/>
      <c r="S387" s="304"/>
      <c r="T387" s="304"/>
      <c r="U387" s="304"/>
      <c r="V387" s="304"/>
      <c r="W387" s="304"/>
      <c r="X387" s="304"/>
      <c r="Y387" s="304"/>
      <c r="Z387" s="304"/>
      <c r="AA387" s="125"/>
      <c r="AB387" s="125">
        <f t="shared" si="746"/>
        <v>0</v>
      </c>
      <c r="AC387" s="125">
        <f t="shared" si="747"/>
        <v>0</v>
      </c>
      <c r="AD387" s="125"/>
      <c r="AE387" s="125"/>
      <c r="AF387" s="125">
        <f t="shared" si="748"/>
        <v>0</v>
      </c>
      <c r="AG387" s="125"/>
      <c r="AH387" s="125"/>
      <c r="AI387" s="125">
        <f t="shared" si="749"/>
        <v>0</v>
      </c>
      <c r="AJ387" s="125"/>
      <c r="AK387" s="125"/>
      <c r="AL387" s="125">
        <f t="shared" si="750"/>
        <v>0</v>
      </c>
      <c r="AM387" s="125"/>
      <c r="AN387" s="125"/>
      <c r="AO387" s="125">
        <f t="shared" si="751"/>
        <v>0</v>
      </c>
      <c r="AP387" s="125"/>
      <c r="AQ387" s="125"/>
      <c r="AR387" s="125">
        <f t="shared" si="752"/>
        <v>0</v>
      </c>
      <c r="AS387" s="125"/>
      <c r="AT387" s="125"/>
      <c r="AU387" s="125">
        <f t="shared" si="753"/>
        <v>0</v>
      </c>
      <c r="AV387" s="125"/>
      <c r="AW387" s="125"/>
      <c r="AX387" s="125">
        <f t="shared" si="754"/>
        <v>0</v>
      </c>
      <c r="AY387" s="125"/>
      <c r="AZ387" s="125"/>
      <c r="BA387" s="125">
        <f t="shared" si="755"/>
        <v>0</v>
      </c>
      <c r="BB387" s="125"/>
      <c r="BC387" s="125"/>
      <c r="BD387" s="125">
        <f t="shared" si="756"/>
        <v>0</v>
      </c>
      <c r="BE387" s="125"/>
      <c r="BF387" s="125"/>
      <c r="BG387" s="125">
        <f t="shared" si="757"/>
        <v>0</v>
      </c>
      <c r="BH387" s="125"/>
      <c r="BI387" s="125"/>
      <c r="BJ387" s="125">
        <f t="shared" si="758"/>
        <v>0</v>
      </c>
      <c r="BK387" s="125"/>
      <c r="BL387" s="312"/>
      <c r="BM387" s="317"/>
      <c r="BN387" s="320"/>
    </row>
    <row r="388" s="124" customFormat="1" ht="33.95" hidden="1" customHeight="1" outlineLevel="5" spans="2:66">
      <c r="B388" s="125" t="s">
        <v>792</v>
      </c>
      <c r="C388" s="126" t="s">
        <v>1637</v>
      </c>
      <c r="D388" s="124" t="s">
        <v>1638</v>
      </c>
      <c r="E388" s="125" t="s">
        <v>1639</v>
      </c>
      <c r="F388" s="125" t="s">
        <v>1618</v>
      </c>
      <c r="G388" s="125" t="s">
        <v>936</v>
      </c>
      <c r="H388" s="125">
        <f t="shared" si="744"/>
        <v>0</v>
      </c>
      <c r="I388" s="125" t="s">
        <v>1235</v>
      </c>
      <c r="J388" s="304"/>
      <c r="K388" s="125" t="s">
        <v>1626</v>
      </c>
      <c r="L388" s="125">
        <v>230</v>
      </c>
      <c r="M388" s="125" t="s">
        <v>1627</v>
      </c>
      <c r="N388" s="125">
        <f t="shared" si="745"/>
        <v>0</v>
      </c>
      <c r="O388" s="304"/>
      <c r="P388" s="304"/>
      <c r="Q388" s="304"/>
      <c r="R388" s="304"/>
      <c r="S388" s="304"/>
      <c r="T388" s="304"/>
      <c r="U388" s="304"/>
      <c r="V388" s="304"/>
      <c r="W388" s="304"/>
      <c r="X388" s="304"/>
      <c r="Y388" s="304"/>
      <c r="Z388" s="304"/>
      <c r="AA388" s="125"/>
      <c r="AB388" s="125">
        <f t="shared" si="746"/>
        <v>0</v>
      </c>
      <c r="AC388" s="125">
        <f t="shared" si="747"/>
        <v>0</v>
      </c>
      <c r="AD388" s="125"/>
      <c r="AE388" s="125"/>
      <c r="AF388" s="125">
        <f t="shared" si="748"/>
        <v>0</v>
      </c>
      <c r="AG388" s="125"/>
      <c r="AH388" s="125"/>
      <c r="AI388" s="125">
        <f t="shared" si="749"/>
        <v>0</v>
      </c>
      <c r="AJ388" s="125"/>
      <c r="AK388" s="125"/>
      <c r="AL388" s="125">
        <f t="shared" si="750"/>
        <v>0</v>
      </c>
      <c r="AM388" s="125"/>
      <c r="AN388" s="125"/>
      <c r="AO388" s="125">
        <f t="shared" si="751"/>
        <v>0</v>
      </c>
      <c r="AP388" s="125"/>
      <c r="AQ388" s="125"/>
      <c r="AR388" s="125">
        <f t="shared" si="752"/>
        <v>0</v>
      </c>
      <c r="AS388" s="125"/>
      <c r="AT388" s="125"/>
      <c r="AU388" s="125">
        <f t="shared" si="753"/>
        <v>0</v>
      </c>
      <c r="AV388" s="125"/>
      <c r="AW388" s="125"/>
      <c r="AX388" s="125">
        <f t="shared" si="754"/>
        <v>0</v>
      </c>
      <c r="AY388" s="125"/>
      <c r="AZ388" s="125"/>
      <c r="BA388" s="125">
        <f t="shared" si="755"/>
        <v>0</v>
      </c>
      <c r="BB388" s="125"/>
      <c r="BC388" s="125"/>
      <c r="BD388" s="125">
        <f t="shared" si="756"/>
        <v>0</v>
      </c>
      <c r="BE388" s="125"/>
      <c r="BF388" s="125"/>
      <c r="BG388" s="125">
        <f t="shared" si="757"/>
        <v>0</v>
      </c>
      <c r="BH388" s="125"/>
      <c r="BI388" s="125"/>
      <c r="BJ388" s="125">
        <f t="shared" si="758"/>
        <v>0</v>
      </c>
      <c r="BK388" s="125"/>
      <c r="BL388" s="312"/>
      <c r="BM388" s="317"/>
      <c r="BN388" s="320"/>
    </row>
    <row r="389" s="124" customFormat="1" ht="33.95" hidden="1" customHeight="1" outlineLevel="5" spans="2:66">
      <c r="B389" s="125" t="s">
        <v>792</v>
      </c>
      <c r="C389" s="126" t="s">
        <v>1640</v>
      </c>
      <c r="D389" s="124" t="s">
        <v>1641</v>
      </c>
      <c r="E389" s="125" t="s">
        <v>1642</v>
      </c>
      <c r="F389" s="125" t="s">
        <v>1618</v>
      </c>
      <c r="G389" s="125" t="s">
        <v>936</v>
      </c>
      <c r="H389" s="125">
        <f t="shared" si="744"/>
        <v>0</v>
      </c>
      <c r="I389" s="125" t="s">
        <v>1235</v>
      </c>
      <c r="J389" s="304"/>
      <c r="K389" s="125" t="s">
        <v>1626</v>
      </c>
      <c r="L389" s="125">
        <v>500</v>
      </c>
      <c r="M389" s="125" t="s">
        <v>1627</v>
      </c>
      <c r="N389" s="125">
        <f t="shared" si="745"/>
        <v>0</v>
      </c>
      <c r="O389" s="304"/>
      <c r="P389" s="304"/>
      <c r="Q389" s="304"/>
      <c r="R389" s="304"/>
      <c r="S389" s="304"/>
      <c r="T389" s="304"/>
      <c r="U389" s="304"/>
      <c r="V389" s="304"/>
      <c r="W389" s="304"/>
      <c r="X389" s="304"/>
      <c r="Y389" s="304"/>
      <c r="Z389" s="304"/>
      <c r="AA389" s="125"/>
      <c r="AB389" s="125">
        <f t="shared" si="746"/>
        <v>0</v>
      </c>
      <c r="AC389" s="125">
        <f t="shared" si="747"/>
        <v>0</v>
      </c>
      <c r="AD389" s="125"/>
      <c r="AE389" s="125"/>
      <c r="AF389" s="125">
        <f t="shared" si="748"/>
        <v>0</v>
      </c>
      <c r="AG389" s="125"/>
      <c r="AH389" s="125"/>
      <c r="AI389" s="125">
        <f t="shared" si="749"/>
        <v>0</v>
      </c>
      <c r="AJ389" s="125"/>
      <c r="AK389" s="125"/>
      <c r="AL389" s="125">
        <f t="shared" si="750"/>
        <v>0</v>
      </c>
      <c r="AM389" s="125"/>
      <c r="AN389" s="125"/>
      <c r="AO389" s="125">
        <f t="shared" si="751"/>
        <v>0</v>
      </c>
      <c r="AP389" s="125"/>
      <c r="AQ389" s="125"/>
      <c r="AR389" s="125">
        <f t="shared" si="752"/>
        <v>0</v>
      </c>
      <c r="AS389" s="125"/>
      <c r="AT389" s="125"/>
      <c r="AU389" s="125">
        <f t="shared" si="753"/>
        <v>0</v>
      </c>
      <c r="AV389" s="125"/>
      <c r="AW389" s="125"/>
      <c r="AX389" s="125">
        <f t="shared" si="754"/>
        <v>0</v>
      </c>
      <c r="AY389" s="125"/>
      <c r="AZ389" s="125"/>
      <c r="BA389" s="125">
        <f t="shared" si="755"/>
        <v>0</v>
      </c>
      <c r="BB389" s="125"/>
      <c r="BC389" s="125"/>
      <c r="BD389" s="125">
        <f t="shared" si="756"/>
        <v>0</v>
      </c>
      <c r="BE389" s="125"/>
      <c r="BF389" s="125"/>
      <c r="BG389" s="125">
        <f t="shared" si="757"/>
        <v>0</v>
      </c>
      <c r="BH389" s="125"/>
      <c r="BI389" s="125"/>
      <c r="BJ389" s="125">
        <f t="shared" si="758"/>
        <v>0</v>
      </c>
      <c r="BK389" s="125"/>
      <c r="BL389" s="312"/>
      <c r="BM389" s="317"/>
      <c r="BN389" s="320"/>
    </row>
    <row r="390" s="124" customFormat="1" ht="33.95" hidden="1" customHeight="1" outlineLevel="5" spans="2:66">
      <c r="B390" s="125" t="s">
        <v>792</v>
      </c>
      <c r="C390" s="126" t="s">
        <v>1643</v>
      </c>
      <c r="D390" s="124" t="s">
        <v>1644</v>
      </c>
      <c r="E390" s="125" t="s">
        <v>1639</v>
      </c>
      <c r="F390" s="125" t="s">
        <v>1618</v>
      </c>
      <c r="G390" s="125" t="s">
        <v>936</v>
      </c>
      <c r="H390" s="125">
        <f t="shared" si="744"/>
        <v>0</v>
      </c>
      <c r="I390" s="125" t="s">
        <v>1235</v>
      </c>
      <c r="J390" s="304"/>
      <c r="K390" s="125" t="s">
        <v>1626</v>
      </c>
      <c r="L390" s="125">
        <v>150</v>
      </c>
      <c r="M390" s="125" t="s">
        <v>1627</v>
      </c>
      <c r="N390" s="125">
        <f t="shared" si="745"/>
        <v>0</v>
      </c>
      <c r="O390" s="304"/>
      <c r="P390" s="304"/>
      <c r="Q390" s="304"/>
      <c r="R390" s="304"/>
      <c r="S390" s="304"/>
      <c r="T390" s="304"/>
      <c r="U390" s="304"/>
      <c r="V390" s="304"/>
      <c r="W390" s="304"/>
      <c r="X390" s="304"/>
      <c r="Y390" s="304"/>
      <c r="Z390" s="304"/>
      <c r="AA390" s="125"/>
      <c r="AB390" s="125">
        <f t="shared" si="746"/>
        <v>0</v>
      </c>
      <c r="AC390" s="125">
        <f t="shared" si="747"/>
        <v>0</v>
      </c>
      <c r="AD390" s="125"/>
      <c r="AE390" s="125"/>
      <c r="AF390" s="125">
        <f t="shared" si="748"/>
        <v>0</v>
      </c>
      <c r="AG390" s="125"/>
      <c r="AH390" s="125"/>
      <c r="AI390" s="125">
        <f t="shared" si="749"/>
        <v>0</v>
      </c>
      <c r="AJ390" s="125"/>
      <c r="AK390" s="125"/>
      <c r="AL390" s="125">
        <f t="shared" si="750"/>
        <v>0</v>
      </c>
      <c r="AM390" s="125"/>
      <c r="AN390" s="125"/>
      <c r="AO390" s="125">
        <f t="shared" si="751"/>
        <v>0</v>
      </c>
      <c r="AP390" s="125"/>
      <c r="AQ390" s="125"/>
      <c r="AR390" s="125">
        <f t="shared" si="752"/>
        <v>0</v>
      </c>
      <c r="AS390" s="125"/>
      <c r="AT390" s="125"/>
      <c r="AU390" s="125">
        <f t="shared" si="753"/>
        <v>0</v>
      </c>
      <c r="AV390" s="125"/>
      <c r="AW390" s="125"/>
      <c r="AX390" s="125">
        <f t="shared" si="754"/>
        <v>0</v>
      </c>
      <c r="AY390" s="125"/>
      <c r="AZ390" s="125"/>
      <c r="BA390" s="125">
        <f t="shared" si="755"/>
        <v>0</v>
      </c>
      <c r="BB390" s="125"/>
      <c r="BC390" s="125"/>
      <c r="BD390" s="125">
        <f t="shared" si="756"/>
        <v>0</v>
      </c>
      <c r="BE390" s="125"/>
      <c r="BF390" s="125"/>
      <c r="BG390" s="125">
        <f t="shared" si="757"/>
        <v>0</v>
      </c>
      <c r="BH390" s="125"/>
      <c r="BI390" s="125"/>
      <c r="BJ390" s="125">
        <f t="shared" si="758"/>
        <v>0</v>
      </c>
      <c r="BK390" s="125"/>
      <c r="BL390" s="312"/>
      <c r="BM390" s="317"/>
      <c r="BN390" s="320"/>
    </row>
    <row r="391" s="124" customFormat="1" ht="33.95" hidden="1" customHeight="1" outlineLevel="5" spans="2:66">
      <c r="B391" s="125" t="s">
        <v>792</v>
      </c>
      <c r="C391" s="126" t="s">
        <v>1645</v>
      </c>
      <c r="D391" s="124" t="s">
        <v>1646</v>
      </c>
      <c r="E391" s="125" t="s">
        <v>1647</v>
      </c>
      <c r="F391" s="125" t="s">
        <v>1618</v>
      </c>
      <c r="G391" s="125" t="s">
        <v>936</v>
      </c>
      <c r="H391" s="125">
        <f t="shared" si="744"/>
        <v>0</v>
      </c>
      <c r="I391" s="125" t="s">
        <v>1235</v>
      </c>
      <c r="J391" s="304"/>
      <c r="K391" s="125" t="s">
        <v>1626</v>
      </c>
      <c r="L391" s="125">
        <f>SUMIFS('附表1-数据库'!$D$2:$D$22,'附表1-数据库'!$B$2:$B$22,$D391,'附表1-数据库'!$C$2:$C$22,'1-1 项目基础信息'!$D$13)</f>
        <v>0</v>
      </c>
      <c r="M391" s="125" t="s">
        <v>1627</v>
      </c>
      <c r="N391" s="125">
        <f t="shared" si="745"/>
        <v>0</v>
      </c>
      <c r="O391" s="304"/>
      <c r="P391" s="304"/>
      <c r="Q391" s="304"/>
      <c r="R391" s="304"/>
      <c r="S391" s="304"/>
      <c r="T391" s="304"/>
      <c r="U391" s="304"/>
      <c r="V391" s="304"/>
      <c r="W391" s="304"/>
      <c r="X391" s="304"/>
      <c r="Y391" s="304"/>
      <c r="Z391" s="304"/>
      <c r="AA391" s="125"/>
      <c r="AB391" s="125">
        <f t="shared" si="746"/>
        <v>0</v>
      </c>
      <c r="AC391" s="125">
        <f t="shared" si="747"/>
        <v>0</v>
      </c>
      <c r="AD391" s="125"/>
      <c r="AE391" s="125"/>
      <c r="AF391" s="125">
        <f t="shared" si="748"/>
        <v>0</v>
      </c>
      <c r="AG391" s="125"/>
      <c r="AH391" s="125"/>
      <c r="AI391" s="125">
        <f t="shared" si="749"/>
        <v>0</v>
      </c>
      <c r="AJ391" s="125"/>
      <c r="AK391" s="125"/>
      <c r="AL391" s="125">
        <f t="shared" si="750"/>
        <v>0</v>
      </c>
      <c r="AM391" s="125"/>
      <c r="AN391" s="125"/>
      <c r="AO391" s="125">
        <f t="shared" si="751"/>
        <v>0</v>
      </c>
      <c r="AP391" s="125"/>
      <c r="AQ391" s="125"/>
      <c r="AR391" s="125">
        <f t="shared" si="752"/>
        <v>0</v>
      </c>
      <c r="AS391" s="125"/>
      <c r="AT391" s="125"/>
      <c r="AU391" s="125">
        <f t="shared" si="753"/>
        <v>0</v>
      </c>
      <c r="AV391" s="125"/>
      <c r="AW391" s="125"/>
      <c r="AX391" s="125">
        <f t="shared" si="754"/>
        <v>0</v>
      </c>
      <c r="AY391" s="125"/>
      <c r="AZ391" s="125"/>
      <c r="BA391" s="125">
        <f t="shared" si="755"/>
        <v>0</v>
      </c>
      <c r="BB391" s="125"/>
      <c r="BC391" s="125"/>
      <c r="BD391" s="125">
        <f t="shared" si="756"/>
        <v>0</v>
      </c>
      <c r="BE391" s="125"/>
      <c r="BF391" s="125"/>
      <c r="BG391" s="125">
        <f t="shared" si="757"/>
        <v>0</v>
      </c>
      <c r="BH391" s="125"/>
      <c r="BI391" s="125"/>
      <c r="BJ391" s="125">
        <f t="shared" si="758"/>
        <v>0</v>
      </c>
      <c r="BK391" s="125"/>
      <c r="BL391" s="312"/>
      <c r="BM391" s="317"/>
      <c r="BN391" s="320"/>
    </row>
    <row r="392" s="124" customFormat="1" ht="33.95" hidden="1" customHeight="1" outlineLevel="5" spans="2:66">
      <c r="B392" s="125" t="s">
        <v>792</v>
      </c>
      <c r="C392" s="126" t="s">
        <v>1648</v>
      </c>
      <c r="D392" s="124" t="s">
        <v>1649</v>
      </c>
      <c r="E392" s="125" t="s">
        <v>1650</v>
      </c>
      <c r="F392" s="125" t="s">
        <v>1618</v>
      </c>
      <c r="G392" s="125" t="s">
        <v>936</v>
      </c>
      <c r="H392" s="125">
        <f t="shared" si="744"/>
        <v>0</v>
      </c>
      <c r="I392" s="125" t="s">
        <v>1235</v>
      </c>
      <c r="J392" s="304"/>
      <c r="K392" s="125" t="s">
        <v>1626</v>
      </c>
      <c r="L392" s="125">
        <f>SUMIFS('附表1-数据库'!$D$2:$D$22,'附表1-数据库'!$B$2:$B$22,$D392,'附表1-数据库'!$C$2:$C$22,'1-1 项目基础信息'!$D$13)</f>
        <v>0</v>
      </c>
      <c r="M392" s="125" t="s">
        <v>1627</v>
      </c>
      <c r="N392" s="125">
        <f t="shared" si="745"/>
        <v>0</v>
      </c>
      <c r="O392" s="304"/>
      <c r="P392" s="304"/>
      <c r="Q392" s="304"/>
      <c r="R392" s="304"/>
      <c r="S392" s="304"/>
      <c r="T392" s="304"/>
      <c r="U392" s="304"/>
      <c r="V392" s="304"/>
      <c r="W392" s="304"/>
      <c r="X392" s="304"/>
      <c r="Y392" s="304"/>
      <c r="Z392" s="304"/>
      <c r="AA392" s="125"/>
      <c r="AB392" s="125">
        <f t="shared" si="746"/>
        <v>0</v>
      </c>
      <c r="AC392" s="125">
        <f t="shared" si="747"/>
        <v>0</v>
      </c>
      <c r="AD392" s="125"/>
      <c r="AE392" s="125"/>
      <c r="AF392" s="125">
        <f t="shared" si="748"/>
        <v>0</v>
      </c>
      <c r="AG392" s="125"/>
      <c r="AH392" s="125"/>
      <c r="AI392" s="125">
        <f t="shared" si="749"/>
        <v>0</v>
      </c>
      <c r="AJ392" s="125"/>
      <c r="AK392" s="125"/>
      <c r="AL392" s="125">
        <f t="shared" si="750"/>
        <v>0</v>
      </c>
      <c r="AM392" s="125"/>
      <c r="AN392" s="125"/>
      <c r="AO392" s="125">
        <f t="shared" si="751"/>
        <v>0</v>
      </c>
      <c r="AP392" s="125"/>
      <c r="AQ392" s="125"/>
      <c r="AR392" s="125">
        <f t="shared" si="752"/>
        <v>0</v>
      </c>
      <c r="AS392" s="125"/>
      <c r="AT392" s="125"/>
      <c r="AU392" s="125">
        <f t="shared" si="753"/>
        <v>0</v>
      </c>
      <c r="AV392" s="125"/>
      <c r="AW392" s="125"/>
      <c r="AX392" s="125">
        <f t="shared" si="754"/>
        <v>0</v>
      </c>
      <c r="AY392" s="125"/>
      <c r="AZ392" s="125"/>
      <c r="BA392" s="125">
        <f t="shared" si="755"/>
        <v>0</v>
      </c>
      <c r="BB392" s="125"/>
      <c r="BC392" s="125"/>
      <c r="BD392" s="125">
        <f t="shared" si="756"/>
        <v>0</v>
      </c>
      <c r="BE392" s="125"/>
      <c r="BF392" s="125"/>
      <c r="BG392" s="125">
        <f t="shared" si="757"/>
        <v>0</v>
      </c>
      <c r="BH392" s="125"/>
      <c r="BI392" s="125"/>
      <c r="BJ392" s="125">
        <f t="shared" si="758"/>
        <v>0</v>
      </c>
      <c r="BK392" s="125"/>
      <c r="BL392" s="312"/>
      <c r="BM392" s="317"/>
      <c r="BN392" s="320"/>
    </row>
    <row r="393" s="124" customFormat="1" ht="33.95" hidden="1" customHeight="1" outlineLevel="5" spans="2:66">
      <c r="B393" s="125" t="s">
        <v>792</v>
      </c>
      <c r="C393" s="126" t="s">
        <v>1651</v>
      </c>
      <c r="D393" s="124" t="s">
        <v>1652</v>
      </c>
      <c r="E393" s="125" t="s">
        <v>1633</v>
      </c>
      <c r="F393" s="125" t="s">
        <v>1618</v>
      </c>
      <c r="G393" s="125" t="s">
        <v>936</v>
      </c>
      <c r="H393" s="125">
        <f t="shared" si="744"/>
        <v>0</v>
      </c>
      <c r="I393" s="125" t="s">
        <v>1235</v>
      </c>
      <c r="J393" s="304"/>
      <c r="K393" s="125" t="s">
        <v>1626</v>
      </c>
      <c r="L393" s="125">
        <f>SUMIFS('附表1-数据库'!$D$2:$D$22,'附表1-数据库'!$B$2:$B$22,$D393,'附表1-数据库'!$C$2:$C$22,'1-1 项目基础信息'!$D$13)</f>
        <v>0</v>
      </c>
      <c r="M393" s="125" t="s">
        <v>1627</v>
      </c>
      <c r="N393" s="125">
        <f t="shared" si="745"/>
        <v>0</v>
      </c>
      <c r="O393" s="304"/>
      <c r="P393" s="304"/>
      <c r="Q393" s="304"/>
      <c r="R393" s="304"/>
      <c r="S393" s="304"/>
      <c r="T393" s="304"/>
      <c r="U393" s="304"/>
      <c r="V393" s="304"/>
      <c r="W393" s="304"/>
      <c r="X393" s="304"/>
      <c r="Y393" s="304"/>
      <c r="Z393" s="304"/>
      <c r="AA393" s="125"/>
      <c r="AB393" s="125">
        <f t="shared" si="746"/>
        <v>0</v>
      </c>
      <c r="AC393" s="125">
        <f t="shared" si="747"/>
        <v>0</v>
      </c>
      <c r="AD393" s="125"/>
      <c r="AE393" s="125"/>
      <c r="AF393" s="125">
        <f t="shared" si="748"/>
        <v>0</v>
      </c>
      <c r="AG393" s="125"/>
      <c r="AH393" s="125"/>
      <c r="AI393" s="125">
        <f t="shared" si="749"/>
        <v>0</v>
      </c>
      <c r="AJ393" s="125"/>
      <c r="AK393" s="125"/>
      <c r="AL393" s="125">
        <f t="shared" si="750"/>
        <v>0</v>
      </c>
      <c r="AM393" s="125"/>
      <c r="AN393" s="125"/>
      <c r="AO393" s="125">
        <f t="shared" si="751"/>
        <v>0</v>
      </c>
      <c r="AP393" s="125"/>
      <c r="AQ393" s="125"/>
      <c r="AR393" s="125">
        <f t="shared" si="752"/>
        <v>0</v>
      </c>
      <c r="AS393" s="125"/>
      <c r="AT393" s="125"/>
      <c r="AU393" s="125">
        <f t="shared" si="753"/>
        <v>0</v>
      </c>
      <c r="AV393" s="125"/>
      <c r="AW393" s="125"/>
      <c r="AX393" s="125">
        <f t="shared" si="754"/>
        <v>0</v>
      </c>
      <c r="AY393" s="125"/>
      <c r="AZ393" s="125"/>
      <c r="BA393" s="125">
        <f t="shared" si="755"/>
        <v>0</v>
      </c>
      <c r="BB393" s="125"/>
      <c r="BC393" s="125"/>
      <c r="BD393" s="125">
        <f t="shared" si="756"/>
        <v>0</v>
      </c>
      <c r="BE393" s="125"/>
      <c r="BF393" s="125"/>
      <c r="BG393" s="125">
        <f t="shared" si="757"/>
        <v>0</v>
      </c>
      <c r="BH393" s="125"/>
      <c r="BI393" s="125"/>
      <c r="BJ393" s="125">
        <f t="shared" si="758"/>
        <v>0</v>
      </c>
      <c r="BK393" s="125"/>
      <c r="BL393" s="312"/>
      <c r="BM393" s="317"/>
      <c r="BN393" s="320"/>
    </row>
    <row r="394" s="124" customFormat="1" ht="33.95" hidden="1" customHeight="1" outlineLevel="5" spans="2:66">
      <c r="B394" s="125" t="s">
        <v>792</v>
      </c>
      <c r="C394" s="126" t="s">
        <v>1653</v>
      </c>
      <c r="D394" s="124" t="s">
        <v>1654</v>
      </c>
      <c r="E394" s="125" t="s">
        <v>1636</v>
      </c>
      <c r="F394" s="125" t="s">
        <v>1618</v>
      </c>
      <c r="G394" s="125" t="s">
        <v>936</v>
      </c>
      <c r="H394" s="125">
        <f t="shared" si="744"/>
        <v>0</v>
      </c>
      <c r="I394" s="125" t="s">
        <v>1235</v>
      </c>
      <c r="J394" s="304"/>
      <c r="K394" s="125" t="s">
        <v>1626</v>
      </c>
      <c r="L394" s="125">
        <f>SUMIFS('附表1-数据库'!$D$2:$D$22,'附表1-数据库'!$B$2:$B$22,$D394,'附表1-数据库'!$C$2:$C$22,'1-1 项目基础信息'!$D$13)</f>
        <v>0</v>
      </c>
      <c r="M394" s="125" t="s">
        <v>1627</v>
      </c>
      <c r="N394" s="125">
        <f t="shared" si="745"/>
        <v>0</v>
      </c>
      <c r="O394" s="304"/>
      <c r="P394" s="304"/>
      <c r="Q394" s="304"/>
      <c r="R394" s="304"/>
      <c r="S394" s="304"/>
      <c r="T394" s="304"/>
      <c r="U394" s="304"/>
      <c r="V394" s="304"/>
      <c r="W394" s="304"/>
      <c r="X394" s="304"/>
      <c r="Y394" s="304"/>
      <c r="Z394" s="304"/>
      <c r="AA394" s="125"/>
      <c r="AB394" s="125">
        <f t="shared" si="746"/>
        <v>0</v>
      </c>
      <c r="AC394" s="125">
        <f t="shared" si="747"/>
        <v>0</v>
      </c>
      <c r="AD394" s="125"/>
      <c r="AE394" s="125"/>
      <c r="AF394" s="125">
        <f t="shared" si="748"/>
        <v>0</v>
      </c>
      <c r="AG394" s="125"/>
      <c r="AH394" s="125"/>
      <c r="AI394" s="125">
        <f t="shared" si="749"/>
        <v>0</v>
      </c>
      <c r="AJ394" s="125"/>
      <c r="AK394" s="125"/>
      <c r="AL394" s="125">
        <f t="shared" si="750"/>
        <v>0</v>
      </c>
      <c r="AM394" s="125"/>
      <c r="AN394" s="125"/>
      <c r="AO394" s="125">
        <f t="shared" si="751"/>
        <v>0</v>
      </c>
      <c r="AP394" s="125"/>
      <c r="AQ394" s="125"/>
      <c r="AR394" s="125">
        <f t="shared" si="752"/>
        <v>0</v>
      </c>
      <c r="AS394" s="125"/>
      <c r="AT394" s="125"/>
      <c r="AU394" s="125">
        <f t="shared" si="753"/>
        <v>0</v>
      </c>
      <c r="AV394" s="125"/>
      <c r="AW394" s="125"/>
      <c r="AX394" s="125">
        <f t="shared" si="754"/>
        <v>0</v>
      </c>
      <c r="AY394" s="125"/>
      <c r="AZ394" s="125"/>
      <c r="BA394" s="125">
        <f t="shared" si="755"/>
        <v>0</v>
      </c>
      <c r="BB394" s="125"/>
      <c r="BC394" s="125"/>
      <c r="BD394" s="125">
        <f t="shared" si="756"/>
        <v>0</v>
      </c>
      <c r="BE394" s="125"/>
      <c r="BF394" s="125"/>
      <c r="BG394" s="125">
        <f t="shared" si="757"/>
        <v>0</v>
      </c>
      <c r="BH394" s="125"/>
      <c r="BI394" s="125"/>
      <c r="BJ394" s="125">
        <f t="shared" si="758"/>
        <v>0</v>
      </c>
      <c r="BK394" s="125"/>
      <c r="BL394" s="312"/>
      <c r="BM394" s="317"/>
      <c r="BN394" s="320"/>
    </row>
    <row r="395" s="124" customFormat="1" ht="33.95" hidden="1" customHeight="1" outlineLevel="5" spans="2:66">
      <c r="B395" s="125" t="s">
        <v>792</v>
      </c>
      <c r="C395" s="126" t="s">
        <v>1655</v>
      </c>
      <c r="D395" s="124" t="s">
        <v>1656</v>
      </c>
      <c r="E395" s="125" t="s">
        <v>1639</v>
      </c>
      <c r="F395" s="125" t="s">
        <v>1618</v>
      </c>
      <c r="G395" s="125" t="s">
        <v>936</v>
      </c>
      <c r="H395" s="125">
        <f t="shared" si="744"/>
        <v>0</v>
      </c>
      <c r="I395" s="125" t="s">
        <v>1235</v>
      </c>
      <c r="J395" s="304"/>
      <c r="K395" s="125" t="s">
        <v>1626</v>
      </c>
      <c r="L395" s="125">
        <f>SUMIFS('附表1-数据库'!$D$2:$D$22,'附表1-数据库'!$B$2:$B$22,$D395,'附表1-数据库'!$C$2:$C$22,'1-1 项目基础信息'!$D$13)</f>
        <v>0</v>
      </c>
      <c r="M395" s="125" t="s">
        <v>1627</v>
      </c>
      <c r="N395" s="125">
        <f t="shared" si="745"/>
        <v>0</v>
      </c>
      <c r="O395" s="304"/>
      <c r="P395" s="304"/>
      <c r="Q395" s="304"/>
      <c r="R395" s="304"/>
      <c r="S395" s="304"/>
      <c r="T395" s="304"/>
      <c r="U395" s="304"/>
      <c r="V395" s="304"/>
      <c r="W395" s="304"/>
      <c r="X395" s="304"/>
      <c r="Y395" s="304"/>
      <c r="Z395" s="304"/>
      <c r="AA395" s="125"/>
      <c r="AB395" s="125">
        <f t="shared" si="746"/>
        <v>0</v>
      </c>
      <c r="AC395" s="125">
        <f t="shared" si="747"/>
        <v>0</v>
      </c>
      <c r="AD395" s="125"/>
      <c r="AE395" s="125"/>
      <c r="AF395" s="125">
        <f t="shared" si="748"/>
        <v>0</v>
      </c>
      <c r="AG395" s="125"/>
      <c r="AH395" s="125"/>
      <c r="AI395" s="125">
        <f t="shared" si="749"/>
        <v>0</v>
      </c>
      <c r="AJ395" s="125"/>
      <c r="AK395" s="125"/>
      <c r="AL395" s="125">
        <f t="shared" si="750"/>
        <v>0</v>
      </c>
      <c r="AM395" s="125"/>
      <c r="AN395" s="125"/>
      <c r="AO395" s="125">
        <f t="shared" si="751"/>
        <v>0</v>
      </c>
      <c r="AP395" s="125"/>
      <c r="AQ395" s="125"/>
      <c r="AR395" s="125">
        <f t="shared" si="752"/>
        <v>0</v>
      </c>
      <c r="AS395" s="125"/>
      <c r="AT395" s="125"/>
      <c r="AU395" s="125">
        <f t="shared" si="753"/>
        <v>0</v>
      </c>
      <c r="AV395" s="125"/>
      <c r="AW395" s="125"/>
      <c r="AX395" s="125">
        <f t="shared" si="754"/>
        <v>0</v>
      </c>
      <c r="AY395" s="125"/>
      <c r="AZ395" s="125"/>
      <c r="BA395" s="125">
        <f t="shared" si="755"/>
        <v>0</v>
      </c>
      <c r="BB395" s="125"/>
      <c r="BC395" s="125"/>
      <c r="BD395" s="125">
        <f t="shared" si="756"/>
        <v>0</v>
      </c>
      <c r="BE395" s="125"/>
      <c r="BF395" s="125"/>
      <c r="BG395" s="125">
        <f t="shared" si="757"/>
        <v>0</v>
      </c>
      <c r="BH395" s="125"/>
      <c r="BI395" s="125"/>
      <c r="BJ395" s="125">
        <f t="shared" si="758"/>
        <v>0</v>
      </c>
      <c r="BK395" s="125"/>
      <c r="BL395" s="312"/>
      <c r="BM395" s="317"/>
      <c r="BN395" s="320"/>
    </row>
    <row r="396" s="124" customFormat="1" ht="33.95" hidden="1" customHeight="1" outlineLevel="5" spans="2:66">
      <c r="B396" s="125" t="s">
        <v>792</v>
      </c>
      <c r="C396" s="126" t="s">
        <v>1657</v>
      </c>
      <c r="D396" s="124" t="s">
        <v>1658</v>
      </c>
      <c r="E396" s="125" t="s">
        <v>1642</v>
      </c>
      <c r="F396" s="125" t="s">
        <v>1618</v>
      </c>
      <c r="G396" s="125" t="s">
        <v>936</v>
      </c>
      <c r="H396" s="125">
        <f t="shared" si="744"/>
        <v>0</v>
      </c>
      <c r="I396" s="125" t="s">
        <v>1235</v>
      </c>
      <c r="J396" s="304"/>
      <c r="K396" s="125" t="s">
        <v>1626</v>
      </c>
      <c r="L396" s="125">
        <f>SUMIFS('附表1-数据库'!$D$2:$D$22,'附表1-数据库'!$B$2:$B$22,$D396,'附表1-数据库'!$C$2:$C$22,'1-1 项目基础信息'!$D$13)</f>
        <v>0</v>
      </c>
      <c r="M396" s="125" t="s">
        <v>1627</v>
      </c>
      <c r="N396" s="125">
        <f t="shared" si="745"/>
        <v>0</v>
      </c>
      <c r="O396" s="304"/>
      <c r="P396" s="304"/>
      <c r="Q396" s="304"/>
      <c r="R396" s="304"/>
      <c r="S396" s="304"/>
      <c r="T396" s="304"/>
      <c r="U396" s="304"/>
      <c r="V396" s="304"/>
      <c r="W396" s="304"/>
      <c r="X396" s="304"/>
      <c r="Y396" s="304"/>
      <c r="Z396" s="304"/>
      <c r="AA396" s="125"/>
      <c r="AB396" s="125">
        <f t="shared" ref="AB396:AB409" si="759">SUM(AC396,AF396,AI396,AL396,AO396,AR396,AU396,AX396,BA396,BD396,BG396,BJ396)</f>
        <v>0</v>
      </c>
      <c r="AC396" s="125">
        <f t="shared" ref="AC396:AC409" si="760">IF(O396="√",$J396*$L396/$N396,0)</f>
        <v>0</v>
      </c>
      <c r="AD396" s="125"/>
      <c r="AE396" s="125"/>
      <c r="AF396" s="125">
        <f t="shared" ref="AF396:AF409" si="761">IF(P396="√",$J396*$L396/$N396,0)</f>
        <v>0</v>
      </c>
      <c r="AG396" s="125"/>
      <c r="AH396" s="125"/>
      <c r="AI396" s="125">
        <f t="shared" ref="AI396:AI409" si="762">IF(Q396="√",$J396*$L396/$N396,0)</f>
        <v>0</v>
      </c>
      <c r="AJ396" s="125"/>
      <c r="AK396" s="125"/>
      <c r="AL396" s="125">
        <f t="shared" ref="AL396:AL409" si="763">IF(R396="√",$J396*$L396/$N396,0)</f>
        <v>0</v>
      </c>
      <c r="AM396" s="125"/>
      <c r="AN396" s="125"/>
      <c r="AO396" s="125">
        <f t="shared" ref="AO396:AO409" si="764">IF(S396="√",$J396*$L396/$N396,0)</f>
        <v>0</v>
      </c>
      <c r="AP396" s="125"/>
      <c r="AQ396" s="125"/>
      <c r="AR396" s="125">
        <f t="shared" ref="AR396:AR409" si="765">IF(T396="√",$J396*$L396/$N396,0)</f>
        <v>0</v>
      </c>
      <c r="AS396" s="125"/>
      <c r="AT396" s="125"/>
      <c r="AU396" s="125">
        <f t="shared" ref="AU396:AU409" si="766">IF(U396="√",$J396*$L396/$N396,0)</f>
        <v>0</v>
      </c>
      <c r="AV396" s="125"/>
      <c r="AW396" s="125"/>
      <c r="AX396" s="125">
        <f t="shared" ref="AX396:AX409" si="767">IF(V396="√",$J396*$L396/$N396,0)</f>
        <v>0</v>
      </c>
      <c r="AY396" s="125"/>
      <c r="AZ396" s="125"/>
      <c r="BA396" s="125">
        <f t="shared" ref="BA396:BA409" si="768">IF(W396="√",$J396*$L396/$N396,0)</f>
        <v>0</v>
      </c>
      <c r="BB396" s="125"/>
      <c r="BC396" s="125"/>
      <c r="BD396" s="125">
        <f t="shared" ref="BD396:BD409" si="769">IF(X396="√",$J396*$L396/$N396,0)</f>
        <v>0</v>
      </c>
      <c r="BE396" s="125"/>
      <c r="BF396" s="125"/>
      <c r="BG396" s="125">
        <f t="shared" ref="BG396:BG409" si="770">IF(Y396="√",$J396*$L396/$N396,0)</f>
        <v>0</v>
      </c>
      <c r="BH396" s="125"/>
      <c r="BI396" s="125"/>
      <c r="BJ396" s="125">
        <f t="shared" ref="BJ396:BJ409" si="771">IF(Z396="√",$J396*$L396/$N396,0)</f>
        <v>0</v>
      </c>
      <c r="BK396" s="125"/>
      <c r="BL396" s="312"/>
      <c r="BM396" s="317"/>
      <c r="BN396" s="320"/>
    </row>
    <row r="397" s="124" customFormat="1" ht="33.95" hidden="1" customHeight="1" outlineLevel="5" spans="2:66">
      <c r="B397" s="125" t="s">
        <v>792</v>
      </c>
      <c r="C397" s="126" t="s">
        <v>1659</v>
      </c>
      <c r="D397" s="124" t="s">
        <v>1660</v>
      </c>
      <c r="E397" s="125" t="s">
        <v>1639</v>
      </c>
      <c r="F397" s="125" t="s">
        <v>1618</v>
      </c>
      <c r="G397" s="125" t="s">
        <v>936</v>
      </c>
      <c r="H397" s="125">
        <f t="shared" si="744"/>
        <v>0</v>
      </c>
      <c r="I397" s="125" t="s">
        <v>1235</v>
      </c>
      <c r="J397" s="304"/>
      <c r="K397" s="125" t="s">
        <v>1626</v>
      </c>
      <c r="L397" s="125">
        <f>SUMIFS('附表1-数据库'!$D$2:$D$22,'附表1-数据库'!$B$2:$B$22,$D397,'附表1-数据库'!$C$2:$C$22,'1-1 项目基础信息'!$D$13)</f>
        <v>0</v>
      </c>
      <c r="M397" s="125" t="s">
        <v>1627</v>
      </c>
      <c r="N397" s="125">
        <f t="shared" si="745"/>
        <v>0</v>
      </c>
      <c r="O397" s="304"/>
      <c r="P397" s="304"/>
      <c r="Q397" s="304"/>
      <c r="R397" s="304"/>
      <c r="S397" s="304"/>
      <c r="T397" s="304"/>
      <c r="U397" s="304"/>
      <c r="V397" s="304"/>
      <c r="W397" s="304"/>
      <c r="X397" s="304"/>
      <c r="Y397" s="304"/>
      <c r="Z397" s="304"/>
      <c r="AA397" s="125"/>
      <c r="AB397" s="125">
        <f t="shared" si="759"/>
        <v>0</v>
      </c>
      <c r="AC397" s="125">
        <f t="shared" si="760"/>
        <v>0</v>
      </c>
      <c r="AD397" s="125"/>
      <c r="AE397" s="125"/>
      <c r="AF397" s="125">
        <f t="shared" si="761"/>
        <v>0</v>
      </c>
      <c r="AG397" s="125"/>
      <c r="AH397" s="125"/>
      <c r="AI397" s="125">
        <f t="shared" si="762"/>
        <v>0</v>
      </c>
      <c r="AJ397" s="125"/>
      <c r="AK397" s="125"/>
      <c r="AL397" s="125">
        <f t="shared" si="763"/>
        <v>0</v>
      </c>
      <c r="AM397" s="125"/>
      <c r="AN397" s="125"/>
      <c r="AO397" s="125">
        <f t="shared" si="764"/>
        <v>0</v>
      </c>
      <c r="AP397" s="125"/>
      <c r="AQ397" s="125"/>
      <c r="AR397" s="125">
        <f t="shared" si="765"/>
        <v>0</v>
      </c>
      <c r="AS397" s="125"/>
      <c r="AT397" s="125"/>
      <c r="AU397" s="125">
        <f t="shared" si="766"/>
        <v>0</v>
      </c>
      <c r="AV397" s="125"/>
      <c r="AW397" s="125"/>
      <c r="AX397" s="125">
        <f t="shared" si="767"/>
        <v>0</v>
      </c>
      <c r="AY397" s="125"/>
      <c r="AZ397" s="125"/>
      <c r="BA397" s="125">
        <f t="shared" si="768"/>
        <v>0</v>
      </c>
      <c r="BB397" s="125"/>
      <c r="BC397" s="125"/>
      <c r="BD397" s="125">
        <f t="shared" si="769"/>
        <v>0</v>
      </c>
      <c r="BE397" s="125"/>
      <c r="BF397" s="125"/>
      <c r="BG397" s="125">
        <f t="shared" si="770"/>
        <v>0</v>
      </c>
      <c r="BH397" s="125"/>
      <c r="BI397" s="125"/>
      <c r="BJ397" s="125">
        <f t="shared" si="771"/>
        <v>0</v>
      </c>
      <c r="BK397" s="125"/>
      <c r="BL397" s="312"/>
      <c r="BM397" s="317"/>
      <c r="BN397" s="320"/>
    </row>
    <row r="398" s="124" customFormat="1" ht="33.95" hidden="1" customHeight="1" outlineLevel="5" spans="2:66">
      <c r="B398" s="125" t="s">
        <v>792</v>
      </c>
      <c r="C398" s="126" t="s">
        <v>1661</v>
      </c>
      <c r="D398" s="124" t="s">
        <v>1662</v>
      </c>
      <c r="E398" s="125"/>
      <c r="F398" s="125" t="s">
        <v>1618</v>
      </c>
      <c r="G398" s="125" t="s">
        <v>936</v>
      </c>
      <c r="H398" s="125">
        <f t="shared" si="744"/>
        <v>0</v>
      </c>
      <c r="I398" s="125" t="s">
        <v>1235</v>
      </c>
      <c r="J398" s="304"/>
      <c r="K398" s="125" t="s">
        <v>1626</v>
      </c>
      <c r="L398" s="304"/>
      <c r="M398" s="125" t="s">
        <v>1627</v>
      </c>
      <c r="N398" s="125">
        <f t="shared" si="745"/>
        <v>0</v>
      </c>
      <c r="O398" s="322"/>
      <c r="P398" s="322"/>
      <c r="Q398" s="322"/>
      <c r="R398" s="322"/>
      <c r="S398" s="322"/>
      <c r="T398" s="322"/>
      <c r="U398" s="322"/>
      <c r="V398" s="322"/>
      <c r="W398" s="322"/>
      <c r="X398" s="322"/>
      <c r="Y398" s="322"/>
      <c r="Z398" s="322"/>
      <c r="AA398" s="125"/>
      <c r="AB398" s="125">
        <f t="shared" si="759"/>
        <v>0</v>
      </c>
      <c r="AC398" s="125">
        <f t="shared" si="760"/>
        <v>0</v>
      </c>
      <c r="AD398" s="125"/>
      <c r="AE398" s="125"/>
      <c r="AF398" s="125">
        <f t="shared" si="761"/>
        <v>0</v>
      </c>
      <c r="AG398" s="125"/>
      <c r="AH398" s="125"/>
      <c r="AI398" s="125">
        <f t="shared" si="762"/>
        <v>0</v>
      </c>
      <c r="AJ398" s="125"/>
      <c r="AK398" s="125"/>
      <c r="AL398" s="125">
        <f t="shared" si="763"/>
        <v>0</v>
      </c>
      <c r="AM398" s="125"/>
      <c r="AN398" s="125"/>
      <c r="AO398" s="125">
        <f t="shared" si="764"/>
        <v>0</v>
      </c>
      <c r="AP398" s="125"/>
      <c r="AQ398" s="125"/>
      <c r="AR398" s="125">
        <f t="shared" si="765"/>
        <v>0</v>
      </c>
      <c r="AS398" s="125"/>
      <c r="AT398" s="125"/>
      <c r="AU398" s="125">
        <f t="shared" si="766"/>
        <v>0</v>
      </c>
      <c r="AV398" s="125"/>
      <c r="AW398" s="125"/>
      <c r="AX398" s="125">
        <f t="shared" si="767"/>
        <v>0</v>
      </c>
      <c r="AY398" s="125"/>
      <c r="AZ398" s="125"/>
      <c r="BA398" s="125">
        <f t="shared" si="768"/>
        <v>0</v>
      </c>
      <c r="BB398" s="125"/>
      <c r="BC398" s="125"/>
      <c r="BD398" s="125">
        <f t="shared" si="769"/>
        <v>0</v>
      </c>
      <c r="BE398" s="125"/>
      <c r="BF398" s="125"/>
      <c r="BG398" s="125">
        <f t="shared" si="770"/>
        <v>0</v>
      </c>
      <c r="BH398" s="125"/>
      <c r="BI398" s="125"/>
      <c r="BJ398" s="125">
        <f t="shared" si="771"/>
        <v>0</v>
      </c>
      <c r="BK398" s="125"/>
      <c r="BL398" s="312"/>
      <c r="BM398" s="317"/>
      <c r="BN398" s="320"/>
    </row>
    <row r="399" s="43" customFormat="1" ht="33.95" hidden="1" customHeight="1" outlineLevel="3" spans="2:66">
      <c r="B399" s="121" t="s">
        <v>787</v>
      </c>
      <c r="C399" s="122" t="s">
        <v>1663</v>
      </c>
      <c r="D399" s="43" t="s">
        <v>1664</v>
      </c>
      <c r="E399" s="121"/>
      <c r="F399" s="121"/>
      <c r="G399" s="121"/>
      <c r="H399" s="121">
        <f>SUM(H400:H409)</f>
        <v>0</v>
      </c>
      <c r="I399" s="121"/>
      <c r="J399" s="121"/>
      <c r="K399" s="121"/>
      <c r="L399" s="121"/>
      <c r="M399" s="121"/>
      <c r="N399" s="311"/>
      <c r="O399" s="294"/>
      <c r="P399" s="294"/>
      <c r="Q399" s="294"/>
      <c r="R399" s="294"/>
      <c r="S399" s="294"/>
      <c r="T399" s="294"/>
      <c r="U399" s="294"/>
      <c r="V399" s="294"/>
      <c r="W399" s="294"/>
      <c r="X399" s="294"/>
      <c r="Y399" s="294"/>
      <c r="Z399" s="294"/>
      <c r="AA399" s="294"/>
      <c r="AB399" s="121">
        <f t="shared" ref="AB399:AF399" si="772">SUM(AB400:AB409)</f>
        <v>0</v>
      </c>
      <c r="AC399" s="121">
        <f t="shared" si="772"/>
        <v>0</v>
      </c>
      <c r="AD399" s="121"/>
      <c r="AE399" s="121"/>
      <c r="AF399" s="121">
        <f t="shared" si="772"/>
        <v>0</v>
      </c>
      <c r="AG399" s="121"/>
      <c r="AH399" s="121"/>
      <c r="AI399" s="121">
        <f>SUM(AI400:AI409)</f>
        <v>0</v>
      </c>
      <c r="AJ399" s="121"/>
      <c r="AK399" s="121"/>
      <c r="AL399" s="121">
        <f>SUM(AL400:AL409)</f>
        <v>0</v>
      </c>
      <c r="AM399" s="121"/>
      <c r="AN399" s="121"/>
      <c r="AO399" s="121">
        <f>SUM(AO400:AO409)</f>
        <v>0</v>
      </c>
      <c r="AP399" s="121"/>
      <c r="AQ399" s="121"/>
      <c r="AR399" s="121">
        <f>SUM(AR400:AR409)</f>
        <v>0</v>
      </c>
      <c r="AS399" s="121"/>
      <c r="AT399" s="121"/>
      <c r="AU399" s="121">
        <f>SUM(AU400:AU409)</f>
        <v>0</v>
      </c>
      <c r="AV399" s="121"/>
      <c r="AW399" s="121"/>
      <c r="AX399" s="121">
        <f>SUM(AX400:AX409)</f>
        <v>0</v>
      </c>
      <c r="AY399" s="121"/>
      <c r="AZ399" s="121"/>
      <c r="BA399" s="121">
        <f>SUM(BA400:BA409)</f>
        <v>0</v>
      </c>
      <c r="BB399" s="121"/>
      <c r="BC399" s="121"/>
      <c r="BD399" s="121">
        <f>SUM(BD400:BD409)</f>
        <v>0</v>
      </c>
      <c r="BE399" s="121"/>
      <c r="BF399" s="121"/>
      <c r="BG399" s="121">
        <f>SUM(BG400:BG409)</f>
        <v>0</v>
      </c>
      <c r="BH399" s="121"/>
      <c r="BI399" s="121"/>
      <c r="BJ399" s="121">
        <f>SUM(BJ400:BJ409)</f>
        <v>0</v>
      </c>
      <c r="BK399" s="121"/>
      <c r="BL399" s="311"/>
      <c r="BM399" s="317"/>
      <c r="BN399" s="319"/>
    </row>
    <row r="400" s="124" customFormat="1" ht="33.95" hidden="1" customHeight="1" outlineLevel="4" spans="2:66">
      <c r="B400" s="125" t="s">
        <v>792</v>
      </c>
      <c r="C400" s="126" t="s">
        <v>1665</v>
      </c>
      <c r="D400" s="124" t="s">
        <v>1666</v>
      </c>
      <c r="E400" s="125" t="s">
        <v>1667</v>
      </c>
      <c r="F400" s="125" t="s">
        <v>1618</v>
      </c>
      <c r="G400" s="125" t="s">
        <v>936</v>
      </c>
      <c r="H400" s="125">
        <f t="shared" ref="H400:H409" si="773">J400*L400</f>
        <v>0</v>
      </c>
      <c r="I400" s="125" t="s">
        <v>1235</v>
      </c>
      <c r="J400" s="304"/>
      <c r="K400" s="125" t="s">
        <v>1389</v>
      </c>
      <c r="L400" s="125">
        <v>20</v>
      </c>
      <c r="M400" s="125" t="s">
        <v>1668</v>
      </c>
      <c r="N400" s="125">
        <f t="shared" ref="N400:N409" si="774">COUNTA(O400:Z400)</f>
        <v>0</v>
      </c>
      <c r="O400" s="323"/>
      <c r="P400" s="323"/>
      <c r="Q400" s="323"/>
      <c r="R400" s="323"/>
      <c r="S400" s="323"/>
      <c r="T400" s="323"/>
      <c r="U400" s="323"/>
      <c r="V400" s="323"/>
      <c r="W400" s="323"/>
      <c r="X400" s="323"/>
      <c r="Y400" s="323"/>
      <c r="Z400" s="323"/>
      <c r="AA400" s="125"/>
      <c r="AB400" s="125">
        <f t="shared" si="759"/>
        <v>0</v>
      </c>
      <c r="AC400" s="125">
        <f t="shared" si="760"/>
        <v>0</v>
      </c>
      <c r="AD400" s="125"/>
      <c r="AE400" s="125"/>
      <c r="AF400" s="125">
        <f t="shared" si="761"/>
        <v>0</v>
      </c>
      <c r="AG400" s="125"/>
      <c r="AH400" s="125"/>
      <c r="AI400" s="125">
        <f t="shared" si="762"/>
        <v>0</v>
      </c>
      <c r="AJ400" s="125"/>
      <c r="AK400" s="125"/>
      <c r="AL400" s="125">
        <f t="shared" si="763"/>
        <v>0</v>
      </c>
      <c r="AM400" s="125"/>
      <c r="AN400" s="125"/>
      <c r="AO400" s="125">
        <f t="shared" si="764"/>
        <v>0</v>
      </c>
      <c r="AP400" s="125"/>
      <c r="AQ400" s="125"/>
      <c r="AR400" s="125">
        <f t="shared" si="765"/>
        <v>0</v>
      </c>
      <c r="AS400" s="125"/>
      <c r="AT400" s="125"/>
      <c r="AU400" s="125">
        <f t="shared" si="766"/>
        <v>0</v>
      </c>
      <c r="AV400" s="125"/>
      <c r="AW400" s="125"/>
      <c r="AX400" s="125">
        <f t="shared" si="767"/>
        <v>0</v>
      </c>
      <c r="AY400" s="125"/>
      <c r="AZ400" s="125"/>
      <c r="BA400" s="125">
        <f t="shared" si="768"/>
        <v>0</v>
      </c>
      <c r="BB400" s="125"/>
      <c r="BC400" s="125"/>
      <c r="BD400" s="125">
        <f t="shared" si="769"/>
        <v>0</v>
      </c>
      <c r="BE400" s="125"/>
      <c r="BF400" s="125"/>
      <c r="BG400" s="125">
        <f t="shared" si="770"/>
        <v>0</v>
      </c>
      <c r="BH400" s="125"/>
      <c r="BI400" s="125"/>
      <c r="BJ400" s="125">
        <f t="shared" si="771"/>
        <v>0</v>
      </c>
      <c r="BK400" s="125"/>
      <c r="BL400" s="312"/>
      <c r="BM400" s="317"/>
      <c r="BN400" s="320"/>
    </row>
    <row r="401" s="124" customFormat="1" ht="33.95" hidden="1" customHeight="1" outlineLevel="4" spans="2:66">
      <c r="B401" s="125" t="s">
        <v>792</v>
      </c>
      <c r="C401" s="126" t="s">
        <v>1669</v>
      </c>
      <c r="D401" s="124" t="s">
        <v>1670</v>
      </c>
      <c r="E401" s="125" t="s">
        <v>1671</v>
      </c>
      <c r="F401" s="125" t="s">
        <v>1618</v>
      </c>
      <c r="G401" s="125" t="s">
        <v>936</v>
      </c>
      <c r="H401" s="125">
        <f t="shared" si="773"/>
        <v>0</v>
      </c>
      <c r="I401" s="125" t="s">
        <v>1235</v>
      </c>
      <c r="J401" s="304"/>
      <c r="K401" s="125" t="s">
        <v>1389</v>
      </c>
      <c r="L401" s="125">
        <v>55</v>
      </c>
      <c r="M401" s="125" t="s">
        <v>1668</v>
      </c>
      <c r="N401" s="125">
        <f t="shared" si="774"/>
        <v>0</v>
      </c>
      <c r="O401" s="304"/>
      <c r="P401" s="304"/>
      <c r="Q401" s="304"/>
      <c r="R401" s="304"/>
      <c r="S401" s="304"/>
      <c r="T401" s="304"/>
      <c r="U401" s="304"/>
      <c r="V401" s="304"/>
      <c r="W401" s="304"/>
      <c r="X401" s="304"/>
      <c r="Y401" s="304"/>
      <c r="Z401" s="304"/>
      <c r="AA401" s="125"/>
      <c r="AB401" s="125">
        <f t="shared" si="759"/>
        <v>0</v>
      </c>
      <c r="AC401" s="125">
        <f t="shared" si="760"/>
        <v>0</v>
      </c>
      <c r="AD401" s="125"/>
      <c r="AE401" s="125"/>
      <c r="AF401" s="125">
        <f t="shared" si="761"/>
        <v>0</v>
      </c>
      <c r="AG401" s="125"/>
      <c r="AH401" s="125"/>
      <c r="AI401" s="125">
        <f t="shared" si="762"/>
        <v>0</v>
      </c>
      <c r="AJ401" s="125"/>
      <c r="AK401" s="125"/>
      <c r="AL401" s="125">
        <f t="shared" si="763"/>
        <v>0</v>
      </c>
      <c r="AM401" s="125"/>
      <c r="AN401" s="125"/>
      <c r="AO401" s="125">
        <f t="shared" si="764"/>
        <v>0</v>
      </c>
      <c r="AP401" s="125"/>
      <c r="AQ401" s="125"/>
      <c r="AR401" s="125">
        <f t="shared" si="765"/>
        <v>0</v>
      </c>
      <c r="AS401" s="125"/>
      <c r="AT401" s="125"/>
      <c r="AU401" s="125">
        <f t="shared" si="766"/>
        <v>0</v>
      </c>
      <c r="AV401" s="125"/>
      <c r="AW401" s="125"/>
      <c r="AX401" s="125">
        <f t="shared" si="767"/>
        <v>0</v>
      </c>
      <c r="AY401" s="125"/>
      <c r="AZ401" s="125"/>
      <c r="BA401" s="125">
        <f t="shared" si="768"/>
        <v>0</v>
      </c>
      <c r="BB401" s="125"/>
      <c r="BC401" s="125"/>
      <c r="BD401" s="125">
        <f t="shared" si="769"/>
        <v>0</v>
      </c>
      <c r="BE401" s="125"/>
      <c r="BF401" s="125"/>
      <c r="BG401" s="125">
        <f t="shared" si="770"/>
        <v>0</v>
      </c>
      <c r="BH401" s="125"/>
      <c r="BI401" s="125"/>
      <c r="BJ401" s="125">
        <f t="shared" si="771"/>
        <v>0</v>
      </c>
      <c r="BK401" s="125"/>
      <c r="BL401" s="312"/>
      <c r="BM401" s="317"/>
      <c r="BN401" s="320"/>
    </row>
    <row r="402" s="124" customFormat="1" ht="33.95" hidden="1" customHeight="1" outlineLevel="4" spans="2:66">
      <c r="B402" s="125" t="s">
        <v>792</v>
      </c>
      <c r="C402" s="126" t="s">
        <v>1672</v>
      </c>
      <c r="D402" s="124" t="s">
        <v>1673</v>
      </c>
      <c r="E402" s="125" t="s">
        <v>1674</v>
      </c>
      <c r="F402" s="125" t="s">
        <v>1618</v>
      </c>
      <c r="G402" s="125" t="s">
        <v>936</v>
      </c>
      <c r="H402" s="125">
        <f t="shared" si="773"/>
        <v>0</v>
      </c>
      <c r="I402" s="125" t="s">
        <v>1235</v>
      </c>
      <c r="J402" s="304"/>
      <c r="K402" s="125" t="s">
        <v>1389</v>
      </c>
      <c r="L402" s="125">
        <v>300</v>
      </c>
      <c r="M402" s="125" t="s">
        <v>1668</v>
      </c>
      <c r="N402" s="125">
        <f t="shared" si="774"/>
        <v>0</v>
      </c>
      <c r="O402" s="304"/>
      <c r="P402" s="304"/>
      <c r="Q402" s="304"/>
      <c r="R402" s="304"/>
      <c r="S402" s="304"/>
      <c r="T402" s="304"/>
      <c r="U402" s="304"/>
      <c r="V402" s="304"/>
      <c r="W402" s="304"/>
      <c r="X402" s="304"/>
      <c r="Y402" s="304"/>
      <c r="Z402" s="304"/>
      <c r="AA402" s="125"/>
      <c r="AB402" s="125">
        <f t="shared" si="759"/>
        <v>0</v>
      </c>
      <c r="AC402" s="125">
        <f t="shared" si="760"/>
        <v>0</v>
      </c>
      <c r="AD402" s="125"/>
      <c r="AE402" s="125"/>
      <c r="AF402" s="125">
        <f t="shared" si="761"/>
        <v>0</v>
      </c>
      <c r="AG402" s="125"/>
      <c r="AH402" s="125"/>
      <c r="AI402" s="125">
        <f t="shared" si="762"/>
        <v>0</v>
      </c>
      <c r="AJ402" s="125"/>
      <c r="AK402" s="125"/>
      <c r="AL402" s="125">
        <f t="shared" si="763"/>
        <v>0</v>
      </c>
      <c r="AM402" s="125"/>
      <c r="AN402" s="125"/>
      <c r="AO402" s="125">
        <f t="shared" si="764"/>
        <v>0</v>
      </c>
      <c r="AP402" s="125"/>
      <c r="AQ402" s="125"/>
      <c r="AR402" s="125">
        <f t="shared" si="765"/>
        <v>0</v>
      </c>
      <c r="AS402" s="125"/>
      <c r="AT402" s="125"/>
      <c r="AU402" s="125">
        <f t="shared" si="766"/>
        <v>0</v>
      </c>
      <c r="AV402" s="125"/>
      <c r="AW402" s="125"/>
      <c r="AX402" s="125">
        <f t="shared" si="767"/>
        <v>0</v>
      </c>
      <c r="AY402" s="125"/>
      <c r="AZ402" s="125"/>
      <c r="BA402" s="125">
        <f t="shared" si="768"/>
        <v>0</v>
      </c>
      <c r="BB402" s="125"/>
      <c r="BC402" s="125"/>
      <c r="BD402" s="125">
        <f t="shared" si="769"/>
        <v>0</v>
      </c>
      <c r="BE402" s="125"/>
      <c r="BF402" s="125"/>
      <c r="BG402" s="125">
        <f t="shared" si="770"/>
        <v>0</v>
      </c>
      <c r="BH402" s="125"/>
      <c r="BI402" s="125"/>
      <c r="BJ402" s="125">
        <f t="shared" si="771"/>
        <v>0</v>
      </c>
      <c r="BK402" s="125"/>
      <c r="BL402" s="312"/>
      <c r="BM402" s="317"/>
      <c r="BN402" s="320"/>
    </row>
    <row r="403" s="124" customFormat="1" ht="33.95" hidden="1" customHeight="1" outlineLevel="4" spans="2:66">
      <c r="B403" s="125" t="s">
        <v>792</v>
      </c>
      <c r="C403" s="126" t="s">
        <v>1675</v>
      </c>
      <c r="D403" s="124" t="s">
        <v>1676</v>
      </c>
      <c r="E403" s="125" t="s">
        <v>1677</v>
      </c>
      <c r="F403" s="125" t="s">
        <v>1618</v>
      </c>
      <c r="G403" s="125" t="s">
        <v>936</v>
      </c>
      <c r="H403" s="125">
        <f t="shared" si="773"/>
        <v>0</v>
      </c>
      <c r="I403" s="125" t="s">
        <v>1235</v>
      </c>
      <c r="J403" s="304"/>
      <c r="K403" s="125" t="s">
        <v>1389</v>
      </c>
      <c r="L403" s="125">
        <v>15</v>
      </c>
      <c r="M403" s="125" t="s">
        <v>1668</v>
      </c>
      <c r="N403" s="125">
        <f t="shared" si="774"/>
        <v>0</v>
      </c>
      <c r="O403" s="304"/>
      <c r="P403" s="304"/>
      <c r="Q403" s="304"/>
      <c r="R403" s="304"/>
      <c r="S403" s="304"/>
      <c r="T403" s="304"/>
      <c r="U403" s="304"/>
      <c r="V403" s="304"/>
      <c r="W403" s="304"/>
      <c r="X403" s="304"/>
      <c r="Y403" s="304"/>
      <c r="Z403" s="304"/>
      <c r="AA403" s="125"/>
      <c r="AB403" s="125">
        <f t="shared" si="759"/>
        <v>0</v>
      </c>
      <c r="AC403" s="125">
        <f t="shared" si="760"/>
        <v>0</v>
      </c>
      <c r="AD403" s="125"/>
      <c r="AE403" s="125"/>
      <c r="AF403" s="125">
        <f t="shared" si="761"/>
        <v>0</v>
      </c>
      <c r="AG403" s="125"/>
      <c r="AH403" s="125"/>
      <c r="AI403" s="125">
        <f t="shared" si="762"/>
        <v>0</v>
      </c>
      <c r="AJ403" s="125"/>
      <c r="AK403" s="125"/>
      <c r="AL403" s="125">
        <f t="shared" si="763"/>
        <v>0</v>
      </c>
      <c r="AM403" s="125"/>
      <c r="AN403" s="125"/>
      <c r="AO403" s="125">
        <f t="shared" si="764"/>
        <v>0</v>
      </c>
      <c r="AP403" s="125"/>
      <c r="AQ403" s="125"/>
      <c r="AR403" s="125">
        <f t="shared" si="765"/>
        <v>0</v>
      </c>
      <c r="AS403" s="125"/>
      <c r="AT403" s="125"/>
      <c r="AU403" s="125">
        <f t="shared" si="766"/>
        <v>0</v>
      </c>
      <c r="AV403" s="125"/>
      <c r="AW403" s="125"/>
      <c r="AX403" s="125">
        <f t="shared" si="767"/>
        <v>0</v>
      </c>
      <c r="AY403" s="125"/>
      <c r="AZ403" s="125"/>
      <c r="BA403" s="125">
        <f t="shared" si="768"/>
        <v>0</v>
      </c>
      <c r="BB403" s="125"/>
      <c r="BC403" s="125"/>
      <c r="BD403" s="125">
        <f t="shared" si="769"/>
        <v>0</v>
      </c>
      <c r="BE403" s="125"/>
      <c r="BF403" s="125"/>
      <c r="BG403" s="125">
        <f t="shared" si="770"/>
        <v>0</v>
      </c>
      <c r="BH403" s="125"/>
      <c r="BI403" s="125"/>
      <c r="BJ403" s="125">
        <f t="shared" si="771"/>
        <v>0</v>
      </c>
      <c r="BK403" s="125"/>
      <c r="BL403" s="312"/>
      <c r="BM403" s="317"/>
      <c r="BN403" s="320"/>
    </row>
    <row r="404" s="124" customFormat="1" ht="33.95" hidden="1" customHeight="1" outlineLevel="4" spans="2:66">
      <c r="B404" s="125" t="s">
        <v>792</v>
      </c>
      <c r="C404" s="126" t="s">
        <v>1678</v>
      </c>
      <c r="D404" s="124" t="s">
        <v>1679</v>
      </c>
      <c r="E404" s="125" t="s">
        <v>1680</v>
      </c>
      <c r="F404" s="125" t="s">
        <v>1618</v>
      </c>
      <c r="G404" s="125" t="s">
        <v>936</v>
      </c>
      <c r="H404" s="125">
        <f t="shared" si="773"/>
        <v>0</v>
      </c>
      <c r="I404" s="125" t="s">
        <v>1235</v>
      </c>
      <c r="J404" s="304"/>
      <c r="K404" s="125" t="s">
        <v>1389</v>
      </c>
      <c r="L404" s="125">
        <v>50</v>
      </c>
      <c r="M404" s="125" t="s">
        <v>1668</v>
      </c>
      <c r="N404" s="125">
        <f t="shared" si="774"/>
        <v>0</v>
      </c>
      <c r="O404" s="304"/>
      <c r="P404" s="304"/>
      <c r="Q404" s="304"/>
      <c r="R404" s="304"/>
      <c r="S404" s="304"/>
      <c r="T404" s="304"/>
      <c r="U404" s="304"/>
      <c r="V404" s="304"/>
      <c r="W404" s="304"/>
      <c r="X404" s="304"/>
      <c r="Y404" s="304"/>
      <c r="Z404" s="304"/>
      <c r="AA404" s="125"/>
      <c r="AB404" s="125">
        <f t="shared" si="759"/>
        <v>0</v>
      </c>
      <c r="AC404" s="125">
        <f t="shared" si="760"/>
        <v>0</v>
      </c>
      <c r="AD404" s="125"/>
      <c r="AE404" s="125"/>
      <c r="AF404" s="125">
        <f t="shared" si="761"/>
        <v>0</v>
      </c>
      <c r="AG404" s="125"/>
      <c r="AH404" s="125"/>
      <c r="AI404" s="125">
        <f t="shared" si="762"/>
        <v>0</v>
      </c>
      <c r="AJ404" s="125"/>
      <c r="AK404" s="125"/>
      <c r="AL404" s="125">
        <f t="shared" si="763"/>
        <v>0</v>
      </c>
      <c r="AM404" s="125"/>
      <c r="AN404" s="125"/>
      <c r="AO404" s="125">
        <f t="shared" si="764"/>
        <v>0</v>
      </c>
      <c r="AP404" s="125"/>
      <c r="AQ404" s="125"/>
      <c r="AR404" s="125">
        <f t="shared" si="765"/>
        <v>0</v>
      </c>
      <c r="AS404" s="125"/>
      <c r="AT404" s="125"/>
      <c r="AU404" s="125">
        <f t="shared" si="766"/>
        <v>0</v>
      </c>
      <c r="AV404" s="125"/>
      <c r="AW404" s="125"/>
      <c r="AX404" s="125">
        <f t="shared" si="767"/>
        <v>0</v>
      </c>
      <c r="AY404" s="125"/>
      <c r="AZ404" s="125"/>
      <c r="BA404" s="125">
        <f t="shared" si="768"/>
        <v>0</v>
      </c>
      <c r="BB404" s="125"/>
      <c r="BC404" s="125"/>
      <c r="BD404" s="125">
        <f t="shared" si="769"/>
        <v>0</v>
      </c>
      <c r="BE404" s="125"/>
      <c r="BF404" s="125"/>
      <c r="BG404" s="125">
        <f t="shared" si="770"/>
        <v>0</v>
      </c>
      <c r="BH404" s="125"/>
      <c r="BI404" s="125"/>
      <c r="BJ404" s="125">
        <f t="shared" si="771"/>
        <v>0</v>
      </c>
      <c r="BK404" s="125"/>
      <c r="BL404" s="312"/>
      <c r="BM404" s="317"/>
      <c r="BN404" s="320"/>
    </row>
    <row r="405" s="124" customFormat="1" ht="33.95" hidden="1" customHeight="1" outlineLevel="4" spans="2:66">
      <c r="B405" s="125" t="s">
        <v>792</v>
      </c>
      <c r="C405" s="126" t="s">
        <v>1681</v>
      </c>
      <c r="D405" s="124" t="s">
        <v>1682</v>
      </c>
      <c r="E405" s="125" t="s">
        <v>1683</v>
      </c>
      <c r="F405" s="125" t="s">
        <v>1618</v>
      </c>
      <c r="G405" s="125" t="s">
        <v>936</v>
      </c>
      <c r="H405" s="125">
        <f t="shared" si="773"/>
        <v>0</v>
      </c>
      <c r="I405" s="125" t="s">
        <v>1235</v>
      </c>
      <c r="J405" s="304"/>
      <c r="K405" s="125" t="s">
        <v>1389</v>
      </c>
      <c r="L405" s="125">
        <v>565</v>
      </c>
      <c r="M405" s="125" t="s">
        <v>1668</v>
      </c>
      <c r="N405" s="125">
        <f t="shared" si="774"/>
        <v>0</v>
      </c>
      <c r="O405" s="304"/>
      <c r="P405" s="304"/>
      <c r="Q405" s="304"/>
      <c r="R405" s="304"/>
      <c r="S405" s="304"/>
      <c r="T405" s="304"/>
      <c r="U405" s="304"/>
      <c r="V405" s="304"/>
      <c r="W405" s="304"/>
      <c r="X405" s="304"/>
      <c r="Y405" s="304"/>
      <c r="Z405" s="304"/>
      <c r="AA405" s="125"/>
      <c r="AB405" s="125">
        <f t="shared" si="759"/>
        <v>0</v>
      </c>
      <c r="AC405" s="125">
        <f t="shared" si="760"/>
        <v>0</v>
      </c>
      <c r="AD405" s="125"/>
      <c r="AE405" s="125"/>
      <c r="AF405" s="125">
        <f t="shared" si="761"/>
        <v>0</v>
      </c>
      <c r="AG405" s="125"/>
      <c r="AH405" s="125"/>
      <c r="AI405" s="125">
        <f t="shared" si="762"/>
        <v>0</v>
      </c>
      <c r="AJ405" s="125"/>
      <c r="AK405" s="125"/>
      <c r="AL405" s="125">
        <f t="shared" si="763"/>
        <v>0</v>
      </c>
      <c r="AM405" s="125"/>
      <c r="AN405" s="125"/>
      <c r="AO405" s="125">
        <f t="shared" si="764"/>
        <v>0</v>
      </c>
      <c r="AP405" s="125"/>
      <c r="AQ405" s="125"/>
      <c r="AR405" s="125">
        <f t="shared" si="765"/>
        <v>0</v>
      </c>
      <c r="AS405" s="125"/>
      <c r="AT405" s="125"/>
      <c r="AU405" s="125">
        <f t="shared" si="766"/>
        <v>0</v>
      </c>
      <c r="AV405" s="125"/>
      <c r="AW405" s="125"/>
      <c r="AX405" s="125">
        <f t="shared" si="767"/>
        <v>0</v>
      </c>
      <c r="AY405" s="125"/>
      <c r="AZ405" s="125"/>
      <c r="BA405" s="125">
        <f t="shared" si="768"/>
        <v>0</v>
      </c>
      <c r="BB405" s="125"/>
      <c r="BC405" s="125"/>
      <c r="BD405" s="125">
        <f t="shared" si="769"/>
        <v>0</v>
      </c>
      <c r="BE405" s="125"/>
      <c r="BF405" s="125"/>
      <c r="BG405" s="125">
        <f t="shared" si="770"/>
        <v>0</v>
      </c>
      <c r="BH405" s="125"/>
      <c r="BI405" s="125"/>
      <c r="BJ405" s="125">
        <f t="shared" si="771"/>
        <v>0</v>
      </c>
      <c r="BK405" s="125"/>
      <c r="BL405" s="312"/>
      <c r="BM405" s="317"/>
      <c r="BN405" s="320"/>
    </row>
    <row r="406" s="124" customFormat="1" ht="33.95" hidden="1" customHeight="1" outlineLevel="4" spans="2:66">
      <c r="B406" s="125" t="s">
        <v>792</v>
      </c>
      <c r="C406" s="126" t="s">
        <v>1684</v>
      </c>
      <c r="D406" s="124" t="s">
        <v>1685</v>
      </c>
      <c r="E406" s="125" t="s">
        <v>1686</v>
      </c>
      <c r="F406" s="125" t="s">
        <v>1618</v>
      </c>
      <c r="G406" s="125" t="s">
        <v>936</v>
      </c>
      <c r="H406" s="125">
        <f t="shared" si="773"/>
        <v>0</v>
      </c>
      <c r="I406" s="125" t="s">
        <v>1235</v>
      </c>
      <c r="J406" s="304"/>
      <c r="K406" s="125" t="s">
        <v>1026</v>
      </c>
      <c r="L406" s="125">
        <v>55</v>
      </c>
      <c r="M406" s="125" t="s">
        <v>1687</v>
      </c>
      <c r="N406" s="125">
        <f t="shared" si="774"/>
        <v>0</v>
      </c>
      <c r="O406" s="304"/>
      <c r="P406" s="304"/>
      <c r="Q406" s="304"/>
      <c r="R406" s="304"/>
      <c r="S406" s="304"/>
      <c r="T406" s="304"/>
      <c r="U406" s="304"/>
      <c r="V406" s="304"/>
      <c r="W406" s="304"/>
      <c r="X406" s="304"/>
      <c r="Y406" s="304"/>
      <c r="Z406" s="304"/>
      <c r="AA406" s="125"/>
      <c r="AB406" s="125">
        <f t="shared" si="759"/>
        <v>0</v>
      </c>
      <c r="AC406" s="125">
        <f t="shared" si="760"/>
        <v>0</v>
      </c>
      <c r="AD406" s="125"/>
      <c r="AE406" s="125"/>
      <c r="AF406" s="125">
        <f t="shared" si="761"/>
        <v>0</v>
      </c>
      <c r="AG406" s="125"/>
      <c r="AH406" s="125"/>
      <c r="AI406" s="125">
        <f t="shared" si="762"/>
        <v>0</v>
      </c>
      <c r="AJ406" s="125"/>
      <c r="AK406" s="125"/>
      <c r="AL406" s="125">
        <f t="shared" si="763"/>
        <v>0</v>
      </c>
      <c r="AM406" s="125"/>
      <c r="AN406" s="125"/>
      <c r="AO406" s="125">
        <f t="shared" si="764"/>
        <v>0</v>
      </c>
      <c r="AP406" s="125"/>
      <c r="AQ406" s="125"/>
      <c r="AR406" s="125">
        <f t="shared" si="765"/>
        <v>0</v>
      </c>
      <c r="AS406" s="125"/>
      <c r="AT406" s="125"/>
      <c r="AU406" s="125">
        <f t="shared" si="766"/>
        <v>0</v>
      </c>
      <c r="AV406" s="125"/>
      <c r="AW406" s="125"/>
      <c r="AX406" s="125">
        <f t="shared" si="767"/>
        <v>0</v>
      </c>
      <c r="AY406" s="125"/>
      <c r="AZ406" s="125"/>
      <c r="BA406" s="125">
        <f t="shared" si="768"/>
        <v>0</v>
      </c>
      <c r="BB406" s="125"/>
      <c r="BC406" s="125"/>
      <c r="BD406" s="125">
        <f t="shared" si="769"/>
        <v>0</v>
      </c>
      <c r="BE406" s="125"/>
      <c r="BF406" s="125"/>
      <c r="BG406" s="125">
        <f t="shared" si="770"/>
        <v>0</v>
      </c>
      <c r="BH406" s="125"/>
      <c r="BI406" s="125"/>
      <c r="BJ406" s="125">
        <f t="shared" si="771"/>
        <v>0</v>
      </c>
      <c r="BK406" s="125"/>
      <c r="BL406" s="312"/>
      <c r="BM406" s="317"/>
      <c r="BN406" s="320"/>
    </row>
    <row r="407" s="124" customFormat="1" ht="33.95" hidden="1" customHeight="1" outlineLevel="4" spans="2:66">
      <c r="B407" s="125" t="s">
        <v>792</v>
      </c>
      <c r="C407" s="126" t="s">
        <v>1688</v>
      </c>
      <c r="D407" s="124" t="s">
        <v>1689</v>
      </c>
      <c r="E407" s="125" t="s">
        <v>1690</v>
      </c>
      <c r="F407" s="125" t="s">
        <v>1618</v>
      </c>
      <c r="G407" s="125" t="s">
        <v>936</v>
      </c>
      <c r="H407" s="125">
        <f t="shared" si="773"/>
        <v>0</v>
      </c>
      <c r="I407" s="125" t="s">
        <v>1235</v>
      </c>
      <c r="J407" s="304"/>
      <c r="K407" s="125" t="s">
        <v>1389</v>
      </c>
      <c r="L407" s="125">
        <v>33</v>
      </c>
      <c r="M407" s="125" t="s">
        <v>1668</v>
      </c>
      <c r="N407" s="125">
        <f t="shared" si="774"/>
        <v>0</v>
      </c>
      <c r="O407" s="304"/>
      <c r="P407" s="304"/>
      <c r="Q407" s="304"/>
      <c r="R407" s="304"/>
      <c r="S407" s="304"/>
      <c r="T407" s="304"/>
      <c r="U407" s="304"/>
      <c r="V407" s="304"/>
      <c r="W407" s="304"/>
      <c r="X407" s="304"/>
      <c r="Y407" s="304"/>
      <c r="Z407" s="304"/>
      <c r="AA407" s="125"/>
      <c r="AB407" s="125">
        <f t="shared" si="759"/>
        <v>0</v>
      </c>
      <c r="AC407" s="125">
        <f t="shared" si="760"/>
        <v>0</v>
      </c>
      <c r="AD407" s="125"/>
      <c r="AE407" s="125"/>
      <c r="AF407" s="125">
        <f t="shared" si="761"/>
        <v>0</v>
      </c>
      <c r="AG407" s="125"/>
      <c r="AH407" s="125"/>
      <c r="AI407" s="125">
        <f t="shared" si="762"/>
        <v>0</v>
      </c>
      <c r="AJ407" s="125"/>
      <c r="AK407" s="125"/>
      <c r="AL407" s="125">
        <f t="shared" si="763"/>
        <v>0</v>
      </c>
      <c r="AM407" s="125"/>
      <c r="AN407" s="125"/>
      <c r="AO407" s="125">
        <f t="shared" si="764"/>
        <v>0</v>
      </c>
      <c r="AP407" s="125"/>
      <c r="AQ407" s="125"/>
      <c r="AR407" s="125">
        <f t="shared" si="765"/>
        <v>0</v>
      </c>
      <c r="AS407" s="125"/>
      <c r="AT407" s="125"/>
      <c r="AU407" s="125">
        <f t="shared" si="766"/>
        <v>0</v>
      </c>
      <c r="AV407" s="125"/>
      <c r="AW407" s="125"/>
      <c r="AX407" s="125">
        <f t="shared" si="767"/>
        <v>0</v>
      </c>
      <c r="AY407" s="125"/>
      <c r="AZ407" s="125"/>
      <c r="BA407" s="125">
        <f t="shared" si="768"/>
        <v>0</v>
      </c>
      <c r="BB407" s="125"/>
      <c r="BC407" s="125"/>
      <c r="BD407" s="125">
        <f t="shared" si="769"/>
        <v>0</v>
      </c>
      <c r="BE407" s="125"/>
      <c r="BF407" s="125"/>
      <c r="BG407" s="125">
        <f t="shared" si="770"/>
        <v>0</v>
      </c>
      <c r="BH407" s="125"/>
      <c r="BI407" s="125"/>
      <c r="BJ407" s="125">
        <f t="shared" si="771"/>
        <v>0</v>
      </c>
      <c r="BK407" s="125"/>
      <c r="BL407" s="312"/>
      <c r="BM407" s="317"/>
      <c r="BN407" s="320"/>
    </row>
    <row r="408" s="124" customFormat="1" ht="33.95" hidden="1" customHeight="1" outlineLevel="4" spans="2:66">
      <c r="B408" s="125" t="s">
        <v>792</v>
      </c>
      <c r="C408" s="126" t="s">
        <v>1691</v>
      </c>
      <c r="D408" s="124" t="s">
        <v>1692</v>
      </c>
      <c r="E408" s="125" t="s">
        <v>1693</v>
      </c>
      <c r="F408" s="125" t="s">
        <v>1618</v>
      </c>
      <c r="G408" s="125" t="s">
        <v>936</v>
      </c>
      <c r="H408" s="125">
        <f t="shared" si="773"/>
        <v>0</v>
      </c>
      <c r="I408" s="125" t="s">
        <v>1235</v>
      </c>
      <c r="J408" s="304"/>
      <c r="K408" s="125" t="s">
        <v>1389</v>
      </c>
      <c r="L408" s="125">
        <v>101.2</v>
      </c>
      <c r="M408" s="125" t="s">
        <v>1668</v>
      </c>
      <c r="N408" s="125">
        <f t="shared" si="774"/>
        <v>0</v>
      </c>
      <c r="O408" s="304"/>
      <c r="P408" s="304"/>
      <c r="Q408" s="304"/>
      <c r="R408" s="304"/>
      <c r="S408" s="304"/>
      <c r="T408" s="304"/>
      <c r="U408" s="304"/>
      <c r="V408" s="304"/>
      <c r="W408" s="304"/>
      <c r="X408" s="304"/>
      <c r="Y408" s="304"/>
      <c r="Z408" s="304"/>
      <c r="AA408" s="125"/>
      <c r="AB408" s="125">
        <f t="shared" si="759"/>
        <v>0</v>
      </c>
      <c r="AC408" s="125">
        <f t="shared" si="760"/>
        <v>0</v>
      </c>
      <c r="AD408" s="125"/>
      <c r="AE408" s="125"/>
      <c r="AF408" s="125">
        <f t="shared" si="761"/>
        <v>0</v>
      </c>
      <c r="AG408" s="125"/>
      <c r="AH408" s="125"/>
      <c r="AI408" s="125">
        <f t="shared" si="762"/>
        <v>0</v>
      </c>
      <c r="AJ408" s="125"/>
      <c r="AK408" s="125"/>
      <c r="AL408" s="125">
        <f t="shared" si="763"/>
        <v>0</v>
      </c>
      <c r="AM408" s="125"/>
      <c r="AN408" s="125"/>
      <c r="AO408" s="125">
        <f t="shared" si="764"/>
        <v>0</v>
      </c>
      <c r="AP408" s="125"/>
      <c r="AQ408" s="125"/>
      <c r="AR408" s="125">
        <f t="shared" si="765"/>
        <v>0</v>
      </c>
      <c r="AS408" s="125"/>
      <c r="AT408" s="125"/>
      <c r="AU408" s="125">
        <f t="shared" si="766"/>
        <v>0</v>
      </c>
      <c r="AV408" s="125"/>
      <c r="AW408" s="125"/>
      <c r="AX408" s="125">
        <f t="shared" si="767"/>
        <v>0</v>
      </c>
      <c r="AY408" s="125"/>
      <c r="AZ408" s="125"/>
      <c r="BA408" s="125">
        <f t="shared" si="768"/>
        <v>0</v>
      </c>
      <c r="BB408" s="125"/>
      <c r="BC408" s="125"/>
      <c r="BD408" s="125">
        <f t="shared" si="769"/>
        <v>0</v>
      </c>
      <c r="BE408" s="125"/>
      <c r="BF408" s="125"/>
      <c r="BG408" s="125">
        <f t="shared" si="770"/>
        <v>0</v>
      </c>
      <c r="BH408" s="125"/>
      <c r="BI408" s="125"/>
      <c r="BJ408" s="125">
        <f t="shared" si="771"/>
        <v>0</v>
      </c>
      <c r="BK408" s="125"/>
      <c r="BL408" s="312"/>
      <c r="BM408" s="317"/>
      <c r="BN408" s="320"/>
    </row>
    <row r="409" s="124" customFormat="1" ht="33.95" hidden="1" customHeight="1" outlineLevel="4" spans="2:66">
      <c r="B409" s="125" t="s">
        <v>792</v>
      </c>
      <c r="C409" s="126" t="s">
        <v>1694</v>
      </c>
      <c r="D409" s="124" t="s">
        <v>1695</v>
      </c>
      <c r="E409" s="125"/>
      <c r="F409" s="125" t="s">
        <v>1618</v>
      </c>
      <c r="G409" s="125" t="s">
        <v>936</v>
      </c>
      <c r="H409" s="125">
        <f t="shared" si="773"/>
        <v>0</v>
      </c>
      <c r="I409" s="125" t="s">
        <v>1235</v>
      </c>
      <c r="J409" s="304"/>
      <c r="K409" s="125" t="s">
        <v>1389</v>
      </c>
      <c r="L409" s="304"/>
      <c r="M409" s="125" t="s">
        <v>1441</v>
      </c>
      <c r="N409" s="125">
        <f t="shared" si="774"/>
        <v>0</v>
      </c>
      <c r="O409" s="322"/>
      <c r="P409" s="322"/>
      <c r="Q409" s="322"/>
      <c r="R409" s="322"/>
      <c r="S409" s="322"/>
      <c r="T409" s="322"/>
      <c r="U409" s="322"/>
      <c r="V409" s="322"/>
      <c r="W409" s="322"/>
      <c r="X409" s="322"/>
      <c r="Y409" s="322"/>
      <c r="Z409" s="322"/>
      <c r="AA409" s="125"/>
      <c r="AB409" s="125">
        <f t="shared" si="759"/>
        <v>0</v>
      </c>
      <c r="AC409" s="125">
        <f t="shared" si="760"/>
        <v>0</v>
      </c>
      <c r="AD409" s="125"/>
      <c r="AE409" s="125"/>
      <c r="AF409" s="125">
        <f t="shared" si="761"/>
        <v>0</v>
      </c>
      <c r="AG409" s="125"/>
      <c r="AH409" s="125"/>
      <c r="AI409" s="125">
        <f t="shared" si="762"/>
        <v>0</v>
      </c>
      <c r="AJ409" s="125"/>
      <c r="AK409" s="125"/>
      <c r="AL409" s="125">
        <f t="shared" si="763"/>
        <v>0</v>
      </c>
      <c r="AM409" s="125"/>
      <c r="AN409" s="125"/>
      <c r="AO409" s="125">
        <f t="shared" si="764"/>
        <v>0</v>
      </c>
      <c r="AP409" s="125"/>
      <c r="AQ409" s="125"/>
      <c r="AR409" s="125">
        <f t="shared" si="765"/>
        <v>0</v>
      </c>
      <c r="AS409" s="125"/>
      <c r="AT409" s="125"/>
      <c r="AU409" s="125">
        <f t="shared" si="766"/>
        <v>0</v>
      </c>
      <c r="AV409" s="125"/>
      <c r="AW409" s="125"/>
      <c r="AX409" s="125">
        <f t="shared" si="767"/>
        <v>0</v>
      </c>
      <c r="AY409" s="125"/>
      <c r="AZ409" s="125"/>
      <c r="BA409" s="125">
        <f t="shared" si="768"/>
        <v>0</v>
      </c>
      <c r="BB409" s="125"/>
      <c r="BC409" s="125"/>
      <c r="BD409" s="125">
        <f t="shared" si="769"/>
        <v>0</v>
      </c>
      <c r="BE409" s="125"/>
      <c r="BF409" s="125"/>
      <c r="BG409" s="125">
        <f t="shared" si="770"/>
        <v>0</v>
      </c>
      <c r="BH409" s="125"/>
      <c r="BI409" s="125"/>
      <c r="BJ409" s="125">
        <f t="shared" si="771"/>
        <v>0</v>
      </c>
      <c r="BK409" s="125"/>
      <c r="BL409" s="312"/>
      <c r="BM409" s="317"/>
      <c r="BN409" s="320"/>
    </row>
    <row r="410" s="43" customFormat="1" ht="33.95" hidden="1" customHeight="1" outlineLevel="3" spans="2:66">
      <c r="B410" s="121" t="s">
        <v>787</v>
      </c>
      <c r="C410" s="122" t="s">
        <v>1696</v>
      </c>
      <c r="D410" s="43" t="s">
        <v>1697</v>
      </c>
      <c r="E410" s="121"/>
      <c r="F410" s="121"/>
      <c r="G410" s="121"/>
      <c r="H410" s="121">
        <f>SUM(H411:H417)</f>
        <v>0</v>
      </c>
      <c r="I410" s="121"/>
      <c r="J410" s="121"/>
      <c r="K410" s="121"/>
      <c r="L410" s="121"/>
      <c r="M410" s="121"/>
      <c r="N410" s="311"/>
      <c r="O410" s="294"/>
      <c r="P410" s="294"/>
      <c r="Q410" s="294"/>
      <c r="R410" s="294"/>
      <c r="S410" s="294"/>
      <c r="T410" s="294"/>
      <c r="U410" s="294"/>
      <c r="V410" s="294"/>
      <c r="W410" s="294"/>
      <c r="X410" s="294"/>
      <c r="Y410" s="294"/>
      <c r="Z410" s="294"/>
      <c r="AA410" s="294"/>
      <c r="AB410" s="121">
        <f>SUM(AB411:AB417)</f>
        <v>0</v>
      </c>
      <c r="AC410" s="121">
        <f>SUM(AC411:AC417)</f>
        <v>0</v>
      </c>
      <c r="AD410" s="121"/>
      <c r="AE410" s="121"/>
      <c r="AF410" s="121">
        <f>SUM(AF411:AF417)</f>
        <v>0</v>
      </c>
      <c r="AG410" s="121"/>
      <c r="AH410" s="121"/>
      <c r="AI410" s="121">
        <f>SUM(AI411:AI417)</f>
        <v>0</v>
      </c>
      <c r="AJ410" s="121"/>
      <c r="AK410" s="121"/>
      <c r="AL410" s="121">
        <f>SUM(AL411:AL417)</f>
        <v>0</v>
      </c>
      <c r="AM410" s="121"/>
      <c r="AN410" s="121"/>
      <c r="AO410" s="121">
        <f>SUM(AO411:AO417)</f>
        <v>0</v>
      </c>
      <c r="AP410" s="121"/>
      <c r="AQ410" s="121"/>
      <c r="AR410" s="121">
        <f>SUM(AR411:AR417)</f>
        <v>0</v>
      </c>
      <c r="AS410" s="121"/>
      <c r="AT410" s="121"/>
      <c r="AU410" s="121">
        <f>SUM(AU411:AU417)</f>
        <v>0</v>
      </c>
      <c r="AV410" s="121"/>
      <c r="AW410" s="121"/>
      <c r="AX410" s="121">
        <f>SUM(AX411:AX417)</f>
        <v>0</v>
      </c>
      <c r="AY410" s="121"/>
      <c r="AZ410" s="121"/>
      <c r="BA410" s="121">
        <f>SUM(BA411:BA417)</f>
        <v>0</v>
      </c>
      <c r="BB410" s="121"/>
      <c r="BC410" s="121"/>
      <c r="BD410" s="121">
        <f>SUM(BD411:BD417)</f>
        <v>0</v>
      </c>
      <c r="BE410" s="121"/>
      <c r="BF410" s="121"/>
      <c r="BG410" s="121">
        <f>SUM(BG411:BG417)</f>
        <v>0</v>
      </c>
      <c r="BH410" s="121"/>
      <c r="BI410" s="121"/>
      <c r="BJ410" s="121">
        <f>SUM(BJ411:BJ417)</f>
        <v>0</v>
      </c>
      <c r="BK410" s="121"/>
      <c r="BL410" s="311"/>
      <c r="BM410" s="317"/>
      <c r="BN410" s="319"/>
    </row>
    <row r="411" s="124" customFormat="1" ht="33.95" hidden="1" customHeight="1" outlineLevel="4" spans="2:66">
      <c r="B411" s="125" t="s">
        <v>792</v>
      </c>
      <c r="C411" s="126" t="s">
        <v>1698</v>
      </c>
      <c r="D411" s="124" t="s">
        <v>1699</v>
      </c>
      <c r="E411" s="125" t="s">
        <v>1700</v>
      </c>
      <c r="F411" s="125" t="s">
        <v>1618</v>
      </c>
      <c r="G411" s="125" t="s">
        <v>936</v>
      </c>
      <c r="H411" s="125">
        <f t="shared" ref="H411:H417" si="775">J411*L411</f>
        <v>0</v>
      </c>
      <c r="I411" s="125" t="s">
        <v>1235</v>
      </c>
      <c r="J411" s="304"/>
      <c r="K411" s="125" t="s">
        <v>1194</v>
      </c>
      <c r="L411" s="125">
        <v>12</v>
      </c>
      <c r="M411" s="125" t="s">
        <v>1701</v>
      </c>
      <c r="N411" s="125">
        <f t="shared" ref="N411:N417" si="776">COUNTA(O411:Z411)</f>
        <v>0</v>
      </c>
      <c r="O411" s="323"/>
      <c r="P411" s="323"/>
      <c r="Q411" s="323"/>
      <c r="R411" s="323"/>
      <c r="S411" s="323"/>
      <c r="T411" s="323"/>
      <c r="U411" s="323"/>
      <c r="V411" s="323"/>
      <c r="W411" s="323"/>
      <c r="X411" s="323"/>
      <c r="Y411" s="323"/>
      <c r="Z411" s="323"/>
      <c r="AA411" s="125"/>
      <c r="AB411" s="125">
        <f t="shared" ref="AB411:AB417" si="777">SUM(AC411,AF411,AI411,AL411,AO411,AR411,AU411,AX411,BA411,BD411,BG411,BJ411)</f>
        <v>0</v>
      </c>
      <c r="AC411" s="125">
        <f t="shared" ref="AC411:AC417" si="778">IF(O411="√",$J411*$L411/$N411,0)</f>
        <v>0</v>
      </c>
      <c r="AD411" s="125"/>
      <c r="AE411" s="125"/>
      <c r="AF411" s="125">
        <f t="shared" ref="AF411:AF417" si="779">IF(P411="√",$J411*$L411/$N411,0)</f>
        <v>0</v>
      </c>
      <c r="AG411" s="125"/>
      <c r="AH411" s="125"/>
      <c r="AI411" s="125">
        <f t="shared" ref="AI411:AI417" si="780">IF(Q411="√",$J411*$L411/$N411,0)</f>
        <v>0</v>
      </c>
      <c r="AJ411" s="125"/>
      <c r="AK411" s="125"/>
      <c r="AL411" s="125">
        <f t="shared" ref="AL411:AL417" si="781">IF(R411="√",$J411*$L411/$N411,0)</f>
        <v>0</v>
      </c>
      <c r="AM411" s="125"/>
      <c r="AN411" s="125"/>
      <c r="AO411" s="125">
        <f t="shared" ref="AO411:AO417" si="782">IF(S411="√",$J411*$L411/$N411,0)</f>
        <v>0</v>
      </c>
      <c r="AP411" s="125"/>
      <c r="AQ411" s="125"/>
      <c r="AR411" s="125">
        <f t="shared" ref="AR411:AR417" si="783">IF(T411="√",$J411*$L411/$N411,0)</f>
        <v>0</v>
      </c>
      <c r="AS411" s="125"/>
      <c r="AT411" s="125"/>
      <c r="AU411" s="125">
        <f t="shared" ref="AU411:AU417" si="784">IF(U411="√",$J411*$L411/$N411,0)</f>
        <v>0</v>
      </c>
      <c r="AV411" s="125"/>
      <c r="AW411" s="125"/>
      <c r="AX411" s="125">
        <f t="shared" ref="AX411:AX417" si="785">IF(V411="√",$J411*$L411/$N411,0)</f>
        <v>0</v>
      </c>
      <c r="AY411" s="125"/>
      <c r="AZ411" s="125"/>
      <c r="BA411" s="125">
        <f t="shared" ref="BA411:BA417" si="786">IF(W411="√",$J411*$L411/$N411,0)</f>
        <v>0</v>
      </c>
      <c r="BB411" s="125"/>
      <c r="BC411" s="125"/>
      <c r="BD411" s="125">
        <f t="shared" ref="BD411:BD417" si="787">IF(X411="√",$J411*$L411/$N411,0)</f>
        <v>0</v>
      </c>
      <c r="BE411" s="125"/>
      <c r="BF411" s="125"/>
      <c r="BG411" s="125">
        <f t="shared" ref="BG411:BG417" si="788">IF(Y411="√",$J411*$L411/$N411,0)</f>
        <v>0</v>
      </c>
      <c r="BH411" s="125"/>
      <c r="BI411" s="125"/>
      <c r="BJ411" s="125">
        <f t="shared" ref="BJ411:BJ417" si="789">IF(Z411="√",$J411*$L411/$N411,0)</f>
        <v>0</v>
      </c>
      <c r="BK411" s="125"/>
      <c r="BL411" s="312"/>
      <c r="BM411" s="317"/>
      <c r="BN411" s="320"/>
    </row>
    <row r="412" s="124" customFormat="1" ht="33.95" hidden="1" customHeight="1" outlineLevel="4" spans="2:66">
      <c r="B412" s="125" t="s">
        <v>792</v>
      </c>
      <c r="C412" s="126" t="s">
        <v>1702</v>
      </c>
      <c r="D412" s="124" t="s">
        <v>1703</v>
      </c>
      <c r="E412" s="125" t="s">
        <v>1704</v>
      </c>
      <c r="F412" s="125" t="s">
        <v>1618</v>
      </c>
      <c r="G412" s="125" t="s">
        <v>936</v>
      </c>
      <c r="H412" s="125">
        <f t="shared" si="775"/>
        <v>0</v>
      </c>
      <c r="I412" s="125" t="s">
        <v>1235</v>
      </c>
      <c r="J412" s="304"/>
      <c r="K412" s="125" t="s">
        <v>1194</v>
      </c>
      <c r="L412" s="125">
        <v>10</v>
      </c>
      <c r="M412" s="125" t="s">
        <v>1701</v>
      </c>
      <c r="N412" s="125">
        <f t="shared" si="776"/>
        <v>0</v>
      </c>
      <c r="O412" s="304"/>
      <c r="P412" s="304"/>
      <c r="Q412" s="304"/>
      <c r="R412" s="304"/>
      <c r="S412" s="304"/>
      <c r="T412" s="304"/>
      <c r="U412" s="304"/>
      <c r="V412" s="304"/>
      <c r="W412" s="304"/>
      <c r="X412" s="304"/>
      <c r="Y412" s="304"/>
      <c r="Z412" s="304"/>
      <c r="AA412" s="125"/>
      <c r="AB412" s="125">
        <f t="shared" si="777"/>
        <v>0</v>
      </c>
      <c r="AC412" s="125">
        <f t="shared" si="778"/>
        <v>0</v>
      </c>
      <c r="AD412" s="125"/>
      <c r="AE412" s="125"/>
      <c r="AF412" s="125">
        <f t="shared" si="779"/>
        <v>0</v>
      </c>
      <c r="AG412" s="125"/>
      <c r="AH412" s="125"/>
      <c r="AI412" s="125">
        <f t="shared" si="780"/>
        <v>0</v>
      </c>
      <c r="AJ412" s="125"/>
      <c r="AK412" s="125"/>
      <c r="AL412" s="125">
        <f t="shared" si="781"/>
        <v>0</v>
      </c>
      <c r="AM412" s="125"/>
      <c r="AN412" s="125"/>
      <c r="AO412" s="125">
        <f t="shared" si="782"/>
        <v>0</v>
      </c>
      <c r="AP412" s="125"/>
      <c r="AQ412" s="125"/>
      <c r="AR412" s="125">
        <f t="shared" si="783"/>
        <v>0</v>
      </c>
      <c r="AS412" s="125"/>
      <c r="AT412" s="125"/>
      <c r="AU412" s="125">
        <f t="shared" si="784"/>
        <v>0</v>
      </c>
      <c r="AV412" s="125"/>
      <c r="AW412" s="125"/>
      <c r="AX412" s="125">
        <f t="shared" si="785"/>
        <v>0</v>
      </c>
      <c r="AY412" s="125"/>
      <c r="AZ412" s="125"/>
      <c r="BA412" s="125">
        <f t="shared" si="786"/>
        <v>0</v>
      </c>
      <c r="BB412" s="125"/>
      <c r="BC412" s="125"/>
      <c r="BD412" s="125">
        <f t="shared" si="787"/>
        <v>0</v>
      </c>
      <c r="BE412" s="125"/>
      <c r="BF412" s="125"/>
      <c r="BG412" s="125">
        <f t="shared" si="788"/>
        <v>0</v>
      </c>
      <c r="BH412" s="125"/>
      <c r="BI412" s="125"/>
      <c r="BJ412" s="125">
        <f t="shared" si="789"/>
        <v>0</v>
      </c>
      <c r="BK412" s="125"/>
      <c r="BL412" s="312"/>
      <c r="BM412" s="317"/>
      <c r="BN412" s="320"/>
    </row>
    <row r="413" s="124" customFormat="1" ht="33.95" hidden="1" customHeight="1" outlineLevel="4" spans="2:66">
      <c r="B413" s="125" t="s">
        <v>792</v>
      </c>
      <c r="C413" s="126" t="s">
        <v>1705</v>
      </c>
      <c r="D413" s="124" t="s">
        <v>1706</v>
      </c>
      <c r="E413" s="125" t="s">
        <v>1707</v>
      </c>
      <c r="F413" s="125" t="s">
        <v>1618</v>
      </c>
      <c r="G413" s="125" t="s">
        <v>936</v>
      </c>
      <c r="H413" s="125">
        <f t="shared" si="775"/>
        <v>0</v>
      </c>
      <c r="I413" s="125" t="s">
        <v>1235</v>
      </c>
      <c r="J413" s="304"/>
      <c r="K413" s="125" t="s">
        <v>1389</v>
      </c>
      <c r="L413" s="125">
        <v>105</v>
      </c>
      <c r="M413" s="125" t="s">
        <v>1668</v>
      </c>
      <c r="N413" s="125">
        <f t="shared" si="776"/>
        <v>0</v>
      </c>
      <c r="O413" s="304"/>
      <c r="P413" s="304"/>
      <c r="Q413" s="304"/>
      <c r="R413" s="304"/>
      <c r="S413" s="304"/>
      <c r="T413" s="304"/>
      <c r="U413" s="304"/>
      <c r="V413" s="304"/>
      <c r="W413" s="304"/>
      <c r="X413" s="304"/>
      <c r="Y413" s="304"/>
      <c r="Z413" s="304"/>
      <c r="AA413" s="125"/>
      <c r="AB413" s="125">
        <f t="shared" si="777"/>
        <v>0</v>
      </c>
      <c r="AC413" s="125">
        <f t="shared" si="778"/>
        <v>0</v>
      </c>
      <c r="AD413" s="125"/>
      <c r="AE413" s="125"/>
      <c r="AF413" s="125">
        <f t="shared" si="779"/>
        <v>0</v>
      </c>
      <c r="AG413" s="125"/>
      <c r="AH413" s="125"/>
      <c r="AI413" s="125">
        <f t="shared" si="780"/>
        <v>0</v>
      </c>
      <c r="AJ413" s="125"/>
      <c r="AK413" s="125"/>
      <c r="AL413" s="125">
        <f t="shared" si="781"/>
        <v>0</v>
      </c>
      <c r="AM413" s="125"/>
      <c r="AN413" s="125"/>
      <c r="AO413" s="125">
        <f t="shared" si="782"/>
        <v>0</v>
      </c>
      <c r="AP413" s="125"/>
      <c r="AQ413" s="125"/>
      <c r="AR413" s="125">
        <f t="shared" si="783"/>
        <v>0</v>
      </c>
      <c r="AS413" s="125"/>
      <c r="AT413" s="125"/>
      <c r="AU413" s="125">
        <f t="shared" si="784"/>
        <v>0</v>
      </c>
      <c r="AV413" s="125"/>
      <c r="AW413" s="125"/>
      <c r="AX413" s="125">
        <f t="shared" si="785"/>
        <v>0</v>
      </c>
      <c r="AY413" s="125"/>
      <c r="AZ413" s="125"/>
      <c r="BA413" s="125">
        <f t="shared" si="786"/>
        <v>0</v>
      </c>
      <c r="BB413" s="125"/>
      <c r="BC413" s="125"/>
      <c r="BD413" s="125">
        <f t="shared" si="787"/>
        <v>0</v>
      </c>
      <c r="BE413" s="125"/>
      <c r="BF413" s="125"/>
      <c r="BG413" s="125">
        <f t="shared" si="788"/>
        <v>0</v>
      </c>
      <c r="BH413" s="125"/>
      <c r="BI413" s="125"/>
      <c r="BJ413" s="125">
        <f t="shared" si="789"/>
        <v>0</v>
      </c>
      <c r="BK413" s="125"/>
      <c r="BL413" s="312"/>
      <c r="BM413" s="317"/>
      <c r="BN413" s="320"/>
    </row>
    <row r="414" s="124" customFormat="1" ht="33.95" hidden="1" customHeight="1" outlineLevel="4" spans="2:66">
      <c r="B414" s="125" t="s">
        <v>792</v>
      </c>
      <c r="C414" s="126" t="s">
        <v>1708</v>
      </c>
      <c r="D414" s="124" t="s">
        <v>1709</v>
      </c>
      <c r="E414" s="125"/>
      <c r="F414" s="125" t="s">
        <v>1618</v>
      </c>
      <c r="G414" s="125" t="s">
        <v>936</v>
      </c>
      <c r="H414" s="125">
        <f t="shared" si="775"/>
        <v>0</v>
      </c>
      <c r="I414" s="125" t="s">
        <v>1235</v>
      </c>
      <c r="J414" s="304"/>
      <c r="K414" s="125" t="s">
        <v>1026</v>
      </c>
      <c r="L414" s="125">
        <v>55</v>
      </c>
      <c r="M414" s="125" t="s">
        <v>1687</v>
      </c>
      <c r="N414" s="125">
        <f t="shared" si="776"/>
        <v>0</v>
      </c>
      <c r="O414" s="304"/>
      <c r="P414" s="304"/>
      <c r="Q414" s="304"/>
      <c r="R414" s="304"/>
      <c r="S414" s="304"/>
      <c r="T414" s="304"/>
      <c r="U414" s="304"/>
      <c r="V414" s="304"/>
      <c r="W414" s="304"/>
      <c r="X414" s="304"/>
      <c r="Y414" s="304"/>
      <c r="Z414" s="304"/>
      <c r="AA414" s="125"/>
      <c r="AB414" s="125">
        <f t="shared" si="777"/>
        <v>0</v>
      </c>
      <c r="AC414" s="125">
        <f t="shared" si="778"/>
        <v>0</v>
      </c>
      <c r="AD414" s="125"/>
      <c r="AE414" s="125"/>
      <c r="AF414" s="125">
        <f t="shared" si="779"/>
        <v>0</v>
      </c>
      <c r="AG414" s="125"/>
      <c r="AH414" s="125"/>
      <c r="AI414" s="125">
        <f t="shared" si="780"/>
        <v>0</v>
      </c>
      <c r="AJ414" s="125"/>
      <c r="AK414" s="125"/>
      <c r="AL414" s="125">
        <f t="shared" si="781"/>
        <v>0</v>
      </c>
      <c r="AM414" s="125"/>
      <c r="AN414" s="125"/>
      <c r="AO414" s="125">
        <f t="shared" si="782"/>
        <v>0</v>
      </c>
      <c r="AP414" s="125"/>
      <c r="AQ414" s="125"/>
      <c r="AR414" s="125">
        <f t="shared" si="783"/>
        <v>0</v>
      </c>
      <c r="AS414" s="125"/>
      <c r="AT414" s="125"/>
      <c r="AU414" s="125">
        <f t="shared" si="784"/>
        <v>0</v>
      </c>
      <c r="AV414" s="125"/>
      <c r="AW414" s="125"/>
      <c r="AX414" s="125">
        <f t="shared" si="785"/>
        <v>0</v>
      </c>
      <c r="AY414" s="125"/>
      <c r="AZ414" s="125"/>
      <c r="BA414" s="125">
        <f t="shared" si="786"/>
        <v>0</v>
      </c>
      <c r="BB414" s="125"/>
      <c r="BC414" s="125"/>
      <c r="BD414" s="125">
        <f t="shared" si="787"/>
        <v>0</v>
      </c>
      <c r="BE414" s="125"/>
      <c r="BF414" s="125"/>
      <c r="BG414" s="125">
        <f t="shared" si="788"/>
        <v>0</v>
      </c>
      <c r="BH414" s="125"/>
      <c r="BI414" s="125"/>
      <c r="BJ414" s="125">
        <f t="shared" si="789"/>
        <v>0</v>
      </c>
      <c r="BK414" s="125"/>
      <c r="BL414" s="312"/>
      <c r="BM414" s="317"/>
      <c r="BN414" s="320"/>
    </row>
    <row r="415" s="124" customFormat="1" ht="33.95" hidden="1" customHeight="1" outlineLevel="4" spans="2:66">
      <c r="B415" s="125" t="s">
        <v>792</v>
      </c>
      <c r="C415" s="126" t="s">
        <v>1710</v>
      </c>
      <c r="D415" s="124" t="s">
        <v>1711</v>
      </c>
      <c r="E415" s="125" t="s">
        <v>1712</v>
      </c>
      <c r="F415" s="125" t="s">
        <v>1618</v>
      </c>
      <c r="G415" s="125" t="s">
        <v>936</v>
      </c>
      <c r="H415" s="125">
        <f t="shared" si="775"/>
        <v>0</v>
      </c>
      <c r="I415" s="125" t="s">
        <v>1235</v>
      </c>
      <c r="J415" s="304"/>
      <c r="K415" s="125" t="s">
        <v>1389</v>
      </c>
      <c r="L415" s="125">
        <v>140</v>
      </c>
      <c r="M415" s="125" t="s">
        <v>1668</v>
      </c>
      <c r="N415" s="125">
        <f t="shared" si="776"/>
        <v>0</v>
      </c>
      <c r="O415" s="304"/>
      <c r="P415" s="304"/>
      <c r="Q415" s="304"/>
      <c r="R415" s="304"/>
      <c r="S415" s="304"/>
      <c r="T415" s="304"/>
      <c r="U415" s="304"/>
      <c r="V415" s="304"/>
      <c r="W415" s="304"/>
      <c r="X415" s="304"/>
      <c r="Y415" s="304"/>
      <c r="Z415" s="304"/>
      <c r="AA415" s="125"/>
      <c r="AB415" s="125">
        <f t="shared" si="777"/>
        <v>0</v>
      </c>
      <c r="AC415" s="125">
        <f t="shared" si="778"/>
        <v>0</v>
      </c>
      <c r="AD415" s="125"/>
      <c r="AE415" s="125"/>
      <c r="AF415" s="125">
        <f t="shared" si="779"/>
        <v>0</v>
      </c>
      <c r="AG415" s="125"/>
      <c r="AH415" s="125"/>
      <c r="AI415" s="125">
        <f t="shared" si="780"/>
        <v>0</v>
      </c>
      <c r="AJ415" s="125"/>
      <c r="AK415" s="125"/>
      <c r="AL415" s="125">
        <f t="shared" si="781"/>
        <v>0</v>
      </c>
      <c r="AM415" s="125"/>
      <c r="AN415" s="125"/>
      <c r="AO415" s="125">
        <f t="shared" si="782"/>
        <v>0</v>
      </c>
      <c r="AP415" s="125"/>
      <c r="AQ415" s="125"/>
      <c r="AR415" s="125">
        <f t="shared" si="783"/>
        <v>0</v>
      </c>
      <c r="AS415" s="125"/>
      <c r="AT415" s="125"/>
      <c r="AU415" s="125">
        <f t="shared" si="784"/>
        <v>0</v>
      </c>
      <c r="AV415" s="125"/>
      <c r="AW415" s="125"/>
      <c r="AX415" s="125">
        <f t="shared" si="785"/>
        <v>0</v>
      </c>
      <c r="AY415" s="125"/>
      <c r="AZ415" s="125"/>
      <c r="BA415" s="125">
        <f t="shared" si="786"/>
        <v>0</v>
      </c>
      <c r="BB415" s="125"/>
      <c r="BC415" s="125"/>
      <c r="BD415" s="125">
        <f t="shared" si="787"/>
        <v>0</v>
      </c>
      <c r="BE415" s="125"/>
      <c r="BF415" s="125"/>
      <c r="BG415" s="125">
        <f t="shared" si="788"/>
        <v>0</v>
      </c>
      <c r="BH415" s="125"/>
      <c r="BI415" s="125"/>
      <c r="BJ415" s="125">
        <f t="shared" si="789"/>
        <v>0</v>
      </c>
      <c r="BK415" s="125"/>
      <c r="BL415" s="312"/>
      <c r="BM415" s="317"/>
      <c r="BN415" s="320"/>
    </row>
    <row r="416" s="124" customFormat="1" ht="33.95" hidden="1" customHeight="1" outlineLevel="4" spans="2:66">
      <c r="B416" s="125" t="s">
        <v>792</v>
      </c>
      <c r="C416" s="126" t="s">
        <v>1713</v>
      </c>
      <c r="D416" s="124" t="s">
        <v>1714</v>
      </c>
      <c r="E416" s="125" t="s">
        <v>1715</v>
      </c>
      <c r="F416" s="125" t="s">
        <v>1618</v>
      </c>
      <c r="G416" s="125" t="s">
        <v>936</v>
      </c>
      <c r="H416" s="125">
        <f t="shared" si="775"/>
        <v>0</v>
      </c>
      <c r="I416" s="125" t="s">
        <v>1235</v>
      </c>
      <c r="J416" s="304"/>
      <c r="K416" s="125" t="s">
        <v>1389</v>
      </c>
      <c r="L416" s="125">
        <v>30</v>
      </c>
      <c r="M416" s="125" t="s">
        <v>1668</v>
      </c>
      <c r="N416" s="125">
        <f t="shared" si="776"/>
        <v>0</v>
      </c>
      <c r="O416" s="304"/>
      <c r="P416" s="304"/>
      <c r="Q416" s="304"/>
      <c r="R416" s="304"/>
      <c r="S416" s="304"/>
      <c r="T416" s="304"/>
      <c r="U416" s="304"/>
      <c r="V416" s="304"/>
      <c r="W416" s="304"/>
      <c r="X416" s="304"/>
      <c r="Y416" s="304"/>
      <c r="Z416" s="304"/>
      <c r="AA416" s="125"/>
      <c r="AB416" s="125">
        <f t="shared" si="777"/>
        <v>0</v>
      </c>
      <c r="AC416" s="125">
        <f t="shared" si="778"/>
        <v>0</v>
      </c>
      <c r="AD416" s="125"/>
      <c r="AE416" s="125"/>
      <c r="AF416" s="125">
        <f t="shared" si="779"/>
        <v>0</v>
      </c>
      <c r="AG416" s="125"/>
      <c r="AH416" s="125"/>
      <c r="AI416" s="125">
        <f t="shared" si="780"/>
        <v>0</v>
      </c>
      <c r="AJ416" s="125"/>
      <c r="AK416" s="125"/>
      <c r="AL416" s="125">
        <f t="shared" si="781"/>
        <v>0</v>
      </c>
      <c r="AM416" s="125"/>
      <c r="AN416" s="125"/>
      <c r="AO416" s="125">
        <f t="shared" si="782"/>
        <v>0</v>
      </c>
      <c r="AP416" s="125"/>
      <c r="AQ416" s="125"/>
      <c r="AR416" s="125">
        <f t="shared" si="783"/>
        <v>0</v>
      </c>
      <c r="AS416" s="125"/>
      <c r="AT416" s="125"/>
      <c r="AU416" s="125">
        <f t="shared" si="784"/>
        <v>0</v>
      </c>
      <c r="AV416" s="125"/>
      <c r="AW416" s="125"/>
      <c r="AX416" s="125">
        <f t="shared" si="785"/>
        <v>0</v>
      </c>
      <c r="AY416" s="125"/>
      <c r="AZ416" s="125"/>
      <c r="BA416" s="125">
        <f t="shared" si="786"/>
        <v>0</v>
      </c>
      <c r="BB416" s="125"/>
      <c r="BC416" s="125"/>
      <c r="BD416" s="125">
        <f t="shared" si="787"/>
        <v>0</v>
      </c>
      <c r="BE416" s="125"/>
      <c r="BF416" s="125"/>
      <c r="BG416" s="125">
        <f t="shared" si="788"/>
        <v>0</v>
      </c>
      <c r="BH416" s="125"/>
      <c r="BI416" s="125"/>
      <c r="BJ416" s="125">
        <f t="shared" si="789"/>
        <v>0</v>
      </c>
      <c r="BK416" s="125"/>
      <c r="BL416" s="312"/>
      <c r="BM416" s="317"/>
      <c r="BN416" s="320"/>
    </row>
    <row r="417" s="124" customFormat="1" ht="33.95" hidden="1" customHeight="1" outlineLevel="4" spans="2:66">
      <c r="B417" s="125" t="s">
        <v>792</v>
      </c>
      <c r="C417" s="126" t="s">
        <v>1716</v>
      </c>
      <c r="D417" s="124" t="s">
        <v>1717</v>
      </c>
      <c r="E417" s="125" t="s">
        <v>1718</v>
      </c>
      <c r="F417" s="125" t="s">
        <v>1618</v>
      </c>
      <c r="G417" s="125" t="s">
        <v>936</v>
      </c>
      <c r="H417" s="125">
        <f t="shared" si="775"/>
        <v>0</v>
      </c>
      <c r="I417" s="125" t="s">
        <v>1235</v>
      </c>
      <c r="J417" s="304"/>
      <c r="K417" s="125" t="s">
        <v>1389</v>
      </c>
      <c r="L417" s="125">
        <v>10</v>
      </c>
      <c r="M417" s="125" t="s">
        <v>1668</v>
      </c>
      <c r="N417" s="125">
        <f t="shared" si="776"/>
        <v>0</v>
      </c>
      <c r="O417" s="322"/>
      <c r="P417" s="322"/>
      <c r="Q417" s="322"/>
      <c r="R417" s="322"/>
      <c r="S417" s="322"/>
      <c r="T417" s="322"/>
      <c r="U417" s="322"/>
      <c r="V417" s="322"/>
      <c r="W417" s="322"/>
      <c r="X417" s="322"/>
      <c r="Y417" s="322"/>
      <c r="Z417" s="322"/>
      <c r="AA417" s="125"/>
      <c r="AB417" s="125">
        <f t="shared" si="777"/>
        <v>0</v>
      </c>
      <c r="AC417" s="125">
        <f t="shared" si="778"/>
        <v>0</v>
      </c>
      <c r="AD417" s="125"/>
      <c r="AE417" s="125"/>
      <c r="AF417" s="125">
        <f t="shared" si="779"/>
        <v>0</v>
      </c>
      <c r="AG417" s="125"/>
      <c r="AH417" s="125"/>
      <c r="AI417" s="125">
        <f t="shared" si="780"/>
        <v>0</v>
      </c>
      <c r="AJ417" s="125"/>
      <c r="AK417" s="125"/>
      <c r="AL417" s="125">
        <f t="shared" si="781"/>
        <v>0</v>
      </c>
      <c r="AM417" s="125"/>
      <c r="AN417" s="125"/>
      <c r="AO417" s="125">
        <f t="shared" si="782"/>
        <v>0</v>
      </c>
      <c r="AP417" s="125"/>
      <c r="AQ417" s="125"/>
      <c r="AR417" s="125">
        <f t="shared" si="783"/>
        <v>0</v>
      </c>
      <c r="AS417" s="125"/>
      <c r="AT417" s="125"/>
      <c r="AU417" s="125">
        <f t="shared" si="784"/>
        <v>0</v>
      </c>
      <c r="AV417" s="125"/>
      <c r="AW417" s="125"/>
      <c r="AX417" s="125">
        <f t="shared" si="785"/>
        <v>0</v>
      </c>
      <c r="AY417" s="125"/>
      <c r="AZ417" s="125"/>
      <c r="BA417" s="125">
        <f t="shared" si="786"/>
        <v>0</v>
      </c>
      <c r="BB417" s="125"/>
      <c r="BC417" s="125"/>
      <c r="BD417" s="125">
        <f t="shared" si="787"/>
        <v>0</v>
      </c>
      <c r="BE417" s="125"/>
      <c r="BF417" s="125"/>
      <c r="BG417" s="125">
        <f t="shared" si="788"/>
        <v>0</v>
      </c>
      <c r="BH417" s="125"/>
      <c r="BI417" s="125"/>
      <c r="BJ417" s="125">
        <f t="shared" si="789"/>
        <v>0</v>
      </c>
      <c r="BK417" s="125"/>
      <c r="BL417" s="312"/>
      <c r="BM417" s="317"/>
      <c r="BN417" s="320"/>
    </row>
    <row r="418" s="43" customFormat="1" ht="33.95" hidden="1" customHeight="1" outlineLevel="3" spans="2:66">
      <c r="B418" s="121" t="s">
        <v>787</v>
      </c>
      <c r="C418" s="122" t="s">
        <v>1719</v>
      </c>
      <c r="D418" s="43" t="s">
        <v>1720</v>
      </c>
      <c r="E418" s="121"/>
      <c r="F418" s="121"/>
      <c r="G418" s="121" t="s">
        <v>936</v>
      </c>
      <c r="H418" s="121">
        <f>SUM(H419:H429)</f>
        <v>100000</v>
      </c>
      <c r="I418" s="121"/>
      <c r="J418" s="121"/>
      <c r="K418" s="121"/>
      <c r="L418" s="121"/>
      <c r="M418" s="121"/>
      <c r="N418" s="311"/>
      <c r="O418" s="294"/>
      <c r="P418" s="294"/>
      <c r="Q418" s="294"/>
      <c r="R418" s="294"/>
      <c r="S418" s="294"/>
      <c r="T418" s="294"/>
      <c r="U418" s="294"/>
      <c r="V418" s="294"/>
      <c r="W418" s="294"/>
      <c r="X418" s="294"/>
      <c r="Y418" s="294"/>
      <c r="Z418" s="294"/>
      <c r="AA418" s="294"/>
      <c r="AB418" s="121">
        <f t="shared" ref="AB418:AF418" si="790">SUM(AB419:AB429)</f>
        <v>0</v>
      </c>
      <c r="AC418" s="121">
        <f t="shared" si="790"/>
        <v>0</v>
      </c>
      <c r="AD418" s="121"/>
      <c r="AE418" s="121"/>
      <c r="AF418" s="121">
        <f t="shared" si="790"/>
        <v>0</v>
      </c>
      <c r="AG418" s="121"/>
      <c r="AH418" s="121"/>
      <c r="AI418" s="121">
        <f>SUM(AI419:AI429)</f>
        <v>0</v>
      </c>
      <c r="AJ418" s="121"/>
      <c r="AK418" s="121"/>
      <c r="AL418" s="121">
        <f>SUM(AL419:AL429)</f>
        <v>0</v>
      </c>
      <c r="AM418" s="121"/>
      <c r="AN418" s="121"/>
      <c r="AO418" s="121">
        <f>SUM(AO419:AO429)</f>
        <v>0</v>
      </c>
      <c r="AP418" s="121"/>
      <c r="AQ418" s="121"/>
      <c r="AR418" s="121">
        <f>SUM(AR419:AR429)</f>
        <v>0</v>
      </c>
      <c r="AS418" s="121"/>
      <c r="AT418" s="121"/>
      <c r="AU418" s="121">
        <f>SUM(AU419:AU429)</f>
        <v>0</v>
      </c>
      <c r="AV418" s="121"/>
      <c r="AW418" s="121"/>
      <c r="AX418" s="121">
        <f>SUM(AX419:AX429)</f>
        <v>0</v>
      </c>
      <c r="AY418" s="121"/>
      <c r="AZ418" s="121"/>
      <c r="BA418" s="121">
        <f>SUM(BA419:BA429)</f>
        <v>0</v>
      </c>
      <c r="BB418" s="121"/>
      <c r="BC418" s="121"/>
      <c r="BD418" s="121">
        <f>SUM(BD419:BD429)</f>
        <v>0</v>
      </c>
      <c r="BE418" s="121"/>
      <c r="BF418" s="121"/>
      <c r="BG418" s="121">
        <f>SUM(BG419:BG429)</f>
        <v>0</v>
      </c>
      <c r="BH418" s="121"/>
      <c r="BI418" s="121"/>
      <c r="BJ418" s="121">
        <f>SUM(BJ419:BJ429)</f>
        <v>0</v>
      </c>
      <c r="BK418" s="121"/>
      <c r="BL418" s="311"/>
      <c r="BM418" s="317"/>
      <c r="BN418" s="319"/>
    </row>
    <row r="419" s="124" customFormat="1" ht="33.95" hidden="1" customHeight="1" outlineLevel="4" spans="2:66">
      <c r="B419" s="125" t="s">
        <v>792</v>
      </c>
      <c r="C419" s="126" t="s">
        <v>1721</v>
      </c>
      <c r="D419" s="124" t="s">
        <v>1722</v>
      </c>
      <c r="E419" s="125" t="s">
        <v>1723</v>
      </c>
      <c r="F419" s="125" t="s">
        <v>1618</v>
      </c>
      <c r="G419" s="125" t="s">
        <v>936</v>
      </c>
      <c r="H419" s="125">
        <f t="shared" ref="H419:H429" si="791">J419*L419</f>
        <v>100000</v>
      </c>
      <c r="I419" s="125" t="s">
        <v>1235</v>
      </c>
      <c r="J419" s="304">
        <f>预算主表!P94/L419</f>
        <v>178.412132024978</v>
      </c>
      <c r="K419" s="125" t="s">
        <v>1389</v>
      </c>
      <c r="L419" s="125">
        <v>560.5</v>
      </c>
      <c r="M419" s="125" t="s">
        <v>1668</v>
      </c>
      <c r="N419" s="125">
        <f t="shared" ref="N419:N429" si="792">COUNTA(O419:Z419)</f>
        <v>0</v>
      </c>
      <c r="O419" s="323"/>
      <c r="P419" s="323"/>
      <c r="Q419" s="323"/>
      <c r="R419" s="323"/>
      <c r="S419" s="323"/>
      <c r="T419" s="323"/>
      <c r="U419" s="323"/>
      <c r="V419" s="323"/>
      <c r="W419" s="323"/>
      <c r="X419" s="323"/>
      <c r="Y419" s="323"/>
      <c r="Z419" s="323"/>
      <c r="AA419" s="125"/>
      <c r="AB419" s="125">
        <f t="shared" ref="AB419:AB429" si="793">SUM(AC419,AF419,AI419,AL419,AO419,AR419,AU419,AX419,BA419,BD419,BG419,BJ419)</f>
        <v>0</v>
      </c>
      <c r="AC419" s="125">
        <f t="shared" ref="AC419:AC429" si="794">IF(O419="√",$J419*$L419/$N419,0)</f>
        <v>0</v>
      </c>
      <c r="AD419" s="125"/>
      <c r="AE419" s="125"/>
      <c r="AF419" s="125">
        <f t="shared" ref="AF419:AF429" si="795">IF(P419="√",$J419*$L419/$N419,0)</f>
        <v>0</v>
      </c>
      <c r="AG419" s="125"/>
      <c r="AH419" s="125"/>
      <c r="AI419" s="125">
        <f t="shared" ref="AI419:AI429" si="796">IF(Q419="√",$J419*$L419/$N419,0)</f>
        <v>0</v>
      </c>
      <c r="AJ419" s="125"/>
      <c r="AK419" s="125"/>
      <c r="AL419" s="125">
        <f t="shared" ref="AL419:AL429" si="797">IF(R419="√",$J419*$L419/$N419,0)</f>
        <v>0</v>
      </c>
      <c r="AM419" s="125"/>
      <c r="AN419" s="125"/>
      <c r="AO419" s="125">
        <f t="shared" ref="AO419:AO429" si="798">IF(S419="√",$J419*$L419/$N419,0)</f>
        <v>0</v>
      </c>
      <c r="AP419" s="125"/>
      <c r="AQ419" s="125"/>
      <c r="AR419" s="125">
        <f t="shared" ref="AR419:AR429" si="799">IF(T419="√",$J419*$L419/$N419,0)</f>
        <v>0</v>
      </c>
      <c r="AS419" s="125"/>
      <c r="AT419" s="125"/>
      <c r="AU419" s="125">
        <f t="shared" ref="AU419:AU429" si="800">IF(U419="√",$J419*$L419/$N419,0)</f>
        <v>0</v>
      </c>
      <c r="AV419" s="125"/>
      <c r="AW419" s="125"/>
      <c r="AX419" s="125">
        <f t="shared" ref="AX419:AX429" si="801">IF(V419="√",$J419*$L419/$N419,0)</f>
        <v>0</v>
      </c>
      <c r="AY419" s="125"/>
      <c r="AZ419" s="125"/>
      <c r="BA419" s="125">
        <f t="shared" ref="BA419:BA429" si="802">IF(W419="√",$J419*$L419/$N419,0)</f>
        <v>0</v>
      </c>
      <c r="BB419" s="125"/>
      <c r="BC419" s="125"/>
      <c r="BD419" s="125">
        <f t="shared" ref="BD419:BD429" si="803">IF(X419="√",$J419*$L419/$N419,0)</f>
        <v>0</v>
      </c>
      <c r="BE419" s="125"/>
      <c r="BF419" s="125"/>
      <c r="BG419" s="125">
        <f t="shared" ref="BG419:BG429" si="804">IF(Y419="√",$J419*$L419/$N419,0)</f>
        <v>0</v>
      </c>
      <c r="BH419" s="125"/>
      <c r="BI419" s="125"/>
      <c r="BJ419" s="125">
        <f t="shared" ref="BJ419:BJ429" si="805">IF(Z419="√",$J419*$L419/$N419,0)</f>
        <v>0</v>
      </c>
      <c r="BK419" s="125"/>
      <c r="BL419" s="312"/>
      <c r="BM419" s="317"/>
      <c r="BN419" s="320"/>
    </row>
    <row r="420" s="124" customFormat="1" ht="33.95" hidden="1" customHeight="1" outlineLevel="4" spans="2:66">
      <c r="B420" s="125" t="s">
        <v>792</v>
      </c>
      <c r="C420" s="126" t="s">
        <v>1724</v>
      </c>
      <c r="D420" s="124" t="s">
        <v>1725</v>
      </c>
      <c r="E420" s="125" t="s">
        <v>1726</v>
      </c>
      <c r="F420" s="125" t="s">
        <v>1618</v>
      </c>
      <c r="G420" s="125" t="s">
        <v>936</v>
      </c>
      <c r="H420" s="125">
        <f t="shared" si="791"/>
        <v>0</v>
      </c>
      <c r="I420" s="125" t="s">
        <v>1235</v>
      </c>
      <c r="J420" s="304"/>
      <c r="K420" s="125" t="s">
        <v>1389</v>
      </c>
      <c r="L420" s="125">
        <v>85</v>
      </c>
      <c r="M420" s="125" t="s">
        <v>1668</v>
      </c>
      <c r="N420" s="125">
        <f t="shared" si="792"/>
        <v>0</v>
      </c>
      <c r="O420" s="304"/>
      <c r="P420" s="304"/>
      <c r="Q420" s="304"/>
      <c r="R420" s="304"/>
      <c r="S420" s="304"/>
      <c r="T420" s="304"/>
      <c r="U420" s="304"/>
      <c r="V420" s="304"/>
      <c r="W420" s="304"/>
      <c r="X420" s="304"/>
      <c r="Y420" s="304"/>
      <c r="Z420" s="304"/>
      <c r="AA420" s="125"/>
      <c r="AB420" s="125">
        <f t="shared" si="793"/>
        <v>0</v>
      </c>
      <c r="AC420" s="125">
        <f t="shared" si="794"/>
        <v>0</v>
      </c>
      <c r="AD420" s="125"/>
      <c r="AE420" s="125"/>
      <c r="AF420" s="125">
        <f t="shared" si="795"/>
        <v>0</v>
      </c>
      <c r="AG420" s="125"/>
      <c r="AH420" s="125"/>
      <c r="AI420" s="125">
        <f t="shared" si="796"/>
        <v>0</v>
      </c>
      <c r="AJ420" s="125"/>
      <c r="AK420" s="125"/>
      <c r="AL420" s="125">
        <f t="shared" si="797"/>
        <v>0</v>
      </c>
      <c r="AM420" s="125"/>
      <c r="AN420" s="125"/>
      <c r="AO420" s="125">
        <f t="shared" si="798"/>
        <v>0</v>
      </c>
      <c r="AP420" s="125"/>
      <c r="AQ420" s="125"/>
      <c r="AR420" s="125">
        <f t="shared" si="799"/>
        <v>0</v>
      </c>
      <c r="AS420" s="125"/>
      <c r="AT420" s="125"/>
      <c r="AU420" s="125">
        <f t="shared" si="800"/>
        <v>0</v>
      </c>
      <c r="AV420" s="125"/>
      <c r="AW420" s="125"/>
      <c r="AX420" s="125">
        <f t="shared" si="801"/>
        <v>0</v>
      </c>
      <c r="AY420" s="125"/>
      <c r="AZ420" s="125"/>
      <c r="BA420" s="125">
        <f t="shared" si="802"/>
        <v>0</v>
      </c>
      <c r="BB420" s="125"/>
      <c r="BC420" s="125"/>
      <c r="BD420" s="125">
        <f t="shared" si="803"/>
        <v>0</v>
      </c>
      <c r="BE420" s="125"/>
      <c r="BF420" s="125"/>
      <c r="BG420" s="125">
        <f t="shared" si="804"/>
        <v>0</v>
      </c>
      <c r="BH420" s="125"/>
      <c r="BI420" s="125"/>
      <c r="BJ420" s="125">
        <f t="shared" si="805"/>
        <v>0</v>
      </c>
      <c r="BK420" s="125"/>
      <c r="BL420" s="312"/>
      <c r="BM420" s="317"/>
      <c r="BN420" s="320"/>
    </row>
    <row r="421" s="124" customFormat="1" ht="33.95" hidden="1" customHeight="1" outlineLevel="4" spans="2:66">
      <c r="B421" s="125" t="s">
        <v>792</v>
      </c>
      <c r="C421" s="126" t="s">
        <v>1727</v>
      </c>
      <c r="D421" s="124" t="s">
        <v>1728</v>
      </c>
      <c r="E421" s="125" t="s">
        <v>1729</v>
      </c>
      <c r="F421" s="125" t="s">
        <v>1618</v>
      </c>
      <c r="G421" s="125" t="s">
        <v>936</v>
      </c>
      <c r="H421" s="125">
        <f t="shared" si="791"/>
        <v>0</v>
      </c>
      <c r="I421" s="125" t="s">
        <v>1235</v>
      </c>
      <c r="J421" s="304"/>
      <c r="K421" s="125" t="s">
        <v>1389</v>
      </c>
      <c r="L421" s="125">
        <v>25</v>
      </c>
      <c r="M421" s="125" t="s">
        <v>1668</v>
      </c>
      <c r="N421" s="125">
        <f t="shared" si="792"/>
        <v>0</v>
      </c>
      <c r="O421" s="304"/>
      <c r="P421" s="304"/>
      <c r="Q421" s="304"/>
      <c r="R421" s="304"/>
      <c r="S421" s="304"/>
      <c r="T421" s="304"/>
      <c r="U421" s="304"/>
      <c r="V421" s="304"/>
      <c r="W421" s="304"/>
      <c r="X421" s="304"/>
      <c r="Y421" s="304"/>
      <c r="Z421" s="304"/>
      <c r="AA421" s="125"/>
      <c r="AB421" s="125">
        <f t="shared" si="793"/>
        <v>0</v>
      </c>
      <c r="AC421" s="125">
        <f t="shared" si="794"/>
        <v>0</v>
      </c>
      <c r="AD421" s="125"/>
      <c r="AE421" s="125"/>
      <c r="AF421" s="125">
        <f t="shared" si="795"/>
        <v>0</v>
      </c>
      <c r="AG421" s="125"/>
      <c r="AH421" s="125"/>
      <c r="AI421" s="125">
        <f t="shared" si="796"/>
        <v>0</v>
      </c>
      <c r="AJ421" s="125"/>
      <c r="AK421" s="125"/>
      <c r="AL421" s="125">
        <f t="shared" si="797"/>
        <v>0</v>
      </c>
      <c r="AM421" s="125"/>
      <c r="AN421" s="125"/>
      <c r="AO421" s="125">
        <f t="shared" si="798"/>
        <v>0</v>
      </c>
      <c r="AP421" s="125"/>
      <c r="AQ421" s="125"/>
      <c r="AR421" s="125">
        <f t="shared" si="799"/>
        <v>0</v>
      </c>
      <c r="AS421" s="125"/>
      <c r="AT421" s="125"/>
      <c r="AU421" s="125">
        <f t="shared" si="800"/>
        <v>0</v>
      </c>
      <c r="AV421" s="125"/>
      <c r="AW421" s="125"/>
      <c r="AX421" s="125">
        <f t="shared" si="801"/>
        <v>0</v>
      </c>
      <c r="AY421" s="125"/>
      <c r="AZ421" s="125"/>
      <c r="BA421" s="125">
        <f t="shared" si="802"/>
        <v>0</v>
      </c>
      <c r="BB421" s="125"/>
      <c r="BC421" s="125"/>
      <c r="BD421" s="125">
        <f t="shared" si="803"/>
        <v>0</v>
      </c>
      <c r="BE421" s="125"/>
      <c r="BF421" s="125"/>
      <c r="BG421" s="125">
        <f t="shared" si="804"/>
        <v>0</v>
      </c>
      <c r="BH421" s="125"/>
      <c r="BI421" s="125"/>
      <c r="BJ421" s="125">
        <f t="shared" si="805"/>
        <v>0</v>
      </c>
      <c r="BK421" s="125"/>
      <c r="BL421" s="312"/>
      <c r="BM421" s="317"/>
      <c r="BN421" s="320"/>
    </row>
    <row r="422" s="124" customFormat="1" ht="33.95" hidden="1" customHeight="1" outlineLevel="4" spans="2:66">
      <c r="B422" s="125" t="s">
        <v>792</v>
      </c>
      <c r="C422" s="126" t="s">
        <v>1730</v>
      </c>
      <c r="D422" s="124" t="s">
        <v>1731</v>
      </c>
      <c r="E422" s="125" t="s">
        <v>1732</v>
      </c>
      <c r="F422" s="125" t="s">
        <v>1618</v>
      </c>
      <c r="G422" s="125" t="s">
        <v>936</v>
      </c>
      <c r="H422" s="125">
        <f t="shared" si="791"/>
        <v>0</v>
      </c>
      <c r="I422" s="125" t="s">
        <v>1235</v>
      </c>
      <c r="J422" s="304"/>
      <c r="K422" s="125" t="s">
        <v>1626</v>
      </c>
      <c r="L422" s="125">
        <v>19</v>
      </c>
      <c r="M422" s="125" t="s">
        <v>1627</v>
      </c>
      <c r="N422" s="125">
        <f t="shared" si="792"/>
        <v>0</v>
      </c>
      <c r="O422" s="304"/>
      <c r="P422" s="304"/>
      <c r="Q422" s="304"/>
      <c r="R422" s="304"/>
      <c r="S422" s="304"/>
      <c r="T422" s="304"/>
      <c r="U422" s="304"/>
      <c r="V422" s="304"/>
      <c r="W422" s="304"/>
      <c r="X422" s="304"/>
      <c r="Y422" s="304"/>
      <c r="Z422" s="304"/>
      <c r="AA422" s="125"/>
      <c r="AB422" s="125">
        <f t="shared" si="793"/>
        <v>0</v>
      </c>
      <c r="AC422" s="125">
        <f t="shared" si="794"/>
        <v>0</v>
      </c>
      <c r="AD422" s="125"/>
      <c r="AE422" s="125"/>
      <c r="AF422" s="125">
        <f t="shared" si="795"/>
        <v>0</v>
      </c>
      <c r="AG422" s="125"/>
      <c r="AH422" s="125"/>
      <c r="AI422" s="125">
        <f t="shared" si="796"/>
        <v>0</v>
      </c>
      <c r="AJ422" s="125"/>
      <c r="AK422" s="125"/>
      <c r="AL422" s="125">
        <f t="shared" si="797"/>
        <v>0</v>
      </c>
      <c r="AM422" s="125"/>
      <c r="AN422" s="125"/>
      <c r="AO422" s="125">
        <f t="shared" si="798"/>
        <v>0</v>
      </c>
      <c r="AP422" s="125"/>
      <c r="AQ422" s="125"/>
      <c r="AR422" s="125">
        <f t="shared" si="799"/>
        <v>0</v>
      </c>
      <c r="AS422" s="125"/>
      <c r="AT422" s="125"/>
      <c r="AU422" s="125">
        <f t="shared" si="800"/>
        <v>0</v>
      </c>
      <c r="AV422" s="125"/>
      <c r="AW422" s="125"/>
      <c r="AX422" s="125">
        <f t="shared" si="801"/>
        <v>0</v>
      </c>
      <c r="AY422" s="125"/>
      <c r="AZ422" s="125"/>
      <c r="BA422" s="125">
        <f t="shared" si="802"/>
        <v>0</v>
      </c>
      <c r="BB422" s="125"/>
      <c r="BC422" s="125"/>
      <c r="BD422" s="125">
        <f t="shared" si="803"/>
        <v>0</v>
      </c>
      <c r="BE422" s="125"/>
      <c r="BF422" s="125"/>
      <c r="BG422" s="125">
        <f t="shared" si="804"/>
        <v>0</v>
      </c>
      <c r="BH422" s="125"/>
      <c r="BI422" s="125"/>
      <c r="BJ422" s="125">
        <f t="shared" si="805"/>
        <v>0</v>
      </c>
      <c r="BK422" s="125"/>
      <c r="BL422" s="312"/>
      <c r="BM422" s="317"/>
      <c r="BN422" s="320"/>
    </row>
    <row r="423" s="124" customFormat="1" ht="33.95" hidden="1" customHeight="1" outlineLevel="4" spans="2:66">
      <c r="B423" s="125" t="s">
        <v>792</v>
      </c>
      <c r="C423" s="126" t="s">
        <v>1733</v>
      </c>
      <c r="D423" s="124" t="s">
        <v>1734</v>
      </c>
      <c r="E423" s="125" t="s">
        <v>1735</v>
      </c>
      <c r="F423" s="125" t="s">
        <v>1618</v>
      </c>
      <c r="G423" s="125" t="s">
        <v>936</v>
      </c>
      <c r="H423" s="125">
        <f t="shared" si="791"/>
        <v>0</v>
      </c>
      <c r="I423" s="125" t="s">
        <v>1235</v>
      </c>
      <c r="J423" s="304"/>
      <c r="K423" s="125" t="s">
        <v>1626</v>
      </c>
      <c r="L423" s="125">
        <v>105</v>
      </c>
      <c r="M423" s="125" t="s">
        <v>1627</v>
      </c>
      <c r="N423" s="125">
        <f t="shared" si="792"/>
        <v>0</v>
      </c>
      <c r="O423" s="304"/>
      <c r="P423" s="304"/>
      <c r="Q423" s="304"/>
      <c r="R423" s="304"/>
      <c r="S423" s="304"/>
      <c r="T423" s="304"/>
      <c r="U423" s="304"/>
      <c r="V423" s="304"/>
      <c r="W423" s="304"/>
      <c r="X423" s="304"/>
      <c r="Y423" s="304"/>
      <c r="Z423" s="304"/>
      <c r="AA423" s="125"/>
      <c r="AB423" s="125">
        <f t="shared" si="793"/>
        <v>0</v>
      </c>
      <c r="AC423" s="125">
        <f t="shared" si="794"/>
        <v>0</v>
      </c>
      <c r="AD423" s="125"/>
      <c r="AE423" s="125"/>
      <c r="AF423" s="125">
        <f t="shared" si="795"/>
        <v>0</v>
      </c>
      <c r="AG423" s="125"/>
      <c r="AH423" s="125"/>
      <c r="AI423" s="125">
        <f t="shared" si="796"/>
        <v>0</v>
      </c>
      <c r="AJ423" s="125"/>
      <c r="AK423" s="125"/>
      <c r="AL423" s="125">
        <f t="shared" si="797"/>
        <v>0</v>
      </c>
      <c r="AM423" s="125"/>
      <c r="AN423" s="125"/>
      <c r="AO423" s="125">
        <f t="shared" si="798"/>
        <v>0</v>
      </c>
      <c r="AP423" s="125"/>
      <c r="AQ423" s="125"/>
      <c r="AR423" s="125">
        <f t="shared" si="799"/>
        <v>0</v>
      </c>
      <c r="AS423" s="125"/>
      <c r="AT423" s="125"/>
      <c r="AU423" s="125">
        <f t="shared" si="800"/>
        <v>0</v>
      </c>
      <c r="AV423" s="125"/>
      <c r="AW423" s="125"/>
      <c r="AX423" s="125">
        <f t="shared" si="801"/>
        <v>0</v>
      </c>
      <c r="AY423" s="125"/>
      <c r="AZ423" s="125"/>
      <c r="BA423" s="125">
        <f t="shared" si="802"/>
        <v>0</v>
      </c>
      <c r="BB423" s="125"/>
      <c r="BC423" s="125"/>
      <c r="BD423" s="125">
        <f t="shared" si="803"/>
        <v>0</v>
      </c>
      <c r="BE423" s="125"/>
      <c r="BF423" s="125"/>
      <c r="BG423" s="125">
        <f t="shared" si="804"/>
        <v>0</v>
      </c>
      <c r="BH423" s="125"/>
      <c r="BI423" s="125"/>
      <c r="BJ423" s="125">
        <f t="shared" si="805"/>
        <v>0</v>
      </c>
      <c r="BK423" s="125"/>
      <c r="BL423" s="312"/>
      <c r="BM423" s="317"/>
      <c r="BN423" s="320"/>
    </row>
    <row r="424" s="124" customFormat="1" ht="33.95" hidden="1" customHeight="1" outlineLevel="4" spans="2:66">
      <c r="B424" s="125" t="s">
        <v>792</v>
      </c>
      <c r="C424" s="126" t="s">
        <v>1736</v>
      </c>
      <c r="D424" s="124" t="s">
        <v>1737</v>
      </c>
      <c r="E424" s="125"/>
      <c r="F424" s="125" t="s">
        <v>1618</v>
      </c>
      <c r="G424" s="125" t="s">
        <v>936</v>
      </c>
      <c r="H424" s="125">
        <f t="shared" si="791"/>
        <v>0</v>
      </c>
      <c r="I424" s="125" t="s">
        <v>1235</v>
      </c>
      <c r="J424" s="304"/>
      <c r="K424" s="125" t="s">
        <v>1389</v>
      </c>
      <c r="L424" s="125">
        <v>5</v>
      </c>
      <c r="M424" s="125" t="s">
        <v>1668</v>
      </c>
      <c r="N424" s="125">
        <f t="shared" si="792"/>
        <v>0</v>
      </c>
      <c r="O424" s="304"/>
      <c r="P424" s="304"/>
      <c r="Q424" s="304"/>
      <c r="R424" s="304"/>
      <c r="S424" s="304"/>
      <c r="T424" s="304"/>
      <c r="U424" s="304"/>
      <c r="V424" s="304"/>
      <c r="W424" s="304"/>
      <c r="X424" s="304"/>
      <c r="Y424" s="304"/>
      <c r="Z424" s="304"/>
      <c r="AA424" s="125"/>
      <c r="AB424" s="125">
        <f t="shared" si="793"/>
        <v>0</v>
      </c>
      <c r="AC424" s="125">
        <f t="shared" si="794"/>
        <v>0</v>
      </c>
      <c r="AD424" s="125"/>
      <c r="AE424" s="125"/>
      <c r="AF424" s="125">
        <f t="shared" si="795"/>
        <v>0</v>
      </c>
      <c r="AG424" s="125"/>
      <c r="AH424" s="125"/>
      <c r="AI424" s="125">
        <f t="shared" si="796"/>
        <v>0</v>
      </c>
      <c r="AJ424" s="125"/>
      <c r="AK424" s="125"/>
      <c r="AL424" s="125">
        <f t="shared" si="797"/>
        <v>0</v>
      </c>
      <c r="AM424" s="125"/>
      <c r="AN424" s="125"/>
      <c r="AO424" s="125">
        <f t="shared" si="798"/>
        <v>0</v>
      </c>
      <c r="AP424" s="125"/>
      <c r="AQ424" s="125"/>
      <c r="AR424" s="125">
        <f t="shared" si="799"/>
        <v>0</v>
      </c>
      <c r="AS424" s="125"/>
      <c r="AT424" s="125"/>
      <c r="AU424" s="125">
        <f t="shared" si="800"/>
        <v>0</v>
      </c>
      <c r="AV424" s="125"/>
      <c r="AW424" s="125"/>
      <c r="AX424" s="125">
        <f t="shared" si="801"/>
        <v>0</v>
      </c>
      <c r="AY424" s="125"/>
      <c r="AZ424" s="125"/>
      <c r="BA424" s="125">
        <f t="shared" si="802"/>
        <v>0</v>
      </c>
      <c r="BB424" s="125"/>
      <c r="BC424" s="125"/>
      <c r="BD424" s="125">
        <f t="shared" si="803"/>
        <v>0</v>
      </c>
      <c r="BE424" s="125"/>
      <c r="BF424" s="125"/>
      <c r="BG424" s="125">
        <f t="shared" si="804"/>
        <v>0</v>
      </c>
      <c r="BH424" s="125"/>
      <c r="BI424" s="125"/>
      <c r="BJ424" s="125">
        <f t="shared" si="805"/>
        <v>0</v>
      </c>
      <c r="BK424" s="125"/>
      <c r="BL424" s="312"/>
      <c r="BM424" s="317"/>
      <c r="BN424" s="320"/>
    </row>
    <row r="425" s="124" customFormat="1" ht="33.95" hidden="1" customHeight="1" outlineLevel="4" spans="2:66">
      <c r="B425" s="125" t="s">
        <v>792</v>
      </c>
      <c r="C425" s="126" t="s">
        <v>1738</v>
      </c>
      <c r="D425" s="124" t="s">
        <v>1739</v>
      </c>
      <c r="E425" s="125" t="s">
        <v>1740</v>
      </c>
      <c r="F425" s="125" t="s">
        <v>1618</v>
      </c>
      <c r="G425" s="125" t="s">
        <v>936</v>
      </c>
      <c r="H425" s="125">
        <f t="shared" si="791"/>
        <v>0</v>
      </c>
      <c r="I425" s="125" t="s">
        <v>1235</v>
      </c>
      <c r="J425" s="304"/>
      <c r="K425" s="125" t="s">
        <v>1389</v>
      </c>
      <c r="L425" s="125">
        <v>7.2</v>
      </c>
      <c r="M425" s="125" t="s">
        <v>1668</v>
      </c>
      <c r="N425" s="125">
        <f t="shared" si="792"/>
        <v>0</v>
      </c>
      <c r="O425" s="304"/>
      <c r="P425" s="304"/>
      <c r="Q425" s="304"/>
      <c r="R425" s="304"/>
      <c r="S425" s="304"/>
      <c r="T425" s="304"/>
      <c r="U425" s="304"/>
      <c r="V425" s="304"/>
      <c r="W425" s="304"/>
      <c r="X425" s="304"/>
      <c r="Y425" s="304"/>
      <c r="Z425" s="304"/>
      <c r="AA425" s="125"/>
      <c r="AB425" s="125">
        <f t="shared" si="793"/>
        <v>0</v>
      </c>
      <c r="AC425" s="125">
        <f t="shared" si="794"/>
        <v>0</v>
      </c>
      <c r="AD425" s="125"/>
      <c r="AE425" s="125"/>
      <c r="AF425" s="125">
        <f t="shared" si="795"/>
        <v>0</v>
      </c>
      <c r="AG425" s="125"/>
      <c r="AH425" s="125"/>
      <c r="AI425" s="125">
        <f t="shared" si="796"/>
        <v>0</v>
      </c>
      <c r="AJ425" s="125"/>
      <c r="AK425" s="125"/>
      <c r="AL425" s="125">
        <f t="shared" si="797"/>
        <v>0</v>
      </c>
      <c r="AM425" s="125"/>
      <c r="AN425" s="125"/>
      <c r="AO425" s="125">
        <f t="shared" si="798"/>
        <v>0</v>
      </c>
      <c r="AP425" s="125"/>
      <c r="AQ425" s="125"/>
      <c r="AR425" s="125">
        <f t="shared" si="799"/>
        <v>0</v>
      </c>
      <c r="AS425" s="125"/>
      <c r="AT425" s="125"/>
      <c r="AU425" s="125">
        <f t="shared" si="800"/>
        <v>0</v>
      </c>
      <c r="AV425" s="125"/>
      <c r="AW425" s="125"/>
      <c r="AX425" s="125">
        <f t="shared" si="801"/>
        <v>0</v>
      </c>
      <c r="AY425" s="125"/>
      <c r="AZ425" s="125"/>
      <c r="BA425" s="125">
        <f t="shared" si="802"/>
        <v>0</v>
      </c>
      <c r="BB425" s="125"/>
      <c r="BC425" s="125"/>
      <c r="BD425" s="125">
        <f t="shared" si="803"/>
        <v>0</v>
      </c>
      <c r="BE425" s="125"/>
      <c r="BF425" s="125"/>
      <c r="BG425" s="125">
        <f t="shared" si="804"/>
        <v>0</v>
      </c>
      <c r="BH425" s="125"/>
      <c r="BI425" s="125"/>
      <c r="BJ425" s="125">
        <f t="shared" si="805"/>
        <v>0</v>
      </c>
      <c r="BK425" s="125"/>
      <c r="BL425" s="312"/>
      <c r="BM425" s="317"/>
      <c r="BN425" s="320"/>
    </row>
    <row r="426" s="124" customFormat="1" ht="33.95" hidden="1" customHeight="1" outlineLevel="4" spans="2:66">
      <c r="B426" s="125" t="s">
        <v>792</v>
      </c>
      <c r="C426" s="126" t="s">
        <v>1741</v>
      </c>
      <c r="D426" s="124" t="s">
        <v>1742</v>
      </c>
      <c r="E426" s="125" t="s">
        <v>1743</v>
      </c>
      <c r="F426" s="125" t="s">
        <v>1618</v>
      </c>
      <c r="G426" s="125" t="s">
        <v>936</v>
      </c>
      <c r="H426" s="125">
        <f t="shared" si="791"/>
        <v>0</v>
      </c>
      <c r="I426" s="125" t="s">
        <v>1235</v>
      </c>
      <c r="J426" s="304"/>
      <c r="K426" s="125" t="s">
        <v>1389</v>
      </c>
      <c r="L426" s="125">
        <v>5</v>
      </c>
      <c r="M426" s="125" t="s">
        <v>1668</v>
      </c>
      <c r="N426" s="125">
        <f t="shared" si="792"/>
        <v>0</v>
      </c>
      <c r="O426" s="304"/>
      <c r="P426" s="304"/>
      <c r="Q426" s="304"/>
      <c r="R426" s="304"/>
      <c r="S426" s="304"/>
      <c r="T426" s="304"/>
      <c r="U426" s="304"/>
      <c r="V426" s="304"/>
      <c r="W426" s="304"/>
      <c r="X426" s="304"/>
      <c r="Y426" s="304"/>
      <c r="Z426" s="304"/>
      <c r="AA426" s="125"/>
      <c r="AB426" s="125">
        <f t="shared" si="793"/>
        <v>0</v>
      </c>
      <c r="AC426" s="125">
        <f t="shared" si="794"/>
        <v>0</v>
      </c>
      <c r="AD426" s="125"/>
      <c r="AE426" s="125"/>
      <c r="AF426" s="125">
        <f t="shared" si="795"/>
        <v>0</v>
      </c>
      <c r="AG426" s="125"/>
      <c r="AH426" s="125"/>
      <c r="AI426" s="125">
        <f t="shared" si="796"/>
        <v>0</v>
      </c>
      <c r="AJ426" s="125"/>
      <c r="AK426" s="125"/>
      <c r="AL426" s="125">
        <f t="shared" si="797"/>
        <v>0</v>
      </c>
      <c r="AM426" s="125"/>
      <c r="AN426" s="125"/>
      <c r="AO426" s="125">
        <f t="shared" si="798"/>
        <v>0</v>
      </c>
      <c r="AP426" s="125"/>
      <c r="AQ426" s="125"/>
      <c r="AR426" s="125">
        <f t="shared" si="799"/>
        <v>0</v>
      </c>
      <c r="AS426" s="125"/>
      <c r="AT426" s="125"/>
      <c r="AU426" s="125">
        <f t="shared" si="800"/>
        <v>0</v>
      </c>
      <c r="AV426" s="125"/>
      <c r="AW426" s="125"/>
      <c r="AX426" s="125">
        <f t="shared" si="801"/>
        <v>0</v>
      </c>
      <c r="AY426" s="125"/>
      <c r="AZ426" s="125"/>
      <c r="BA426" s="125">
        <f t="shared" si="802"/>
        <v>0</v>
      </c>
      <c r="BB426" s="125"/>
      <c r="BC426" s="125"/>
      <c r="BD426" s="125">
        <f t="shared" si="803"/>
        <v>0</v>
      </c>
      <c r="BE426" s="125"/>
      <c r="BF426" s="125"/>
      <c r="BG426" s="125">
        <f t="shared" si="804"/>
        <v>0</v>
      </c>
      <c r="BH426" s="125"/>
      <c r="BI426" s="125"/>
      <c r="BJ426" s="125">
        <f t="shared" si="805"/>
        <v>0</v>
      </c>
      <c r="BK426" s="125"/>
      <c r="BL426" s="312"/>
      <c r="BM426" s="317"/>
      <c r="BN426" s="320"/>
    </row>
    <row r="427" s="124" customFormat="1" ht="33.95" hidden="1" customHeight="1" outlineLevel="4" spans="2:66">
      <c r="B427" s="125" t="s">
        <v>792</v>
      </c>
      <c r="C427" s="126" t="s">
        <v>1744</v>
      </c>
      <c r="D427" s="124" t="s">
        <v>1745</v>
      </c>
      <c r="E427" s="125" t="s">
        <v>1746</v>
      </c>
      <c r="F427" s="125" t="s">
        <v>1618</v>
      </c>
      <c r="G427" s="125" t="s">
        <v>936</v>
      </c>
      <c r="H427" s="125">
        <f t="shared" si="791"/>
        <v>0</v>
      </c>
      <c r="I427" s="125" t="s">
        <v>1235</v>
      </c>
      <c r="J427" s="304"/>
      <c r="K427" s="125" t="s">
        <v>1747</v>
      </c>
      <c r="L427" s="125">
        <v>6.5</v>
      </c>
      <c r="M427" s="125" t="s">
        <v>1748</v>
      </c>
      <c r="N427" s="125">
        <f t="shared" si="792"/>
        <v>0</v>
      </c>
      <c r="O427" s="304"/>
      <c r="P427" s="304"/>
      <c r="Q427" s="304"/>
      <c r="R427" s="304"/>
      <c r="S427" s="304"/>
      <c r="T427" s="304"/>
      <c r="U427" s="304"/>
      <c r="V427" s="304"/>
      <c r="W427" s="304"/>
      <c r="X427" s="304"/>
      <c r="Y427" s="304"/>
      <c r="Z427" s="304"/>
      <c r="AA427" s="125"/>
      <c r="AB427" s="125">
        <f t="shared" si="793"/>
        <v>0</v>
      </c>
      <c r="AC427" s="125">
        <f t="shared" si="794"/>
        <v>0</v>
      </c>
      <c r="AD427" s="125"/>
      <c r="AE427" s="125"/>
      <c r="AF427" s="125">
        <f t="shared" si="795"/>
        <v>0</v>
      </c>
      <c r="AG427" s="125"/>
      <c r="AH427" s="125"/>
      <c r="AI427" s="125">
        <f t="shared" si="796"/>
        <v>0</v>
      </c>
      <c r="AJ427" s="125"/>
      <c r="AK427" s="125"/>
      <c r="AL427" s="125">
        <f t="shared" si="797"/>
        <v>0</v>
      </c>
      <c r="AM427" s="125"/>
      <c r="AN427" s="125"/>
      <c r="AO427" s="125">
        <f t="shared" si="798"/>
        <v>0</v>
      </c>
      <c r="AP427" s="125"/>
      <c r="AQ427" s="125"/>
      <c r="AR427" s="125">
        <f t="shared" si="799"/>
        <v>0</v>
      </c>
      <c r="AS427" s="125"/>
      <c r="AT427" s="125"/>
      <c r="AU427" s="125">
        <f t="shared" si="800"/>
        <v>0</v>
      </c>
      <c r="AV427" s="125"/>
      <c r="AW427" s="125"/>
      <c r="AX427" s="125">
        <f t="shared" si="801"/>
        <v>0</v>
      </c>
      <c r="AY427" s="125"/>
      <c r="AZ427" s="125"/>
      <c r="BA427" s="125">
        <f t="shared" si="802"/>
        <v>0</v>
      </c>
      <c r="BB427" s="125"/>
      <c r="BC427" s="125"/>
      <c r="BD427" s="125">
        <f t="shared" si="803"/>
        <v>0</v>
      </c>
      <c r="BE427" s="125"/>
      <c r="BF427" s="125"/>
      <c r="BG427" s="125">
        <f t="shared" si="804"/>
        <v>0</v>
      </c>
      <c r="BH427" s="125"/>
      <c r="BI427" s="125"/>
      <c r="BJ427" s="125">
        <f t="shared" si="805"/>
        <v>0</v>
      </c>
      <c r="BK427" s="125"/>
      <c r="BL427" s="312"/>
      <c r="BM427" s="317"/>
      <c r="BN427" s="320"/>
    </row>
    <row r="428" s="124" customFormat="1" ht="33.95" hidden="1" customHeight="1" outlineLevel="4" spans="2:66">
      <c r="B428" s="125" t="s">
        <v>792</v>
      </c>
      <c r="C428" s="126" t="s">
        <v>1749</v>
      </c>
      <c r="D428" s="124" t="s">
        <v>1750</v>
      </c>
      <c r="E428" s="125" t="s">
        <v>1751</v>
      </c>
      <c r="F428" s="125" t="s">
        <v>1618</v>
      </c>
      <c r="G428" s="125" t="s">
        <v>936</v>
      </c>
      <c r="H428" s="125">
        <f t="shared" si="791"/>
        <v>0</v>
      </c>
      <c r="I428" s="125" t="s">
        <v>1235</v>
      </c>
      <c r="J428" s="304"/>
      <c r="K428" s="125" t="s">
        <v>1752</v>
      </c>
      <c r="L428" s="125">
        <v>20</v>
      </c>
      <c r="M428" s="125" t="s">
        <v>1753</v>
      </c>
      <c r="N428" s="125">
        <f t="shared" si="792"/>
        <v>0</v>
      </c>
      <c r="O428" s="304"/>
      <c r="P428" s="304"/>
      <c r="Q428" s="304"/>
      <c r="R428" s="304"/>
      <c r="S428" s="304"/>
      <c r="T428" s="304"/>
      <c r="U428" s="304"/>
      <c r="V428" s="304"/>
      <c r="W428" s="304"/>
      <c r="X428" s="304"/>
      <c r="Y428" s="304"/>
      <c r="Z428" s="304"/>
      <c r="AA428" s="125"/>
      <c r="AB428" s="125">
        <f t="shared" si="793"/>
        <v>0</v>
      </c>
      <c r="AC428" s="125">
        <f t="shared" si="794"/>
        <v>0</v>
      </c>
      <c r="AD428" s="125"/>
      <c r="AE428" s="125"/>
      <c r="AF428" s="125">
        <f t="shared" si="795"/>
        <v>0</v>
      </c>
      <c r="AG428" s="125"/>
      <c r="AH428" s="125"/>
      <c r="AI428" s="125">
        <f t="shared" si="796"/>
        <v>0</v>
      </c>
      <c r="AJ428" s="125"/>
      <c r="AK428" s="125"/>
      <c r="AL428" s="125">
        <f t="shared" si="797"/>
        <v>0</v>
      </c>
      <c r="AM428" s="125"/>
      <c r="AN428" s="125"/>
      <c r="AO428" s="125">
        <f t="shared" si="798"/>
        <v>0</v>
      </c>
      <c r="AP428" s="125"/>
      <c r="AQ428" s="125"/>
      <c r="AR428" s="125">
        <f t="shared" si="799"/>
        <v>0</v>
      </c>
      <c r="AS428" s="125"/>
      <c r="AT428" s="125"/>
      <c r="AU428" s="125">
        <f t="shared" si="800"/>
        <v>0</v>
      </c>
      <c r="AV428" s="125"/>
      <c r="AW428" s="125"/>
      <c r="AX428" s="125">
        <f t="shared" si="801"/>
        <v>0</v>
      </c>
      <c r="AY428" s="125"/>
      <c r="AZ428" s="125"/>
      <c r="BA428" s="125">
        <f t="shared" si="802"/>
        <v>0</v>
      </c>
      <c r="BB428" s="125"/>
      <c r="BC428" s="125"/>
      <c r="BD428" s="125">
        <f t="shared" si="803"/>
        <v>0</v>
      </c>
      <c r="BE428" s="125"/>
      <c r="BF428" s="125"/>
      <c r="BG428" s="125">
        <f t="shared" si="804"/>
        <v>0</v>
      </c>
      <c r="BH428" s="125"/>
      <c r="BI428" s="125"/>
      <c r="BJ428" s="125">
        <f t="shared" si="805"/>
        <v>0</v>
      </c>
      <c r="BK428" s="125"/>
      <c r="BL428" s="312"/>
      <c r="BM428" s="317"/>
      <c r="BN428" s="320"/>
    </row>
    <row r="429" s="124" customFormat="1" ht="33.95" hidden="1" customHeight="1" outlineLevel="4" spans="2:66">
      <c r="B429" s="125" t="s">
        <v>792</v>
      </c>
      <c r="C429" s="126" t="s">
        <v>1754</v>
      </c>
      <c r="D429" s="124" t="s">
        <v>1755</v>
      </c>
      <c r="E429" s="125"/>
      <c r="F429" s="125" t="s">
        <v>1618</v>
      </c>
      <c r="G429" s="125" t="s">
        <v>936</v>
      </c>
      <c r="H429" s="125">
        <f t="shared" si="791"/>
        <v>0</v>
      </c>
      <c r="I429" s="125" t="s">
        <v>1235</v>
      </c>
      <c r="J429" s="125">
        <v>1</v>
      </c>
      <c r="K429" s="125" t="s">
        <v>1236</v>
      </c>
      <c r="L429" s="304"/>
      <c r="M429" s="125" t="s">
        <v>1756</v>
      </c>
      <c r="N429" s="125">
        <f t="shared" si="792"/>
        <v>0</v>
      </c>
      <c r="O429" s="322"/>
      <c r="P429" s="322"/>
      <c r="Q429" s="322"/>
      <c r="R429" s="322"/>
      <c r="S429" s="322"/>
      <c r="T429" s="322"/>
      <c r="U429" s="322"/>
      <c r="V429" s="322"/>
      <c r="W429" s="322"/>
      <c r="X429" s="322"/>
      <c r="Y429" s="322"/>
      <c r="Z429" s="322"/>
      <c r="AA429" s="125"/>
      <c r="AB429" s="125">
        <f t="shared" si="793"/>
        <v>0</v>
      </c>
      <c r="AC429" s="125">
        <f t="shared" si="794"/>
        <v>0</v>
      </c>
      <c r="AD429" s="125"/>
      <c r="AE429" s="125"/>
      <c r="AF429" s="125">
        <f t="shared" si="795"/>
        <v>0</v>
      </c>
      <c r="AG429" s="125"/>
      <c r="AH429" s="125"/>
      <c r="AI429" s="125">
        <f t="shared" si="796"/>
        <v>0</v>
      </c>
      <c r="AJ429" s="125"/>
      <c r="AK429" s="125"/>
      <c r="AL429" s="125">
        <f t="shared" si="797"/>
        <v>0</v>
      </c>
      <c r="AM429" s="125"/>
      <c r="AN429" s="125"/>
      <c r="AO429" s="125">
        <f t="shared" si="798"/>
        <v>0</v>
      </c>
      <c r="AP429" s="125"/>
      <c r="AQ429" s="125"/>
      <c r="AR429" s="125">
        <f t="shared" si="799"/>
        <v>0</v>
      </c>
      <c r="AS429" s="125"/>
      <c r="AT429" s="125"/>
      <c r="AU429" s="125">
        <f t="shared" si="800"/>
        <v>0</v>
      </c>
      <c r="AV429" s="125"/>
      <c r="AW429" s="125"/>
      <c r="AX429" s="125">
        <f t="shared" si="801"/>
        <v>0</v>
      </c>
      <c r="AY429" s="125"/>
      <c r="AZ429" s="125"/>
      <c r="BA429" s="125">
        <f t="shared" si="802"/>
        <v>0</v>
      </c>
      <c r="BB429" s="125"/>
      <c r="BC429" s="125"/>
      <c r="BD429" s="125">
        <f t="shared" si="803"/>
        <v>0</v>
      </c>
      <c r="BE429" s="125"/>
      <c r="BF429" s="125"/>
      <c r="BG429" s="125">
        <f t="shared" si="804"/>
        <v>0</v>
      </c>
      <c r="BH429" s="125"/>
      <c r="BI429" s="125"/>
      <c r="BJ429" s="125">
        <f t="shared" si="805"/>
        <v>0</v>
      </c>
      <c r="BK429" s="125"/>
      <c r="BL429" s="312"/>
      <c r="BM429" s="317"/>
      <c r="BN429" s="320"/>
    </row>
    <row r="430" s="14" customFormat="1" ht="33.95" hidden="1" customHeight="1" outlineLevel="2" spans="2:66">
      <c r="B430" s="118" t="s">
        <v>787</v>
      </c>
      <c r="C430" s="119" t="s">
        <v>1757</v>
      </c>
      <c r="D430" s="14" t="s">
        <v>1758</v>
      </c>
      <c r="E430" s="118"/>
      <c r="F430" s="118"/>
      <c r="G430" s="118"/>
      <c r="H430" s="118">
        <f>H431+H440+H446</f>
        <v>0</v>
      </c>
      <c r="I430" s="118"/>
      <c r="J430" s="118"/>
      <c r="K430" s="118"/>
      <c r="L430" s="118"/>
      <c r="M430" s="118"/>
      <c r="N430" s="310"/>
      <c r="O430" s="293"/>
      <c r="P430" s="293"/>
      <c r="Q430" s="293"/>
      <c r="R430" s="293"/>
      <c r="S430" s="293"/>
      <c r="T430" s="293"/>
      <c r="U430" s="293"/>
      <c r="V430" s="293"/>
      <c r="W430" s="293"/>
      <c r="X430" s="293"/>
      <c r="Y430" s="293"/>
      <c r="Z430" s="293"/>
      <c r="AA430" s="293"/>
      <c r="AB430" s="118">
        <f t="shared" ref="AB430:AF430" si="806">AB431+AB440+AB446</f>
        <v>0</v>
      </c>
      <c r="AC430" s="118">
        <f t="shared" si="806"/>
        <v>0</v>
      </c>
      <c r="AD430" s="118"/>
      <c r="AE430" s="118"/>
      <c r="AF430" s="118">
        <f t="shared" si="806"/>
        <v>0</v>
      </c>
      <c r="AG430" s="118"/>
      <c r="AH430" s="118"/>
      <c r="AI430" s="118">
        <f>AI431+AI440+AI446</f>
        <v>0</v>
      </c>
      <c r="AJ430" s="118"/>
      <c r="AK430" s="118"/>
      <c r="AL430" s="118">
        <f>AL431+AL440+AL446</f>
        <v>0</v>
      </c>
      <c r="AM430" s="118"/>
      <c r="AN430" s="118"/>
      <c r="AO430" s="118">
        <f>AO431+AO440+AO446</f>
        <v>0</v>
      </c>
      <c r="AP430" s="118"/>
      <c r="AQ430" s="118"/>
      <c r="AR430" s="118">
        <f>AR431+AR440+AR446</f>
        <v>0</v>
      </c>
      <c r="AS430" s="118"/>
      <c r="AT430" s="118"/>
      <c r="AU430" s="118">
        <f>AU431+AU440+AU446</f>
        <v>0</v>
      </c>
      <c r="AV430" s="118"/>
      <c r="AW430" s="118"/>
      <c r="AX430" s="118">
        <f>AX431+AX440+AX446</f>
        <v>0</v>
      </c>
      <c r="AY430" s="118"/>
      <c r="AZ430" s="118"/>
      <c r="BA430" s="118">
        <f>BA431+BA440+BA446</f>
        <v>0</v>
      </c>
      <c r="BB430" s="118"/>
      <c r="BC430" s="118"/>
      <c r="BD430" s="118">
        <f>BD431+BD440+BD446</f>
        <v>0</v>
      </c>
      <c r="BE430" s="118"/>
      <c r="BF430" s="118"/>
      <c r="BG430" s="118">
        <f>BG431+BG440+BG446</f>
        <v>0</v>
      </c>
      <c r="BH430" s="118"/>
      <c r="BI430" s="118"/>
      <c r="BJ430" s="118">
        <f>BJ431+BJ440+BJ446</f>
        <v>0</v>
      </c>
      <c r="BK430" s="118"/>
      <c r="BL430" s="310"/>
      <c r="BM430" s="317"/>
      <c r="BN430" s="318"/>
    </row>
    <row r="431" s="43" customFormat="1" ht="33.95" hidden="1" customHeight="1" outlineLevel="3" spans="2:66">
      <c r="B431" s="121" t="s">
        <v>787</v>
      </c>
      <c r="C431" s="122" t="s">
        <v>1759</v>
      </c>
      <c r="D431" s="43" t="s">
        <v>1760</v>
      </c>
      <c r="E431" s="121"/>
      <c r="F431" s="121"/>
      <c r="G431" s="121"/>
      <c r="H431" s="121">
        <f>SUM(H432:H439)</f>
        <v>0</v>
      </c>
      <c r="I431" s="121"/>
      <c r="J431" s="121"/>
      <c r="K431" s="121"/>
      <c r="L431" s="121"/>
      <c r="M431" s="121"/>
      <c r="N431" s="311"/>
      <c r="O431" s="294"/>
      <c r="P431" s="294"/>
      <c r="Q431" s="294"/>
      <c r="R431" s="294"/>
      <c r="S431" s="294"/>
      <c r="T431" s="294"/>
      <c r="U431" s="294"/>
      <c r="V431" s="294"/>
      <c r="W431" s="294"/>
      <c r="X431" s="294"/>
      <c r="Y431" s="294"/>
      <c r="Z431" s="294"/>
      <c r="AA431" s="294"/>
      <c r="AB431" s="121">
        <f>SUM(AB432:AB439)</f>
        <v>0</v>
      </c>
      <c r="AC431" s="121">
        <f>SUM(AC432:AC439)</f>
        <v>0</v>
      </c>
      <c r="AD431" s="121"/>
      <c r="AE431" s="121"/>
      <c r="AF431" s="121">
        <f>SUM(AF432:AF439)</f>
        <v>0</v>
      </c>
      <c r="AG431" s="121"/>
      <c r="AH431" s="121"/>
      <c r="AI431" s="121">
        <f>SUM(AI432:AI439)</f>
        <v>0</v>
      </c>
      <c r="AJ431" s="121"/>
      <c r="AK431" s="121"/>
      <c r="AL431" s="121">
        <f>SUM(AL432:AL439)</f>
        <v>0</v>
      </c>
      <c r="AM431" s="121"/>
      <c r="AN431" s="121"/>
      <c r="AO431" s="121">
        <f>SUM(AO432:AO439)</f>
        <v>0</v>
      </c>
      <c r="AP431" s="121"/>
      <c r="AQ431" s="121"/>
      <c r="AR431" s="121">
        <f>SUM(AR432:AR439)</f>
        <v>0</v>
      </c>
      <c r="AS431" s="121"/>
      <c r="AT431" s="121"/>
      <c r="AU431" s="121">
        <f>SUM(AU432:AU439)</f>
        <v>0</v>
      </c>
      <c r="AV431" s="121"/>
      <c r="AW431" s="121"/>
      <c r="AX431" s="121">
        <f>SUM(AX432:AX439)</f>
        <v>0</v>
      </c>
      <c r="AY431" s="121"/>
      <c r="AZ431" s="121"/>
      <c r="BA431" s="121">
        <f>SUM(BA432:BA439)</f>
        <v>0</v>
      </c>
      <c r="BB431" s="121"/>
      <c r="BC431" s="121"/>
      <c r="BD431" s="121">
        <f>SUM(BD432:BD439)</f>
        <v>0</v>
      </c>
      <c r="BE431" s="121"/>
      <c r="BF431" s="121"/>
      <c r="BG431" s="121">
        <f>SUM(BG432:BG439)</f>
        <v>0</v>
      </c>
      <c r="BH431" s="121"/>
      <c r="BI431" s="121"/>
      <c r="BJ431" s="121">
        <f>SUM(BJ432:BJ439)</f>
        <v>0</v>
      </c>
      <c r="BK431" s="121"/>
      <c r="BL431" s="311"/>
      <c r="BM431" s="317"/>
      <c r="BN431" s="319"/>
    </row>
    <row r="432" s="124" customFormat="1" ht="33.95" hidden="1" customHeight="1" outlineLevel="5" spans="2:66">
      <c r="B432" s="125" t="s">
        <v>792</v>
      </c>
      <c r="C432" s="126" t="s">
        <v>1761</v>
      </c>
      <c r="D432" s="124" t="s">
        <v>1762</v>
      </c>
      <c r="E432" s="125"/>
      <c r="F432" s="125" t="s">
        <v>1618</v>
      </c>
      <c r="G432" s="125" t="s">
        <v>936</v>
      </c>
      <c r="H432" s="125">
        <f>J432*L432</f>
        <v>0</v>
      </c>
      <c r="I432" s="125" t="s">
        <v>1235</v>
      </c>
      <c r="J432" s="304"/>
      <c r="K432" s="125" t="s">
        <v>1143</v>
      </c>
      <c r="L432" s="125">
        <v>2230</v>
      </c>
      <c r="M432" s="125" t="s">
        <v>1763</v>
      </c>
      <c r="N432" s="125">
        <f t="shared" ref="N432:N439" si="807">COUNTA(O432:Z432)</f>
        <v>0</v>
      </c>
      <c r="O432" s="323"/>
      <c r="P432" s="323"/>
      <c r="Q432" s="323"/>
      <c r="R432" s="323"/>
      <c r="S432" s="323"/>
      <c r="T432" s="323"/>
      <c r="U432" s="323"/>
      <c r="V432" s="323"/>
      <c r="W432" s="323"/>
      <c r="X432" s="323"/>
      <c r="Y432" s="323"/>
      <c r="Z432" s="323"/>
      <c r="AA432" s="125"/>
      <c r="AB432" s="125">
        <f t="shared" ref="AB432:AB439" si="808">SUM(AC432,AF432,AI432,AL432,AO432,AR432,AU432,AX432,BA432,BD432,BG432,BJ432)</f>
        <v>0</v>
      </c>
      <c r="AC432" s="125">
        <f t="shared" ref="AC432:AC439" si="809">IF(O432="√",$J432*$L432/$N432,0)</f>
        <v>0</v>
      </c>
      <c r="AD432" s="125"/>
      <c r="AE432" s="125"/>
      <c r="AF432" s="125">
        <f t="shared" ref="AF432:AF439" si="810">IF(P432="√",$J432*$L432/$N432,0)</f>
        <v>0</v>
      </c>
      <c r="AG432" s="125"/>
      <c r="AH432" s="125"/>
      <c r="AI432" s="125">
        <f t="shared" ref="AI432:AI439" si="811">IF(Q432="√",$J432*$L432/$N432,0)</f>
        <v>0</v>
      </c>
      <c r="AJ432" s="125"/>
      <c r="AK432" s="125"/>
      <c r="AL432" s="125">
        <f t="shared" ref="AL432:AL439" si="812">IF(R432="√",$J432*$L432/$N432,0)</f>
        <v>0</v>
      </c>
      <c r="AM432" s="125"/>
      <c r="AN432" s="125"/>
      <c r="AO432" s="125">
        <f t="shared" ref="AO432:AO439" si="813">IF(S432="√",$J432*$L432/$N432,0)</f>
        <v>0</v>
      </c>
      <c r="AP432" s="125"/>
      <c r="AQ432" s="125"/>
      <c r="AR432" s="125">
        <f t="shared" ref="AR432:AR439" si="814">IF(T432="√",$J432*$L432/$N432,0)</f>
        <v>0</v>
      </c>
      <c r="AS432" s="125"/>
      <c r="AT432" s="125"/>
      <c r="AU432" s="125">
        <f t="shared" ref="AU432:AU439" si="815">IF(U432="√",$J432*$L432/$N432,0)</f>
        <v>0</v>
      </c>
      <c r="AV432" s="125"/>
      <c r="AW432" s="125"/>
      <c r="AX432" s="125">
        <f t="shared" ref="AX432:AX439" si="816">IF(V432="√",$J432*$L432/$N432,0)</f>
        <v>0</v>
      </c>
      <c r="AY432" s="125"/>
      <c r="AZ432" s="125"/>
      <c r="BA432" s="125">
        <f t="shared" ref="BA432:BA439" si="817">IF(W432="√",$J432*$L432/$N432,0)</f>
        <v>0</v>
      </c>
      <c r="BB432" s="125"/>
      <c r="BC432" s="125"/>
      <c r="BD432" s="125">
        <f t="shared" ref="BD432:BD439" si="818">IF(X432="√",$J432*$L432/$N432,0)</f>
        <v>0</v>
      </c>
      <c r="BE432" s="125"/>
      <c r="BF432" s="125"/>
      <c r="BG432" s="125">
        <f t="shared" ref="BG432:BG439" si="819">IF(Y432="√",$J432*$L432/$N432,0)</f>
        <v>0</v>
      </c>
      <c r="BH432" s="125"/>
      <c r="BI432" s="125"/>
      <c r="BJ432" s="125">
        <f t="shared" ref="BJ432:BJ439" si="820">IF(Z432="√",$J432*$L432/$N432,0)</f>
        <v>0</v>
      </c>
      <c r="BK432" s="125"/>
      <c r="BL432" s="312"/>
      <c r="BM432" s="317"/>
      <c r="BN432" s="320"/>
    </row>
    <row r="433" s="124" customFormat="1" ht="33.95" hidden="1" customHeight="1" outlineLevel="5" spans="2:66">
      <c r="B433" s="125" t="s">
        <v>792</v>
      </c>
      <c r="C433" s="126" t="s">
        <v>1764</v>
      </c>
      <c r="D433" s="124" t="s">
        <v>1765</v>
      </c>
      <c r="E433" s="125"/>
      <c r="F433" s="125" t="s">
        <v>1618</v>
      </c>
      <c r="G433" s="125" t="s">
        <v>936</v>
      </c>
      <c r="H433" s="125">
        <f t="shared" ref="H433:H439" si="821">J433*L433</f>
        <v>0</v>
      </c>
      <c r="I433" s="125" t="s">
        <v>1235</v>
      </c>
      <c r="J433" s="304"/>
      <c r="K433" s="125" t="s">
        <v>1143</v>
      </c>
      <c r="L433" s="125">
        <v>620</v>
      </c>
      <c r="M433" s="125" t="s">
        <v>1763</v>
      </c>
      <c r="N433" s="125">
        <f t="shared" si="807"/>
        <v>0</v>
      </c>
      <c r="O433" s="304"/>
      <c r="P433" s="304"/>
      <c r="Q433" s="304"/>
      <c r="R433" s="304"/>
      <c r="S433" s="304"/>
      <c r="T433" s="304"/>
      <c r="U433" s="304"/>
      <c r="V433" s="304"/>
      <c r="W433" s="304"/>
      <c r="X433" s="304"/>
      <c r="Y433" s="304"/>
      <c r="Z433" s="304"/>
      <c r="AA433" s="125"/>
      <c r="AB433" s="125">
        <f t="shared" si="808"/>
        <v>0</v>
      </c>
      <c r="AC433" s="125">
        <f t="shared" si="809"/>
        <v>0</v>
      </c>
      <c r="AD433" s="125"/>
      <c r="AE433" s="125"/>
      <c r="AF433" s="125">
        <f t="shared" si="810"/>
        <v>0</v>
      </c>
      <c r="AG433" s="125"/>
      <c r="AH433" s="125"/>
      <c r="AI433" s="125">
        <f t="shared" si="811"/>
        <v>0</v>
      </c>
      <c r="AJ433" s="125"/>
      <c r="AK433" s="125"/>
      <c r="AL433" s="125">
        <f t="shared" si="812"/>
        <v>0</v>
      </c>
      <c r="AM433" s="125"/>
      <c r="AN433" s="125"/>
      <c r="AO433" s="125">
        <f t="shared" si="813"/>
        <v>0</v>
      </c>
      <c r="AP433" s="125"/>
      <c r="AQ433" s="125"/>
      <c r="AR433" s="125">
        <f t="shared" si="814"/>
        <v>0</v>
      </c>
      <c r="AS433" s="125"/>
      <c r="AT433" s="125"/>
      <c r="AU433" s="125">
        <f t="shared" si="815"/>
        <v>0</v>
      </c>
      <c r="AV433" s="125"/>
      <c r="AW433" s="125"/>
      <c r="AX433" s="125">
        <f t="shared" si="816"/>
        <v>0</v>
      </c>
      <c r="AY433" s="125"/>
      <c r="AZ433" s="125"/>
      <c r="BA433" s="125">
        <f t="shared" si="817"/>
        <v>0</v>
      </c>
      <c r="BB433" s="125"/>
      <c r="BC433" s="125"/>
      <c r="BD433" s="125">
        <f t="shared" si="818"/>
        <v>0</v>
      </c>
      <c r="BE433" s="125"/>
      <c r="BF433" s="125"/>
      <c r="BG433" s="125">
        <f t="shared" si="819"/>
        <v>0</v>
      </c>
      <c r="BH433" s="125"/>
      <c r="BI433" s="125"/>
      <c r="BJ433" s="125">
        <f t="shared" si="820"/>
        <v>0</v>
      </c>
      <c r="BK433" s="125"/>
      <c r="BL433" s="312"/>
      <c r="BM433" s="317"/>
      <c r="BN433" s="320"/>
    </row>
    <row r="434" s="124" customFormat="1" ht="33.95" hidden="1" customHeight="1" outlineLevel="5" spans="2:66">
      <c r="B434" s="125" t="s">
        <v>792</v>
      </c>
      <c r="C434" s="126" t="s">
        <v>1766</v>
      </c>
      <c r="D434" s="124" t="s">
        <v>1767</v>
      </c>
      <c r="E434" s="125"/>
      <c r="F434" s="125" t="s">
        <v>1618</v>
      </c>
      <c r="G434" s="125" t="s">
        <v>936</v>
      </c>
      <c r="H434" s="125">
        <f t="shared" si="821"/>
        <v>0</v>
      </c>
      <c r="I434" s="125" t="s">
        <v>1235</v>
      </c>
      <c r="J434" s="304"/>
      <c r="K434" s="125" t="s">
        <v>1143</v>
      </c>
      <c r="L434" s="125">
        <v>3070</v>
      </c>
      <c r="M434" s="125" t="s">
        <v>1763</v>
      </c>
      <c r="N434" s="125">
        <f t="shared" si="807"/>
        <v>0</v>
      </c>
      <c r="O434" s="304"/>
      <c r="P434" s="304"/>
      <c r="Q434" s="304"/>
      <c r="R434" s="304"/>
      <c r="S434" s="304"/>
      <c r="T434" s="304"/>
      <c r="U434" s="304"/>
      <c r="V434" s="304"/>
      <c r="W434" s="304"/>
      <c r="X434" s="304"/>
      <c r="Y434" s="304"/>
      <c r="Z434" s="304"/>
      <c r="AA434" s="125"/>
      <c r="AB434" s="125">
        <f t="shared" si="808"/>
        <v>0</v>
      </c>
      <c r="AC434" s="125">
        <f t="shared" si="809"/>
        <v>0</v>
      </c>
      <c r="AD434" s="125"/>
      <c r="AE434" s="125"/>
      <c r="AF434" s="125">
        <f t="shared" si="810"/>
        <v>0</v>
      </c>
      <c r="AG434" s="125"/>
      <c r="AH434" s="125"/>
      <c r="AI434" s="125">
        <f t="shared" si="811"/>
        <v>0</v>
      </c>
      <c r="AJ434" s="125"/>
      <c r="AK434" s="125"/>
      <c r="AL434" s="125">
        <f t="shared" si="812"/>
        <v>0</v>
      </c>
      <c r="AM434" s="125"/>
      <c r="AN434" s="125"/>
      <c r="AO434" s="125">
        <f t="shared" si="813"/>
        <v>0</v>
      </c>
      <c r="AP434" s="125"/>
      <c r="AQ434" s="125"/>
      <c r="AR434" s="125">
        <f t="shared" si="814"/>
        <v>0</v>
      </c>
      <c r="AS434" s="125"/>
      <c r="AT434" s="125"/>
      <c r="AU434" s="125">
        <f t="shared" si="815"/>
        <v>0</v>
      </c>
      <c r="AV434" s="125"/>
      <c r="AW434" s="125"/>
      <c r="AX434" s="125">
        <f t="shared" si="816"/>
        <v>0</v>
      </c>
      <c r="AY434" s="125"/>
      <c r="AZ434" s="125"/>
      <c r="BA434" s="125">
        <f t="shared" si="817"/>
        <v>0</v>
      </c>
      <c r="BB434" s="125"/>
      <c r="BC434" s="125"/>
      <c r="BD434" s="125">
        <f t="shared" si="818"/>
        <v>0</v>
      </c>
      <c r="BE434" s="125"/>
      <c r="BF434" s="125"/>
      <c r="BG434" s="125">
        <f t="shared" si="819"/>
        <v>0</v>
      </c>
      <c r="BH434" s="125"/>
      <c r="BI434" s="125"/>
      <c r="BJ434" s="125">
        <f t="shared" si="820"/>
        <v>0</v>
      </c>
      <c r="BK434" s="125"/>
      <c r="BL434" s="312"/>
      <c r="BM434" s="317"/>
      <c r="BN434" s="320"/>
    </row>
    <row r="435" s="124" customFormat="1" ht="33.95" hidden="1" customHeight="1" outlineLevel="5" spans="2:66">
      <c r="B435" s="125" t="s">
        <v>792</v>
      </c>
      <c r="C435" s="126" t="s">
        <v>1768</v>
      </c>
      <c r="D435" s="124" t="s">
        <v>1769</v>
      </c>
      <c r="E435" s="125"/>
      <c r="F435" s="125" t="s">
        <v>1618</v>
      </c>
      <c r="G435" s="125" t="s">
        <v>936</v>
      </c>
      <c r="H435" s="125">
        <f t="shared" si="821"/>
        <v>0</v>
      </c>
      <c r="I435" s="125" t="s">
        <v>1235</v>
      </c>
      <c r="J435" s="304"/>
      <c r="K435" s="125" t="s">
        <v>1770</v>
      </c>
      <c r="L435" s="125">
        <v>2800</v>
      </c>
      <c r="M435" s="125" t="s">
        <v>1144</v>
      </c>
      <c r="N435" s="125">
        <f t="shared" si="807"/>
        <v>0</v>
      </c>
      <c r="O435" s="304"/>
      <c r="P435" s="304"/>
      <c r="Q435" s="304"/>
      <c r="R435" s="304"/>
      <c r="S435" s="304"/>
      <c r="T435" s="304"/>
      <c r="U435" s="304"/>
      <c r="V435" s="304"/>
      <c r="W435" s="304"/>
      <c r="X435" s="304"/>
      <c r="Y435" s="304"/>
      <c r="Z435" s="304"/>
      <c r="AA435" s="125"/>
      <c r="AB435" s="125">
        <f t="shared" si="808"/>
        <v>0</v>
      </c>
      <c r="AC435" s="125">
        <f t="shared" si="809"/>
        <v>0</v>
      </c>
      <c r="AD435" s="125"/>
      <c r="AE435" s="125"/>
      <c r="AF435" s="125">
        <f t="shared" si="810"/>
        <v>0</v>
      </c>
      <c r="AG435" s="125"/>
      <c r="AH435" s="125"/>
      <c r="AI435" s="125">
        <f t="shared" si="811"/>
        <v>0</v>
      </c>
      <c r="AJ435" s="125"/>
      <c r="AK435" s="125"/>
      <c r="AL435" s="125">
        <f t="shared" si="812"/>
        <v>0</v>
      </c>
      <c r="AM435" s="125"/>
      <c r="AN435" s="125"/>
      <c r="AO435" s="125">
        <f t="shared" si="813"/>
        <v>0</v>
      </c>
      <c r="AP435" s="125"/>
      <c r="AQ435" s="125"/>
      <c r="AR435" s="125">
        <f t="shared" si="814"/>
        <v>0</v>
      </c>
      <c r="AS435" s="125"/>
      <c r="AT435" s="125"/>
      <c r="AU435" s="125">
        <f t="shared" si="815"/>
        <v>0</v>
      </c>
      <c r="AV435" s="125"/>
      <c r="AW435" s="125"/>
      <c r="AX435" s="125">
        <f t="shared" si="816"/>
        <v>0</v>
      </c>
      <c r="AY435" s="125"/>
      <c r="AZ435" s="125"/>
      <c r="BA435" s="125">
        <f t="shared" si="817"/>
        <v>0</v>
      </c>
      <c r="BB435" s="125"/>
      <c r="BC435" s="125"/>
      <c r="BD435" s="125">
        <f t="shared" si="818"/>
        <v>0</v>
      </c>
      <c r="BE435" s="125"/>
      <c r="BF435" s="125"/>
      <c r="BG435" s="125">
        <f t="shared" si="819"/>
        <v>0</v>
      </c>
      <c r="BH435" s="125"/>
      <c r="BI435" s="125"/>
      <c r="BJ435" s="125">
        <f t="shared" si="820"/>
        <v>0</v>
      </c>
      <c r="BK435" s="125"/>
      <c r="BL435" s="312"/>
      <c r="BM435" s="317"/>
      <c r="BN435" s="320"/>
    </row>
    <row r="436" s="124" customFormat="1" ht="33.95" hidden="1" customHeight="1" outlineLevel="5" spans="2:66">
      <c r="B436" s="125" t="s">
        <v>792</v>
      </c>
      <c r="C436" s="126" t="s">
        <v>1771</v>
      </c>
      <c r="D436" s="124" t="s">
        <v>1772</v>
      </c>
      <c r="E436" s="125"/>
      <c r="F436" s="125" t="s">
        <v>1618</v>
      </c>
      <c r="G436" s="125" t="s">
        <v>936</v>
      </c>
      <c r="H436" s="125">
        <f t="shared" si="821"/>
        <v>0</v>
      </c>
      <c r="I436" s="125" t="s">
        <v>1235</v>
      </c>
      <c r="J436" s="304"/>
      <c r="K436" s="125" t="s">
        <v>1143</v>
      </c>
      <c r="L436" s="125">
        <v>10400</v>
      </c>
      <c r="M436" s="125" t="s">
        <v>1763</v>
      </c>
      <c r="N436" s="125">
        <f t="shared" si="807"/>
        <v>0</v>
      </c>
      <c r="O436" s="304"/>
      <c r="P436" s="304"/>
      <c r="Q436" s="304"/>
      <c r="R436" s="304"/>
      <c r="S436" s="304"/>
      <c r="T436" s="304"/>
      <c r="U436" s="304"/>
      <c r="V436" s="304"/>
      <c r="W436" s="304"/>
      <c r="X436" s="304"/>
      <c r="Y436" s="304"/>
      <c r="Z436" s="304"/>
      <c r="AA436" s="125"/>
      <c r="AB436" s="125">
        <f t="shared" si="808"/>
        <v>0</v>
      </c>
      <c r="AC436" s="125">
        <f t="shared" si="809"/>
        <v>0</v>
      </c>
      <c r="AD436" s="125"/>
      <c r="AE436" s="125"/>
      <c r="AF436" s="125">
        <f t="shared" si="810"/>
        <v>0</v>
      </c>
      <c r="AG436" s="125"/>
      <c r="AH436" s="125"/>
      <c r="AI436" s="125">
        <f t="shared" si="811"/>
        <v>0</v>
      </c>
      <c r="AJ436" s="125"/>
      <c r="AK436" s="125"/>
      <c r="AL436" s="125">
        <f t="shared" si="812"/>
        <v>0</v>
      </c>
      <c r="AM436" s="125"/>
      <c r="AN436" s="125"/>
      <c r="AO436" s="125">
        <f t="shared" si="813"/>
        <v>0</v>
      </c>
      <c r="AP436" s="125"/>
      <c r="AQ436" s="125"/>
      <c r="AR436" s="125">
        <f t="shared" si="814"/>
        <v>0</v>
      </c>
      <c r="AS436" s="125"/>
      <c r="AT436" s="125"/>
      <c r="AU436" s="125">
        <f t="shared" si="815"/>
        <v>0</v>
      </c>
      <c r="AV436" s="125"/>
      <c r="AW436" s="125"/>
      <c r="AX436" s="125">
        <f t="shared" si="816"/>
        <v>0</v>
      </c>
      <c r="AY436" s="125"/>
      <c r="AZ436" s="125"/>
      <c r="BA436" s="125">
        <f t="shared" si="817"/>
        <v>0</v>
      </c>
      <c r="BB436" s="125"/>
      <c r="BC436" s="125"/>
      <c r="BD436" s="125">
        <f t="shared" si="818"/>
        <v>0</v>
      </c>
      <c r="BE436" s="125"/>
      <c r="BF436" s="125"/>
      <c r="BG436" s="125">
        <f t="shared" si="819"/>
        <v>0</v>
      </c>
      <c r="BH436" s="125"/>
      <c r="BI436" s="125"/>
      <c r="BJ436" s="125">
        <f t="shared" si="820"/>
        <v>0</v>
      </c>
      <c r="BK436" s="125"/>
      <c r="BL436" s="312"/>
      <c r="BM436" s="317"/>
      <c r="BN436" s="320"/>
    </row>
    <row r="437" s="124" customFormat="1" ht="33.95" hidden="1" customHeight="1" outlineLevel="5" spans="2:66">
      <c r="B437" s="125" t="s">
        <v>792</v>
      </c>
      <c r="C437" s="126" t="s">
        <v>1773</v>
      </c>
      <c r="D437" s="124" t="s">
        <v>1774</v>
      </c>
      <c r="E437" s="125"/>
      <c r="F437" s="125" t="s">
        <v>1618</v>
      </c>
      <c r="G437" s="125" t="s">
        <v>936</v>
      </c>
      <c r="H437" s="125">
        <f t="shared" si="821"/>
        <v>0</v>
      </c>
      <c r="I437" s="125" t="s">
        <v>1235</v>
      </c>
      <c r="J437" s="304"/>
      <c r="K437" s="125" t="s">
        <v>1143</v>
      </c>
      <c r="L437" s="125">
        <v>700</v>
      </c>
      <c r="M437" s="125" t="s">
        <v>1763</v>
      </c>
      <c r="N437" s="125">
        <f t="shared" si="807"/>
        <v>0</v>
      </c>
      <c r="O437" s="304"/>
      <c r="P437" s="304"/>
      <c r="Q437" s="304"/>
      <c r="R437" s="304"/>
      <c r="S437" s="304"/>
      <c r="T437" s="304"/>
      <c r="U437" s="304"/>
      <c r="V437" s="304"/>
      <c r="W437" s="304"/>
      <c r="X437" s="304"/>
      <c r="Y437" s="304"/>
      <c r="Z437" s="304"/>
      <c r="AA437" s="125"/>
      <c r="AB437" s="125">
        <f t="shared" si="808"/>
        <v>0</v>
      </c>
      <c r="AC437" s="125">
        <f t="shared" si="809"/>
        <v>0</v>
      </c>
      <c r="AD437" s="125"/>
      <c r="AE437" s="125"/>
      <c r="AF437" s="125">
        <f t="shared" si="810"/>
        <v>0</v>
      </c>
      <c r="AG437" s="125"/>
      <c r="AH437" s="125"/>
      <c r="AI437" s="125">
        <f t="shared" si="811"/>
        <v>0</v>
      </c>
      <c r="AJ437" s="125"/>
      <c r="AK437" s="125"/>
      <c r="AL437" s="125">
        <f t="shared" si="812"/>
        <v>0</v>
      </c>
      <c r="AM437" s="125"/>
      <c r="AN437" s="125"/>
      <c r="AO437" s="125">
        <f t="shared" si="813"/>
        <v>0</v>
      </c>
      <c r="AP437" s="125"/>
      <c r="AQ437" s="125"/>
      <c r="AR437" s="125">
        <f t="shared" si="814"/>
        <v>0</v>
      </c>
      <c r="AS437" s="125"/>
      <c r="AT437" s="125"/>
      <c r="AU437" s="125">
        <f t="shared" si="815"/>
        <v>0</v>
      </c>
      <c r="AV437" s="125"/>
      <c r="AW437" s="125"/>
      <c r="AX437" s="125">
        <f t="shared" si="816"/>
        <v>0</v>
      </c>
      <c r="AY437" s="125"/>
      <c r="AZ437" s="125"/>
      <c r="BA437" s="125">
        <f t="shared" si="817"/>
        <v>0</v>
      </c>
      <c r="BB437" s="125"/>
      <c r="BC437" s="125"/>
      <c r="BD437" s="125">
        <f t="shared" si="818"/>
        <v>0</v>
      </c>
      <c r="BE437" s="125"/>
      <c r="BF437" s="125"/>
      <c r="BG437" s="125">
        <f t="shared" si="819"/>
        <v>0</v>
      </c>
      <c r="BH437" s="125"/>
      <c r="BI437" s="125"/>
      <c r="BJ437" s="125">
        <f t="shared" si="820"/>
        <v>0</v>
      </c>
      <c r="BK437" s="125"/>
      <c r="BL437" s="312"/>
      <c r="BM437" s="317"/>
      <c r="BN437" s="320"/>
    </row>
    <row r="438" s="124" customFormat="1" ht="33.95" hidden="1" customHeight="1" outlineLevel="5" spans="2:66">
      <c r="B438" s="125" t="s">
        <v>792</v>
      </c>
      <c r="C438" s="126" t="s">
        <v>1775</v>
      </c>
      <c r="D438" s="124" t="s">
        <v>1776</v>
      </c>
      <c r="E438" s="125"/>
      <c r="F438" s="125" t="s">
        <v>1618</v>
      </c>
      <c r="G438" s="125" t="s">
        <v>936</v>
      </c>
      <c r="H438" s="125">
        <f t="shared" si="821"/>
        <v>0</v>
      </c>
      <c r="I438" s="125" t="s">
        <v>1235</v>
      </c>
      <c r="J438" s="304"/>
      <c r="K438" s="125" t="s">
        <v>1770</v>
      </c>
      <c r="L438" s="125">
        <v>2800</v>
      </c>
      <c r="M438" s="125" t="s">
        <v>1144</v>
      </c>
      <c r="N438" s="125">
        <f t="shared" si="807"/>
        <v>0</v>
      </c>
      <c r="O438" s="304"/>
      <c r="P438" s="304"/>
      <c r="Q438" s="304"/>
      <c r="R438" s="304"/>
      <c r="S438" s="304"/>
      <c r="T438" s="304"/>
      <c r="U438" s="304"/>
      <c r="V438" s="304"/>
      <c r="W438" s="304"/>
      <c r="X438" s="304"/>
      <c r="Y438" s="304"/>
      <c r="Z438" s="304"/>
      <c r="AA438" s="125"/>
      <c r="AB438" s="125">
        <f t="shared" si="808"/>
        <v>0</v>
      </c>
      <c r="AC438" s="125">
        <f t="shared" si="809"/>
        <v>0</v>
      </c>
      <c r="AD438" s="125"/>
      <c r="AE438" s="125"/>
      <c r="AF438" s="125">
        <f t="shared" si="810"/>
        <v>0</v>
      </c>
      <c r="AG438" s="125"/>
      <c r="AH438" s="125"/>
      <c r="AI438" s="125">
        <f t="shared" si="811"/>
        <v>0</v>
      </c>
      <c r="AJ438" s="125"/>
      <c r="AK438" s="125"/>
      <c r="AL438" s="125">
        <f t="shared" si="812"/>
        <v>0</v>
      </c>
      <c r="AM438" s="125"/>
      <c r="AN438" s="125"/>
      <c r="AO438" s="125">
        <f t="shared" si="813"/>
        <v>0</v>
      </c>
      <c r="AP438" s="125"/>
      <c r="AQ438" s="125"/>
      <c r="AR438" s="125">
        <f t="shared" si="814"/>
        <v>0</v>
      </c>
      <c r="AS438" s="125"/>
      <c r="AT438" s="125"/>
      <c r="AU438" s="125">
        <f t="shared" si="815"/>
        <v>0</v>
      </c>
      <c r="AV438" s="125"/>
      <c r="AW438" s="125"/>
      <c r="AX438" s="125">
        <f t="shared" si="816"/>
        <v>0</v>
      </c>
      <c r="AY438" s="125"/>
      <c r="AZ438" s="125"/>
      <c r="BA438" s="125">
        <f t="shared" si="817"/>
        <v>0</v>
      </c>
      <c r="BB438" s="125"/>
      <c r="BC438" s="125"/>
      <c r="BD438" s="125">
        <f t="shared" si="818"/>
        <v>0</v>
      </c>
      <c r="BE438" s="125"/>
      <c r="BF438" s="125"/>
      <c r="BG438" s="125">
        <f t="shared" si="819"/>
        <v>0</v>
      </c>
      <c r="BH438" s="125"/>
      <c r="BI438" s="125"/>
      <c r="BJ438" s="125">
        <f t="shared" si="820"/>
        <v>0</v>
      </c>
      <c r="BK438" s="125"/>
      <c r="BL438" s="312"/>
      <c r="BM438" s="317"/>
      <c r="BN438" s="320"/>
    </row>
    <row r="439" s="124" customFormat="1" ht="33.95" hidden="1" customHeight="1" outlineLevel="5" spans="2:66">
      <c r="B439" s="125" t="s">
        <v>792</v>
      </c>
      <c r="C439" s="126" t="s">
        <v>1775</v>
      </c>
      <c r="D439" s="124" t="s">
        <v>1777</v>
      </c>
      <c r="E439" s="125" t="s">
        <v>1778</v>
      </c>
      <c r="F439" s="125" t="s">
        <v>1618</v>
      </c>
      <c r="G439" s="125" t="s">
        <v>936</v>
      </c>
      <c r="H439" s="125">
        <f t="shared" si="821"/>
        <v>0</v>
      </c>
      <c r="I439" s="125" t="s">
        <v>1235</v>
      </c>
      <c r="J439" s="304"/>
      <c r="K439" s="125" t="s">
        <v>1770</v>
      </c>
      <c r="L439" s="125">
        <v>6000</v>
      </c>
      <c r="M439" s="125" t="s">
        <v>1763</v>
      </c>
      <c r="N439" s="125">
        <f t="shared" si="807"/>
        <v>0</v>
      </c>
      <c r="O439" s="322"/>
      <c r="P439" s="322"/>
      <c r="Q439" s="322"/>
      <c r="R439" s="322"/>
      <c r="S439" s="322"/>
      <c r="T439" s="322"/>
      <c r="U439" s="322"/>
      <c r="V439" s="322"/>
      <c r="W439" s="322"/>
      <c r="X439" s="322"/>
      <c r="Y439" s="322"/>
      <c r="Z439" s="322"/>
      <c r="AA439" s="125"/>
      <c r="AB439" s="125">
        <f t="shared" si="808"/>
        <v>0</v>
      </c>
      <c r="AC439" s="125">
        <f t="shared" si="809"/>
        <v>0</v>
      </c>
      <c r="AD439" s="125"/>
      <c r="AE439" s="125"/>
      <c r="AF439" s="125">
        <f t="shared" si="810"/>
        <v>0</v>
      </c>
      <c r="AG439" s="125"/>
      <c r="AH439" s="125"/>
      <c r="AI439" s="125">
        <f t="shared" si="811"/>
        <v>0</v>
      </c>
      <c r="AJ439" s="125"/>
      <c r="AK439" s="125"/>
      <c r="AL439" s="125">
        <f t="shared" si="812"/>
        <v>0</v>
      </c>
      <c r="AM439" s="125"/>
      <c r="AN439" s="125"/>
      <c r="AO439" s="125">
        <f t="shared" si="813"/>
        <v>0</v>
      </c>
      <c r="AP439" s="125"/>
      <c r="AQ439" s="125"/>
      <c r="AR439" s="125">
        <f t="shared" si="814"/>
        <v>0</v>
      </c>
      <c r="AS439" s="125"/>
      <c r="AT439" s="125"/>
      <c r="AU439" s="125">
        <f t="shared" si="815"/>
        <v>0</v>
      </c>
      <c r="AV439" s="125"/>
      <c r="AW439" s="125"/>
      <c r="AX439" s="125">
        <f t="shared" si="816"/>
        <v>0</v>
      </c>
      <c r="AY439" s="125"/>
      <c r="AZ439" s="125"/>
      <c r="BA439" s="125">
        <f t="shared" si="817"/>
        <v>0</v>
      </c>
      <c r="BB439" s="125"/>
      <c r="BC439" s="125"/>
      <c r="BD439" s="125">
        <f t="shared" si="818"/>
        <v>0</v>
      </c>
      <c r="BE439" s="125"/>
      <c r="BF439" s="125"/>
      <c r="BG439" s="125">
        <f t="shared" si="819"/>
        <v>0</v>
      </c>
      <c r="BH439" s="125"/>
      <c r="BI439" s="125"/>
      <c r="BJ439" s="125">
        <f t="shared" si="820"/>
        <v>0</v>
      </c>
      <c r="BK439" s="125"/>
      <c r="BL439" s="312"/>
      <c r="BM439" s="317"/>
      <c r="BN439" s="320"/>
    </row>
    <row r="440" s="43" customFormat="1" ht="33.95" hidden="1" customHeight="1" outlineLevel="3" spans="2:66">
      <c r="B440" s="121" t="s">
        <v>787</v>
      </c>
      <c r="C440" s="122" t="s">
        <v>1779</v>
      </c>
      <c r="D440" s="43" t="s">
        <v>1780</v>
      </c>
      <c r="E440" s="121"/>
      <c r="F440" s="121"/>
      <c r="G440" s="121"/>
      <c r="H440" s="121">
        <f>SUM(H441:H445)</f>
        <v>0</v>
      </c>
      <c r="I440" s="121"/>
      <c r="J440" s="121"/>
      <c r="K440" s="121"/>
      <c r="L440" s="121"/>
      <c r="M440" s="121"/>
      <c r="N440" s="311"/>
      <c r="O440" s="294"/>
      <c r="P440" s="294"/>
      <c r="Q440" s="294"/>
      <c r="R440" s="294"/>
      <c r="S440" s="294"/>
      <c r="T440" s="294"/>
      <c r="U440" s="294"/>
      <c r="V440" s="294"/>
      <c r="W440" s="294"/>
      <c r="X440" s="294"/>
      <c r="Y440" s="294"/>
      <c r="Z440" s="294"/>
      <c r="AA440" s="294"/>
      <c r="AB440" s="121">
        <f t="shared" ref="AB440:AF440" si="822">SUM(AB441:AB445)</f>
        <v>0</v>
      </c>
      <c r="AC440" s="121">
        <f t="shared" si="822"/>
        <v>0</v>
      </c>
      <c r="AD440" s="121"/>
      <c r="AE440" s="121"/>
      <c r="AF440" s="121">
        <f t="shared" si="822"/>
        <v>0</v>
      </c>
      <c r="AG440" s="121"/>
      <c r="AH440" s="121"/>
      <c r="AI440" s="121">
        <f>SUM(AI441:AI445)</f>
        <v>0</v>
      </c>
      <c r="AJ440" s="121"/>
      <c r="AK440" s="121"/>
      <c r="AL440" s="121">
        <f>SUM(AL441:AL445)</f>
        <v>0</v>
      </c>
      <c r="AM440" s="121"/>
      <c r="AN440" s="121"/>
      <c r="AO440" s="121">
        <f>SUM(AO441:AO445)</f>
        <v>0</v>
      </c>
      <c r="AP440" s="121"/>
      <c r="AQ440" s="121"/>
      <c r="AR440" s="121">
        <f>SUM(AR441:AR445)</f>
        <v>0</v>
      </c>
      <c r="AS440" s="121"/>
      <c r="AT440" s="121"/>
      <c r="AU440" s="121">
        <f>SUM(AU441:AU445)</f>
        <v>0</v>
      </c>
      <c r="AV440" s="121"/>
      <c r="AW440" s="121"/>
      <c r="AX440" s="121">
        <f>SUM(AX441:AX445)</f>
        <v>0</v>
      </c>
      <c r="AY440" s="121"/>
      <c r="AZ440" s="121"/>
      <c r="BA440" s="121">
        <f>SUM(BA441:BA445)</f>
        <v>0</v>
      </c>
      <c r="BB440" s="121"/>
      <c r="BC440" s="121"/>
      <c r="BD440" s="121">
        <f>SUM(BD441:BD445)</f>
        <v>0</v>
      </c>
      <c r="BE440" s="121"/>
      <c r="BF440" s="121"/>
      <c r="BG440" s="121">
        <f>SUM(BG441:BG445)</f>
        <v>0</v>
      </c>
      <c r="BH440" s="121"/>
      <c r="BI440" s="121"/>
      <c r="BJ440" s="121">
        <f>SUM(BJ441:BJ445)</f>
        <v>0</v>
      </c>
      <c r="BK440" s="121"/>
      <c r="BL440" s="311"/>
      <c r="BM440" s="317"/>
      <c r="BN440" s="319"/>
    </row>
    <row r="441" s="124" customFormat="1" ht="33.95" hidden="1" customHeight="1" outlineLevel="4" spans="2:66">
      <c r="B441" s="125" t="s">
        <v>792</v>
      </c>
      <c r="C441" s="126" t="s">
        <v>1781</v>
      </c>
      <c r="D441" s="124" t="s">
        <v>1782</v>
      </c>
      <c r="E441" s="125"/>
      <c r="F441" s="125" t="s">
        <v>1618</v>
      </c>
      <c r="G441" s="125" t="s">
        <v>936</v>
      </c>
      <c r="H441" s="125">
        <f t="shared" ref="H441:H445" si="823">J441*L441</f>
        <v>0</v>
      </c>
      <c r="I441" s="125" t="s">
        <v>1235</v>
      </c>
      <c r="J441" s="304"/>
      <c r="K441" s="125" t="s">
        <v>1389</v>
      </c>
      <c r="L441" s="125">
        <v>23.9300583657588</v>
      </c>
      <c r="M441" s="125" t="s">
        <v>1668</v>
      </c>
      <c r="N441" s="125">
        <f t="shared" ref="N441:N445" si="824">COUNTA(O441:Z441)</f>
        <v>0</v>
      </c>
      <c r="O441" s="323"/>
      <c r="P441" s="323"/>
      <c r="Q441" s="323"/>
      <c r="R441" s="323"/>
      <c r="S441" s="323"/>
      <c r="T441" s="323"/>
      <c r="U441" s="323"/>
      <c r="V441" s="323"/>
      <c r="W441" s="323"/>
      <c r="X441" s="323"/>
      <c r="Y441" s="323"/>
      <c r="Z441" s="323"/>
      <c r="AA441" s="125"/>
      <c r="AB441" s="125">
        <f>SUM(AC441,AF441,AI441,AL441,AO441,AR441,AU441,AX441,BA441,BD441,BG441,BJ441)</f>
        <v>0</v>
      </c>
      <c r="AC441" s="125">
        <f>IF(O441="√",$J441*$L441/$N441,0)</f>
        <v>0</v>
      </c>
      <c r="AD441" s="125"/>
      <c r="AE441" s="125"/>
      <c r="AF441" s="125">
        <f>IF(P441="√",$J441*$L441/$N441,0)</f>
        <v>0</v>
      </c>
      <c r="AG441" s="125"/>
      <c r="AH441" s="125"/>
      <c r="AI441" s="125">
        <f>IF(Q441="√",$J441*$L441/$N441,0)</f>
        <v>0</v>
      </c>
      <c r="AJ441" s="125"/>
      <c r="AK441" s="125"/>
      <c r="AL441" s="125">
        <f>IF(R441="√",$J441*$L441/$N441,0)</f>
        <v>0</v>
      </c>
      <c r="AM441" s="125"/>
      <c r="AN441" s="125"/>
      <c r="AO441" s="125">
        <f>IF(S441="√",$J441*$L441/$N441,0)</f>
        <v>0</v>
      </c>
      <c r="AP441" s="125"/>
      <c r="AQ441" s="125"/>
      <c r="AR441" s="125">
        <f>IF(T441="√",$J441*$L441/$N441,0)</f>
        <v>0</v>
      </c>
      <c r="AS441" s="125"/>
      <c r="AT441" s="125"/>
      <c r="AU441" s="125">
        <f>IF(U441="√",$J441*$L441/$N441,0)</f>
        <v>0</v>
      </c>
      <c r="AV441" s="125"/>
      <c r="AW441" s="125"/>
      <c r="AX441" s="125">
        <f>IF(V441="√",$J441*$L441/$N441,0)</f>
        <v>0</v>
      </c>
      <c r="AY441" s="125"/>
      <c r="AZ441" s="125"/>
      <c r="BA441" s="125">
        <f>IF(W441="√",$J441*$L441/$N441,0)</f>
        <v>0</v>
      </c>
      <c r="BB441" s="125"/>
      <c r="BC441" s="125"/>
      <c r="BD441" s="125">
        <f>IF(X441="√",$J441*$L441/$N441,0)</f>
        <v>0</v>
      </c>
      <c r="BE441" s="125"/>
      <c r="BF441" s="125"/>
      <c r="BG441" s="125">
        <f>IF(Y441="√",$J441*$L441/$N441,0)</f>
        <v>0</v>
      </c>
      <c r="BH441" s="125"/>
      <c r="BI441" s="125"/>
      <c r="BJ441" s="125">
        <f>IF(Z441="√",$J441*$L441/$N441,0)</f>
        <v>0</v>
      </c>
      <c r="BK441" s="125"/>
      <c r="BL441" s="312"/>
      <c r="BM441" s="317"/>
      <c r="BN441" s="320"/>
    </row>
    <row r="442" s="124" customFormat="1" ht="33.95" hidden="1" customHeight="1" outlineLevel="4" spans="2:66">
      <c r="B442" s="125" t="s">
        <v>792</v>
      </c>
      <c r="C442" s="126" t="s">
        <v>1783</v>
      </c>
      <c r="D442" s="124" t="s">
        <v>1784</v>
      </c>
      <c r="E442" s="125" t="s">
        <v>1785</v>
      </c>
      <c r="F442" s="125" t="s">
        <v>1618</v>
      </c>
      <c r="G442" s="125" t="s">
        <v>936</v>
      </c>
      <c r="H442" s="125">
        <f t="shared" si="823"/>
        <v>0</v>
      </c>
      <c r="I442" s="125" t="s">
        <v>1235</v>
      </c>
      <c r="J442" s="304"/>
      <c r="K442" s="125" t="s">
        <v>1389</v>
      </c>
      <c r="L442" s="125">
        <v>130</v>
      </c>
      <c r="M442" s="125" t="s">
        <v>1668</v>
      </c>
      <c r="N442" s="125">
        <f t="shared" si="824"/>
        <v>0</v>
      </c>
      <c r="O442" s="304"/>
      <c r="P442" s="304"/>
      <c r="Q442" s="304"/>
      <c r="R442" s="304"/>
      <c r="S442" s="304"/>
      <c r="T442" s="304"/>
      <c r="U442" s="304"/>
      <c r="V442" s="304"/>
      <c r="W442" s="304"/>
      <c r="X442" s="304"/>
      <c r="Y442" s="304"/>
      <c r="Z442" s="304"/>
      <c r="AA442" s="125"/>
      <c r="AB442" s="125">
        <f>SUM(AC442,AF442,AI442,AL442,AO442,AR442,AU442,AX442,BA442,BD442,BG442,BJ442)</f>
        <v>0</v>
      </c>
      <c r="AC442" s="125">
        <f>IF(O442="√",$J442*$L442/$N442,0)</f>
        <v>0</v>
      </c>
      <c r="AD442" s="125"/>
      <c r="AE442" s="125"/>
      <c r="AF442" s="125">
        <f>IF(P442="√",$J442*$L442/$N442,0)</f>
        <v>0</v>
      </c>
      <c r="AG442" s="125"/>
      <c r="AH442" s="125"/>
      <c r="AI442" s="125">
        <f>IF(Q442="√",$J442*$L442/$N442,0)</f>
        <v>0</v>
      </c>
      <c r="AJ442" s="125"/>
      <c r="AK442" s="125"/>
      <c r="AL442" s="125">
        <f>IF(R442="√",$J442*$L442/$N442,0)</f>
        <v>0</v>
      </c>
      <c r="AM442" s="125"/>
      <c r="AN442" s="125"/>
      <c r="AO442" s="125">
        <f>IF(S442="√",$J442*$L442/$N442,0)</f>
        <v>0</v>
      </c>
      <c r="AP442" s="125"/>
      <c r="AQ442" s="125"/>
      <c r="AR442" s="125">
        <f>IF(T442="√",$J442*$L442/$N442,0)</f>
        <v>0</v>
      </c>
      <c r="AS442" s="125"/>
      <c r="AT442" s="125"/>
      <c r="AU442" s="125">
        <f>IF(U442="√",$J442*$L442/$N442,0)</f>
        <v>0</v>
      </c>
      <c r="AV442" s="125"/>
      <c r="AW442" s="125"/>
      <c r="AX442" s="125">
        <f>IF(V442="√",$J442*$L442/$N442,0)</f>
        <v>0</v>
      </c>
      <c r="AY442" s="125"/>
      <c r="AZ442" s="125"/>
      <c r="BA442" s="125">
        <f>IF(W442="√",$J442*$L442/$N442,0)</f>
        <v>0</v>
      </c>
      <c r="BB442" s="125"/>
      <c r="BC442" s="125"/>
      <c r="BD442" s="125">
        <f>IF(X442="√",$J442*$L442/$N442,0)</f>
        <v>0</v>
      </c>
      <c r="BE442" s="125"/>
      <c r="BF442" s="125"/>
      <c r="BG442" s="125">
        <f>IF(Y442="√",$J442*$L442/$N442,0)</f>
        <v>0</v>
      </c>
      <c r="BH442" s="125"/>
      <c r="BI442" s="125"/>
      <c r="BJ442" s="125">
        <f>IF(Z442="√",$J442*$L442/$N442,0)</f>
        <v>0</v>
      </c>
      <c r="BK442" s="125"/>
      <c r="BL442" s="312"/>
      <c r="BM442" s="317"/>
      <c r="BN442" s="320"/>
    </row>
    <row r="443" s="124" customFormat="1" ht="33.95" hidden="1" customHeight="1" outlineLevel="4" spans="2:66">
      <c r="B443" s="125" t="s">
        <v>792</v>
      </c>
      <c r="C443" s="126" t="s">
        <v>1786</v>
      </c>
      <c r="D443" s="124" t="s">
        <v>1787</v>
      </c>
      <c r="E443" s="125"/>
      <c r="F443" s="125" t="s">
        <v>1618</v>
      </c>
      <c r="G443" s="125" t="s">
        <v>936</v>
      </c>
      <c r="H443" s="125">
        <f t="shared" si="823"/>
        <v>0</v>
      </c>
      <c r="I443" s="125" t="s">
        <v>1235</v>
      </c>
      <c r="J443" s="304"/>
      <c r="K443" s="125" t="s">
        <v>1389</v>
      </c>
      <c r="L443" s="125">
        <v>28.7562388818298</v>
      </c>
      <c r="M443" s="125" t="s">
        <v>1668</v>
      </c>
      <c r="N443" s="125">
        <f t="shared" si="824"/>
        <v>0</v>
      </c>
      <c r="O443" s="304"/>
      <c r="P443" s="304"/>
      <c r="Q443" s="304"/>
      <c r="R443" s="304"/>
      <c r="S443" s="304"/>
      <c r="T443" s="304"/>
      <c r="U443" s="304"/>
      <c r="V443" s="304"/>
      <c r="W443" s="304"/>
      <c r="X443" s="304"/>
      <c r="Y443" s="304"/>
      <c r="Z443" s="304"/>
      <c r="AA443" s="125"/>
      <c r="AB443" s="125">
        <f>SUM(AC443,AF443,AI443,AL443,AO443,AR443,AU443,AX443,BA443,BD443,BG443,BJ443)</f>
        <v>0</v>
      </c>
      <c r="AC443" s="125">
        <f>IF(O443="√",$J443*$L443/$N443,0)</f>
        <v>0</v>
      </c>
      <c r="AD443" s="125"/>
      <c r="AE443" s="125"/>
      <c r="AF443" s="125">
        <f>IF(P443="√",$J443*$L443/$N443,0)</f>
        <v>0</v>
      </c>
      <c r="AG443" s="125"/>
      <c r="AH443" s="125"/>
      <c r="AI443" s="125">
        <f>IF(Q443="√",$J443*$L443/$N443,0)</f>
        <v>0</v>
      </c>
      <c r="AJ443" s="125"/>
      <c r="AK443" s="125"/>
      <c r="AL443" s="125">
        <f>IF(R443="√",$J443*$L443/$N443,0)</f>
        <v>0</v>
      </c>
      <c r="AM443" s="125"/>
      <c r="AN443" s="125"/>
      <c r="AO443" s="125">
        <f>IF(S443="√",$J443*$L443/$N443,0)</f>
        <v>0</v>
      </c>
      <c r="AP443" s="125"/>
      <c r="AQ443" s="125"/>
      <c r="AR443" s="125">
        <f>IF(T443="√",$J443*$L443/$N443,0)</f>
        <v>0</v>
      </c>
      <c r="AS443" s="125"/>
      <c r="AT443" s="125"/>
      <c r="AU443" s="125">
        <f>IF(U443="√",$J443*$L443/$N443,0)</f>
        <v>0</v>
      </c>
      <c r="AV443" s="125"/>
      <c r="AW443" s="125"/>
      <c r="AX443" s="125">
        <f>IF(V443="√",$J443*$L443/$N443,0)</f>
        <v>0</v>
      </c>
      <c r="AY443" s="125"/>
      <c r="AZ443" s="125"/>
      <c r="BA443" s="125">
        <f>IF(W443="√",$J443*$L443/$N443,0)</f>
        <v>0</v>
      </c>
      <c r="BB443" s="125"/>
      <c r="BC443" s="125"/>
      <c r="BD443" s="125">
        <f>IF(X443="√",$J443*$L443/$N443,0)</f>
        <v>0</v>
      </c>
      <c r="BE443" s="125"/>
      <c r="BF443" s="125"/>
      <c r="BG443" s="125">
        <f>IF(Y443="√",$J443*$L443/$N443,0)</f>
        <v>0</v>
      </c>
      <c r="BH443" s="125"/>
      <c r="BI443" s="125"/>
      <c r="BJ443" s="125">
        <f>IF(Z443="√",$J443*$L443/$N443,0)</f>
        <v>0</v>
      </c>
      <c r="BK443" s="125"/>
      <c r="BL443" s="312"/>
      <c r="BM443" s="317"/>
      <c r="BN443" s="320"/>
    </row>
    <row r="444" s="124" customFormat="1" ht="33.95" hidden="1" customHeight="1" outlineLevel="4" spans="2:66">
      <c r="B444" s="125" t="s">
        <v>792</v>
      </c>
      <c r="C444" s="126" t="s">
        <v>1788</v>
      </c>
      <c r="D444" s="124" t="s">
        <v>1789</v>
      </c>
      <c r="E444" s="125"/>
      <c r="F444" s="125" t="s">
        <v>1618</v>
      </c>
      <c r="G444" s="125" t="s">
        <v>936</v>
      </c>
      <c r="H444" s="125">
        <f t="shared" si="823"/>
        <v>0</v>
      </c>
      <c r="I444" s="125" t="s">
        <v>1235</v>
      </c>
      <c r="J444" s="304"/>
      <c r="K444" s="125" t="s">
        <v>1389</v>
      </c>
      <c r="L444" s="125">
        <v>20.8170650529501</v>
      </c>
      <c r="M444" s="125" t="s">
        <v>1668</v>
      </c>
      <c r="N444" s="125">
        <f t="shared" si="824"/>
        <v>0</v>
      </c>
      <c r="O444" s="304"/>
      <c r="P444" s="304"/>
      <c r="Q444" s="304"/>
      <c r="R444" s="304"/>
      <c r="S444" s="304"/>
      <c r="T444" s="304"/>
      <c r="U444" s="304"/>
      <c r="V444" s="304"/>
      <c r="W444" s="304"/>
      <c r="X444" s="304"/>
      <c r="Y444" s="304"/>
      <c r="Z444" s="304"/>
      <c r="AA444" s="125"/>
      <c r="AB444" s="125">
        <f>SUM(AC444,AF444,AI444,AL444,AO444,AR444,AU444,AX444,BA444,BD444,BG444,BJ444)</f>
        <v>0</v>
      </c>
      <c r="AC444" s="125">
        <f>IF(O444="√",$J444*$L444/$N444,0)</f>
        <v>0</v>
      </c>
      <c r="AD444" s="125"/>
      <c r="AE444" s="125"/>
      <c r="AF444" s="125">
        <f>IF(P444="√",$J444*$L444/$N444,0)</f>
        <v>0</v>
      </c>
      <c r="AG444" s="125"/>
      <c r="AH444" s="125"/>
      <c r="AI444" s="125">
        <f>IF(Q444="√",$J444*$L444/$N444,0)</f>
        <v>0</v>
      </c>
      <c r="AJ444" s="125"/>
      <c r="AK444" s="125"/>
      <c r="AL444" s="125">
        <f>IF(R444="√",$J444*$L444/$N444,0)</f>
        <v>0</v>
      </c>
      <c r="AM444" s="125"/>
      <c r="AN444" s="125"/>
      <c r="AO444" s="125">
        <f>IF(S444="√",$J444*$L444/$N444,0)</f>
        <v>0</v>
      </c>
      <c r="AP444" s="125"/>
      <c r="AQ444" s="125"/>
      <c r="AR444" s="125">
        <f>IF(T444="√",$J444*$L444/$N444,0)</f>
        <v>0</v>
      </c>
      <c r="AS444" s="125"/>
      <c r="AT444" s="125"/>
      <c r="AU444" s="125">
        <f>IF(U444="√",$J444*$L444/$N444,0)</f>
        <v>0</v>
      </c>
      <c r="AV444" s="125"/>
      <c r="AW444" s="125"/>
      <c r="AX444" s="125">
        <f>IF(V444="√",$J444*$L444/$N444,0)</f>
        <v>0</v>
      </c>
      <c r="AY444" s="125"/>
      <c r="AZ444" s="125"/>
      <c r="BA444" s="125">
        <f>IF(W444="√",$J444*$L444/$N444,0)</f>
        <v>0</v>
      </c>
      <c r="BB444" s="125"/>
      <c r="BC444" s="125"/>
      <c r="BD444" s="125">
        <f>IF(X444="√",$J444*$L444/$N444,0)</f>
        <v>0</v>
      </c>
      <c r="BE444" s="125"/>
      <c r="BF444" s="125"/>
      <c r="BG444" s="125">
        <f>IF(Y444="√",$J444*$L444/$N444,0)</f>
        <v>0</v>
      </c>
      <c r="BH444" s="125"/>
      <c r="BI444" s="125"/>
      <c r="BJ444" s="125">
        <f>IF(Z444="√",$J444*$L444/$N444,0)</f>
        <v>0</v>
      </c>
      <c r="BK444" s="125"/>
      <c r="BL444" s="312"/>
      <c r="BM444" s="317"/>
      <c r="BN444" s="320"/>
    </row>
    <row r="445" s="124" customFormat="1" ht="33.95" hidden="1" customHeight="1" outlineLevel="4" spans="2:66">
      <c r="B445" s="125" t="s">
        <v>792</v>
      </c>
      <c r="C445" s="126" t="s">
        <v>1790</v>
      </c>
      <c r="D445" s="124" t="s">
        <v>1791</v>
      </c>
      <c r="E445" s="125"/>
      <c r="F445" s="125" t="s">
        <v>1618</v>
      </c>
      <c r="G445" s="125" t="s">
        <v>936</v>
      </c>
      <c r="H445" s="125">
        <f t="shared" si="823"/>
        <v>0</v>
      </c>
      <c r="I445" s="125" t="s">
        <v>1235</v>
      </c>
      <c r="J445" s="304"/>
      <c r="K445" s="125" t="s">
        <v>1143</v>
      </c>
      <c r="L445" s="125">
        <v>260</v>
      </c>
      <c r="M445" s="125" t="s">
        <v>1763</v>
      </c>
      <c r="N445" s="125">
        <f t="shared" si="824"/>
        <v>0</v>
      </c>
      <c r="O445" s="322"/>
      <c r="P445" s="322"/>
      <c r="Q445" s="322"/>
      <c r="R445" s="322"/>
      <c r="S445" s="322"/>
      <c r="T445" s="322"/>
      <c r="U445" s="322"/>
      <c r="V445" s="322"/>
      <c r="W445" s="322"/>
      <c r="X445" s="322"/>
      <c r="Y445" s="322"/>
      <c r="Z445" s="322"/>
      <c r="AA445" s="125"/>
      <c r="AB445" s="125">
        <f>SUM(AC445,AF445,AI445,AL445,AO445,AR445,AU445,AX445,BA445,BD445,BG445,BJ445)</f>
        <v>0</v>
      </c>
      <c r="AC445" s="125">
        <f>IF(O445="√",$J445*$L445/$N445,0)</f>
        <v>0</v>
      </c>
      <c r="AD445" s="125"/>
      <c r="AE445" s="125"/>
      <c r="AF445" s="125">
        <f>IF(P445="√",$J445*$L445/$N445,0)</f>
        <v>0</v>
      </c>
      <c r="AG445" s="125"/>
      <c r="AH445" s="125"/>
      <c r="AI445" s="125">
        <f>IF(Q445="√",$J445*$L445/$N445,0)</f>
        <v>0</v>
      </c>
      <c r="AJ445" s="125"/>
      <c r="AK445" s="125"/>
      <c r="AL445" s="125">
        <f>IF(R445="√",$J445*$L445/$N445,0)</f>
        <v>0</v>
      </c>
      <c r="AM445" s="125"/>
      <c r="AN445" s="125"/>
      <c r="AO445" s="125">
        <f>IF(S445="√",$J445*$L445/$N445,0)</f>
        <v>0</v>
      </c>
      <c r="AP445" s="125"/>
      <c r="AQ445" s="125"/>
      <c r="AR445" s="125">
        <f>IF(T445="√",$J445*$L445/$N445,0)</f>
        <v>0</v>
      </c>
      <c r="AS445" s="125"/>
      <c r="AT445" s="125"/>
      <c r="AU445" s="125">
        <f>IF(U445="√",$J445*$L445/$N445,0)</f>
        <v>0</v>
      </c>
      <c r="AV445" s="125"/>
      <c r="AW445" s="125"/>
      <c r="AX445" s="125">
        <f>IF(V445="√",$J445*$L445/$N445,0)</f>
        <v>0</v>
      </c>
      <c r="AY445" s="125"/>
      <c r="AZ445" s="125"/>
      <c r="BA445" s="125">
        <f>IF(W445="√",$J445*$L445/$N445,0)</f>
        <v>0</v>
      </c>
      <c r="BB445" s="125"/>
      <c r="BC445" s="125"/>
      <c r="BD445" s="125">
        <f>IF(X445="√",$J445*$L445/$N445,0)</f>
        <v>0</v>
      </c>
      <c r="BE445" s="125"/>
      <c r="BF445" s="125"/>
      <c r="BG445" s="125">
        <f>IF(Y445="√",$J445*$L445/$N445,0)</f>
        <v>0</v>
      </c>
      <c r="BH445" s="125"/>
      <c r="BI445" s="125"/>
      <c r="BJ445" s="125">
        <f>IF(Z445="√",$J445*$L445/$N445,0)</f>
        <v>0</v>
      </c>
      <c r="BK445" s="125"/>
      <c r="BL445" s="312"/>
      <c r="BM445" s="317"/>
      <c r="BN445" s="320"/>
    </row>
    <row r="446" s="43" customFormat="1" ht="33.95" hidden="1" customHeight="1" outlineLevel="3" spans="2:66">
      <c r="B446" s="121" t="s">
        <v>787</v>
      </c>
      <c r="C446" s="122" t="s">
        <v>1792</v>
      </c>
      <c r="D446" s="43" t="s">
        <v>1793</v>
      </c>
      <c r="E446" s="121"/>
      <c r="F446" s="121"/>
      <c r="G446" s="121"/>
      <c r="H446" s="121">
        <f>SUM(H447:H460)</f>
        <v>0</v>
      </c>
      <c r="I446" s="121"/>
      <c r="J446" s="121"/>
      <c r="K446" s="121"/>
      <c r="L446" s="121"/>
      <c r="M446" s="121"/>
      <c r="N446" s="311"/>
      <c r="O446" s="294"/>
      <c r="P446" s="294"/>
      <c r="Q446" s="294"/>
      <c r="R446" s="294"/>
      <c r="S446" s="294"/>
      <c r="T446" s="294"/>
      <c r="U446" s="294"/>
      <c r="V446" s="294"/>
      <c r="W446" s="294"/>
      <c r="X446" s="294"/>
      <c r="Y446" s="294"/>
      <c r="Z446" s="294"/>
      <c r="AA446" s="294"/>
      <c r="AB446" s="121">
        <f>SUM(AB447:AB460)</f>
        <v>0</v>
      </c>
      <c r="AC446" s="121">
        <f>SUM(AC447:AC460)</f>
        <v>0</v>
      </c>
      <c r="AD446" s="121"/>
      <c r="AE446" s="121"/>
      <c r="AF446" s="121">
        <f>SUM(AF447:AF460)</f>
        <v>0</v>
      </c>
      <c r="AG446" s="121"/>
      <c r="AH446" s="121"/>
      <c r="AI446" s="121">
        <f>SUM(AI447:AI460)</f>
        <v>0</v>
      </c>
      <c r="AJ446" s="121"/>
      <c r="AK446" s="121"/>
      <c r="AL446" s="121">
        <f>SUM(AL447:AL460)</f>
        <v>0</v>
      </c>
      <c r="AM446" s="121"/>
      <c r="AN446" s="121"/>
      <c r="AO446" s="121">
        <f>SUM(AO447:AO460)</f>
        <v>0</v>
      </c>
      <c r="AP446" s="121"/>
      <c r="AQ446" s="121"/>
      <c r="AR446" s="121">
        <f>SUM(AR447:AR460)</f>
        <v>0</v>
      </c>
      <c r="AS446" s="121"/>
      <c r="AT446" s="121"/>
      <c r="AU446" s="121">
        <f>SUM(AU447:AU460)</f>
        <v>0</v>
      </c>
      <c r="AV446" s="121"/>
      <c r="AW446" s="121"/>
      <c r="AX446" s="121">
        <f>SUM(AX447:AX460)</f>
        <v>0</v>
      </c>
      <c r="AY446" s="121"/>
      <c r="AZ446" s="121"/>
      <c r="BA446" s="121">
        <f>SUM(BA447:BA460)</f>
        <v>0</v>
      </c>
      <c r="BB446" s="121"/>
      <c r="BC446" s="121"/>
      <c r="BD446" s="121">
        <f>SUM(BD447:BD460)</f>
        <v>0</v>
      </c>
      <c r="BE446" s="121"/>
      <c r="BF446" s="121"/>
      <c r="BG446" s="121">
        <f>SUM(BG447:BG460)</f>
        <v>0</v>
      </c>
      <c r="BH446" s="121"/>
      <c r="BI446" s="121"/>
      <c r="BJ446" s="121">
        <f>SUM(BJ447:BJ460)</f>
        <v>0</v>
      </c>
      <c r="BK446" s="121"/>
      <c r="BL446" s="311"/>
      <c r="BM446" s="317"/>
      <c r="BN446" s="319"/>
    </row>
    <row r="447" s="124" customFormat="1" ht="33.95" hidden="1" customHeight="1" outlineLevel="5" spans="2:66">
      <c r="B447" s="125" t="s">
        <v>792</v>
      </c>
      <c r="C447" s="126" t="s">
        <v>1794</v>
      </c>
      <c r="D447" s="124" t="s">
        <v>1795</v>
      </c>
      <c r="E447" s="125" t="s">
        <v>1796</v>
      </c>
      <c r="F447" s="125" t="s">
        <v>1618</v>
      </c>
      <c r="G447" s="125" t="s">
        <v>936</v>
      </c>
      <c r="H447" s="125">
        <f t="shared" ref="H447:H459" si="825">J447*L447</f>
        <v>0</v>
      </c>
      <c r="I447" s="125" t="s">
        <v>1235</v>
      </c>
      <c r="J447" s="304"/>
      <c r="K447" s="125" t="s">
        <v>1797</v>
      </c>
      <c r="L447" s="125">
        <v>48</v>
      </c>
      <c r="M447" s="125" t="s">
        <v>1798</v>
      </c>
      <c r="N447" s="125">
        <f t="shared" ref="N447:N459" si="826">COUNTA(O447:Z447)</f>
        <v>0</v>
      </c>
      <c r="O447" s="323"/>
      <c r="P447" s="323"/>
      <c r="Q447" s="323"/>
      <c r="R447" s="323"/>
      <c r="S447" s="323"/>
      <c r="T447" s="323"/>
      <c r="U447" s="323"/>
      <c r="V447" s="323"/>
      <c r="W447" s="323"/>
      <c r="X447" s="323"/>
      <c r="Y447" s="323"/>
      <c r="Z447" s="323"/>
      <c r="AA447" s="125"/>
      <c r="AB447" s="125">
        <f>SUM(AC447,AF447,AI447,AL447,AO447,AR447,AU447,AX447,BA447,BD447,BG447,BJ447)</f>
        <v>0</v>
      </c>
      <c r="AC447" s="125">
        <f>IF(O447="√",$J447*$L447/$N447,0)</f>
        <v>0</v>
      </c>
      <c r="AD447" s="125"/>
      <c r="AE447" s="125"/>
      <c r="AF447" s="125">
        <f>IF(P447="√",$J447*$L447/$N447,0)</f>
        <v>0</v>
      </c>
      <c r="AG447" s="125"/>
      <c r="AH447" s="125"/>
      <c r="AI447" s="125">
        <f>IF(Q447="√",$J447*$L447/$N447,0)</f>
        <v>0</v>
      </c>
      <c r="AJ447" s="125"/>
      <c r="AK447" s="125"/>
      <c r="AL447" s="125">
        <f>IF(R447="√",$J447*$L447/$N447,0)</f>
        <v>0</v>
      </c>
      <c r="AM447" s="125"/>
      <c r="AN447" s="125"/>
      <c r="AO447" s="125">
        <f>IF(S447="√",$J447*$L447/$N447,0)</f>
        <v>0</v>
      </c>
      <c r="AP447" s="125"/>
      <c r="AQ447" s="125"/>
      <c r="AR447" s="125">
        <f>IF(T447="√",$J447*$L447/$N447,0)</f>
        <v>0</v>
      </c>
      <c r="AS447" s="125"/>
      <c r="AT447" s="125"/>
      <c r="AU447" s="125">
        <f>IF(U447="√",$J447*$L447/$N447,0)</f>
        <v>0</v>
      </c>
      <c r="AV447" s="125"/>
      <c r="AW447" s="125"/>
      <c r="AX447" s="125">
        <f>IF(V447="√",$J447*$L447/$N447,0)</f>
        <v>0</v>
      </c>
      <c r="AY447" s="125"/>
      <c r="AZ447" s="125"/>
      <c r="BA447" s="125">
        <f>IF(W447="√",$J447*$L447/$N447,0)</f>
        <v>0</v>
      </c>
      <c r="BB447" s="125"/>
      <c r="BC447" s="125"/>
      <c r="BD447" s="125">
        <f>IF(X447="√",$J447*$L447/$N447,0)</f>
        <v>0</v>
      </c>
      <c r="BE447" s="125"/>
      <c r="BF447" s="125"/>
      <c r="BG447" s="125">
        <f>IF(Y447="√",$J447*$L447/$N447,0)</f>
        <v>0</v>
      </c>
      <c r="BH447" s="125"/>
      <c r="BI447" s="125"/>
      <c r="BJ447" s="125">
        <f>IF(Z447="√",$J447*$L447/$N447,0)</f>
        <v>0</v>
      </c>
      <c r="BK447" s="125"/>
      <c r="BL447" s="312"/>
      <c r="BM447" s="317"/>
      <c r="BN447" s="320"/>
    </row>
    <row r="448" s="124" customFormat="1" ht="33.95" hidden="1" customHeight="1" outlineLevel="5" spans="2:66">
      <c r="B448" s="125" t="s">
        <v>792</v>
      </c>
      <c r="C448" s="126" t="s">
        <v>1799</v>
      </c>
      <c r="D448" s="124" t="s">
        <v>1800</v>
      </c>
      <c r="E448" s="125" t="s">
        <v>1801</v>
      </c>
      <c r="F448" s="125" t="s">
        <v>1618</v>
      </c>
      <c r="G448" s="125" t="s">
        <v>936</v>
      </c>
      <c r="H448" s="125">
        <f t="shared" si="825"/>
        <v>0</v>
      </c>
      <c r="I448" s="125" t="s">
        <v>1235</v>
      </c>
      <c r="J448" s="304"/>
      <c r="K448" s="125" t="s">
        <v>1797</v>
      </c>
      <c r="L448" s="125">
        <v>338</v>
      </c>
      <c r="M448" s="125" t="s">
        <v>1798</v>
      </c>
      <c r="N448" s="125">
        <f t="shared" si="826"/>
        <v>0</v>
      </c>
      <c r="O448" s="304"/>
      <c r="P448" s="304"/>
      <c r="Q448" s="304"/>
      <c r="R448" s="304"/>
      <c r="S448" s="304"/>
      <c r="T448" s="304"/>
      <c r="U448" s="304"/>
      <c r="V448" s="304"/>
      <c r="W448" s="304"/>
      <c r="X448" s="304"/>
      <c r="Y448" s="304"/>
      <c r="Z448" s="304"/>
      <c r="AA448" s="125"/>
      <c r="AB448" s="125">
        <f>SUM(AC448,AF448,AI448,AL448,AO448,AR448,AU448,AX448,BA448,BD448,BG448,BJ448)</f>
        <v>0</v>
      </c>
      <c r="AC448" s="125">
        <f>IF(O448="√",$J448*$L448/$N448,0)</f>
        <v>0</v>
      </c>
      <c r="AD448" s="125"/>
      <c r="AE448" s="125"/>
      <c r="AF448" s="125">
        <f>IF(P448="√",$J448*$L448/$N448,0)</f>
        <v>0</v>
      </c>
      <c r="AG448" s="125"/>
      <c r="AH448" s="125"/>
      <c r="AI448" s="125">
        <f>IF(Q448="√",$J448*$L448/$N448,0)</f>
        <v>0</v>
      </c>
      <c r="AJ448" s="125"/>
      <c r="AK448" s="125"/>
      <c r="AL448" s="125">
        <f>IF(R448="√",$J448*$L448/$N448,0)</f>
        <v>0</v>
      </c>
      <c r="AM448" s="125"/>
      <c r="AN448" s="125"/>
      <c r="AO448" s="125">
        <f>IF(S448="√",$J448*$L448/$N448,0)</f>
        <v>0</v>
      </c>
      <c r="AP448" s="125"/>
      <c r="AQ448" s="125"/>
      <c r="AR448" s="125">
        <f>IF(T448="√",$J448*$L448/$N448,0)</f>
        <v>0</v>
      </c>
      <c r="AS448" s="125"/>
      <c r="AT448" s="125"/>
      <c r="AU448" s="125">
        <f>IF(U448="√",$J448*$L448/$N448,0)</f>
        <v>0</v>
      </c>
      <c r="AV448" s="125"/>
      <c r="AW448" s="125"/>
      <c r="AX448" s="125">
        <f>IF(V448="√",$J448*$L448/$N448,0)</f>
        <v>0</v>
      </c>
      <c r="AY448" s="125"/>
      <c r="AZ448" s="125"/>
      <c r="BA448" s="125">
        <f>IF(W448="√",$J448*$L448/$N448,0)</f>
        <v>0</v>
      </c>
      <c r="BB448" s="125"/>
      <c r="BC448" s="125"/>
      <c r="BD448" s="125">
        <f>IF(X448="√",$J448*$L448/$N448,0)</f>
        <v>0</v>
      </c>
      <c r="BE448" s="125"/>
      <c r="BF448" s="125"/>
      <c r="BG448" s="125">
        <f>IF(Y448="√",$J448*$L448/$N448,0)</f>
        <v>0</v>
      </c>
      <c r="BH448" s="125"/>
      <c r="BI448" s="125"/>
      <c r="BJ448" s="125">
        <f>IF(Z448="√",$J448*$L448/$N448,0)</f>
        <v>0</v>
      </c>
      <c r="BK448" s="125"/>
      <c r="BL448" s="312"/>
      <c r="BM448" s="317"/>
      <c r="BN448" s="320"/>
    </row>
    <row r="449" s="124" customFormat="1" ht="33.95" hidden="1" customHeight="1" outlineLevel="5" spans="2:66">
      <c r="B449" s="125" t="s">
        <v>792</v>
      </c>
      <c r="C449" s="126" t="s">
        <v>1802</v>
      </c>
      <c r="D449" s="124" t="s">
        <v>1803</v>
      </c>
      <c r="E449" s="125" t="s">
        <v>1804</v>
      </c>
      <c r="F449" s="125" t="s">
        <v>1618</v>
      </c>
      <c r="G449" s="125" t="s">
        <v>936</v>
      </c>
      <c r="H449" s="125">
        <f t="shared" si="825"/>
        <v>0</v>
      </c>
      <c r="I449" s="125" t="s">
        <v>1235</v>
      </c>
      <c r="J449" s="304"/>
      <c r="K449" s="125" t="s">
        <v>1389</v>
      </c>
      <c r="L449" s="125">
        <v>190</v>
      </c>
      <c r="M449" s="125" t="s">
        <v>1668</v>
      </c>
      <c r="N449" s="125">
        <f t="shared" si="826"/>
        <v>0</v>
      </c>
      <c r="O449" s="304"/>
      <c r="P449" s="304"/>
      <c r="Q449" s="304"/>
      <c r="R449" s="304"/>
      <c r="S449" s="304"/>
      <c r="T449" s="304"/>
      <c r="U449" s="304"/>
      <c r="V449" s="304"/>
      <c r="W449" s="304"/>
      <c r="X449" s="304"/>
      <c r="Y449" s="304"/>
      <c r="Z449" s="304"/>
      <c r="AA449" s="125"/>
      <c r="AB449" s="125">
        <f t="shared" ref="AB449:AB460" si="827">SUM(AC449,AF449,AI449,AL449,AO449,AR449,AU449,AX449,BA449,BD449,BG449,BJ449)</f>
        <v>0</v>
      </c>
      <c r="AC449" s="125">
        <f t="shared" ref="AC449:AC459" si="828">IF(O449="√",$J449*$L449/$N449,0)</f>
        <v>0</v>
      </c>
      <c r="AD449" s="125"/>
      <c r="AE449" s="125"/>
      <c r="AF449" s="125">
        <f t="shared" ref="AF449:AF459" si="829">IF(P449="√",$J449*$L449/$N449,0)</f>
        <v>0</v>
      </c>
      <c r="AG449" s="125"/>
      <c r="AH449" s="125"/>
      <c r="AI449" s="125">
        <f t="shared" ref="AI449:AI459" si="830">IF(Q449="√",$J449*$L449/$N449,0)</f>
        <v>0</v>
      </c>
      <c r="AJ449" s="125"/>
      <c r="AK449" s="125"/>
      <c r="AL449" s="125">
        <f t="shared" ref="AL449:AL459" si="831">IF(R449="√",$J449*$L449/$N449,0)</f>
        <v>0</v>
      </c>
      <c r="AM449" s="125"/>
      <c r="AN449" s="125"/>
      <c r="AO449" s="125">
        <f t="shared" ref="AO449:AO459" si="832">IF(S449="√",$J449*$L449/$N449,0)</f>
        <v>0</v>
      </c>
      <c r="AP449" s="125"/>
      <c r="AQ449" s="125"/>
      <c r="AR449" s="125">
        <f t="shared" ref="AR449:AR459" si="833">IF(T449="√",$J449*$L449/$N449,0)</f>
        <v>0</v>
      </c>
      <c r="AS449" s="125"/>
      <c r="AT449" s="125"/>
      <c r="AU449" s="125">
        <f t="shared" ref="AU449:AU459" si="834">IF(U449="√",$J449*$L449/$N449,0)</f>
        <v>0</v>
      </c>
      <c r="AV449" s="125"/>
      <c r="AW449" s="125"/>
      <c r="AX449" s="125">
        <f t="shared" ref="AX449:AX459" si="835">IF(V449="√",$J449*$L449/$N449,0)</f>
        <v>0</v>
      </c>
      <c r="AY449" s="125"/>
      <c r="AZ449" s="125"/>
      <c r="BA449" s="125">
        <f t="shared" ref="BA449:BA459" si="836">IF(W449="√",$J449*$L449/$N449,0)</f>
        <v>0</v>
      </c>
      <c r="BB449" s="125"/>
      <c r="BC449" s="125"/>
      <c r="BD449" s="125">
        <f t="shared" ref="BD449:BD459" si="837">IF(X449="√",$J449*$L449/$N449,0)</f>
        <v>0</v>
      </c>
      <c r="BE449" s="125"/>
      <c r="BF449" s="125"/>
      <c r="BG449" s="125">
        <f t="shared" ref="BG449:BG459" si="838">IF(Y449="√",$J449*$L449/$N449,0)</f>
        <v>0</v>
      </c>
      <c r="BH449" s="125"/>
      <c r="BI449" s="125"/>
      <c r="BJ449" s="125">
        <f t="shared" ref="BJ449:BJ459" si="839">IF(Z449="√",$J449*$L449/$N449,0)</f>
        <v>0</v>
      </c>
      <c r="BK449" s="125"/>
      <c r="BL449" s="312"/>
      <c r="BM449" s="317"/>
      <c r="BN449" s="320"/>
    </row>
    <row r="450" s="124" customFormat="1" ht="33.95" hidden="1" customHeight="1" outlineLevel="5" spans="2:66">
      <c r="B450" s="125" t="s">
        <v>792</v>
      </c>
      <c r="C450" s="126" t="s">
        <v>1805</v>
      </c>
      <c r="D450" s="124" t="s">
        <v>1806</v>
      </c>
      <c r="E450" s="125" t="s">
        <v>1807</v>
      </c>
      <c r="F450" s="125" t="s">
        <v>1618</v>
      </c>
      <c r="G450" s="125" t="s">
        <v>936</v>
      </c>
      <c r="H450" s="125">
        <f t="shared" si="825"/>
        <v>0</v>
      </c>
      <c r="I450" s="125" t="s">
        <v>1235</v>
      </c>
      <c r="J450" s="304"/>
      <c r="K450" s="125" t="s">
        <v>1389</v>
      </c>
      <c r="L450" s="125">
        <v>500</v>
      </c>
      <c r="M450" s="125" t="s">
        <v>1668</v>
      </c>
      <c r="N450" s="125">
        <f t="shared" si="826"/>
        <v>0</v>
      </c>
      <c r="O450" s="304"/>
      <c r="P450" s="304"/>
      <c r="Q450" s="304"/>
      <c r="R450" s="304"/>
      <c r="S450" s="304"/>
      <c r="T450" s="304"/>
      <c r="U450" s="304"/>
      <c r="V450" s="304"/>
      <c r="W450" s="304"/>
      <c r="X450" s="304"/>
      <c r="Y450" s="304"/>
      <c r="Z450" s="304"/>
      <c r="AA450" s="125"/>
      <c r="AB450" s="125">
        <f t="shared" si="827"/>
        <v>0</v>
      </c>
      <c r="AC450" s="125">
        <f t="shared" si="828"/>
        <v>0</v>
      </c>
      <c r="AD450" s="125"/>
      <c r="AE450" s="125"/>
      <c r="AF450" s="125">
        <f t="shared" si="829"/>
        <v>0</v>
      </c>
      <c r="AG450" s="125"/>
      <c r="AH450" s="125"/>
      <c r="AI450" s="125">
        <f t="shared" si="830"/>
        <v>0</v>
      </c>
      <c r="AJ450" s="125"/>
      <c r="AK450" s="125"/>
      <c r="AL450" s="125">
        <f t="shared" si="831"/>
        <v>0</v>
      </c>
      <c r="AM450" s="125"/>
      <c r="AN450" s="125"/>
      <c r="AO450" s="125">
        <f t="shared" si="832"/>
        <v>0</v>
      </c>
      <c r="AP450" s="125"/>
      <c r="AQ450" s="125"/>
      <c r="AR450" s="125">
        <f t="shared" si="833"/>
        <v>0</v>
      </c>
      <c r="AS450" s="125"/>
      <c r="AT450" s="125"/>
      <c r="AU450" s="125">
        <f t="shared" si="834"/>
        <v>0</v>
      </c>
      <c r="AV450" s="125"/>
      <c r="AW450" s="125"/>
      <c r="AX450" s="125">
        <f t="shared" si="835"/>
        <v>0</v>
      </c>
      <c r="AY450" s="125"/>
      <c r="AZ450" s="125"/>
      <c r="BA450" s="125">
        <f t="shared" si="836"/>
        <v>0</v>
      </c>
      <c r="BB450" s="125"/>
      <c r="BC450" s="125"/>
      <c r="BD450" s="125">
        <f t="shared" si="837"/>
        <v>0</v>
      </c>
      <c r="BE450" s="125"/>
      <c r="BF450" s="125"/>
      <c r="BG450" s="125">
        <f t="shared" si="838"/>
        <v>0</v>
      </c>
      <c r="BH450" s="125"/>
      <c r="BI450" s="125"/>
      <c r="BJ450" s="125">
        <f t="shared" si="839"/>
        <v>0</v>
      </c>
      <c r="BK450" s="125"/>
      <c r="BL450" s="312"/>
      <c r="BM450" s="317"/>
      <c r="BN450" s="320"/>
    </row>
    <row r="451" s="124" customFormat="1" ht="33.95" hidden="1" customHeight="1" outlineLevel="5" spans="2:66">
      <c r="B451" s="125" t="s">
        <v>792</v>
      </c>
      <c r="C451" s="126" t="s">
        <v>1808</v>
      </c>
      <c r="D451" s="124" t="s">
        <v>1809</v>
      </c>
      <c r="E451" s="125" t="s">
        <v>1810</v>
      </c>
      <c r="F451" s="125" t="s">
        <v>1618</v>
      </c>
      <c r="G451" s="125" t="s">
        <v>936</v>
      </c>
      <c r="H451" s="125">
        <f t="shared" si="825"/>
        <v>0</v>
      </c>
      <c r="I451" s="125" t="s">
        <v>1235</v>
      </c>
      <c r="J451" s="304"/>
      <c r="K451" s="125" t="s">
        <v>1389</v>
      </c>
      <c r="L451" s="125">
        <v>80</v>
      </c>
      <c r="M451" s="125" t="s">
        <v>1668</v>
      </c>
      <c r="N451" s="125">
        <f t="shared" si="826"/>
        <v>0</v>
      </c>
      <c r="O451" s="304"/>
      <c r="P451" s="304"/>
      <c r="Q451" s="304"/>
      <c r="R451" s="304"/>
      <c r="S451" s="304"/>
      <c r="T451" s="304"/>
      <c r="U451" s="304"/>
      <c r="V451" s="304"/>
      <c r="W451" s="304"/>
      <c r="X451" s="304"/>
      <c r="Y451" s="304"/>
      <c r="Z451" s="304"/>
      <c r="AA451" s="125"/>
      <c r="AB451" s="125">
        <f t="shared" si="827"/>
        <v>0</v>
      </c>
      <c r="AC451" s="125">
        <f t="shared" si="828"/>
        <v>0</v>
      </c>
      <c r="AD451" s="125"/>
      <c r="AE451" s="125"/>
      <c r="AF451" s="125">
        <f t="shared" si="829"/>
        <v>0</v>
      </c>
      <c r="AG451" s="125"/>
      <c r="AH451" s="125"/>
      <c r="AI451" s="125">
        <f t="shared" si="830"/>
        <v>0</v>
      </c>
      <c r="AJ451" s="125"/>
      <c r="AK451" s="125"/>
      <c r="AL451" s="125">
        <f t="shared" si="831"/>
        <v>0</v>
      </c>
      <c r="AM451" s="125"/>
      <c r="AN451" s="125"/>
      <c r="AO451" s="125">
        <f t="shared" si="832"/>
        <v>0</v>
      </c>
      <c r="AP451" s="125"/>
      <c r="AQ451" s="125"/>
      <c r="AR451" s="125">
        <f t="shared" si="833"/>
        <v>0</v>
      </c>
      <c r="AS451" s="125"/>
      <c r="AT451" s="125"/>
      <c r="AU451" s="125">
        <f t="shared" si="834"/>
        <v>0</v>
      </c>
      <c r="AV451" s="125"/>
      <c r="AW451" s="125"/>
      <c r="AX451" s="125">
        <f t="shared" si="835"/>
        <v>0</v>
      </c>
      <c r="AY451" s="125"/>
      <c r="AZ451" s="125"/>
      <c r="BA451" s="125">
        <f t="shared" si="836"/>
        <v>0</v>
      </c>
      <c r="BB451" s="125"/>
      <c r="BC451" s="125"/>
      <c r="BD451" s="125">
        <f t="shared" si="837"/>
        <v>0</v>
      </c>
      <c r="BE451" s="125"/>
      <c r="BF451" s="125"/>
      <c r="BG451" s="125">
        <f t="shared" si="838"/>
        <v>0</v>
      </c>
      <c r="BH451" s="125"/>
      <c r="BI451" s="125"/>
      <c r="BJ451" s="125">
        <f t="shared" si="839"/>
        <v>0</v>
      </c>
      <c r="BK451" s="125"/>
      <c r="BL451" s="312"/>
      <c r="BM451" s="317"/>
      <c r="BN451" s="320"/>
    </row>
    <row r="452" s="124" customFormat="1" ht="33.95" hidden="1" customHeight="1" outlineLevel="5" spans="2:66">
      <c r="B452" s="125" t="s">
        <v>792</v>
      </c>
      <c r="C452" s="126" t="s">
        <v>1811</v>
      </c>
      <c r="D452" s="124" t="s">
        <v>1812</v>
      </c>
      <c r="E452" s="125" t="s">
        <v>1813</v>
      </c>
      <c r="F452" s="125" t="s">
        <v>1618</v>
      </c>
      <c r="G452" s="125" t="s">
        <v>936</v>
      </c>
      <c r="H452" s="125">
        <f t="shared" si="825"/>
        <v>0</v>
      </c>
      <c r="I452" s="125" t="s">
        <v>1235</v>
      </c>
      <c r="J452" s="304"/>
      <c r="K452" s="125" t="s">
        <v>1389</v>
      </c>
      <c r="L452" s="125">
        <v>10</v>
      </c>
      <c r="M452" s="125" t="s">
        <v>1668</v>
      </c>
      <c r="N452" s="125">
        <f t="shared" si="826"/>
        <v>0</v>
      </c>
      <c r="O452" s="304"/>
      <c r="P452" s="304"/>
      <c r="Q452" s="304"/>
      <c r="R452" s="304"/>
      <c r="S452" s="304"/>
      <c r="T452" s="304"/>
      <c r="U452" s="304"/>
      <c r="V452" s="304"/>
      <c r="W452" s="304"/>
      <c r="X452" s="304"/>
      <c r="Y452" s="304"/>
      <c r="Z452" s="304"/>
      <c r="AA452" s="125"/>
      <c r="AB452" s="125">
        <f t="shared" si="827"/>
        <v>0</v>
      </c>
      <c r="AC452" s="125">
        <f t="shared" si="828"/>
        <v>0</v>
      </c>
      <c r="AD452" s="125"/>
      <c r="AE452" s="125"/>
      <c r="AF452" s="125">
        <f t="shared" si="829"/>
        <v>0</v>
      </c>
      <c r="AG452" s="125"/>
      <c r="AH452" s="125"/>
      <c r="AI452" s="125">
        <f t="shared" si="830"/>
        <v>0</v>
      </c>
      <c r="AJ452" s="125"/>
      <c r="AK452" s="125"/>
      <c r="AL452" s="125">
        <f t="shared" si="831"/>
        <v>0</v>
      </c>
      <c r="AM452" s="125"/>
      <c r="AN452" s="125"/>
      <c r="AO452" s="125">
        <f t="shared" si="832"/>
        <v>0</v>
      </c>
      <c r="AP452" s="125"/>
      <c r="AQ452" s="125"/>
      <c r="AR452" s="125">
        <f t="shared" si="833"/>
        <v>0</v>
      </c>
      <c r="AS452" s="125"/>
      <c r="AT452" s="125"/>
      <c r="AU452" s="125">
        <f t="shared" si="834"/>
        <v>0</v>
      </c>
      <c r="AV452" s="125"/>
      <c r="AW452" s="125"/>
      <c r="AX452" s="125">
        <f t="shared" si="835"/>
        <v>0</v>
      </c>
      <c r="AY452" s="125"/>
      <c r="AZ452" s="125"/>
      <c r="BA452" s="125">
        <f t="shared" si="836"/>
        <v>0</v>
      </c>
      <c r="BB452" s="125"/>
      <c r="BC452" s="125"/>
      <c r="BD452" s="125">
        <f t="shared" si="837"/>
        <v>0</v>
      </c>
      <c r="BE452" s="125"/>
      <c r="BF452" s="125"/>
      <c r="BG452" s="125">
        <f t="shared" si="838"/>
        <v>0</v>
      </c>
      <c r="BH452" s="125"/>
      <c r="BI452" s="125"/>
      <c r="BJ452" s="125">
        <f t="shared" si="839"/>
        <v>0</v>
      </c>
      <c r="BK452" s="125"/>
      <c r="BL452" s="312"/>
      <c r="BM452" s="317"/>
      <c r="BN452" s="320"/>
    </row>
    <row r="453" s="124" customFormat="1" ht="33.95" hidden="1" customHeight="1" outlineLevel="5" spans="2:66">
      <c r="B453" s="125" t="s">
        <v>792</v>
      </c>
      <c r="C453" s="126" t="s">
        <v>1814</v>
      </c>
      <c r="D453" s="124" t="s">
        <v>1815</v>
      </c>
      <c r="E453" s="125" t="s">
        <v>1816</v>
      </c>
      <c r="F453" s="125" t="s">
        <v>1618</v>
      </c>
      <c r="G453" s="125" t="s">
        <v>936</v>
      </c>
      <c r="H453" s="125">
        <f t="shared" si="825"/>
        <v>0</v>
      </c>
      <c r="I453" s="125" t="s">
        <v>1235</v>
      </c>
      <c r="J453" s="304"/>
      <c r="K453" s="125" t="s">
        <v>1752</v>
      </c>
      <c r="L453" s="125">
        <v>37</v>
      </c>
      <c r="M453" s="125" t="s">
        <v>1753</v>
      </c>
      <c r="N453" s="125">
        <f t="shared" si="826"/>
        <v>0</v>
      </c>
      <c r="O453" s="304"/>
      <c r="P453" s="304"/>
      <c r="Q453" s="304"/>
      <c r="R453" s="304"/>
      <c r="S453" s="304"/>
      <c r="T453" s="304"/>
      <c r="U453" s="304"/>
      <c r="V453" s="304"/>
      <c r="W453" s="304"/>
      <c r="X453" s="304"/>
      <c r="Y453" s="304"/>
      <c r="Z453" s="304"/>
      <c r="AA453" s="125"/>
      <c r="AB453" s="125">
        <f t="shared" si="827"/>
        <v>0</v>
      </c>
      <c r="AC453" s="125">
        <f t="shared" si="828"/>
        <v>0</v>
      </c>
      <c r="AD453" s="125"/>
      <c r="AE453" s="125"/>
      <c r="AF453" s="125">
        <f t="shared" si="829"/>
        <v>0</v>
      </c>
      <c r="AG453" s="125"/>
      <c r="AH453" s="125"/>
      <c r="AI453" s="125">
        <f t="shared" si="830"/>
        <v>0</v>
      </c>
      <c r="AJ453" s="125"/>
      <c r="AK453" s="125"/>
      <c r="AL453" s="125">
        <f t="shared" si="831"/>
        <v>0</v>
      </c>
      <c r="AM453" s="125"/>
      <c r="AN453" s="125"/>
      <c r="AO453" s="125">
        <f t="shared" si="832"/>
        <v>0</v>
      </c>
      <c r="AP453" s="125"/>
      <c r="AQ453" s="125"/>
      <c r="AR453" s="125">
        <f t="shared" si="833"/>
        <v>0</v>
      </c>
      <c r="AS453" s="125"/>
      <c r="AT453" s="125"/>
      <c r="AU453" s="125">
        <f t="shared" si="834"/>
        <v>0</v>
      </c>
      <c r="AV453" s="125"/>
      <c r="AW453" s="125"/>
      <c r="AX453" s="125">
        <f t="shared" si="835"/>
        <v>0</v>
      </c>
      <c r="AY453" s="125"/>
      <c r="AZ453" s="125"/>
      <c r="BA453" s="125">
        <f t="shared" si="836"/>
        <v>0</v>
      </c>
      <c r="BB453" s="125"/>
      <c r="BC453" s="125"/>
      <c r="BD453" s="125">
        <f t="shared" si="837"/>
        <v>0</v>
      </c>
      <c r="BE453" s="125"/>
      <c r="BF453" s="125"/>
      <c r="BG453" s="125">
        <f t="shared" si="838"/>
        <v>0</v>
      </c>
      <c r="BH453" s="125"/>
      <c r="BI453" s="125"/>
      <c r="BJ453" s="125">
        <f t="shared" si="839"/>
        <v>0</v>
      </c>
      <c r="BK453" s="125"/>
      <c r="BL453" s="312"/>
      <c r="BM453" s="317"/>
      <c r="BN453" s="320"/>
    </row>
    <row r="454" s="124" customFormat="1" ht="33.95" hidden="1" customHeight="1" outlineLevel="5" spans="2:66">
      <c r="B454" s="125" t="s">
        <v>792</v>
      </c>
      <c r="C454" s="126" t="s">
        <v>1817</v>
      </c>
      <c r="D454" s="124" t="s">
        <v>1818</v>
      </c>
      <c r="E454" s="125" t="s">
        <v>1819</v>
      </c>
      <c r="F454" s="125" t="s">
        <v>1618</v>
      </c>
      <c r="G454" s="125" t="s">
        <v>936</v>
      </c>
      <c r="H454" s="125">
        <f t="shared" si="825"/>
        <v>0</v>
      </c>
      <c r="I454" s="125" t="s">
        <v>1235</v>
      </c>
      <c r="J454" s="304"/>
      <c r="K454" s="125" t="s">
        <v>1290</v>
      </c>
      <c r="L454" s="125">
        <v>25</v>
      </c>
      <c r="M454" s="125" t="s">
        <v>1820</v>
      </c>
      <c r="N454" s="125">
        <f t="shared" si="826"/>
        <v>0</v>
      </c>
      <c r="O454" s="304"/>
      <c r="P454" s="304"/>
      <c r="Q454" s="304"/>
      <c r="R454" s="304"/>
      <c r="S454" s="304"/>
      <c r="T454" s="304"/>
      <c r="U454" s="304"/>
      <c r="V454" s="304"/>
      <c r="W454" s="304"/>
      <c r="X454" s="304"/>
      <c r="Y454" s="304"/>
      <c r="Z454" s="304"/>
      <c r="AA454" s="125"/>
      <c r="AB454" s="125">
        <f t="shared" si="827"/>
        <v>0</v>
      </c>
      <c r="AC454" s="125">
        <f t="shared" si="828"/>
        <v>0</v>
      </c>
      <c r="AD454" s="125"/>
      <c r="AE454" s="125"/>
      <c r="AF454" s="125">
        <f t="shared" si="829"/>
        <v>0</v>
      </c>
      <c r="AG454" s="125"/>
      <c r="AH454" s="125"/>
      <c r="AI454" s="125">
        <f t="shared" si="830"/>
        <v>0</v>
      </c>
      <c r="AJ454" s="125"/>
      <c r="AK454" s="125"/>
      <c r="AL454" s="125">
        <f t="shared" si="831"/>
        <v>0</v>
      </c>
      <c r="AM454" s="125"/>
      <c r="AN454" s="125"/>
      <c r="AO454" s="125">
        <f t="shared" si="832"/>
        <v>0</v>
      </c>
      <c r="AP454" s="125"/>
      <c r="AQ454" s="125"/>
      <c r="AR454" s="125">
        <f t="shared" si="833"/>
        <v>0</v>
      </c>
      <c r="AS454" s="125"/>
      <c r="AT454" s="125"/>
      <c r="AU454" s="125">
        <f t="shared" si="834"/>
        <v>0</v>
      </c>
      <c r="AV454" s="125"/>
      <c r="AW454" s="125"/>
      <c r="AX454" s="125">
        <f t="shared" si="835"/>
        <v>0</v>
      </c>
      <c r="AY454" s="125"/>
      <c r="AZ454" s="125"/>
      <c r="BA454" s="125">
        <f t="shared" si="836"/>
        <v>0</v>
      </c>
      <c r="BB454" s="125"/>
      <c r="BC454" s="125"/>
      <c r="BD454" s="125">
        <f t="shared" si="837"/>
        <v>0</v>
      </c>
      <c r="BE454" s="125"/>
      <c r="BF454" s="125"/>
      <c r="BG454" s="125">
        <f t="shared" si="838"/>
        <v>0</v>
      </c>
      <c r="BH454" s="125"/>
      <c r="BI454" s="125"/>
      <c r="BJ454" s="125">
        <f t="shared" si="839"/>
        <v>0</v>
      </c>
      <c r="BK454" s="125"/>
      <c r="BL454" s="312"/>
      <c r="BM454" s="317"/>
      <c r="BN454" s="320"/>
    </row>
    <row r="455" s="124" customFormat="1" ht="33.95" hidden="1" customHeight="1" outlineLevel="5" spans="2:66">
      <c r="B455" s="125" t="s">
        <v>792</v>
      </c>
      <c r="C455" s="126" t="s">
        <v>1821</v>
      </c>
      <c r="D455" s="124" t="s">
        <v>1822</v>
      </c>
      <c r="E455" s="125" t="s">
        <v>1823</v>
      </c>
      <c r="F455" s="125" t="s">
        <v>1618</v>
      </c>
      <c r="G455" s="125" t="s">
        <v>936</v>
      </c>
      <c r="H455" s="125">
        <f t="shared" si="825"/>
        <v>0</v>
      </c>
      <c r="I455" s="125" t="s">
        <v>1235</v>
      </c>
      <c r="J455" s="304"/>
      <c r="K455" s="125" t="s">
        <v>1824</v>
      </c>
      <c r="L455" s="125">
        <v>9</v>
      </c>
      <c r="M455" s="125" t="s">
        <v>1825</v>
      </c>
      <c r="N455" s="125">
        <f t="shared" si="826"/>
        <v>0</v>
      </c>
      <c r="O455" s="304"/>
      <c r="P455" s="304"/>
      <c r="Q455" s="304"/>
      <c r="R455" s="304"/>
      <c r="S455" s="304"/>
      <c r="T455" s="304"/>
      <c r="U455" s="304"/>
      <c r="V455" s="304"/>
      <c r="W455" s="304"/>
      <c r="X455" s="304"/>
      <c r="Y455" s="304"/>
      <c r="Z455" s="304"/>
      <c r="AA455" s="125"/>
      <c r="AB455" s="125">
        <f t="shared" si="827"/>
        <v>0</v>
      </c>
      <c r="AC455" s="125">
        <f t="shared" si="828"/>
        <v>0</v>
      </c>
      <c r="AD455" s="125"/>
      <c r="AE455" s="125"/>
      <c r="AF455" s="125">
        <f t="shared" si="829"/>
        <v>0</v>
      </c>
      <c r="AG455" s="125"/>
      <c r="AH455" s="125"/>
      <c r="AI455" s="125">
        <f t="shared" si="830"/>
        <v>0</v>
      </c>
      <c r="AJ455" s="125"/>
      <c r="AK455" s="125"/>
      <c r="AL455" s="125">
        <f t="shared" si="831"/>
        <v>0</v>
      </c>
      <c r="AM455" s="125"/>
      <c r="AN455" s="125"/>
      <c r="AO455" s="125">
        <f t="shared" si="832"/>
        <v>0</v>
      </c>
      <c r="AP455" s="125"/>
      <c r="AQ455" s="125"/>
      <c r="AR455" s="125">
        <f t="shared" si="833"/>
        <v>0</v>
      </c>
      <c r="AS455" s="125"/>
      <c r="AT455" s="125"/>
      <c r="AU455" s="125">
        <f t="shared" si="834"/>
        <v>0</v>
      </c>
      <c r="AV455" s="125"/>
      <c r="AW455" s="125"/>
      <c r="AX455" s="125">
        <f t="shared" si="835"/>
        <v>0</v>
      </c>
      <c r="AY455" s="125"/>
      <c r="AZ455" s="125"/>
      <c r="BA455" s="125">
        <f t="shared" si="836"/>
        <v>0</v>
      </c>
      <c r="BB455" s="125"/>
      <c r="BC455" s="125"/>
      <c r="BD455" s="125">
        <f t="shared" si="837"/>
        <v>0</v>
      </c>
      <c r="BE455" s="125"/>
      <c r="BF455" s="125"/>
      <c r="BG455" s="125">
        <f t="shared" si="838"/>
        <v>0</v>
      </c>
      <c r="BH455" s="125"/>
      <c r="BI455" s="125"/>
      <c r="BJ455" s="125">
        <f t="shared" si="839"/>
        <v>0</v>
      </c>
      <c r="BK455" s="125"/>
      <c r="BL455" s="312"/>
      <c r="BM455" s="317"/>
      <c r="BN455" s="320"/>
    </row>
    <row r="456" s="124" customFormat="1" ht="33.95" hidden="1" customHeight="1" outlineLevel="5" spans="2:66">
      <c r="B456" s="125" t="s">
        <v>792</v>
      </c>
      <c r="C456" s="126" t="s">
        <v>1826</v>
      </c>
      <c r="D456" s="124" t="s">
        <v>1827</v>
      </c>
      <c r="E456" s="125" t="s">
        <v>1828</v>
      </c>
      <c r="F456" s="125" t="s">
        <v>1618</v>
      </c>
      <c r="G456" s="125" t="s">
        <v>936</v>
      </c>
      <c r="H456" s="125">
        <f t="shared" si="825"/>
        <v>0</v>
      </c>
      <c r="I456" s="125" t="s">
        <v>1235</v>
      </c>
      <c r="J456" s="304"/>
      <c r="K456" s="125" t="s">
        <v>1829</v>
      </c>
      <c r="L456" s="125">
        <v>99</v>
      </c>
      <c r="M456" s="125" t="s">
        <v>1830</v>
      </c>
      <c r="N456" s="125">
        <f t="shared" si="826"/>
        <v>0</v>
      </c>
      <c r="O456" s="304"/>
      <c r="P456" s="304"/>
      <c r="Q456" s="304"/>
      <c r="R456" s="304"/>
      <c r="S456" s="304"/>
      <c r="T456" s="304"/>
      <c r="U456" s="304"/>
      <c r="V456" s="304"/>
      <c r="W456" s="304"/>
      <c r="X456" s="304"/>
      <c r="Y456" s="304"/>
      <c r="Z456" s="304"/>
      <c r="AA456" s="125"/>
      <c r="AB456" s="125">
        <f t="shared" si="827"/>
        <v>0</v>
      </c>
      <c r="AC456" s="125">
        <f t="shared" si="828"/>
        <v>0</v>
      </c>
      <c r="AD456" s="125"/>
      <c r="AE456" s="125"/>
      <c r="AF456" s="125">
        <f t="shared" si="829"/>
        <v>0</v>
      </c>
      <c r="AG456" s="125"/>
      <c r="AH456" s="125"/>
      <c r="AI456" s="125">
        <f t="shared" si="830"/>
        <v>0</v>
      </c>
      <c r="AJ456" s="125"/>
      <c r="AK456" s="125"/>
      <c r="AL456" s="125">
        <f t="shared" si="831"/>
        <v>0</v>
      </c>
      <c r="AM456" s="125"/>
      <c r="AN456" s="125"/>
      <c r="AO456" s="125">
        <f t="shared" si="832"/>
        <v>0</v>
      </c>
      <c r="AP456" s="125"/>
      <c r="AQ456" s="125"/>
      <c r="AR456" s="125">
        <f t="shared" si="833"/>
        <v>0</v>
      </c>
      <c r="AS456" s="125"/>
      <c r="AT456" s="125"/>
      <c r="AU456" s="125">
        <f t="shared" si="834"/>
        <v>0</v>
      </c>
      <c r="AV456" s="125"/>
      <c r="AW456" s="125"/>
      <c r="AX456" s="125">
        <f t="shared" si="835"/>
        <v>0</v>
      </c>
      <c r="AY456" s="125"/>
      <c r="AZ456" s="125"/>
      <c r="BA456" s="125">
        <f t="shared" si="836"/>
        <v>0</v>
      </c>
      <c r="BB456" s="125"/>
      <c r="BC456" s="125"/>
      <c r="BD456" s="125">
        <f t="shared" si="837"/>
        <v>0</v>
      </c>
      <c r="BE456" s="125"/>
      <c r="BF456" s="125"/>
      <c r="BG456" s="125">
        <f t="shared" si="838"/>
        <v>0</v>
      </c>
      <c r="BH456" s="125"/>
      <c r="BI456" s="125"/>
      <c r="BJ456" s="125">
        <f t="shared" si="839"/>
        <v>0</v>
      </c>
      <c r="BK456" s="125"/>
      <c r="BL456" s="312"/>
      <c r="BM456" s="317"/>
      <c r="BN456" s="320"/>
    </row>
    <row r="457" s="124" customFormat="1" ht="33.95" hidden="1" customHeight="1" outlineLevel="5" spans="2:66">
      <c r="B457" s="125" t="s">
        <v>792</v>
      </c>
      <c r="C457" s="126" t="s">
        <v>1831</v>
      </c>
      <c r="D457" s="124" t="s">
        <v>1832</v>
      </c>
      <c r="E457" s="125" t="s">
        <v>1833</v>
      </c>
      <c r="F457" s="125" t="s">
        <v>1618</v>
      </c>
      <c r="G457" s="125" t="s">
        <v>936</v>
      </c>
      <c r="H457" s="125">
        <f t="shared" si="825"/>
        <v>0</v>
      </c>
      <c r="I457" s="125" t="s">
        <v>1235</v>
      </c>
      <c r="J457" s="304"/>
      <c r="K457" s="125" t="s">
        <v>1829</v>
      </c>
      <c r="L457" s="125">
        <v>120</v>
      </c>
      <c r="M457" s="125" t="s">
        <v>1830</v>
      </c>
      <c r="N457" s="125">
        <f t="shared" si="826"/>
        <v>0</v>
      </c>
      <c r="O457" s="304"/>
      <c r="P457" s="304"/>
      <c r="Q457" s="304"/>
      <c r="R457" s="304"/>
      <c r="S457" s="304"/>
      <c r="T457" s="304"/>
      <c r="U457" s="304"/>
      <c r="V457" s="304"/>
      <c r="W457" s="304"/>
      <c r="X457" s="304"/>
      <c r="Y457" s="304"/>
      <c r="Z457" s="304"/>
      <c r="AA457" s="125"/>
      <c r="AB457" s="125">
        <f t="shared" si="827"/>
        <v>0</v>
      </c>
      <c r="AC457" s="125">
        <f t="shared" si="828"/>
        <v>0</v>
      </c>
      <c r="AD457" s="125"/>
      <c r="AE457" s="125"/>
      <c r="AF457" s="125">
        <f t="shared" si="829"/>
        <v>0</v>
      </c>
      <c r="AG457" s="125"/>
      <c r="AH457" s="125"/>
      <c r="AI457" s="125">
        <f t="shared" si="830"/>
        <v>0</v>
      </c>
      <c r="AJ457" s="125"/>
      <c r="AK457" s="125"/>
      <c r="AL457" s="125">
        <f t="shared" si="831"/>
        <v>0</v>
      </c>
      <c r="AM457" s="125"/>
      <c r="AN457" s="125"/>
      <c r="AO457" s="125">
        <f t="shared" si="832"/>
        <v>0</v>
      </c>
      <c r="AP457" s="125"/>
      <c r="AQ457" s="125"/>
      <c r="AR457" s="125">
        <f t="shared" si="833"/>
        <v>0</v>
      </c>
      <c r="AS457" s="125"/>
      <c r="AT457" s="125"/>
      <c r="AU457" s="125">
        <f t="shared" si="834"/>
        <v>0</v>
      </c>
      <c r="AV457" s="125"/>
      <c r="AW457" s="125"/>
      <c r="AX457" s="125">
        <f t="shared" si="835"/>
        <v>0</v>
      </c>
      <c r="AY457" s="125"/>
      <c r="AZ457" s="125"/>
      <c r="BA457" s="125">
        <f t="shared" si="836"/>
        <v>0</v>
      </c>
      <c r="BB457" s="125"/>
      <c r="BC457" s="125"/>
      <c r="BD457" s="125">
        <f t="shared" si="837"/>
        <v>0</v>
      </c>
      <c r="BE457" s="125"/>
      <c r="BF457" s="125"/>
      <c r="BG457" s="125">
        <f t="shared" si="838"/>
        <v>0</v>
      </c>
      <c r="BH457" s="125"/>
      <c r="BI457" s="125"/>
      <c r="BJ457" s="125">
        <f t="shared" si="839"/>
        <v>0</v>
      </c>
      <c r="BK457" s="125"/>
      <c r="BL457" s="312"/>
      <c r="BM457" s="317"/>
      <c r="BN457" s="320"/>
    </row>
    <row r="458" s="124" customFormat="1" ht="33.95" hidden="1" customHeight="1" outlineLevel="5" spans="2:66">
      <c r="B458" s="125" t="s">
        <v>792</v>
      </c>
      <c r="C458" s="126" t="s">
        <v>1834</v>
      </c>
      <c r="D458" s="124" t="s">
        <v>1835</v>
      </c>
      <c r="E458" s="125" t="s">
        <v>1836</v>
      </c>
      <c r="F458" s="125" t="s">
        <v>1618</v>
      </c>
      <c r="G458" s="125" t="s">
        <v>936</v>
      </c>
      <c r="H458" s="125">
        <f t="shared" si="825"/>
        <v>0</v>
      </c>
      <c r="I458" s="125" t="s">
        <v>1235</v>
      </c>
      <c r="J458" s="304"/>
      <c r="K458" s="125" t="s">
        <v>1829</v>
      </c>
      <c r="L458" s="125">
        <v>350</v>
      </c>
      <c r="M458" s="125" t="s">
        <v>1830</v>
      </c>
      <c r="N458" s="125">
        <f t="shared" si="826"/>
        <v>0</v>
      </c>
      <c r="O458" s="304"/>
      <c r="P458" s="304"/>
      <c r="Q458" s="304"/>
      <c r="R458" s="304"/>
      <c r="S458" s="304"/>
      <c r="T458" s="304"/>
      <c r="U458" s="304"/>
      <c r="V458" s="304"/>
      <c r="W458" s="304"/>
      <c r="X458" s="304"/>
      <c r="Y458" s="304"/>
      <c r="Z458" s="304"/>
      <c r="AA458" s="125"/>
      <c r="AB458" s="125">
        <f t="shared" si="827"/>
        <v>0</v>
      </c>
      <c r="AC458" s="125">
        <f t="shared" si="828"/>
        <v>0</v>
      </c>
      <c r="AD458" s="125"/>
      <c r="AE458" s="125"/>
      <c r="AF458" s="125">
        <f t="shared" si="829"/>
        <v>0</v>
      </c>
      <c r="AG458" s="125"/>
      <c r="AH458" s="125"/>
      <c r="AI458" s="125">
        <f t="shared" si="830"/>
        <v>0</v>
      </c>
      <c r="AJ458" s="125"/>
      <c r="AK458" s="125"/>
      <c r="AL458" s="125">
        <f t="shared" si="831"/>
        <v>0</v>
      </c>
      <c r="AM458" s="125"/>
      <c r="AN458" s="125"/>
      <c r="AO458" s="125">
        <f t="shared" si="832"/>
        <v>0</v>
      </c>
      <c r="AP458" s="125"/>
      <c r="AQ458" s="125"/>
      <c r="AR458" s="125">
        <f t="shared" si="833"/>
        <v>0</v>
      </c>
      <c r="AS458" s="125"/>
      <c r="AT458" s="125"/>
      <c r="AU458" s="125">
        <f t="shared" si="834"/>
        <v>0</v>
      </c>
      <c r="AV458" s="125"/>
      <c r="AW458" s="125"/>
      <c r="AX458" s="125">
        <f t="shared" si="835"/>
        <v>0</v>
      </c>
      <c r="AY458" s="125"/>
      <c r="AZ458" s="125"/>
      <c r="BA458" s="125">
        <f t="shared" si="836"/>
        <v>0</v>
      </c>
      <c r="BB458" s="125"/>
      <c r="BC458" s="125"/>
      <c r="BD458" s="125">
        <f t="shared" si="837"/>
        <v>0</v>
      </c>
      <c r="BE458" s="125"/>
      <c r="BF458" s="125"/>
      <c r="BG458" s="125">
        <f t="shared" si="838"/>
        <v>0</v>
      </c>
      <c r="BH458" s="125"/>
      <c r="BI458" s="125"/>
      <c r="BJ458" s="125">
        <f t="shared" si="839"/>
        <v>0</v>
      </c>
      <c r="BK458" s="125"/>
      <c r="BL458" s="312"/>
      <c r="BM458" s="317"/>
      <c r="BN458" s="320"/>
    </row>
    <row r="459" s="124" customFormat="1" ht="33.95" hidden="1" customHeight="1" outlineLevel="5" spans="2:66">
      <c r="B459" s="125" t="s">
        <v>792</v>
      </c>
      <c r="C459" s="126" t="s">
        <v>1837</v>
      </c>
      <c r="D459" s="124" t="s">
        <v>1838</v>
      </c>
      <c r="E459" s="125" t="s">
        <v>1839</v>
      </c>
      <c r="F459" s="125" t="s">
        <v>1618</v>
      </c>
      <c r="G459" s="125" t="s">
        <v>936</v>
      </c>
      <c r="H459" s="125">
        <f t="shared" si="825"/>
        <v>0</v>
      </c>
      <c r="I459" s="125" t="s">
        <v>1235</v>
      </c>
      <c r="J459" s="304"/>
      <c r="K459" s="125" t="s">
        <v>1840</v>
      </c>
      <c r="L459" s="125">
        <v>10</v>
      </c>
      <c r="M459" s="125" t="s">
        <v>1841</v>
      </c>
      <c r="N459" s="125">
        <f t="shared" si="826"/>
        <v>0</v>
      </c>
      <c r="O459" s="322"/>
      <c r="P459" s="322"/>
      <c r="Q459" s="322"/>
      <c r="R459" s="322"/>
      <c r="S459" s="322"/>
      <c r="T459" s="322"/>
      <c r="U459" s="322"/>
      <c r="V459" s="322"/>
      <c r="W459" s="322"/>
      <c r="X459" s="322"/>
      <c r="Y459" s="322"/>
      <c r="Z459" s="322"/>
      <c r="AA459" s="125"/>
      <c r="AB459" s="125">
        <f t="shared" si="827"/>
        <v>0</v>
      </c>
      <c r="AC459" s="125">
        <f t="shared" si="828"/>
        <v>0</v>
      </c>
      <c r="AD459" s="125"/>
      <c r="AE459" s="125"/>
      <c r="AF459" s="125">
        <f t="shared" si="829"/>
        <v>0</v>
      </c>
      <c r="AG459" s="125"/>
      <c r="AH459" s="125"/>
      <c r="AI459" s="125">
        <f t="shared" si="830"/>
        <v>0</v>
      </c>
      <c r="AJ459" s="125"/>
      <c r="AK459" s="125"/>
      <c r="AL459" s="125">
        <f t="shared" si="831"/>
        <v>0</v>
      </c>
      <c r="AM459" s="125"/>
      <c r="AN459" s="125"/>
      <c r="AO459" s="125">
        <f t="shared" si="832"/>
        <v>0</v>
      </c>
      <c r="AP459" s="125"/>
      <c r="AQ459" s="125"/>
      <c r="AR459" s="125">
        <f t="shared" si="833"/>
        <v>0</v>
      </c>
      <c r="AS459" s="125"/>
      <c r="AT459" s="125"/>
      <c r="AU459" s="125">
        <f t="shared" si="834"/>
        <v>0</v>
      </c>
      <c r="AV459" s="125"/>
      <c r="AW459" s="125"/>
      <c r="AX459" s="125">
        <f t="shared" si="835"/>
        <v>0</v>
      </c>
      <c r="AY459" s="125"/>
      <c r="AZ459" s="125"/>
      <c r="BA459" s="125">
        <f t="shared" si="836"/>
        <v>0</v>
      </c>
      <c r="BB459" s="125"/>
      <c r="BC459" s="125"/>
      <c r="BD459" s="125">
        <f t="shared" si="837"/>
        <v>0</v>
      </c>
      <c r="BE459" s="125"/>
      <c r="BF459" s="125"/>
      <c r="BG459" s="125">
        <f t="shared" si="838"/>
        <v>0</v>
      </c>
      <c r="BH459" s="125"/>
      <c r="BI459" s="125"/>
      <c r="BJ459" s="125">
        <f t="shared" si="839"/>
        <v>0</v>
      </c>
      <c r="BK459" s="125"/>
      <c r="BL459" s="312"/>
      <c r="BM459" s="317"/>
      <c r="BN459" s="320"/>
    </row>
    <row r="460" s="124" customFormat="1" ht="33.95" hidden="1" customHeight="1" outlineLevel="4" spans="2:66">
      <c r="B460" s="125" t="s">
        <v>792</v>
      </c>
      <c r="C460" s="126" t="s">
        <v>1842</v>
      </c>
      <c r="D460" s="124" t="s">
        <v>1843</v>
      </c>
      <c r="E460" s="125"/>
      <c r="F460" s="125"/>
      <c r="G460" s="125" t="s">
        <v>1844</v>
      </c>
      <c r="H460" s="125">
        <f>J460*L460*N460</f>
        <v>0</v>
      </c>
      <c r="I460" s="125" t="s">
        <v>1235</v>
      </c>
      <c r="J460" s="125">
        <v>1</v>
      </c>
      <c r="K460" s="125" t="s">
        <v>1236</v>
      </c>
      <c r="L460" s="304"/>
      <c r="M460" s="125" t="s">
        <v>1237</v>
      </c>
      <c r="N460" s="312">
        <v>12</v>
      </c>
      <c r="O460" s="295"/>
      <c r="P460" s="295"/>
      <c r="Q460" s="295"/>
      <c r="R460" s="295"/>
      <c r="S460" s="295"/>
      <c r="T460" s="295"/>
      <c r="U460" s="295"/>
      <c r="V460" s="295"/>
      <c r="W460" s="295"/>
      <c r="X460" s="295"/>
      <c r="Y460" s="295"/>
      <c r="Z460" s="295"/>
      <c r="AA460" s="295"/>
      <c r="AB460" s="125">
        <f t="shared" si="827"/>
        <v>0</v>
      </c>
      <c r="AC460" s="125">
        <f>$H460/12</f>
        <v>0</v>
      </c>
      <c r="AD460" s="125"/>
      <c r="AE460" s="125"/>
      <c r="AF460" s="125">
        <f>$H460/12</f>
        <v>0</v>
      </c>
      <c r="AG460" s="125"/>
      <c r="AH460" s="125"/>
      <c r="AI460" s="125">
        <f>$H460/12</f>
        <v>0</v>
      </c>
      <c r="AJ460" s="125"/>
      <c r="AK460" s="125"/>
      <c r="AL460" s="125">
        <f>$H460/12</f>
        <v>0</v>
      </c>
      <c r="AM460" s="125"/>
      <c r="AN460" s="125"/>
      <c r="AO460" s="125">
        <f>$H460/12</f>
        <v>0</v>
      </c>
      <c r="AP460" s="125"/>
      <c r="AQ460" s="125"/>
      <c r="AR460" s="125">
        <f>$H460/12</f>
        <v>0</v>
      </c>
      <c r="AS460" s="125"/>
      <c r="AT460" s="125"/>
      <c r="AU460" s="125">
        <f>$H460/12</f>
        <v>0</v>
      </c>
      <c r="AV460" s="125"/>
      <c r="AW460" s="125"/>
      <c r="AX460" s="125">
        <f>$H460/12</f>
        <v>0</v>
      </c>
      <c r="AY460" s="125"/>
      <c r="AZ460" s="125"/>
      <c r="BA460" s="125">
        <f>$H460/12</f>
        <v>0</v>
      </c>
      <c r="BB460" s="125"/>
      <c r="BC460" s="125"/>
      <c r="BD460" s="125">
        <f>$H460/12</f>
        <v>0</v>
      </c>
      <c r="BE460" s="125"/>
      <c r="BF460" s="125"/>
      <c r="BG460" s="125">
        <f>$H460/12</f>
        <v>0</v>
      </c>
      <c r="BH460" s="125"/>
      <c r="BI460" s="125"/>
      <c r="BJ460" s="125">
        <f>$H460/12</f>
        <v>0</v>
      </c>
      <c r="BK460" s="125"/>
      <c r="BL460" s="312"/>
      <c r="BM460" s="317"/>
      <c r="BN460" s="320"/>
    </row>
    <row r="461" s="14" customFormat="1" ht="33.95" hidden="1" customHeight="1" outlineLevel="2" spans="2:66">
      <c r="B461" s="118" t="s">
        <v>787</v>
      </c>
      <c r="C461" s="119" t="s">
        <v>1845</v>
      </c>
      <c r="D461" s="14" t="s">
        <v>1846</v>
      </c>
      <c r="E461" s="118"/>
      <c r="F461" s="118"/>
      <c r="G461" s="118"/>
      <c r="H461" s="118">
        <f>H462+H468+H477</f>
        <v>0</v>
      </c>
      <c r="I461" s="118"/>
      <c r="J461" s="118"/>
      <c r="K461" s="118"/>
      <c r="L461" s="118"/>
      <c r="M461" s="118"/>
      <c r="N461" s="310"/>
      <c r="O461" s="293"/>
      <c r="P461" s="293"/>
      <c r="Q461" s="293"/>
      <c r="R461" s="293"/>
      <c r="S461" s="293"/>
      <c r="T461" s="293"/>
      <c r="U461" s="293"/>
      <c r="V461" s="293"/>
      <c r="W461" s="293"/>
      <c r="X461" s="293"/>
      <c r="Y461" s="293"/>
      <c r="Z461" s="293"/>
      <c r="AA461" s="293"/>
      <c r="AB461" s="118">
        <f t="shared" ref="AB461:AF461" si="840">AB462+AB468+AB477</f>
        <v>0</v>
      </c>
      <c r="AC461" s="118">
        <f t="shared" si="840"/>
        <v>0</v>
      </c>
      <c r="AD461" s="118"/>
      <c r="AE461" s="118"/>
      <c r="AF461" s="118">
        <f t="shared" si="840"/>
        <v>0</v>
      </c>
      <c r="AG461" s="118"/>
      <c r="AH461" s="118"/>
      <c r="AI461" s="118">
        <f>AI462+AI468+AI477</f>
        <v>0</v>
      </c>
      <c r="AJ461" s="118"/>
      <c r="AK461" s="118"/>
      <c r="AL461" s="118">
        <f>AL462+AL468+AL477</f>
        <v>0</v>
      </c>
      <c r="AM461" s="118"/>
      <c r="AN461" s="118"/>
      <c r="AO461" s="118">
        <f>AO462+AO468+AO477</f>
        <v>0</v>
      </c>
      <c r="AP461" s="118"/>
      <c r="AQ461" s="118"/>
      <c r="AR461" s="118">
        <f>AR462+AR468+AR477</f>
        <v>0</v>
      </c>
      <c r="AS461" s="118"/>
      <c r="AT461" s="118"/>
      <c r="AU461" s="118">
        <f>AU462+AU468+AU477</f>
        <v>0</v>
      </c>
      <c r="AV461" s="118"/>
      <c r="AW461" s="118"/>
      <c r="AX461" s="118">
        <f>AX462+AX468+AX477</f>
        <v>0</v>
      </c>
      <c r="AY461" s="118"/>
      <c r="AZ461" s="118"/>
      <c r="BA461" s="118">
        <f>BA462+BA468+BA477</f>
        <v>0</v>
      </c>
      <c r="BB461" s="118"/>
      <c r="BC461" s="118"/>
      <c r="BD461" s="118">
        <f>BD462+BD468+BD477</f>
        <v>0</v>
      </c>
      <c r="BE461" s="118"/>
      <c r="BF461" s="118"/>
      <c r="BG461" s="118">
        <f>BG462+BG468+BG477</f>
        <v>0</v>
      </c>
      <c r="BH461" s="118"/>
      <c r="BI461" s="118"/>
      <c r="BJ461" s="118">
        <f>BJ462+BJ468+BJ477</f>
        <v>0</v>
      </c>
      <c r="BK461" s="118"/>
      <c r="BL461" s="310"/>
      <c r="BM461" s="317"/>
      <c r="BN461" s="318"/>
    </row>
    <row r="462" s="43" customFormat="1" ht="33.95" hidden="1" customHeight="1" outlineLevel="3" spans="2:66">
      <c r="B462" s="121" t="s">
        <v>787</v>
      </c>
      <c r="C462" s="122" t="s">
        <v>1847</v>
      </c>
      <c r="D462" s="43" t="s">
        <v>1848</v>
      </c>
      <c r="E462" s="121"/>
      <c r="F462" s="121"/>
      <c r="G462" s="121"/>
      <c r="H462" s="121">
        <f>SUM(H463:H467)</f>
        <v>0</v>
      </c>
      <c r="I462" s="121"/>
      <c r="J462" s="121"/>
      <c r="K462" s="121"/>
      <c r="L462" s="121"/>
      <c r="M462" s="121"/>
      <c r="N462" s="311"/>
      <c r="O462" s="294"/>
      <c r="P462" s="294"/>
      <c r="Q462" s="294"/>
      <c r="R462" s="294"/>
      <c r="S462" s="294"/>
      <c r="T462" s="294"/>
      <c r="U462" s="294"/>
      <c r="V462" s="294"/>
      <c r="W462" s="294"/>
      <c r="X462" s="294"/>
      <c r="Y462" s="294"/>
      <c r="Z462" s="294"/>
      <c r="AA462" s="294"/>
      <c r="AB462" s="121">
        <f t="shared" ref="AB462:AF462" si="841">SUM(AB463:AB467)</f>
        <v>0</v>
      </c>
      <c r="AC462" s="121">
        <f t="shared" si="841"/>
        <v>0</v>
      </c>
      <c r="AD462" s="121"/>
      <c r="AE462" s="121"/>
      <c r="AF462" s="121">
        <f t="shared" si="841"/>
        <v>0</v>
      </c>
      <c r="AG462" s="121"/>
      <c r="AH462" s="121"/>
      <c r="AI462" s="121">
        <f>SUM(AI463:AI467)</f>
        <v>0</v>
      </c>
      <c r="AJ462" s="121"/>
      <c r="AK462" s="121"/>
      <c r="AL462" s="121">
        <f>SUM(AL463:AL467)</f>
        <v>0</v>
      </c>
      <c r="AM462" s="121"/>
      <c r="AN462" s="121"/>
      <c r="AO462" s="121">
        <f>SUM(AO463:AO467)</f>
        <v>0</v>
      </c>
      <c r="AP462" s="121"/>
      <c r="AQ462" s="121"/>
      <c r="AR462" s="121">
        <f>SUM(AR463:AR467)</f>
        <v>0</v>
      </c>
      <c r="AS462" s="121"/>
      <c r="AT462" s="121"/>
      <c r="AU462" s="121">
        <f>SUM(AU463:AU467)</f>
        <v>0</v>
      </c>
      <c r="AV462" s="121"/>
      <c r="AW462" s="121"/>
      <c r="AX462" s="121">
        <f>SUM(AX463:AX467)</f>
        <v>0</v>
      </c>
      <c r="AY462" s="121"/>
      <c r="AZ462" s="121"/>
      <c r="BA462" s="121">
        <f>SUM(BA463:BA467)</f>
        <v>0</v>
      </c>
      <c r="BB462" s="121"/>
      <c r="BC462" s="121"/>
      <c r="BD462" s="121">
        <f>SUM(BD463:BD467)</f>
        <v>0</v>
      </c>
      <c r="BE462" s="121"/>
      <c r="BF462" s="121"/>
      <c r="BG462" s="121">
        <f>SUM(BG463:BG467)</f>
        <v>0</v>
      </c>
      <c r="BH462" s="121"/>
      <c r="BI462" s="121"/>
      <c r="BJ462" s="121">
        <f>SUM(BJ463:BJ467)</f>
        <v>0</v>
      </c>
      <c r="BK462" s="121"/>
      <c r="BL462" s="311"/>
      <c r="BM462" s="317"/>
      <c r="BN462" s="319"/>
    </row>
    <row r="463" s="124" customFormat="1" ht="33.95" hidden="1" customHeight="1" outlineLevel="5" spans="2:66">
      <c r="B463" s="125" t="s">
        <v>792</v>
      </c>
      <c r="C463" s="126" t="s">
        <v>1849</v>
      </c>
      <c r="D463" s="124" t="s">
        <v>1850</v>
      </c>
      <c r="E463" s="125"/>
      <c r="F463" s="125" t="s">
        <v>1618</v>
      </c>
      <c r="G463" s="125" t="s">
        <v>936</v>
      </c>
      <c r="H463" s="125">
        <f t="shared" ref="H463:H467" si="842">J463*L463</f>
        <v>0</v>
      </c>
      <c r="I463" s="125" t="s">
        <v>1235</v>
      </c>
      <c r="J463" s="304"/>
      <c r="K463" s="125" t="s">
        <v>1143</v>
      </c>
      <c r="L463" s="125">
        <v>2850</v>
      </c>
      <c r="M463" s="125" t="s">
        <v>1763</v>
      </c>
      <c r="N463" s="125">
        <f t="shared" ref="N463:N467" si="843">COUNTA(O463:Z463)</f>
        <v>0</v>
      </c>
      <c r="O463" s="323"/>
      <c r="P463" s="323"/>
      <c r="Q463" s="323"/>
      <c r="R463" s="323"/>
      <c r="S463" s="323"/>
      <c r="T463" s="323"/>
      <c r="U463" s="323"/>
      <c r="V463" s="323"/>
      <c r="W463" s="323"/>
      <c r="X463" s="323"/>
      <c r="Y463" s="323"/>
      <c r="Z463" s="323"/>
      <c r="AA463" s="125"/>
      <c r="AB463" s="125">
        <f t="shared" ref="AB463:AB467" si="844">SUM(AC463,AF463,AI463,AL463,AO463,AR463,AU463,AX463,BA463,BD463,BG463,BJ463)</f>
        <v>0</v>
      </c>
      <c r="AC463" s="125">
        <f t="shared" ref="AC463:AC467" si="845">IF(O463="√",$J463*$L463/$N463,0)</f>
        <v>0</v>
      </c>
      <c r="AD463" s="125"/>
      <c r="AE463" s="125"/>
      <c r="AF463" s="125">
        <f t="shared" ref="AF463:AF467" si="846">IF(P463="√",$J463*$L463/$N463,0)</f>
        <v>0</v>
      </c>
      <c r="AG463" s="125"/>
      <c r="AH463" s="125"/>
      <c r="AI463" s="125">
        <f t="shared" ref="AI463:AI467" si="847">IF(Q463="√",$J463*$L463/$N463,0)</f>
        <v>0</v>
      </c>
      <c r="AJ463" s="125"/>
      <c r="AK463" s="125"/>
      <c r="AL463" s="125">
        <f t="shared" ref="AL463:AL467" si="848">IF(R463="√",$J463*$L463/$N463,0)</f>
        <v>0</v>
      </c>
      <c r="AM463" s="125"/>
      <c r="AN463" s="125"/>
      <c r="AO463" s="125">
        <f t="shared" ref="AO463:AO467" si="849">IF(S463="√",$J463*$L463/$N463,0)</f>
        <v>0</v>
      </c>
      <c r="AP463" s="125"/>
      <c r="AQ463" s="125"/>
      <c r="AR463" s="125">
        <f t="shared" ref="AR463:AR467" si="850">IF(T463="√",$J463*$L463/$N463,0)</f>
        <v>0</v>
      </c>
      <c r="AS463" s="125"/>
      <c r="AT463" s="125"/>
      <c r="AU463" s="125">
        <f t="shared" ref="AU463:AU467" si="851">IF(U463="√",$J463*$L463/$N463,0)</f>
        <v>0</v>
      </c>
      <c r="AV463" s="125"/>
      <c r="AW463" s="125"/>
      <c r="AX463" s="125">
        <f t="shared" ref="AX463:AX467" si="852">IF(V463="√",$J463*$L463/$N463,0)</f>
        <v>0</v>
      </c>
      <c r="AY463" s="125"/>
      <c r="AZ463" s="125"/>
      <c r="BA463" s="125">
        <f t="shared" ref="BA463:BA467" si="853">IF(W463="√",$J463*$L463/$N463,0)</f>
        <v>0</v>
      </c>
      <c r="BB463" s="125"/>
      <c r="BC463" s="125"/>
      <c r="BD463" s="125">
        <f t="shared" ref="BD463:BD467" si="854">IF(X463="√",$J463*$L463/$N463,0)</f>
        <v>0</v>
      </c>
      <c r="BE463" s="125"/>
      <c r="BF463" s="125"/>
      <c r="BG463" s="125">
        <f t="shared" ref="BG463:BG467" si="855">IF(Y463="√",$J463*$L463/$N463,0)</f>
        <v>0</v>
      </c>
      <c r="BH463" s="125"/>
      <c r="BI463" s="125"/>
      <c r="BJ463" s="125">
        <f t="shared" ref="BJ463:BJ467" si="856">IF(Z463="√",$J463*$L463/$N463,0)</f>
        <v>0</v>
      </c>
      <c r="BK463" s="125"/>
      <c r="BL463" s="312"/>
      <c r="BM463" s="317"/>
      <c r="BN463" s="320"/>
    </row>
    <row r="464" s="124" customFormat="1" ht="33.95" hidden="1" customHeight="1" outlineLevel="5" spans="2:66">
      <c r="B464" s="125" t="s">
        <v>792</v>
      </c>
      <c r="C464" s="126" t="s">
        <v>1851</v>
      </c>
      <c r="D464" s="124" t="s">
        <v>1852</v>
      </c>
      <c r="E464" s="125"/>
      <c r="F464" s="125" t="s">
        <v>1618</v>
      </c>
      <c r="G464" s="125" t="s">
        <v>936</v>
      </c>
      <c r="H464" s="125">
        <f t="shared" si="842"/>
        <v>0</v>
      </c>
      <c r="I464" s="125" t="s">
        <v>1235</v>
      </c>
      <c r="J464" s="304"/>
      <c r="K464" s="125" t="s">
        <v>1143</v>
      </c>
      <c r="L464" s="125">
        <v>1180</v>
      </c>
      <c r="M464" s="125" t="s">
        <v>1763</v>
      </c>
      <c r="N464" s="125">
        <f t="shared" si="843"/>
        <v>0</v>
      </c>
      <c r="O464" s="304"/>
      <c r="P464" s="304"/>
      <c r="Q464" s="304"/>
      <c r="R464" s="304"/>
      <c r="S464" s="304"/>
      <c r="T464" s="304"/>
      <c r="U464" s="304"/>
      <c r="V464" s="304"/>
      <c r="W464" s="304"/>
      <c r="X464" s="304"/>
      <c r="Y464" s="304"/>
      <c r="Z464" s="304"/>
      <c r="AA464" s="125"/>
      <c r="AB464" s="125">
        <f t="shared" si="844"/>
        <v>0</v>
      </c>
      <c r="AC464" s="125">
        <f t="shared" si="845"/>
        <v>0</v>
      </c>
      <c r="AD464" s="125"/>
      <c r="AE464" s="125"/>
      <c r="AF464" s="125">
        <f t="shared" si="846"/>
        <v>0</v>
      </c>
      <c r="AG464" s="125"/>
      <c r="AH464" s="125"/>
      <c r="AI464" s="125">
        <f t="shared" si="847"/>
        <v>0</v>
      </c>
      <c r="AJ464" s="125"/>
      <c r="AK464" s="125"/>
      <c r="AL464" s="125">
        <f t="shared" si="848"/>
        <v>0</v>
      </c>
      <c r="AM464" s="125"/>
      <c r="AN464" s="125"/>
      <c r="AO464" s="125">
        <f t="shared" si="849"/>
        <v>0</v>
      </c>
      <c r="AP464" s="125"/>
      <c r="AQ464" s="125"/>
      <c r="AR464" s="125">
        <f t="shared" si="850"/>
        <v>0</v>
      </c>
      <c r="AS464" s="125"/>
      <c r="AT464" s="125"/>
      <c r="AU464" s="125">
        <f t="shared" si="851"/>
        <v>0</v>
      </c>
      <c r="AV464" s="125"/>
      <c r="AW464" s="125"/>
      <c r="AX464" s="125">
        <f t="shared" si="852"/>
        <v>0</v>
      </c>
      <c r="AY464" s="125"/>
      <c r="AZ464" s="125"/>
      <c r="BA464" s="125">
        <f t="shared" si="853"/>
        <v>0</v>
      </c>
      <c r="BB464" s="125"/>
      <c r="BC464" s="125"/>
      <c r="BD464" s="125">
        <f t="shared" si="854"/>
        <v>0</v>
      </c>
      <c r="BE464" s="125"/>
      <c r="BF464" s="125"/>
      <c r="BG464" s="125">
        <f t="shared" si="855"/>
        <v>0</v>
      </c>
      <c r="BH464" s="125"/>
      <c r="BI464" s="125"/>
      <c r="BJ464" s="125">
        <f t="shared" si="856"/>
        <v>0</v>
      </c>
      <c r="BK464" s="125"/>
      <c r="BL464" s="312"/>
      <c r="BM464" s="317"/>
      <c r="BN464" s="320"/>
    </row>
    <row r="465" s="124" customFormat="1" ht="33.95" hidden="1" customHeight="1" outlineLevel="5" spans="2:66">
      <c r="B465" s="125" t="s">
        <v>792</v>
      </c>
      <c r="C465" s="126" t="s">
        <v>1853</v>
      </c>
      <c r="D465" s="124" t="s">
        <v>1854</v>
      </c>
      <c r="E465" s="125"/>
      <c r="F465" s="125" t="s">
        <v>1618</v>
      </c>
      <c r="G465" s="125" t="s">
        <v>936</v>
      </c>
      <c r="H465" s="125">
        <f t="shared" si="842"/>
        <v>0</v>
      </c>
      <c r="I465" s="125" t="s">
        <v>1235</v>
      </c>
      <c r="J465" s="304"/>
      <c r="K465" s="125" t="s">
        <v>1143</v>
      </c>
      <c r="L465" s="125">
        <v>380</v>
      </c>
      <c r="M465" s="125" t="s">
        <v>1763</v>
      </c>
      <c r="N465" s="125">
        <f t="shared" si="843"/>
        <v>0</v>
      </c>
      <c r="O465" s="304"/>
      <c r="P465" s="304"/>
      <c r="Q465" s="304"/>
      <c r="R465" s="304"/>
      <c r="S465" s="304"/>
      <c r="T465" s="304"/>
      <c r="U465" s="304"/>
      <c r="V465" s="304"/>
      <c r="W465" s="304"/>
      <c r="X465" s="304"/>
      <c r="Y465" s="304"/>
      <c r="Z465" s="304"/>
      <c r="AA465" s="125"/>
      <c r="AB465" s="125">
        <f t="shared" si="844"/>
        <v>0</v>
      </c>
      <c r="AC465" s="125">
        <f t="shared" si="845"/>
        <v>0</v>
      </c>
      <c r="AD465" s="125"/>
      <c r="AE465" s="125"/>
      <c r="AF465" s="125">
        <f t="shared" si="846"/>
        <v>0</v>
      </c>
      <c r="AG465" s="125"/>
      <c r="AH465" s="125"/>
      <c r="AI465" s="125">
        <f t="shared" si="847"/>
        <v>0</v>
      </c>
      <c r="AJ465" s="125"/>
      <c r="AK465" s="125"/>
      <c r="AL465" s="125">
        <f t="shared" si="848"/>
        <v>0</v>
      </c>
      <c r="AM465" s="125"/>
      <c r="AN465" s="125"/>
      <c r="AO465" s="125">
        <f t="shared" si="849"/>
        <v>0</v>
      </c>
      <c r="AP465" s="125"/>
      <c r="AQ465" s="125"/>
      <c r="AR465" s="125">
        <f t="shared" si="850"/>
        <v>0</v>
      </c>
      <c r="AS465" s="125"/>
      <c r="AT465" s="125"/>
      <c r="AU465" s="125">
        <f t="shared" si="851"/>
        <v>0</v>
      </c>
      <c r="AV465" s="125"/>
      <c r="AW465" s="125"/>
      <c r="AX465" s="125">
        <f t="shared" si="852"/>
        <v>0</v>
      </c>
      <c r="AY465" s="125"/>
      <c r="AZ465" s="125"/>
      <c r="BA465" s="125">
        <f t="shared" si="853"/>
        <v>0</v>
      </c>
      <c r="BB465" s="125"/>
      <c r="BC465" s="125"/>
      <c r="BD465" s="125">
        <f t="shared" si="854"/>
        <v>0</v>
      </c>
      <c r="BE465" s="125"/>
      <c r="BF465" s="125"/>
      <c r="BG465" s="125">
        <f t="shared" si="855"/>
        <v>0</v>
      </c>
      <c r="BH465" s="125"/>
      <c r="BI465" s="125"/>
      <c r="BJ465" s="125">
        <f t="shared" si="856"/>
        <v>0</v>
      </c>
      <c r="BK465" s="125"/>
      <c r="BL465" s="312"/>
      <c r="BM465" s="317"/>
      <c r="BN465" s="320"/>
    </row>
    <row r="466" s="124" customFormat="1" ht="33.95" hidden="1" customHeight="1" outlineLevel="5" spans="2:66">
      <c r="B466" s="125" t="s">
        <v>792</v>
      </c>
      <c r="C466" s="126" t="s">
        <v>1855</v>
      </c>
      <c r="D466" s="124" t="s">
        <v>1856</v>
      </c>
      <c r="E466" s="125"/>
      <c r="F466" s="125" t="s">
        <v>1618</v>
      </c>
      <c r="G466" s="125" t="s">
        <v>936</v>
      </c>
      <c r="H466" s="125">
        <f t="shared" si="842"/>
        <v>0</v>
      </c>
      <c r="I466" s="125" t="s">
        <v>1235</v>
      </c>
      <c r="J466" s="304"/>
      <c r="K466" s="125" t="s">
        <v>1143</v>
      </c>
      <c r="L466" s="125">
        <v>2330</v>
      </c>
      <c r="M466" s="125" t="s">
        <v>1763</v>
      </c>
      <c r="N466" s="125">
        <f t="shared" si="843"/>
        <v>0</v>
      </c>
      <c r="O466" s="304"/>
      <c r="P466" s="304"/>
      <c r="Q466" s="304"/>
      <c r="R466" s="304"/>
      <c r="S466" s="304"/>
      <c r="T466" s="304"/>
      <c r="U466" s="304"/>
      <c r="V466" s="304"/>
      <c r="W466" s="304"/>
      <c r="X466" s="304"/>
      <c r="Y466" s="304"/>
      <c r="Z466" s="304"/>
      <c r="AA466" s="125"/>
      <c r="AB466" s="125">
        <f t="shared" si="844"/>
        <v>0</v>
      </c>
      <c r="AC466" s="125">
        <f t="shared" si="845"/>
        <v>0</v>
      </c>
      <c r="AD466" s="125"/>
      <c r="AE466" s="125"/>
      <c r="AF466" s="125">
        <f t="shared" si="846"/>
        <v>0</v>
      </c>
      <c r="AG466" s="125"/>
      <c r="AH466" s="125"/>
      <c r="AI466" s="125">
        <f t="shared" si="847"/>
        <v>0</v>
      </c>
      <c r="AJ466" s="125"/>
      <c r="AK466" s="125"/>
      <c r="AL466" s="125">
        <f t="shared" si="848"/>
        <v>0</v>
      </c>
      <c r="AM466" s="125"/>
      <c r="AN466" s="125"/>
      <c r="AO466" s="125">
        <f t="shared" si="849"/>
        <v>0</v>
      </c>
      <c r="AP466" s="125"/>
      <c r="AQ466" s="125"/>
      <c r="AR466" s="125">
        <f t="shared" si="850"/>
        <v>0</v>
      </c>
      <c r="AS466" s="125"/>
      <c r="AT466" s="125"/>
      <c r="AU466" s="125">
        <f t="shared" si="851"/>
        <v>0</v>
      </c>
      <c r="AV466" s="125"/>
      <c r="AW466" s="125"/>
      <c r="AX466" s="125">
        <f t="shared" si="852"/>
        <v>0</v>
      </c>
      <c r="AY466" s="125"/>
      <c r="AZ466" s="125"/>
      <c r="BA466" s="125">
        <f t="shared" si="853"/>
        <v>0</v>
      </c>
      <c r="BB466" s="125"/>
      <c r="BC466" s="125"/>
      <c r="BD466" s="125">
        <f t="shared" si="854"/>
        <v>0</v>
      </c>
      <c r="BE466" s="125"/>
      <c r="BF466" s="125"/>
      <c r="BG466" s="125">
        <f t="shared" si="855"/>
        <v>0</v>
      </c>
      <c r="BH466" s="125"/>
      <c r="BI466" s="125"/>
      <c r="BJ466" s="125">
        <f t="shared" si="856"/>
        <v>0</v>
      </c>
      <c r="BK466" s="125"/>
      <c r="BL466" s="312"/>
      <c r="BM466" s="317"/>
      <c r="BN466" s="320"/>
    </row>
    <row r="467" s="124" customFormat="1" ht="33.95" hidden="1" customHeight="1" outlineLevel="5" spans="2:66">
      <c r="B467" s="125" t="s">
        <v>792</v>
      </c>
      <c r="C467" s="126" t="s">
        <v>1857</v>
      </c>
      <c r="D467" s="124" t="s">
        <v>1858</v>
      </c>
      <c r="E467" s="125"/>
      <c r="F467" s="125" t="s">
        <v>1618</v>
      </c>
      <c r="G467" s="125" t="s">
        <v>936</v>
      </c>
      <c r="H467" s="125">
        <f t="shared" si="842"/>
        <v>0</v>
      </c>
      <c r="I467" s="125" t="s">
        <v>1235</v>
      </c>
      <c r="J467" s="304"/>
      <c r="K467" s="125" t="s">
        <v>1143</v>
      </c>
      <c r="L467" s="125">
        <v>2400</v>
      </c>
      <c r="M467" s="125" t="s">
        <v>1763</v>
      </c>
      <c r="N467" s="125">
        <f t="shared" si="843"/>
        <v>0</v>
      </c>
      <c r="O467" s="322"/>
      <c r="P467" s="322"/>
      <c r="Q467" s="322"/>
      <c r="R467" s="322"/>
      <c r="S467" s="322"/>
      <c r="T467" s="322"/>
      <c r="U467" s="322"/>
      <c r="V467" s="322"/>
      <c r="W467" s="322"/>
      <c r="X467" s="322"/>
      <c r="Y467" s="322"/>
      <c r="Z467" s="322"/>
      <c r="AA467" s="125"/>
      <c r="AB467" s="125">
        <f t="shared" si="844"/>
        <v>0</v>
      </c>
      <c r="AC467" s="125">
        <f t="shared" si="845"/>
        <v>0</v>
      </c>
      <c r="AD467" s="125"/>
      <c r="AE467" s="125"/>
      <c r="AF467" s="125">
        <f t="shared" si="846"/>
        <v>0</v>
      </c>
      <c r="AG467" s="125"/>
      <c r="AH467" s="125"/>
      <c r="AI467" s="125">
        <f t="shared" si="847"/>
        <v>0</v>
      </c>
      <c r="AJ467" s="125"/>
      <c r="AK467" s="125"/>
      <c r="AL467" s="125">
        <f t="shared" si="848"/>
        <v>0</v>
      </c>
      <c r="AM467" s="125"/>
      <c r="AN467" s="125"/>
      <c r="AO467" s="125">
        <f t="shared" si="849"/>
        <v>0</v>
      </c>
      <c r="AP467" s="125"/>
      <c r="AQ467" s="125"/>
      <c r="AR467" s="125">
        <f t="shared" si="850"/>
        <v>0</v>
      </c>
      <c r="AS467" s="125"/>
      <c r="AT467" s="125"/>
      <c r="AU467" s="125">
        <f t="shared" si="851"/>
        <v>0</v>
      </c>
      <c r="AV467" s="125"/>
      <c r="AW467" s="125"/>
      <c r="AX467" s="125">
        <f t="shared" si="852"/>
        <v>0</v>
      </c>
      <c r="AY467" s="125"/>
      <c r="AZ467" s="125"/>
      <c r="BA467" s="125">
        <f t="shared" si="853"/>
        <v>0</v>
      </c>
      <c r="BB467" s="125"/>
      <c r="BC467" s="125"/>
      <c r="BD467" s="125">
        <f t="shared" si="854"/>
        <v>0</v>
      </c>
      <c r="BE467" s="125"/>
      <c r="BF467" s="125"/>
      <c r="BG467" s="125">
        <f t="shared" si="855"/>
        <v>0</v>
      </c>
      <c r="BH467" s="125"/>
      <c r="BI467" s="125"/>
      <c r="BJ467" s="125">
        <f t="shared" si="856"/>
        <v>0</v>
      </c>
      <c r="BK467" s="125"/>
      <c r="BL467" s="312"/>
      <c r="BM467" s="317"/>
      <c r="BN467" s="320"/>
    </row>
    <row r="468" s="43" customFormat="1" ht="33.95" hidden="1" customHeight="1" outlineLevel="3" spans="2:66">
      <c r="B468" s="121" t="s">
        <v>787</v>
      </c>
      <c r="C468" s="122" t="s">
        <v>1859</v>
      </c>
      <c r="D468" s="43" t="s">
        <v>1860</v>
      </c>
      <c r="E468" s="121"/>
      <c r="F468" s="121"/>
      <c r="G468" s="121"/>
      <c r="H468" s="121">
        <f>SUM(H469:H476)</f>
        <v>0</v>
      </c>
      <c r="I468" s="121"/>
      <c r="J468" s="121"/>
      <c r="K468" s="121"/>
      <c r="L468" s="121"/>
      <c r="M468" s="121"/>
      <c r="N468" s="311"/>
      <c r="O468" s="294"/>
      <c r="P468" s="294"/>
      <c r="Q468" s="294"/>
      <c r="R468" s="294"/>
      <c r="S468" s="294"/>
      <c r="T468" s="294"/>
      <c r="U468" s="294"/>
      <c r="V468" s="294"/>
      <c r="W468" s="294"/>
      <c r="X468" s="294"/>
      <c r="Y468" s="294"/>
      <c r="Z468" s="294"/>
      <c r="AA468" s="294"/>
      <c r="AB468" s="121">
        <f>SUM(AB469:AB476)</f>
        <v>0</v>
      </c>
      <c r="AC468" s="121">
        <f>SUM(AC469:AC476)</f>
        <v>0</v>
      </c>
      <c r="AD468" s="121"/>
      <c r="AE468" s="121"/>
      <c r="AF468" s="121">
        <f>SUM(AF469:AF476)</f>
        <v>0</v>
      </c>
      <c r="AG468" s="121"/>
      <c r="AH468" s="121"/>
      <c r="AI468" s="121">
        <f>SUM(AI469:AI476)</f>
        <v>0</v>
      </c>
      <c r="AJ468" s="121"/>
      <c r="AK468" s="121"/>
      <c r="AL468" s="121">
        <f>SUM(AL469:AL476)</f>
        <v>0</v>
      </c>
      <c r="AM468" s="121"/>
      <c r="AN468" s="121"/>
      <c r="AO468" s="121">
        <f>SUM(AO469:AO476)</f>
        <v>0</v>
      </c>
      <c r="AP468" s="121"/>
      <c r="AQ468" s="121"/>
      <c r="AR468" s="121">
        <f>SUM(AR469:AR476)</f>
        <v>0</v>
      </c>
      <c r="AS468" s="121"/>
      <c r="AT468" s="121"/>
      <c r="AU468" s="121">
        <f>SUM(AU469:AU476)</f>
        <v>0</v>
      </c>
      <c r="AV468" s="121"/>
      <c r="AW468" s="121"/>
      <c r="AX468" s="121">
        <f>SUM(AX469:AX476)</f>
        <v>0</v>
      </c>
      <c r="AY468" s="121"/>
      <c r="AZ468" s="121"/>
      <c r="BA468" s="121">
        <f>SUM(BA469:BA476)</f>
        <v>0</v>
      </c>
      <c r="BB468" s="121"/>
      <c r="BC468" s="121"/>
      <c r="BD468" s="121">
        <f>SUM(BD469:BD476)</f>
        <v>0</v>
      </c>
      <c r="BE468" s="121"/>
      <c r="BF468" s="121"/>
      <c r="BG468" s="121">
        <f>SUM(BG469:BG476)</f>
        <v>0</v>
      </c>
      <c r="BH468" s="121"/>
      <c r="BI468" s="121"/>
      <c r="BJ468" s="121">
        <f>SUM(BJ469:BJ476)</f>
        <v>0</v>
      </c>
      <c r="BK468" s="121"/>
      <c r="BL468" s="311"/>
      <c r="BM468" s="317"/>
      <c r="BN468" s="319"/>
    </row>
    <row r="469" s="124" customFormat="1" ht="33.95" hidden="1" customHeight="1" outlineLevel="5" spans="2:66">
      <c r="B469" s="125" t="s">
        <v>792</v>
      </c>
      <c r="C469" s="126" t="s">
        <v>1861</v>
      </c>
      <c r="D469" s="124" t="s">
        <v>1862</v>
      </c>
      <c r="E469" s="125" t="s">
        <v>1863</v>
      </c>
      <c r="F469" s="125" t="s">
        <v>1618</v>
      </c>
      <c r="G469" s="125" t="s">
        <v>936</v>
      </c>
      <c r="H469" s="125">
        <f t="shared" ref="H469:H475" si="857">J469*L469</f>
        <v>0</v>
      </c>
      <c r="I469" s="125" t="s">
        <v>1235</v>
      </c>
      <c r="J469" s="304"/>
      <c r="K469" s="125" t="s">
        <v>1864</v>
      </c>
      <c r="L469" s="125">
        <v>2.6</v>
      </c>
      <c r="M469" s="125" t="s">
        <v>1865</v>
      </c>
      <c r="N469" s="125">
        <f t="shared" ref="N469:N475" si="858">COUNTA(O469:Z469)</f>
        <v>0</v>
      </c>
      <c r="O469" s="323"/>
      <c r="P469" s="323"/>
      <c r="Q469" s="323"/>
      <c r="R469" s="323"/>
      <c r="S469" s="323"/>
      <c r="T469" s="323"/>
      <c r="U469" s="323"/>
      <c r="V469" s="323"/>
      <c r="W469" s="323"/>
      <c r="X469" s="323"/>
      <c r="Y469" s="323"/>
      <c r="Z469" s="323"/>
      <c r="AA469" s="125"/>
      <c r="AB469" s="125">
        <f>SUM(AC469,AF469,AI469,AL469,AO469,AR469,AU469,AX469,BA469,BD469,BG469,BJ469)</f>
        <v>0</v>
      </c>
      <c r="AC469" s="125">
        <f>IF(O469="√",$J469*$L469/$N469,0)</f>
        <v>0</v>
      </c>
      <c r="AD469" s="125"/>
      <c r="AE469" s="125"/>
      <c r="AF469" s="125">
        <f>IF(P469="√",$J469*$L469/$N469,0)</f>
        <v>0</v>
      </c>
      <c r="AG469" s="125"/>
      <c r="AH469" s="125"/>
      <c r="AI469" s="125">
        <f>IF(Q469="√",$J469*$L469/$N469,0)</f>
        <v>0</v>
      </c>
      <c r="AJ469" s="125"/>
      <c r="AK469" s="125"/>
      <c r="AL469" s="125">
        <f>IF(R469="√",$J469*$L469/$N469,0)</f>
        <v>0</v>
      </c>
      <c r="AM469" s="125"/>
      <c r="AN469" s="125"/>
      <c r="AO469" s="125">
        <f>IF(S469="√",$J469*$L469/$N469,0)</f>
        <v>0</v>
      </c>
      <c r="AP469" s="125"/>
      <c r="AQ469" s="125"/>
      <c r="AR469" s="125">
        <f>IF(T469="√",$J469*$L469/$N469,0)</f>
        <v>0</v>
      </c>
      <c r="AS469" s="125"/>
      <c r="AT469" s="125"/>
      <c r="AU469" s="125">
        <f>IF(U469="√",$J469*$L469/$N469,0)</f>
        <v>0</v>
      </c>
      <c r="AV469" s="125"/>
      <c r="AW469" s="125"/>
      <c r="AX469" s="125">
        <f>IF(V469="√",$J469*$L469/$N469,0)</f>
        <v>0</v>
      </c>
      <c r="AY469" s="125"/>
      <c r="AZ469" s="125"/>
      <c r="BA469" s="125">
        <f>IF(W469="√",$J469*$L469/$N469,0)</f>
        <v>0</v>
      </c>
      <c r="BB469" s="125"/>
      <c r="BC469" s="125"/>
      <c r="BD469" s="125">
        <f>IF(X469="√",$J469*$L469/$N469,0)</f>
        <v>0</v>
      </c>
      <c r="BE469" s="125"/>
      <c r="BF469" s="125"/>
      <c r="BG469" s="125">
        <f>IF(Y469="√",$J469*$L469/$N469,0)</f>
        <v>0</v>
      </c>
      <c r="BH469" s="125"/>
      <c r="BI469" s="125"/>
      <c r="BJ469" s="125">
        <f>IF(Z469="√",$J469*$L469/$N469,0)</f>
        <v>0</v>
      </c>
      <c r="BK469" s="125"/>
      <c r="BL469" s="312"/>
      <c r="BM469" s="317"/>
      <c r="BN469" s="320"/>
    </row>
    <row r="470" s="124" customFormat="1" ht="33.95" hidden="1" customHeight="1" outlineLevel="5" spans="2:66">
      <c r="B470" s="125" t="s">
        <v>792</v>
      </c>
      <c r="C470" s="126" t="s">
        <v>1866</v>
      </c>
      <c r="D470" s="124" t="s">
        <v>1867</v>
      </c>
      <c r="E470" s="125"/>
      <c r="F470" s="125" t="s">
        <v>1618</v>
      </c>
      <c r="G470" s="125" t="s">
        <v>936</v>
      </c>
      <c r="H470" s="125">
        <f t="shared" si="857"/>
        <v>0</v>
      </c>
      <c r="I470" s="125" t="s">
        <v>1235</v>
      </c>
      <c r="J470" s="304"/>
      <c r="K470" s="125" t="s">
        <v>1864</v>
      </c>
      <c r="L470" s="125">
        <v>2.6</v>
      </c>
      <c r="M470" s="125" t="s">
        <v>1865</v>
      </c>
      <c r="N470" s="125">
        <f t="shared" si="858"/>
        <v>0</v>
      </c>
      <c r="O470" s="304"/>
      <c r="P470" s="304"/>
      <c r="Q470" s="304"/>
      <c r="R470" s="304"/>
      <c r="S470" s="304"/>
      <c r="T470" s="304"/>
      <c r="U470" s="304"/>
      <c r="V470" s="304"/>
      <c r="W470" s="304"/>
      <c r="X470" s="304"/>
      <c r="Y470" s="304"/>
      <c r="Z470" s="304"/>
      <c r="AA470" s="125"/>
      <c r="AB470" s="125">
        <f>SUM(AC470,AF470,AI470,AL470,AO470,AR470,AU470,AX470,BA470,BD470,BG470,BJ470)</f>
        <v>0</v>
      </c>
      <c r="AC470" s="125">
        <f>IF(O470="√",$J470*$L470/$N470,0)</f>
        <v>0</v>
      </c>
      <c r="AD470" s="125"/>
      <c r="AE470" s="125"/>
      <c r="AF470" s="125">
        <f>IF(P470="√",$J470*$L470/$N470,0)</f>
        <v>0</v>
      </c>
      <c r="AG470" s="125"/>
      <c r="AH470" s="125"/>
      <c r="AI470" s="125">
        <f>IF(Q470="√",$J470*$L470/$N470,0)</f>
        <v>0</v>
      </c>
      <c r="AJ470" s="125"/>
      <c r="AK470" s="125"/>
      <c r="AL470" s="125">
        <f>IF(R470="√",$J470*$L470/$N470,0)</f>
        <v>0</v>
      </c>
      <c r="AM470" s="125"/>
      <c r="AN470" s="125"/>
      <c r="AO470" s="125">
        <f>IF(S470="√",$J470*$L470/$N470,0)</f>
        <v>0</v>
      </c>
      <c r="AP470" s="125"/>
      <c r="AQ470" s="125"/>
      <c r="AR470" s="125">
        <f>IF(T470="√",$J470*$L470/$N470,0)</f>
        <v>0</v>
      </c>
      <c r="AS470" s="125"/>
      <c r="AT470" s="125"/>
      <c r="AU470" s="125">
        <f>IF(U470="√",$J470*$L470/$N470,0)</f>
        <v>0</v>
      </c>
      <c r="AV470" s="125"/>
      <c r="AW470" s="125"/>
      <c r="AX470" s="125">
        <f>IF(V470="√",$J470*$L470/$N470,0)</f>
        <v>0</v>
      </c>
      <c r="AY470" s="125"/>
      <c r="AZ470" s="125"/>
      <c r="BA470" s="125">
        <f>IF(W470="√",$J470*$L470/$N470,0)</f>
        <v>0</v>
      </c>
      <c r="BB470" s="125"/>
      <c r="BC470" s="125"/>
      <c r="BD470" s="125">
        <f>IF(X470="√",$J470*$L470/$N470,0)</f>
        <v>0</v>
      </c>
      <c r="BE470" s="125"/>
      <c r="BF470" s="125"/>
      <c r="BG470" s="125">
        <f>IF(Y470="√",$J470*$L470/$N470,0)</f>
        <v>0</v>
      </c>
      <c r="BH470" s="125"/>
      <c r="BI470" s="125"/>
      <c r="BJ470" s="125">
        <f>IF(Z470="√",$J470*$L470/$N470,0)</f>
        <v>0</v>
      </c>
      <c r="BK470" s="125"/>
      <c r="BL470" s="312"/>
      <c r="BM470" s="317"/>
      <c r="BN470" s="320"/>
    </row>
    <row r="471" s="124" customFormat="1" ht="33.95" hidden="1" customHeight="1" outlineLevel="5" spans="2:66">
      <c r="B471" s="125" t="s">
        <v>792</v>
      </c>
      <c r="C471" s="126" t="s">
        <v>1868</v>
      </c>
      <c r="D471" s="124" t="s">
        <v>1869</v>
      </c>
      <c r="E471" s="125"/>
      <c r="F471" s="125" t="s">
        <v>1618</v>
      </c>
      <c r="G471" s="125" t="s">
        <v>936</v>
      </c>
      <c r="H471" s="125">
        <f t="shared" si="857"/>
        <v>0</v>
      </c>
      <c r="I471" s="125" t="s">
        <v>1235</v>
      </c>
      <c r="J471" s="304"/>
      <c r="K471" s="125" t="s">
        <v>1864</v>
      </c>
      <c r="L471" s="125">
        <v>2.6</v>
      </c>
      <c r="M471" s="125" t="s">
        <v>1865</v>
      </c>
      <c r="N471" s="125">
        <f t="shared" si="858"/>
        <v>0</v>
      </c>
      <c r="O471" s="304"/>
      <c r="P471" s="304"/>
      <c r="Q471" s="304"/>
      <c r="R471" s="304"/>
      <c r="S471" s="304"/>
      <c r="T471" s="304"/>
      <c r="U471" s="304"/>
      <c r="V471" s="304"/>
      <c r="W471" s="304"/>
      <c r="X471" s="304"/>
      <c r="Y471" s="304"/>
      <c r="Z471" s="304"/>
      <c r="AA471" s="125"/>
      <c r="AB471" s="125">
        <f>SUM(AC471,AF471,AI471,AL471,AO471,AR471,AU471,AX471,BA471,BD471,BG471,BJ471)</f>
        <v>0</v>
      </c>
      <c r="AC471" s="125">
        <f>IF(O471="√",$J471*$L471/$N471,0)</f>
        <v>0</v>
      </c>
      <c r="AD471" s="125"/>
      <c r="AE471" s="125"/>
      <c r="AF471" s="125">
        <f>IF(P471="√",$J471*$L471/$N471,0)</f>
        <v>0</v>
      </c>
      <c r="AG471" s="125"/>
      <c r="AH471" s="125"/>
      <c r="AI471" s="125">
        <f>IF(Q471="√",$J471*$L471/$N471,0)</f>
        <v>0</v>
      </c>
      <c r="AJ471" s="125"/>
      <c r="AK471" s="125"/>
      <c r="AL471" s="125">
        <f>IF(R471="√",$J471*$L471/$N471,0)</f>
        <v>0</v>
      </c>
      <c r="AM471" s="125"/>
      <c r="AN471" s="125"/>
      <c r="AO471" s="125">
        <f>IF(S471="√",$J471*$L471/$N471,0)</f>
        <v>0</v>
      </c>
      <c r="AP471" s="125"/>
      <c r="AQ471" s="125"/>
      <c r="AR471" s="125">
        <f>IF(T471="√",$J471*$L471/$N471,0)</f>
        <v>0</v>
      </c>
      <c r="AS471" s="125"/>
      <c r="AT471" s="125"/>
      <c r="AU471" s="125">
        <f>IF(U471="√",$J471*$L471/$N471,0)</f>
        <v>0</v>
      </c>
      <c r="AV471" s="125"/>
      <c r="AW471" s="125"/>
      <c r="AX471" s="125">
        <f>IF(V471="√",$J471*$L471/$N471,0)</f>
        <v>0</v>
      </c>
      <c r="AY471" s="125"/>
      <c r="AZ471" s="125"/>
      <c r="BA471" s="125">
        <f>IF(W471="√",$J471*$L471/$N471,0)</f>
        <v>0</v>
      </c>
      <c r="BB471" s="125"/>
      <c r="BC471" s="125"/>
      <c r="BD471" s="125">
        <f>IF(X471="√",$J471*$L471/$N471,0)</f>
        <v>0</v>
      </c>
      <c r="BE471" s="125"/>
      <c r="BF471" s="125"/>
      <c r="BG471" s="125">
        <f>IF(Y471="√",$J471*$L471/$N471,0)</f>
        <v>0</v>
      </c>
      <c r="BH471" s="125"/>
      <c r="BI471" s="125"/>
      <c r="BJ471" s="125">
        <f>IF(Z471="√",$J471*$L471/$N471,0)</f>
        <v>0</v>
      </c>
      <c r="BK471" s="125"/>
      <c r="BL471" s="312"/>
      <c r="BM471" s="317"/>
      <c r="BN471" s="320"/>
    </row>
    <row r="472" s="124" customFormat="1" ht="33.95" hidden="1" customHeight="1" outlineLevel="5" spans="2:66">
      <c r="B472" s="125" t="s">
        <v>792</v>
      </c>
      <c r="C472" s="126" t="s">
        <v>1870</v>
      </c>
      <c r="D472" s="124" t="s">
        <v>1871</v>
      </c>
      <c r="E472" s="125" t="s">
        <v>1872</v>
      </c>
      <c r="F472" s="125" t="s">
        <v>1618</v>
      </c>
      <c r="G472" s="125" t="s">
        <v>936</v>
      </c>
      <c r="H472" s="125">
        <f t="shared" si="857"/>
        <v>0</v>
      </c>
      <c r="I472" s="125" t="s">
        <v>1235</v>
      </c>
      <c r="J472" s="304"/>
      <c r="K472" s="125" t="s">
        <v>1873</v>
      </c>
      <c r="L472" s="125">
        <v>40</v>
      </c>
      <c r="M472" s="125" t="s">
        <v>1874</v>
      </c>
      <c r="N472" s="125">
        <f t="shared" si="858"/>
        <v>0</v>
      </c>
      <c r="O472" s="304"/>
      <c r="P472" s="304"/>
      <c r="Q472" s="304"/>
      <c r="R472" s="304"/>
      <c r="S472" s="304"/>
      <c r="T472" s="304"/>
      <c r="U472" s="304"/>
      <c r="V472" s="304"/>
      <c r="W472" s="304"/>
      <c r="X472" s="304"/>
      <c r="Y472" s="304"/>
      <c r="Z472" s="304"/>
      <c r="AA472" s="125"/>
      <c r="AB472" s="125">
        <f>SUM(AC472,AF472,AI472,AL472,AO472,AR472,AU472,AX472,BA472,BD472,BG472,BJ472)</f>
        <v>0</v>
      </c>
      <c r="AC472" s="125">
        <f>IF(O472="√",$J472*$L472/$N472,0)</f>
        <v>0</v>
      </c>
      <c r="AD472" s="125"/>
      <c r="AE472" s="125"/>
      <c r="AF472" s="125">
        <f>IF(P472="√",$J472*$L472/$N472,0)</f>
        <v>0</v>
      </c>
      <c r="AG472" s="125"/>
      <c r="AH472" s="125"/>
      <c r="AI472" s="125">
        <f>IF(Q472="√",$J472*$L472/$N472,0)</f>
        <v>0</v>
      </c>
      <c r="AJ472" s="125"/>
      <c r="AK472" s="125"/>
      <c r="AL472" s="125">
        <f>IF(R472="√",$J472*$L472/$N472,0)</f>
        <v>0</v>
      </c>
      <c r="AM472" s="125"/>
      <c r="AN472" s="125"/>
      <c r="AO472" s="125">
        <f>IF(S472="√",$J472*$L472/$N472,0)</f>
        <v>0</v>
      </c>
      <c r="AP472" s="125"/>
      <c r="AQ472" s="125"/>
      <c r="AR472" s="125">
        <f>IF(T472="√",$J472*$L472/$N472,0)</f>
        <v>0</v>
      </c>
      <c r="AS472" s="125"/>
      <c r="AT472" s="125"/>
      <c r="AU472" s="125">
        <f>IF(U472="√",$J472*$L472/$N472,0)</f>
        <v>0</v>
      </c>
      <c r="AV472" s="125"/>
      <c r="AW472" s="125"/>
      <c r="AX472" s="125">
        <f>IF(V472="√",$J472*$L472/$N472,0)</f>
        <v>0</v>
      </c>
      <c r="AY472" s="125"/>
      <c r="AZ472" s="125"/>
      <c r="BA472" s="125">
        <f>IF(W472="√",$J472*$L472/$N472,0)</f>
        <v>0</v>
      </c>
      <c r="BB472" s="125"/>
      <c r="BC472" s="125"/>
      <c r="BD472" s="125">
        <f>IF(X472="√",$J472*$L472/$N472,0)</f>
        <v>0</v>
      </c>
      <c r="BE472" s="125"/>
      <c r="BF472" s="125"/>
      <c r="BG472" s="125">
        <f>IF(Y472="√",$J472*$L472/$N472,0)</f>
        <v>0</v>
      </c>
      <c r="BH472" s="125"/>
      <c r="BI472" s="125"/>
      <c r="BJ472" s="125">
        <f>IF(Z472="√",$J472*$L472/$N472,0)</f>
        <v>0</v>
      </c>
      <c r="BK472" s="125"/>
      <c r="BL472" s="312"/>
      <c r="BM472" s="317"/>
      <c r="BN472" s="320"/>
    </row>
    <row r="473" s="124" customFormat="1" ht="33.95" hidden="1" customHeight="1" outlineLevel="5" spans="2:66">
      <c r="B473" s="125" t="s">
        <v>792</v>
      </c>
      <c r="C473" s="126" t="s">
        <v>1875</v>
      </c>
      <c r="D473" s="124" t="s">
        <v>1876</v>
      </c>
      <c r="E473" s="125" t="s">
        <v>1877</v>
      </c>
      <c r="F473" s="125" t="s">
        <v>1618</v>
      </c>
      <c r="G473" s="125" t="s">
        <v>936</v>
      </c>
      <c r="H473" s="125">
        <f t="shared" si="857"/>
        <v>0</v>
      </c>
      <c r="I473" s="125" t="s">
        <v>1235</v>
      </c>
      <c r="J473" s="304"/>
      <c r="K473" s="125" t="s">
        <v>1026</v>
      </c>
      <c r="L473" s="125">
        <v>17.33</v>
      </c>
      <c r="M473" s="125" t="s">
        <v>1687</v>
      </c>
      <c r="N473" s="125">
        <f t="shared" si="858"/>
        <v>0</v>
      </c>
      <c r="O473" s="304"/>
      <c r="P473" s="304"/>
      <c r="Q473" s="304"/>
      <c r="R473" s="304"/>
      <c r="S473" s="304"/>
      <c r="T473" s="304"/>
      <c r="U473" s="304"/>
      <c r="V473" s="304"/>
      <c r="W473" s="304"/>
      <c r="X473" s="304"/>
      <c r="Y473" s="304"/>
      <c r="Z473" s="304"/>
      <c r="AA473" s="125"/>
      <c r="AB473" s="125">
        <f>SUM(AC473,AF473,AI473,AL473,AO473,AR473,AU473,AX473,BA473,BD473,BG473,BJ473)</f>
        <v>0</v>
      </c>
      <c r="AC473" s="125">
        <f>IF(O473="√",$J473*$L473/$N473,0)</f>
        <v>0</v>
      </c>
      <c r="AD473" s="125"/>
      <c r="AE473" s="125"/>
      <c r="AF473" s="125">
        <f>IF(P473="√",$J473*$L473/$N473,0)</f>
        <v>0</v>
      </c>
      <c r="AG473" s="125"/>
      <c r="AH473" s="125"/>
      <c r="AI473" s="125">
        <f>IF(Q473="√",$J473*$L473/$N473,0)</f>
        <v>0</v>
      </c>
      <c r="AJ473" s="125"/>
      <c r="AK473" s="125"/>
      <c r="AL473" s="125">
        <f>IF(R473="√",$J473*$L473/$N473,0)</f>
        <v>0</v>
      </c>
      <c r="AM473" s="125"/>
      <c r="AN473" s="125"/>
      <c r="AO473" s="125">
        <f>IF(S473="√",$J473*$L473/$N473,0)</f>
        <v>0</v>
      </c>
      <c r="AP473" s="125"/>
      <c r="AQ473" s="125"/>
      <c r="AR473" s="125">
        <f>IF(T473="√",$J473*$L473/$N473,0)</f>
        <v>0</v>
      </c>
      <c r="AS473" s="125"/>
      <c r="AT473" s="125"/>
      <c r="AU473" s="125">
        <f>IF(U473="√",$J473*$L473/$N473,0)</f>
        <v>0</v>
      </c>
      <c r="AV473" s="125"/>
      <c r="AW473" s="125"/>
      <c r="AX473" s="125">
        <f>IF(V473="√",$J473*$L473/$N473,0)</f>
        <v>0</v>
      </c>
      <c r="AY473" s="125"/>
      <c r="AZ473" s="125"/>
      <c r="BA473" s="125">
        <f>IF(W473="√",$J473*$L473/$N473,0)</f>
        <v>0</v>
      </c>
      <c r="BB473" s="125"/>
      <c r="BC473" s="125"/>
      <c r="BD473" s="125">
        <f>IF(X473="√",$J473*$L473/$N473,0)</f>
        <v>0</v>
      </c>
      <c r="BE473" s="125"/>
      <c r="BF473" s="125"/>
      <c r="BG473" s="125">
        <f>IF(Y473="√",$J473*$L473/$N473,0)</f>
        <v>0</v>
      </c>
      <c r="BH473" s="125"/>
      <c r="BI473" s="125"/>
      <c r="BJ473" s="125">
        <f>IF(Z473="√",$J473*$L473/$N473,0)</f>
        <v>0</v>
      </c>
      <c r="BK473" s="125"/>
      <c r="BL473" s="312"/>
      <c r="BM473" s="317"/>
      <c r="BN473" s="320"/>
    </row>
    <row r="474" s="124" customFormat="1" ht="33.95" hidden="1" customHeight="1" outlineLevel="5" spans="2:66">
      <c r="B474" s="125" t="s">
        <v>792</v>
      </c>
      <c r="C474" s="126" t="s">
        <v>1878</v>
      </c>
      <c r="D474" s="124" t="s">
        <v>1879</v>
      </c>
      <c r="E474" s="125"/>
      <c r="F474" s="125" t="s">
        <v>1618</v>
      </c>
      <c r="G474" s="125" t="s">
        <v>936</v>
      </c>
      <c r="H474" s="125">
        <f t="shared" si="857"/>
        <v>0</v>
      </c>
      <c r="I474" s="125" t="s">
        <v>1235</v>
      </c>
      <c r="J474" s="304"/>
      <c r="K474" s="125" t="s">
        <v>1880</v>
      </c>
      <c r="L474" s="125">
        <v>7</v>
      </c>
      <c r="M474" s="125" t="s">
        <v>1881</v>
      </c>
      <c r="N474" s="125">
        <f t="shared" si="858"/>
        <v>0</v>
      </c>
      <c r="O474" s="304"/>
      <c r="P474" s="304"/>
      <c r="Q474" s="304"/>
      <c r="R474" s="304"/>
      <c r="S474" s="304"/>
      <c r="T474" s="304"/>
      <c r="U474" s="304"/>
      <c r="V474" s="304"/>
      <c r="W474" s="304"/>
      <c r="X474" s="304"/>
      <c r="Y474" s="304"/>
      <c r="Z474" s="304"/>
      <c r="AA474" s="125"/>
      <c r="AB474" s="125">
        <f t="shared" ref="AB474:AB485" si="859">SUM(AC474,AF474,AI474,AL474,AO474,AR474,AU474,AX474,BA474,BD474,BG474,BJ474)</f>
        <v>0</v>
      </c>
      <c r="AC474" s="125">
        <f t="shared" ref="AC474:AC485" si="860">IF(O474="√",$J474*$L474/$N474,0)</f>
        <v>0</v>
      </c>
      <c r="AD474" s="125"/>
      <c r="AE474" s="125"/>
      <c r="AF474" s="125">
        <f t="shared" ref="AF474:AF485" si="861">IF(P474="√",$J474*$L474/$N474,0)</f>
        <v>0</v>
      </c>
      <c r="AG474" s="125"/>
      <c r="AH474" s="125"/>
      <c r="AI474" s="125">
        <f t="shared" ref="AI474:AI485" si="862">IF(Q474="√",$J474*$L474/$N474,0)</f>
        <v>0</v>
      </c>
      <c r="AJ474" s="125"/>
      <c r="AK474" s="125"/>
      <c r="AL474" s="125">
        <f t="shared" ref="AL474:AL485" si="863">IF(R474="√",$J474*$L474/$N474,0)</f>
        <v>0</v>
      </c>
      <c r="AM474" s="125"/>
      <c r="AN474" s="125"/>
      <c r="AO474" s="125">
        <f t="shared" ref="AO474:AO485" si="864">IF(S474="√",$J474*$L474/$N474,0)</f>
        <v>0</v>
      </c>
      <c r="AP474" s="125"/>
      <c r="AQ474" s="125"/>
      <c r="AR474" s="125">
        <f t="shared" ref="AR474:AR485" si="865">IF(T474="√",$J474*$L474/$N474,0)</f>
        <v>0</v>
      </c>
      <c r="AS474" s="125"/>
      <c r="AT474" s="125"/>
      <c r="AU474" s="125">
        <f t="shared" ref="AU474:AU485" si="866">IF(U474="√",$J474*$L474/$N474,0)</f>
        <v>0</v>
      </c>
      <c r="AV474" s="125"/>
      <c r="AW474" s="125"/>
      <c r="AX474" s="125">
        <f t="shared" ref="AX474:AX485" si="867">IF(V474="√",$J474*$L474/$N474,0)</f>
        <v>0</v>
      </c>
      <c r="AY474" s="125"/>
      <c r="AZ474" s="125"/>
      <c r="BA474" s="125">
        <f t="shared" ref="BA474:BA485" si="868">IF(W474="√",$J474*$L474/$N474,0)</f>
        <v>0</v>
      </c>
      <c r="BB474" s="125"/>
      <c r="BC474" s="125"/>
      <c r="BD474" s="125">
        <f t="shared" ref="BD474:BD485" si="869">IF(X474="√",$J474*$L474/$N474,0)</f>
        <v>0</v>
      </c>
      <c r="BE474" s="125"/>
      <c r="BF474" s="125"/>
      <c r="BG474" s="125">
        <f t="shared" ref="BG474:BG485" si="870">IF(Y474="√",$J474*$L474/$N474,0)</f>
        <v>0</v>
      </c>
      <c r="BH474" s="125"/>
      <c r="BI474" s="125"/>
      <c r="BJ474" s="125">
        <f t="shared" ref="BJ474:BJ485" si="871">IF(Z474="√",$J474*$L474/$N474,0)</f>
        <v>0</v>
      </c>
      <c r="BK474" s="125"/>
      <c r="BL474" s="312"/>
      <c r="BM474" s="317"/>
      <c r="BN474" s="320"/>
    </row>
    <row r="475" s="124" customFormat="1" ht="33.95" hidden="1" customHeight="1" outlineLevel="5" spans="2:66">
      <c r="B475" s="125" t="s">
        <v>792</v>
      </c>
      <c r="C475" s="126" t="s">
        <v>1882</v>
      </c>
      <c r="D475" s="124" t="s">
        <v>1883</v>
      </c>
      <c r="E475" s="125"/>
      <c r="F475" s="125" t="s">
        <v>1618</v>
      </c>
      <c r="G475" s="125" t="s">
        <v>936</v>
      </c>
      <c r="H475" s="125">
        <f t="shared" si="857"/>
        <v>0</v>
      </c>
      <c r="I475" s="125" t="s">
        <v>1235</v>
      </c>
      <c r="J475" s="304"/>
      <c r="K475" s="125" t="s">
        <v>1880</v>
      </c>
      <c r="L475" s="125">
        <v>1.5</v>
      </c>
      <c r="M475" s="125" t="s">
        <v>1881</v>
      </c>
      <c r="N475" s="125">
        <f t="shared" si="858"/>
        <v>0</v>
      </c>
      <c r="O475" s="322"/>
      <c r="P475" s="322"/>
      <c r="Q475" s="322"/>
      <c r="R475" s="322"/>
      <c r="S475" s="322"/>
      <c r="T475" s="322"/>
      <c r="U475" s="322"/>
      <c r="V475" s="322"/>
      <c r="W475" s="322"/>
      <c r="X475" s="322"/>
      <c r="Y475" s="322"/>
      <c r="Z475" s="322"/>
      <c r="AA475" s="125"/>
      <c r="AB475" s="125">
        <f t="shared" si="859"/>
        <v>0</v>
      </c>
      <c r="AC475" s="125">
        <f t="shared" si="860"/>
        <v>0</v>
      </c>
      <c r="AD475" s="125"/>
      <c r="AE475" s="125"/>
      <c r="AF475" s="125">
        <f t="shared" si="861"/>
        <v>0</v>
      </c>
      <c r="AG475" s="125"/>
      <c r="AH475" s="125"/>
      <c r="AI475" s="125">
        <f t="shared" si="862"/>
        <v>0</v>
      </c>
      <c r="AJ475" s="125"/>
      <c r="AK475" s="125"/>
      <c r="AL475" s="125">
        <f t="shared" si="863"/>
        <v>0</v>
      </c>
      <c r="AM475" s="125"/>
      <c r="AN475" s="125"/>
      <c r="AO475" s="125">
        <f t="shared" si="864"/>
        <v>0</v>
      </c>
      <c r="AP475" s="125"/>
      <c r="AQ475" s="125"/>
      <c r="AR475" s="125">
        <f t="shared" si="865"/>
        <v>0</v>
      </c>
      <c r="AS475" s="125"/>
      <c r="AT475" s="125"/>
      <c r="AU475" s="125">
        <f t="shared" si="866"/>
        <v>0</v>
      </c>
      <c r="AV475" s="125"/>
      <c r="AW475" s="125"/>
      <c r="AX475" s="125">
        <f t="shared" si="867"/>
        <v>0</v>
      </c>
      <c r="AY475" s="125"/>
      <c r="AZ475" s="125"/>
      <c r="BA475" s="125">
        <f t="shared" si="868"/>
        <v>0</v>
      </c>
      <c r="BB475" s="125"/>
      <c r="BC475" s="125"/>
      <c r="BD475" s="125">
        <f t="shared" si="869"/>
        <v>0</v>
      </c>
      <c r="BE475" s="125"/>
      <c r="BF475" s="125"/>
      <c r="BG475" s="125">
        <f t="shared" si="870"/>
        <v>0</v>
      </c>
      <c r="BH475" s="125"/>
      <c r="BI475" s="125"/>
      <c r="BJ475" s="125">
        <f t="shared" si="871"/>
        <v>0</v>
      </c>
      <c r="BK475" s="125"/>
      <c r="BL475" s="312"/>
      <c r="BM475" s="317"/>
      <c r="BN475" s="320"/>
    </row>
    <row r="476" s="124" customFormat="1" ht="33.95" hidden="1" customHeight="1" outlineLevel="5" spans="2:66">
      <c r="B476" s="125" t="s">
        <v>792</v>
      </c>
      <c r="C476" s="126" t="s">
        <v>1884</v>
      </c>
      <c r="D476" s="124" t="s">
        <v>1885</v>
      </c>
      <c r="E476" s="125"/>
      <c r="F476" s="125" t="s">
        <v>1618</v>
      </c>
      <c r="G476" s="125" t="s">
        <v>1844</v>
      </c>
      <c r="H476" s="125">
        <f>J476*L476*N476</f>
        <v>0</v>
      </c>
      <c r="I476" s="125" t="s">
        <v>1235</v>
      </c>
      <c r="J476" s="125">
        <v>1</v>
      </c>
      <c r="K476" s="125" t="s">
        <v>1236</v>
      </c>
      <c r="L476" s="304"/>
      <c r="M476" s="125" t="s">
        <v>1237</v>
      </c>
      <c r="N476" s="312">
        <v>12</v>
      </c>
      <c r="O476" s="295"/>
      <c r="P476" s="295"/>
      <c r="Q476" s="295"/>
      <c r="R476" s="295"/>
      <c r="S476" s="295"/>
      <c r="T476" s="295"/>
      <c r="U476" s="295"/>
      <c r="V476" s="295"/>
      <c r="W476" s="295"/>
      <c r="X476" s="295"/>
      <c r="Y476" s="295"/>
      <c r="Z476" s="295"/>
      <c r="AA476" s="295"/>
      <c r="AB476" s="125">
        <f t="shared" si="859"/>
        <v>0</v>
      </c>
      <c r="AC476" s="125">
        <f>$H476/12</f>
        <v>0</v>
      </c>
      <c r="AD476" s="125"/>
      <c r="AE476" s="125"/>
      <c r="AF476" s="125">
        <f>$H476/12</f>
        <v>0</v>
      </c>
      <c r="AG476" s="125"/>
      <c r="AH476" s="125"/>
      <c r="AI476" s="125">
        <f>$H476/12</f>
        <v>0</v>
      </c>
      <c r="AJ476" s="125"/>
      <c r="AK476" s="125"/>
      <c r="AL476" s="125">
        <f>$H476/12</f>
        <v>0</v>
      </c>
      <c r="AM476" s="125"/>
      <c r="AN476" s="125"/>
      <c r="AO476" s="125">
        <f>$H476/12</f>
        <v>0</v>
      </c>
      <c r="AP476" s="125"/>
      <c r="AQ476" s="125"/>
      <c r="AR476" s="125">
        <f>$H476/12</f>
        <v>0</v>
      </c>
      <c r="AS476" s="125"/>
      <c r="AT476" s="125"/>
      <c r="AU476" s="125">
        <f>$H476/12</f>
        <v>0</v>
      </c>
      <c r="AV476" s="125"/>
      <c r="AW476" s="125"/>
      <c r="AX476" s="125">
        <f>$H476/12</f>
        <v>0</v>
      </c>
      <c r="AY476" s="125"/>
      <c r="AZ476" s="125"/>
      <c r="BA476" s="125">
        <f>$H476/12</f>
        <v>0</v>
      </c>
      <c r="BB476" s="125"/>
      <c r="BC476" s="125"/>
      <c r="BD476" s="125">
        <f>$H476/12</f>
        <v>0</v>
      </c>
      <c r="BE476" s="125"/>
      <c r="BF476" s="125"/>
      <c r="BG476" s="125">
        <f>$H476/12</f>
        <v>0</v>
      </c>
      <c r="BH476" s="125"/>
      <c r="BI476" s="125"/>
      <c r="BJ476" s="125">
        <f>$H476/12</f>
        <v>0</v>
      </c>
      <c r="BK476" s="125"/>
      <c r="BL476" s="312"/>
      <c r="BM476" s="317"/>
      <c r="BN476" s="320"/>
    </row>
    <row r="477" s="43" customFormat="1" ht="33.95" hidden="1" customHeight="1" outlineLevel="3" spans="2:66">
      <c r="B477" s="121" t="s">
        <v>787</v>
      </c>
      <c r="C477" s="122" t="s">
        <v>1886</v>
      </c>
      <c r="D477" s="43" t="s">
        <v>1887</v>
      </c>
      <c r="E477" s="121"/>
      <c r="F477" s="121"/>
      <c r="G477" s="121"/>
      <c r="H477" s="121">
        <f>SUM(H478:H485)</f>
        <v>0</v>
      </c>
      <c r="I477" s="121"/>
      <c r="J477" s="121"/>
      <c r="K477" s="121"/>
      <c r="L477" s="121"/>
      <c r="M477" s="121"/>
      <c r="N477" s="311"/>
      <c r="O477" s="294"/>
      <c r="P477" s="294"/>
      <c r="Q477" s="294"/>
      <c r="R477" s="294"/>
      <c r="S477" s="294"/>
      <c r="T477" s="294"/>
      <c r="U477" s="294"/>
      <c r="V477" s="294"/>
      <c r="W477" s="294"/>
      <c r="X477" s="294"/>
      <c r="Y477" s="294"/>
      <c r="Z477" s="294"/>
      <c r="AA477" s="294"/>
      <c r="AB477" s="121">
        <f>SUM(AB478:AB485)</f>
        <v>0</v>
      </c>
      <c r="AC477" s="121">
        <f>SUM(AC478:AC485)</f>
        <v>0</v>
      </c>
      <c r="AD477" s="121"/>
      <c r="AE477" s="121"/>
      <c r="AF477" s="121">
        <f>SUM(AF478:AF485)</f>
        <v>0</v>
      </c>
      <c r="AG477" s="121"/>
      <c r="AH477" s="121"/>
      <c r="AI477" s="121">
        <f>SUM(AI478:AI485)</f>
        <v>0</v>
      </c>
      <c r="AJ477" s="121"/>
      <c r="AK477" s="121"/>
      <c r="AL477" s="121">
        <f>SUM(AL478:AL485)</f>
        <v>0</v>
      </c>
      <c r="AM477" s="121"/>
      <c r="AN477" s="121"/>
      <c r="AO477" s="121">
        <f>SUM(AO478:AO485)</f>
        <v>0</v>
      </c>
      <c r="AP477" s="121"/>
      <c r="AQ477" s="121"/>
      <c r="AR477" s="121">
        <f>SUM(AR478:AR485)</f>
        <v>0</v>
      </c>
      <c r="AS477" s="121"/>
      <c r="AT477" s="121"/>
      <c r="AU477" s="121">
        <f>SUM(AU478:AU485)</f>
        <v>0</v>
      </c>
      <c r="AV477" s="121"/>
      <c r="AW477" s="121"/>
      <c r="AX477" s="121">
        <f>SUM(AX478:AX485)</f>
        <v>0</v>
      </c>
      <c r="AY477" s="121"/>
      <c r="AZ477" s="121"/>
      <c r="BA477" s="121">
        <f>SUM(BA478:BA485)</f>
        <v>0</v>
      </c>
      <c r="BB477" s="121"/>
      <c r="BC477" s="121"/>
      <c r="BD477" s="121">
        <f>SUM(BD478:BD485)</f>
        <v>0</v>
      </c>
      <c r="BE477" s="121"/>
      <c r="BF477" s="121"/>
      <c r="BG477" s="121">
        <f>SUM(BG478:BG485)</f>
        <v>0</v>
      </c>
      <c r="BH477" s="121"/>
      <c r="BI477" s="121"/>
      <c r="BJ477" s="121">
        <f>SUM(BJ478:BJ485)</f>
        <v>0</v>
      </c>
      <c r="BK477" s="121"/>
      <c r="BL477" s="311"/>
      <c r="BM477" s="317"/>
      <c r="BN477" s="319"/>
    </row>
    <row r="478" s="124" customFormat="1" ht="33.95" hidden="1" customHeight="1" outlineLevel="5" spans="2:66">
      <c r="B478" s="125" t="s">
        <v>792</v>
      </c>
      <c r="C478" s="126" t="s">
        <v>1888</v>
      </c>
      <c r="D478" s="124" t="s">
        <v>1889</v>
      </c>
      <c r="E478" s="125" t="s">
        <v>1890</v>
      </c>
      <c r="F478" s="125" t="s">
        <v>1618</v>
      </c>
      <c r="G478" s="125" t="s">
        <v>936</v>
      </c>
      <c r="H478" s="125">
        <f t="shared" ref="H478:H485" si="872">J478*L478</f>
        <v>0</v>
      </c>
      <c r="I478" s="125" t="s">
        <v>1235</v>
      </c>
      <c r="J478" s="304"/>
      <c r="K478" s="125" t="s">
        <v>1840</v>
      </c>
      <c r="L478" s="125">
        <v>40</v>
      </c>
      <c r="M478" s="125" t="s">
        <v>1841</v>
      </c>
      <c r="N478" s="125">
        <f t="shared" ref="N478:N485" si="873">COUNTA(O478:Z478)</f>
        <v>0</v>
      </c>
      <c r="O478" s="323"/>
      <c r="P478" s="323"/>
      <c r="Q478" s="323"/>
      <c r="R478" s="323"/>
      <c r="S478" s="323"/>
      <c r="T478" s="323"/>
      <c r="U478" s="323"/>
      <c r="V478" s="323"/>
      <c r="W478" s="323"/>
      <c r="X478" s="323"/>
      <c r="Y478" s="323"/>
      <c r="Z478" s="323"/>
      <c r="AA478" s="125"/>
      <c r="AB478" s="125">
        <f t="shared" si="859"/>
        <v>0</v>
      </c>
      <c r="AC478" s="125">
        <f t="shared" si="860"/>
        <v>0</v>
      </c>
      <c r="AD478" s="125"/>
      <c r="AE478" s="125"/>
      <c r="AF478" s="125">
        <f t="shared" si="861"/>
        <v>0</v>
      </c>
      <c r="AG478" s="125"/>
      <c r="AH478" s="125"/>
      <c r="AI478" s="125">
        <f t="shared" si="862"/>
        <v>0</v>
      </c>
      <c r="AJ478" s="125"/>
      <c r="AK478" s="125"/>
      <c r="AL478" s="125">
        <f t="shared" si="863"/>
        <v>0</v>
      </c>
      <c r="AM478" s="125"/>
      <c r="AN478" s="125"/>
      <c r="AO478" s="125">
        <f t="shared" si="864"/>
        <v>0</v>
      </c>
      <c r="AP478" s="125"/>
      <c r="AQ478" s="125"/>
      <c r="AR478" s="125">
        <f t="shared" si="865"/>
        <v>0</v>
      </c>
      <c r="AS478" s="125"/>
      <c r="AT478" s="125"/>
      <c r="AU478" s="125">
        <f t="shared" si="866"/>
        <v>0</v>
      </c>
      <c r="AV478" s="125"/>
      <c r="AW478" s="125"/>
      <c r="AX478" s="125">
        <f t="shared" si="867"/>
        <v>0</v>
      </c>
      <c r="AY478" s="125"/>
      <c r="AZ478" s="125"/>
      <c r="BA478" s="125">
        <f t="shared" si="868"/>
        <v>0</v>
      </c>
      <c r="BB478" s="125"/>
      <c r="BC478" s="125"/>
      <c r="BD478" s="125">
        <f t="shared" si="869"/>
        <v>0</v>
      </c>
      <c r="BE478" s="125"/>
      <c r="BF478" s="125"/>
      <c r="BG478" s="125">
        <f t="shared" si="870"/>
        <v>0</v>
      </c>
      <c r="BH478" s="125"/>
      <c r="BI478" s="125"/>
      <c r="BJ478" s="125">
        <f t="shared" si="871"/>
        <v>0</v>
      </c>
      <c r="BK478" s="125"/>
      <c r="BL478" s="312"/>
      <c r="BM478" s="317"/>
      <c r="BN478" s="320"/>
    </row>
    <row r="479" s="124" customFormat="1" ht="33.95" hidden="1" customHeight="1" outlineLevel="5" spans="2:66">
      <c r="B479" s="125" t="s">
        <v>792</v>
      </c>
      <c r="C479" s="126" t="s">
        <v>1891</v>
      </c>
      <c r="D479" s="124" t="s">
        <v>1892</v>
      </c>
      <c r="E479" s="125" t="s">
        <v>1893</v>
      </c>
      <c r="F479" s="125" t="s">
        <v>1618</v>
      </c>
      <c r="G479" s="125" t="s">
        <v>936</v>
      </c>
      <c r="H479" s="125">
        <f t="shared" si="872"/>
        <v>0</v>
      </c>
      <c r="I479" s="125" t="s">
        <v>1235</v>
      </c>
      <c r="J479" s="304"/>
      <c r="K479" s="125" t="s">
        <v>1840</v>
      </c>
      <c r="L479" s="125">
        <v>85</v>
      </c>
      <c r="M479" s="125" t="s">
        <v>1841</v>
      </c>
      <c r="N479" s="125">
        <f t="shared" si="873"/>
        <v>0</v>
      </c>
      <c r="O479" s="304"/>
      <c r="P479" s="304"/>
      <c r="Q479" s="304"/>
      <c r="R479" s="304"/>
      <c r="S479" s="304"/>
      <c r="T479" s="304"/>
      <c r="U479" s="304"/>
      <c r="V479" s="304"/>
      <c r="W479" s="304"/>
      <c r="X479" s="304"/>
      <c r="Y479" s="304"/>
      <c r="Z479" s="304"/>
      <c r="AA479" s="125"/>
      <c r="AB479" s="125">
        <f t="shared" si="859"/>
        <v>0</v>
      </c>
      <c r="AC479" s="125">
        <f t="shared" si="860"/>
        <v>0</v>
      </c>
      <c r="AD479" s="125"/>
      <c r="AE479" s="125"/>
      <c r="AF479" s="125">
        <f t="shared" si="861"/>
        <v>0</v>
      </c>
      <c r="AG479" s="125"/>
      <c r="AH479" s="125"/>
      <c r="AI479" s="125">
        <f t="shared" si="862"/>
        <v>0</v>
      </c>
      <c r="AJ479" s="125"/>
      <c r="AK479" s="125"/>
      <c r="AL479" s="125">
        <f t="shared" si="863"/>
        <v>0</v>
      </c>
      <c r="AM479" s="125"/>
      <c r="AN479" s="125"/>
      <c r="AO479" s="125">
        <f t="shared" si="864"/>
        <v>0</v>
      </c>
      <c r="AP479" s="125"/>
      <c r="AQ479" s="125"/>
      <c r="AR479" s="125">
        <f t="shared" si="865"/>
        <v>0</v>
      </c>
      <c r="AS479" s="125"/>
      <c r="AT479" s="125"/>
      <c r="AU479" s="125">
        <f t="shared" si="866"/>
        <v>0</v>
      </c>
      <c r="AV479" s="125"/>
      <c r="AW479" s="125"/>
      <c r="AX479" s="125">
        <f t="shared" si="867"/>
        <v>0</v>
      </c>
      <c r="AY479" s="125"/>
      <c r="AZ479" s="125"/>
      <c r="BA479" s="125">
        <f t="shared" si="868"/>
        <v>0</v>
      </c>
      <c r="BB479" s="125"/>
      <c r="BC479" s="125"/>
      <c r="BD479" s="125">
        <f t="shared" si="869"/>
        <v>0</v>
      </c>
      <c r="BE479" s="125"/>
      <c r="BF479" s="125"/>
      <c r="BG479" s="125">
        <f t="shared" si="870"/>
        <v>0</v>
      </c>
      <c r="BH479" s="125"/>
      <c r="BI479" s="125"/>
      <c r="BJ479" s="125">
        <f t="shared" si="871"/>
        <v>0</v>
      </c>
      <c r="BK479" s="125"/>
      <c r="BL479" s="312"/>
      <c r="BM479" s="317"/>
      <c r="BN479" s="320"/>
    </row>
    <row r="480" s="124" customFormat="1" ht="33.95" hidden="1" customHeight="1" outlineLevel="5" spans="2:66">
      <c r="B480" s="125" t="s">
        <v>792</v>
      </c>
      <c r="C480" s="126" t="s">
        <v>1894</v>
      </c>
      <c r="D480" s="124" t="s">
        <v>1895</v>
      </c>
      <c r="E480" s="125" t="s">
        <v>1896</v>
      </c>
      <c r="F480" s="125" t="s">
        <v>1618</v>
      </c>
      <c r="G480" s="125" t="s">
        <v>936</v>
      </c>
      <c r="H480" s="125">
        <f t="shared" si="872"/>
        <v>0</v>
      </c>
      <c r="I480" s="125" t="s">
        <v>1235</v>
      </c>
      <c r="J480" s="304"/>
      <c r="K480" s="125" t="s">
        <v>1824</v>
      </c>
      <c r="L480" s="125">
        <v>190</v>
      </c>
      <c r="M480" s="125" t="s">
        <v>1825</v>
      </c>
      <c r="N480" s="125">
        <f t="shared" si="873"/>
        <v>0</v>
      </c>
      <c r="O480" s="304"/>
      <c r="P480" s="304"/>
      <c r="Q480" s="304"/>
      <c r="R480" s="304"/>
      <c r="S480" s="304"/>
      <c r="T480" s="304"/>
      <c r="U480" s="304"/>
      <c r="V480" s="304"/>
      <c r="W480" s="304"/>
      <c r="X480" s="304"/>
      <c r="Y480" s="304"/>
      <c r="Z480" s="304"/>
      <c r="AA480" s="125"/>
      <c r="AB480" s="125">
        <f t="shared" si="859"/>
        <v>0</v>
      </c>
      <c r="AC480" s="125">
        <f t="shared" si="860"/>
        <v>0</v>
      </c>
      <c r="AD480" s="125"/>
      <c r="AE480" s="125"/>
      <c r="AF480" s="125">
        <f t="shared" si="861"/>
        <v>0</v>
      </c>
      <c r="AG480" s="125"/>
      <c r="AH480" s="125"/>
      <c r="AI480" s="125">
        <f t="shared" si="862"/>
        <v>0</v>
      </c>
      <c r="AJ480" s="125"/>
      <c r="AK480" s="125"/>
      <c r="AL480" s="125">
        <f t="shared" si="863"/>
        <v>0</v>
      </c>
      <c r="AM480" s="125"/>
      <c r="AN480" s="125"/>
      <c r="AO480" s="125">
        <f t="shared" si="864"/>
        <v>0</v>
      </c>
      <c r="AP480" s="125"/>
      <c r="AQ480" s="125"/>
      <c r="AR480" s="125">
        <f t="shared" si="865"/>
        <v>0</v>
      </c>
      <c r="AS480" s="125"/>
      <c r="AT480" s="125"/>
      <c r="AU480" s="125">
        <f t="shared" si="866"/>
        <v>0</v>
      </c>
      <c r="AV480" s="125"/>
      <c r="AW480" s="125"/>
      <c r="AX480" s="125">
        <f t="shared" si="867"/>
        <v>0</v>
      </c>
      <c r="AY480" s="125"/>
      <c r="AZ480" s="125"/>
      <c r="BA480" s="125">
        <f t="shared" si="868"/>
        <v>0</v>
      </c>
      <c r="BB480" s="125"/>
      <c r="BC480" s="125"/>
      <c r="BD480" s="125">
        <f t="shared" si="869"/>
        <v>0</v>
      </c>
      <c r="BE480" s="125"/>
      <c r="BF480" s="125"/>
      <c r="BG480" s="125">
        <f t="shared" si="870"/>
        <v>0</v>
      </c>
      <c r="BH480" s="125"/>
      <c r="BI480" s="125"/>
      <c r="BJ480" s="125">
        <f t="shared" si="871"/>
        <v>0</v>
      </c>
      <c r="BK480" s="125"/>
      <c r="BL480" s="312"/>
      <c r="BM480" s="317"/>
      <c r="BN480" s="320"/>
    </row>
    <row r="481" s="124" customFormat="1" ht="33.95" hidden="1" customHeight="1" outlineLevel="5" spans="2:66">
      <c r="B481" s="125" t="s">
        <v>792</v>
      </c>
      <c r="C481" s="126" t="s">
        <v>1897</v>
      </c>
      <c r="D481" s="124" t="s">
        <v>1898</v>
      </c>
      <c r="E481" s="125" t="s">
        <v>1899</v>
      </c>
      <c r="F481" s="125" t="s">
        <v>1618</v>
      </c>
      <c r="G481" s="125" t="s">
        <v>936</v>
      </c>
      <c r="H481" s="125">
        <f t="shared" si="872"/>
        <v>0</v>
      </c>
      <c r="I481" s="125" t="s">
        <v>1235</v>
      </c>
      <c r="J481" s="304"/>
      <c r="K481" s="125" t="s">
        <v>1840</v>
      </c>
      <c r="L481" s="125">
        <v>28</v>
      </c>
      <c r="M481" s="125" t="s">
        <v>1841</v>
      </c>
      <c r="N481" s="125">
        <f t="shared" si="873"/>
        <v>0</v>
      </c>
      <c r="O481" s="304"/>
      <c r="P481" s="304"/>
      <c r="Q481" s="304"/>
      <c r="R481" s="304"/>
      <c r="S481" s="304"/>
      <c r="T481" s="304"/>
      <c r="U481" s="304"/>
      <c r="V481" s="304"/>
      <c r="W481" s="304"/>
      <c r="X481" s="304"/>
      <c r="Y481" s="304"/>
      <c r="Z481" s="304"/>
      <c r="AA481" s="125"/>
      <c r="AB481" s="125">
        <f t="shared" si="859"/>
        <v>0</v>
      </c>
      <c r="AC481" s="125">
        <f t="shared" si="860"/>
        <v>0</v>
      </c>
      <c r="AD481" s="125"/>
      <c r="AE481" s="125"/>
      <c r="AF481" s="125">
        <f t="shared" si="861"/>
        <v>0</v>
      </c>
      <c r="AG481" s="125"/>
      <c r="AH481" s="125"/>
      <c r="AI481" s="125">
        <f t="shared" si="862"/>
        <v>0</v>
      </c>
      <c r="AJ481" s="125"/>
      <c r="AK481" s="125"/>
      <c r="AL481" s="125">
        <f t="shared" si="863"/>
        <v>0</v>
      </c>
      <c r="AM481" s="125"/>
      <c r="AN481" s="125"/>
      <c r="AO481" s="125">
        <f t="shared" si="864"/>
        <v>0</v>
      </c>
      <c r="AP481" s="125"/>
      <c r="AQ481" s="125"/>
      <c r="AR481" s="125">
        <f t="shared" si="865"/>
        <v>0</v>
      </c>
      <c r="AS481" s="125"/>
      <c r="AT481" s="125"/>
      <c r="AU481" s="125">
        <f t="shared" si="866"/>
        <v>0</v>
      </c>
      <c r="AV481" s="125"/>
      <c r="AW481" s="125"/>
      <c r="AX481" s="125">
        <f t="shared" si="867"/>
        <v>0</v>
      </c>
      <c r="AY481" s="125"/>
      <c r="AZ481" s="125"/>
      <c r="BA481" s="125">
        <f t="shared" si="868"/>
        <v>0</v>
      </c>
      <c r="BB481" s="125"/>
      <c r="BC481" s="125"/>
      <c r="BD481" s="125">
        <f t="shared" si="869"/>
        <v>0</v>
      </c>
      <c r="BE481" s="125"/>
      <c r="BF481" s="125"/>
      <c r="BG481" s="125">
        <f t="shared" si="870"/>
        <v>0</v>
      </c>
      <c r="BH481" s="125"/>
      <c r="BI481" s="125"/>
      <c r="BJ481" s="125">
        <f t="shared" si="871"/>
        <v>0</v>
      </c>
      <c r="BK481" s="125"/>
      <c r="BL481" s="312"/>
      <c r="BM481" s="317"/>
      <c r="BN481" s="320"/>
    </row>
    <row r="482" s="124" customFormat="1" ht="33.95" hidden="1" customHeight="1" outlineLevel="5" spans="2:66">
      <c r="B482" s="125" t="s">
        <v>792</v>
      </c>
      <c r="C482" s="126" t="s">
        <v>1900</v>
      </c>
      <c r="D482" s="124" t="s">
        <v>1901</v>
      </c>
      <c r="E482" s="125" t="s">
        <v>1902</v>
      </c>
      <c r="F482" s="125" t="s">
        <v>1618</v>
      </c>
      <c r="G482" s="125" t="s">
        <v>936</v>
      </c>
      <c r="H482" s="125">
        <f t="shared" si="872"/>
        <v>0</v>
      </c>
      <c r="I482" s="125" t="s">
        <v>1235</v>
      </c>
      <c r="J482" s="304"/>
      <c r="K482" s="125" t="s">
        <v>1824</v>
      </c>
      <c r="L482" s="125">
        <v>32</v>
      </c>
      <c r="M482" s="125" t="s">
        <v>1825</v>
      </c>
      <c r="N482" s="125">
        <f t="shared" si="873"/>
        <v>0</v>
      </c>
      <c r="O482" s="304"/>
      <c r="P482" s="304"/>
      <c r="Q482" s="304"/>
      <c r="R482" s="304"/>
      <c r="S482" s="304"/>
      <c r="T482" s="304"/>
      <c r="U482" s="304"/>
      <c r="V482" s="304"/>
      <c r="W482" s="304"/>
      <c r="X482" s="304"/>
      <c r="Y482" s="304"/>
      <c r="Z482" s="304"/>
      <c r="AA482" s="125"/>
      <c r="AB482" s="125">
        <f t="shared" si="859"/>
        <v>0</v>
      </c>
      <c r="AC482" s="125">
        <f t="shared" si="860"/>
        <v>0</v>
      </c>
      <c r="AD482" s="125"/>
      <c r="AE482" s="125"/>
      <c r="AF482" s="125">
        <f t="shared" si="861"/>
        <v>0</v>
      </c>
      <c r="AG482" s="125"/>
      <c r="AH482" s="125"/>
      <c r="AI482" s="125">
        <f t="shared" si="862"/>
        <v>0</v>
      </c>
      <c r="AJ482" s="125"/>
      <c r="AK482" s="125"/>
      <c r="AL482" s="125">
        <f t="shared" si="863"/>
        <v>0</v>
      </c>
      <c r="AM482" s="125"/>
      <c r="AN482" s="125"/>
      <c r="AO482" s="125">
        <f t="shared" si="864"/>
        <v>0</v>
      </c>
      <c r="AP482" s="125"/>
      <c r="AQ482" s="125"/>
      <c r="AR482" s="125">
        <f t="shared" si="865"/>
        <v>0</v>
      </c>
      <c r="AS482" s="125"/>
      <c r="AT482" s="125"/>
      <c r="AU482" s="125">
        <f t="shared" si="866"/>
        <v>0</v>
      </c>
      <c r="AV482" s="125"/>
      <c r="AW482" s="125"/>
      <c r="AX482" s="125">
        <f t="shared" si="867"/>
        <v>0</v>
      </c>
      <c r="AY482" s="125"/>
      <c r="AZ482" s="125"/>
      <c r="BA482" s="125">
        <f t="shared" si="868"/>
        <v>0</v>
      </c>
      <c r="BB482" s="125"/>
      <c r="BC482" s="125"/>
      <c r="BD482" s="125">
        <f t="shared" si="869"/>
        <v>0</v>
      </c>
      <c r="BE482" s="125"/>
      <c r="BF482" s="125"/>
      <c r="BG482" s="125">
        <f t="shared" si="870"/>
        <v>0</v>
      </c>
      <c r="BH482" s="125"/>
      <c r="BI482" s="125"/>
      <c r="BJ482" s="125">
        <f t="shared" si="871"/>
        <v>0</v>
      </c>
      <c r="BK482" s="125"/>
      <c r="BL482" s="312"/>
      <c r="BM482" s="317"/>
      <c r="BN482" s="320"/>
    </row>
    <row r="483" s="124" customFormat="1" ht="33.95" hidden="1" customHeight="1" outlineLevel="5" spans="2:66">
      <c r="B483" s="125" t="s">
        <v>792</v>
      </c>
      <c r="C483" s="126" t="s">
        <v>1903</v>
      </c>
      <c r="D483" s="124" t="s">
        <v>1904</v>
      </c>
      <c r="E483" s="125" t="s">
        <v>1896</v>
      </c>
      <c r="F483" s="125" t="s">
        <v>1618</v>
      </c>
      <c r="G483" s="125" t="s">
        <v>936</v>
      </c>
      <c r="H483" s="125">
        <f t="shared" si="872"/>
        <v>0</v>
      </c>
      <c r="I483" s="125" t="s">
        <v>1235</v>
      </c>
      <c r="J483" s="304"/>
      <c r="K483" s="125" t="s">
        <v>1824</v>
      </c>
      <c r="L483" s="125">
        <v>180</v>
      </c>
      <c r="M483" s="125" t="s">
        <v>1825</v>
      </c>
      <c r="N483" s="125">
        <f t="shared" si="873"/>
        <v>0</v>
      </c>
      <c r="O483" s="304"/>
      <c r="P483" s="304"/>
      <c r="Q483" s="304"/>
      <c r="R483" s="304"/>
      <c r="S483" s="304"/>
      <c r="T483" s="304"/>
      <c r="U483" s="304"/>
      <c r="V483" s="304"/>
      <c r="W483" s="304"/>
      <c r="X483" s="304"/>
      <c r="Y483" s="304"/>
      <c r="Z483" s="304"/>
      <c r="AA483" s="125"/>
      <c r="AB483" s="125">
        <f t="shared" si="859"/>
        <v>0</v>
      </c>
      <c r="AC483" s="125">
        <f t="shared" si="860"/>
        <v>0</v>
      </c>
      <c r="AD483" s="125"/>
      <c r="AE483" s="125"/>
      <c r="AF483" s="125">
        <f t="shared" si="861"/>
        <v>0</v>
      </c>
      <c r="AG483" s="125"/>
      <c r="AH483" s="125"/>
      <c r="AI483" s="125">
        <f t="shared" si="862"/>
        <v>0</v>
      </c>
      <c r="AJ483" s="125"/>
      <c r="AK483" s="125"/>
      <c r="AL483" s="125">
        <f t="shared" si="863"/>
        <v>0</v>
      </c>
      <c r="AM483" s="125"/>
      <c r="AN483" s="125"/>
      <c r="AO483" s="125">
        <f t="shared" si="864"/>
        <v>0</v>
      </c>
      <c r="AP483" s="125"/>
      <c r="AQ483" s="125"/>
      <c r="AR483" s="125">
        <f t="shared" si="865"/>
        <v>0</v>
      </c>
      <c r="AS483" s="125"/>
      <c r="AT483" s="125"/>
      <c r="AU483" s="125">
        <f t="shared" si="866"/>
        <v>0</v>
      </c>
      <c r="AV483" s="125"/>
      <c r="AW483" s="125"/>
      <c r="AX483" s="125">
        <f t="shared" si="867"/>
        <v>0</v>
      </c>
      <c r="AY483" s="125"/>
      <c r="AZ483" s="125"/>
      <c r="BA483" s="125">
        <f t="shared" si="868"/>
        <v>0</v>
      </c>
      <c r="BB483" s="125"/>
      <c r="BC483" s="125"/>
      <c r="BD483" s="125">
        <f t="shared" si="869"/>
        <v>0</v>
      </c>
      <c r="BE483" s="125"/>
      <c r="BF483" s="125"/>
      <c r="BG483" s="125">
        <f t="shared" si="870"/>
        <v>0</v>
      </c>
      <c r="BH483" s="125"/>
      <c r="BI483" s="125"/>
      <c r="BJ483" s="125">
        <f t="shared" si="871"/>
        <v>0</v>
      </c>
      <c r="BK483" s="125"/>
      <c r="BL483" s="312"/>
      <c r="BM483" s="317"/>
      <c r="BN483" s="320"/>
    </row>
    <row r="484" s="124" customFormat="1" ht="33.95" hidden="1" customHeight="1" outlineLevel="5" spans="2:66">
      <c r="B484" s="125" t="s">
        <v>792</v>
      </c>
      <c r="C484" s="126" t="s">
        <v>1905</v>
      </c>
      <c r="D484" s="124" t="s">
        <v>1906</v>
      </c>
      <c r="E484" s="125" t="s">
        <v>1907</v>
      </c>
      <c r="F484" s="125" t="s">
        <v>1618</v>
      </c>
      <c r="G484" s="125" t="s">
        <v>936</v>
      </c>
      <c r="H484" s="125">
        <f t="shared" si="872"/>
        <v>0</v>
      </c>
      <c r="I484" s="125" t="s">
        <v>1235</v>
      </c>
      <c r="J484" s="304"/>
      <c r="K484" s="125" t="s">
        <v>1840</v>
      </c>
      <c r="L484" s="125">
        <v>15</v>
      </c>
      <c r="M484" s="125" t="s">
        <v>1841</v>
      </c>
      <c r="N484" s="125">
        <f t="shared" si="873"/>
        <v>0</v>
      </c>
      <c r="O484" s="304"/>
      <c r="P484" s="304"/>
      <c r="Q484" s="304"/>
      <c r="R484" s="304"/>
      <c r="S484" s="304"/>
      <c r="T484" s="304"/>
      <c r="U484" s="304"/>
      <c r="V484" s="304"/>
      <c r="W484" s="304"/>
      <c r="X484" s="304"/>
      <c r="Y484" s="304"/>
      <c r="Z484" s="304"/>
      <c r="AA484" s="125"/>
      <c r="AB484" s="125">
        <f t="shared" si="859"/>
        <v>0</v>
      </c>
      <c r="AC484" s="125">
        <f t="shared" si="860"/>
        <v>0</v>
      </c>
      <c r="AD484" s="125"/>
      <c r="AE484" s="125"/>
      <c r="AF484" s="125">
        <f t="shared" si="861"/>
        <v>0</v>
      </c>
      <c r="AG484" s="125"/>
      <c r="AH484" s="125"/>
      <c r="AI484" s="125">
        <f t="shared" si="862"/>
        <v>0</v>
      </c>
      <c r="AJ484" s="125"/>
      <c r="AK484" s="125"/>
      <c r="AL484" s="125">
        <f t="shared" si="863"/>
        <v>0</v>
      </c>
      <c r="AM484" s="125"/>
      <c r="AN484" s="125"/>
      <c r="AO484" s="125">
        <f t="shared" si="864"/>
        <v>0</v>
      </c>
      <c r="AP484" s="125"/>
      <c r="AQ484" s="125"/>
      <c r="AR484" s="125">
        <f t="shared" si="865"/>
        <v>0</v>
      </c>
      <c r="AS484" s="125"/>
      <c r="AT484" s="125"/>
      <c r="AU484" s="125">
        <f t="shared" si="866"/>
        <v>0</v>
      </c>
      <c r="AV484" s="125"/>
      <c r="AW484" s="125"/>
      <c r="AX484" s="125">
        <f t="shared" si="867"/>
        <v>0</v>
      </c>
      <c r="AY484" s="125"/>
      <c r="AZ484" s="125"/>
      <c r="BA484" s="125">
        <f t="shared" si="868"/>
        <v>0</v>
      </c>
      <c r="BB484" s="125"/>
      <c r="BC484" s="125"/>
      <c r="BD484" s="125">
        <f t="shared" si="869"/>
        <v>0</v>
      </c>
      <c r="BE484" s="125"/>
      <c r="BF484" s="125"/>
      <c r="BG484" s="125">
        <f t="shared" si="870"/>
        <v>0</v>
      </c>
      <c r="BH484" s="125"/>
      <c r="BI484" s="125"/>
      <c r="BJ484" s="125">
        <f t="shared" si="871"/>
        <v>0</v>
      </c>
      <c r="BK484" s="125"/>
      <c r="BL484" s="312"/>
      <c r="BM484" s="317"/>
      <c r="BN484" s="320"/>
    </row>
    <row r="485" s="124" customFormat="1" ht="33.95" hidden="1" customHeight="1" outlineLevel="5" spans="2:66">
      <c r="B485" s="125" t="s">
        <v>792</v>
      </c>
      <c r="C485" s="126" t="s">
        <v>1908</v>
      </c>
      <c r="D485" s="124" t="s">
        <v>1909</v>
      </c>
      <c r="E485" s="125" t="s">
        <v>1910</v>
      </c>
      <c r="F485" s="125" t="s">
        <v>1618</v>
      </c>
      <c r="G485" s="125" t="s">
        <v>936</v>
      </c>
      <c r="H485" s="125">
        <f t="shared" si="872"/>
        <v>0</v>
      </c>
      <c r="I485" s="125" t="s">
        <v>1235</v>
      </c>
      <c r="J485" s="304"/>
      <c r="K485" s="125" t="s">
        <v>1840</v>
      </c>
      <c r="L485" s="125">
        <v>25</v>
      </c>
      <c r="M485" s="125" t="s">
        <v>1841</v>
      </c>
      <c r="N485" s="125">
        <f t="shared" si="873"/>
        <v>0</v>
      </c>
      <c r="O485" s="322"/>
      <c r="P485" s="322"/>
      <c r="Q485" s="322"/>
      <c r="R485" s="322"/>
      <c r="S485" s="322"/>
      <c r="T485" s="322"/>
      <c r="U485" s="322"/>
      <c r="V485" s="322"/>
      <c r="W485" s="322"/>
      <c r="X485" s="322"/>
      <c r="Y485" s="322"/>
      <c r="Z485" s="322"/>
      <c r="AA485" s="125"/>
      <c r="AB485" s="125">
        <f t="shared" si="859"/>
        <v>0</v>
      </c>
      <c r="AC485" s="125">
        <f t="shared" si="860"/>
        <v>0</v>
      </c>
      <c r="AD485" s="125"/>
      <c r="AE485" s="125"/>
      <c r="AF485" s="125">
        <f t="shared" si="861"/>
        <v>0</v>
      </c>
      <c r="AG485" s="125"/>
      <c r="AH485" s="125"/>
      <c r="AI485" s="125">
        <f t="shared" si="862"/>
        <v>0</v>
      </c>
      <c r="AJ485" s="125"/>
      <c r="AK485" s="125"/>
      <c r="AL485" s="125">
        <f t="shared" si="863"/>
        <v>0</v>
      </c>
      <c r="AM485" s="125"/>
      <c r="AN485" s="125"/>
      <c r="AO485" s="125">
        <f t="shared" si="864"/>
        <v>0</v>
      </c>
      <c r="AP485" s="125"/>
      <c r="AQ485" s="125"/>
      <c r="AR485" s="125">
        <f t="shared" si="865"/>
        <v>0</v>
      </c>
      <c r="AS485" s="125"/>
      <c r="AT485" s="125"/>
      <c r="AU485" s="125">
        <f t="shared" si="866"/>
        <v>0</v>
      </c>
      <c r="AV485" s="125"/>
      <c r="AW485" s="125"/>
      <c r="AX485" s="125">
        <f t="shared" si="867"/>
        <v>0</v>
      </c>
      <c r="AY485" s="125"/>
      <c r="AZ485" s="125"/>
      <c r="BA485" s="125">
        <f t="shared" si="868"/>
        <v>0</v>
      </c>
      <c r="BB485" s="125"/>
      <c r="BC485" s="125"/>
      <c r="BD485" s="125">
        <f t="shared" si="869"/>
        <v>0</v>
      </c>
      <c r="BE485" s="125"/>
      <c r="BF485" s="125"/>
      <c r="BG485" s="125">
        <f t="shared" si="870"/>
        <v>0</v>
      </c>
      <c r="BH485" s="125"/>
      <c r="BI485" s="125"/>
      <c r="BJ485" s="125">
        <f t="shared" si="871"/>
        <v>0</v>
      </c>
      <c r="BK485" s="125"/>
      <c r="BL485" s="312"/>
      <c r="BM485" s="317"/>
      <c r="BN485" s="320"/>
    </row>
    <row r="486" s="14" customFormat="1" ht="33.95" hidden="1" customHeight="1" outlineLevel="2" spans="2:66">
      <c r="B486" s="118" t="s">
        <v>787</v>
      </c>
      <c r="C486" s="119" t="s">
        <v>1911</v>
      </c>
      <c r="D486" s="14" t="s">
        <v>1912</v>
      </c>
      <c r="E486" s="118"/>
      <c r="F486" s="118"/>
      <c r="G486" s="118"/>
      <c r="H486" s="118">
        <f>H487+H493</f>
        <v>0</v>
      </c>
      <c r="I486" s="118"/>
      <c r="J486" s="118"/>
      <c r="K486" s="118"/>
      <c r="L486" s="118"/>
      <c r="M486" s="118"/>
      <c r="N486" s="310"/>
      <c r="O486" s="293"/>
      <c r="P486" s="293"/>
      <c r="Q486" s="293"/>
      <c r="R486" s="293"/>
      <c r="S486" s="293"/>
      <c r="T486" s="293"/>
      <c r="U486" s="293"/>
      <c r="V486" s="293"/>
      <c r="W486" s="293"/>
      <c r="X486" s="293"/>
      <c r="Y486" s="293"/>
      <c r="Z486" s="293"/>
      <c r="AA486" s="293"/>
      <c r="AB486" s="118">
        <f t="shared" ref="AB486:AF486" si="874">AB487+AB493</f>
        <v>0</v>
      </c>
      <c r="AC486" s="118">
        <f t="shared" si="874"/>
        <v>0</v>
      </c>
      <c r="AD486" s="118"/>
      <c r="AE486" s="118"/>
      <c r="AF486" s="118">
        <f t="shared" si="874"/>
        <v>0</v>
      </c>
      <c r="AG486" s="118"/>
      <c r="AH486" s="118"/>
      <c r="AI486" s="118">
        <f>AI487+AI493</f>
        <v>0</v>
      </c>
      <c r="AJ486" s="118"/>
      <c r="AK486" s="118"/>
      <c r="AL486" s="118">
        <f>AL487+AL493</f>
        <v>0</v>
      </c>
      <c r="AM486" s="118"/>
      <c r="AN486" s="118"/>
      <c r="AO486" s="118">
        <f>AO487+AO493</f>
        <v>0</v>
      </c>
      <c r="AP486" s="118"/>
      <c r="AQ486" s="118"/>
      <c r="AR486" s="118">
        <f>AR487+AR493</f>
        <v>0</v>
      </c>
      <c r="AS486" s="118"/>
      <c r="AT486" s="118"/>
      <c r="AU486" s="118">
        <f>AU487+AU493</f>
        <v>0</v>
      </c>
      <c r="AV486" s="118"/>
      <c r="AW486" s="118"/>
      <c r="AX486" s="118">
        <f>AX487+AX493</f>
        <v>0</v>
      </c>
      <c r="AY486" s="118"/>
      <c r="AZ486" s="118"/>
      <c r="BA486" s="118">
        <f>BA487+BA493</f>
        <v>0</v>
      </c>
      <c r="BB486" s="118"/>
      <c r="BC486" s="118"/>
      <c r="BD486" s="118">
        <f>BD487+BD493</f>
        <v>0</v>
      </c>
      <c r="BE486" s="118"/>
      <c r="BF486" s="118"/>
      <c r="BG486" s="118">
        <f>BG487+BG493</f>
        <v>0</v>
      </c>
      <c r="BH486" s="118"/>
      <c r="BI486" s="118"/>
      <c r="BJ486" s="118">
        <f>BJ487+BJ493</f>
        <v>0</v>
      </c>
      <c r="BK486" s="118"/>
      <c r="BL486" s="310"/>
      <c r="BM486" s="317"/>
      <c r="BN486" s="318"/>
    </row>
    <row r="487" s="43" customFormat="1" ht="33.95" hidden="1" customHeight="1" outlineLevel="3" spans="2:66">
      <c r="B487" s="121" t="s">
        <v>787</v>
      </c>
      <c r="C487" s="122" t="s">
        <v>1913</v>
      </c>
      <c r="D487" s="43" t="s">
        <v>1914</v>
      </c>
      <c r="E487" s="121"/>
      <c r="F487" s="121"/>
      <c r="G487" s="121"/>
      <c r="H487" s="121">
        <f>SUM(H488:H492)</f>
        <v>0</v>
      </c>
      <c r="I487" s="121"/>
      <c r="J487" s="121"/>
      <c r="K487" s="121"/>
      <c r="L487" s="121"/>
      <c r="M487" s="121"/>
      <c r="N487" s="311"/>
      <c r="O487" s="294"/>
      <c r="P487" s="294"/>
      <c r="Q487" s="294"/>
      <c r="R487" s="294"/>
      <c r="S487" s="294"/>
      <c r="T487" s="294"/>
      <c r="U487" s="294"/>
      <c r="V487" s="294"/>
      <c r="W487" s="294"/>
      <c r="X487" s="294"/>
      <c r="Y487" s="294"/>
      <c r="Z487" s="294"/>
      <c r="AA487" s="294"/>
      <c r="AB487" s="121">
        <f t="shared" ref="AB487:AF487" si="875">SUM(AB488:AB492)</f>
        <v>0</v>
      </c>
      <c r="AC487" s="121">
        <f t="shared" si="875"/>
        <v>0</v>
      </c>
      <c r="AD487" s="121"/>
      <c r="AE487" s="121"/>
      <c r="AF487" s="121">
        <f t="shared" si="875"/>
        <v>0</v>
      </c>
      <c r="AG487" s="121"/>
      <c r="AH487" s="121"/>
      <c r="AI487" s="121">
        <f>SUM(AI488:AI492)</f>
        <v>0</v>
      </c>
      <c r="AJ487" s="121"/>
      <c r="AK487" s="121"/>
      <c r="AL487" s="121">
        <f>SUM(AL488:AL492)</f>
        <v>0</v>
      </c>
      <c r="AM487" s="121"/>
      <c r="AN487" s="121"/>
      <c r="AO487" s="121">
        <f>SUM(AO488:AO492)</f>
        <v>0</v>
      </c>
      <c r="AP487" s="121"/>
      <c r="AQ487" s="121"/>
      <c r="AR487" s="121">
        <f>SUM(AR488:AR492)</f>
        <v>0</v>
      </c>
      <c r="AS487" s="121"/>
      <c r="AT487" s="121"/>
      <c r="AU487" s="121">
        <f>SUM(AU488:AU492)</f>
        <v>0</v>
      </c>
      <c r="AV487" s="121"/>
      <c r="AW487" s="121"/>
      <c r="AX487" s="121">
        <f>SUM(AX488:AX492)</f>
        <v>0</v>
      </c>
      <c r="AY487" s="121"/>
      <c r="AZ487" s="121"/>
      <c r="BA487" s="121">
        <f>SUM(BA488:BA492)</f>
        <v>0</v>
      </c>
      <c r="BB487" s="121"/>
      <c r="BC487" s="121"/>
      <c r="BD487" s="121">
        <f>SUM(BD488:BD492)</f>
        <v>0</v>
      </c>
      <c r="BE487" s="121"/>
      <c r="BF487" s="121"/>
      <c r="BG487" s="121">
        <f>SUM(BG488:BG492)</f>
        <v>0</v>
      </c>
      <c r="BH487" s="121"/>
      <c r="BI487" s="121"/>
      <c r="BJ487" s="121">
        <f>SUM(BJ488:BJ492)</f>
        <v>0</v>
      </c>
      <c r="BK487" s="121"/>
      <c r="BL487" s="311"/>
      <c r="BM487" s="317"/>
      <c r="BN487" s="319"/>
    </row>
    <row r="488" s="124" customFormat="1" ht="33.95" hidden="1" customHeight="1" outlineLevel="5" spans="2:66">
      <c r="B488" s="125" t="s">
        <v>792</v>
      </c>
      <c r="C488" s="126" t="s">
        <v>1915</v>
      </c>
      <c r="D488" s="124" t="s">
        <v>1916</v>
      </c>
      <c r="E488" s="125" t="s">
        <v>1917</v>
      </c>
      <c r="F488" s="125" t="s">
        <v>1618</v>
      </c>
      <c r="G488" s="125" t="s">
        <v>936</v>
      </c>
      <c r="H488" s="125">
        <f t="shared" ref="H488:H492" si="876">J488*L488</f>
        <v>0</v>
      </c>
      <c r="I488" s="125" t="s">
        <v>1235</v>
      </c>
      <c r="J488" s="304"/>
      <c r="K488" s="125" t="s">
        <v>1389</v>
      </c>
      <c r="L488" s="125">
        <v>49</v>
      </c>
      <c r="M488" s="125" t="s">
        <v>1668</v>
      </c>
      <c r="N488" s="125">
        <f t="shared" ref="N488:N492" si="877">COUNTA(O488:Z488)</f>
        <v>0</v>
      </c>
      <c r="O488" s="323"/>
      <c r="P488" s="323"/>
      <c r="Q488" s="323"/>
      <c r="R488" s="323"/>
      <c r="S488" s="323"/>
      <c r="T488" s="323"/>
      <c r="U488" s="323"/>
      <c r="V488" s="323"/>
      <c r="W488" s="323"/>
      <c r="X488" s="323"/>
      <c r="Y488" s="323"/>
      <c r="Z488" s="323"/>
      <c r="AA488" s="125"/>
      <c r="AB488" s="125">
        <f>SUM(AC488,AF488,AI488,AL488,AO488,AR488,AU488,AX488,BA488,BD488,BG488,BJ488)</f>
        <v>0</v>
      </c>
      <c r="AC488" s="125">
        <f>IF(O488="√",$J488*$L488/$N488,0)</f>
        <v>0</v>
      </c>
      <c r="AD488" s="125"/>
      <c r="AE488" s="125"/>
      <c r="AF488" s="125">
        <f>IF(P488="√",$J488*$L488/$N488,0)</f>
        <v>0</v>
      </c>
      <c r="AG488" s="125"/>
      <c r="AH488" s="125"/>
      <c r="AI488" s="125">
        <f>IF(Q488="√",$J488*$L488/$N488,0)</f>
        <v>0</v>
      </c>
      <c r="AJ488" s="125"/>
      <c r="AK488" s="125"/>
      <c r="AL488" s="125">
        <f>IF(R488="√",$J488*$L488/$N488,0)</f>
        <v>0</v>
      </c>
      <c r="AM488" s="125"/>
      <c r="AN488" s="125"/>
      <c r="AO488" s="125">
        <f>IF(S488="√",$J488*$L488/$N488,0)</f>
        <v>0</v>
      </c>
      <c r="AP488" s="125"/>
      <c r="AQ488" s="125"/>
      <c r="AR488" s="125">
        <f>IF(T488="√",$J488*$L488/$N488,0)</f>
        <v>0</v>
      </c>
      <c r="AS488" s="125"/>
      <c r="AT488" s="125"/>
      <c r="AU488" s="125">
        <f>IF(U488="√",$J488*$L488/$N488,0)</f>
        <v>0</v>
      </c>
      <c r="AV488" s="125"/>
      <c r="AW488" s="125"/>
      <c r="AX488" s="125">
        <f>IF(V488="√",$J488*$L488/$N488,0)</f>
        <v>0</v>
      </c>
      <c r="AY488" s="125"/>
      <c r="AZ488" s="125"/>
      <c r="BA488" s="125">
        <f>IF(W488="√",$J488*$L488/$N488,0)</f>
        <v>0</v>
      </c>
      <c r="BB488" s="125"/>
      <c r="BC488" s="125"/>
      <c r="BD488" s="125">
        <f>IF(X488="√",$J488*$L488/$N488,0)</f>
        <v>0</v>
      </c>
      <c r="BE488" s="125"/>
      <c r="BF488" s="125"/>
      <c r="BG488" s="125">
        <f>IF(Y488="√",$J488*$L488/$N488,0)</f>
        <v>0</v>
      </c>
      <c r="BH488" s="125"/>
      <c r="BI488" s="125"/>
      <c r="BJ488" s="125">
        <f>IF(Z488="√",$J488*$L488/$N488,0)</f>
        <v>0</v>
      </c>
      <c r="BK488" s="125"/>
      <c r="BL488" s="312"/>
      <c r="BM488" s="317"/>
      <c r="BN488" s="320"/>
    </row>
    <row r="489" s="124" customFormat="1" ht="33.95" hidden="1" customHeight="1" outlineLevel="5" spans="2:66">
      <c r="B489" s="125" t="s">
        <v>792</v>
      </c>
      <c r="C489" s="126" t="s">
        <v>1918</v>
      </c>
      <c r="D489" s="124" t="s">
        <v>1919</v>
      </c>
      <c r="E489" s="125" t="s">
        <v>1920</v>
      </c>
      <c r="F489" s="125" t="s">
        <v>1618</v>
      </c>
      <c r="G489" s="125" t="s">
        <v>936</v>
      </c>
      <c r="H489" s="125">
        <f t="shared" si="876"/>
        <v>0</v>
      </c>
      <c r="I489" s="125" t="s">
        <v>1235</v>
      </c>
      <c r="J489" s="304"/>
      <c r="K489" s="125" t="s">
        <v>1389</v>
      </c>
      <c r="L489" s="125">
        <v>42</v>
      </c>
      <c r="M489" s="125" t="s">
        <v>1668</v>
      </c>
      <c r="N489" s="125">
        <f t="shared" si="877"/>
        <v>0</v>
      </c>
      <c r="O489" s="304"/>
      <c r="P489" s="304"/>
      <c r="Q489" s="304"/>
      <c r="R489" s="304"/>
      <c r="S489" s="304"/>
      <c r="T489" s="304"/>
      <c r="U489" s="304"/>
      <c r="V489" s="304"/>
      <c r="W489" s="304"/>
      <c r="X489" s="304"/>
      <c r="Y489" s="304"/>
      <c r="Z489" s="304"/>
      <c r="AA489" s="125"/>
      <c r="AB489" s="125">
        <f>SUM(AC489,AF489,AI489,AL489,AO489,AR489,AU489,AX489,BA489,BD489,BG489,BJ489)</f>
        <v>0</v>
      </c>
      <c r="AC489" s="125">
        <f>IF(O489="√",$J489*$L489/$N489,0)</f>
        <v>0</v>
      </c>
      <c r="AD489" s="125"/>
      <c r="AE489" s="125"/>
      <c r="AF489" s="125">
        <f>IF(P489="√",$J489*$L489/$N489,0)</f>
        <v>0</v>
      </c>
      <c r="AG489" s="125"/>
      <c r="AH489" s="125"/>
      <c r="AI489" s="125">
        <f>IF(Q489="√",$J489*$L489/$N489,0)</f>
        <v>0</v>
      </c>
      <c r="AJ489" s="125"/>
      <c r="AK489" s="125"/>
      <c r="AL489" s="125">
        <f>IF(R489="√",$J489*$L489/$N489,0)</f>
        <v>0</v>
      </c>
      <c r="AM489" s="125"/>
      <c r="AN489" s="125"/>
      <c r="AO489" s="125">
        <f>IF(S489="√",$J489*$L489/$N489,0)</f>
        <v>0</v>
      </c>
      <c r="AP489" s="125"/>
      <c r="AQ489" s="125"/>
      <c r="AR489" s="125">
        <f>IF(T489="√",$J489*$L489/$N489,0)</f>
        <v>0</v>
      </c>
      <c r="AS489" s="125"/>
      <c r="AT489" s="125"/>
      <c r="AU489" s="125">
        <f>IF(U489="√",$J489*$L489/$N489,0)</f>
        <v>0</v>
      </c>
      <c r="AV489" s="125"/>
      <c r="AW489" s="125"/>
      <c r="AX489" s="125">
        <f>IF(V489="√",$J489*$L489/$N489,0)</f>
        <v>0</v>
      </c>
      <c r="AY489" s="125"/>
      <c r="AZ489" s="125"/>
      <c r="BA489" s="125">
        <f>IF(W489="√",$J489*$L489/$N489,0)</f>
        <v>0</v>
      </c>
      <c r="BB489" s="125"/>
      <c r="BC489" s="125"/>
      <c r="BD489" s="125">
        <f>IF(X489="√",$J489*$L489/$N489,0)</f>
        <v>0</v>
      </c>
      <c r="BE489" s="125"/>
      <c r="BF489" s="125"/>
      <c r="BG489" s="125">
        <f>IF(Y489="√",$J489*$L489/$N489,0)</f>
        <v>0</v>
      </c>
      <c r="BH489" s="125"/>
      <c r="BI489" s="125"/>
      <c r="BJ489" s="125">
        <f>IF(Z489="√",$J489*$L489/$N489,0)</f>
        <v>0</v>
      </c>
      <c r="BK489" s="125"/>
      <c r="BL489" s="312"/>
      <c r="BM489" s="317"/>
      <c r="BN489" s="320"/>
    </row>
    <row r="490" s="124" customFormat="1" ht="33.95" hidden="1" customHeight="1" outlineLevel="5" spans="2:66">
      <c r="B490" s="125" t="s">
        <v>792</v>
      </c>
      <c r="C490" s="126" t="s">
        <v>1921</v>
      </c>
      <c r="D490" s="124" t="s">
        <v>1922</v>
      </c>
      <c r="E490" s="125" t="s">
        <v>1923</v>
      </c>
      <c r="F490" s="125" t="s">
        <v>1618</v>
      </c>
      <c r="G490" s="125" t="s">
        <v>936</v>
      </c>
      <c r="H490" s="125">
        <f t="shared" si="876"/>
        <v>0</v>
      </c>
      <c r="I490" s="125" t="s">
        <v>1235</v>
      </c>
      <c r="J490" s="304"/>
      <c r="K490" s="125" t="s">
        <v>1626</v>
      </c>
      <c r="L490" s="125">
        <v>1262</v>
      </c>
      <c r="M490" s="125" t="s">
        <v>1627</v>
      </c>
      <c r="N490" s="125">
        <f t="shared" si="877"/>
        <v>0</v>
      </c>
      <c r="O490" s="304"/>
      <c r="P490" s="304"/>
      <c r="Q490" s="304"/>
      <c r="R490" s="304"/>
      <c r="S490" s="304"/>
      <c r="T490" s="304"/>
      <c r="U490" s="304"/>
      <c r="V490" s="304"/>
      <c r="W490" s="304"/>
      <c r="X490" s="304"/>
      <c r="Y490" s="304"/>
      <c r="Z490" s="304"/>
      <c r="AA490" s="125"/>
      <c r="AB490" s="125">
        <f>SUM(AC490,AF490,AI490,AL490,AO490,AR490,AU490,AX490,BA490,BD490,BG490,BJ490)</f>
        <v>0</v>
      </c>
      <c r="AC490" s="125">
        <f>IF(O490="√",$J490*$L490/$N490,0)</f>
        <v>0</v>
      </c>
      <c r="AD490" s="125"/>
      <c r="AE490" s="125"/>
      <c r="AF490" s="125">
        <f>IF(P490="√",$J490*$L490/$N490,0)</f>
        <v>0</v>
      </c>
      <c r="AG490" s="125"/>
      <c r="AH490" s="125"/>
      <c r="AI490" s="125">
        <f>IF(Q490="√",$J490*$L490/$N490,0)</f>
        <v>0</v>
      </c>
      <c r="AJ490" s="125"/>
      <c r="AK490" s="125"/>
      <c r="AL490" s="125">
        <f>IF(R490="√",$J490*$L490/$N490,0)</f>
        <v>0</v>
      </c>
      <c r="AM490" s="125"/>
      <c r="AN490" s="125"/>
      <c r="AO490" s="125">
        <f>IF(S490="√",$J490*$L490/$N490,0)</f>
        <v>0</v>
      </c>
      <c r="AP490" s="125"/>
      <c r="AQ490" s="125"/>
      <c r="AR490" s="125">
        <f>IF(T490="√",$J490*$L490/$N490,0)</f>
        <v>0</v>
      </c>
      <c r="AS490" s="125"/>
      <c r="AT490" s="125"/>
      <c r="AU490" s="125">
        <f>IF(U490="√",$J490*$L490/$N490,0)</f>
        <v>0</v>
      </c>
      <c r="AV490" s="125"/>
      <c r="AW490" s="125"/>
      <c r="AX490" s="125">
        <f>IF(V490="√",$J490*$L490/$N490,0)</f>
        <v>0</v>
      </c>
      <c r="AY490" s="125"/>
      <c r="AZ490" s="125"/>
      <c r="BA490" s="125">
        <f>IF(W490="√",$J490*$L490/$N490,0)</f>
        <v>0</v>
      </c>
      <c r="BB490" s="125"/>
      <c r="BC490" s="125"/>
      <c r="BD490" s="125">
        <f>IF(X490="√",$J490*$L490/$N490,0)</f>
        <v>0</v>
      </c>
      <c r="BE490" s="125"/>
      <c r="BF490" s="125"/>
      <c r="BG490" s="125">
        <f>IF(Y490="√",$J490*$L490/$N490,0)</f>
        <v>0</v>
      </c>
      <c r="BH490" s="125"/>
      <c r="BI490" s="125"/>
      <c r="BJ490" s="125">
        <f>IF(Z490="√",$J490*$L490/$N490,0)</f>
        <v>0</v>
      </c>
      <c r="BK490" s="125"/>
      <c r="BL490" s="312"/>
      <c r="BM490" s="317"/>
      <c r="BN490" s="320"/>
    </row>
    <row r="491" s="124" customFormat="1" ht="33.95" hidden="1" customHeight="1" outlineLevel="5" spans="2:66">
      <c r="B491" s="125" t="s">
        <v>792</v>
      </c>
      <c r="C491" s="126" t="s">
        <v>1924</v>
      </c>
      <c r="D491" s="124" t="s">
        <v>1925</v>
      </c>
      <c r="E491" s="125" t="s">
        <v>1926</v>
      </c>
      <c r="F491" s="125" t="s">
        <v>1618</v>
      </c>
      <c r="G491" s="125" t="s">
        <v>936</v>
      </c>
      <c r="H491" s="125">
        <f t="shared" si="876"/>
        <v>0</v>
      </c>
      <c r="I491" s="125" t="s">
        <v>1235</v>
      </c>
      <c r="J491" s="304"/>
      <c r="K491" s="125" t="s">
        <v>1389</v>
      </c>
      <c r="L491" s="125">
        <v>200</v>
      </c>
      <c r="M491" s="125" t="s">
        <v>1668</v>
      </c>
      <c r="N491" s="125">
        <f t="shared" si="877"/>
        <v>0</v>
      </c>
      <c r="O491" s="304"/>
      <c r="P491" s="304"/>
      <c r="Q491" s="304"/>
      <c r="R491" s="304"/>
      <c r="S491" s="304"/>
      <c r="T491" s="304"/>
      <c r="U491" s="304"/>
      <c r="V491" s="304"/>
      <c r="W491" s="304"/>
      <c r="X491" s="304"/>
      <c r="Y491" s="304"/>
      <c r="Z491" s="304"/>
      <c r="AA491" s="125"/>
      <c r="AB491" s="125">
        <f>SUM(AC491,AF491,AI491,AL491,AO491,AR491,AU491,AX491,BA491,BD491,BG491,BJ491)</f>
        <v>0</v>
      </c>
      <c r="AC491" s="125">
        <f>IF(O491="√",$J491*$L491/$N491,0)</f>
        <v>0</v>
      </c>
      <c r="AD491" s="125"/>
      <c r="AE491" s="125"/>
      <c r="AF491" s="125">
        <f>IF(P491="√",$J491*$L491/$N491,0)</f>
        <v>0</v>
      </c>
      <c r="AG491" s="125"/>
      <c r="AH491" s="125"/>
      <c r="AI491" s="125">
        <f>IF(Q491="√",$J491*$L491/$N491,0)</f>
        <v>0</v>
      </c>
      <c r="AJ491" s="125"/>
      <c r="AK491" s="125"/>
      <c r="AL491" s="125">
        <f>IF(R491="√",$J491*$L491/$N491,0)</f>
        <v>0</v>
      </c>
      <c r="AM491" s="125"/>
      <c r="AN491" s="125"/>
      <c r="AO491" s="125">
        <f>IF(S491="√",$J491*$L491/$N491,0)</f>
        <v>0</v>
      </c>
      <c r="AP491" s="125"/>
      <c r="AQ491" s="125"/>
      <c r="AR491" s="125">
        <f>IF(T491="√",$J491*$L491/$N491,0)</f>
        <v>0</v>
      </c>
      <c r="AS491" s="125"/>
      <c r="AT491" s="125"/>
      <c r="AU491" s="125">
        <f>IF(U491="√",$J491*$L491/$N491,0)</f>
        <v>0</v>
      </c>
      <c r="AV491" s="125"/>
      <c r="AW491" s="125"/>
      <c r="AX491" s="125">
        <f>IF(V491="√",$J491*$L491/$N491,0)</f>
        <v>0</v>
      </c>
      <c r="AY491" s="125"/>
      <c r="AZ491" s="125"/>
      <c r="BA491" s="125">
        <f>IF(W491="√",$J491*$L491/$N491,0)</f>
        <v>0</v>
      </c>
      <c r="BB491" s="125"/>
      <c r="BC491" s="125"/>
      <c r="BD491" s="125">
        <f>IF(X491="√",$J491*$L491/$N491,0)</f>
        <v>0</v>
      </c>
      <c r="BE491" s="125"/>
      <c r="BF491" s="125"/>
      <c r="BG491" s="125">
        <f>IF(Y491="√",$J491*$L491/$N491,0)</f>
        <v>0</v>
      </c>
      <c r="BH491" s="125"/>
      <c r="BI491" s="125"/>
      <c r="BJ491" s="125">
        <f>IF(Z491="√",$J491*$L491/$N491,0)</f>
        <v>0</v>
      </c>
      <c r="BK491" s="125"/>
      <c r="BL491" s="312"/>
      <c r="BM491" s="317"/>
      <c r="BN491" s="320"/>
    </row>
    <row r="492" s="124" customFormat="1" ht="33.95" hidden="1" customHeight="1" outlineLevel="5" spans="2:66">
      <c r="B492" s="125" t="s">
        <v>792</v>
      </c>
      <c r="C492" s="126" t="s">
        <v>1927</v>
      </c>
      <c r="D492" s="124" t="s">
        <v>1928</v>
      </c>
      <c r="E492" s="125"/>
      <c r="F492" s="125" t="s">
        <v>1618</v>
      </c>
      <c r="G492" s="125" t="s">
        <v>936</v>
      </c>
      <c r="H492" s="125">
        <f t="shared" si="876"/>
        <v>0</v>
      </c>
      <c r="I492" s="125" t="s">
        <v>1235</v>
      </c>
      <c r="J492" s="304"/>
      <c r="K492" s="125" t="s">
        <v>1389</v>
      </c>
      <c r="L492" s="125">
        <v>30</v>
      </c>
      <c r="M492" s="125" t="s">
        <v>1668</v>
      </c>
      <c r="N492" s="125">
        <f t="shared" si="877"/>
        <v>0</v>
      </c>
      <c r="O492" s="322"/>
      <c r="P492" s="322"/>
      <c r="Q492" s="322"/>
      <c r="R492" s="322"/>
      <c r="S492" s="322"/>
      <c r="T492" s="322"/>
      <c r="U492" s="322"/>
      <c r="V492" s="322"/>
      <c r="W492" s="322"/>
      <c r="X492" s="322"/>
      <c r="Y492" s="322"/>
      <c r="Z492" s="322"/>
      <c r="AA492" s="125"/>
      <c r="AB492" s="125">
        <f>SUM(AC492,AF492,AI492,AL492,AO492,AR492,AU492,AX492,BA492,BD492,BG492,BJ492)</f>
        <v>0</v>
      </c>
      <c r="AC492" s="125">
        <f>IF(O492="√",$J492*$L492/$N492,0)</f>
        <v>0</v>
      </c>
      <c r="AD492" s="125"/>
      <c r="AE492" s="125"/>
      <c r="AF492" s="125">
        <f>IF(P492="√",$J492*$L492/$N492,0)</f>
        <v>0</v>
      </c>
      <c r="AG492" s="125"/>
      <c r="AH492" s="125"/>
      <c r="AI492" s="125">
        <f>IF(Q492="√",$J492*$L492/$N492,0)</f>
        <v>0</v>
      </c>
      <c r="AJ492" s="125"/>
      <c r="AK492" s="125"/>
      <c r="AL492" s="125">
        <f>IF(R492="√",$J492*$L492/$N492,0)</f>
        <v>0</v>
      </c>
      <c r="AM492" s="125"/>
      <c r="AN492" s="125"/>
      <c r="AO492" s="125">
        <f>IF(S492="√",$J492*$L492/$N492,0)</f>
        <v>0</v>
      </c>
      <c r="AP492" s="125"/>
      <c r="AQ492" s="125"/>
      <c r="AR492" s="125">
        <f>IF(T492="√",$J492*$L492/$N492,0)</f>
        <v>0</v>
      </c>
      <c r="AS492" s="125"/>
      <c r="AT492" s="125"/>
      <c r="AU492" s="125">
        <f>IF(U492="√",$J492*$L492/$N492,0)</f>
        <v>0</v>
      </c>
      <c r="AV492" s="125"/>
      <c r="AW492" s="125"/>
      <c r="AX492" s="125">
        <f>IF(V492="√",$J492*$L492/$N492,0)</f>
        <v>0</v>
      </c>
      <c r="AY492" s="125"/>
      <c r="AZ492" s="125"/>
      <c r="BA492" s="125">
        <f>IF(W492="√",$J492*$L492/$N492,0)</f>
        <v>0</v>
      </c>
      <c r="BB492" s="125"/>
      <c r="BC492" s="125"/>
      <c r="BD492" s="125">
        <f>IF(X492="√",$J492*$L492/$N492,0)</f>
        <v>0</v>
      </c>
      <c r="BE492" s="125"/>
      <c r="BF492" s="125"/>
      <c r="BG492" s="125">
        <f>IF(Y492="√",$J492*$L492/$N492,0)</f>
        <v>0</v>
      </c>
      <c r="BH492" s="125"/>
      <c r="BI492" s="125"/>
      <c r="BJ492" s="125">
        <f>IF(Z492="√",$J492*$L492/$N492,0)</f>
        <v>0</v>
      </c>
      <c r="BK492" s="125"/>
      <c r="BL492" s="312"/>
      <c r="BM492" s="317"/>
      <c r="BN492" s="320"/>
    </row>
    <row r="493" s="43" customFormat="1" ht="33.95" hidden="1" customHeight="1" outlineLevel="3" spans="2:66">
      <c r="B493" s="121" t="s">
        <v>787</v>
      </c>
      <c r="C493" s="122" t="s">
        <v>1929</v>
      </c>
      <c r="D493" s="43" t="s">
        <v>1930</v>
      </c>
      <c r="E493" s="121"/>
      <c r="F493" s="121"/>
      <c r="G493" s="121"/>
      <c r="H493" s="121">
        <f>SUM(H494:H501)</f>
        <v>0</v>
      </c>
      <c r="I493" s="121"/>
      <c r="J493" s="121"/>
      <c r="K493" s="121"/>
      <c r="L493" s="121"/>
      <c r="M493" s="121"/>
      <c r="N493" s="311"/>
      <c r="O493" s="294"/>
      <c r="P493" s="294"/>
      <c r="Q493" s="294"/>
      <c r="R493" s="294"/>
      <c r="S493" s="294"/>
      <c r="T493" s="294"/>
      <c r="U493" s="294"/>
      <c r="V493" s="294"/>
      <c r="W493" s="294"/>
      <c r="X493" s="294"/>
      <c r="Y493" s="294"/>
      <c r="Z493" s="294"/>
      <c r="AA493" s="294"/>
      <c r="AB493" s="121">
        <f>SUM(AB494:AB501)</f>
        <v>0</v>
      </c>
      <c r="AC493" s="121">
        <f>SUM(AC494:AC501)</f>
        <v>0</v>
      </c>
      <c r="AD493" s="121"/>
      <c r="AE493" s="121"/>
      <c r="AF493" s="121">
        <f>SUM(AF494:AF501)</f>
        <v>0</v>
      </c>
      <c r="AG493" s="121"/>
      <c r="AH493" s="121"/>
      <c r="AI493" s="121">
        <f>SUM(AI494:AI501)</f>
        <v>0</v>
      </c>
      <c r="AJ493" s="121"/>
      <c r="AK493" s="121"/>
      <c r="AL493" s="121">
        <f>SUM(AL494:AL501)</f>
        <v>0</v>
      </c>
      <c r="AM493" s="121"/>
      <c r="AN493" s="121"/>
      <c r="AO493" s="121">
        <f>SUM(AO494:AO501)</f>
        <v>0</v>
      </c>
      <c r="AP493" s="121"/>
      <c r="AQ493" s="121"/>
      <c r="AR493" s="121">
        <f>SUM(AR494:AR501)</f>
        <v>0</v>
      </c>
      <c r="AS493" s="121"/>
      <c r="AT493" s="121"/>
      <c r="AU493" s="121">
        <f>SUM(AU494:AU501)</f>
        <v>0</v>
      </c>
      <c r="AV493" s="121"/>
      <c r="AW493" s="121"/>
      <c r="AX493" s="121">
        <f>SUM(AX494:AX501)</f>
        <v>0</v>
      </c>
      <c r="AY493" s="121"/>
      <c r="AZ493" s="121"/>
      <c r="BA493" s="121">
        <f>SUM(BA494:BA501)</f>
        <v>0</v>
      </c>
      <c r="BB493" s="121"/>
      <c r="BC493" s="121"/>
      <c r="BD493" s="121">
        <f>SUM(BD494:BD501)</f>
        <v>0</v>
      </c>
      <c r="BE493" s="121"/>
      <c r="BF493" s="121"/>
      <c r="BG493" s="121">
        <f>SUM(BG494:BG501)</f>
        <v>0</v>
      </c>
      <c r="BH493" s="121"/>
      <c r="BI493" s="121"/>
      <c r="BJ493" s="121">
        <f>SUM(BJ494:BJ501)</f>
        <v>0</v>
      </c>
      <c r="BK493" s="121"/>
      <c r="BL493" s="311"/>
      <c r="BM493" s="317"/>
      <c r="BN493" s="319"/>
    </row>
    <row r="494" s="124" customFormat="1" ht="33.95" hidden="1" customHeight="1" outlineLevel="5" spans="2:66">
      <c r="B494" s="125" t="s">
        <v>792</v>
      </c>
      <c r="C494" s="126" t="s">
        <v>1931</v>
      </c>
      <c r="D494" s="124" t="s">
        <v>1932</v>
      </c>
      <c r="E494" s="125"/>
      <c r="F494" s="125" t="s">
        <v>1618</v>
      </c>
      <c r="G494" s="125" t="s">
        <v>936</v>
      </c>
      <c r="H494" s="125">
        <f t="shared" ref="H494:H501" si="878">J494*L494</f>
        <v>0</v>
      </c>
      <c r="I494" s="125" t="s">
        <v>1235</v>
      </c>
      <c r="J494" s="304"/>
      <c r="K494" s="125" t="s">
        <v>1389</v>
      </c>
      <c r="L494" s="125">
        <v>22</v>
      </c>
      <c r="M494" s="125" t="s">
        <v>1668</v>
      </c>
      <c r="N494" s="125">
        <f t="shared" ref="N494:N501" si="879">COUNTA(O494:Z494)</f>
        <v>0</v>
      </c>
      <c r="O494" s="323"/>
      <c r="P494" s="323"/>
      <c r="Q494" s="323"/>
      <c r="R494" s="323"/>
      <c r="S494" s="323"/>
      <c r="T494" s="323"/>
      <c r="U494" s="323"/>
      <c r="V494" s="323"/>
      <c r="W494" s="323"/>
      <c r="X494" s="323"/>
      <c r="Y494" s="323"/>
      <c r="Z494" s="323"/>
      <c r="AA494" s="125"/>
      <c r="AB494" s="125">
        <f t="shared" ref="AB494:AB501" si="880">SUM(AC494,AF494,AI494,AL494,AO494,AR494,AU494,AX494,BA494,BD494,BG494,BJ494)</f>
        <v>0</v>
      </c>
      <c r="AC494" s="125">
        <f t="shared" ref="AC494:AC501" si="881">IF(O494="√",$J494*$L494/$N494,0)</f>
        <v>0</v>
      </c>
      <c r="AD494" s="125"/>
      <c r="AE494" s="125"/>
      <c r="AF494" s="125">
        <f t="shared" ref="AF494:AF501" si="882">IF(P494="√",$J494*$L494/$N494,0)</f>
        <v>0</v>
      </c>
      <c r="AG494" s="125"/>
      <c r="AH494" s="125"/>
      <c r="AI494" s="125">
        <f t="shared" ref="AI494:AI501" si="883">IF(Q494="√",$J494*$L494/$N494,0)</f>
        <v>0</v>
      </c>
      <c r="AJ494" s="125"/>
      <c r="AK494" s="125"/>
      <c r="AL494" s="125">
        <f t="shared" ref="AL494:AL501" si="884">IF(R494="√",$J494*$L494/$N494,0)</f>
        <v>0</v>
      </c>
      <c r="AM494" s="125"/>
      <c r="AN494" s="125"/>
      <c r="AO494" s="125">
        <f t="shared" ref="AO494:AO501" si="885">IF(S494="√",$J494*$L494/$N494,0)</f>
        <v>0</v>
      </c>
      <c r="AP494" s="125"/>
      <c r="AQ494" s="125"/>
      <c r="AR494" s="125">
        <f t="shared" ref="AR494:AR501" si="886">IF(T494="√",$J494*$L494/$N494,0)</f>
        <v>0</v>
      </c>
      <c r="AS494" s="125"/>
      <c r="AT494" s="125"/>
      <c r="AU494" s="125">
        <f t="shared" ref="AU494:AU501" si="887">IF(U494="√",$J494*$L494/$N494,0)</f>
        <v>0</v>
      </c>
      <c r="AV494" s="125"/>
      <c r="AW494" s="125"/>
      <c r="AX494" s="125">
        <f t="shared" ref="AX494:AX501" si="888">IF(V494="√",$J494*$L494/$N494,0)</f>
        <v>0</v>
      </c>
      <c r="AY494" s="125"/>
      <c r="AZ494" s="125"/>
      <c r="BA494" s="125">
        <f t="shared" ref="BA494:BA501" si="889">IF(W494="√",$J494*$L494/$N494,0)</f>
        <v>0</v>
      </c>
      <c r="BB494" s="125"/>
      <c r="BC494" s="125"/>
      <c r="BD494" s="125">
        <f t="shared" ref="BD494:BD501" si="890">IF(X494="√",$J494*$L494/$N494,0)</f>
        <v>0</v>
      </c>
      <c r="BE494" s="125"/>
      <c r="BF494" s="125"/>
      <c r="BG494" s="125">
        <f t="shared" ref="BG494:BG501" si="891">IF(Y494="√",$J494*$L494/$N494,0)</f>
        <v>0</v>
      </c>
      <c r="BH494" s="125"/>
      <c r="BI494" s="125"/>
      <c r="BJ494" s="125">
        <f t="shared" ref="BJ494:BJ501" si="892">IF(Z494="√",$J494*$L494/$N494,0)</f>
        <v>0</v>
      </c>
      <c r="BK494" s="125"/>
      <c r="BL494" s="312"/>
      <c r="BM494" s="317"/>
      <c r="BN494" s="320"/>
    </row>
    <row r="495" s="124" customFormat="1" ht="33.95" hidden="1" customHeight="1" outlineLevel="5" spans="2:66">
      <c r="B495" s="125" t="s">
        <v>792</v>
      </c>
      <c r="C495" s="126" t="s">
        <v>1933</v>
      </c>
      <c r="D495" s="124" t="s">
        <v>1934</v>
      </c>
      <c r="E495" s="125" t="s">
        <v>1935</v>
      </c>
      <c r="F495" s="125" t="s">
        <v>1618</v>
      </c>
      <c r="G495" s="125" t="s">
        <v>936</v>
      </c>
      <c r="H495" s="125">
        <f t="shared" si="878"/>
        <v>0</v>
      </c>
      <c r="I495" s="125" t="s">
        <v>1235</v>
      </c>
      <c r="J495" s="304"/>
      <c r="K495" s="125" t="s">
        <v>1389</v>
      </c>
      <c r="L495" s="125">
        <v>25</v>
      </c>
      <c r="M495" s="125" t="s">
        <v>1668</v>
      </c>
      <c r="N495" s="125">
        <f t="shared" si="879"/>
        <v>0</v>
      </c>
      <c r="O495" s="304"/>
      <c r="P495" s="304"/>
      <c r="Q495" s="304"/>
      <c r="R495" s="304"/>
      <c r="S495" s="304"/>
      <c r="T495" s="304"/>
      <c r="U495" s="304"/>
      <c r="V495" s="304"/>
      <c r="W495" s="304"/>
      <c r="X495" s="304"/>
      <c r="Y495" s="304"/>
      <c r="Z495" s="304"/>
      <c r="AA495" s="125"/>
      <c r="AB495" s="125">
        <f t="shared" si="880"/>
        <v>0</v>
      </c>
      <c r="AC495" s="125">
        <f t="shared" si="881"/>
        <v>0</v>
      </c>
      <c r="AD495" s="125"/>
      <c r="AE495" s="125"/>
      <c r="AF495" s="125">
        <f t="shared" si="882"/>
        <v>0</v>
      </c>
      <c r="AG495" s="125"/>
      <c r="AH495" s="125"/>
      <c r="AI495" s="125">
        <f t="shared" si="883"/>
        <v>0</v>
      </c>
      <c r="AJ495" s="125"/>
      <c r="AK495" s="125"/>
      <c r="AL495" s="125">
        <f t="shared" si="884"/>
        <v>0</v>
      </c>
      <c r="AM495" s="125"/>
      <c r="AN495" s="125"/>
      <c r="AO495" s="125">
        <f t="shared" si="885"/>
        <v>0</v>
      </c>
      <c r="AP495" s="125"/>
      <c r="AQ495" s="125"/>
      <c r="AR495" s="125">
        <f t="shared" si="886"/>
        <v>0</v>
      </c>
      <c r="AS495" s="125"/>
      <c r="AT495" s="125"/>
      <c r="AU495" s="125">
        <f t="shared" si="887"/>
        <v>0</v>
      </c>
      <c r="AV495" s="125"/>
      <c r="AW495" s="125"/>
      <c r="AX495" s="125">
        <f t="shared" si="888"/>
        <v>0</v>
      </c>
      <c r="AY495" s="125"/>
      <c r="AZ495" s="125"/>
      <c r="BA495" s="125">
        <f t="shared" si="889"/>
        <v>0</v>
      </c>
      <c r="BB495" s="125"/>
      <c r="BC495" s="125"/>
      <c r="BD495" s="125">
        <f t="shared" si="890"/>
        <v>0</v>
      </c>
      <c r="BE495" s="125"/>
      <c r="BF495" s="125"/>
      <c r="BG495" s="125">
        <f t="shared" si="891"/>
        <v>0</v>
      </c>
      <c r="BH495" s="125"/>
      <c r="BI495" s="125"/>
      <c r="BJ495" s="125">
        <f t="shared" si="892"/>
        <v>0</v>
      </c>
      <c r="BK495" s="125"/>
      <c r="BL495" s="312"/>
      <c r="BM495" s="317"/>
      <c r="BN495" s="320"/>
    </row>
    <row r="496" s="124" customFormat="1" ht="33.95" hidden="1" customHeight="1" outlineLevel="5" spans="2:66">
      <c r="B496" s="125" t="s">
        <v>792</v>
      </c>
      <c r="C496" s="126" t="s">
        <v>1936</v>
      </c>
      <c r="D496" s="124" t="s">
        <v>1937</v>
      </c>
      <c r="E496" s="125"/>
      <c r="F496" s="125" t="s">
        <v>1618</v>
      </c>
      <c r="G496" s="125" t="s">
        <v>936</v>
      </c>
      <c r="H496" s="125">
        <f t="shared" si="878"/>
        <v>0</v>
      </c>
      <c r="I496" s="125" t="s">
        <v>1235</v>
      </c>
      <c r="J496" s="304"/>
      <c r="K496" s="125" t="s">
        <v>1389</v>
      </c>
      <c r="L496" s="125">
        <v>16</v>
      </c>
      <c r="M496" s="125" t="s">
        <v>1668</v>
      </c>
      <c r="N496" s="125">
        <f t="shared" si="879"/>
        <v>0</v>
      </c>
      <c r="O496" s="304"/>
      <c r="P496" s="304"/>
      <c r="Q496" s="304"/>
      <c r="R496" s="304"/>
      <c r="S496" s="304"/>
      <c r="T496" s="304"/>
      <c r="U496" s="304"/>
      <c r="V496" s="304"/>
      <c r="W496" s="304"/>
      <c r="X496" s="304"/>
      <c r="Y496" s="304"/>
      <c r="Z496" s="304"/>
      <c r="AA496" s="125"/>
      <c r="AB496" s="125">
        <f t="shared" si="880"/>
        <v>0</v>
      </c>
      <c r="AC496" s="125">
        <f t="shared" si="881"/>
        <v>0</v>
      </c>
      <c r="AD496" s="125"/>
      <c r="AE496" s="125"/>
      <c r="AF496" s="125">
        <f t="shared" si="882"/>
        <v>0</v>
      </c>
      <c r="AG496" s="125"/>
      <c r="AH496" s="125"/>
      <c r="AI496" s="125">
        <f t="shared" si="883"/>
        <v>0</v>
      </c>
      <c r="AJ496" s="125"/>
      <c r="AK496" s="125"/>
      <c r="AL496" s="125">
        <f t="shared" si="884"/>
        <v>0</v>
      </c>
      <c r="AM496" s="125"/>
      <c r="AN496" s="125"/>
      <c r="AO496" s="125">
        <f t="shared" si="885"/>
        <v>0</v>
      </c>
      <c r="AP496" s="125"/>
      <c r="AQ496" s="125"/>
      <c r="AR496" s="125">
        <f t="shared" si="886"/>
        <v>0</v>
      </c>
      <c r="AS496" s="125"/>
      <c r="AT496" s="125"/>
      <c r="AU496" s="125">
        <f t="shared" si="887"/>
        <v>0</v>
      </c>
      <c r="AV496" s="125"/>
      <c r="AW496" s="125"/>
      <c r="AX496" s="125">
        <f t="shared" si="888"/>
        <v>0</v>
      </c>
      <c r="AY496" s="125"/>
      <c r="AZ496" s="125"/>
      <c r="BA496" s="125">
        <f t="shared" si="889"/>
        <v>0</v>
      </c>
      <c r="BB496" s="125"/>
      <c r="BC496" s="125"/>
      <c r="BD496" s="125">
        <f t="shared" si="890"/>
        <v>0</v>
      </c>
      <c r="BE496" s="125"/>
      <c r="BF496" s="125"/>
      <c r="BG496" s="125">
        <f t="shared" si="891"/>
        <v>0</v>
      </c>
      <c r="BH496" s="125"/>
      <c r="BI496" s="125"/>
      <c r="BJ496" s="125">
        <f t="shared" si="892"/>
        <v>0</v>
      </c>
      <c r="BK496" s="125"/>
      <c r="BL496" s="312"/>
      <c r="BM496" s="317"/>
      <c r="BN496" s="320"/>
    </row>
    <row r="497" s="124" customFormat="1" ht="33.95" hidden="1" customHeight="1" outlineLevel="5" spans="2:66">
      <c r="B497" s="125" t="s">
        <v>792</v>
      </c>
      <c r="C497" s="126" t="s">
        <v>1938</v>
      </c>
      <c r="D497" s="124" t="s">
        <v>1939</v>
      </c>
      <c r="E497" s="125"/>
      <c r="F497" s="125" t="s">
        <v>1618</v>
      </c>
      <c r="G497" s="125" t="s">
        <v>936</v>
      </c>
      <c r="H497" s="125">
        <f t="shared" si="878"/>
        <v>0</v>
      </c>
      <c r="I497" s="125" t="s">
        <v>1235</v>
      </c>
      <c r="J497" s="304"/>
      <c r="K497" s="125" t="s">
        <v>1626</v>
      </c>
      <c r="L497" s="125">
        <v>277</v>
      </c>
      <c r="M497" s="125" t="s">
        <v>1627</v>
      </c>
      <c r="N497" s="125">
        <f t="shared" si="879"/>
        <v>0</v>
      </c>
      <c r="O497" s="304"/>
      <c r="P497" s="304"/>
      <c r="Q497" s="304"/>
      <c r="R497" s="304"/>
      <c r="S497" s="304"/>
      <c r="T497" s="304"/>
      <c r="U497" s="304"/>
      <c r="V497" s="304"/>
      <c r="W497" s="304"/>
      <c r="X497" s="304"/>
      <c r="Y497" s="304"/>
      <c r="Z497" s="304"/>
      <c r="AA497" s="125"/>
      <c r="AB497" s="125">
        <f t="shared" si="880"/>
        <v>0</v>
      </c>
      <c r="AC497" s="125">
        <f t="shared" si="881"/>
        <v>0</v>
      </c>
      <c r="AD497" s="125"/>
      <c r="AE497" s="125"/>
      <c r="AF497" s="125">
        <f t="shared" si="882"/>
        <v>0</v>
      </c>
      <c r="AG497" s="125"/>
      <c r="AH497" s="125"/>
      <c r="AI497" s="125">
        <f t="shared" si="883"/>
        <v>0</v>
      </c>
      <c r="AJ497" s="125"/>
      <c r="AK497" s="125"/>
      <c r="AL497" s="125">
        <f t="shared" si="884"/>
        <v>0</v>
      </c>
      <c r="AM497" s="125"/>
      <c r="AN497" s="125"/>
      <c r="AO497" s="125">
        <f t="shared" si="885"/>
        <v>0</v>
      </c>
      <c r="AP497" s="125"/>
      <c r="AQ497" s="125"/>
      <c r="AR497" s="125">
        <f t="shared" si="886"/>
        <v>0</v>
      </c>
      <c r="AS497" s="125"/>
      <c r="AT497" s="125"/>
      <c r="AU497" s="125">
        <f t="shared" si="887"/>
        <v>0</v>
      </c>
      <c r="AV497" s="125"/>
      <c r="AW497" s="125"/>
      <c r="AX497" s="125">
        <f t="shared" si="888"/>
        <v>0</v>
      </c>
      <c r="AY497" s="125"/>
      <c r="AZ497" s="125"/>
      <c r="BA497" s="125">
        <f t="shared" si="889"/>
        <v>0</v>
      </c>
      <c r="BB497" s="125"/>
      <c r="BC497" s="125"/>
      <c r="BD497" s="125">
        <f t="shared" si="890"/>
        <v>0</v>
      </c>
      <c r="BE497" s="125"/>
      <c r="BF497" s="125"/>
      <c r="BG497" s="125">
        <f t="shared" si="891"/>
        <v>0</v>
      </c>
      <c r="BH497" s="125"/>
      <c r="BI497" s="125"/>
      <c r="BJ497" s="125">
        <f t="shared" si="892"/>
        <v>0</v>
      </c>
      <c r="BK497" s="125"/>
      <c r="BL497" s="312"/>
      <c r="BM497" s="317"/>
      <c r="BN497" s="320"/>
    </row>
    <row r="498" s="124" customFormat="1" ht="33.95" hidden="1" customHeight="1" outlineLevel="5" spans="2:66">
      <c r="B498" s="125" t="s">
        <v>792</v>
      </c>
      <c r="C498" s="126" t="s">
        <v>1940</v>
      </c>
      <c r="D498" s="124" t="s">
        <v>1941</v>
      </c>
      <c r="E498" s="125"/>
      <c r="F498" s="125" t="s">
        <v>1618</v>
      </c>
      <c r="G498" s="125" t="s">
        <v>936</v>
      </c>
      <c r="H498" s="125">
        <f t="shared" si="878"/>
        <v>0</v>
      </c>
      <c r="I498" s="125" t="s">
        <v>1235</v>
      </c>
      <c r="J498" s="304"/>
      <c r="K498" s="125" t="s">
        <v>1942</v>
      </c>
      <c r="L498" s="125">
        <v>21</v>
      </c>
      <c r="M498" s="125" t="s">
        <v>1943</v>
      </c>
      <c r="N498" s="125">
        <f t="shared" si="879"/>
        <v>0</v>
      </c>
      <c r="O498" s="304"/>
      <c r="P498" s="304"/>
      <c r="Q498" s="304"/>
      <c r="R498" s="304"/>
      <c r="S498" s="304"/>
      <c r="T498" s="304"/>
      <c r="U498" s="304"/>
      <c r="V498" s="304"/>
      <c r="W498" s="304"/>
      <c r="X498" s="304"/>
      <c r="Y498" s="304"/>
      <c r="Z498" s="304"/>
      <c r="AA498" s="125"/>
      <c r="AB498" s="125">
        <f t="shared" si="880"/>
        <v>0</v>
      </c>
      <c r="AC498" s="125">
        <f t="shared" si="881"/>
        <v>0</v>
      </c>
      <c r="AD498" s="125"/>
      <c r="AE498" s="125"/>
      <c r="AF498" s="125">
        <f t="shared" si="882"/>
        <v>0</v>
      </c>
      <c r="AG498" s="125"/>
      <c r="AH498" s="125"/>
      <c r="AI498" s="125">
        <f t="shared" si="883"/>
        <v>0</v>
      </c>
      <c r="AJ498" s="125"/>
      <c r="AK498" s="125"/>
      <c r="AL498" s="125">
        <f t="shared" si="884"/>
        <v>0</v>
      </c>
      <c r="AM498" s="125"/>
      <c r="AN498" s="125"/>
      <c r="AO498" s="125">
        <f t="shared" si="885"/>
        <v>0</v>
      </c>
      <c r="AP498" s="125"/>
      <c r="AQ498" s="125"/>
      <c r="AR498" s="125">
        <f t="shared" si="886"/>
        <v>0</v>
      </c>
      <c r="AS498" s="125"/>
      <c r="AT498" s="125"/>
      <c r="AU498" s="125">
        <f t="shared" si="887"/>
        <v>0</v>
      </c>
      <c r="AV498" s="125"/>
      <c r="AW498" s="125"/>
      <c r="AX498" s="125">
        <f t="shared" si="888"/>
        <v>0</v>
      </c>
      <c r="AY498" s="125"/>
      <c r="AZ498" s="125"/>
      <c r="BA498" s="125">
        <f t="shared" si="889"/>
        <v>0</v>
      </c>
      <c r="BB498" s="125"/>
      <c r="BC498" s="125"/>
      <c r="BD498" s="125">
        <f t="shared" si="890"/>
        <v>0</v>
      </c>
      <c r="BE498" s="125"/>
      <c r="BF498" s="125"/>
      <c r="BG498" s="125">
        <f t="shared" si="891"/>
        <v>0</v>
      </c>
      <c r="BH498" s="125"/>
      <c r="BI498" s="125"/>
      <c r="BJ498" s="125">
        <f t="shared" si="892"/>
        <v>0</v>
      </c>
      <c r="BK498" s="125"/>
      <c r="BL498" s="312"/>
      <c r="BM498" s="317"/>
      <c r="BN498" s="320"/>
    </row>
    <row r="499" s="124" customFormat="1" ht="33.95" hidden="1" customHeight="1" outlineLevel="5" spans="2:66">
      <c r="B499" s="125" t="s">
        <v>792</v>
      </c>
      <c r="C499" s="126" t="s">
        <v>1944</v>
      </c>
      <c r="D499" s="124" t="s">
        <v>1945</v>
      </c>
      <c r="E499" s="125" t="s">
        <v>1946</v>
      </c>
      <c r="F499" s="125" t="s">
        <v>1618</v>
      </c>
      <c r="G499" s="125" t="s">
        <v>936</v>
      </c>
      <c r="H499" s="125">
        <f t="shared" si="878"/>
        <v>0</v>
      </c>
      <c r="I499" s="125" t="s">
        <v>1235</v>
      </c>
      <c r="J499" s="304"/>
      <c r="K499" s="125" t="s">
        <v>1747</v>
      </c>
      <c r="L499" s="125">
        <v>375</v>
      </c>
      <c r="M499" s="125" t="s">
        <v>1748</v>
      </c>
      <c r="N499" s="125">
        <f t="shared" si="879"/>
        <v>0</v>
      </c>
      <c r="O499" s="304"/>
      <c r="P499" s="304"/>
      <c r="Q499" s="304"/>
      <c r="R499" s="304"/>
      <c r="S499" s="304"/>
      <c r="T499" s="304"/>
      <c r="U499" s="304"/>
      <c r="V499" s="304"/>
      <c r="W499" s="304"/>
      <c r="X499" s="304"/>
      <c r="Y499" s="304"/>
      <c r="Z499" s="304"/>
      <c r="AA499" s="125"/>
      <c r="AB499" s="125">
        <f t="shared" si="880"/>
        <v>0</v>
      </c>
      <c r="AC499" s="125">
        <f t="shared" si="881"/>
        <v>0</v>
      </c>
      <c r="AD499" s="125"/>
      <c r="AE499" s="125"/>
      <c r="AF499" s="125">
        <f t="shared" si="882"/>
        <v>0</v>
      </c>
      <c r="AG499" s="125"/>
      <c r="AH499" s="125"/>
      <c r="AI499" s="125">
        <f t="shared" si="883"/>
        <v>0</v>
      </c>
      <c r="AJ499" s="125"/>
      <c r="AK499" s="125"/>
      <c r="AL499" s="125">
        <f t="shared" si="884"/>
        <v>0</v>
      </c>
      <c r="AM499" s="125"/>
      <c r="AN499" s="125"/>
      <c r="AO499" s="125">
        <f t="shared" si="885"/>
        <v>0</v>
      </c>
      <c r="AP499" s="125"/>
      <c r="AQ499" s="125"/>
      <c r="AR499" s="125">
        <f t="shared" si="886"/>
        <v>0</v>
      </c>
      <c r="AS499" s="125"/>
      <c r="AT499" s="125"/>
      <c r="AU499" s="125">
        <f t="shared" si="887"/>
        <v>0</v>
      </c>
      <c r="AV499" s="125"/>
      <c r="AW499" s="125"/>
      <c r="AX499" s="125">
        <f t="shared" si="888"/>
        <v>0</v>
      </c>
      <c r="AY499" s="125"/>
      <c r="AZ499" s="125"/>
      <c r="BA499" s="125">
        <f t="shared" si="889"/>
        <v>0</v>
      </c>
      <c r="BB499" s="125"/>
      <c r="BC499" s="125"/>
      <c r="BD499" s="125">
        <f t="shared" si="890"/>
        <v>0</v>
      </c>
      <c r="BE499" s="125"/>
      <c r="BF499" s="125"/>
      <c r="BG499" s="125">
        <f t="shared" si="891"/>
        <v>0</v>
      </c>
      <c r="BH499" s="125"/>
      <c r="BI499" s="125"/>
      <c r="BJ499" s="125">
        <f t="shared" si="892"/>
        <v>0</v>
      </c>
      <c r="BK499" s="125"/>
      <c r="BL499" s="312"/>
      <c r="BM499" s="317"/>
      <c r="BN499" s="320"/>
    </row>
    <row r="500" s="124" customFormat="1" ht="33.95" hidden="1" customHeight="1" outlineLevel="5" spans="2:66">
      <c r="B500" s="125" t="s">
        <v>792</v>
      </c>
      <c r="C500" s="126" t="s">
        <v>1947</v>
      </c>
      <c r="D500" s="124" t="s">
        <v>1948</v>
      </c>
      <c r="E500" s="125" t="s">
        <v>1949</v>
      </c>
      <c r="F500" s="125" t="s">
        <v>1618</v>
      </c>
      <c r="G500" s="125" t="s">
        <v>936</v>
      </c>
      <c r="H500" s="125">
        <f t="shared" si="878"/>
        <v>0</v>
      </c>
      <c r="I500" s="125" t="s">
        <v>1235</v>
      </c>
      <c r="J500" s="304"/>
      <c r="K500" s="125" t="s">
        <v>1747</v>
      </c>
      <c r="L500" s="125">
        <v>95</v>
      </c>
      <c r="M500" s="125" t="s">
        <v>1748</v>
      </c>
      <c r="N500" s="125">
        <f t="shared" si="879"/>
        <v>0</v>
      </c>
      <c r="O500" s="304"/>
      <c r="P500" s="304"/>
      <c r="Q500" s="304"/>
      <c r="R500" s="304"/>
      <c r="S500" s="304"/>
      <c r="T500" s="304"/>
      <c r="U500" s="304"/>
      <c r="V500" s="304"/>
      <c r="W500" s="304"/>
      <c r="X500" s="304"/>
      <c r="Y500" s="304"/>
      <c r="Z500" s="304"/>
      <c r="AA500" s="125"/>
      <c r="AB500" s="125">
        <f t="shared" si="880"/>
        <v>0</v>
      </c>
      <c r="AC500" s="125">
        <f t="shared" si="881"/>
        <v>0</v>
      </c>
      <c r="AD500" s="125"/>
      <c r="AE500" s="125"/>
      <c r="AF500" s="125">
        <f t="shared" si="882"/>
        <v>0</v>
      </c>
      <c r="AG500" s="125"/>
      <c r="AH500" s="125"/>
      <c r="AI500" s="125">
        <f t="shared" si="883"/>
        <v>0</v>
      </c>
      <c r="AJ500" s="125"/>
      <c r="AK500" s="125"/>
      <c r="AL500" s="125">
        <f t="shared" si="884"/>
        <v>0</v>
      </c>
      <c r="AM500" s="125"/>
      <c r="AN500" s="125"/>
      <c r="AO500" s="125">
        <f t="shared" si="885"/>
        <v>0</v>
      </c>
      <c r="AP500" s="125"/>
      <c r="AQ500" s="125"/>
      <c r="AR500" s="125">
        <f t="shared" si="886"/>
        <v>0</v>
      </c>
      <c r="AS500" s="125"/>
      <c r="AT500" s="125"/>
      <c r="AU500" s="125">
        <f t="shared" si="887"/>
        <v>0</v>
      </c>
      <c r="AV500" s="125"/>
      <c r="AW500" s="125"/>
      <c r="AX500" s="125">
        <f t="shared" si="888"/>
        <v>0</v>
      </c>
      <c r="AY500" s="125"/>
      <c r="AZ500" s="125"/>
      <c r="BA500" s="125">
        <f t="shared" si="889"/>
        <v>0</v>
      </c>
      <c r="BB500" s="125"/>
      <c r="BC500" s="125"/>
      <c r="BD500" s="125">
        <f t="shared" si="890"/>
        <v>0</v>
      </c>
      <c r="BE500" s="125"/>
      <c r="BF500" s="125"/>
      <c r="BG500" s="125">
        <f t="shared" si="891"/>
        <v>0</v>
      </c>
      <c r="BH500" s="125"/>
      <c r="BI500" s="125"/>
      <c r="BJ500" s="125">
        <f t="shared" si="892"/>
        <v>0</v>
      </c>
      <c r="BK500" s="125"/>
      <c r="BL500" s="312"/>
      <c r="BM500" s="317"/>
      <c r="BN500" s="320"/>
    </row>
    <row r="501" s="124" customFormat="1" ht="33.95" hidden="1" customHeight="1" outlineLevel="5" spans="2:66">
      <c r="B501" s="125" t="s">
        <v>792</v>
      </c>
      <c r="C501" s="126" t="s">
        <v>1950</v>
      </c>
      <c r="D501" s="124" t="s">
        <v>1951</v>
      </c>
      <c r="E501" s="125"/>
      <c r="F501" s="125" t="s">
        <v>1618</v>
      </c>
      <c r="G501" s="125" t="s">
        <v>936</v>
      </c>
      <c r="H501" s="125">
        <f t="shared" si="878"/>
        <v>0</v>
      </c>
      <c r="I501" s="125" t="s">
        <v>1235</v>
      </c>
      <c r="J501" s="304"/>
      <c r="K501" s="125" t="s">
        <v>1626</v>
      </c>
      <c r="L501" s="125">
        <v>2350</v>
      </c>
      <c r="M501" s="125" t="s">
        <v>1627</v>
      </c>
      <c r="N501" s="125">
        <f t="shared" si="879"/>
        <v>0</v>
      </c>
      <c r="O501" s="322"/>
      <c r="P501" s="322"/>
      <c r="Q501" s="322"/>
      <c r="R501" s="322"/>
      <c r="S501" s="322"/>
      <c r="T501" s="322"/>
      <c r="U501" s="322"/>
      <c r="V501" s="322"/>
      <c r="W501" s="322"/>
      <c r="X501" s="322"/>
      <c r="Y501" s="322"/>
      <c r="Z501" s="322"/>
      <c r="AA501" s="125"/>
      <c r="AB501" s="125">
        <f t="shared" si="880"/>
        <v>0</v>
      </c>
      <c r="AC501" s="125">
        <f t="shared" si="881"/>
        <v>0</v>
      </c>
      <c r="AD501" s="125"/>
      <c r="AE501" s="125"/>
      <c r="AF501" s="125">
        <f t="shared" si="882"/>
        <v>0</v>
      </c>
      <c r="AG501" s="125"/>
      <c r="AH501" s="125"/>
      <c r="AI501" s="125">
        <f t="shared" si="883"/>
        <v>0</v>
      </c>
      <c r="AJ501" s="125"/>
      <c r="AK501" s="125"/>
      <c r="AL501" s="125">
        <f t="shared" si="884"/>
        <v>0</v>
      </c>
      <c r="AM501" s="125"/>
      <c r="AN501" s="125"/>
      <c r="AO501" s="125">
        <f t="shared" si="885"/>
        <v>0</v>
      </c>
      <c r="AP501" s="125"/>
      <c r="AQ501" s="125"/>
      <c r="AR501" s="125">
        <f t="shared" si="886"/>
        <v>0</v>
      </c>
      <c r="AS501" s="125"/>
      <c r="AT501" s="125"/>
      <c r="AU501" s="125">
        <f t="shared" si="887"/>
        <v>0</v>
      </c>
      <c r="AV501" s="125"/>
      <c r="AW501" s="125"/>
      <c r="AX501" s="125">
        <f t="shared" si="888"/>
        <v>0</v>
      </c>
      <c r="AY501" s="125"/>
      <c r="AZ501" s="125"/>
      <c r="BA501" s="125">
        <f t="shared" si="889"/>
        <v>0</v>
      </c>
      <c r="BB501" s="125"/>
      <c r="BC501" s="125"/>
      <c r="BD501" s="125">
        <f t="shared" si="890"/>
        <v>0</v>
      </c>
      <c r="BE501" s="125"/>
      <c r="BF501" s="125"/>
      <c r="BG501" s="125">
        <f t="shared" si="891"/>
        <v>0</v>
      </c>
      <c r="BH501" s="125"/>
      <c r="BI501" s="125"/>
      <c r="BJ501" s="125">
        <f t="shared" si="892"/>
        <v>0</v>
      </c>
      <c r="BK501" s="125"/>
      <c r="BL501" s="312"/>
      <c r="BM501" s="317"/>
      <c r="BN501" s="320"/>
    </row>
    <row r="502" s="14" customFormat="1" ht="33.95" hidden="1" customHeight="1" outlineLevel="2" spans="2:66">
      <c r="B502" s="118" t="s">
        <v>787</v>
      </c>
      <c r="C502" s="119" t="s">
        <v>1952</v>
      </c>
      <c r="D502" s="14" t="s">
        <v>1953</v>
      </c>
      <c r="E502" s="118"/>
      <c r="F502" s="118"/>
      <c r="G502" s="118"/>
      <c r="H502" s="118">
        <f>H503+H512+H520</f>
        <v>0</v>
      </c>
      <c r="I502" s="118"/>
      <c r="J502" s="118"/>
      <c r="K502" s="118"/>
      <c r="L502" s="118"/>
      <c r="M502" s="118"/>
      <c r="N502" s="310"/>
      <c r="O502" s="293"/>
      <c r="P502" s="293"/>
      <c r="Q502" s="293"/>
      <c r="R502" s="293"/>
      <c r="S502" s="293"/>
      <c r="T502" s="293"/>
      <c r="U502" s="293"/>
      <c r="V502" s="293"/>
      <c r="W502" s="293"/>
      <c r="X502" s="293"/>
      <c r="Y502" s="293"/>
      <c r="Z502" s="293"/>
      <c r="AA502" s="293"/>
      <c r="AB502" s="118">
        <f t="shared" ref="AB502:AF502" si="893">AB503+AB512+AB520</f>
        <v>0</v>
      </c>
      <c r="AC502" s="118">
        <f t="shared" si="893"/>
        <v>0</v>
      </c>
      <c r="AD502" s="118"/>
      <c r="AE502" s="118"/>
      <c r="AF502" s="118">
        <f t="shared" si="893"/>
        <v>0</v>
      </c>
      <c r="AG502" s="118"/>
      <c r="AH502" s="118"/>
      <c r="AI502" s="118">
        <f>AI503+AI512+AI520</f>
        <v>0</v>
      </c>
      <c r="AJ502" s="118"/>
      <c r="AK502" s="118"/>
      <c r="AL502" s="118">
        <f>AL503+AL512+AL520</f>
        <v>0</v>
      </c>
      <c r="AM502" s="118"/>
      <c r="AN502" s="118"/>
      <c r="AO502" s="118">
        <f>AO503+AO512+AO520</f>
        <v>0</v>
      </c>
      <c r="AP502" s="118"/>
      <c r="AQ502" s="118"/>
      <c r="AR502" s="118">
        <f>AR503+AR512+AR520</f>
        <v>0</v>
      </c>
      <c r="AS502" s="118"/>
      <c r="AT502" s="118"/>
      <c r="AU502" s="118">
        <f>AU503+AU512+AU520</f>
        <v>0</v>
      </c>
      <c r="AV502" s="118"/>
      <c r="AW502" s="118"/>
      <c r="AX502" s="118">
        <f>AX503+AX512+AX520</f>
        <v>0</v>
      </c>
      <c r="AY502" s="118"/>
      <c r="AZ502" s="118"/>
      <c r="BA502" s="118">
        <f>BA503+BA512+BA520</f>
        <v>0</v>
      </c>
      <c r="BB502" s="118"/>
      <c r="BC502" s="118"/>
      <c r="BD502" s="118">
        <f>BD503+BD512+BD520</f>
        <v>0</v>
      </c>
      <c r="BE502" s="118"/>
      <c r="BF502" s="118"/>
      <c r="BG502" s="118">
        <f>BG503+BG512+BG520</f>
        <v>0</v>
      </c>
      <c r="BH502" s="118"/>
      <c r="BI502" s="118"/>
      <c r="BJ502" s="118">
        <f>BJ503+BJ512+BJ520</f>
        <v>0</v>
      </c>
      <c r="BK502" s="118"/>
      <c r="BL502" s="310"/>
      <c r="BM502" s="317"/>
      <c r="BN502" s="318"/>
    </row>
    <row r="503" s="43" customFormat="1" ht="33.95" hidden="1" customHeight="1" outlineLevel="3" spans="2:66">
      <c r="B503" s="121" t="s">
        <v>787</v>
      </c>
      <c r="C503" s="122" t="s">
        <v>1954</v>
      </c>
      <c r="D503" s="43" t="s">
        <v>1955</v>
      </c>
      <c r="E503" s="121"/>
      <c r="F503" s="121"/>
      <c r="G503" s="121"/>
      <c r="H503" s="121">
        <f>SUM(H504:H511)</f>
        <v>0</v>
      </c>
      <c r="I503" s="121"/>
      <c r="J503" s="121"/>
      <c r="K503" s="121"/>
      <c r="L503" s="121"/>
      <c r="M503" s="121"/>
      <c r="N503" s="311"/>
      <c r="O503" s="294"/>
      <c r="P503" s="294"/>
      <c r="Q503" s="294"/>
      <c r="R503" s="294"/>
      <c r="S503" s="294"/>
      <c r="T503" s="294"/>
      <c r="U503" s="294"/>
      <c r="V503" s="294"/>
      <c r="W503" s="294"/>
      <c r="X503" s="294"/>
      <c r="Y503" s="294"/>
      <c r="Z503" s="294"/>
      <c r="AA503" s="294"/>
      <c r="AB503" s="121">
        <f>SUM(AB504:AB511)</f>
        <v>0</v>
      </c>
      <c r="AC503" s="121">
        <f>SUM(AC504:AC511)</f>
        <v>0</v>
      </c>
      <c r="AD503" s="121"/>
      <c r="AE503" s="121"/>
      <c r="AF503" s="121">
        <f>SUM(AF504:AF511)</f>
        <v>0</v>
      </c>
      <c r="AG503" s="121"/>
      <c r="AH503" s="121"/>
      <c r="AI503" s="121">
        <f>SUM(AI504:AI511)</f>
        <v>0</v>
      </c>
      <c r="AJ503" s="121"/>
      <c r="AK503" s="121"/>
      <c r="AL503" s="121">
        <f>SUM(AL504:AL511)</f>
        <v>0</v>
      </c>
      <c r="AM503" s="121"/>
      <c r="AN503" s="121"/>
      <c r="AO503" s="121">
        <f>SUM(AO504:AO511)</f>
        <v>0</v>
      </c>
      <c r="AP503" s="121"/>
      <c r="AQ503" s="121"/>
      <c r="AR503" s="121">
        <f>SUM(AR504:AR511)</f>
        <v>0</v>
      </c>
      <c r="AS503" s="121"/>
      <c r="AT503" s="121"/>
      <c r="AU503" s="121">
        <f>SUM(AU504:AU511)</f>
        <v>0</v>
      </c>
      <c r="AV503" s="121"/>
      <c r="AW503" s="121"/>
      <c r="AX503" s="121">
        <f>SUM(AX504:AX511)</f>
        <v>0</v>
      </c>
      <c r="AY503" s="121"/>
      <c r="AZ503" s="121"/>
      <c r="BA503" s="121">
        <f>SUM(BA504:BA511)</f>
        <v>0</v>
      </c>
      <c r="BB503" s="121"/>
      <c r="BC503" s="121"/>
      <c r="BD503" s="121">
        <f>SUM(BD504:BD511)</f>
        <v>0</v>
      </c>
      <c r="BE503" s="121"/>
      <c r="BF503" s="121"/>
      <c r="BG503" s="121">
        <f>SUM(BG504:BG511)</f>
        <v>0</v>
      </c>
      <c r="BH503" s="121"/>
      <c r="BI503" s="121"/>
      <c r="BJ503" s="121">
        <f>SUM(BJ504:BJ511)</f>
        <v>0</v>
      </c>
      <c r="BK503" s="121"/>
      <c r="BL503" s="311"/>
      <c r="BM503" s="317"/>
      <c r="BN503" s="319"/>
    </row>
    <row r="504" s="124" customFormat="1" ht="33.95" hidden="1" customHeight="1" outlineLevel="5" spans="2:66">
      <c r="B504" s="125" t="s">
        <v>792</v>
      </c>
      <c r="C504" s="126" t="s">
        <v>1956</v>
      </c>
      <c r="D504" s="124" t="s">
        <v>1957</v>
      </c>
      <c r="E504" s="125" t="s">
        <v>1958</v>
      </c>
      <c r="F504" s="125" t="s">
        <v>1618</v>
      </c>
      <c r="G504" s="125" t="s">
        <v>936</v>
      </c>
      <c r="H504" s="125">
        <f t="shared" ref="H504:H511" si="894">J504*L504</f>
        <v>0</v>
      </c>
      <c r="I504" s="125" t="s">
        <v>1235</v>
      </c>
      <c r="J504" s="304"/>
      <c r="K504" s="125" t="s">
        <v>1389</v>
      </c>
      <c r="L504" s="125">
        <v>513</v>
      </c>
      <c r="M504" s="125" t="s">
        <v>1668</v>
      </c>
      <c r="N504" s="125">
        <f t="shared" ref="N504:N511" si="895">COUNTA(O504:Z504)</f>
        <v>0</v>
      </c>
      <c r="O504" s="323"/>
      <c r="P504" s="323"/>
      <c r="Q504" s="323"/>
      <c r="R504" s="323"/>
      <c r="S504" s="323"/>
      <c r="T504" s="323"/>
      <c r="U504" s="323"/>
      <c r="V504" s="323"/>
      <c r="W504" s="323"/>
      <c r="X504" s="323"/>
      <c r="Y504" s="323"/>
      <c r="Z504" s="323"/>
      <c r="AA504" s="125"/>
      <c r="AB504" s="125">
        <f>SUM(AC504,AF504,AI504,AL504,AO504,AR504,AU504,AX504,BA504,BD504,BG504,BJ504)</f>
        <v>0</v>
      </c>
      <c r="AC504" s="125">
        <f>IF(O504="√",$J504*$L504/$N504,0)</f>
        <v>0</v>
      </c>
      <c r="AD504" s="125"/>
      <c r="AE504" s="125"/>
      <c r="AF504" s="125">
        <f>IF(P504="√",$J504*$L504/$N504,0)</f>
        <v>0</v>
      </c>
      <c r="AG504" s="125"/>
      <c r="AH504" s="125"/>
      <c r="AI504" s="125">
        <f>IF(Q504="√",$J504*$L504/$N504,0)</f>
        <v>0</v>
      </c>
      <c r="AJ504" s="125"/>
      <c r="AK504" s="125"/>
      <c r="AL504" s="125">
        <f>IF(R504="√",$J504*$L504/$N504,0)</f>
        <v>0</v>
      </c>
      <c r="AM504" s="125"/>
      <c r="AN504" s="125"/>
      <c r="AO504" s="125">
        <f>IF(S504="√",$J504*$L504/$N504,0)</f>
        <v>0</v>
      </c>
      <c r="AP504" s="125"/>
      <c r="AQ504" s="125"/>
      <c r="AR504" s="125">
        <f>IF(T504="√",$J504*$L504/$N504,0)</f>
        <v>0</v>
      </c>
      <c r="AS504" s="125"/>
      <c r="AT504" s="125"/>
      <c r="AU504" s="125">
        <f>IF(U504="√",$J504*$L504/$N504,0)</f>
        <v>0</v>
      </c>
      <c r="AV504" s="125"/>
      <c r="AW504" s="125"/>
      <c r="AX504" s="125">
        <f>IF(V504="√",$J504*$L504/$N504,0)</f>
        <v>0</v>
      </c>
      <c r="AY504" s="125"/>
      <c r="AZ504" s="125"/>
      <c r="BA504" s="125">
        <f>IF(W504="√",$J504*$L504/$N504,0)</f>
        <v>0</v>
      </c>
      <c r="BB504" s="125"/>
      <c r="BC504" s="125"/>
      <c r="BD504" s="125">
        <f>IF(X504="√",$J504*$L504/$N504,0)</f>
        <v>0</v>
      </c>
      <c r="BE504" s="125"/>
      <c r="BF504" s="125"/>
      <c r="BG504" s="125">
        <f>IF(Y504="√",$J504*$L504/$N504,0)</f>
        <v>0</v>
      </c>
      <c r="BH504" s="125"/>
      <c r="BI504" s="125"/>
      <c r="BJ504" s="125">
        <f>IF(Z504="√",$J504*$L504/$N504,0)</f>
        <v>0</v>
      </c>
      <c r="BK504" s="125"/>
      <c r="BL504" s="312"/>
      <c r="BM504" s="317"/>
      <c r="BN504" s="320"/>
    </row>
    <row r="505" s="124" customFormat="1" ht="33.95" hidden="1" customHeight="1" outlineLevel="5" spans="2:66">
      <c r="B505" s="125" t="s">
        <v>792</v>
      </c>
      <c r="C505" s="126" t="s">
        <v>1959</v>
      </c>
      <c r="D505" s="124" t="s">
        <v>1960</v>
      </c>
      <c r="E505" s="125" t="s">
        <v>1961</v>
      </c>
      <c r="F505" s="125" t="s">
        <v>1618</v>
      </c>
      <c r="G505" s="125" t="s">
        <v>936</v>
      </c>
      <c r="H505" s="125">
        <f t="shared" si="894"/>
        <v>0</v>
      </c>
      <c r="I505" s="125" t="s">
        <v>1235</v>
      </c>
      <c r="J505" s="304"/>
      <c r="K505" s="125" t="s">
        <v>1389</v>
      </c>
      <c r="L505" s="125">
        <v>2500</v>
      </c>
      <c r="M505" s="125" t="s">
        <v>1668</v>
      </c>
      <c r="N505" s="125">
        <f t="shared" si="895"/>
        <v>0</v>
      </c>
      <c r="O505" s="304"/>
      <c r="P505" s="304"/>
      <c r="Q505" s="304"/>
      <c r="R505" s="304"/>
      <c r="S505" s="304"/>
      <c r="T505" s="304"/>
      <c r="U505" s="304"/>
      <c r="V505" s="304"/>
      <c r="W505" s="304"/>
      <c r="X505" s="304"/>
      <c r="Y505" s="304"/>
      <c r="Z505" s="304"/>
      <c r="AA505" s="125"/>
      <c r="AB505" s="125">
        <f t="shared" ref="AB505:AB511" si="896">SUM(AC505,AF505,AI505,AL505,AO505,AR505,AU505,AX505,BA505,BD505,BG505,BJ505)</f>
        <v>0</v>
      </c>
      <c r="AC505" s="125">
        <f t="shared" ref="AC505:AC511" si="897">IF(O505="√",$J505*$L505/$N505,0)</f>
        <v>0</v>
      </c>
      <c r="AD505" s="125"/>
      <c r="AE505" s="125"/>
      <c r="AF505" s="125">
        <f t="shared" ref="AF505:AF511" si="898">IF(P505="√",$J505*$L505/$N505,0)</f>
        <v>0</v>
      </c>
      <c r="AG505" s="125"/>
      <c r="AH505" s="125"/>
      <c r="AI505" s="125">
        <f t="shared" ref="AI505:AI511" si="899">IF(Q505="√",$J505*$L505/$N505,0)</f>
        <v>0</v>
      </c>
      <c r="AJ505" s="125"/>
      <c r="AK505" s="125"/>
      <c r="AL505" s="125">
        <f t="shared" ref="AL505:AL511" si="900">IF(R505="√",$J505*$L505/$N505,0)</f>
        <v>0</v>
      </c>
      <c r="AM505" s="125"/>
      <c r="AN505" s="125"/>
      <c r="AO505" s="125">
        <f t="shared" ref="AO505:AO511" si="901">IF(S505="√",$J505*$L505/$N505,0)</f>
        <v>0</v>
      </c>
      <c r="AP505" s="125"/>
      <c r="AQ505" s="125"/>
      <c r="AR505" s="125">
        <f t="shared" ref="AR505:AR511" si="902">IF(T505="√",$J505*$L505/$N505,0)</f>
        <v>0</v>
      </c>
      <c r="AS505" s="125"/>
      <c r="AT505" s="125"/>
      <c r="AU505" s="125">
        <f t="shared" ref="AU505:AU511" si="903">IF(U505="√",$J505*$L505/$N505,0)</f>
        <v>0</v>
      </c>
      <c r="AV505" s="125"/>
      <c r="AW505" s="125"/>
      <c r="AX505" s="125">
        <f t="shared" ref="AX505:AX511" si="904">IF(V505="√",$J505*$L505/$N505,0)</f>
        <v>0</v>
      </c>
      <c r="AY505" s="125"/>
      <c r="AZ505" s="125"/>
      <c r="BA505" s="125">
        <f t="shared" ref="BA505:BA511" si="905">IF(W505="√",$J505*$L505/$N505,0)</f>
        <v>0</v>
      </c>
      <c r="BB505" s="125"/>
      <c r="BC505" s="125"/>
      <c r="BD505" s="125">
        <f t="shared" ref="BD505:BD511" si="906">IF(X505="√",$J505*$L505/$N505,0)</f>
        <v>0</v>
      </c>
      <c r="BE505" s="125"/>
      <c r="BF505" s="125"/>
      <c r="BG505" s="125">
        <f t="shared" ref="BG505:BG511" si="907">IF(Y505="√",$J505*$L505/$N505,0)</f>
        <v>0</v>
      </c>
      <c r="BH505" s="125"/>
      <c r="BI505" s="125"/>
      <c r="BJ505" s="125">
        <f t="shared" ref="BJ505:BJ511" si="908">IF(Z505="√",$J505*$L505/$N505,0)</f>
        <v>0</v>
      </c>
      <c r="BK505" s="125"/>
      <c r="BL505" s="312"/>
      <c r="BM505" s="317"/>
      <c r="BN505" s="320"/>
    </row>
    <row r="506" s="124" customFormat="1" ht="33.95" hidden="1" customHeight="1" outlineLevel="5" spans="2:66">
      <c r="B506" s="125" t="s">
        <v>792</v>
      </c>
      <c r="C506" s="126" t="s">
        <v>1962</v>
      </c>
      <c r="D506" s="124" t="s">
        <v>1963</v>
      </c>
      <c r="E506" s="125" t="s">
        <v>1964</v>
      </c>
      <c r="F506" s="125" t="s">
        <v>1618</v>
      </c>
      <c r="G506" s="125" t="s">
        <v>936</v>
      </c>
      <c r="H506" s="125">
        <f t="shared" si="894"/>
        <v>0</v>
      </c>
      <c r="I506" s="125" t="s">
        <v>1235</v>
      </c>
      <c r="J506" s="304"/>
      <c r="K506" s="125" t="s">
        <v>1143</v>
      </c>
      <c r="L506" s="125">
        <v>2315</v>
      </c>
      <c r="M506" s="125" t="s">
        <v>1763</v>
      </c>
      <c r="N506" s="125">
        <f t="shared" si="895"/>
        <v>0</v>
      </c>
      <c r="O506" s="304"/>
      <c r="P506" s="304"/>
      <c r="Q506" s="304"/>
      <c r="R506" s="304"/>
      <c r="S506" s="304"/>
      <c r="T506" s="304"/>
      <c r="U506" s="304"/>
      <c r="V506" s="304"/>
      <c r="W506" s="304"/>
      <c r="X506" s="304"/>
      <c r="Y506" s="304"/>
      <c r="Z506" s="304"/>
      <c r="AA506" s="125"/>
      <c r="AB506" s="125">
        <f t="shared" si="896"/>
        <v>0</v>
      </c>
      <c r="AC506" s="125">
        <f t="shared" si="897"/>
        <v>0</v>
      </c>
      <c r="AD506" s="125"/>
      <c r="AE506" s="125"/>
      <c r="AF506" s="125">
        <f t="shared" si="898"/>
        <v>0</v>
      </c>
      <c r="AG506" s="125"/>
      <c r="AH506" s="125"/>
      <c r="AI506" s="125">
        <f t="shared" si="899"/>
        <v>0</v>
      </c>
      <c r="AJ506" s="125"/>
      <c r="AK506" s="125"/>
      <c r="AL506" s="125">
        <f t="shared" si="900"/>
        <v>0</v>
      </c>
      <c r="AM506" s="125"/>
      <c r="AN506" s="125"/>
      <c r="AO506" s="125">
        <f t="shared" si="901"/>
        <v>0</v>
      </c>
      <c r="AP506" s="125"/>
      <c r="AQ506" s="125"/>
      <c r="AR506" s="125">
        <f t="shared" si="902"/>
        <v>0</v>
      </c>
      <c r="AS506" s="125"/>
      <c r="AT506" s="125"/>
      <c r="AU506" s="125">
        <f t="shared" si="903"/>
        <v>0</v>
      </c>
      <c r="AV506" s="125"/>
      <c r="AW506" s="125"/>
      <c r="AX506" s="125">
        <f t="shared" si="904"/>
        <v>0</v>
      </c>
      <c r="AY506" s="125"/>
      <c r="AZ506" s="125"/>
      <c r="BA506" s="125">
        <f t="shared" si="905"/>
        <v>0</v>
      </c>
      <c r="BB506" s="125"/>
      <c r="BC506" s="125"/>
      <c r="BD506" s="125">
        <f t="shared" si="906"/>
        <v>0</v>
      </c>
      <c r="BE506" s="125"/>
      <c r="BF506" s="125"/>
      <c r="BG506" s="125">
        <f t="shared" si="907"/>
        <v>0</v>
      </c>
      <c r="BH506" s="125"/>
      <c r="BI506" s="125"/>
      <c r="BJ506" s="125">
        <f t="shared" si="908"/>
        <v>0</v>
      </c>
      <c r="BK506" s="125"/>
      <c r="BL506" s="312"/>
      <c r="BM506" s="317"/>
      <c r="BN506" s="320"/>
    </row>
    <row r="507" s="124" customFormat="1" ht="33.95" hidden="1" customHeight="1" outlineLevel="5" spans="2:66">
      <c r="B507" s="125" t="s">
        <v>792</v>
      </c>
      <c r="C507" s="126" t="s">
        <v>1965</v>
      </c>
      <c r="D507" s="124" t="s">
        <v>1966</v>
      </c>
      <c r="E507" s="125" t="s">
        <v>1967</v>
      </c>
      <c r="F507" s="125" t="s">
        <v>1618</v>
      </c>
      <c r="G507" s="125" t="s">
        <v>936</v>
      </c>
      <c r="H507" s="125">
        <f t="shared" si="894"/>
        <v>0</v>
      </c>
      <c r="I507" s="125" t="s">
        <v>1235</v>
      </c>
      <c r="J507" s="304"/>
      <c r="K507" s="125" t="s">
        <v>1389</v>
      </c>
      <c r="L507" s="125">
        <v>360</v>
      </c>
      <c r="M507" s="125" t="s">
        <v>1668</v>
      </c>
      <c r="N507" s="125">
        <f t="shared" si="895"/>
        <v>0</v>
      </c>
      <c r="O507" s="304"/>
      <c r="P507" s="304"/>
      <c r="Q507" s="304"/>
      <c r="R507" s="304"/>
      <c r="S507" s="304"/>
      <c r="T507" s="304"/>
      <c r="U507" s="304"/>
      <c r="V507" s="304"/>
      <c r="W507" s="304"/>
      <c r="X507" s="304"/>
      <c r="Y507" s="304"/>
      <c r="Z507" s="304"/>
      <c r="AA507" s="125"/>
      <c r="AB507" s="125">
        <f t="shared" si="896"/>
        <v>0</v>
      </c>
      <c r="AC507" s="125">
        <f t="shared" si="897"/>
        <v>0</v>
      </c>
      <c r="AD507" s="125"/>
      <c r="AE507" s="125"/>
      <c r="AF507" s="125">
        <f t="shared" si="898"/>
        <v>0</v>
      </c>
      <c r="AG507" s="125"/>
      <c r="AH507" s="125"/>
      <c r="AI507" s="125">
        <f t="shared" si="899"/>
        <v>0</v>
      </c>
      <c r="AJ507" s="125"/>
      <c r="AK507" s="125"/>
      <c r="AL507" s="125">
        <f t="shared" si="900"/>
        <v>0</v>
      </c>
      <c r="AM507" s="125"/>
      <c r="AN507" s="125"/>
      <c r="AO507" s="125">
        <f t="shared" si="901"/>
        <v>0</v>
      </c>
      <c r="AP507" s="125"/>
      <c r="AQ507" s="125"/>
      <c r="AR507" s="125">
        <f t="shared" si="902"/>
        <v>0</v>
      </c>
      <c r="AS507" s="125"/>
      <c r="AT507" s="125"/>
      <c r="AU507" s="125">
        <f t="shared" si="903"/>
        <v>0</v>
      </c>
      <c r="AV507" s="125"/>
      <c r="AW507" s="125"/>
      <c r="AX507" s="125">
        <f t="shared" si="904"/>
        <v>0</v>
      </c>
      <c r="AY507" s="125"/>
      <c r="AZ507" s="125"/>
      <c r="BA507" s="125">
        <f t="shared" si="905"/>
        <v>0</v>
      </c>
      <c r="BB507" s="125"/>
      <c r="BC507" s="125"/>
      <c r="BD507" s="125">
        <f t="shared" si="906"/>
        <v>0</v>
      </c>
      <c r="BE507" s="125"/>
      <c r="BF507" s="125"/>
      <c r="BG507" s="125">
        <f t="shared" si="907"/>
        <v>0</v>
      </c>
      <c r="BH507" s="125"/>
      <c r="BI507" s="125"/>
      <c r="BJ507" s="125">
        <f t="shared" si="908"/>
        <v>0</v>
      </c>
      <c r="BK507" s="125"/>
      <c r="BL507" s="312"/>
      <c r="BM507" s="317"/>
      <c r="BN507" s="320"/>
    </row>
    <row r="508" s="124" customFormat="1" ht="33.95" hidden="1" customHeight="1" outlineLevel="5" spans="2:66">
      <c r="B508" s="125" t="s">
        <v>792</v>
      </c>
      <c r="C508" s="126" t="s">
        <v>1968</v>
      </c>
      <c r="D508" s="124" t="s">
        <v>1969</v>
      </c>
      <c r="E508" s="125"/>
      <c r="F508" s="125" t="s">
        <v>1618</v>
      </c>
      <c r="G508" s="125" t="s">
        <v>936</v>
      </c>
      <c r="H508" s="125">
        <f t="shared" si="894"/>
        <v>0</v>
      </c>
      <c r="I508" s="125" t="s">
        <v>1235</v>
      </c>
      <c r="J508" s="304"/>
      <c r="K508" s="125" t="s">
        <v>1389</v>
      </c>
      <c r="L508" s="125">
        <v>300</v>
      </c>
      <c r="M508" s="125" t="s">
        <v>1668</v>
      </c>
      <c r="N508" s="125">
        <f t="shared" si="895"/>
        <v>0</v>
      </c>
      <c r="O508" s="304"/>
      <c r="P508" s="304"/>
      <c r="Q508" s="304"/>
      <c r="R508" s="304"/>
      <c r="S508" s="304"/>
      <c r="T508" s="304"/>
      <c r="U508" s="304"/>
      <c r="V508" s="304"/>
      <c r="W508" s="304"/>
      <c r="X508" s="304"/>
      <c r="Y508" s="304"/>
      <c r="Z508" s="304"/>
      <c r="AA508" s="125"/>
      <c r="AB508" s="125">
        <f t="shared" si="896"/>
        <v>0</v>
      </c>
      <c r="AC508" s="125">
        <f t="shared" si="897"/>
        <v>0</v>
      </c>
      <c r="AD508" s="125"/>
      <c r="AE508" s="125"/>
      <c r="AF508" s="125">
        <f t="shared" si="898"/>
        <v>0</v>
      </c>
      <c r="AG508" s="125"/>
      <c r="AH508" s="125"/>
      <c r="AI508" s="125">
        <f t="shared" si="899"/>
        <v>0</v>
      </c>
      <c r="AJ508" s="125"/>
      <c r="AK508" s="125"/>
      <c r="AL508" s="125">
        <f t="shared" si="900"/>
        <v>0</v>
      </c>
      <c r="AM508" s="125"/>
      <c r="AN508" s="125"/>
      <c r="AO508" s="125">
        <f t="shared" si="901"/>
        <v>0</v>
      </c>
      <c r="AP508" s="125"/>
      <c r="AQ508" s="125"/>
      <c r="AR508" s="125">
        <f t="shared" si="902"/>
        <v>0</v>
      </c>
      <c r="AS508" s="125"/>
      <c r="AT508" s="125"/>
      <c r="AU508" s="125">
        <f t="shared" si="903"/>
        <v>0</v>
      </c>
      <c r="AV508" s="125"/>
      <c r="AW508" s="125"/>
      <c r="AX508" s="125">
        <f t="shared" si="904"/>
        <v>0</v>
      </c>
      <c r="AY508" s="125"/>
      <c r="AZ508" s="125"/>
      <c r="BA508" s="125">
        <f t="shared" si="905"/>
        <v>0</v>
      </c>
      <c r="BB508" s="125"/>
      <c r="BC508" s="125"/>
      <c r="BD508" s="125">
        <f t="shared" si="906"/>
        <v>0</v>
      </c>
      <c r="BE508" s="125"/>
      <c r="BF508" s="125"/>
      <c r="BG508" s="125">
        <f t="shared" si="907"/>
        <v>0</v>
      </c>
      <c r="BH508" s="125"/>
      <c r="BI508" s="125"/>
      <c r="BJ508" s="125">
        <f t="shared" si="908"/>
        <v>0</v>
      </c>
      <c r="BK508" s="125"/>
      <c r="BL508" s="312"/>
      <c r="BM508" s="317"/>
      <c r="BN508" s="320"/>
    </row>
    <row r="509" s="124" customFormat="1" ht="33.95" hidden="1" customHeight="1" outlineLevel="5" spans="2:66">
      <c r="B509" s="125" t="s">
        <v>792</v>
      </c>
      <c r="C509" s="126" t="s">
        <v>1970</v>
      </c>
      <c r="D509" s="124" t="s">
        <v>1971</v>
      </c>
      <c r="E509" s="125"/>
      <c r="F509" s="125" t="s">
        <v>1618</v>
      </c>
      <c r="G509" s="125" t="s">
        <v>936</v>
      </c>
      <c r="H509" s="125">
        <f t="shared" si="894"/>
        <v>0</v>
      </c>
      <c r="I509" s="125" t="s">
        <v>1235</v>
      </c>
      <c r="J509" s="304"/>
      <c r="K509" s="125" t="s">
        <v>1389</v>
      </c>
      <c r="L509" s="125">
        <v>500</v>
      </c>
      <c r="M509" s="125" t="s">
        <v>1668</v>
      </c>
      <c r="N509" s="125">
        <f t="shared" si="895"/>
        <v>0</v>
      </c>
      <c r="O509" s="304"/>
      <c r="P509" s="304"/>
      <c r="Q509" s="304"/>
      <c r="R509" s="304"/>
      <c r="S509" s="304"/>
      <c r="T509" s="304"/>
      <c r="U509" s="304"/>
      <c r="V509" s="304"/>
      <c r="W509" s="304"/>
      <c r="X509" s="304"/>
      <c r="Y509" s="304"/>
      <c r="Z509" s="304"/>
      <c r="AA509" s="125"/>
      <c r="AB509" s="125">
        <f t="shared" si="896"/>
        <v>0</v>
      </c>
      <c r="AC509" s="125">
        <f t="shared" si="897"/>
        <v>0</v>
      </c>
      <c r="AD509" s="125"/>
      <c r="AE509" s="125"/>
      <c r="AF509" s="125">
        <f t="shared" si="898"/>
        <v>0</v>
      </c>
      <c r="AG509" s="125"/>
      <c r="AH509" s="125"/>
      <c r="AI509" s="125">
        <f t="shared" si="899"/>
        <v>0</v>
      </c>
      <c r="AJ509" s="125"/>
      <c r="AK509" s="125"/>
      <c r="AL509" s="125">
        <f t="shared" si="900"/>
        <v>0</v>
      </c>
      <c r="AM509" s="125"/>
      <c r="AN509" s="125"/>
      <c r="AO509" s="125">
        <f t="shared" si="901"/>
        <v>0</v>
      </c>
      <c r="AP509" s="125"/>
      <c r="AQ509" s="125"/>
      <c r="AR509" s="125">
        <f t="shared" si="902"/>
        <v>0</v>
      </c>
      <c r="AS509" s="125"/>
      <c r="AT509" s="125"/>
      <c r="AU509" s="125">
        <f t="shared" si="903"/>
        <v>0</v>
      </c>
      <c r="AV509" s="125"/>
      <c r="AW509" s="125"/>
      <c r="AX509" s="125">
        <f t="shared" si="904"/>
        <v>0</v>
      </c>
      <c r="AY509" s="125"/>
      <c r="AZ509" s="125"/>
      <c r="BA509" s="125">
        <f t="shared" si="905"/>
        <v>0</v>
      </c>
      <c r="BB509" s="125"/>
      <c r="BC509" s="125"/>
      <c r="BD509" s="125">
        <f t="shared" si="906"/>
        <v>0</v>
      </c>
      <c r="BE509" s="125"/>
      <c r="BF509" s="125"/>
      <c r="BG509" s="125">
        <f t="shared" si="907"/>
        <v>0</v>
      </c>
      <c r="BH509" s="125"/>
      <c r="BI509" s="125"/>
      <c r="BJ509" s="125">
        <f t="shared" si="908"/>
        <v>0</v>
      </c>
      <c r="BK509" s="125"/>
      <c r="BL509" s="312"/>
      <c r="BM509" s="317"/>
      <c r="BN509" s="320"/>
    </row>
    <row r="510" s="124" customFormat="1" ht="33.95" hidden="1" customHeight="1" outlineLevel="5" spans="2:66">
      <c r="B510" s="125" t="s">
        <v>792</v>
      </c>
      <c r="C510" s="126" t="s">
        <v>1972</v>
      </c>
      <c r="D510" s="124" t="s">
        <v>1973</v>
      </c>
      <c r="E510" s="125" t="s">
        <v>1974</v>
      </c>
      <c r="F510" s="125" t="s">
        <v>1618</v>
      </c>
      <c r="G510" s="125" t="s">
        <v>936</v>
      </c>
      <c r="H510" s="125">
        <f t="shared" si="894"/>
        <v>0</v>
      </c>
      <c r="I510" s="125" t="s">
        <v>1235</v>
      </c>
      <c r="J510" s="304"/>
      <c r="K510" s="125" t="s">
        <v>1975</v>
      </c>
      <c r="L510" s="125">
        <v>3650</v>
      </c>
      <c r="M510" s="125" t="s">
        <v>1976</v>
      </c>
      <c r="N510" s="125">
        <f t="shared" si="895"/>
        <v>0</v>
      </c>
      <c r="O510" s="304"/>
      <c r="P510" s="304"/>
      <c r="Q510" s="304"/>
      <c r="R510" s="304"/>
      <c r="S510" s="304"/>
      <c r="T510" s="304"/>
      <c r="U510" s="304"/>
      <c r="V510" s="304"/>
      <c r="W510" s="304"/>
      <c r="X510" s="304"/>
      <c r="Y510" s="304"/>
      <c r="Z510" s="304"/>
      <c r="AA510" s="125"/>
      <c r="AB510" s="125">
        <f t="shared" si="896"/>
        <v>0</v>
      </c>
      <c r="AC510" s="125">
        <f t="shared" si="897"/>
        <v>0</v>
      </c>
      <c r="AD510" s="125"/>
      <c r="AE510" s="125"/>
      <c r="AF510" s="125">
        <f t="shared" si="898"/>
        <v>0</v>
      </c>
      <c r="AG510" s="125"/>
      <c r="AH510" s="125"/>
      <c r="AI510" s="125">
        <f t="shared" si="899"/>
        <v>0</v>
      </c>
      <c r="AJ510" s="125"/>
      <c r="AK510" s="125"/>
      <c r="AL510" s="125">
        <f t="shared" si="900"/>
        <v>0</v>
      </c>
      <c r="AM510" s="125"/>
      <c r="AN510" s="125"/>
      <c r="AO510" s="125">
        <f t="shared" si="901"/>
        <v>0</v>
      </c>
      <c r="AP510" s="125"/>
      <c r="AQ510" s="125"/>
      <c r="AR510" s="125">
        <f t="shared" si="902"/>
        <v>0</v>
      </c>
      <c r="AS510" s="125"/>
      <c r="AT510" s="125"/>
      <c r="AU510" s="125">
        <f t="shared" si="903"/>
        <v>0</v>
      </c>
      <c r="AV510" s="125"/>
      <c r="AW510" s="125"/>
      <c r="AX510" s="125">
        <f t="shared" si="904"/>
        <v>0</v>
      </c>
      <c r="AY510" s="125"/>
      <c r="AZ510" s="125"/>
      <c r="BA510" s="125">
        <f t="shared" si="905"/>
        <v>0</v>
      </c>
      <c r="BB510" s="125"/>
      <c r="BC510" s="125"/>
      <c r="BD510" s="125">
        <f t="shared" si="906"/>
        <v>0</v>
      </c>
      <c r="BE510" s="125"/>
      <c r="BF510" s="125"/>
      <c r="BG510" s="125">
        <f t="shared" si="907"/>
        <v>0</v>
      </c>
      <c r="BH510" s="125"/>
      <c r="BI510" s="125"/>
      <c r="BJ510" s="125">
        <f t="shared" si="908"/>
        <v>0</v>
      </c>
      <c r="BK510" s="125"/>
      <c r="BL510" s="312"/>
      <c r="BM510" s="317"/>
      <c r="BN510" s="320"/>
    </row>
    <row r="511" s="124" customFormat="1" ht="33.95" hidden="1" customHeight="1" outlineLevel="5" spans="2:66">
      <c r="B511" s="125" t="s">
        <v>792</v>
      </c>
      <c r="C511" s="126" t="s">
        <v>1977</v>
      </c>
      <c r="D511" s="124" t="s">
        <v>1978</v>
      </c>
      <c r="E511" s="125" t="s">
        <v>1979</v>
      </c>
      <c r="F511" s="125" t="s">
        <v>1618</v>
      </c>
      <c r="G511" s="125" t="s">
        <v>936</v>
      </c>
      <c r="H511" s="125">
        <f t="shared" si="894"/>
        <v>0</v>
      </c>
      <c r="I511" s="125" t="s">
        <v>1235</v>
      </c>
      <c r="J511" s="304"/>
      <c r="K511" s="125" t="s">
        <v>1975</v>
      </c>
      <c r="L511" s="125">
        <v>35000</v>
      </c>
      <c r="M511" s="125" t="s">
        <v>1976</v>
      </c>
      <c r="N511" s="125">
        <f t="shared" si="895"/>
        <v>0</v>
      </c>
      <c r="O511" s="322"/>
      <c r="P511" s="322"/>
      <c r="Q511" s="322"/>
      <c r="R511" s="322"/>
      <c r="S511" s="322"/>
      <c r="T511" s="322"/>
      <c r="U511" s="322"/>
      <c r="V511" s="322"/>
      <c r="W511" s="322"/>
      <c r="X511" s="322"/>
      <c r="Y511" s="322"/>
      <c r="Z511" s="322"/>
      <c r="AA511" s="125"/>
      <c r="AB511" s="125">
        <f t="shared" si="896"/>
        <v>0</v>
      </c>
      <c r="AC511" s="125">
        <f t="shared" si="897"/>
        <v>0</v>
      </c>
      <c r="AD511" s="125"/>
      <c r="AE511" s="125"/>
      <c r="AF511" s="125">
        <f t="shared" si="898"/>
        <v>0</v>
      </c>
      <c r="AG511" s="125"/>
      <c r="AH511" s="125"/>
      <c r="AI511" s="125">
        <f t="shared" si="899"/>
        <v>0</v>
      </c>
      <c r="AJ511" s="125"/>
      <c r="AK511" s="125"/>
      <c r="AL511" s="125">
        <f t="shared" si="900"/>
        <v>0</v>
      </c>
      <c r="AM511" s="125"/>
      <c r="AN511" s="125"/>
      <c r="AO511" s="125">
        <f t="shared" si="901"/>
        <v>0</v>
      </c>
      <c r="AP511" s="125"/>
      <c r="AQ511" s="125"/>
      <c r="AR511" s="125">
        <f t="shared" si="902"/>
        <v>0</v>
      </c>
      <c r="AS511" s="125"/>
      <c r="AT511" s="125"/>
      <c r="AU511" s="125">
        <f t="shared" si="903"/>
        <v>0</v>
      </c>
      <c r="AV511" s="125"/>
      <c r="AW511" s="125"/>
      <c r="AX511" s="125">
        <f t="shared" si="904"/>
        <v>0</v>
      </c>
      <c r="AY511" s="125"/>
      <c r="AZ511" s="125"/>
      <c r="BA511" s="125">
        <f t="shared" si="905"/>
        <v>0</v>
      </c>
      <c r="BB511" s="125"/>
      <c r="BC511" s="125"/>
      <c r="BD511" s="125">
        <f t="shared" si="906"/>
        <v>0</v>
      </c>
      <c r="BE511" s="125"/>
      <c r="BF511" s="125"/>
      <c r="BG511" s="125">
        <f t="shared" si="907"/>
        <v>0</v>
      </c>
      <c r="BH511" s="125"/>
      <c r="BI511" s="125"/>
      <c r="BJ511" s="125">
        <f t="shared" si="908"/>
        <v>0</v>
      </c>
      <c r="BK511" s="125"/>
      <c r="BL511" s="312"/>
      <c r="BM511" s="317"/>
      <c r="BN511" s="320"/>
    </row>
    <row r="512" s="43" customFormat="1" ht="33.95" hidden="1" customHeight="1" outlineLevel="3" spans="2:66">
      <c r="B512" s="121" t="s">
        <v>787</v>
      </c>
      <c r="C512" s="122" t="s">
        <v>1980</v>
      </c>
      <c r="D512" s="43" t="s">
        <v>1981</v>
      </c>
      <c r="E512" s="121"/>
      <c r="F512" s="121"/>
      <c r="G512" s="121"/>
      <c r="H512" s="121">
        <f>SUM(H513:H519)</f>
        <v>0</v>
      </c>
      <c r="I512" s="121"/>
      <c r="J512" s="121"/>
      <c r="K512" s="121"/>
      <c r="L512" s="121"/>
      <c r="M512" s="121"/>
      <c r="N512" s="311"/>
      <c r="O512" s="294"/>
      <c r="P512" s="294"/>
      <c r="Q512" s="294"/>
      <c r="R512" s="294"/>
      <c r="S512" s="294"/>
      <c r="T512" s="294"/>
      <c r="U512" s="294"/>
      <c r="V512" s="294"/>
      <c r="W512" s="294"/>
      <c r="X512" s="294"/>
      <c r="Y512" s="294"/>
      <c r="Z512" s="294"/>
      <c r="AA512" s="294"/>
      <c r="AB512" s="121">
        <f t="shared" ref="AB512:AC512" si="909">SUM(AB513:AB519)</f>
        <v>0</v>
      </c>
      <c r="AC512" s="121">
        <f t="shared" si="909"/>
        <v>0</v>
      </c>
      <c r="AD512" s="121"/>
      <c r="AE512" s="121"/>
      <c r="AF512" s="121">
        <f>SUM(AF513:AF519)</f>
        <v>0</v>
      </c>
      <c r="AG512" s="121"/>
      <c r="AH512" s="121"/>
      <c r="AI512" s="121">
        <f>SUM(AI513:AI519)</f>
        <v>0</v>
      </c>
      <c r="AJ512" s="121"/>
      <c r="AK512" s="121"/>
      <c r="AL512" s="121">
        <f>SUM(AL513:AL519)</f>
        <v>0</v>
      </c>
      <c r="AM512" s="121"/>
      <c r="AN512" s="121"/>
      <c r="AO512" s="121">
        <f>SUM(AO513:AO519)</f>
        <v>0</v>
      </c>
      <c r="AP512" s="121"/>
      <c r="AQ512" s="121"/>
      <c r="AR512" s="121">
        <f>SUM(AR513:AR519)</f>
        <v>0</v>
      </c>
      <c r="AS512" s="121"/>
      <c r="AT512" s="121"/>
      <c r="AU512" s="121">
        <f>SUM(AU513:AU519)</f>
        <v>0</v>
      </c>
      <c r="AV512" s="121"/>
      <c r="AW512" s="121"/>
      <c r="AX512" s="121">
        <f>SUM(AX513:AX519)</f>
        <v>0</v>
      </c>
      <c r="AY512" s="121"/>
      <c r="AZ512" s="121"/>
      <c r="BA512" s="121">
        <f>SUM(BA513:BA519)</f>
        <v>0</v>
      </c>
      <c r="BB512" s="121"/>
      <c r="BC512" s="121"/>
      <c r="BD512" s="121">
        <f>SUM(BD513:BD519)</f>
        <v>0</v>
      </c>
      <c r="BE512" s="121"/>
      <c r="BF512" s="121"/>
      <c r="BG512" s="121">
        <f>SUM(BG513:BG519)</f>
        <v>0</v>
      </c>
      <c r="BH512" s="121"/>
      <c r="BI512" s="121"/>
      <c r="BJ512" s="121">
        <f>SUM(BJ513:BJ519)</f>
        <v>0</v>
      </c>
      <c r="BK512" s="121"/>
      <c r="BL512" s="311"/>
      <c r="BM512" s="317"/>
      <c r="BN512" s="319"/>
    </row>
    <row r="513" s="124" customFormat="1" ht="33.95" hidden="1" customHeight="1" outlineLevel="5" spans="2:66">
      <c r="B513" s="125" t="s">
        <v>792</v>
      </c>
      <c r="C513" s="126" t="s">
        <v>1982</v>
      </c>
      <c r="D513" s="124" t="s">
        <v>1983</v>
      </c>
      <c r="E513" s="125" t="s">
        <v>1984</v>
      </c>
      <c r="F513" s="125" t="s">
        <v>1618</v>
      </c>
      <c r="G513" s="125" t="s">
        <v>936</v>
      </c>
      <c r="H513" s="125">
        <f t="shared" ref="H513:H519" si="910">J513*L513</f>
        <v>0</v>
      </c>
      <c r="I513" s="125" t="s">
        <v>1235</v>
      </c>
      <c r="J513" s="304"/>
      <c r="K513" s="125" t="s">
        <v>1985</v>
      </c>
      <c r="L513" s="125">
        <v>15</v>
      </c>
      <c r="M513" s="125" t="s">
        <v>1986</v>
      </c>
      <c r="N513" s="125">
        <f t="shared" ref="N513:N519" si="911">COUNTA(O513:Z513)</f>
        <v>0</v>
      </c>
      <c r="O513" s="323"/>
      <c r="P513" s="323"/>
      <c r="Q513" s="323"/>
      <c r="R513" s="323"/>
      <c r="S513" s="323"/>
      <c r="T513" s="323"/>
      <c r="U513" s="323"/>
      <c r="V513" s="323"/>
      <c r="W513" s="323"/>
      <c r="X513" s="323"/>
      <c r="Y513" s="323"/>
      <c r="Z513" s="323"/>
      <c r="AA513" s="125"/>
      <c r="AB513" s="125">
        <f t="shared" ref="AB513:AB518" si="912">SUM(AC513,AF513,AI513,AL513,AO513,AR513,AU513,AX513,BA513,BD513,BG513,BJ513)</f>
        <v>0</v>
      </c>
      <c r="AC513" s="125">
        <f t="shared" ref="AC513:AC518" si="913">IF(O513="√",$J513*$L513/$N513,0)</f>
        <v>0</v>
      </c>
      <c r="AD513" s="125"/>
      <c r="AE513" s="125"/>
      <c r="AF513" s="125">
        <f t="shared" ref="AF513:AF518" si="914">IF(P513="√",$J513*$L513/$N513,0)</f>
        <v>0</v>
      </c>
      <c r="AG513" s="125"/>
      <c r="AH513" s="125"/>
      <c r="AI513" s="125">
        <f t="shared" ref="AI513:AI518" si="915">IF(Q513="√",$J513*$L513/$N513,0)</f>
        <v>0</v>
      </c>
      <c r="AJ513" s="125"/>
      <c r="AK513" s="125"/>
      <c r="AL513" s="125">
        <f t="shared" ref="AL513:AL518" si="916">IF(R513="√",$J513*$L513/$N513,0)</f>
        <v>0</v>
      </c>
      <c r="AM513" s="125"/>
      <c r="AN513" s="125"/>
      <c r="AO513" s="125">
        <f t="shared" ref="AO513:AO518" si="917">IF(S513="√",$J513*$L513/$N513,0)</f>
        <v>0</v>
      </c>
      <c r="AP513" s="125"/>
      <c r="AQ513" s="125"/>
      <c r="AR513" s="125">
        <f t="shared" ref="AR513:AR518" si="918">IF(T513="√",$J513*$L513/$N513,0)</f>
        <v>0</v>
      </c>
      <c r="AS513" s="125"/>
      <c r="AT513" s="125"/>
      <c r="AU513" s="125">
        <f t="shared" ref="AU513:AU518" si="919">IF(U513="√",$J513*$L513/$N513,0)</f>
        <v>0</v>
      </c>
      <c r="AV513" s="125"/>
      <c r="AW513" s="125"/>
      <c r="AX513" s="125">
        <f t="shared" ref="AX513:AX518" si="920">IF(V513="√",$J513*$L513/$N513,0)</f>
        <v>0</v>
      </c>
      <c r="AY513" s="125"/>
      <c r="AZ513" s="125"/>
      <c r="BA513" s="125">
        <f t="shared" ref="BA513:BA518" si="921">IF(W513="√",$J513*$L513/$N513,0)</f>
        <v>0</v>
      </c>
      <c r="BB513" s="125"/>
      <c r="BC513" s="125"/>
      <c r="BD513" s="125">
        <f t="shared" ref="BD513:BD518" si="922">IF(X513="√",$J513*$L513/$N513,0)</f>
        <v>0</v>
      </c>
      <c r="BE513" s="125"/>
      <c r="BF513" s="125"/>
      <c r="BG513" s="125">
        <f t="shared" ref="BG513:BG518" si="923">IF(Y513="√",$J513*$L513/$N513,0)</f>
        <v>0</v>
      </c>
      <c r="BH513" s="125"/>
      <c r="BI513" s="125"/>
      <c r="BJ513" s="125">
        <f t="shared" ref="BJ513:BJ518" si="924">IF(Z513="√",$J513*$L513/$N513,0)</f>
        <v>0</v>
      </c>
      <c r="BK513" s="125"/>
      <c r="BL513" s="312"/>
      <c r="BM513" s="317"/>
      <c r="BN513" s="320"/>
    </row>
    <row r="514" s="124" customFormat="1" ht="33.95" hidden="1" customHeight="1" outlineLevel="5" spans="2:66">
      <c r="B514" s="125" t="s">
        <v>792</v>
      </c>
      <c r="C514" s="126" t="s">
        <v>1987</v>
      </c>
      <c r="D514" s="124" t="s">
        <v>1988</v>
      </c>
      <c r="E514" s="125" t="s">
        <v>1989</v>
      </c>
      <c r="F514" s="125" t="s">
        <v>1618</v>
      </c>
      <c r="G514" s="125" t="s">
        <v>936</v>
      </c>
      <c r="H514" s="125">
        <f t="shared" si="910"/>
        <v>0</v>
      </c>
      <c r="I514" s="125" t="s">
        <v>1235</v>
      </c>
      <c r="J514" s="304"/>
      <c r="K514" s="125" t="s">
        <v>1985</v>
      </c>
      <c r="L514" s="125">
        <v>57</v>
      </c>
      <c r="M514" s="125" t="s">
        <v>1986</v>
      </c>
      <c r="N514" s="125">
        <f t="shared" si="911"/>
        <v>0</v>
      </c>
      <c r="O514" s="304"/>
      <c r="P514" s="304"/>
      <c r="Q514" s="304"/>
      <c r="R514" s="304"/>
      <c r="S514" s="304"/>
      <c r="T514" s="304"/>
      <c r="U514" s="304"/>
      <c r="V514" s="304"/>
      <c r="W514" s="304"/>
      <c r="X514" s="304"/>
      <c r="Y514" s="304"/>
      <c r="Z514" s="304"/>
      <c r="AA514" s="125"/>
      <c r="AB514" s="125">
        <f t="shared" si="912"/>
        <v>0</v>
      </c>
      <c r="AC514" s="125">
        <f t="shared" si="913"/>
        <v>0</v>
      </c>
      <c r="AD514" s="125"/>
      <c r="AE514" s="125"/>
      <c r="AF514" s="125">
        <f t="shared" si="914"/>
        <v>0</v>
      </c>
      <c r="AG514" s="125"/>
      <c r="AH514" s="125"/>
      <c r="AI514" s="125">
        <f t="shared" si="915"/>
        <v>0</v>
      </c>
      <c r="AJ514" s="125"/>
      <c r="AK514" s="125"/>
      <c r="AL514" s="125">
        <f t="shared" si="916"/>
        <v>0</v>
      </c>
      <c r="AM514" s="125"/>
      <c r="AN514" s="125"/>
      <c r="AO514" s="125">
        <f t="shared" si="917"/>
        <v>0</v>
      </c>
      <c r="AP514" s="125"/>
      <c r="AQ514" s="125"/>
      <c r="AR514" s="125">
        <f t="shared" si="918"/>
        <v>0</v>
      </c>
      <c r="AS514" s="125"/>
      <c r="AT514" s="125"/>
      <c r="AU514" s="125">
        <f t="shared" si="919"/>
        <v>0</v>
      </c>
      <c r="AV514" s="125"/>
      <c r="AW514" s="125"/>
      <c r="AX514" s="125">
        <f t="shared" si="920"/>
        <v>0</v>
      </c>
      <c r="AY514" s="125"/>
      <c r="AZ514" s="125"/>
      <c r="BA514" s="125">
        <f t="shared" si="921"/>
        <v>0</v>
      </c>
      <c r="BB514" s="125"/>
      <c r="BC514" s="125"/>
      <c r="BD514" s="125">
        <f t="shared" si="922"/>
        <v>0</v>
      </c>
      <c r="BE514" s="125"/>
      <c r="BF514" s="125"/>
      <c r="BG514" s="125">
        <f t="shared" si="923"/>
        <v>0</v>
      </c>
      <c r="BH514" s="125"/>
      <c r="BI514" s="125"/>
      <c r="BJ514" s="125">
        <f t="shared" si="924"/>
        <v>0</v>
      </c>
      <c r="BK514" s="125"/>
      <c r="BL514" s="312"/>
      <c r="BM514" s="317"/>
      <c r="BN514" s="320"/>
    </row>
    <row r="515" s="124" customFormat="1" ht="33.95" hidden="1" customHeight="1" outlineLevel="5" spans="2:66">
      <c r="B515" s="125" t="s">
        <v>792</v>
      </c>
      <c r="C515" s="126" t="s">
        <v>1990</v>
      </c>
      <c r="D515" s="124" t="s">
        <v>1991</v>
      </c>
      <c r="E515" s="125" t="s">
        <v>1992</v>
      </c>
      <c r="F515" s="125" t="s">
        <v>1618</v>
      </c>
      <c r="G515" s="125" t="s">
        <v>936</v>
      </c>
      <c r="H515" s="125">
        <f t="shared" si="910"/>
        <v>0</v>
      </c>
      <c r="I515" s="125" t="s">
        <v>1235</v>
      </c>
      <c r="J515" s="304"/>
      <c r="K515" s="125" t="s">
        <v>1747</v>
      </c>
      <c r="L515" s="125">
        <v>3</v>
      </c>
      <c r="M515" s="125" t="s">
        <v>1748</v>
      </c>
      <c r="N515" s="125">
        <f t="shared" si="911"/>
        <v>0</v>
      </c>
      <c r="O515" s="304"/>
      <c r="P515" s="304"/>
      <c r="Q515" s="304"/>
      <c r="R515" s="304"/>
      <c r="S515" s="304"/>
      <c r="T515" s="304"/>
      <c r="U515" s="304"/>
      <c r="V515" s="304"/>
      <c r="W515" s="304"/>
      <c r="X515" s="304"/>
      <c r="Y515" s="304"/>
      <c r="Z515" s="304"/>
      <c r="AA515" s="125"/>
      <c r="AB515" s="125">
        <f t="shared" si="912"/>
        <v>0</v>
      </c>
      <c r="AC515" s="125">
        <f t="shared" si="913"/>
        <v>0</v>
      </c>
      <c r="AD515" s="125"/>
      <c r="AE515" s="125"/>
      <c r="AF515" s="125">
        <f t="shared" si="914"/>
        <v>0</v>
      </c>
      <c r="AG515" s="125"/>
      <c r="AH515" s="125"/>
      <c r="AI515" s="125">
        <f t="shared" si="915"/>
        <v>0</v>
      </c>
      <c r="AJ515" s="125"/>
      <c r="AK515" s="125"/>
      <c r="AL515" s="125">
        <f t="shared" si="916"/>
        <v>0</v>
      </c>
      <c r="AM515" s="125"/>
      <c r="AN515" s="125"/>
      <c r="AO515" s="125">
        <f t="shared" si="917"/>
        <v>0</v>
      </c>
      <c r="AP515" s="125"/>
      <c r="AQ515" s="125"/>
      <c r="AR515" s="125">
        <f t="shared" si="918"/>
        <v>0</v>
      </c>
      <c r="AS515" s="125"/>
      <c r="AT515" s="125"/>
      <c r="AU515" s="125">
        <f t="shared" si="919"/>
        <v>0</v>
      </c>
      <c r="AV515" s="125"/>
      <c r="AW515" s="125"/>
      <c r="AX515" s="125">
        <f t="shared" si="920"/>
        <v>0</v>
      </c>
      <c r="AY515" s="125"/>
      <c r="AZ515" s="125"/>
      <c r="BA515" s="125">
        <f t="shared" si="921"/>
        <v>0</v>
      </c>
      <c r="BB515" s="125"/>
      <c r="BC515" s="125"/>
      <c r="BD515" s="125">
        <f t="shared" si="922"/>
        <v>0</v>
      </c>
      <c r="BE515" s="125"/>
      <c r="BF515" s="125"/>
      <c r="BG515" s="125">
        <f t="shared" si="923"/>
        <v>0</v>
      </c>
      <c r="BH515" s="125"/>
      <c r="BI515" s="125"/>
      <c r="BJ515" s="125">
        <f t="shared" si="924"/>
        <v>0</v>
      </c>
      <c r="BK515" s="125"/>
      <c r="BL515" s="312"/>
      <c r="BM515" s="317"/>
      <c r="BN515" s="320"/>
    </row>
    <row r="516" s="124" customFormat="1" ht="33.95" hidden="1" customHeight="1" outlineLevel="5" spans="2:66">
      <c r="B516" s="125" t="s">
        <v>792</v>
      </c>
      <c r="C516" s="126" t="s">
        <v>1993</v>
      </c>
      <c r="D516" s="124" t="s">
        <v>1994</v>
      </c>
      <c r="E516" s="125" t="s">
        <v>1995</v>
      </c>
      <c r="F516" s="125" t="s">
        <v>1618</v>
      </c>
      <c r="G516" s="125" t="s">
        <v>936</v>
      </c>
      <c r="H516" s="125">
        <f t="shared" si="910"/>
        <v>0</v>
      </c>
      <c r="I516" s="125" t="s">
        <v>1235</v>
      </c>
      <c r="J516" s="304"/>
      <c r="K516" s="125" t="s">
        <v>1143</v>
      </c>
      <c r="L516" s="125">
        <v>490</v>
      </c>
      <c r="M516" s="125" t="s">
        <v>1763</v>
      </c>
      <c r="N516" s="125">
        <f t="shared" si="911"/>
        <v>0</v>
      </c>
      <c r="O516" s="304"/>
      <c r="P516" s="304"/>
      <c r="Q516" s="304"/>
      <c r="R516" s="304"/>
      <c r="S516" s="304"/>
      <c r="T516" s="304"/>
      <c r="U516" s="304"/>
      <c r="V516" s="304"/>
      <c r="W516" s="304"/>
      <c r="X516" s="304"/>
      <c r="Y516" s="304"/>
      <c r="Z516" s="304"/>
      <c r="AA516" s="125"/>
      <c r="AB516" s="125">
        <f t="shared" si="912"/>
        <v>0</v>
      </c>
      <c r="AC516" s="125">
        <f t="shared" si="913"/>
        <v>0</v>
      </c>
      <c r="AD516" s="125"/>
      <c r="AE516" s="125"/>
      <c r="AF516" s="125">
        <f t="shared" si="914"/>
        <v>0</v>
      </c>
      <c r="AG516" s="125"/>
      <c r="AH516" s="125"/>
      <c r="AI516" s="125">
        <f t="shared" si="915"/>
        <v>0</v>
      </c>
      <c r="AJ516" s="125"/>
      <c r="AK516" s="125"/>
      <c r="AL516" s="125">
        <f t="shared" si="916"/>
        <v>0</v>
      </c>
      <c r="AM516" s="125"/>
      <c r="AN516" s="125"/>
      <c r="AO516" s="125">
        <f t="shared" si="917"/>
        <v>0</v>
      </c>
      <c r="AP516" s="125"/>
      <c r="AQ516" s="125"/>
      <c r="AR516" s="125">
        <f t="shared" si="918"/>
        <v>0</v>
      </c>
      <c r="AS516" s="125"/>
      <c r="AT516" s="125"/>
      <c r="AU516" s="125">
        <f t="shared" si="919"/>
        <v>0</v>
      </c>
      <c r="AV516" s="125"/>
      <c r="AW516" s="125"/>
      <c r="AX516" s="125">
        <f t="shared" si="920"/>
        <v>0</v>
      </c>
      <c r="AY516" s="125"/>
      <c r="AZ516" s="125"/>
      <c r="BA516" s="125">
        <f t="shared" si="921"/>
        <v>0</v>
      </c>
      <c r="BB516" s="125"/>
      <c r="BC516" s="125"/>
      <c r="BD516" s="125">
        <f t="shared" si="922"/>
        <v>0</v>
      </c>
      <c r="BE516" s="125"/>
      <c r="BF516" s="125"/>
      <c r="BG516" s="125">
        <f t="shared" si="923"/>
        <v>0</v>
      </c>
      <c r="BH516" s="125"/>
      <c r="BI516" s="125"/>
      <c r="BJ516" s="125">
        <f t="shared" si="924"/>
        <v>0</v>
      </c>
      <c r="BK516" s="125"/>
      <c r="BL516" s="312"/>
      <c r="BM516" s="317"/>
      <c r="BN516" s="320"/>
    </row>
    <row r="517" s="124" customFormat="1" ht="33.95" hidden="1" customHeight="1" outlineLevel="5" spans="2:66">
      <c r="B517" s="125" t="s">
        <v>792</v>
      </c>
      <c r="C517" s="126" t="s">
        <v>1996</v>
      </c>
      <c r="D517" s="124" t="s">
        <v>1997</v>
      </c>
      <c r="E517" s="125" t="s">
        <v>1998</v>
      </c>
      <c r="F517" s="125" t="s">
        <v>1618</v>
      </c>
      <c r="G517" s="125" t="s">
        <v>936</v>
      </c>
      <c r="H517" s="125">
        <f t="shared" si="910"/>
        <v>0</v>
      </c>
      <c r="I517" s="125" t="s">
        <v>1235</v>
      </c>
      <c r="J517" s="304"/>
      <c r="K517" s="125" t="s">
        <v>1626</v>
      </c>
      <c r="L517" s="125">
        <v>320</v>
      </c>
      <c r="M517" s="125" t="s">
        <v>1627</v>
      </c>
      <c r="N517" s="125">
        <f t="shared" si="911"/>
        <v>0</v>
      </c>
      <c r="O517" s="304"/>
      <c r="P517" s="304"/>
      <c r="Q517" s="304"/>
      <c r="R517" s="304"/>
      <c r="S517" s="304"/>
      <c r="T517" s="304"/>
      <c r="U517" s="304"/>
      <c r="V517" s="304"/>
      <c r="W517" s="304"/>
      <c r="X517" s="304"/>
      <c r="Y517" s="304"/>
      <c r="Z517" s="304"/>
      <c r="AA517" s="125"/>
      <c r="AB517" s="125">
        <f t="shared" si="912"/>
        <v>0</v>
      </c>
      <c r="AC517" s="125">
        <f t="shared" si="913"/>
        <v>0</v>
      </c>
      <c r="AD517" s="125"/>
      <c r="AE517" s="125"/>
      <c r="AF517" s="125">
        <f t="shared" si="914"/>
        <v>0</v>
      </c>
      <c r="AG517" s="125"/>
      <c r="AH517" s="125"/>
      <c r="AI517" s="125">
        <f t="shared" si="915"/>
        <v>0</v>
      </c>
      <c r="AJ517" s="125"/>
      <c r="AK517" s="125"/>
      <c r="AL517" s="125">
        <f t="shared" si="916"/>
        <v>0</v>
      </c>
      <c r="AM517" s="125"/>
      <c r="AN517" s="125"/>
      <c r="AO517" s="125">
        <f t="shared" si="917"/>
        <v>0</v>
      </c>
      <c r="AP517" s="125"/>
      <c r="AQ517" s="125"/>
      <c r="AR517" s="125">
        <f t="shared" si="918"/>
        <v>0</v>
      </c>
      <c r="AS517" s="125"/>
      <c r="AT517" s="125"/>
      <c r="AU517" s="125">
        <f t="shared" si="919"/>
        <v>0</v>
      </c>
      <c r="AV517" s="125"/>
      <c r="AW517" s="125"/>
      <c r="AX517" s="125">
        <f t="shared" si="920"/>
        <v>0</v>
      </c>
      <c r="AY517" s="125"/>
      <c r="AZ517" s="125"/>
      <c r="BA517" s="125">
        <f t="shared" si="921"/>
        <v>0</v>
      </c>
      <c r="BB517" s="125"/>
      <c r="BC517" s="125"/>
      <c r="BD517" s="125">
        <f t="shared" si="922"/>
        <v>0</v>
      </c>
      <c r="BE517" s="125"/>
      <c r="BF517" s="125"/>
      <c r="BG517" s="125">
        <f t="shared" si="923"/>
        <v>0</v>
      </c>
      <c r="BH517" s="125"/>
      <c r="BI517" s="125"/>
      <c r="BJ517" s="125">
        <f t="shared" si="924"/>
        <v>0</v>
      </c>
      <c r="BK517" s="125"/>
      <c r="BL517" s="312"/>
      <c r="BM517" s="317"/>
      <c r="BN517" s="320"/>
    </row>
    <row r="518" s="124" customFormat="1" ht="33.95" hidden="1" customHeight="1" outlineLevel="5" spans="2:66">
      <c r="B518" s="125" t="s">
        <v>792</v>
      </c>
      <c r="C518" s="126" t="s">
        <v>1999</v>
      </c>
      <c r="D518" s="124" t="s">
        <v>2000</v>
      </c>
      <c r="E518" s="125"/>
      <c r="F518" s="125" t="s">
        <v>1618</v>
      </c>
      <c r="G518" s="125" t="s">
        <v>936</v>
      </c>
      <c r="H518" s="125">
        <f t="shared" si="910"/>
        <v>0</v>
      </c>
      <c r="I518" s="125" t="s">
        <v>1235</v>
      </c>
      <c r="J518" s="304"/>
      <c r="K518" s="125" t="s">
        <v>2001</v>
      </c>
      <c r="L518" s="125">
        <v>35</v>
      </c>
      <c r="M518" s="125" t="s">
        <v>2002</v>
      </c>
      <c r="N518" s="125">
        <f t="shared" si="911"/>
        <v>0</v>
      </c>
      <c r="O518" s="304"/>
      <c r="P518" s="304"/>
      <c r="Q518" s="304"/>
      <c r="R518" s="304"/>
      <c r="S518" s="304"/>
      <c r="T518" s="304"/>
      <c r="U518" s="304"/>
      <c r="V518" s="304"/>
      <c r="W518" s="304"/>
      <c r="X518" s="304"/>
      <c r="Y518" s="304"/>
      <c r="Z518" s="304"/>
      <c r="AA518" s="125"/>
      <c r="AB518" s="125">
        <f t="shared" si="912"/>
        <v>0</v>
      </c>
      <c r="AC518" s="125">
        <f t="shared" si="913"/>
        <v>0</v>
      </c>
      <c r="AD518" s="125"/>
      <c r="AE518" s="125"/>
      <c r="AF518" s="125">
        <f t="shared" si="914"/>
        <v>0</v>
      </c>
      <c r="AG518" s="125"/>
      <c r="AH518" s="125"/>
      <c r="AI518" s="125">
        <f t="shared" si="915"/>
        <v>0</v>
      </c>
      <c r="AJ518" s="125"/>
      <c r="AK518" s="125"/>
      <c r="AL518" s="125">
        <f t="shared" si="916"/>
        <v>0</v>
      </c>
      <c r="AM518" s="125"/>
      <c r="AN518" s="125"/>
      <c r="AO518" s="125">
        <f t="shared" si="917"/>
        <v>0</v>
      </c>
      <c r="AP518" s="125"/>
      <c r="AQ518" s="125"/>
      <c r="AR518" s="125">
        <f t="shared" si="918"/>
        <v>0</v>
      </c>
      <c r="AS518" s="125"/>
      <c r="AT518" s="125"/>
      <c r="AU518" s="125">
        <f t="shared" si="919"/>
        <v>0</v>
      </c>
      <c r="AV518" s="125"/>
      <c r="AW518" s="125"/>
      <c r="AX518" s="125">
        <f t="shared" si="920"/>
        <v>0</v>
      </c>
      <c r="AY518" s="125"/>
      <c r="AZ518" s="125"/>
      <c r="BA518" s="125">
        <f t="shared" si="921"/>
        <v>0</v>
      </c>
      <c r="BB518" s="125"/>
      <c r="BC518" s="125"/>
      <c r="BD518" s="125">
        <f t="shared" si="922"/>
        <v>0</v>
      </c>
      <c r="BE518" s="125"/>
      <c r="BF518" s="125"/>
      <c r="BG518" s="125">
        <f t="shared" si="923"/>
        <v>0</v>
      </c>
      <c r="BH518" s="125"/>
      <c r="BI518" s="125"/>
      <c r="BJ518" s="125">
        <f t="shared" si="924"/>
        <v>0</v>
      </c>
      <c r="BK518" s="125"/>
      <c r="BL518" s="312"/>
      <c r="BM518" s="317"/>
      <c r="BN518" s="320"/>
    </row>
    <row r="519" s="124" customFormat="1" ht="33.95" hidden="1" customHeight="1" outlineLevel="5" spans="2:66">
      <c r="B519" s="125" t="s">
        <v>792</v>
      </c>
      <c r="C519" s="126" t="s">
        <v>2003</v>
      </c>
      <c r="D519" s="124" t="s">
        <v>2004</v>
      </c>
      <c r="E519" s="125" t="s">
        <v>2005</v>
      </c>
      <c r="F519" s="125" t="s">
        <v>1618</v>
      </c>
      <c r="G519" s="125" t="s">
        <v>936</v>
      </c>
      <c r="H519" s="125">
        <f t="shared" si="910"/>
        <v>0</v>
      </c>
      <c r="I519" s="125" t="s">
        <v>1235</v>
      </c>
      <c r="J519" s="304"/>
      <c r="K519" s="125" t="s">
        <v>1626</v>
      </c>
      <c r="L519" s="125">
        <v>70</v>
      </c>
      <c r="M519" s="125" t="s">
        <v>1627</v>
      </c>
      <c r="N519" s="125">
        <f t="shared" si="911"/>
        <v>0</v>
      </c>
      <c r="O519" s="322"/>
      <c r="P519" s="322"/>
      <c r="Q519" s="322"/>
      <c r="R519" s="322"/>
      <c r="S519" s="322"/>
      <c r="T519" s="322"/>
      <c r="U519" s="322"/>
      <c r="V519" s="322"/>
      <c r="W519" s="322"/>
      <c r="X519" s="322"/>
      <c r="Y519" s="322"/>
      <c r="Z519" s="322"/>
      <c r="AA519" s="125"/>
      <c r="AB519" s="125">
        <f t="shared" ref="AB519:AB525" si="925">SUM(AC519,AF519,AI519,AL519,AO519,AR519,AU519,AX519,BA519,BD519,BG519,BJ519)</f>
        <v>0</v>
      </c>
      <c r="AC519" s="125">
        <f t="shared" ref="AC519:AC525" si="926">IF(O519="√",$J519*$L519/$N519,0)</f>
        <v>0</v>
      </c>
      <c r="AD519" s="125"/>
      <c r="AE519" s="125"/>
      <c r="AF519" s="125">
        <f t="shared" ref="AF519:AF525" si="927">IF(P519="√",$J519*$L519/$N519,0)</f>
        <v>0</v>
      </c>
      <c r="AG519" s="125"/>
      <c r="AH519" s="125"/>
      <c r="AI519" s="125">
        <f t="shared" ref="AI519:AI525" si="928">IF(Q519="√",$J519*$L519/$N519,0)</f>
        <v>0</v>
      </c>
      <c r="AJ519" s="125"/>
      <c r="AK519" s="125"/>
      <c r="AL519" s="125">
        <f t="shared" ref="AL519:AL525" si="929">IF(R519="√",$J519*$L519/$N519,0)</f>
        <v>0</v>
      </c>
      <c r="AM519" s="125"/>
      <c r="AN519" s="125"/>
      <c r="AO519" s="125">
        <f t="shared" ref="AO519:AO525" si="930">IF(S519="√",$J519*$L519/$N519,0)</f>
        <v>0</v>
      </c>
      <c r="AP519" s="125"/>
      <c r="AQ519" s="125"/>
      <c r="AR519" s="125">
        <f t="shared" ref="AR519:AR525" si="931">IF(T519="√",$J519*$L519/$N519,0)</f>
        <v>0</v>
      </c>
      <c r="AS519" s="125"/>
      <c r="AT519" s="125"/>
      <c r="AU519" s="125">
        <f t="shared" ref="AU519:AU525" si="932">IF(U519="√",$J519*$L519/$N519,0)</f>
        <v>0</v>
      </c>
      <c r="AV519" s="125"/>
      <c r="AW519" s="125"/>
      <c r="AX519" s="125">
        <f t="shared" ref="AX519:AX525" si="933">IF(V519="√",$J519*$L519/$N519,0)</f>
        <v>0</v>
      </c>
      <c r="AY519" s="125"/>
      <c r="AZ519" s="125"/>
      <c r="BA519" s="125">
        <f t="shared" ref="BA519:BA525" si="934">IF(W519="√",$J519*$L519/$N519,0)</f>
        <v>0</v>
      </c>
      <c r="BB519" s="125"/>
      <c r="BC519" s="125"/>
      <c r="BD519" s="125">
        <f t="shared" ref="BD519:BD525" si="935">IF(X519="√",$J519*$L519/$N519,0)</f>
        <v>0</v>
      </c>
      <c r="BE519" s="125"/>
      <c r="BF519" s="125"/>
      <c r="BG519" s="125">
        <f t="shared" ref="BG519:BG525" si="936">IF(Y519="√",$J519*$L519/$N519,0)</f>
        <v>0</v>
      </c>
      <c r="BH519" s="125"/>
      <c r="BI519" s="125"/>
      <c r="BJ519" s="125">
        <f t="shared" ref="BJ519:BJ525" si="937">IF(Z519="√",$J519*$L519/$N519,0)</f>
        <v>0</v>
      </c>
      <c r="BK519" s="125"/>
      <c r="BL519" s="312"/>
      <c r="BM519" s="317"/>
      <c r="BN519" s="320"/>
    </row>
    <row r="520" s="43" customFormat="1" ht="33.95" hidden="1" customHeight="1" outlineLevel="3" spans="2:66">
      <c r="B520" s="121" t="s">
        <v>787</v>
      </c>
      <c r="C520" s="122" t="s">
        <v>2006</v>
      </c>
      <c r="D520" s="43" t="s">
        <v>2007</v>
      </c>
      <c r="E520" s="121"/>
      <c r="F520" s="121"/>
      <c r="G520" s="121"/>
      <c r="H520" s="121">
        <f>SUM(H521:H539)</f>
        <v>0</v>
      </c>
      <c r="I520" s="121"/>
      <c r="J520" s="121"/>
      <c r="K520" s="121"/>
      <c r="L520" s="121"/>
      <c r="M520" s="121"/>
      <c r="N520" s="311"/>
      <c r="O520" s="294"/>
      <c r="P520" s="294"/>
      <c r="Q520" s="294"/>
      <c r="R520" s="294"/>
      <c r="S520" s="294"/>
      <c r="T520" s="294"/>
      <c r="U520" s="294"/>
      <c r="V520" s="294"/>
      <c r="W520" s="294"/>
      <c r="X520" s="294"/>
      <c r="Y520" s="294"/>
      <c r="Z520" s="294"/>
      <c r="AA520" s="294"/>
      <c r="AB520" s="121">
        <f t="shared" ref="AB520:AF520" si="938">SUM(AB521:AB539)</f>
        <v>0</v>
      </c>
      <c r="AC520" s="121">
        <f t="shared" si="938"/>
        <v>0</v>
      </c>
      <c r="AD520" s="121"/>
      <c r="AE520" s="121"/>
      <c r="AF520" s="121">
        <f t="shared" si="938"/>
        <v>0</v>
      </c>
      <c r="AG520" s="121"/>
      <c r="AH520" s="121"/>
      <c r="AI520" s="121">
        <f>SUM(AI521:AI539)</f>
        <v>0</v>
      </c>
      <c r="AJ520" s="121"/>
      <c r="AK520" s="121"/>
      <c r="AL520" s="121">
        <f>SUM(AL521:AL539)</f>
        <v>0</v>
      </c>
      <c r="AM520" s="121"/>
      <c r="AN520" s="121"/>
      <c r="AO520" s="121">
        <f>SUM(AO521:AO539)</f>
        <v>0</v>
      </c>
      <c r="AP520" s="121"/>
      <c r="AQ520" s="121"/>
      <c r="AR520" s="121">
        <f>SUM(AR521:AR539)</f>
        <v>0</v>
      </c>
      <c r="AS520" s="121"/>
      <c r="AT520" s="121"/>
      <c r="AU520" s="121">
        <f>SUM(AU521:AU539)</f>
        <v>0</v>
      </c>
      <c r="AV520" s="121"/>
      <c r="AW520" s="121"/>
      <c r="AX520" s="121">
        <f>SUM(AX521:AX539)</f>
        <v>0</v>
      </c>
      <c r="AY520" s="121"/>
      <c r="AZ520" s="121"/>
      <c r="BA520" s="121">
        <f>SUM(BA521:BA539)</f>
        <v>0</v>
      </c>
      <c r="BB520" s="121"/>
      <c r="BC520" s="121"/>
      <c r="BD520" s="121">
        <f>SUM(BD521:BD539)</f>
        <v>0</v>
      </c>
      <c r="BE520" s="121"/>
      <c r="BF520" s="121"/>
      <c r="BG520" s="121">
        <f>SUM(BG521:BG539)</f>
        <v>0</v>
      </c>
      <c r="BH520" s="121"/>
      <c r="BI520" s="121"/>
      <c r="BJ520" s="121">
        <f>SUM(BJ521:BJ539)</f>
        <v>0</v>
      </c>
      <c r="BK520" s="121"/>
      <c r="BL520" s="311"/>
      <c r="BM520" s="317"/>
      <c r="BN520" s="319"/>
    </row>
    <row r="521" s="124" customFormat="1" ht="33.95" hidden="1" customHeight="1" outlineLevel="5" spans="2:66">
      <c r="B521" s="125" t="s">
        <v>792</v>
      </c>
      <c r="C521" s="126" t="s">
        <v>2008</v>
      </c>
      <c r="D521" s="124" t="s">
        <v>2009</v>
      </c>
      <c r="E521" s="125"/>
      <c r="F521" s="125" t="s">
        <v>1618</v>
      </c>
      <c r="G521" s="125" t="s">
        <v>936</v>
      </c>
      <c r="H521" s="125">
        <f t="shared" ref="H521:H539" si="939">J521*L521</f>
        <v>0</v>
      </c>
      <c r="I521" s="125" t="s">
        <v>1235</v>
      </c>
      <c r="J521" s="304"/>
      <c r="K521" s="125" t="s">
        <v>1389</v>
      </c>
      <c r="L521" s="125">
        <v>50</v>
      </c>
      <c r="M521" s="125" t="s">
        <v>1668</v>
      </c>
      <c r="N521" s="125">
        <f t="shared" ref="N521:N539" si="940">COUNTA(O521:Z521)</f>
        <v>0</v>
      </c>
      <c r="O521" s="323"/>
      <c r="P521" s="323"/>
      <c r="Q521" s="323"/>
      <c r="R521" s="323"/>
      <c r="S521" s="323"/>
      <c r="T521" s="323"/>
      <c r="U521" s="323"/>
      <c r="V521" s="323"/>
      <c r="W521" s="323"/>
      <c r="X521" s="323"/>
      <c r="Y521" s="323"/>
      <c r="Z521" s="323"/>
      <c r="AA521" s="125"/>
      <c r="AB521" s="125">
        <f t="shared" si="925"/>
        <v>0</v>
      </c>
      <c r="AC521" s="125">
        <f t="shared" si="926"/>
        <v>0</v>
      </c>
      <c r="AD521" s="125"/>
      <c r="AE521" s="125"/>
      <c r="AF521" s="125">
        <f t="shared" si="927"/>
        <v>0</v>
      </c>
      <c r="AG521" s="125"/>
      <c r="AH521" s="125"/>
      <c r="AI521" s="125">
        <f t="shared" si="928"/>
        <v>0</v>
      </c>
      <c r="AJ521" s="125"/>
      <c r="AK521" s="125"/>
      <c r="AL521" s="125">
        <f t="shared" si="929"/>
        <v>0</v>
      </c>
      <c r="AM521" s="125"/>
      <c r="AN521" s="125"/>
      <c r="AO521" s="125">
        <f t="shared" si="930"/>
        <v>0</v>
      </c>
      <c r="AP521" s="125"/>
      <c r="AQ521" s="125"/>
      <c r="AR521" s="125">
        <f t="shared" si="931"/>
        <v>0</v>
      </c>
      <c r="AS521" s="125"/>
      <c r="AT521" s="125"/>
      <c r="AU521" s="125">
        <f t="shared" si="932"/>
        <v>0</v>
      </c>
      <c r="AV521" s="125"/>
      <c r="AW521" s="125"/>
      <c r="AX521" s="125">
        <f t="shared" si="933"/>
        <v>0</v>
      </c>
      <c r="AY521" s="125"/>
      <c r="AZ521" s="125"/>
      <c r="BA521" s="125">
        <f t="shared" si="934"/>
        <v>0</v>
      </c>
      <c r="BB521" s="125"/>
      <c r="BC521" s="125"/>
      <c r="BD521" s="125">
        <f t="shared" si="935"/>
        <v>0</v>
      </c>
      <c r="BE521" s="125"/>
      <c r="BF521" s="125"/>
      <c r="BG521" s="125">
        <f t="shared" si="936"/>
        <v>0</v>
      </c>
      <c r="BH521" s="125"/>
      <c r="BI521" s="125"/>
      <c r="BJ521" s="125">
        <f t="shared" si="937"/>
        <v>0</v>
      </c>
      <c r="BK521" s="125"/>
      <c r="BL521" s="312"/>
      <c r="BM521" s="317"/>
      <c r="BN521" s="320"/>
    </row>
    <row r="522" s="124" customFormat="1" ht="33.95" hidden="1" customHeight="1" outlineLevel="5" spans="2:66">
      <c r="B522" s="125" t="s">
        <v>792</v>
      </c>
      <c r="C522" s="126" t="s">
        <v>2010</v>
      </c>
      <c r="D522" s="124" t="s">
        <v>2011</v>
      </c>
      <c r="E522" s="125" t="s">
        <v>2012</v>
      </c>
      <c r="F522" s="125" t="s">
        <v>1618</v>
      </c>
      <c r="G522" s="125" t="s">
        <v>936</v>
      </c>
      <c r="H522" s="125">
        <f t="shared" si="939"/>
        <v>0</v>
      </c>
      <c r="I522" s="125" t="s">
        <v>1235</v>
      </c>
      <c r="J522" s="304"/>
      <c r="K522" s="125" t="s">
        <v>1389</v>
      </c>
      <c r="L522" s="125">
        <v>20</v>
      </c>
      <c r="M522" s="125" t="s">
        <v>1668</v>
      </c>
      <c r="N522" s="125">
        <f t="shared" si="940"/>
        <v>0</v>
      </c>
      <c r="O522" s="304"/>
      <c r="P522" s="304"/>
      <c r="Q522" s="304"/>
      <c r="R522" s="304"/>
      <c r="S522" s="304"/>
      <c r="T522" s="304"/>
      <c r="U522" s="304"/>
      <c r="V522" s="304"/>
      <c r="W522" s="304"/>
      <c r="X522" s="304"/>
      <c r="Y522" s="304"/>
      <c r="Z522" s="304"/>
      <c r="AA522" s="125"/>
      <c r="AB522" s="125">
        <f t="shared" si="925"/>
        <v>0</v>
      </c>
      <c r="AC522" s="125">
        <f t="shared" si="926"/>
        <v>0</v>
      </c>
      <c r="AD522" s="125"/>
      <c r="AE522" s="125"/>
      <c r="AF522" s="125">
        <f t="shared" si="927"/>
        <v>0</v>
      </c>
      <c r="AG522" s="125"/>
      <c r="AH522" s="125"/>
      <c r="AI522" s="125">
        <f t="shared" si="928"/>
        <v>0</v>
      </c>
      <c r="AJ522" s="125"/>
      <c r="AK522" s="125"/>
      <c r="AL522" s="125">
        <f t="shared" si="929"/>
        <v>0</v>
      </c>
      <c r="AM522" s="125"/>
      <c r="AN522" s="125"/>
      <c r="AO522" s="125">
        <f t="shared" si="930"/>
        <v>0</v>
      </c>
      <c r="AP522" s="125"/>
      <c r="AQ522" s="125"/>
      <c r="AR522" s="125">
        <f t="shared" si="931"/>
        <v>0</v>
      </c>
      <c r="AS522" s="125"/>
      <c r="AT522" s="125"/>
      <c r="AU522" s="125">
        <f t="shared" si="932"/>
        <v>0</v>
      </c>
      <c r="AV522" s="125"/>
      <c r="AW522" s="125"/>
      <c r="AX522" s="125">
        <f t="shared" si="933"/>
        <v>0</v>
      </c>
      <c r="AY522" s="125"/>
      <c r="AZ522" s="125"/>
      <c r="BA522" s="125">
        <f t="shared" si="934"/>
        <v>0</v>
      </c>
      <c r="BB522" s="125"/>
      <c r="BC522" s="125"/>
      <c r="BD522" s="125">
        <f t="shared" si="935"/>
        <v>0</v>
      </c>
      <c r="BE522" s="125"/>
      <c r="BF522" s="125"/>
      <c r="BG522" s="125">
        <f t="shared" si="936"/>
        <v>0</v>
      </c>
      <c r="BH522" s="125"/>
      <c r="BI522" s="125"/>
      <c r="BJ522" s="125">
        <f t="shared" si="937"/>
        <v>0</v>
      </c>
      <c r="BK522" s="125"/>
      <c r="BL522" s="312"/>
      <c r="BM522" s="317"/>
      <c r="BN522" s="320"/>
    </row>
    <row r="523" s="124" customFormat="1" ht="33.95" hidden="1" customHeight="1" outlineLevel="5" spans="2:66">
      <c r="B523" s="125" t="s">
        <v>792</v>
      </c>
      <c r="C523" s="126" t="s">
        <v>2013</v>
      </c>
      <c r="D523" s="124" t="s">
        <v>2014</v>
      </c>
      <c r="E523" s="125" t="s">
        <v>2015</v>
      </c>
      <c r="F523" s="125" t="s">
        <v>1618</v>
      </c>
      <c r="G523" s="125" t="s">
        <v>936</v>
      </c>
      <c r="H523" s="125">
        <f t="shared" si="939"/>
        <v>0</v>
      </c>
      <c r="I523" s="125" t="s">
        <v>1235</v>
      </c>
      <c r="J523" s="304"/>
      <c r="K523" s="125" t="s">
        <v>1389</v>
      </c>
      <c r="L523" s="125">
        <v>66</v>
      </c>
      <c r="M523" s="125" t="s">
        <v>1668</v>
      </c>
      <c r="N523" s="125">
        <f t="shared" si="940"/>
        <v>0</v>
      </c>
      <c r="O523" s="304"/>
      <c r="P523" s="304"/>
      <c r="Q523" s="304"/>
      <c r="R523" s="304"/>
      <c r="S523" s="304"/>
      <c r="T523" s="304"/>
      <c r="U523" s="304"/>
      <c r="V523" s="304"/>
      <c r="W523" s="304"/>
      <c r="X523" s="304"/>
      <c r="Y523" s="304"/>
      <c r="Z523" s="304"/>
      <c r="AA523" s="125"/>
      <c r="AB523" s="125">
        <f t="shared" si="925"/>
        <v>0</v>
      </c>
      <c r="AC523" s="125">
        <f t="shared" si="926"/>
        <v>0</v>
      </c>
      <c r="AD523" s="125"/>
      <c r="AE523" s="125"/>
      <c r="AF523" s="125">
        <f t="shared" si="927"/>
        <v>0</v>
      </c>
      <c r="AG523" s="125"/>
      <c r="AH523" s="125"/>
      <c r="AI523" s="125">
        <f t="shared" si="928"/>
        <v>0</v>
      </c>
      <c r="AJ523" s="125"/>
      <c r="AK523" s="125"/>
      <c r="AL523" s="125">
        <f t="shared" si="929"/>
        <v>0</v>
      </c>
      <c r="AM523" s="125"/>
      <c r="AN523" s="125"/>
      <c r="AO523" s="125">
        <f t="shared" si="930"/>
        <v>0</v>
      </c>
      <c r="AP523" s="125"/>
      <c r="AQ523" s="125"/>
      <c r="AR523" s="125">
        <f t="shared" si="931"/>
        <v>0</v>
      </c>
      <c r="AS523" s="125"/>
      <c r="AT523" s="125"/>
      <c r="AU523" s="125">
        <f t="shared" si="932"/>
        <v>0</v>
      </c>
      <c r="AV523" s="125"/>
      <c r="AW523" s="125"/>
      <c r="AX523" s="125">
        <f t="shared" si="933"/>
        <v>0</v>
      </c>
      <c r="AY523" s="125"/>
      <c r="AZ523" s="125"/>
      <c r="BA523" s="125">
        <f t="shared" si="934"/>
        <v>0</v>
      </c>
      <c r="BB523" s="125"/>
      <c r="BC523" s="125"/>
      <c r="BD523" s="125">
        <f t="shared" si="935"/>
        <v>0</v>
      </c>
      <c r="BE523" s="125"/>
      <c r="BF523" s="125"/>
      <c r="BG523" s="125">
        <f t="shared" si="936"/>
        <v>0</v>
      </c>
      <c r="BH523" s="125"/>
      <c r="BI523" s="125"/>
      <c r="BJ523" s="125">
        <f t="shared" si="937"/>
        <v>0</v>
      </c>
      <c r="BK523" s="125"/>
      <c r="BL523" s="312"/>
      <c r="BM523" s="317"/>
      <c r="BN523" s="320"/>
    </row>
    <row r="524" s="124" customFormat="1" ht="33.95" hidden="1" customHeight="1" outlineLevel="5" spans="2:66">
      <c r="B524" s="125" t="s">
        <v>792</v>
      </c>
      <c r="C524" s="126" t="s">
        <v>2016</v>
      </c>
      <c r="D524" s="124" t="s">
        <v>2017</v>
      </c>
      <c r="E524" s="125" t="s">
        <v>2018</v>
      </c>
      <c r="F524" s="125" t="s">
        <v>1618</v>
      </c>
      <c r="G524" s="125" t="s">
        <v>936</v>
      </c>
      <c r="H524" s="125">
        <f t="shared" si="939"/>
        <v>0</v>
      </c>
      <c r="I524" s="125" t="s">
        <v>1235</v>
      </c>
      <c r="J524" s="304"/>
      <c r="K524" s="125" t="s">
        <v>2019</v>
      </c>
      <c r="L524" s="125">
        <v>8.5</v>
      </c>
      <c r="M524" s="125" t="s">
        <v>1798</v>
      </c>
      <c r="N524" s="125">
        <f t="shared" si="940"/>
        <v>0</v>
      </c>
      <c r="O524" s="304"/>
      <c r="P524" s="304"/>
      <c r="Q524" s="304"/>
      <c r="R524" s="304"/>
      <c r="S524" s="304"/>
      <c r="T524" s="304"/>
      <c r="U524" s="304"/>
      <c r="V524" s="304"/>
      <c r="W524" s="304"/>
      <c r="X524" s="304"/>
      <c r="Y524" s="304"/>
      <c r="Z524" s="304"/>
      <c r="AA524" s="125"/>
      <c r="AB524" s="125">
        <f t="shared" si="925"/>
        <v>0</v>
      </c>
      <c r="AC524" s="125">
        <f t="shared" si="926"/>
        <v>0</v>
      </c>
      <c r="AD524" s="125"/>
      <c r="AE524" s="125"/>
      <c r="AF524" s="125">
        <f t="shared" si="927"/>
        <v>0</v>
      </c>
      <c r="AG524" s="125"/>
      <c r="AH524" s="125"/>
      <c r="AI524" s="125">
        <f t="shared" si="928"/>
        <v>0</v>
      </c>
      <c r="AJ524" s="125"/>
      <c r="AK524" s="125"/>
      <c r="AL524" s="125">
        <f t="shared" si="929"/>
        <v>0</v>
      </c>
      <c r="AM524" s="125"/>
      <c r="AN524" s="125"/>
      <c r="AO524" s="125">
        <f t="shared" si="930"/>
        <v>0</v>
      </c>
      <c r="AP524" s="125"/>
      <c r="AQ524" s="125"/>
      <c r="AR524" s="125">
        <f t="shared" si="931"/>
        <v>0</v>
      </c>
      <c r="AS524" s="125"/>
      <c r="AT524" s="125"/>
      <c r="AU524" s="125">
        <f t="shared" si="932"/>
        <v>0</v>
      </c>
      <c r="AV524" s="125"/>
      <c r="AW524" s="125"/>
      <c r="AX524" s="125">
        <f t="shared" si="933"/>
        <v>0</v>
      </c>
      <c r="AY524" s="125"/>
      <c r="AZ524" s="125"/>
      <c r="BA524" s="125">
        <f t="shared" si="934"/>
        <v>0</v>
      </c>
      <c r="BB524" s="125"/>
      <c r="BC524" s="125"/>
      <c r="BD524" s="125">
        <f t="shared" si="935"/>
        <v>0</v>
      </c>
      <c r="BE524" s="125"/>
      <c r="BF524" s="125"/>
      <c r="BG524" s="125">
        <f t="shared" si="936"/>
        <v>0</v>
      </c>
      <c r="BH524" s="125"/>
      <c r="BI524" s="125"/>
      <c r="BJ524" s="125">
        <f t="shared" si="937"/>
        <v>0</v>
      </c>
      <c r="BK524" s="125"/>
      <c r="BL524" s="312"/>
      <c r="BM524" s="317"/>
      <c r="BN524" s="320"/>
    </row>
    <row r="525" s="124" customFormat="1" ht="33.95" hidden="1" customHeight="1" outlineLevel="5" spans="2:66">
      <c r="B525" s="125" t="s">
        <v>792</v>
      </c>
      <c r="C525" s="126" t="s">
        <v>2020</v>
      </c>
      <c r="D525" s="124" t="s">
        <v>2021</v>
      </c>
      <c r="E525" s="125" t="s">
        <v>2022</v>
      </c>
      <c r="F525" s="125" t="s">
        <v>1618</v>
      </c>
      <c r="G525" s="125" t="s">
        <v>936</v>
      </c>
      <c r="H525" s="125">
        <f t="shared" si="939"/>
        <v>0</v>
      </c>
      <c r="I525" s="125" t="s">
        <v>1235</v>
      </c>
      <c r="J525" s="304"/>
      <c r="K525" s="125" t="s">
        <v>1389</v>
      </c>
      <c r="L525" s="125">
        <v>8</v>
      </c>
      <c r="M525" s="125" t="s">
        <v>1668</v>
      </c>
      <c r="N525" s="125">
        <f t="shared" si="940"/>
        <v>0</v>
      </c>
      <c r="O525" s="304"/>
      <c r="P525" s="304"/>
      <c r="Q525" s="304"/>
      <c r="R525" s="304"/>
      <c r="S525" s="304"/>
      <c r="T525" s="304"/>
      <c r="U525" s="304"/>
      <c r="V525" s="304"/>
      <c r="W525" s="304"/>
      <c r="X525" s="304"/>
      <c r="Y525" s="304"/>
      <c r="Z525" s="304"/>
      <c r="AA525" s="125"/>
      <c r="AB525" s="125">
        <f t="shared" si="925"/>
        <v>0</v>
      </c>
      <c r="AC525" s="125">
        <f t="shared" si="926"/>
        <v>0</v>
      </c>
      <c r="AD525" s="125"/>
      <c r="AE525" s="125"/>
      <c r="AF525" s="125">
        <f t="shared" si="927"/>
        <v>0</v>
      </c>
      <c r="AG525" s="125"/>
      <c r="AH525" s="125"/>
      <c r="AI525" s="125">
        <f t="shared" si="928"/>
        <v>0</v>
      </c>
      <c r="AJ525" s="125"/>
      <c r="AK525" s="125"/>
      <c r="AL525" s="125">
        <f t="shared" si="929"/>
        <v>0</v>
      </c>
      <c r="AM525" s="125"/>
      <c r="AN525" s="125"/>
      <c r="AO525" s="125">
        <f t="shared" si="930"/>
        <v>0</v>
      </c>
      <c r="AP525" s="125"/>
      <c r="AQ525" s="125"/>
      <c r="AR525" s="125">
        <f t="shared" si="931"/>
        <v>0</v>
      </c>
      <c r="AS525" s="125"/>
      <c r="AT525" s="125"/>
      <c r="AU525" s="125">
        <f t="shared" si="932"/>
        <v>0</v>
      </c>
      <c r="AV525" s="125"/>
      <c r="AW525" s="125"/>
      <c r="AX525" s="125">
        <f t="shared" si="933"/>
        <v>0</v>
      </c>
      <c r="AY525" s="125"/>
      <c r="AZ525" s="125"/>
      <c r="BA525" s="125">
        <f t="shared" si="934"/>
        <v>0</v>
      </c>
      <c r="BB525" s="125"/>
      <c r="BC525" s="125"/>
      <c r="BD525" s="125">
        <f t="shared" si="935"/>
        <v>0</v>
      </c>
      <c r="BE525" s="125"/>
      <c r="BF525" s="125"/>
      <c r="BG525" s="125">
        <f t="shared" si="936"/>
        <v>0</v>
      </c>
      <c r="BH525" s="125"/>
      <c r="BI525" s="125"/>
      <c r="BJ525" s="125">
        <f t="shared" si="937"/>
        <v>0</v>
      </c>
      <c r="BK525" s="125"/>
      <c r="BL525" s="312"/>
      <c r="BM525" s="317"/>
      <c r="BN525" s="320"/>
    </row>
    <row r="526" s="124" customFormat="1" ht="33.95" hidden="1" customHeight="1" outlineLevel="5" spans="2:66">
      <c r="B526" s="125" t="s">
        <v>792</v>
      </c>
      <c r="C526" s="126" t="s">
        <v>2023</v>
      </c>
      <c r="D526" s="124" t="s">
        <v>2024</v>
      </c>
      <c r="E526" s="125" t="s">
        <v>2025</v>
      </c>
      <c r="F526" s="125" t="s">
        <v>1618</v>
      </c>
      <c r="G526" s="125" t="s">
        <v>936</v>
      </c>
      <c r="H526" s="125">
        <f t="shared" si="939"/>
        <v>0</v>
      </c>
      <c r="I526" s="125" t="s">
        <v>1235</v>
      </c>
      <c r="J526" s="304"/>
      <c r="K526" s="125" t="s">
        <v>2019</v>
      </c>
      <c r="L526" s="125">
        <v>80</v>
      </c>
      <c r="M526" s="125" t="s">
        <v>1798</v>
      </c>
      <c r="N526" s="125">
        <f t="shared" si="940"/>
        <v>0</v>
      </c>
      <c r="O526" s="304"/>
      <c r="P526" s="304"/>
      <c r="Q526" s="304"/>
      <c r="R526" s="304"/>
      <c r="S526" s="304"/>
      <c r="T526" s="304"/>
      <c r="U526" s="304"/>
      <c r="V526" s="304"/>
      <c r="W526" s="304"/>
      <c r="X526" s="304"/>
      <c r="Y526" s="304"/>
      <c r="Z526" s="304"/>
      <c r="AA526" s="125"/>
      <c r="AB526" s="125">
        <f t="shared" ref="AB526:AB539" si="941">SUM(AC526,AF526,AI526,AL526,AO526,AR526,AU526,AX526,BA526,BD526,BG526,BJ526)</f>
        <v>0</v>
      </c>
      <c r="AC526" s="125">
        <f t="shared" ref="AC526:AC539" si="942">IF(O526="√",$J526*$L526/$N526,0)</f>
        <v>0</v>
      </c>
      <c r="AD526" s="125"/>
      <c r="AE526" s="125"/>
      <c r="AF526" s="125">
        <f t="shared" ref="AF526:AF539" si="943">IF(P526="√",$J526*$L526/$N526,0)</f>
        <v>0</v>
      </c>
      <c r="AG526" s="125"/>
      <c r="AH526" s="125"/>
      <c r="AI526" s="125">
        <f t="shared" ref="AI526:AI539" si="944">IF(Q526="√",$J526*$L526/$N526,0)</f>
        <v>0</v>
      </c>
      <c r="AJ526" s="125"/>
      <c r="AK526" s="125"/>
      <c r="AL526" s="125">
        <f t="shared" ref="AL526:AL539" si="945">IF(R526="√",$J526*$L526/$N526,0)</f>
        <v>0</v>
      </c>
      <c r="AM526" s="125"/>
      <c r="AN526" s="125"/>
      <c r="AO526" s="125">
        <f t="shared" ref="AO526:AO539" si="946">IF(S526="√",$J526*$L526/$N526,0)</f>
        <v>0</v>
      </c>
      <c r="AP526" s="125"/>
      <c r="AQ526" s="125"/>
      <c r="AR526" s="125">
        <f t="shared" ref="AR526:AR539" si="947">IF(T526="√",$J526*$L526/$N526,0)</f>
        <v>0</v>
      </c>
      <c r="AS526" s="125"/>
      <c r="AT526" s="125"/>
      <c r="AU526" s="125">
        <f t="shared" ref="AU526:AU539" si="948">IF(U526="√",$J526*$L526/$N526,0)</f>
        <v>0</v>
      </c>
      <c r="AV526" s="125"/>
      <c r="AW526" s="125"/>
      <c r="AX526" s="125">
        <f t="shared" ref="AX526:AX539" si="949">IF(V526="√",$J526*$L526/$N526,0)</f>
        <v>0</v>
      </c>
      <c r="AY526" s="125"/>
      <c r="AZ526" s="125"/>
      <c r="BA526" s="125">
        <f t="shared" ref="BA526:BA539" si="950">IF(W526="√",$J526*$L526/$N526,0)</f>
        <v>0</v>
      </c>
      <c r="BB526" s="125"/>
      <c r="BC526" s="125"/>
      <c r="BD526" s="125">
        <f t="shared" ref="BD526:BD539" si="951">IF(X526="√",$J526*$L526/$N526,0)</f>
        <v>0</v>
      </c>
      <c r="BE526" s="125"/>
      <c r="BF526" s="125"/>
      <c r="BG526" s="125">
        <f t="shared" ref="BG526:BG539" si="952">IF(Y526="√",$J526*$L526/$N526,0)</f>
        <v>0</v>
      </c>
      <c r="BH526" s="125"/>
      <c r="BI526" s="125"/>
      <c r="BJ526" s="125">
        <f t="shared" ref="BJ526:BJ539" si="953">IF(Z526="√",$J526*$L526/$N526,0)</f>
        <v>0</v>
      </c>
      <c r="BK526" s="125"/>
      <c r="BL526" s="312"/>
      <c r="BM526" s="317"/>
      <c r="BN526" s="320"/>
    </row>
    <row r="527" s="124" customFormat="1" ht="33.95" hidden="1" customHeight="1" outlineLevel="5" spans="2:66">
      <c r="B527" s="125" t="s">
        <v>792</v>
      </c>
      <c r="C527" s="126" t="s">
        <v>2026</v>
      </c>
      <c r="D527" s="124" t="s">
        <v>2027</v>
      </c>
      <c r="E527" s="125" t="s">
        <v>2028</v>
      </c>
      <c r="F527" s="125" t="s">
        <v>1618</v>
      </c>
      <c r="G527" s="125" t="s">
        <v>936</v>
      </c>
      <c r="H527" s="125">
        <f t="shared" si="939"/>
        <v>0</v>
      </c>
      <c r="I527" s="125" t="s">
        <v>1235</v>
      </c>
      <c r="J527" s="304"/>
      <c r="K527" s="125" t="s">
        <v>1389</v>
      </c>
      <c r="L527" s="125">
        <v>65</v>
      </c>
      <c r="M527" s="125" t="s">
        <v>1668</v>
      </c>
      <c r="N527" s="125">
        <f t="shared" si="940"/>
        <v>0</v>
      </c>
      <c r="O527" s="304"/>
      <c r="P527" s="304"/>
      <c r="Q527" s="304"/>
      <c r="R527" s="304"/>
      <c r="S527" s="304"/>
      <c r="T527" s="304"/>
      <c r="U527" s="304"/>
      <c r="V527" s="304"/>
      <c r="W527" s="304"/>
      <c r="X527" s="304"/>
      <c r="Y527" s="304"/>
      <c r="Z527" s="304"/>
      <c r="AA527" s="125"/>
      <c r="AB527" s="125">
        <f t="shared" si="941"/>
        <v>0</v>
      </c>
      <c r="AC527" s="125">
        <f t="shared" si="942"/>
        <v>0</v>
      </c>
      <c r="AD527" s="125"/>
      <c r="AE527" s="125"/>
      <c r="AF527" s="125">
        <f t="shared" si="943"/>
        <v>0</v>
      </c>
      <c r="AG527" s="125"/>
      <c r="AH527" s="125"/>
      <c r="AI527" s="125">
        <f t="shared" si="944"/>
        <v>0</v>
      </c>
      <c r="AJ527" s="125"/>
      <c r="AK527" s="125"/>
      <c r="AL527" s="125">
        <f t="shared" si="945"/>
        <v>0</v>
      </c>
      <c r="AM527" s="125"/>
      <c r="AN527" s="125"/>
      <c r="AO527" s="125">
        <f t="shared" si="946"/>
        <v>0</v>
      </c>
      <c r="AP527" s="125"/>
      <c r="AQ527" s="125"/>
      <c r="AR527" s="125">
        <f t="shared" si="947"/>
        <v>0</v>
      </c>
      <c r="AS527" s="125"/>
      <c r="AT527" s="125"/>
      <c r="AU527" s="125">
        <f t="shared" si="948"/>
        <v>0</v>
      </c>
      <c r="AV527" s="125"/>
      <c r="AW527" s="125"/>
      <c r="AX527" s="125">
        <f t="shared" si="949"/>
        <v>0</v>
      </c>
      <c r="AY527" s="125"/>
      <c r="AZ527" s="125"/>
      <c r="BA527" s="125">
        <f t="shared" si="950"/>
        <v>0</v>
      </c>
      <c r="BB527" s="125"/>
      <c r="BC527" s="125"/>
      <c r="BD527" s="125">
        <f t="shared" si="951"/>
        <v>0</v>
      </c>
      <c r="BE527" s="125"/>
      <c r="BF527" s="125"/>
      <c r="BG527" s="125">
        <f t="shared" si="952"/>
        <v>0</v>
      </c>
      <c r="BH527" s="125"/>
      <c r="BI527" s="125"/>
      <c r="BJ527" s="125">
        <f t="shared" si="953"/>
        <v>0</v>
      </c>
      <c r="BK527" s="125"/>
      <c r="BL527" s="312"/>
      <c r="BM527" s="317"/>
      <c r="BN527" s="320"/>
    </row>
    <row r="528" s="124" customFormat="1" ht="33.95" hidden="1" customHeight="1" outlineLevel="5" spans="2:66">
      <c r="B528" s="125" t="s">
        <v>792</v>
      </c>
      <c r="C528" s="126" t="s">
        <v>2029</v>
      </c>
      <c r="D528" s="124" t="s">
        <v>2030</v>
      </c>
      <c r="E528" s="125" t="s">
        <v>2031</v>
      </c>
      <c r="F528" s="125" t="s">
        <v>1618</v>
      </c>
      <c r="G528" s="125" t="s">
        <v>936</v>
      </c>
      <c r="H528" s="125">
        <f t="shared" si="939"/>
        <v>0</v>
      </c>
      <c r="I528" s="125" t="s">
        <v>1235</v>
      </c>
      <c r="J528" s="304"/>
      <c r="K528" s="125" t="s">
        <v>1626</v>
      </c>
      <c r="L528" s="125">
        <v>135</v>
      </c>
      <c r="M528" s="125" t="s">
        <v>1627</v>
      </c>
      <c r="N528" s="125">
        <f t="shared" si="940"/>
        <v>0</v>
      </c>
      <c r="O528" s="304"/>
      <c r="P528" s="304"/>
      <c r="Q528" s="304"/>
      <c r="R528" s="304"/>
      <c r="S528" s="304"/>
      <c r="T528" s="304"/>
      <c r="U528" s="304"/>
      <c r="V528" s="304"/>
      <c r="W528" s="304"/>
      <c r="X528" s="304"/>
      <c r="Y528" s="304"/>
      <c r="Z528" s="304"/>
      <c r="AA528" s="125"/>
      <c r="AB528" s="125">
        <f t="shared" si="941"/>
        <v>0</v>
      </c>
      <c r="AC528" s="125">
        <f t="shared" si="942"/>
        <v>0</v>
      </c>
      <c r="AD528" s="125"/>
      <c r="AE528" s="125"/>
      <c r="AF528" s="125">
        <f t="shared" si="943"/>
        <v>0</v>
      </c>
      <c r="AG528" s="125"/>
      <c r="AH528" s="125"/>
      <c r="AI528" s="125">
        <f t="shared" si="944"/>
        <v>0</v>
      </c>
      <c r="AJ528" s="125"/>
      <c r="AK528" s="125"/>
      <c r="AL528" s="125">
        <f t="shared" si="945"/>
        <v>0</v>
      </c>
      <c r="AM528" s="125"/>
      <c r="AN528" s="125"/>
      <c r="AO528" s="125">
        <f t="shared" si="946"/>
        <v>0</v>
      </c>
      <c r="AP528" s="125"/>
      <c r="AQ528" s="125"/>
      <c r="AR528" s="125">
        <f t="shared" si="947"/>
        <v>0</v>
      </c>
      <c r="AS528" s="125"/>
      <c r="AT528" s="125"/>
      <c r="AU528" s="125">
        <f t="shared" si="948"/>
        <v>0</v>
      </c>
      <c r="AV528" s="125"/>
      <c r="AW528" s="125"/>
      <c r="AX528" s="125">
        <f t="shared" si="949"/>
        <v>0</v>
      </c>
      <c r="AY528" s="125"/>
      <c r="AZ528" s="125"/>
      <c r="BA528" s="125">
        <f t="shared" si="950"/>
        <v>0</v>
      </c>
      <c r="BB528" s="125"/>
      <c r="BC528" s="125"/>
      <c r="BD528" s="125">
        <f t="shared" si="951"/>
        <v>0</v>
      </c>
      <c r="BE528" s="125"/>
      <c r="BF528" s="125"/>
      <c r="BG528" s="125">
        <f t="shared" si="952"/>
        <v>0</v>
      </c>
      <c r="BH528" s="125"/>
      <c r="BI528" s="125"/>
      <c r="BJ528" s="125">
        <f t="shared" si="953"/>
        <v>0</v>
      </c>
      <c r="BK528" s="125"/>
      <c r="BL528" s="312"/>
      <c r="BM528" s="317"/>
      <c r="BN528" s="320"/>
    </row>
    <row r="529" s="124" customFormat="1" ht="33.95" hidden="1" customHeight="1" outlineLevel="5" spans="2:66">
      <c r="B529" s="125" t="s">
        <v>792</v>
      </c>
      <c r="C529" s="126" t="s">
        <v>2032</v>
      </c>
      <c r="D529" s="124" t="s">
        <v>2033</v>
      </c>
      <c r="E529" s="125" t="s">
        <v>2034</v>
      </c>
      <c r="F529" s="125" t="s">
        <v>1618</v>
      </c>
      <c r="G529" s="125" t="s">
        <v>936</v>
      </c>
      <c r="H529" s="125">
        <f t="shared" si="939"/>
        <v>0</v>
      </c>
      <c r="I529" s="125" t="s">
        <v>1235</v>
      </c>
      <c r="J529" s="304"/>
      <c r="K529" s="125" t="s">
        <v>1389</v>
      </c>
      <c r="L529" s="125">
        <v>35</v>
      </c>
      <c r="M529" s="125" t="s">
        <v>1668</v>
      </c>
      <c r="N529" s="125">
        <f t="shared" si="940"/>
        <v>0</v>
      </c>
      <c r="O529" s="304"/>
      <c r="P529" s="304"/>
      <c r="Q529" s="304"/>
      <c r="R529" s="304"/>
      <c r="S529" s="304"/>
      <c r="T529" s="304"/>
      <c r="U529" s="304"/>
      <c r="V529" s="304"/>
      <c r="W529" s="304"/>
      <c r="X529" s="304"/>
      <c r="Y529" s="304"/>
      <c r="Z529" s="304"/>
      <c r="AA529" s="125"/>
      <c r="AB529" s="125">
        <f t="shared" si="941"/>
        <v>0</v>
      </c>
      <c r="AC529" s="125">
        <f t="shared" si="942"/>
        <v>0</v>
      </c>
      <c r="AD529" s="125"/>
      <c r="AE529" s="125"/>
      <c r="AF529" s="125">
        <f t="shared" si="943"/>
        <v>0</v>
      </c>
      <c r="AG529" s="125"/>
      <c r="AH529" s="125"/>
      <c r="AI529" s="125">
        <f t="shared" si="944"/>
        <v>0</v>
      </c>
      <c r="AJ529" s="125"/>
      <c r="AK529" s="125"/>
      <c r="AL529" s="125">
        <f t="shared" si="945"/>
        <v>0</v>
      </c>
      <c r="AM529" s="125"/>
      <c r="AN529" s="125"/>
      <c r="AO529" s="125">
        <f t="shared" si="946"/>
        <v>0</v>
      </c>
      <c r="AP529" s="125"/>
      <c r="AQ529" s="125"/>
      <c r="AR529" s="125">
        <f t="shared" si="947"/>
        <v>0</v>
      </c>
      <c r="AS529" s="125"/>
      <c r="AT529" s="125"/>
      <c r="AU529" s="125">
        <f t="shared" si="948"/>
        <v>0</v>
      </c>
      <c r="AV529" s="125"/>
      <c r="AW529" s="125"/>
      <c r="AX529" s="125">
        <f t="shared" si="949"/>
        <v>0</v>
      </c>
      <c r="AY529" s="125"/>
      <c r="AZ529" s="125"/>
      <c r="BA529" s="125">
        <f t="shared" si="950"/>
        <v>0</v>
      </c>
      <c r="BB529" s="125"/>
      <c r="BC529" s="125"/>
      <c r="BD529" s="125">
        <f t="shared" si="951"/>
        <v>0</v>
      </c>
      <c r="BE529" s="125"/>
      <c r="BF529" s="125"/>
      <c r="BG529" s="125">
        <f t="shared" si="952"/>
        <v>0</v>
      </c>
      <c r="BH529" s="125"/>
      <c r="BI529" s="125"/>
      <c r="BJ529" s="125">
        <f t="shared" si="953"/>
        <v>0</v>
      </c>
      <c r="BK529" s="125"/>
      <c r="BL529" s="312"/>
      <c r="BM529" s="317"/>
      <c r="BN529" s="320"/>
    </row>
    <row r="530" s="124" customFormat="1" ht="33.95" hidden="1" customHeight="1" outlineLevel="5" spans="2:66">
      <c r="B530" s="125" t="s">
        <v>792</v>
      </c>
      <c r="C530" s="126" t="s">
        <v>2035</v>
      </c>
      <c r="D530" s="124" t="s">
        <v>2036</v>
      </c>
      <c r="E530" s="125" t="s">
        <v>2037</v>
      </c>
      <c r="F530" s="125" t="s">
        <v>1618</v>
      </c>
      <c r="G530" s="125" t="s">
        <v>936</v>
      </c>
      <c r="H530" s="125">
        <f t="shared" si="939"/>
        <v>0</v>
      </c>
      <c r="I530" s="125" t="s">
        <v>1235</v>
      </c>
      <c r="J530" s="304"/>
      <c r="K530" s="125" t="s">
        <v>1389</v>
      </c>
      <c r="L530" s="125">
        <v>36</v>
      </c>
      <c r="M530" s="125" t="s">
        <v>1668</v>
      </c>
      <c r="N530" s="125">
        <f t="shared" si="940"/>
        <v>0</v>
      </c>
      <c r="O530" s="304"/>
      <c r="P530" s="304"/>
      <c r="Q530" s="304"/>
      <c r="R530" s="304"/>
      <c r="S530" s="304"/>
      <c r="T530" s="304"/>
      <c r="U530" s="304"/>
      <c r="V530" s="304"/>
      <c r="W530" s="304"/>
      <c r="X530" s="304"/>
      <c r="Y530" s="304"/>
      <c r="Z530" s="304"/>
      <c r="AA530" s="125"/>
      <c r="AB530" s="125">
        <f t="shared" si="941"/>
        <v>0</v>
      </c>
      <c r="AC530" s="125">
        <f t="shared" si="942"/>
        <v>0</v>
      </c>
      <c r="AD530" s="125"/>
      <c r="AE530" s="125"/>
      <c r="AF530" s="125">
        <f t="shared" si="943"/>
        <v>0</v>
      </c>
      <c r="AG530" s="125"/>
      <c r="AH530" s="125"/>
      <c r="AI530" s="125">
        <f t="shared" si="944"/>
        <v>0</v>
      </c>
      <c r="AJ530" s="125"/>
      <c r="AK530" s="125"/>
      <c r="AL530" s="125">
        <f t="shared" si="945"/>
        <v>0</v>
      </c>
      <c r="AM530" s="125"/>
      <c r="AN530" s="125"/>
      <c r="AO530" s="125">
        <f t="shared" si="946"/>
        <v>0</v>
      </c>
      <c r="AP530" s="125"/>
      <c r="AQ530" s="125"/>
      <c r="AR530" s="125">
        <f t="shared" si="947"/>
        <v>0</v>
      </c>
      <c r="AS530" s="125"/>
      <c r="AT530" s="125"/>
      <c r="AU530" s="125">
        <f t="shared" si="948"/>
        <v>0</v>
      </c>
      <c r="AV530" s="125"/>
      <c r="AW530" s="125"/>
      <c r="AX530" s="125">
        <f t="shared" si="949"/>
        <v>0</v>
      </c>
      <c r="AY530" s="125"/>
      <c r="AZ530" s="125"/>
      <c r="BA530" s="125">
        <f t="shared" si="950"/>
        <v>0</v>
      </c>
      <c r="BB530" s="125"/>
      <c r="BC530" s="125"/>
      <c r="BD530" s="125">
        <f t="shared" si="951"/>
        <v>0</v>
      </c>
      <c r="BE530" s="125"/>
      <c r="BF530" s="125"/>
      <c r="BG530" s="125">
        <f t="shared" si="952"/>
        <v>0</v>
      </c>
      <c r="BH530" s="125"/>
      <c r="BI530" s="125"/>
      <c r="BJ530" s="125">
        <f t="shared" si="953"/>
        <v>0</v>
      </c>
      <c r="BK530" s="125"/>
      <c r="BL530" s="312"/>
      <c r="BM530" s="317"/>
      <c r="BN530" s="320"/>
    </row>
    <row r="531" s="124" customFormat="1" ht="33.95" hidden="1" customHeight="1" outlineLevel="5" spans="2:66">
      <c r="B531" s="125" t="s">
        <v>792</v>
      </c>
      <c r="C531" s="126" t="s">
        <v>2038</v>
      </c>
      <c r="D531" s="124" t="s">
        <v>2039</v>
      </c>
      <c r="E531" s="125" t="s">
        <v>2040</v>
      </c>
      <c r="F531" s="125" t="s">
        <v>1618</v>
      </c>
      <c r="G531" s="125" t="s">
        <v>936</v>
      </c>
      <c r="H531" s="125">
        <f t="shared" si="939"/>
        <v>0</v>
      </c>
      <c r="I531" s="125" t="s">
        <v>1235</v>
      </c>
      <c r="J531" s="304"/>
      <c r="K531" s="125" t="s">
        <v>2019</v>
      </c>
      <c r="L531" s="125">
        <v>4.3</v>
      </c>
      <c r="M531" s="125" t="s">
        <v>1798</v>
      </c>
      <c r="N531" s="125">
        <f t="shared" si="940"/>
        <v>0</v>
      </c>
      <c r="O531" s="304"/>
      <c r="P531" s="304"/>
      <c r="Q531" s="304"/>
      <c r="R531" s="304"/>
      <c r="S531" s="304"/>
      <c r="T531" s="304"/>
      <c r="U531" s="304"/>
      <c r="V531" s="304"/>
      <c r="W531" s="304"/>
      <c r="X531" s="304"/>
      <c r="Y531" s="304"/>
      <c r="Z531" s="304"/>
      <c r="AA531" s="125"/>
      <c r="AB531" s="125">
        <f t="shared" si="941"/>
        <v>0</v>
      </c>
      <c r="AC531" s="125">
        <f t="shared" si="942"/>
        <v>0</v>
      </c>
      <c r="AD531" s="125"/>
      <c r="AE531" s="125"/>
      <c r="AF531" s="125">
        <f t="shared" si="943"/>
        <v>0</v>
      </c>
      <c r="AG531" s="125"/>
      <c r="AH531" s="125"/>
      <c r="AI531" s="125">
        <f t="shared" si="944"/>
        <v>0</v>
      </c>
      <c r="AJ531" s="125"/>
      <c r="AK531" s="125"/>
      <c r="AL531" s="125">
        <f t="shared" si="945"/>
        <v>0</v>
      </c>
      <c r="AM531" s="125"/>
      <c r="AN531" s="125"/>
      <c r="AO531" s="125">
        <f t="shared" si="946"/>
        <v>0</v>
      </c>
      <c r="AP531" s="125"/>
      <c r="AQ531" s="125"/>
      <c r="AR531" s="125">
        <f t="shared" si="947"/>
        <v>0</v>
      </c>
      <c r="AS531" s="125"/>
      <c r="AT531" s="125"/>
      <c r="AU531" s="125">
        <f t="shared" si="948"/>
        <v>0</v>
      </c>
      <c r="AV531" s="125"/>
      <c r="AW531" s="125"/>
      <c r="AX531" s="125">
        <f t="shared" si="949"/>
        <v>0</v>
      </c>
      <c r="AY531" s="125"/>
      <c r="AZ531" s="125"/>
      <c r="BA531" s="125">
        <f t="shared" si="950"/>
        <v>0</v>
      </c>
      <c r="BB531" s="125"/>
      <c r="BC531" s="125"/>
      <c r="BD531" s="125">
        <f t="shared" si="951"/>
        <v>0</v>
      </c>
      <c r="BE531" s="125"/>
      <c r="BF531" s="125"/>
      <c r="BG531" s="125">
        <f t="shared" si="952"/>
        <v>0</v>
      </c>
      <c r="BH531" s="125"/>
      <c r="BI531" s="125"/>
      <c r="BJ531" s="125">
        <f t="shared" si="953"/>
        <v>0</v>
      </c>
      <c r="BK531" s="125"/>
      <c r="BL531" s="312"/>
      <c r="BM531" s="317"/>
      <c r="BN531" s="320"/>
    </row>
    <row r="532" s="124" customFormat="1" ht="33.95" hidden="1" customHeight="1" outlineLevel="5" spans="2:66">
      <c r="B532" s="125" t="s">
        <v>792</v>
      </c>
      <c r="C532" s="126" t="s">
        <v>2041</v>
      </c>
      <c r="D532" s="124" t="s">
        <v>2042</v>
      </c>
      <c r="E532" s="125" t="s">
        <v>2043</v>
      </c>
      <c r="F532" s="125" t="s">
        <v>1618</v>
      </c>
      <c r="G532" s="125" t="s">
        <v>936</v>
      </c>
      <c r="H532" s="125">
        <f t="shared" si="939"/>
        <v>0</v>
      </c>
      <c r="I532" s="125" t="s">
        <v>1235</v>
      </c>
      <c r="J532" s="304"/>
      <c r="K532" s="125" t="s">
        <v>1389</v>
      </c>
      <c r="L532" s="125">
        <v>52</v>
      </c>
      <c r="M532" s="125" t="s">
        <v>1668</v>
      </c>
      <c r="N532" s="125">
        <f t="shared" si="940"/>
        <v>0</v>
      </c>
      <c r="O532" s="304"/>
      <c r="P532" s="304"/>
      <c r="Q532" s="304"/>
      <c r="R532" s="304"/>
      <c r="S532" s="304"/>
      <c r="T532" s="304"/>
      <c r="U532" s="304"/>
      <c r="V532" s="304"/>
      <c r="W532" s="304"/>
      <c r="X532" s="304"/>
      <c r="Y532" s="304"/>
      <c r="Z532" s="304"/>
      <c r="AA532" s="125"/>
      <c r="AB532" s="125">
        <f t="shared" si="941"/>
        <v>0</v>
      </c>
      <c r="AC532" s="125">
        <f t="shared" si="942"/>
        <v>0</v>
      </c>
      <c r="AD532" s="125"/>
      <c r="AE532" s="125"/>
      <c r="AF532" s="125">
        <f t="shared" si="943"/>
        <v>0</v>
      </c>
      <c r="AG532" s="125"/>
      <c r="AH532" s="125"/>
      <c r="AI532" s="125">
        <f t="shared" si="944"/>
        <v>0</v>
      </c>
      <c r="AJ532" s="125"/>
      <c r="AK532" s="125"/>
      <c r="AL532" s="125">
        <f t="shared" si="945"/>
        <v>0</v>
      </c>
      <c r="AM532" s="125"/>
      <c r="AN532" s="125"/>
      <c r="AO532" s="125">
        <f t="shared" si="946"/>
        <v>0</v>
      </c>
      <c r="AP532" s="125"/>
      <c r="AQ532" s="125"/>
      <c r="AR532" s="125">
        <f t="shared" si="947"/>
        <v>0</v>
      </c>
      <c r="AS532" s="125"/>
      <c r="AT532" s="125"/>
      <c r="AU532" s="125">
        <f t="shared" si="948"/>
        <v>0</v>
      </c>
      <c r="AV532" s="125"/>
      <c r="AW532" s="125"/>
      <c r="AX532" s="125">
        <f t="shared" si="949"/>
        <v>0</v>
      </c>
      <c r="AY532" s="125"/>
      <c r="AZ532" s="125"/>
      <c r="BA532" s="125">
        <f t="shared" si="950"/>
        <v>0</v>
      </c>
      <c r="BB532" s="125"/>
      <c r="BC532" s="125"/>
      <c r="BD532" s="125">
        <f t="shared" si="951"/>
        <v>0</v>
      </c>
      <c r="BE532" s="125"/>
      <c r="BF532" s="125"/>
      <c r="BG532" s="125">
        <f t="shared" si="952"/>
        <v>0</v>
      </c>
      <c r="BH532" s="125"/>
      <c r="BI532" s="125"/>
      <c r="BJ532" s="125">
        <f t="shared" si="953"/>
        <v>0</v>
      </c>
      <c r="BK532" s="125"/>
      <c r="BL532" s="312"/>
      <c r="BM532" s="317"/>
      <c r="BN532" s="320"/>
    </row>
    <row r="533" s="124" customFormat="1" ht="33.95" hidden="1" customHeight="1" outlineLevel="5" spans="2:66">
      <c r="B533" s="125" t="s">
        <v>792</v>
      </c>
      <c r="C533" s="126" t="s">
        <v>2044</v>
      </c>
      <c r="D533" s="124" t="s">
        <v>2045</v>
      </c>
      <c r="E533" s="125"/>
      <c r="F533" s="125" t="s">
        <v>1618</v>
      </c>
      <c r="G533" s="125" t="s">
        <v>936</v>
      </c>
      <c r="H533" s="125">
        <f t="shared" si="939"/>
        <v>0</v>
      </c>
      <c r="I533" s="125" t="s">
        <v>1235</v>
      </c>
      <c r="J533" s="304"/>
      <c r="K533" s="125" t="s">
        <v>1389</v>
      </c>
      <c r="L533" s="125">
        <v>350</v>
      </c>
      <c r="M533" s="125" t="s">
        <v>1668</v>
      </c>
      <c r="N533" s="125">
        <f t="shared" si="940"/>
        <v>0</v>
      </c>
      <c r="O533" s="304"/>
      <c r="P533" s="304"/>
      <c r="Q533" s="304"/>
      <c r="R533" s="304"/>
      <c r="S533" s="304"/>
      <c r="T533" s="304"/>
      <c r="U533" s="304"/>
      <c r="V533" s="304"/>
      <c r="W533" s="304"/>
      <c r="X533" s="304"/>
      <c r="Y533" s="304"/>
      <c r="Z533" s="304"/>
      <c r="AA533" s="125"/>
      <c r="AB533" s="125">
        <f t="shared" si="941"/>
        <v>0</v>
      </c>
      <c r="AC533" s="125">
        <f t="shared" si="942"/>
        <v>0</v>
      </c>
      <c r="AD533" s="125"/>
      <c r="AE533" s="125"/>
      <c r="AF533" s="125">
        <f t="shared" si="943"/>
        <v>0</v>
      </c>
      <c r="AG533" s="125"/>
      <c r="AH533" s="125"/>
      <c r="AI533" s="125">
        <f t="shared" si="944"/>
        <v>0</v>
      </c>
      <c r="AJ533" s="125"/>
      <c r="AK533" s="125"/>
      <c r="AL533" s="125">
        <f t="shared" si="945"/>
        <v>0</v>
      </c>
      <c r="AM533" s="125"/>
      <c r="AN533" s="125"/>
      <c r="AO533" s="125">
        <f t="shared" si="946"/>
        <v>0</v>
      </c>
      <c r="AP533" s="125"/>
      <c r="AQ533" s="125"/>
      <c r="AR533" s="125">
        <f t="shared" si="947"/>
        <v>0</v>
      </c>
      <c r="AS533" s="125"/>
      <c r="AT533" s="125"/>
      <c r="AU533" s="125">
        <f t="shared" si="948"/>
        <v>0</v>
      </c>
      <c r="AV533" s="125"/>
      <c r="AW533" s="125"/>
      <c r="AX533" s="125">
        <f t="shared" si="949"/>
        <v>0</v>
      </c>
      <c r="AY533" s="125"/>
      <c r="AZ533" s="125"/>
      <c r="BA533" s="125">
        <f t="shared" si="950"/>
        <v>0</v>
      </c>
      <c r="BB533" s="125"/>
      <c r="BC533" s="125"/>
      <c r="BD533" s="125">
        <f t="shared" si="951"/>
        <v>0</v>
      </c>
      <c r="BE533" s="125"/>
      <c r="BF533" s="125"/>
      <c r="BG533" s="125">
        <f t="shared" si="952"/>
        <v>0</v>
      </c>
      <c r="BH533" s="125"/>
      <c r="BI533" s="125"/>
      <c r="BJ533" s="125">
        <f t="shared" si="953"/>
        <v>0</v>
      </c>
      <c r="BK533" s="125"/>
      <c r="BL533" s="312"/>
      <c r="BM533" s="317"/>
      <c r="BN533" s="320"/>
    </row>
    <row r="534" s="124" customFormat="1" ht="33.95" hidden="1" customHeight="1" outlineLevel="5" spans="2:66">
      <c r="B534" s="125" t="s">
        <v>792</v>
      </c>
      <c r="C534" s="126" t="s">
        <v>2046</v>
      </c>
      <c r="D534" s="124" t="s">
        <v>2047</v>
      </c>
      <c r="E534" s="125" t="s">
        <v>2048</v>
      </c>
      <c r="F534" s="125" t="s">
        <v>1618</v>
      </c>
      <c r="G534" s="125" t="s">
        <v>936</v>
      </c>
      <c r="H534" s="125">
        <f t="shared" si="939"/>
        <v>0</v>
      </c>
      <c r="I534" s="125" t="s">
        <v>1235</v>
      </c>
      <c r="J534" s="304"/>
      <c r="K534" s="125" t="s">
        <v>1389</v>
      </c>
      <c r="L534" s="125">
        <v>75</v>
      </c>
      <c r="M534" s="125" t="s">
        <v>1668</v>
      </c>
      <c r="N534" s="125">
        <f t="shared" si="940"/>
        <v>0</v>
      </c>
      <c r="O534" s="304"/>
      <c r="P534" s="304"/>
      <c r="Q534" s="304"/>
      <c r="R534" s="304"/>
      <c r="S534" s="304"/>
      <c r="T534" s="304"/>
      <c r="U534" s="304"/>
      <c r="V534" s="304"/>
      <c r="W534" s="304"/>
      <c r="X534" s="304"/>
      <c r="Y534" s="304"/>
      <c r="Z534" s="304"/>
      <c r="AA534" s="125"/>
      <c r="AB534" s="125">
        <f t="shared" si="941"/>
        <v>0</v>
      </c>
      <c r="AC534" s="125">
        <f t="shared" si="942"/>
        <v>0</v>
      </c>
      <c r="AD534" s="125"/>
      <c r="AE534" s="125"/>
      <c r="AF534" s="125">
        <f t="shared" si="943"/>
        <v>0</v>
      </c>
      <c r="AG534" s="125"/>
      <c r="AH534" s="125"/>
      <c r="AI534" s="125">
        <f t="shared" si="944"/>
        <v>0</v>
      </c>
      <c r="AJ534" s="125"/>
      <c r="AK534" s="125"/>
      <c r="AL534" s="125">
        <f t="shared" si="945"/>
        <v>0</v>
      </c>
      <c r="AM534" s="125"/>
      <c r="AN534" s="125"/>
      <c r="AO534" s="125">
        <f t="shared" si="946"/>
        <v>0</v>
      </c>
      <c r="AP534" s="125"/>
      <c r="AQ534" s="125"/>
      <c r="AR534" s="125">
        <f t="shared" si="947"/>
        <v>0</v>
      </c>
      <c r="AS534" s="125"/>
      <c r="AT534" s="125"/>
      <c r="AU534" s="125">
        <f t="shared" si="948"/>
        <v>0</v>
      </c>
      <c r="AV534" s="125"/>
      <c r="AW534" s="125"/>
      <c r="AX534" s="125">
        <f t="shared" si="949"/>
        <v>0</v>
      </c>
      <c r="AY534" s="125"/>
      <c r="AZ534" s="125"/>
      <c r="BA534" s="125">
        <f t="shared" si="950"/>
        <v>0</v>
      </c>
      <c r="BB534" s="125"/>
      <c r="BC534" s="125"/>
      <c r="BD534" s="125">
        <f t="shared" si="951"/>
        <v>0</v>
      </c>
      <c r="BE534" s="125"/>
      <c r="BF534" s="125"/>
      <c r="BG534" s="125">
        <f t="shared" si="952"/>
        <v>0</v>
      </c>
      <c r="BH534" s="125"/>
      <c r="BI534" s="125"/>
      <c r="BJ534" s="125">
        <f t="shared" si="953"/>
        <v>0</v>
      </c>
      <c r="BK534" s="125"/>
      <c r="BL534" s="312"/>
      <c r="BM534" s="317"/>
      <c r="BN534" s="320"/>
    </row>
    <row r="535" s="124" customFormat="1" ht="33.95" hidden="1" customHeight="1" outlineLevel="5" spans="2:66">
      <c r="B535" s="125" t="s">
        <v>792</v>
      </c>
      <c r="C535" s="126" t="s">
        <v>2049</v>
      </c>
      <c r="D535" s="124" t="s">
        <v>2050</v>
      </c>
      <c r="E535" s="125" t="s">
        <v>2051</v>
      </c>
      <c r="F535" s="125" t="s">
        <v>1618</v>
      </c>
      <c r="G535" s="125" t="s">
        <v>936</v>
      </c>
      <c r="H535" s="125">
        <f t="shared" si="939"/>
        <v>0</v>
      </c>
      <c r="I535" s="125" t="s">
        <v>1235</v>
      </c>
      <c r="J535" s="304"/>
      <c r="K535" s="125" t="s">
        <v>1389</v>
      </c>
      <c r="L535" s="125">
        <v>48</v>
      </c>
      <c r="M535" s="125" t="s">
        <v>1668</v>
      </c>
      <c r="N535" s="125">
        <f t="shared" si="940"/>
        <v>0</v>
      </c>
      <c r="O535" s="304"/>
      <c r="P535" s="304"/>
      <c r="Q535" s="304"/>
      <c r="R535" s="304"/>
      <c r="S535" s="304"/>
      <c r="T535" s="304"/>
      <c r="U535" s="304"/>
      <c r="V535" s="304"/>
      <c r="W535" s="304"/>
      <c r="X535" s="304"/>
      <c r="Y535" s="304"/>
      <c r="Z535" s="304"/>
      <c r="AA535" s="125"/>
      <c r="AB535" s="125">
        <f t="shared" si="941"/>
        <v>0</v>
      </c>
      <c r="AC535" s="125">
        <f t="shared" si="942"/>
        <v>0</v>
      </c>
      <c r="AD535" s="125"/>
      <c r="AE535" s="125"/>
      <c r="AF535" s="125">
        <f t="shared" si="943"/>
        <v>0</v>
      </c>
      <c r="AG535" s="125"/>
      <c r="AH535" s="125"/>
      <c r="AI535" s="125">
        <f t="shared" si="944"/>
        <v>0</v>
      </c>
      <c r="AJ535" s="125"/>
      <c r="AK535" s="125"/>
      <c r="AL535" s="125">
        <f t="shared" si="945"/>
        <v>0</v>
      </c>
      <c r="AM535" s="125"/>
      <c r="AN535" s="125"/>
      <c r="AO535" s="125">
        <f t="shared" si="946"/>
        <v>0</v>
      </c>
      <c r="AP535" s="125"/>
      <c r="AQ535" s="125"/>
      <c r="AR535" s="125">
        <f t="shared" si="947"/>
        <v>0</v>
      </c>
      <c r="AS535" s="125"/>
      <c r="AT535" s="125"/>
      <c r="AU535" s="125">
        <f t="shared" si="948"/>
        <v>0</v>
      </c>
      <c r="AV535" s="125"/>
      <c r="AW535" s="125"/>
      <c r="AX535" s="125">
        <f t="shared" si="949"/>
        <v>0</v>
      </c>
      <c r="AY535" s="125"/>
      <c r="AZ535" s="125"/>
      <c r="BA535" s="125">
        <f t="shared" si="950"/>
        <v>0</v>
      </c>
      <c r="BB535" s="125"/>
      <c r="BC535" s="125"/>
      <c r="BD535" s="125">
        <f t="shared" si="951"/>
        <v>0</v>
      </c>
      <c r="BE535" s="125"/>
      <c r="BF535" s="125"/>
      <c r="BG535" s="125">
        <f t="shared" si="952"/>
        <v>0</v>
      </c>
      <c r="BH535" s="125"/>
      <c r="BI535" s="125"/>
      <c r="BJ535" s="125">
        <f t="shared" si="953"/>
        <v>0</v>
      </c>
      <c r="BK535" s="125"/>
      <c r="BL535" s="312"/>
      <c r="BM535" s="317"/>
      <c r="BN535" s="320"/>
    </row>
    <row r="536" s="124" customFormat="1" ht="33.95" hidden="1" customHeight="1" outlineLevel="5" spans="2:66">
      <c r="B536" s="125" t="s">
        <v>792</v>
      </c>
      <c r="C536" s="126" t="s">
        <v>2052</v>
      </c>
      <c r="D536" s="124" t="s">
        <v>2053</v>
      </c>
      <c r="E536" s="125"/>
      <c r="F536" s="125" t="s">
        <v>1618</v>
      </c>
      <c r="G536" s="125" t="s">
        <v>936</v>
      </c>
      <c r="H536" s="125">
        <f t="shared" si="939"/>
        <v>0</v>
      </c>
      <c r="I536" s="125" t="s">
        <v>1235</v>
      </c>
      <c r="J536" s="304"/>
      <c r="K536" s="125" t="s">
        <v>1389</v>
      </c>
      <c r="L536" s="125">
        <v>20</v>
      </c>
      <c r="M536" s="125" t="s">
        <v>1668</v>
      </c>
      <c r="N536" s="125">
        <f t="shared" si="940"/>
        <v>0</v>
      </c>
      <c r="O536" s="304"/>
      <c r="P536" s="304"/>
      <c r="Q536" s="304"/>
      <c r="R536" s="304"/>
      <c r="S536" s="304"/>
      <c r="T536" s="304"/>
      <c r="U536" s="304"/>
      <c r="V536" s="304"/>
      <c r="W536" s="304"/>
      <c r="X536" s="304"/>
      <c r="Y536" s="304"/>
      <c r="Z536" s="304"/>
      <c r="AA536" s="125"/>
      <c r="AB536" s="125">
        <f t="shared" si="941"/>
        <v>0</v>
      </c>
      <c r="AC536" s="125">
        <f t="shared" si="942"/>
        <v>0</v>
      </c>
      <c r="AD536" s="125"/>
      <c r="AE536" s="125"/>
      <c r="AF536" s="125">
        <f t="shared" si="943"/>
        <v>0</v>
      </c>
      <c r="AG536" s="125"/>
      <c r="AH536" s="125"/>
      <c r="AI536" s="125">
        <f t="shared" si="944"/>
        <v>0</v>
      </c>
      <c r="AJ536" s="125"/>
      <c r="AK536" s="125"/>
      <c r="AL536" s="125">
        <f t="shared" si="945"/>
        <v>0</v>
      </c>
      <c r="AM536" s="125"/>
      <c r="AN536" s="125"/>
      <c r="AO536" s="125">
        <f t="shared" si="946"/>
        <v>0</v>
      </c>
      <c r="AP536" s="125"/>
      <c r="AQ536" s="125"/>
      <c r="AR536" s="125">
        <f t="shared" si="947"/>
        <v>0</v>
      </c>
      <c r="AS536" s="125"/>
      <c r="AT536" s="125"/>
      <c r="AU536" s="125">
        <f t="shared" si="948"/>
        <v>0</v>
      </c>
      <c r="AV536" s="125"/>
      <c r="AW536" s="125"/>
      <c r="AX536" s="125">
        <f t="shared" si="949"/>
        <v>0</v>
      </c>
      <c r="AY536" s="125"/>
      <c r="AZ536" s="125"/>
      <c r="BA536" s="125">
        <f t="shared" si="950"/>
        <v>0</v>
      </c>
      <c r="BB536" s="125"/>
      <c r="BC536" s="125"/>
      <c r="BD536" s="125">
        <f t="shared" si="951"/>
        <v>0</v>
      </c>
      <c r="BE536" s="125"/>
      <c r="BF536" s="125"/>
      <c r="BG536" s="125">
        <f t="shared" si="952"/>
        <v>0</v>
      </c>
      <c r="BH536" s="125"/>
      <c r="BI536" s="125"/>
      <c r="BJ536" s="125">
        <f t="shared" si="953"/>
        <v>0</v>
      </c>
      <c r="BK536" s="125"/>
      <c r="BL536" s="312"/>
      <c r="BM536" s="317"/>
      <c r="BN536" s="320"/>
    </row>
    <row r="537" s="124" customFormat="1" ht="33.95" hidden="1" customHeight="1" outlineLevel="5" spans="2:66">
      <c r="B537" s="125" t="s">
        <v>792</v>
      </c>
      <c r="C537" s="126" t="s">
        <v>2054</v>
      </c>
      <c r="D537" s="124" t="s">
        <v>2055</v>
      </c>
      <c r="E537" s="125" t="s">
        <v>2056</v>
      </c>
      <c r="F537" s="125" t="s">
        <v>1618</v>
      </c>
      <c r="G537" s="125" t="s">
        <v>936</v>
      </c>
      <c r="H537" s="125">
        <f t="shared" si="939"/>
        <v>0</v>
      </c>
      <c r="I537" s="125" t="s">
        <v>1235</v>
      </c>
      <c r="J537" s="304"/>
      <c r="K537" s="125" t="s">
        <v>1389</v>
      </c>
      <c r="L537" s="125">
        <v>590</v>
      </c>
      <c r="M537" s="125" t="s">
        <v>1668</v>
      </c>
      <c r="N537" s="125">
        <f t="shared" si="940"/>
        <v>0</v>
      </c>
      <c r="O537" s="304"/>
      <c r="P537" s="304"/>
      <c r="Q537" s="304"/>
      <c r="R537" s="304"/>
      <c r="S537" s="304"/>
      <c r="T537" s="304"/>
      <c r="U537" s="304"/>
      <c r="V537" s="304"/>
      <c r="W537" s="304"/>
      <c r="X537" s="304"/>
      <c r="Y537" s="304"/>
      <c r="Z537" s="304"/>
      <c r="AA537" s="125"/>
      <c r="AB537" s="125">
        <f t="shared" si="941"/>
        <v>0</v>
      </c>
      <c r="AC537" s="125">
        <f t="shared" si="942"/>
        <v>0</v>
      </c>
      <c r="AD537" s="125"/>
      <c r="AE537" s="125"/>
      <c r="AF537" s="125">
        <f t="shared" si="943"/>
        <v>0</v>
      </c>
      <c r="AG537" s="125"/>
      <c r="AH537" s="125"/>
      <c r="AI537" s="125">
        <f t="shared" si="944"/>
        <v>0</v>
      </c>
      <c r="AJ537" s="125"/>
      <c r="AK537" s="125"/>
      <c r="AL537" s="125">
        <f t="shared" si="945"/>
        <v>0</v>
      </c>
      <c r="AM537" s="125"/>
      <c r="AN537" s="125"/>
      <c r="AO537" s="125">
        <f t="shared" si="946"/>
        <v>0</v>
      </c>
      <c r="AP537" s="125"/>
      <c r="AQ537" s="125"/>
      <c r="AR537" s="125">
        <f t="shared" si="947"/>
        <v>0</v>
      </c>
      <c r="AS537" s="125"/>
      <c r="AT537" s="125"/>
      <c r="AU537" s="125">
        <f t="shared" si="948"/>
        <v>0</v>
      </c>
      <c r="AV537" s="125"/>
      <c r="AW537" s="125"/>
      <c r="AX537" s="125">
        <f t="shared" si="949"/>
        <v>0</v>
      </c>
      <c r="AY537" s="125"/>
      <c r="AZ537" s="125"/>
      <c r="BA537" s="125">
        <f t="shared" si="950"/>
        <v>0</v>
      </c>
      <c r="BB537" s="125"/>
      <c r="BC537" s="125"/>
      <c r="BD537" s="125">
        <f t="shared" si="951"/>
        <v>0</v>
      </c>
      <c r="BE537" s="125"/>
      <c r="BF537" s="125"/>
      <c r="BG537" s="125">
        <f t="shared" si="952"/>
        <v>0</v>
      </c>
      <c r="BH537" s="125"/>
      <c r="BI537" s="125"/>
      <c r="BJ537" s="125">
        <f t="shared" si="953"/>
        <v>0</v>
      </c>
      <c r="BK537" s="125"/>
      <c r="BL537" s="312"/>
      <c r="BM537" s="317"/>
      <c r="BN537" s="320"/>
    </row>
    <row r="538" s="124" customFormat="1" ht="33.95" hidden="1" customHeight="1" outlineLevel="5" spans="2:66">
      <c r="B538" s="125" t="s">
        <v>792</v>
      </c>
      <c r="C538" s="126" t="s">
        <v>2057</v>
      </c>
      <c r="D538" s="124" t="s">
        <v>2058</v>
      </c>
      <c r="E538" s="125" t="s">
        <v>2059</v>
      </c>
      <c r="F538" s="125" t="s">
        <v>1618</v>
      </c>
      <c r="G538" s="125" t="s">
        <v>936</v>
      </c>
      <c r="H538" s="125">
        <f t="shared" si="939"/>
        <v>0</v>
      </c>
      <c r="I538" s="125" t="s">
        <v>1235</v>
      </c>
      <c r="J538" s="304"/>
      <c r="K538" s="125" t="s">
        <v>1389</v>
      </c>
      <c r="L538" s="125">
        <v>7000</v>
      </c>
      <c r="M538" s="125" t="s">
        <v>1668</v>
      </c>
      <c r="N538" s="125">
        <f t="shared" si="940"/>
        <v>0</v>
      </c>
      <c r="O538" s="304"/>
      <c r="P538" s="304"/>
      <c r="Q538" s="304"/>
      <c r="R538" s="304"/>
      <c r="S538" s="304"/>
      <c r="T538" s="304"/>
      <c r="U538" s="304"/>
      <c r="V538" s="304"/>
      <c r="W538" s="304"/>
      <c r="X538" s="304"/>
      <c r="Y538" s="304"/>
      <c r="Z538" s="304"/>
      <c r="AA538" s="125"/>
      <c r="AB538" s="125">
        <f t="shared" si="941"/>
        <v>0</v>
      </c>
      <c r="AC538" s="125">
        <f t="shared" si="942"/>
        <v>0</v>
      </c>
      <c r="AD538" s="125"/>
      <c r="AE538" s="125"/>
      <c r="AF538" s="125">
        <f t="shared" si="943"/>
        <v>0</v>
      </c>
      <c r="AG538" s="125"/>
      <c r="AH538" s="125"/>
      <c r="AI538" s="125">
        <f t="shared" si="944"/>
        <v>0</v>
      </c>
      <c r="AJ538" s="125"/>
      <c r="AK538" s="125"/>
      <c r="AL538" s="125">
        <f t="shared" si="945"/>
        <v>0</v>
      </c>
      <c r="AM538" s="125"/>
      <c r="AN538" s="125"/>
      <c r="AO538" s="125">
        <f t="shared" si="946"/>
        <v>0</v>
      </c>
      <c r="AP538" s="125"/>
      <c r="AQ538" s="125"/>
      <c r="AR538" s="125">
        <f t="shared" si="947"/>
        <v>0</v>
      </c>
      <c r="AS538" s="125"/>
      <c r="AT538" s="125"/>
      <c r="AU538" s="125">
        <f t="shared" si="948"/>
        <v>0</v>
      </c>
      <c r="AV538" s="125"/>
      <c r="AW538" s="125"/>
      <c r="AX538" s="125">
        <f t="shared" si="949"/>
        <v>0</v>
      </c>
      <c r="AY538" s="125"/>
      <c r="AZ538" s="125"/>
      <c r="BA538" s="125">
        <f t="shared" si="950"/>
        <v>0</v>
      </c>
      <c r="BB538" s="125"/>
      <c r="BC538" s="125"/>
      <c r="BD538" s="125">
        <f t="shared" si="951"/>
        <v>0</v>
      </c>
      <c r="BE538" s="125"/>
      <c r="BF538" s="125"/>
      <c r="BG538" s="125">
        <f t="shared" si="952"/>
        <v>0</v>
      </c>
      <c r="BH538" s="125"/>
      <c r="BI538" s="125"/>
      <c r="BJ538" s="125">
        <f t="shared" si="953"/>
        <v>0</v>
      </c>
      <c r="BK538" s="125"/>
      <c r="BL538" s="312"/>
      <c r="BM538" s="317"/>
      <c r="BN538" s="320"/>
    </row>
    <row r="539" s="124" customFormat="1" ht="33.95" hidden="1" customHeight="1" outlineLevel="5" spans="2:66">
      <c r="B539" s="125" t="s">
        <v>792</v>
      </c>
      <c r="C539" s="126" t="s">
        <v>2060</v>
      </c>
      <c r="D539" s="124" t="s">
        <v>2061</v>
      </c>
      <c r="E539" s="125" t="s">
        <v>2062</v>
      </c>
      <c r="F539" s="125" t="s">
        <v>1618</v>
      </c>
      <c r="G539" s="125" t="s">
        <v>936</v>
      </c>
      <c r="H539" s="125">
        <f t="shared" si="939"/>
        <v>0</v>
      </c>
      <c r="I539" s="125" t="s">
        <v>1235</v>
      </c>
      <c r="J539" s="304"/>
      <c r="K539" s="125" t="s">
        <v>1942</v>
      </c>
      <c r="L539" s="125">
        <v>783</v>
      </c>
      <c r="M539" s="125" t="s">
        <v>1943</v>
      </c>
      <c r="N539" s="125">
        <f t="shared" si="940"/>
        <v>0</v>
      </c>
      <c r="O539" s="322"/>
      <c r="P539" s="322"/>
      <c r="Q539" s="322"/>
      <c r="R539" s="322"/>
      <c r="S539" s="322"/>
      <c r="T539" s="322"/>
      <c r="U539" s="322"/>
      <c r="V539" s="322"/>
      <c r="W539" s="322"/>
      <c r="X539" s="322"/>
      <c r="Y539" s="322"/>
      <c r="Z539" s="322"/>
      <c r="AA539" s="125"/>
      <c r="AB539" s="125">
        <f t="shared" si="941"/>
        <v>0</v>
      </c>
      <c r="AC539" s="125">
        <f t="shared" si="942"/>
        <v>0</v>
      </c>
      <c r="AD539" s="125"/>
      <c r="AE539" s="125"/>
      <c r="AF539" s="125">
        <f t="shared" si="943"/>
        <v>0</v>
      </c>
      <c r="AG539" s="125"/>
      <c r="AH539" s="125"/>
      <c r="AI539" s="125">
        <f t="shared" si="944"/>
        <v>0</v>
      </c>
      <c r="AJ539" s="125"/>
      <c r="AK539" s="125"/>
      <c r="AL539" s="125">
        <f t="shared" si="945"/>
        <v>0</v>
      </c>
      <c r="AM539" s="125"/>
      <c r="AN539" s="125"/>
      <c r="AO539" s="125">
        <f t="shared" si="946"/>
        <v>0</v>
      </c>
      <c r="AP539" s="125"/>
      <c r="AQ539" s="125"/>
      <c r="AR539" s="125">
        <f t="shared" si="947"/>
        <v>0</v>
      </c>
      <c r="AS539" s="125"/>
      <c r="AT539" s="125"/>
      <c r="AU539" s="125">
        <f t="shared" si="948"/>
        <v>0</v>
      </c>
      <c r="AV539" s="125"/>
      <c r="AW539" s="125"/>
      <c r="AX539" s="125">
        <f t="shared" si="949"/>
        <v>0</v>
      </c>
      <c r="AY539" s="125"/>
      <c r="AZ539" s="125"/>
      <c r="BA539" s="125">
        <f t="shared" si="950"/>
        <v>0</v>
      </c>
      <c r="BB539" s="125"/>
      <c r="BC539" s="125"/>
      <c r="BD539" s="125">
        <f t="shared" si="951"/>
        <v>0</v>
      </c>
      <c r="BE539" s="125"/>
      <c r="BF539" s="125"/>
      <c r="BG539" s="125">
        <f t="shared" si="952"/>
        <v>0</v>
      </c>
      <c r="BH539" s="125"/>
      <c r="BI539" s="125"/>
      <c r="BJ539" s="125">
        <f t="shared" si="953"/>
        <v>0</v>
      </c>
      <c r="BK539" s="125"/>
      <c r="BL539" s="312"/>
      <c r="BM539" s="317"/>
      <c r="BN539" s="320"/>
    </row>
    <row r="540" s="14" customFormat="1" ht="33.95" hidden="1" customHeight="1" outlineLevel="2" spans="2:66">
      <c r="B540" s="118" t="s">
        <v>787</v>
      </c>
      <c r="C540" s="119" t="s">
        <v>2063</v>
      </c>
      <c r="D540" s="14" t="s">
        <v>2064</v>
      </c>
      <c r="E540" s="118"/>
      <c r="F540" s="118"/>
      <c r="G540" s="118"/>
      <c r="H540" s="118">
        <f>H541+H552+H570+H581</f>
        <v>0</v>
      </c>
      <c r="I540" s="118"/>
      <c r="J540" s="118"/>
      <c r="K540" s="118"/>
      <c r="L540" s="118"/>
      <c r="M540" s="118"/>
      <c r="N540" s="310"/>
      <c r="O540" s="293"/>
      <c r="P540" s="293"/>
      <c r="Q540" s="293"/>
      <c r="R540" s="293"/>
      <c r="S540" s="293"/>
      <c r="T540" s="293"/>
      <c r="U540" s="293"/>
      <c r="V540" s="293"/>
      <c r="W540" s="293"/>
      <c r="X540" s="293"/>
      <c r="Y540" s="293"/>
      <c r="Z540" s="293"/>
      <c r="AA540" s="293"/>
      <c r="AB540" s="118">
        <f t="shared" ref="AB540:AF540" si="954">AB541+AB552+AB570+AB581</f>
        <v>0</v>
      </c>
      <c r="AC540" s="118">
        <f t="shared" si="954"/>
        <v>0</v>
      </c>
      <c r="AD540" s="118"/>
      <c r="AE540" s="118"/>
      <c r="AF540" s="118">
        <f t="shared" si="954"/>
        <v>0</v>
      </c>
      <c r="AG540" s="118"/>
      <c r="AH540" s="118"/>
      <c r="AI540" s="118">
        <f>AI541+AI552+AI570+AI581</f>
        <v>0</v>
      </c>
      <c r="AJ540" s="118"/>
      <c r="AK540" s="118"/>
      <c r="AL540" s="118">
        <f>AL541+AL552+AL570+AL581</f>
        <v>0</v>
      </c>
      <c r="AM540" s="118"/>
      <c r="AN540" s="118"/>
      <c r="AO540" s="118">
        <f>AO541+AO552+AO570+AO581</f>
        <v>0</v>
      </c>
      <c r="AP540" s="118"/>
      <c r="AQ540" s="118"/>
      <c r="AR540" s="118">
        <f>AR541+AR552+AR570+AR581</f>
        <v>0</v>
      </c>
      <c r="AS540" s="118"/>
      <c r="AT540" s="118"/>
      <c r="AU540" s="118">
        <f>AU541+AU552+AU570+AU581</f>
        <v>0</v>
      </c>
      <c r="AV540" s="118"/>
      <c r="AW540" s="118"/>
      <c r="AX540" s="118">
        <f>AX541+AX552+AX570+AX581</f>
        <v>0</v>
      </c>
      <c r="AY540" s="118"/>
      <c r="AZ540" s="118"/>
      <c r="BA540" s="118">
        <f>BA541+BA552+BA570+BA581</f>
        <v>0</v>
      </c>
      <c r="BB540" s="118"/>
      <c r="BC540" s="118"/>
      <c r="BD540" s="118">
        <f>BD541+BD552+BD570+BD581</f>
        <v>0</v>
      </c>
      <c r="BE540" s="118"/>
      <c r="BF540" s="118"/>
      <c r="BG540" s="118">
        <f>BG541+BG552+BG570+BG581</f>
        <v>0</v>
      </c>
      <c r="BH540" s="118"/>
      <c r="BI540" s="118"/>
      <c r="BJ540" s="118">
        <f>BJ541+BJ552+BJ570+BJ581</f>
        <v>0</v>
      </c>
      <c r="BK540" s="118"/>
      <c r="BL540" s="310"/>
      <c r="BM540" s="317"/>
      <c r="BN540" s="318"/>
    </row>
    <row r="541" s="43" customFormat="1" ht="33.95" hidden="1" customHeight="1" outlineLevel="3" spans="2:66">
      <c r="B541" s="121" t="s">
        <v>787</v>
      </c>
      <c r="C541" s="122" t="s">
        <v>2065</v>
      </c>
      <c r="D541" s="43" t="s">
        <v>2066</v>
      </c>
      <c r="E541" s="121"/>
      <c r="F541" s="121"/>
      <c r="G541" s="121"/>
      <c r="H541" s="121">
        <f>SUM(H542:H551)</f>
        <v>0</v>
      </c>
      <c r="I541" s="121"/>
      <c r="J541" s="121"/>
      <c r="K541" s="121"/>
      <c r="L541" s="121"/>
      <c r="M541" s="121"/>
      <c r="N541" s="311"/>
      <c r="O541" s="294"/>
      <c r="P541" s="294"/>
      <c r="Q541" s="294"/>
      <c r="R541" s="294"/>
      <c r="S541" s="294"/>
      <c r="T541" s="294"/>
      <c r="U541" s="294"/>
      <c r="V541" s="294"/>
      <c r="W541" s="294"/>
      <c r="X541" s="294"/>
      <c r="Y541" s="294"/>
      <c r="Z541" s="294"/>
      <c r="AA541" s="294"/>
      <c r="AB541" s="121">
        <f t="shared" ref="AB541:AF541" si="955">SUM(AB542:AB551)</f>
        <v>0</v>
      </c>
      <c r="AC541" s="121">
        <f t="shared" si="955"/>
        <v>0</v>
      </c>
      <c r="AD541" s="121"/>
      <c r="AE541" s="121"/>
      <c r="AF541" s="121">
        <f t="shared" si="955"/>
        <v>0</v>
      </c>
      <c r="AG541" s="121"/>
      <c r="AH541" s="121"/>
      <c r="AI541" s="121">
        <f>SUM(AI542:AI551)</f>
        <v>0</v>
      </c>
      <c r="AJ541" s="121"/>
      <c r="AK541" s="121"/>
      <c r="AL541" s="121">
        <f>SUM(AL542:AL551)</f>
        <v>0</v>
      </c>
      <c r="AM541" s="121"/>
      <c r="AN541" s="121"/>
      <c r="AO541" s="121">
        <f>SUM(AO542:AO551)</f>
        <v>0</v>
      </c>
      <c r="AP541" s="121"/>
      <c r="AQ541" s="121"/>
      <c r="AR541" s="121">
        <f>SUM(AR542:AR551)</f>
        <v>0</v>
      </c>
      <c r="AS541" s="121"/>
      <c r="AT541" s="121"/>
      <c r="AU541" s="121">
        <f>SUM(AU542:AU551)</f>
        <v>0</v>
      </c>
      <c r="AV541" s="121"/>
      <c r="AW541" s="121"/>
      <c r="AX541" s="121">
        <f>SUM(AX542:AX551)</f>
        <v>0</v>
      </c>
      <c r="AY541" s="121"/>
      <c r="AZ541" s="121"/>
      <c r="BA541" s="121">
        <f>SUM(BA542:BA551)</f>
        <v>0</v>
      </c>
      <c r="BB541" s="121"/>
      <c r="BC541" s="121"/>
      <c r="BD541" s="121">
        <f>SUM(BD542:BD551)</f>
        <v>0</v>
      </c>
      <c r="BE541" s="121"/>
      <c r="BF541" s="121"/>
      <c r="BG541" s="121">
        <f>SUM(BG542:BG551)</f>
        <v>0</v>
      </c>
      <c r="BH541" s="121"/>
      <c r="BI541" s="121"/>
      <c r="BJ541" s="121">
        <f>SUM(BJ542:BJ551)</f>
        <v>0</v>
      </c>
      <c r="BK541" s="121"/>
      <c r="BL541" s="311"/>
      <c r="BM541" s="317"/>
      <c r="BN541" s="319"/>
    </row>
    <row r="542" s="124" customFormat="1" ht="33.95" hidden="1" customHeight="1" outlineLevel="5" spans="2:66">
      <c r="B542" s="125" t="s">
        <v>792</v>
      </c>
      <c r="C542" s="126" t="s">
        <v>2067</v>
      </c>
      <c r="D542" s="124" t="s">
        <v>2068</v>
      </c>
      <c r="E542" s="125" t="s">
        <v>2069</v>
      </c>
      <c r="F542" s="125" t="s">
        <v>1618</v>
      </c>
      <c r="G542" s="125" t="s">
        <v>936</v>
      </c>
      <c r="H542" s="125">
        <f t="shared" ref="H542:H551" si="956">J542*L542</f>
        <v>0</v>
      </c>
      <c r="I542" s="125" t="s">
        <v>1235</v>
      </c>
      <c r="J542" s="304"/>
      <c r="K542" s="125" t="s">
        <v>1975</v>
      </c>
      <c r="L542" s="125">
        <v>280</v>
      </c>
      <c r="M542" s="125" t="s">
        <v>1976</v>
      </c>
      <c r="N542" s="125">
        <f t="shared" ref="N542:N551" si="957">COUNTA(O542:Z542)</f>
        <v>0</v>
      </c>
      <c r="O542" s="323"/>
      <c r="P542" s="323"/>
      <c r="Q542" s="323"/>
      <c r="R542" s="323"/>
      <c r="S542" s="323"/>
      <c r="T542" s="323"/>
      <c r="U542" s="323"/>
      <c r="V542" s="323"/>
      <c r="W542" s="323"/>
      <c r="X542" s="323"/>
      <c r="Y542" s="323"/>
      <c r="Z542" s="323"/>
      <c r="AA542" s="125"/>
      <c r="AB542" s="125">
        <f t="shared" ref="AB542:AB551" si="958">SUM(AC542,AF542,AI542,AL542,AO542,AR542,AU542,AX542,BA542,BD542,BG542,BJ542)</f>
        <v>0</v>
      </c>
      <c r="AC542" s="125">
        <f t="shared" ref="AC542:AC551" si="959">IF(O542="√",$J542*$L542/$N542,0)</f>
        <v>0</v>
      </c>
      <c r="AD542" s="125"/>
      <c r="AE542" s="125"/>
      <c r="AF542" s="125">
        <f t="shared" ref="AF542:AF551" si="960">IF(P542="√",$J542*$L542/$N542,0)</f>
        <v>0</v>
      </c>
      <c r="AG542" s="125"/>
      <c r="AH542" s="125"/>
      <c r="AI542" s="125">
        <f t="shared" ref="AI542:AI551" si="961">IF(Q542="√",$J542*$L542/$N542,0)</f>
        <v>0</v>
      </c>
      <c r="AJ542" s="125"/>
      <c r="AK542" s="125"/>
      <c r="AL542" s="125">
        <f t="shared" ref="AL542:AL551" si="962">IF(R542="√",$J542*$L542/$N542,0)</f>
        <v>0</v>
      </c>
      <c r="AM542" s="125"/>
      <c r="AN542" s="125"/>
      <c r="AO542" s="125">
        <f t="shared" ref="AO542:AO551" si="963">IF(S542="√",$J542*$L542/$N542,0)</f>
        <v>0</v>
      </c>
      <c r="AP542" s="125"/>
      <c r="AQ542" s="125"/>
      <c r="AR542" s="125">
        <f t="shared" ref="AR542:AR551" si="964">IF(T542="√",$J542*$L542/$N542,0)</f>
        <v>0</v>
      </c>
      <c r="AS542" s="125"/>
      <c r="AT542" s="125"/>
      <c r="AU542" s="125">
        <f t="shared" ref="AU542:AU551" si="965">IF(U542="√",$J542*$L542/$N542,0)</f>
        <v>0</v>
      </c>
      <c r="AV542" s="125"/>
      <c r="AW542" s="125"/>
      <c r="AX542" s="125">
        <f t="shared" ref="AX542:AX551" si="966">IF(V542="√",$J542*$L542/$N542,0)</f>
        <v>0</v>
      </c>
      <c r="AY542" s="125"/>
      <c r="AZ542" s="125"/>
      <c r="BA542" s="125">
        <f t="shared" ref="BA542:BA551" si="967">IF(W542="√",$J542*$L542/$N542,0)</f>
        <v>0</v>
      </c>
      <c r="BB542" s="125"/>
      <c r="BC542" s="125"/>
      <c r="BD542" s="125">
        <f t="shared" ref="BD542:BD551" si="968">IF(X542="√",$J542*$L542/$N542,0)</f>
        <v>0</v>
      </c>
      <c r="BE542" s="125"/>
      <c r="BF542" s="125"/>
      <c r="BG542" s="125">
        <f t="shared" ref="BG542:BG551" si="969">IF(Y542="√",$J542*$L542/$N542,0)</f>
        <v>0</v>
      </c>
      <c r="BH542" s="125"/>
      <c r="BI542" s="125"/>
      <c r="BJ542" s="125">
        <f t="shared" ref="BJ542:BJ551" si="970">IF(Z542="√",$J542*$L542/$N542,0)</f>
        <v>0</v>
      </c>
      <c r="BK542" s="125"/>
      <c r="BL542" s="312"/>
      <c r="BM542" s="317"/>
      <c r="BN542" s="320"/>
    </row>
    <row r="543" s="124" customFormat="1" ht="33.95" hidden="1" customHeight="1" outlineLevel="5" spans="2:66">
      <c r="B543" s="125" t="s">
        <v>792</v>
      </c>
      <c r="C543" s="126" t="s">
        <v>2070</v>
      </c>
      <c r="D543" s="124" t="s">
        <v>2071</v>
      </c>
      <c r="E543" s="125" t="s">
        <v>2072</v>
      </c>
      <c r="F543" s="125" t="s">
        <v>1618</v>
      </c>
      <c r="G543" s="125" t="s">
        <v>936</v>
      </c>
      <c r="H543" s="125">
        <f t="shared" si="956"/>
        <v>0</v>
      </c>
      <c r="I543" s="125" t="s">
        <v>1235</v>
      </c>
      <c r="J543" s="304"/>
      <c r="K543" s="125" t="s">
        <v>1389</v>
      </c>
      <c r="L543" s="125">
        <v>252</v>
      </c>
      <c r="M543" s="125" t="s">
        <v>1668</v>
      </c>
      <c r="N543" s="125">
        <f t="shared" si="957"/>
        <v>0</v>
      </c>
      <c r="O543" s="304"/>
      <c r="P543" s="304"/>
      <c r="Q543" s="304"/>
      <c r="R543" s="304"/>
      <c r="S543" s="304"/>
      <c r="T543" s="304"/>
      <c r="U543" s="304"/>
      <c r="V543" s="304"/>
      <c r="W543" s="304"/>
      <c r="X543" s="304"/>
      <c r="Y543" s="304"/>
      <c r="Z543" s="304"/>
      <c r="AA543" s="125"/>
      <c r="AB543" s="125">
        <f t="shared" si="958"/>
        <v>0</v>
      </c>
      <c r="AC543" s="125">
        <f t="shared" si="959"/>
        <v>0</v>
      </c>
      <c r="AD543" s="125"/>
      <c r="AE543" s="125"/>
      <c r="AF543" s="125">
        <f t="shared" si="960"/>
        <v>0</v>
      </c>
      <c r="AG543" s="125"/>
      <c r="AH543" s="125"/>
      <c r="AI543" s="125">
        <f t="shared" si="961"/>
        <v>0</v>
      </c>
      <c r="AJ543" s="125"/>
      <c r="AK543" s="125"/>
      <c r="AL543" s="125">
        <f t="shared" si="962"/>
        <v>0</v>
      </c>
      <c r="AM543" s="125"/>
      <c r="AN543" s="125"/>
      <c r="AO543" s="125">
        <f t="shared" si="963"/>
        <v>0</v>
      </c>
      <c r="AP543" s="125"/>
      <c r="AQ543" s="125"/>
      <c r="AR543" s="125">
        <f t="shared" si="964"/>
        <v>0</v>
      </c>
      <c r="AS543" s="125"/>
      <c r="AT543" s="125"/>
      <c r="AU543" s="125">
        <f t="shared" si="965"/>
        <v>0</v>
      </c>
      <c r="AV543" s="125"/>
      <c r="AW543" s="125"/>
      <c r="AX543" s="125">
        <f t="shared" si="966"/>
        <v>0</v>
      </c>
      <c r="AY543" s="125"/>
      <c r="AZ543" s="125"/>
      <c r="BA543" s="125">
        <f t="shared" si="967"/>
        <v>0</v>
      </c>
      <c r="BB543" s="125"/>
      <c r="BC543" s="125"/>
      <c r="BD543" s="125">
        <f t="shared" si="968"/>
        <v>0</v>
      </c>
      <c r="BE543" s="125"/>
      <c r="BF543" s="125"/>
      <c r="BG543" s="125">
        <f t="shared" si="969"/>
        <v>0</v>
      </c>
      <c r="BH543" s="125"/>
      <c r="BI543" s="125"/>
      <c r="BJ543" s="125">
        <f t="shared" si="970"/>
        <v>0</v>
      </c>
      <c r="BK543" s="125"/>
      <c r="BL543" s="312"/>
      <c r="BM543" s="317"/>
      <c r="BN543" s="320"/>
    </row>
    <row r="544" s="124" customFormat="1" ht="33.95" hidden="1" customHeight="1" outlineLevel="5" spans="2:66">
      <c r="B544" s="125" t="s">
        <v>792</v>
      </c>
      <c r="C544" s="126" t="s">
        <v>2073</v>
      </c>
      <c r="D544" s="124" t="s">
        <v>1777</v>
      </c>
      <c r="E544" s="125"/>
      <c r="F544" s="125" t="s">
        <v>1618</v>
      </c>
      <c r="G544" s="125" t="s">
        <v>936</v>
      </c>
      <c r="H544" s="125">
        <f t="shared" si="956"/>
        <v>0</v>
      </c>
      <c r="I544" s="125" t="s">
        <v>1235</v>
      </c>
      <c r="J544" s="304"/>
      <c r="K544" s="125" t="s">
        <v>1975</v>
      </c>
      <c r="L544" s="125">
        <v>7000</v>
      </c>
      <c r="M544" s="125" t="s">
        <v>1976</v>
      </c>
      <c r="N544" s="125">
        <f t="shared" si="957"/>
        <v>0</v>
      </c>
      <c r="O544" s="304"/>
      <c r="P544" s="304"/>
      <c r="Q544" s="304"/>
      <c r="R544" s="304"/>
      <c r="S544" s="304"/>
      <c r="T544" s="304"/>
      <c r="U544" s="304"/>
      <c r="V544" s="304"/>
      <c r="W544" s="304"/>
      <c r="X544" s="304"/>
      <c r="Y544" s="304"/>
      <c r="Z544" s="304"/>
      <c r="AA544" s="125"/>
      <c r="AB544" s="125">
        <f t="shared" si="958"/>
        <v>0</v>
      </c>
      <c r="AC544" s="125">
        <f t="shared" si="959"/>
        <v>0</v>
      </c>
      <c r="AD544" s="125"/>
      <c r="AE544" s="125"/>
      <c r="AF544" s="125">
        <f t="shared" si="960"/>
        <v>0</v>
      </c>
      <c r="AG544" s="125"/>
      <c r="AH544" s="125"/>
      <c r="AI544" s="125">
        <f t="shared" si="961"/>
        <v>0</v>
      </c>
      <c r="AJ544" s="125"/>
      <c r="AK544" s="125"/>
      <c r="AL544" s="125">
        <f t="shared" si="962"/>
        <v>0</v>
      </c>
      <c r="AM544" s="125"/>
      <c r="AN544" s="125"/>
      <c r="AO544" s="125">
        <f t="shared" si="963"/>
        <v>0</v>
      </c>
      <c r="AP544" s="125"/>
      <c r="AQ544" s="125"/>
      <c r="AR544" s="125">
        <f t="shared" si="964"/>
        <v>0</v>
      </c>
      <c r="AS544" s="125"/>
      <c r="AT544" s="125"/>
      <c r="AU544" s="125">
        <f t="shared" si="965"/>
        <v>0</v>
      </c>
      <c r="AV544" s="125"/>
      <c r="AW544" s="125"/>
      <c r="AX544" s="125">
        <f t="shared" si="966"/>
        <v>0</v>
      </c>
      <c r="AY544" s="125"/>
      <c r="AZ544" s="125"/>
      <c r="BA544" s="125">
        <f t="shared" si="967"/>
        <v>0</v>
      </c>
      <c r="BB544" s="125"/>
      <c r="BC544" s="125"/>
      <c r="BD544" s="125">
        <f t="shared" si="968"/>
        <v>0</v>
      </c>
      <c r="BE544" s="125"/>
      <c r="BF544" s="125"/>
      <c r="BG544" s="125">
        <f t="shared" si="969"/>
        <v>0</v>
      </c>
      <c r="BH544" s="125"/>
      <c r="BI544" s="125"/>
      <c r="BJ544" s="125">
        <f t="shared" si="970"/>
        <v>0</v>
      </c>
      <c r="BK544" s="125"/>
      <c r="BL544" s="312"/>
      <c r="BM544" s="317"/>
      <c r="BN544" s="320"/>
    </row>
    <row r="545" s="124" customFormat="1" ht="33.95" hidden="1" customHeight="1" outlineLevel="5" spans="2:66">
      <c r="B545" s="125" t="s">
        <v>792</v>
      </c>
      <c r="C545" s="126" t="s">
        <v>2074</v>
      </c>
      <c r="D545" s="124" t="s">
        <v>2075</v>
      </c>
      <c r="E545" s="125"/>
      <c r="F545" s="125" t="s">
        <v>1618</v>
      </c>
      <c r="G545" s="125" t="s">
        <v>936</v>
      </c>
      <c r="H545" s="125">
        <f t="shared" si="956"/>
        <v>0</v>
      </c>
      <c r="I545" s="125" t="s">
        <v>1235</v>
      </c>
      <c r="J545" s="304"/>
      <c r="K545" s="125" t="s">
        <v>1143</v>
      </c>
      <c r="L545" s="125">
        <v>36500</v>
      </c>
      <c r="M545" s="125" t="s">
        <v>1763</v>
      </c>
      <c r="N545" s="125">
        <f t="shared" si="957"/>
        <v>0</v>
      </c>
      <c r="O545" s="304"/>
      <c r="P545" s="304"/>
      <c r="Q545" s="304"/>
      <c r="R545" s="304"/>
      <c r="S545" s="304"/>
      <c r="T545" s="304"/>
      <c r="U545" s="304"/>
      <c r="V545" s="304"/>
      <c r="W545" s="304"/>
      <c r="X545" s="304"/>
      <c r="Y545" s="304"/>
      <c r="Z545" s="304"/>
      <c r="AA545" s="125"/>
      <c r="AB545" s="125">
        <f t="shared" si="958"/>
        <v>0</v>
      </c>
      <c r="AC545" s="125">
        <f t="shared" si="959"/>
        <v>0</v>
      </c>
      <c r="AD545" s="125"/>
      <c r="AE545" s="125"/>
      <c r="AF545" s="125">
        <f t="shared" si="960"/>
        <v>0</v>
      </c>
      <c r="AG545" s="125"/>
      <c r="AH545" s="125"/>
      <c r="AI545" s="125">
        <f t="shared" si="961"/>
        <v>0</v>
      </c>
      <c r="AJ545" s="125"/>
      <c r="AK545" s="125"/>
      <c r="AL545" s="125">
        <f t="shared" si="962"/>
        <v>0</v>
      </c>
      <c r="AM545" s="125"/>
      <c r="AN545" s="125"/>
      <c r="AO545" s="125">
        <f t="shared" si="963"/>
        <v>0</v>
      </c>
      <c r="AP545" s="125"/>
      <c r="AQ545" s="125"/>
      <c r="AR545" s="125">
        <f t="shared" si="964"/>
        <v>0</v>
      </c>
      <c r="AS545" s="125"/>
      <c r="AT545" s="125"/>
      <c r="AU545" s="125">
        <f t="shared" si="965"/>
        <v>0</v>
      </c>
      <c r="AV545" s="125"/>
      <c r="AW545" s="125"/>
      <c r="AX545" s="125">
        <f t="shared" si="966"/>
        <v>0</v>
      </c>
      <c r="AY545" s="125"/>
      <c r="AZ545" s="125"/>
      <c r="BA545" s="125">
        <f t="shared" si="967"/>
        <v>0</v>
      </c>
      <c r="BB545" s="125"/>
      <c r="BC545" s="125"/>
      <c r="BD545" s="125">
        <f t="shared" si="968"/>
        <v>0</v>
      </c>
      <c r="BE545" s="125"/>
      <c r="BF545" s="125"/>
      <c r="BG545" s="125">
        <f t="shared" si="969"/>
        <v>0</v>
      </c>
      <c r="BH545" s="125"/>
      <c r="BI545" s="125"/>
      <c r="BJ545" s="125">
        <f t="shared" si="970"/>
        <v>0</v>
      </c>
      <c r="BK545" s="125"/>
      <c r="BL545" s="312"/>
      <c r="BM545" s="317"/>
      <c r="BN545" s="320"/>
    </row>
    <row r="546" s="124" customFormat="1" ht="33.95" hidden="1" customHeight="1" outlineLevel="5" spans="2:66">
      <c r="B546" s="125" t="s">
        <v>792</v>
      </c>
      <c r="C546" s="126" t="s">
        <v>2076</v>
      </c>
      <c r="D546" s="124" t="s">
        <v>2077</v>
      </c>
      <c r="E546" s="125"/>
      <c r="F546" s="125" t="s">
        <v>1618</v>
      </c>
      <c r="G546" s="125" t="s">
        <v>936</v>
      </c>
      <c r="H546" s="125">
        <f t="shared" si="956"/>
        <v>0</v>
      </c>
      <c r="I546" s="125" t="s">
        <v>1235</v>
      </c>
      <c r="J546" s="304"/>
      <c r="K546" s="125" t="s">
        <v>1143</v>
      </c>
      <c r="L546" s="125">
        <v>1400</v>
      </c>
      <c r="M546" s="125" t="s">
        <v>1763</v>
      </c>
      <c r="N546" s="125">
        <f t="shared" si="957"/>
        <v>0</v>
      </c>
      <c r="O546" s="304"/>
      <c r="P546" s="304"/>
      <c r="Q546" s="304"/>
      <c r="R546" s="304"/>
      <c r="S546" s="304"/>
      <c r="T546" s="304"/>
      <c r="U546" s="304"/>
      <c r="V546" s="304"/>
      <c r="W546" s="304"/>
      <c r="X546" s="304"/>
      <c r="Y546" s="304"/>
      <c r="Z546" s="304"/>
      <c r="AA546" s="125"/>
      <c r="AB546" s="125">
        <f t="shared" si="958"/>
        <v>0</v>
      </c>
      <c r="AC546" s="125">
        <f t="shared" si="959"/>
        <v>0</v>
      </c>
      <c r="AD546" s="125"/>
      <c r="AE546" s="125"/>
      <c r="AF546" s="125">
        <f t="shared" si="960"/>
        <v>0</v>
      </c>
      <c r="AG546" s="125"/>
      <c r="AH546" s="125"/>
      <c r="AI546" s="125">
        <f t="shared" si="961"/>
        <v>0</v>
      </c>
      <c r="AJ546" s="125"/>
      <c r="AK546" s="125"/>
      <c r="AL546" s="125">
        <f t="shared" si="962"/>
        <v>0</v>
      </c>
      <c r="AM546" s="125"/>
      <c r="AN546" s="125"/>
      <c r="AO546" s="125">
        <f t="shared" si="963"/>
        <v>0</v>
      </c>
      <c r="AP546" s="125"/>
      <c r="AQ546" s="125"/>
      <c r="AR546" s="125">
        <f t="shared" si="964"/>
        <v>0</v>
      </c>
      <c r="AS546" s="125"/>
      <c r="AT546" s="125"/>
      <c r="AU546" s="125">
        <f t="shared" si="965"/>
        <v>0</v>
      </c>
      <c r="AV546" s="125"/>
      <c r="AW546" s="125"/>
      <c r="AX546" s="125">
        <f t="shared" si="966"/>
        <v>0</v>
      </c>
      <c r="AY546" s="125"/>
      <c r="AZ546" s="125"/>
      <c r="BA546" s="125">
        <f t="shared" si="967"/>
        <v>0</v>
      </c>
      <c r="BB546" s="125"/>
      <c r="BC546" s="125"/>
      <c r="BD546" s="125">
        <f t="shared" si="968"/>
        <v>0</v>
      </c>
      <c r="BE546" s="125"/>
      <c r="BF546" s="125"/>
      <c r="BG546" s="125">
        <f t="shared" si="969"/>
        <v>0</v>
      </c>
      <c r="BH546" s="125"/>
      <c r="BI546" s="125"/>
      <c r="BJ546" s="125">
        <f t="shared" si="970"/>
        <v>0</v>
      </c>
      <c r="BK546" s="125"/>
      <c r="BL546" s="312"/>
      <c r="BM546" s="317"/>
      <c r="BN546" s="320"/>
    </row>
    <row r="547" s="124" customFormat="1" ht="33.95" hidden="1" customHeight="1" outlineLevel="5" spans="2:66">
      <c r="B547" s="125" t="s">
        <v>792</v>
      </c>
      <c r="C547" s="126" t="s">
        <v>2078</v>
      </c>
      <c r="D547" s="124" t="s">
        <v>2079</v>
      </c>
      <c r="E547" s="125"/>
      <c r="F547" s="125" t="s">
        <v>1618</v>
      </c>
      <c r="G547" s="125" t="s">
        <v>936</v>
      </c>
      <c r="H547" s="125">
        <f t="shared" si="956"/>
        <v>0</v>
      </c>
      <c r="I547" s="125" t="s">
        <v>1235</v>
      </c>
      <c r="J547" s="304"/>
      <c r="K547" s="125" t="s">
        <v>1143</v>
      </c>
      <c r="L547" s="125">
        <v>2277.92857142857</v>
      </c>
      <c r="M547" s="125" t="s">
        <v>1763</v>
      </c>
      <c r="N547" s="125">
        <f t="shared" si="957"/>
        <v>0</v>
      </c>
      <c r="O547" s="304"/>
      <c r="P547" s="304"/>
      <c r="Q547" s="304"/>
      <c r="R547" s="304"/>
      <c r="S547" s="304"/>
      <c r="T547" s="304"/>
      <c r="U547" s="304"/>
      <c r="V547" s="304"/>
      <c r="W547" s="304"/>
      <c r="X547" s="304"/>
      <c r="Y547" s="304"/>
      <c r="Z547" s="304"/>
      <c r="AA547" s="125"/>
      <c r="AB547" s="125">
        <f t="shared" si="958"/>
        <v>0</v>
      </c>
      <c r="AC547" s="125">
        <f t="shared" si="959"/>
        <v>0</v>
      </c>
      <c r="AD547" s="125"/>
      <c r="AE547" s="125"/>
      <c r="AF547" s="125">
        <f t="shared" si="960"/>
        <v>0</v>
      </c>
      <c r="AG547" s="125"/>
      <c r="AH547" s="125"/>
      <c r="AI547" s="125">
        <f t="shared" si="961"/>
        <v>0</v>
      </c>
      <c r="AJ547" s="125"/>
      <c r="AK547" s="125"/>
      <c r="AL547" s="125">
        <f t="shared" si="962"/>
        <v>0</v>
      </c>
      <c r="AM547" s="125"/>
      <c r="AN547" s="125"/>
      <c r="AO547" s="125">
        <f t="shared" si="963"/>
        <v>0</v>
      </c>
      <c r="AP547" s="125"/>
      <c r="AQ547" s="125"/>
      <c r="AR547" s="125">
        <f t="shared" si="964"/>
        <v>0</v>
      </c>
      <c r="AS547" s="125"/>
      <c r="AT547" s="125"/>
      <c r="AU547" s="125">
        <f t="shared" si="965"/>
        <v>0</v>
      </c>
      <c r="AV547" s="125"/>
      <c r="AW547" s="125"/>
      <c r="AX547" s="125">
        <f t="shared" si="966"/>
        <v>0</v>
      </c>
      <c r="AY547" s="125"/>
      <c r="AZ547" s="125"/>
      <c r="BA547" s="125">
        <f t="shared" si="967"/>
        <v>0</v>
      </c>
      <c r="BB547" s="125"/>
      <c r="BC547" s="125"/>
      <c r="BD547" s="125">
        <f t="shared" si="968"/>
        <v>0</v>
      </c>
      <c r="BE547" s="125"/>
      <c r="BF547" s="125"/>
      <c r="BG547" s="125">
        <f t="shared" si="969"/>
        <v>0</v>
      </c>
      <c r="BH547" s="125"/>
      <c r="BI547" s="125"/>
      <c r="BJ547" s="125">
        <f t="shared" si="970"/>
        <v>0</v>
      </c>
      <c r="BK547" s="125"/>
      <c r="BL547" s="312"/>
      <c r="BM547" s="317"/>
      <c r="BN547" s="320"/>
    </row>
    <row r="548" s="124" customFormat="1" ht="33.95" hidden="1" customHeight="1" outlineLevel="5" spans="2:66">
      <c r="B548" s="125" t="s">
        <v>792</v>
      </c>
      <c r="C548" s="126" t="s">
        <v>2080</v>
      </c>
      <c r="D548" s="124" t="s">
        <v>2081</v>
      </c>
      <c r="E548" s="125"/>
      <c r="F548" s="125" t="s">
        <v>1618</v>
      </c>
      <c r="G548" s="125" t="s">
        <v>936</v>
      </c>
      <c r="H548" s="125">
        <f t="shared" si="956"/>
        <v>0</v>
      </c>
      <c r="I548" s="125" t="s">
        <v>1235</v>
      </c>
      <c r="J548" s="304"/>
      <c r="K548" s="125" t="s">
        <v>1143</v>
      </c>
      <c r="L548" s="125">
        <v>2634.13508090615</v>
      </c>
      <c r="M548" s="125" t="s">
        <v>1763</v>
      </c>
      <c r="N548" s="125">
        <f t="shared" si="957"/>
        <v>0</v>
      </c>
      <c r="O548" s="304"/>
      <c r="P548" s="304"/>
      <c r="Q548" s="304"/>
      <c r="R548" s="304"/>
      <c r="S548" s="304"/>
      <c r="T548" s="304"/>
      <c r="U548" s="304"/>
      <c r="V548" s="304"/>
      <c r="W548" s="304"/>
      <c r="X548" s="304"/>
      <c r="Y548" s="304"/>
      <c r="Z548" s="304"/>
      <c r="AA548" s="125"/>
      <c r="AB548" s="125">
        <f t="shared" si="958"/>
        <v>0</v>
      </c>
      <c r="AC548" s="125">
        <f t="shared" si="959"/>
        <v>0</v>
      </c>
      <c r="AD548" s="125"/>
      <c r="AE548" s="125"/>
      <c r="AF548" s="125">
        <f t="shared" si="960"/>
        <v>0</v>
      </c>
      <c r="AG548" s="125"/>
      <c r="AH548" s="125"/>
      <c r="AI548" s="125">
        <f t="shared" si="961"/>
        <v>0</v>
      </c>
      <c r="AJ548" s="125"/>
      <c r="AK548" s="125"/>
      <c r="AL548" s="125">
        <f t="shared" si="962"/>
        <v>0</v>
      </c>
      <c r="AM548" s="125"/>
      <c r="AN548" s="125"/>
      <c r="AO548" s="125">
        <f t="shared" si="963"/>
        <v>0</v>
      </c>
      <c r="AP548" s="125"/>
      <c r="AQ548" s="125"/>
      <c r="AR548" s="125">
        <f t="shared" si="964"/>
        <v>0</v>
      </c>
      <c r="AS548" s="125"/>
      <c r="AT548" s="125"/>
      <c r="AU548" s="125">
        <f t="shared" si="965"/>
        <v>0</v>
      </c>
      <c r="AV548" s="125"/>
      <c r="AW548" s="125"/>
      <c r="AX548" s="125">
        <f t="shared" si="966"/>
        <v>0</v>
      </c>
      <c r="AY548" s="125"/>
      <c r="AZ548" s="125"/>
      <c r="BA548" s="125">
        <f t="shared" si="967"/>
        <v>0</v>
      </c>
      <c r="BB548" s="125"/>
      <c r="BC548" s="125"/>
      <c r="BD548" s="125">
        <f t="shared" si="968"/>
        <v>0</v>
      </c>
      <c r="BE548" s="125"/>
      <c r="BF548" s="125"/>
      <c r="BG548" s="125">
        <f t="shared" si="969"/>
        <v>0</v>
      </c>
      <c r="BH548" s="125"/>
      <c r="BI548" s="125"/>
      <c r="BJ548" s="125">
        <f t="shared" si="970"/>
        <v>0</v>
      </c>
      <c r="BK548" s="125"/>
      <c r="BL548" s="312"/>
      <c r="BM548" s="317"/>
      <c r="BN548" s="320"/>
    </row>
    <row r="549" s="124" customFormat="1" ht="33.95" hidden="1" customHeight="1" outlineLevel="5" spans="2:66">
      <c r="B549" s="125" t="s">
        <v>792</v>
      </c>
      <c r="C549" s="126" t="s">
        <v>2082</v>
      </c>
      <c r="D549" s="124" t="s">
        <v>2083</v>
      </c>
      <c r="E549" s="125"/>
      <c r="F549" s="125" t="s">
        <v>1618</v>
      </c>
      <c r="G549" s="125" t="s">
        <v>936</v>
      </c>
      <c r="H549" s="125">
        <f t="shared" si="956"/>
        <v>0</v>
      </c>
      <c r="I549" s="125" t="s">
        <v>1235</v>
      </c>
      <c r="J549" s="304"/>
      <c r="K549" s="125" t="s">
        <v>1143</v>
      </c>
      <c r="L549" s="125">
        <v>88.4446601941746</v>
      </c>
      <c r="M549" s="125" t="s">
        <v>1763</v>
      </c>
      <c r="N549" s="125">
        <f t="shared" si="957"/>
        <v>0</v>
      </c>
      <c r="O549" s="304"/>
      <c r="P549" s="304"/>
      <c r="Q549" s="304"/>
      <c r="R549" s="304"/>
      <c r="S549" s="304"/>
      <c r="T549" s="304"/>
      <c r="U549" s="304"/>
      <c r="V549" s="304"/>
      <c r="W549" s="304"/>
      <c r="X549" s="304"/>
      <c r="Y549" s="304"/>
      <c r="Z549" s="304"/>
      <c r="AA549" s="125"/>
      <c r="AB549" s="125">
        <f t="shared" si="958"/>
        <v>0</v>
      </c>
      <c r="AC549" s="125">
        <f t="shared" si="959"/>
        <v>0</v>
      </c>
      <c r="AD549" s="125"/>
      <c r="AE549" s="125"/>
      <c r="AF549" s="125">
        <f t="shared" si="960"/>
        <v>0</v>
      </c>
      <c r="AG549" s="125"/>
      <c r="AH549" s="125"/>
      <c r="AI549" s="125">
        <f t="shared" si="961"/>
        <v>0</v>
      </c>
      <c r="AJ549" s="125"/>
      <c r="AK549" s="125"/>
      <c r="AL549" s="125">
        <f t="shared" si="962"/>
        <v>0</v>
      </c>
      <c r="AM549" s="125"/>
      <c r="AN549" s="125"/>
      <c r="AO549" s="125">
        <f t="shared" si="963"/>
        <v>0</v>
      </c>
      <c r="AP549" s="125"/>
      <c r="AQ549" s="125"/>
      <c r="AR549" s="125">
        <f t="shared" si="964"/>
        <v>0</v>
      </c>
      <c r="AS549" s="125"/>
      <c r="AT549" s="125"/>
      <c r="AU549" s="125">
        <f t="shared" si="965"/>
        <v>0</v>
      </c>
      <c r="AV549" s="125"/>
      <c r="AW549" s="125"/>
      <c r="AX549" s="125">
        <f t="shared" si="966"/>
        <v>0</v>
      </c>
      <c r="AY549" s="125"/>
      <c r="AZ549" s="125"/>
      <c r="BA549" s="125">
        <f t="shared" si="967"/>
        <v>0</v>
      </c>
      <c r="BB549" s="125"/>
      <c r="BC549" s="125"/>
      <c r="BD549" s="125">
        <f t="shared" si="968"/>
        <v>0</v>
      </c>
      <c r="BE549" s="125"/>
      <c r="BF549" s="125"/>
      <c r="BG549" s="125">
        <f t="shared" si="969"/>
        <v>0</v>
      </c>
      <c r="BH549" s="125"/>
      <c r="BI549" s="125"/>
      <c r="BJ549" s="125">
        <f t="shared" si="970"/>
        <v>0</v>
      </c>
      <c r="BK549" s="125"/>
      <c r="BL549" s="312"/>
      <c r="BM549" s="317"/>
      <c r="BN549" s="320"/>
    </row>
    <row r="550" s="124" customFormat="1" ht="33.95" hidden="1" customHeight="1" outlineLevel="5" spans="2:66">
      <c r="B550" s="125" t="s">
        <v>792</v>
      </c>
      <c r="C550" s="126" t="s">
        <v>2084</v>
      </c>
      <c r="D550" s="124" t="s">
        <v>2085</v>
      </c>
      <c r="E550" s="125"/>
      <c r="F550" s="125" t="s">
        <v>1618</v>
      </c>
      <c r="G550" s="125" t="s">
        <v>936</v>
      </c>
      <c r="H550" s="125">
        <f t="shared" si="956"/>
        <v>0</v>
      </c>
      <c r="I550" s="125" t="s">
        <v>1235</v>
      </c>
      <c r="J550" s="304"/>
      <c r="K550" s="125" t="s">
        <v>1143</v>
      </c>
      <c r="L550" s="125">
        <v>4754.2</v>
      </c>
      <c r="M550" s="125" t="s">
        <v>1763</v>
      </c>
      <c r="N550" s="125">
        <f t="shared" si="957"/>
        <v>0</v>
      </c>
      <c r="O550" s="304"/>
      <c r="P550" s="304"/>
      <c r="Q550" s="304"/>
      <c r="R550" s="304"/>
      <c r="S550" s="304"/>
      <c r="T550" s="304"/>
      <c r="U550" s="304"/>
      <c r="V550" s="304"/>
      <c r="W550" s="304"/>
      <c r="X550" s="304"/>
      <c r="Y550" s="304"/>
      <c r="Z550" s="304"/>
      <c r="AA550" s="125"/>
      <c r="AB550" s="125">
        <f t="shared" si="958"/>
        <v>0</v>
      </c>
      <c r="AC550" s="125">
        <f t="shared" si="959"/>
        <v>0</v>
      </c>
      <c r="AD550" s="125"/>
      <c r="AE550" s="125"/>
      <c r="AF550" s="125">
        <f t="shared" si="960"/>
        <v>0</v>
      </c>
      <c r="AG550" s="125"/>
      <c r="AH550" s="125"/>
      <c r="AI550" s="125">
        <f t="shared" si="961"/>
        <v>0</v>
      </c>
      <c r="AJ550" s="125"/>
      <c r="AK550" s="125"/>
      <c r="AL550" s="125">
        <f t="shared" si="962"/>
        <v>0</v>
      </c>
      <c r="AM550" s="125"/>
      <c r="AN550" s="125"/>
      <c r="AO550" s="125">
        <f t="shared" si="963"/>
        <v>0</v>
      </c>
      <c r="AP550" s="125"/>
      <c r="AQ550" s="125"/>
      <c r="AR550" s="125">
        <f t="shared" si="964"/>
        <v>0</v>
      </c>
      <c r="AS550" s="125"/>
      <c r="AT550" s="125"/>
      <c r="AU550" s="125">
        <f t="shared" si="965"/>
        <v>0</v>
      </c>
      <c r="AV550" s="125"/>
      <c r="AW550" s="125"/>
      <c r="AX550" s="125">
        <f t="shared" si="966"/>
        <v>0</v>
      </c>
      <c r="AY550" s="125"/>
      <c r="AZ550" s="125"/>
      <c r="BA550" s="125">
        <f t="shared" si="967"/>
        <v>0</v>
      </c>
      <c r="BB550" s="125"/>
      <c r="BC550" s="125"/>
      <c r="BD550" s="125">
        <f t="shared" si="968"/>
        <v>0</v>
      </c>
      <c r="BE550" s="125"/>
      <c r="BF550" s="125"/>
      <c r="BG550" s="125">
        <f t="shared" si="969"/>
        <v>0</v>
      </c>
      <c r="BH550" s="125"/>
      <c r="BI550" s="125"/>
      <c r="BJ550" s="125">
        <f t="shared" si="970"/>
        <v>0</v>
      </c>
      <c r="BK550" s="125"/>
      <c r="BL550" s="312"/>
      <c r="BM550" s="317"/>
      <c r="BN550" s="320"/>
    </row>
    <row r="551" s="124" customFormat="1" ht="33.95" hidden="1" customHeight="1" outlineLevel="5" spans="2:66">
      <c r="B551" s="125" t="s">
        <v>792</v>
      </c>
      <c r="C551" s="126" t="s">
        <v>2086</v>
      </c>
      <c r="D551" s="124" t="s">
        <v>2087</v>
      </c>
      <c r="E551" s="125"/>
      <c r="F551" s="125" t="s">
        <v>1618</v>
      </c>
      <c r="G551" s="125" t="s">
        <v>936</v>
      </c>
      <c r="H551" s="125">
        <f t="shared" si="956"/>
        <v>0</v>
      </c>
      <c r="I551" s="125" t="s">
        <v>1235</v>
      </c>
      <c r="J551" s="304"/>
      <c r="K551" s="125" t="s">
        <v>1143</v>
      </c>
      <c r="L551" s="125">
        <v>6363.33333333333</v>
      </c>
      <c r="M551" s="125" t="s">
        <v>1763</v>
      </c>
      <c r="N551" s="125">
        <f t="shared" si="957"/>
        <v>0</v>
      </c>
      <c r="O551" s="322"/>
      <c r="P551" s="322"/>
      <c r="Q551" s="322"/>
      <c r="R551" s="322"/>
      <c r="S551" s="322"/>
      <c r="T551" s="322"/>
      <c r="U551" s="322"/>
      <c r="V551" s="322"/>
      <c r="W551" s="322"/>
      <c r="X551" s="322"/>
      <c r="Y551" s="322"/>
      <c r="Z551" s="322"/>
      <c r="AA551" s="125"/>
      <c r="AB551" s="125">
        <f t="shared" si="958"/>
        <v>0</v>
      </c>
      <c r="AC551" s="125">
        <f t="shared" si="959"/>
        <v>0</v>
      </c>
      <c r="AD551" s="125"/>
      <c r="AE551" s="125"/>
      <c r="AF551" s="125">
        <f t="shared" si="960"/>
        <v>0</v>
      </c>
      <c r="AG551" s="125"/>
      <c r="AH551" s="125"/>
      <c r="AI551" s="125">
        <f t="shared" si="961"/>
        <v>0</v>
      </c>
      <c r="AJ551" s="125"/>
      <c r="AK551" s="125"/>
      <c r="AL551" s="125">
        <f t="shared" si="962"/>
        <v>0</v>
      </c>
      <c r="AM551" s="125"/>
      <c r="AN551" s="125"/>
      <c r="AO551" s="125">
        <f t="shared" si="963"/>
        <v>0</v>
      </c>
      <c r="AP551" s="125"/>
      <c r="AQ551" s="125"/>
      <c r="AR551" s="125">
        <f t="shared" si="964"/>
        <v>0</v>
      </c>
      <c r="AS551" s="125"/>
      <c r="AT551" s="125"/>
      <c r="AU551" s="125">
        <f t="shared" si="965"/>
        <v>0</v>
      </c>
      <c r="AV551" s="125"/>
      <c r="AW551" s="125"/>
      <c r="AX551" s="125">
        <f t="shared" si="966"/>
        <v>0</v>
      </c>
      <c r="AY551" s="125"/>
      <c r="AZ551" s="125"/>
      <c r="BA551" s="125">
        <f t="shared" si="967"/>
        <v>0</v>
      </c>
      <c r="BB551" s="125"/>
      <c r="BC551" s="125"/>
      <c r="BD551" s="125">
        <f t="shared" si="968"/>
        <v>0</v>
      </c>
      <c r="BE551" s="125"/>
      <c r="BF551" s="125"/>
      <c r="BG551" s="125">
        <f t="shared" si="969"/>
        <v>0</v>
      </c>
      <c r="BH551" s="125"/>
      <c r="BI551" s="125"/>
      <c r="BJ551" s="125">
        <f t="shared" si="970"/>
        <v>0</v>
      </c>
      <c r="BK551" s="125"/>
      <c r="BL551" s="312"/>
      <c r="BM551" s="317"/>
      <c r="BN551" s="320"/>
    </row>
    <row r="552" s="43" customFormat="1" ht="33.95" hidden="1" customHeight="1" outlineLevel="3" spans="2:66">
      <c r="B552" s="121" t="s">
        <v>787</v>
      </c>
      <c r="C552" s="122" t="s">
        <v>2088</v>
      </c>
      <c r="D552" s="43" t="s">
        <v>2089</v>
      </c>
      <c r="E552" s="121"/>
      <c r="F552" s="121"/>
      <c r="G552" s="121"/>
      <c r="H552" s="121">
        <f>SUM(H553:H569)</f>
        <v>0</v>
      </c>
      <c r="I552" s="121"/>
      <c r="J552" s="121"/>
      <c r="K552" s="121"/>
      <c r="L552" s="121"/>
      <c r="M552" s="121"/>
      <c r="N552" s="311"/>
      <c r="O552" s="294"/>
      <c r="P552" s="294"/>
      <c r="Q552" s="294"/>
      <c r="R552" s="294"/>
      <c r="S552" s="294"/>
      <c r="T552" s="294"/>
      <c r="U552" s="294"/>
      <c r="V552" s="294"/>
      <c r="W552" s="294"/>
      <c r="X552" s="294"/>
      <c r="Y552" s="294"/>
      <c r="Z552" s="294"/>
      <c r="AA552" s="294"/>
      <c r="AB552" s="121">
        <f t="shared" ref="AB552:AF552" si="971">SUM(AB553:AB569)</f>
        <v>0</v>
      </c>
      <c r="AC552" s="121">
        <f t="shared" si="971"/>
        <v>0</v>
      </c>
      <c r="AD552" s="121"/>
      <c r="AE552" s="121"/>
      <c r="AF552" s="121">
        <f t="shared" si="971"/>
        <v>0</v>
      </c>
      <c r="AG552" s="121"/>
      <c r="AH552" s="121"/>
      <c r="AI552" s="121">
        <f>SUM(AI553:AI569)</f>
        <v>0</v>
      </c>
      <c r="AJ552" s="121"/>
      <c r="AK552" s="121"/>
      <c r="AL552" s="121">
        <f>SUM(AL553:AL569)</f>
        <v>0</v>
      </c>
      <c r="AM552" s="121"/>
      <c r="AN552" s="121"/>
      <c r="AO552" s="121">
        <f>SUM(AO553:AO569)</f>
        <v>0</v>
      </c>
      <c r="AP552" s="121"/>
      <c r="AQ552" s="121"/>
      <c r="AR552" s="121">
        <f>SUM(AR553:AR569)</f>
        <v>0</v>
      </c>
      <c r="AS552" s="121"/>
      <c r="AT552" s="121"/>
      <c r="AU552" s="121">
        <f>SUM(AU553:AU569)</f>
        <v>0</v>
      </c>
      <c r="AV552" s="121"/>
      <c r="AW552" s="121"/>
      <c r="AX552" s="121">
        <f>SUM(AX553:AX569)</f>
        <v>0</v>
      </c>
      <c r="AY552" s="121"/>
      <c r="AZ552" s="121"/>
      <c r="BA552" s="121">
        <f>SUM(BA553:BA569)</f>
        <v>0</v>
      </c>
      <c r="BB552" s="121"/>
      <c r="BC552" s="121"/>
      <c r="BD552" s="121">
        <f>SUM(BD553:BD569)</f>
        <v>0</v>
      </c>
      <c r="BE552" s="121"/>
      <c r="BF552" s="121"/>
      <c r="BG552" s="121">
        <f>SUM(BG553:BG569)</f>
        <v>0</v>
      </c>
      <c r="BH552" s="121"/>
      <c r="BI552" s="121"/>
      <c r="BJ552" s="121">
        <f>SUM(BJ553:BJ569)</f>
        <v>0</v>
      </c>
      <c r="BK552" s="121"/>
      <c r="BL552" s="311"/>
      <c r="BM552" s="317"/>
      <c r="BN552" s="319"/>
    </row>
    <row r="553" s="124" customFormat="1" ht="33.95" hidden="1" customHeight="1" outlineLevel="5" spans="2:66">
      <c r="B553" s="125" t="s">
        <v>792</v>
      </c>
      <c r="C553" s="126" t="s">
        <v>2090</v>
      </c>
      <c r="D553" s="124" t="s">
        <v>2091</v>
      </c>
      <c r="E553" s="125"/>
      <c r="F553" s="125" t="s">
        <v>1618</v>
      </c>
      <c r="G553" s="125" t="s">
        <v>936</v>
      </c>
      <c r="H553" s="125">
        <f t="shared" ref="H553:H569" si="972">J553*L553</f>
        <v>0</v>
      </c>
      <c r="I553" s="125" t="s">
        <v>1235</v>
      </c>
      <c r="J553" s="304"/>
      <c r="K553" s="125" t="s">
        <v>1143</v>
      </c>
      <c r="L553" s="125">
        <v>750</v>
      </c>
      <c r="M553" s="125" t="s">
        <v>1763</v>
      </c>
      <c r="N553" s="125">
        <f t="shared" ref="N553:N569" si="973">COUNTA(O553:Z553)</f>
        <v>0</v>
      </c>
      <c r="O553" s="323"/>
      <c r="P553" s="323"/>
      <c r="Q553" s="323"/>
      <c r="R553" s="323"/>
      <c r="S553" s="323"/>
      <c r="T553" s="323"/>
      <c r="U553" s="323"/>
      <c r="V553" s="323"/>
      <c r="W553" s="323"/>
      <c r="X553" s="323"/>
      <c r="Y553" s="323"/>
      <c r="Z553" s="323"/>
      <c r="AA553" s="125"/>
      <c r="AB553" s="125">
        <f t="shared" ref="AB553:AB569" si="974">SUM(AC553,AF553,AI553,AL553,AO553,AR553,AU553,AX553,BA553,BD553,BG553,BJ553)</f>
        <v>0</v>
      </c>
      <c r="AC553" s="125">
        <f t="shared" ref="AC553:AC569" si="975">IF(O553="√",$J553*$L553/$N553,0)</f>
        <v>0</v>
      </c>
      <c r="AD553" s="125"/>
      <c r="AE553" s="125"/>
      <c r="AF553" s="125">
        <f t="shared" ref="AF553:AF569" si="976">IF(P553="√",$J553*$L553/$N553,0)</f>
        <v>0</v>
      </c>
      <c r="AG553" s="125"/>
      <c r="AH553" s="125"/>
      <c r="AI553" s="125">
        <f t="shared" ref="AI553:AI569" si="977">IF(Q553="√",$J553*$L553/$N553,0)</f>
        <v>0</v>
      </c>
      <c r="AJ553" s="125"/>
      <c r="AK553" s="125"/>
      <c r="AL553" s="125">
        <f t="shared" ref="AL553:AL569" si="978">IF(R553="√",$J553*$L553/$N553,0)</f>
        <v>0</v>
      </c>
      <c r="AM553" s="125"/>
      <c r="AN553" s="125"/>
      <c r="AO553" s="125">
        <f t="shared" ref="AO553:AO569" si="979">IF(S553="√",$J553*$L553/$N553,0)</f>
        <v>0</v>
      </c>
      <c r="AP553" s="125"/>
      <c r="AQ553" s="125"/>
      <c r="AR553" s="125">
        <f t="shared" ref="AR553:AR569" si="980">IF(T553="√",$J553*$L553/$N553,0)</f>
        <v>0</v>
      </c>
      <c r="AS553" s="125"/>
      <c r="AT553" s="125"/>
      <c r="AU553" s="125">
        <f t="shared" ref="AU553:AU569" si="981">IF(U553="√",$J553*$L553/$N553,0)</f>
        <v>0</v>
      </c>
      <c r="AV553" s="125"/>
      <c r="AW553" s="125"/>
      <c r="AX553" s="125">
        <f t="shared" ref="AX553:AX569" si="982">IF(V553="√",$J553*$L553/$N553,0)</f>
        <v>0</v>
      </c>
      <c r="AY553" s="125"/>
      <c r="AZ553" s="125"/>
      <c r="BA553" s="125">
        <f t="shared" ref="BA553:BA569" si="983">IF(W553="√",$J553*$L553/$N553,0)</f>
        <v>0</v>
      </c>
      <c r="BB553" s="125"/>
      <c r="BC553" s="125"/>
      <c r="BD553" s="125">
        <f t="shared" ref="BD553:BD569" si="984">IF(X553="√",$J553*$L553/$N553,0)</f>
        <v>0</v>
      </c>
      <c r="BE553" s="125"/>
      <c r="BF553" s="125"/>
      <c r="BG553" s="125">
        <f t="shared" ref="BG553:BG569" si="985">IF(Y553="√",$J553*$L553/$N553,0)</f>
        <v>0</v>
      </c>
      <c r="BH553" s="125"/>
      <c r="BI553" s="125"/>
      <c r="BJ553" s="125">
        <f t="shared" ref="BJ553:BJ569" si="986">IF(Z553="√",$J553*$L553/$N553,0)</f>
        <v>0</v>
      </c>
      <c r="BK553" s="125"/>
      <c r="BL553" s="312"/>
      <c r="BM553" s="317"/>
      <c r="BN553" s="320"/>
    </row>
    <row r="554" s="124" customFormat="1" ht="33.95" hidden="1" customHeight="1" outlineLevel="5" spans="2:66">
      <c r="B554" s="125" t="s">
        <v>792</v>
      </c>
      <c r="C554" s="126" t="s">
        <v>2092</v>
      </c>
      <c r="D554" s="124" t="s">
        <v>2093</v>
      </c>
      <c r="E554" s="125"/>
      <c r="F554" s="125" t="s">
        <v>1618</v>
      </c>
      <c r="G554" s="125" t="s">
        <v>936</v>
      </c>
      <c r="H554" s="125">
        <f t="shared" si="972"/>
        <v>0</v>
      </c>
      <c r="I554" s="125" t="s">
        <v>1235</v>
      </c>
      <c r="J554" s="304"/>
      <c r="K554" s="125" t="s">
        <v>1143</v>
      </c>
      <c r="L554" s="125">
        <v>500</v>
      </c>
      <c r="M554" s="125" t="s">
        <v>1763</v>
      </c>
      <c r="N554" s="125">
        <f t="shared" si="973"/>
        <v>0</v>
      </c>
      <c r="O554" s="304"/>
      <c r="P554" s="304"/>
      <c r="Q554" s="304"/>
      <c r="R554" s="304"/>
      <c r="S554" s="304"/>
      <c r="T554" s="304"/>
      <c r="U554" s="304"/>
      <c r="V554" s="304"/>
      <c r="W554" s="304"/>
      <c r="X554" s="304"/>
      <c r="Y554" s="304"/>
      <c r="Z554" s="304"/>
      <c r="AA554" s="125"/>
      <c r="AB554" s="125">
        <f t="shared" si="974"/>
        <v>0</v>
      </c>
      <c r="AC554" s="125">
        <f t="shared" si="975"/>
        <v>0</v>
      </c>
      <c r="AD554" s="125"/>
      <c r="AE554" s="125"/>
      <c r="AF554" s="125">
        <f t="shared" si="976"/>
        <v>0</v>
      </c>
      <c r="AG554" s="125"/>
      <c r="AH554" s="125"/>
      <c r="AI554" s="125">
        <f t="shared" si="977"/>
        <v>0</v>
      </c>
      <c r="AJ554" s="125"/>
      <c r="AK554" s="125"/>
      <c r="AL554" s="125">
        <f t="shared" si="978"/>
        <v>0</v>
      </c>
      <c r="AM554" s="125"/>
      <c r="AN554" s="125"/>
      <c r="AO554" s="125">
        <f t="shared" si="979"/>
        <v>0</v>
      </c>
      <c r="AP554" s="125"/>
      <c r="AQ554" s="125"/>
      <c r="AR554" s="125">
        <f t="shared" si="980"/>
        <v>0</v>
      </c>
      <c r="AS554" s="125"/>
      <c r="AT554" s="125"/>
      <c r="AU554" s="125">
        <f t="shared" si="981"/>
        <v>0</v>
      </c>
      <c r="AV554" s="125"/>
      <c r="AW554" s="125"/>
      <c r="AX554" s="125">
        <f t="shared" si="982"/>
        <v>0</v>
      </c>
      <c r="AY554" s="125"/>
      <c r="AZ554" s="125"/>
      <c r="BA554" s="125">
        <f t="shared" si="983"/>
        <v>0</v>
      </c>
      <c r="BB554" s="125"/>
      <c r="BC554" s="125"/>
      <c r="BD554" s="125">
        <f t="shared" si="984"/>
        <v>0</v>
      </c>
      <c r="BE554" s="125"/>
      <c r="BF554" s="125"/>
      <c r="BG554" s="125">
        <f t="shared" si="985"/>
        <v>0</v>
      </c>
      <c r="BH554" s="125"/>
      <c r="BI554" s="125"/>
      <c r="BJ554" s="125">
        <f t="shared" si="986"/>
        <v>0</v>
      </c>
      <c r="BK554" s="125"/>
      <c r="BL554" s="312"/>
      <c r="BM554" s="317"/>
      <c r="BN554" s="320"/>
    </row>
    <row r="555" s="124" customFormat="1" ht="33.95" hidden="1" customHeight="1" outlineLevel="5" spans="2:66">
      <c r="B555" s="125" t="s">
        <v>792</v>
      </c>
      <c r="C555" s="126" t="s">
        <v>2094</v>
      </c>
      <c r="D555" s="124" t="s">
        <v>2095</v>
      </c>
      <c r="E555" s="125"/>
      <c r="F555" s="125" t="s">
        <v>1618</v>
      </c>
      <c r="G555" s="125" t="s">
        <v>936</v>
      </c>
      <c r="H555" s="125">
        <f t="shared" si="972"/>
        <v>0</v>
      </c>
      <c r="I555" s="125" t="s">
        <v>1235</v>
      </c>
      <c r="J555" s="304"/>
      <c r="K555" s="125" t="s">
        <v>2096</v>
      </c>
      <c r="L555" s="125">
        <v>6.3</v>
      </c>
      <c r="M555" s="125" t="s">
        <v>2097</v>
      </c>
      <c r="N555" s="125">
        <f t="shared" si="973"/>
        <v>0</v>
      </c>
      <c r="O555" s="304"/>
      <c r="P555" s="304"/>
      <c r="Q555" s="304"/>
      <c r="R555" s="304"/>
      <c r="S555" s="304"/>
      <c r="T555" s="304"/>
      <c r="U555" s="304"/>
      <c r="V555" s="304"/>
      <c r="W555" s="304"/>
      <c r="X555" s="304"/>
      <c r="Y555" s="304"/>
      <c r="Z555" s="304"/>
      <c r="AA555" s="125"/>
      <c r="AB555" s="125">
        <f t="shared" si="974"/>
        <v>0</v>
      </c>
      <c r="AC555" s="125">
        <f t="shared" si="975"/>
        <v>0</v>
      </c>
      <c r="AD555" s="125"/>
      <c r="AE555" s="125"/>
      <c r="AF555" s="125">
        <f t="shared" si="976"/>
        <v>0</v>
      </c>
      <c r="AG555" s="125"/>
      <c r="AH555" s="125"/>
      <c r="AI555" s="125">
        <f t="shared" si="977"/>
        <v>0</v>
      </c>
      <c r="AJ555" s="125"/>
      <c r="AK555" s="125"/>
      <c r="AL555" s="125">
        <f t="shared" si="978"/>
        <v>0</v>
      </c>
      <c r="AM555" s="125"/>
      <c r="AN555" s="125"/>
      <c r="AO555" s="125">
        <f t="shared" si="979"/>
        <v>0</v>
      </c>
      <c r="AP555" s="125"/>
      <c r="AQ555" s="125"/>
      <c r="AR555" s="125">
        <f t="shared" si="980"/>
        <v>0</v>
      </c>
      <c r="AS555" s="125"/>
      <c r="AT555" s="125"/>
      <c r="AU555" s="125">
        <f t="shared" si="981"/>
        <v>0</v>
      </c>
      <c r="AV555" s="125"/>
      <c r="AW555" s="125"/>
      <c r="AX555" s="125">
        <f t="shared" si="982"/>
        <v>0</v>
      </c>
      <c r="AY555" s="125"/>
      <c r="AZ555" s="125"/>
      <c r="BA555" s="125">
        <f t="shared" si="983"/>
        <v>0</v>
      </c>
      <c r="BB555" s="125"/>
      <c r="BC555" s="125"/>
      <c r="BD555" s="125">
        <f t="shared" si="984"/>
        <v>0</v>
      </c>
      <c r="BE555" s="125"/>
      <c r="BF555" s="125"/>
      <c r="BG555" s="125">
        <f t="shared" si="985"/>
        <v>0</v>
      </c>
      <c r="BH555" s="125"/>
      <c r="BI555" s="125"/>
      <c r="BJ555" s="125">
        <f t="shared" si="986"/>
        <v>0</v>
      </c>
      <c r="BK555" s="125"/>
      <c r="BL555" s="312"/>
      <c r="BM555" s="317"/>
      <c r="BN555" s="320"/>
    </row>
    <row r="556" s="124" customFormat="1" ht="33.95" hidden="1" customHeight="1" outlineLevel="5" spans="2:66">
      <c r="B556" s="125" t="s">
        <v>792</v>
      </c>
      <c r="C556" s="126" t="s">
        <v>2098</v>
      </c>
      <c r="D556" s="124" t="s">
        <v>2099</v>
      </c>
      <c r="E556" s="125"/>
      <c r="F556" s="125" t="s">
        <v>1618</v>
      </c>
      <c r="G556" s="125" t="s">
        <v>936</v>
      </c>
      <c r="H556" s="125">
        <f t="shared" si="972"/>
        <v>0</v>
      </c>
      <c r="I556" s="125" t="s">
        <v>1235</v>
      </c>
      <c r="J556" s="304"/>
      <c r="K556" s="125" t="s">
        <v>1143</v>
      </c>
      <c r="L556" s="125">
        <v>500</v>
      </c>
      <c r="M556" s="125" t="s">
        <v>1763</v>
      </c>
      <c r="N556" s="125">
        <f t="shared" si="973"/>
        <v>0</v>
      </c>
      <c r="O556" s="304"/>
      <c r="P556" s="304"/>
      <c r="Q556" s="304"/>
      <c r="R556" s="304"/>
      <c r="S556" s="304"/>
      <c r="T556" s="304"/>
      <c r="U556" s="304"/>
      <c r="V556" s="304"/>
      <c r="W556" s="304"/>
      <c r="X556" s="304"/>
      <c r="Y556" s="304"/>
      <c r="Z556" s="304"/>
      <c r="AA556" s="125"/>
      <c r="AB556" s="125">
        <f t="shared" si="974"/>
        <v>0</v>
      </c>
      <c r="AC556" s="125">
        <f t="shared" si="975"/>
        <v>0</v>
      </c>
      <c r="AD556" s="125"/>
      <c r="AE556" s="125"/>
      <c r="AF556" s="125">
        <f t="shared" si="976"/>
        <v>0</v>
      </c>
      <c r="AG556" s="125"/>
      <c r="AH556" s="125"/>
      <c r="AI556" s="125">
        <f t="shared" si="977"/>
        <v>0</v>
      </c>
      <c r="AJ556" s="125"/>
      <c r="AK556" s="125"/>
      <c r="AL556" s="125">
        <f t="shared" si="978"/>
        <v>0</v>
      </c>
      <c r="AM556" s="125"/>
      <c r="AN556" s="125"/>
      <c r="AO556" s="125">
        <f t="shared" si="979"/>
        <v>0</v>
      </c>
      <c r="AP556" s="125"/>
      <c r="AQ556" s="125"/>
      <c r="AR556" s="125">
        <f t="shared" si="980"/>
        <v>0</v>
      </c>
      <c r="AS556" s="125"/>
      <c r="AT556" s="125"/>
      <c r="AU556" s="125">
        <f t="shared" si="981"/>
        <v>0</v>
      </c>
      <c r="AV556" s="125"/>
      <c r="AW556" s="125"/>
      <c r="AX556" s="125">
        <f t="shared" si="982"/>
        <v>0</v>
      </c>
      <c r="AY556" s="125"/>
      <c r="AZ556" s="125"/>
      <c r="BA556" s="125">
        <f t="shared" si="983"/>
        <v>0</v>
      </c>
      <c r="BB556" s="125"/>
      <c r="BC556" s="125"/>
      <c r="BD556" s="125">
        <f t="shared" si="984"/>
        <v>0</v>
      </c>
      <c r="BE556" s="125"/>
      <c r="BF556" s="125"/>
      <c r="BG556" s="125">
        <f t="shared" si="985"/>
        <v>0</v>
      </c>
      <c r="BH556" s="125"/>
      <c r="BI556" s="125"/>
      <c r="BJ556" s="125">
        <f t="shared" si="986"/>
        <v>0</v>
      </c>
      <c r="BK556" s="125"/>
      <c r="BL556" s="312"/>
      <c r="BM556" s="317"/>
      <c r="BN556" s="320"/>
    </row>
    <row r="557" s="124" customFormat="1" ht="33.95" hidden="1" customHeight="1" outlineLevel="5" spans="2:66">
      <c r="B557" s="125" t="s">
        <v>792</v>
      </c>
      <c r="C557" s="126" t="s">
        <v>2100</v>
      </c>
      <c r="D557" s="124" t="s">
        <v>2101</v>
      </c>
      <c r="E557" s="125"/>
      <c r="F557" s="125" t="s">
        <v>1618</v>
      </c>
      <c r="G557" s="125" t="s">
        <v>936</v>
      </c>
      <c r="H557" s="125">
        <f t="shared" si="972"/>
        <v>0</v>
      </c>
      <c r="I557" s="125" t="s">
        <v>1235</v>
      </c>
      <c r="J557" s="304"/>
      <c r="K557" s="125" t="s">
        <v>1143</v>
      </c>
      <c r="L557" s="125">
        <v>1400</v>
      </c>
      <c r="M557" s="125" t="s">
        <v>1763</v>
      </c>
      <c r="N557" s="125">
        <f t="shared" si="973"/>
        <v>0</v>
      </c>
      <c r="O557" s="304"/>
      <c r="P557" s="304"/>
      <c r="Q557" s="304"/>
      <c r="R557" s="304"/>
      <c r="S557" s="304"/>
      <c r="T557" s="304"/>
      <c r="U557" s="304"/>
      <c r="V557" s="304"/>
      <c r="W557" s="304"/>
      <c r="X557" s="304"/>
      <c r="Y557" s="304"/>
      <c r="Z557" s="304"/>
      <c r="AA557" s="125"/>
      <c r="AB557" s="125">
        <f t="shared" si="974"/>
        <v>0</v>
      </c>
      <c r="AC557" s="125">
        <f t="shared" si="975"/>
        <v>0</v>
      </c>
      <c r="AD557" s="125"/>
      <c r="AE557" s="125"/>
      <c r="AF557" s="125">
        <f t="shared" si="976"/>
        <v>0</v>
      </c>
      <c r="AG557" s="125"/>
      <c r="AH557" s="125"/>
      <c r="AI557" s="125">
        <f t="shared" si="977"/>
        <v>0</v>
      </c>
      <c r="AJ557" s="125"/>
      <c r="AK557" s="125"/>
      <c r="AL557" s="125">
        <f t="shared" si="978"/>
        <v>0</v>
      </c>
      <c r="AM557" s="125"/>
      <c r="AN557" s="125"/>
      <c r="AO557" s="125">
        <f t="shared" si="979"/>
        <v>0</v>
      </c>
      <c r="AP557" s="125"/>
      <c r="AQ557" s="125"/>
      <c r="AR557" s="125">
        <f t="shared" si="980"/>
        <v>0</v>
      </c>
      <c r="AS557" s="125"/>
      <c r="AT557" s="125"/>
      <c r="AU557" s="125">
        <f t="shared" si="981"/>
        <v>0</v>
      </c>
      <c r="AV557" s="125"/>
      <c r="AW557" s="125"/>
      <c r="AX557" s="125">
        <f t="shared" si="982"/>
        <v>0</v>
      </c>
      <c r="AY557" s="125"/>
      <c r="AZ557" s="125"/>
      <c r="BA557" s="125">
        <f t="shared" si="983"/>
        <v>0</v>
      </c>
      <c r="BB557" s="125"/>
      <c r="BC557" s="125"/>
      <c r="BD557" s="125">
        <f t="shared" si="984"/>
        <v>0</v>
      </c>
      <c r="BE557" s="125"/>
      <c r="BF557" s="125"/>
      <c r="BG557" s="125">
        <f t="shared" si="985"/>
        <v>0</v>
      </c>
      <c r="BH557" s="125"/>
      <c r="BI557" s="125"/>
      <c r="BJ557" s="125">
        <f t="shared" si="986"/>
        <v>0</v>
      </c>
      <c r="BK557" s="125"/>
      <c r="BL557" s="312"/>
      <c r="BM557" s="317"/>
      <c r="BN557" s="320"/>
    </row>
    <row r="558" s="124" customFormat="1" ht="33.95" hidden="1" customHeight="1" outlineLevel="5" spans="2:66">
      <c r="B558" s="125" t="s">
        <v>792</v>
      </c>
      <c r="C558" s="126" t="s">
        <v>2102</v>
      </c>
      <c r="D558" s="124" t="s">
        <v>2103</v>
      </c>
      <c r="E558" s="125"/>
      <c r="F558" s="125" t="s">
        <v>1618</v>
      </c>
      <c r="G558" s="125" t="s">
        <v>936</v>
      </c>
      <c r="H558" s="125">
        <f t="shared" si="972"/>
        <v>0</v>
      </c>
      <c r="I558" s="125" t="s">
        <v>1235</v>
      </c>
      <c r="J558" s="304"/>
      <c r="K558" s="125" t="s">
        <v>1143</v>
      </c>
      <c r="L558" s="125">
        <v>640</v>
      </c>
      <c r="M558" s="125" t="s">
        <v>1763</v>
      </c>
      <c r="N558" s="125">
        <f t="shared" si="973"/>
        <v>0</v>
      </c>
      <c r="O558" s="304"/>
      <c r="P558" s="304"/>
      <c r="Q558" s="304"/>
      <c r="R558" s="304"/>
      <c r="S558" s="304"/>
      <c r="T558" s="304"/>
      <c r="U558" s="304"/>
      <c r="V558" s="304"/>
      <c r="W558" s="304"/>
      <c r="X558" s="304"/>
      <c r="Y558" s="304"/>
      <c r="Z558" s="304"/>
      <c r="AA558" s="125"/>
      <c r="AB558" s="125">
        <f t="shared" si="974"/>
        <v>0</v>
      </c>
      <c r="AC558" s="125">
        <f t="shared" si="975"/>
        <v>0</v>
      </c>
      <c r="AD558" s="125"/>
      <c r="AE558" s="125"/>
      <c r="AF558" s="125">
        <f t="shared" si="976"/>
        <v>0</v>
      </c>
      <c r="AG558" s="125"/>
      <c r="AH558" s="125"/>
      <c r="AI558" s="125">
        <f t="shared" si="977"/>
        <v>0</v>
      </c>
      <c r="AJ558" s="125"/>
      <c r="AK558" s="125"/>
      <c r="AL558" s="125">
        <f t="shared" si="978"/>
        <v>0</v>
      </c>
      <c r="AM558" s="125"/>
      <c r="AN558" s="125"/>
      <c r="AO558" s="125">
        <f t="shared" si="979"/>
        <v>0</v>
      </c>
      <c r="AP558" s="125"/>
      <c r="AQ558" s="125"/>
      <c r="AR558" s="125">
        <f t="shared" si="980"/>
        <v>0</v>
      </c>
      <c r="AS558" s="125"/>
      <c r="AT558" s="125"/>
      <c r="AU558" s="125">
        <f t="shared" si="981"/>
        <v>0</v>
      </c>
      <c r="AV558" s="125"/>
      <c r="AW558" s="125"/>
      <c r="AX558" s="125">
        <f t="shared" si="982"/>
        <v>0</v>
      </c>
      <c r="AY558" s="125"/>
      <c r="AZ558" s="125"/>
      <c r="BA558" s="125">
        <f t="shared" si="983"/>
        <v>0</v>
      </c>
      <c r="BB558" s="125"/>
      <c r="BC558" s="125"/>
      <c r="BD558" s="125">
        <f t="shared" si="984"/>
        <v>0</v>
      </c>
      <c r="BE558" s="125"/>
      <c r="BF558" s="125"/>
      <c r="BG558" s="125">
        <f t="shared" si="985"/>
        <v>0</v>
      </c>
      <c r="BH558" s="125"/>
      <c r="BI558" s="125"/>
      <c r="BJ558" s="125">
        <f t="shared" si="986"/>
        <v>0</v>
      </c>
      <c r="BK558" s="125"/>
      <c r="BL558" s="312"/>
      <c r="BM558" s="317"/>
      <c r="BN558" s="320"/>
    </row>
    <row r="559" s="124" customFormat="1" ht="33.95" hidden="1" customHeight="1" outlineLevel="5" spans="2:66">
      <c r="B559" s="125" t="s">
        <v>792</v>
      </c>
      <c r="C559" s="126" t="s">
        <v>2104</v>
      </c>
      <c r="D559" s="124" t="s">
        <v>2105</v>
      </c>
      <c r="E559" s="125"/>
      <c r="F559" s="125" t="s">
        <v>1618</v>
      </c>
      <c r="G559" s="125" t="s">
        <v>936</v>
      </c>
      <c r="H559" s="125">
        <f t="shared" si="972"/>
        <v>0</v>
      </c>
      <c r="I559" s="125" t="s">
        <v>1235</v>
      </c>
      <c r="J559" s="304"/>
      <c r="K559" s="125" t="s">
        <v>1942</v>
      </c>
      <c r="L559" s="125">
        <v>35</v>
      </c>
      <c r="M559" s="125" t="s">
        <v>1943</v>
      </c>
      <c r="N559" s="125">
        <f t="shared" si="973"/>
        <v>0</v>
      </c>
      <c r="O559" s="304"/>
      <c r="P559" s="304"/>
      <c r="Q559" s="304"/>
      <c r="R559" s="304"/>
      <c r="S559" s="304"/>
      <c r="T559" s="304"/>
      <c r="U559" s="304"/>
      <c r="V559" s="304"/>
      <c r="W559" s="304"/>
      <c r="X559" s="304"/>
      <c r="Y559" s="304"/>
      <c r="Z559" s="304"/>
      <c r="AA559" s="125"/>
      <c r="AB559" s="125">
        <f t="shared" si="974"/>
        <v>0</v>
      </c>
      <c r="AC559" s="125">
        <f t="shared" si="975"/>
        <v>0</v>
      </c>
      <c r="AD559" s="125"/>
      <c r="AE559" s="125"/>
      <c r="AF559" s="125">
        <f t="shared" si="976"/>
        <v>0</v>
      </c>
      <c r="AG559" s="125"/>
      <c r="AH559" s="125"/>
      <c r="AI559" s="125">
        <f t="shared" si="977"/>
        <v>0</v>
      </c>
      <c r="AJ559" s="125"/>
      <c r="AK559" s="125"/>
      <c r="AL559" s="125">
        <f t="shared" si="978"/>
        <v>0</v>
      </c>
      <c r="AM559" s="125"/>
      <c r="AN559" s="125"/>
      <c r="AO559" s="125">
        <f t="shared" si="979"/>
        <v>0</v>
      </c>
      <c r="AP559" s="125"/>
      <c r="AQ559" s="125"/>
      <c r="AR559" s="125">
        <f t="shared" si="980"/>
        <v>0</v>
      </c>
      <c r="AS559" s="125"/>
      <c r="AT559" s="125"/>
      <c r="AU559" s="125">
        <f t="shared" si="981"/>
        <v>0</v>
      </c>
      <c r="AV559" s="125"/>
      <c r="AW559" s="125"/>
      <c r="AX559" s="125">
        <f t="shared" si="982"/>
        <v>0</v>
      </c>
      <c r="AY559" s="125"/>
      <c r="AZ559" s="125"/>
      <c r="BA559" s="125">
        <f t="shared" si="983"/>
        <v>0</v>
      </c>
      <c r="BB559" s="125"/>
      <c r="BC559" s="125"/>
      <c r="BD559" s="125">
        <f t="shared" si="984"/>
        <v>0</v>
      </c>
      <c r="BE559" s="125"/>
      <c r="BF559" s="125"/>
      <c r="BG559" s="125">
        <f t="shared" si="985"/>
        <v>0</v>
      </c>
      <c r="BH559" s="125"/>
      <c r="BI559" s="125"/>
      <c r="BJ559" s="125">
        <f t="shared" si="986"/>
        <v>0</v>
      </c>
      <c r="BK559" s="125"/>
      <c r="BL559" s="312"/>
      <c r="BM559" s="317"/>
      <c r="BN559" s="320"/>
    </row>
    <row r="560" s="124" customFormat="1" ht="33.95" hidden="1" customHeight="1" outlineLevel="5" spans="2:66">
      <c r="B560" s="125" t="s">
        <v>792</v>
      </c>
      <c r="C560" s="126" t="s">
        <v>2106</v>
      </c>
      <c r="D560" s="124" t="s">
        <v>2107</v>
      </c>
      <c r="E560" s="125"/>
      <c r="F560" s="125" t="s">
        <v>1618</v>
      </c>
      <c r="G560" s="125" t="s">
        <v>936</v>
      </c>
      <c r="H560" s="125">
        <f t="shared" si="972"/>
        <v>0</v>
      </c>
      <c r="I560" s="125" t="s">
        <v>1235</v>
      </c>
      <c r="J560" s="304"/>
      <c r="K560" s="125" t="s">
        <v>1143</v>
      </c>
      <c r="L560" s="125">
        <v>450</v>
      </c>
      <c r="M560" s="125" t="s">
        <v>1763</v>
      </c>
      <c r="N560" s="125">
        <f t="shared" si="973"/>
        <v>0</v>
      </c>
      <c r="O560" s="304"/>
      <c r="P560" s="304"/>
      <c r="Q560" s="304"/>
      <c r="R560" s="304"/>
      <c r="S560" s="304"/>
      <c r="T560" s="304"/>
      <c r="U560" s="304"/>
      <c r="V560" s="304"/>
      <c r="W560" s="304"/>
      <c r="X560" s="304"/>
      <c r="Y560" s="304"/>
      <c r="Z560" s="304"/>
      <c r="AA560" s="125"/>
      <c r="AB560" s="125">
        <f t="shared" si="974"/>
        <v>0</v>
      </c>
      <c r="AC560" s="125">
        <f t="shared" si="975"/>
        <v>0</v>
      </c>
      <c r="AD560" s="125"/>
      <c r="AE560" s="125"/>
      <c r="AF560" s="125">
        <f t="shared" si="976"/>
        <v>0</v>
      </c>
      <c r="AG560" s="125"/>
      <c r="AH560" s="125"/>
      <c r="AI560" s="125">
        <f t="shared" si="977"/>
        <v>0</v>
      </c>
      <c r="AJ560" s="125"/>
      <c r="AK560" s="125"/>
      <c r="AL560" s="125">
        <f t="shared" si="978"/>
        <v>0</v>
      </c>
      <c r="AM560" s="125"/>
      <c r="AN560" s="125"/>
      <c r="AO560" s="125">
        <f t="shared" si="979"/>
        <v>0</v>
      </c>
      <c r="AP560" s="125"/>
      <c r="AQ560" s="125"/>
      <c r="AR560" s="125">
        <f t="shared" si="980"/>
        <v>0</v>
      </c>
      <c r="AS560" s="125"/>
      <c r="AT560" s="125"/>
      <c r="AU560" s="125">
        <f t="shared" si="981"/>
        <v>0</v>
      </c>
      <c r="AV560" s="125"/>
      <c r="AW560" s="125"/>
      <c r="AX560" s="125">
        <f t="shared" si="982"/>
        <v>0</v>
      </c>
      <c r="AY560" s="125"/>
      <c r="AZ560" s="125"/>
      <c r="BA560" s="125">
        <f t="shared" si="983"/>
        <v>0</v>
      </c>
      <c r="BB560" s="125"/>
      <c r="BC560" s="125"/>
      <c r="BD560" s="125">
        <f t="shared" si="984"/>
        <v>0</v>
      </c>
      <c r="BE560" s="125"/>
      <c r="BF560" s="125"/>
      <c r="BG560" s="125">
        <f t="shared" si="985"/>
        <v>0</v>
      </c>
      <c r="BH560" s="125"/>
      <c r="BI560" s="125"/>
      <c r="BJ560" s="125">
        <f t="shared" si="986"/>
        <v>0</v>
      </c>
      <c r="BK560" s="125"/>
      <c r="BL560" s="312"/>
      <c r="BM560" s="317"/>
      <c r="BN560" s="320"/>
    </row>
    <row r="561" s="124" customFormat="1" ht="33.95" hidden="1" customHeight="1" outlineLevel="5" spans="2:66">
      <c r="B561" s="125" t="s">
        <v>792</v>
      </c>
      <c r="C561" s="126" t="s">
        <v>2108</v>
      </c>
      <c r="D561" s="124" t="s">
        <v>2109</v>
      </c>
      <c r="E561" s="125"/>
      <c r="F561" s="125" t="s">
        <v>1618</v>
      </c>
      <c r="G561" s="125" t="s">
        <v>936</v>
      </c>
      <c r="H561" s="125">
        <f t="shared" si="972"/>
        <v>0</v>
      </c>
      <c r="I561" s="125" t="s">
        <v>1235</v>
      </c>
      <c r="J561" s="304"/>
      <c r="K561" s="125" t="s">
        <v>1143</v>
      </c>
      <c r="L561" s="125">
        <v>300</v>
      </c>
      <c r="M561" s="125" t="s">
        <v>1763</v>
      </c>
      <c r="N561" s="125">
        <f t="shared" si="973"/>
        <v>0</v>
      </c>
      <c r="O561" s="304"/>
      <c r="P561" s="304"/>
      <c r="Q561" s="304"/>
      <c r="R561" s="304"/>
      <c r="S561" s="304"/>
      <c r="T561" s="304"/>
      <c r="U561" s="304"/>
      <c r="V561" s="304"/>
      <c r="W561" s="304"/>
      <c r="X561" s="304"/>
      <c r="Y561" s="304"/>
      <c r="Z561" s="304"/>
      <c r="AA561" s="125"/>
      <c r="AB561" s="125">
        <f t="shared" si="974"/>
        <v>0</v>
      </c>
      <c r="AC561" s="125">
        <f t="shared" si="975"/>
        <v>0</v>
      </c>
      <c r="AD561" s="125"/>
      <c r="AE561" s="125"/>
      <c r="AF561" s="125">
        <f t="shared" si="976"/>
        <v>0</v>
      </c>
      <c r="AG561" s="125"/>
      <c r="AH561" s="125"/>
      <c r="AI561" s="125">
        <f t="shared" si="977"/>
        <v>0</v>
      </c>
      <c r="AJ561" s="125"/>
      <c r="AK561" s="125"/>
      <c r="AL561" s="125">
        <f t="shared" si="978"/>
        <v>0</v>
      </c>
      <c r="AM561" s="125"/>
      <c r="AN561" s="125"/>
      <c r="AO561" s="125">
        <f t="shared" si="979"/>
        <v>0</v>
      </c>
      <c r="AP561" s="125"/>
      <c r="AQ561" s="125"/>
      <c r="AR561" s="125">
        <f t="shared" si="980"/>
        <v>0</v>
      </c>
      <c r="AS561" s="125"/>
      <c r="AT561" s="125"/>
      <c r="AU561" s="125">
        <f t="shared" si="981"/>
        <v>0</v>
      </c>
      <c r="AV561" s="125"/>
      <c r="AW561" s="125"/>
      <c r="AX561" s="125">
        <f t="shared" si="982"/>
        <v>0</v>
      </c>
      <c r="AY561" s="125"/>
      <c r="AZ561" s="125"/>
      <c r="BA561" s="125">
        <f t="shared" si="983"/>
        <v>0</v>
      </c>
      <c r="BB561" s="125"/>
      <c r="BC561" s="125"/>
      <c r="BD561" s="125">
        <f t="shared" si="984"/>
        <v>0</v>
      </c>
      <c r="BE561" s="125"/>
      <c r="BF561" s="125"/>
      <c r="BG561" s="125">
        <f t="shared" si="985"/>
        <v>0</v>
      </c>
      <c r="BH561" s="125"/>
      <c r="BI561" s="125"/>
      <c r="BJ561" s="125">
        <f t="shared" si="986"/>
        <v>0</v>
      </c>
      <c r="BK561" s="125"/>
      <c r="BL561" s="312"/>
      <c r="BM561" s="317"/>
      <c r="BN561" s="320"/>
    </row>
    <row r="562" s="124" customFormat="1" ht="33.95" hidden="1" customHeight="1" outlineLevel="5" spans="2:66">
      <c r="B562" s="125" t="s">
        <v>792</v>
      </c>
      <c r="C562" s="126" t="s">
        <v>2110</v>
      </c>
      <c r="D562" s="124" t="s">
        <v>2111</v>
      </c>
      <c r="E562" s="125"/>
      <c r="F562" s="125" t="s">
        <v>1618</v>
      </c>
      <c r="G562" s="125" t="s">
        <v>936</v>
      </c>
      <c r="H562" s="125">
        <f t="shared" si="972"/>
        <v>0</v>
      </c>
      <c r="I562" s="125" t="s">
        <v>1235</v>
      </c>
      <c r="J562" s="304"/>
      <c r="K562" s="125" t="s">
        <v>1143</v>
      </c>
      <c r="L562" s="125">
        <v>550</v>
      </c>
      <c r="M562" s="125" t="s">
        <v>1763</v>
      </c>
      <c r="N562" s="125">
        <f t="shared" si="973"/>
        <v>0</v>
      </c>
      <c r="O562" s="304"/>
      <c r="P562" s="304"/>
      <c r="Q562" s="304"/>
      <c r="R562" s="304"/>
      <c r="S562" s="304"/>
      <c r="T562" s="304"/>
      <c r="U562" s="304"/>
      <c r="V562" s="304"/>
      <c r="W562" s="304"/>
      <c r="X562" s="304"/>
      <c r="Y562" s="304"/>
      <c r="Z562" s="304"/>
      <c r="AA562" s="125"/>
      <c r="AB562" s="125">
        <f t="shared" si="974"/>
        <v>0</v>
      </c>
      <c r="AC562" s="125">
        <f t="shared" si="975"/>
        <v>0</v>
      </c>
      <c r="AD562" s="125"/>
      <c r="AE562" s="125"/>
      <c r="AF562" s="125">
        <f t="shared" si="976"/>
        <v>0</v>
      </c>
      <c r="AG562" s="125"/>
      <c r="AH562" s="125"/>
      <c r="AI562" s="125">
        <f t="shared" si="977"/>
        <v>0</v>
      </c>
      <c r="AJ562" s="125"/>
      <c r="AK562" s="125"/>
      <c r="AL562" s="125">
        <f t="shared" si="978"/>
        <v>0</v>
      </c>
      <c r="AM562" s="125"/>
      <c r="AN562" s="125"/>
      <c r="AO562" s="125">
        <f t="shared" si="979"/>
        <v>0</v>
      </c>
      <c r="AP562" s="125"/>
      <c r="AQ562" s="125"/>
      <c r="AR562" s="125">
        <f t="shared" si="980"/>
        <v>0</v>
      </c>
      <c r="AS562" s="125"/>
      <c r="AT562" s="125"/>
      <c r="AU562" s="125">
        <f t="shared" si="981"/>
        <v>0</v>
      </c>
      <c r="AV562" s="125"/>
      <c r="AW562" s="125"/>
      <c r="AX562" s="125">
        <f t="shared" si="982"/>
        <v>0</v>
      </c>
      <c r="AY562" s="125"/>
      <c r="AZ562" s="125"/>
      <c r="BA562" s="125">
        <f t="shared" si="983"/>
        <v>0</v>
      </c>
      <c r="BB562" s="125"/>
      <c r="BC562" s="125"/>
      <c r="BD562" s="125">
        <f t="shared" si="984"/>
        <v>0</v>
      </c>
      <c r="BE562" s="125"/>
      <c r="BF562" s="125"/>
      <c r="BG562" s="125">
        <f t="shared" si="985"/>
        <v>0</v>
      </c>
      <c r="BH562" s="125"/>
      <c r="BI562" s="125"/>
      <c r="BJ562" s="125">
        <f t="shared" si="986"/>
        <v>0</v>
      </c>
      <c r="BK562" s="125"/>
      <c r="BL562" s="312"/>
      <c r="BM562" s="317"/>
      <c r="BN562" s="320"/>
    </row>
    <row r="563" s="124" customFormat="1" ht="33.95" hidden="1" customHeight="1" outlineLevel="5" spans="2:66">
      <c r="B563" s="125" t="s">
        <v>792</v>
      </c>
      <c r="C563" s="126" t="s">
        <v>2112</v>
      </c>
      <c r="D563" s="124" t="s">
        <v>2113</v>
      </c>
      <c r="E563" s="125"/>
      <c r="F563" s="125" t="s">
        <v>1618</v>
      </c>
      <c r="G563" s="125" t="s">
        <v>936</v>
      </c>
      <c r="H563" s="125">
        <f t="shared" si="972"/>
        <v>0</v>
      </c>
      <c r="I563" s="125" t="s">
        <v>1235</v>
      </c>
      <c r="J563" s="304"/>
      <c r="K563" s="125" t="s">
        <v>1143</v>
      </c>
      <c r="L563" s="125">
        <v>610</v>
      </c>
      <c r="M563" s="125" t="s">
        <v>1763</v>
      </c>
      <c r="N563" s="125">
        <f t="shared" si="973"/>
        <v>0</v>
      </c>
      <c r="O563" s="304"/>
      <c r="P563" s="304"/>
      <c r="Q563" s="304"/>
      <c r="R563" s="304"/>
      <c r="S563" s="304"/>
      <c r="T563" s="304"/>
      <c r="U563" s="304"/>
      <c r="V563" s="304"/>
      <c r="W563" s="304"/>
      <c r="X563" s="304"/>
      <c r="Y563" s="304"/>
      <c r="Z563" s="304"/>
      <c r="AA563" s="125"/>
      <c r="AB563" s="125">
        <f t="shared" si="974"/>
        <v>0</v>
      </c>
      <c r="AC563" s="125">
        <f t="shared" si="975"/>
        <v>0</v>
      </c>
      <c r="AD563" s="125"/>
      <c r="AE563" s="125"/>
      <c r="AF563" s="125">
        <f t="shared" si="976"/>
        <v>0</v>
      </c>
      <c r="AG563" s="125"/>
      <c r="AH563" s="125"/>
      <c r="AI563" s="125">
        <f t="shared" si="977"/>
        <v>0</v>
      </c>
      <c r="AJ563" s="125"/>
      <c r="AK563" s="125"/>
      <c r="AL563" s="125">
        <f t="shared" si="978"/>
        <v>0</v>
      </c>
      <c r="AM563" s="125"/>
      <c r="AN563" s="125"/>
      <c r="AO563" s="125">
        <f t="shared" si="979"/>
        <v>0</v>
      </c>
      <c r="AP563" s="125"/>
      <c r="AQ563" s="125"/>
      <c r="AR563" s="125">
        <f t="shared" si="980"/>
        <v>0</v>
      </c>
      <c r="AS563" s="125"/>
      <c r="AT563" s="125"/>
      <c r="AU563" s="125">
        <f t="shared" si="981"/>
        <v>0</v>
      </c>
      <c r="AV563" s="125"/>
      <c r="AW563" s="125"/>
      <c r="AX563" s="125">
        <f t="shared" si="982"/>
        <v>0</v>
      </c>
      <c r="AY563" s="125"/>
      <c r="AZ563" s="125"/>
      <c r="BA563" s="125">
        <f t="shared" si="983"/>
        <v>0</v>
      </c>
      <c r="BB563" s="125"/>
      <c r="BC563" s="125"/>
      <c r="BD563" s="125">
        <f t="shared" si="984"/>
        <v>0</v>
      </c>
      <c r="BE563" s="125"/>
      <c r="BF563" s="125"/>
      <c r="BG563" s="125">
        <f t="shared" si="985"/>
        <v>0</v>
      </c>
      <c r="BH563" s="125"/>
      <c r="BI563" s="125"/>
      <c r="BJ563" s="125">
        <f t="shared" si="986"/>
        <v>0</v>
      </c>
      <c r="BK563" s="125"/>
      <c r="BL563" s="312"/>
      <c r="BM563" s="317"/>
      <c r="BN563" s="320"/>
    </row>
    <row r="564" s="124" customFormat="1" ht="33.95" hidden="1" customHeight="1" outlineLevel="5" spans="2:66">
      <c r="B564" s="125" t="s">
        <v>792</v>
      </c>
      <c r="C564" s="126" t="s">
        <v>2114</v>
      </c>
      <c r="D564" s="124" t="s">
        <v>2115</v>
      </c>
      <c r="E564" s="125"/>
      <c r="F564" s="125" t="s">
        <v>1618</v>
      </c>
      <c r="G564" s="125" t="s">
        <v>936</v>
      </c>
      <c r="H564" s="125">
        <f t="shared" si="972"/>
        <v>0</v>
      </c>
      <c r="I564" s="125" t="s">
        <v>1235</v>
      </c>
      <c r="J564" s="304"/>
      <c r="K564" s="125" t="s">
        <v>1143</v>
      </c>
      <c r="L564" s="125">
        <v>500</v>
      </c>
      <c r="M564" s="125" t="s">
        <v>1763</v>
      </c>
      <c r="N564" s="125">
        <f t="shared" si="973"/>
        <v>0</v>
      </c>
      <c r="O564" s="304"/>
      <c r="P564" s="304"/>
      <c r="Q564" s="304"/>
      <c r="R564" s="304"/>
      <c r="S564" s="304"/>
      <c r="T564" s="304"/>
      <c r="U564" s="304"/>
      <c r="V564" s="304"/>
      <c r="W564" s="304"/>
      <c r="X564" s="304"/>
      <c r="Y564" s="304"/>
      <c r="Z564" s="304"/>
      <c r="AA564" s="125"/>
      <c r="AB564" s="125">
        <f t="shared" si="974"/>
        <v>0</v>
      </c>
      <c r="AC564" s="125">
        <f t="shared" si="975"/>
        <v>0</v>
      </c>
      <c r="AD564" s="125"/>
      <c r="AE564" s="125"/>
      <c r="AF564" s="125">
        <f t="shared" si="976"/>
        <v>0</v>
      </c>
      <c r="AG564" s="125"/>
      <c r="AH564" s="125"/>
      <c r="AI564" s="125">
        <f t="shared" si="977"/>
        <v>0</v>
      </c>
      <c r="AJ564" s="125"/>
      <c r="AK564" s="125"/>
      <c r="AL564" s="125">
        <f t="shared" si="978"/>
        <v>0</v>
      </c>
      <c r="AM564" s="125"/>
      <c r="AN564" s="125"/>
      <c r="AO564" s="125">
        <f t="shared" si="979"/>
        <v>0</v>
      </c>
      <c r="AP564" s="125"/>
      <c r="AQ564" s="125"/>
      <c r="AR564" s="125">
        <f t="shared" si="980"/>
        <v>0</v>
      </c>
      <c r="AS564" s="125"/>
      <c r="AT564" s="125"/>
      <c r="AU564" s="125">
        <f t="shared" si="981"/>
        <v>0</v>
      </c>
      <c r="AV564" s="125"/>
      <c r="AW564" s="125"/>
      <c r="AX564" s="125">
        <f t="shared" si="982"/>
        <v>0</v>
      </c>
      <c r="AY564" s="125"/>
      <c r="AZ564" s="125"/>
      <c r="BA564" s="125">
        <f t="shared" si="983"/>
        <v>0</v>
      </c>
      <c r="BB564" s="125"/>
      <c r="BC564" s="125"/>
      <c r="BD564" s="125">
        <f t="shared" si="984"/>
        <v>0</v>
      </c>
      <c r="BE564" s="125"/>
      <c r="BF564" s="125"/>
      <c r="BG564" s="125">
        <f t="shared" si="985"/>
        <v>0</v>
      </c>
      <c r="BH564" s="125"/>
      <c r="BI564" s="125"/>
      <c r="BJ564" s="125">
        <f t="shared" si="986"/>
        <v>0</v>
      </c>
      <c r="BK564" s="125"/>
      <c r="BL564" s="312"/>
      <c r="BM564" s="317"/>
      <c r="BN564" s="320"/>
    </row>
    <row r="565" s="124" customFormat="1" ht="33.95" hidden="1" customHeight="1" outlineLevel="5" spans="2:66">
      <c r="B565" s="125" t="s">
        <v>792</v>
      </c>
      <c r="C565" s="126" t="s">
        <v>2116</v>
      </c>
      <c r="D565" s="124" t="s">
        <v>2117</v>
      </c>
      <c r="E565" s="125"/>
      <c r="F565" s="125" t="s">
        <v>1618</v>
      </c>
      <c r="G565" s="125" t="s">
        <v>936</v>
      </c>
      <c r="H565" s="125">
        <f t="shared" si="972"/>
        <v>0</v>
      </c>
      <c r="I565" s="125" t="s">
        <v>1235</v>
      </c>
      <c r="J565" s="304"/>
      <c r="K565" s="125" t="s">
        <v>2118</v>
      </c>
      <c r="L565" s="125">
        <v>570</v>
      </c>
      <c r="M565" s="125" t="s">
        <v>2119</v>
      </c>
      <c r="N565" s="125">
        <f t="shared" si="973"/>
        <v>0</v>
      </c>
      <c r="O565" s="304"/>
      <c r="P565" s="304"/>
      <c r="Q565" s="304"/>
      <c r="R565" s="304"/>
      <c r="S565" s="304"/>
      <c r="T565" s="304"/>
      <c r="U565" s="304"/>
      <c r="V565" s="304"/>
      <c r="W565" s="304"/>
      <c r="X565" s="304"/>
      <c r="Y565" s="304"/>
      <c r="Z565" s="304"/>
      <c r="AA565" s="125"/>
      <c r="AB565" s="125">
        <f t="shared" si="974"/>
        <v>0</v>
      </c>
      <c r="AC565" s="125">
        <f t="shared" si="975"/>
        <v>0</v>
      </c>
      <c r="AD565" s="125"/>
      <c r="AE565" s="125"/>
      <c r="AF565" s="125">
        <f t="shared" si="976"/>
        <v>0</v>
      </c>
      <c r="AG565" s="125"/>
      <c r="AH565" s="125"/>
      <c r="AI565" s="125">
        <f t="shared" si="977"/>
        <v>0</v>
      </c>
      <c r="AJ565" s="125"/>
      <c r="AK565" s="125"/>
      <c r="AL565" s="125">
        <f t="shared" si="978"/>
        <v>0</v>
      </c>
      <c r="AM565" s="125"/>
      <c r="AN565" s="125"/>
      <c r="AO565" s="125">
        <f t="shared" si="979"/>
        <v>0</v>
      </c>
      <c r="AP565" s="125"/>
      <c r="AQ565" s="125"/>
      <c r="AR565" s="125">
        <f t="shared" si="980"/>
        <v>0</v>
      </c>
      <c r="AS565" s="125"/>
      <c r="AT565" s="125"/>
      <c r="AU565" s="125">
        <f t="shared" si="981"/>
        <v>0</v>
      </c>
      <c r="AV565" s="125"/>
      <c r="AW565" s="125"/>
      <c r="AX565" s="125">
        <f t="shared" si="982"/>
        <v>0</v>
      </c>
      <c r="AY565" s="125"/>
      <c r="AZ565" s="125"/>
      <c r="BA565" s="125">
        <f t="shared" si="983"/>
        <v>0</v>
      </c>
      <c r="BB565" s="125"/>
      <c r="BC565" s="125"/>
      <c r="BD565" s="125">
        <f t="shared" si="984"/>
        <v>0</v>
      </c>
      <c r="BE565" s="125"/>
      <c r="BF565" s="125"/>
      <c r="BG565" s="125">
        <f t="shared" si="985"/>
        <v>0</v>
      </c>
      <c r="BH565" s="125"/>
      <c r="BI565" s="125"/>
      <c r="BJ565" s="125">
        <f t="shared" si="986"/>
        <v>0</v>
      </c>
      <c r="BK565" s="125"/>
      <c r="BL565" s="312"/>
      <c r="BM565" s="317"/>
      <c r="BN565" s="320"/>
    </row>
    <row r="566" s="124" customFormat="1" ht="33.95" hidden="1" customHeight="1" outlineLevel="5" spans="2:66">
      <c r="B566" s="125" t="s">
        <v>792</v>
      </c>
      <c r="C566" s="126" t="s">
        <v>2120</v>
      </c>
      <c r="D566" s="124" t="s">
        <v>2121</v>
      </c>
      <c r="E566" s="125"/>
      <c r="F566" s="125" t="s">
        <v>1618</v>
      </c>
      <c r="G566" s="125" t="s">
        <v>936</v>
      </c>
      <c r="H566" s="125">
        <f t="shared" si="972"/>
        <v>0</v>
      </c>
      <c r="I566" s="125" t="s">
        <v>1235</v>
      </c>
      <c r="J566" s="304"/>
      <c r="K566" s="125" t="s">
        <v>1626</v>
      </c>
      <c r="L566" s="125">
        <v>115</v>
      </c>
      <c r="M566" s="125" t="s">
        <v>1627</v>
      </c>
      <c r="N566" s="125">
        <f t="shared" si="973"/>
        <v>0</v>
      </c>
      <c r="O566" s="304"/>
      <c r="P566" s="304"/>
      <c r="Q566" s="304"/>
      <c r="R566" s="304"/>
      <c r="S566" s="304"/>
      <c r="T566" s="304"/>
      <c r="U566" s="304"/>
      <c r="V566" s="304"/>
      <c r="W566" s="304"/>
      <c r="X566" s="304"/>
      <c r="Y566" s="304"/>
      <c r="Z566" s="304"/>
      <c r="AA566" s="125"/>
      <c r="AB566" s="125">
        <f t="shared" si="974"/>
        <v>0</v>
      </c>
      <c r="AC566" s="125">
        <f t="shared" si="975"/>
        <v>0</v>
      </c>
      <c r="AD566" s="125"/>
      <c r="AE566" s="125"/>
      <c r="AF566" s="125">
        <f t="shared" si="976"/>
        <v>0</v>
      </c>
      <c r="AG566" s="125"/>
      <c r="AH566" s="125"/>
      <c r="AI566" s="125">
        <f t="shared" si="977"/>
        <v>0</v>
      </c>
      <c r="AJ566" s="125"/>
      <c r="AK566" s="125"/>
      <c r="AL566" s="125">
        <f t="shared" si="978"/>
        <v>0</v>
      </c>
      <c r="AM566" s="125"/>
      <c r="AN566" s="125"/>
      <c r="AO566" s="125">
        <f t="shared" si="979"/>
        <v>0</v>
      </c>
      <c r="AP566" s="125"/>
      <c r="AQ566" s="125"/>
      <c r="AR566" s="125">
        <f t="shared" si="980"/>
        <v>0</v>
      </c>
      <c r="AS566" s="125"/>
      <c r="AT566" s="125"/>
      <c r="AU566" s="125">
        <f t="shared" si="981"/>
        <v>0</v>
      </c>
      <c r="AV566" s="125"/>
      <c r="AW566" s="125"/>
      <c r="AX566" s="125">
        <f t="shared" si="982"/>
        <v>0</v>
      </c>
      <c r="AY566" s="125"/>
      <c r="AZ566" s="125"/>
      <c r="BA566" s="125">
        <f t="shared" si="983"/>
        <v>0</v>
      </c>
      <c r="BB566" s="125"/>
      <c r="BC566" s="125"/>
      <c r="BD566" s="125">
        <f t="shared" si="984"/>
        <v>0</v>
      </c>
      <c r="BE566" s="125"/>
      <c r="BF566" s="125"/>
      <c r="BG566" s="125">
        <f t="shared" si="985"/>
        <v>0</v>
      </c>
      <c r="BH566" s="125"/>
      <c r="BI566" s="125"/>
      <c r="BJ566" s="125">
        <f t="shared" si="986"/>
        <v>0</v>
      </c>
      <c r="BK566" s="125"/>
      <c r="BL566" s="312"/>
      <c r="BM566" s="317"/>
      <c r="BN566" s="320"/>
    </row>
    <row r="567" s="124" customFormat="1" ht="33.95" hidden="1" customHeight="1" outlineLevel="5" spans="2:66">
      <c r="B567" s="125" t="s">
        <v>792</v>
      </c>
      <c r="C567" s="126" t="s">
        <v>2122</v>
      </c>
      <c r="D567" s="124" t="s">
        <v>2123</v>
      </c>
      <c r="E567" s="125"/>
      <c r="F567" s="125" t="s">
        <v>1618</v>
      </c>
      <c r="G567" s="125" t="s">
        <v>936</v>
      </c>
      <c r="H567" s="125">
        <f t="shared" si="972"/>
        <v>0</v>
      </c>
      <c r="I567" s="125" t="s">
        <v>1235</v>
      </c>
      <c r="J567" s="304"/>
      <c r="K567" s="125" t="s">
        <v>1143</v>
      </c>
      <c r="L567" s="125">
        <v>150</v>
      </c>
      <c r="M567" s="125" t="s">
        <v>1763</v>
      </c>
      <c r="N567" s="125">
        <f t="shared" si="973"/>
        <v>0</v>
      </c>
      <c r="O567" s="304"/>
      <c r="P567" s="304"/>
      <c r="Q567" s="304"/>
      <c r="R567" s="304"/>
      <c r="S567" s="304"/>
      <c r="T567" s="304"/>
      <c r="U567" s="304"/>
      <c r="V567" s="304"/>
      <c r="W567" s="304"/>
      <c r="X567" s="304"/>
      <c r="Y567" s="304"/>
      <c r="Z567" s="304"/>
      <c r="AA567" s="125"/>
      <c r="AB567" s="125">
        <f t="shared" si="974"/>
        <v>0</v>
      </c>
      <c r="AC567" s="125">
        <f t="shared" si="975"/>
        <v>0</v>
      </c>
      <c r="AD567" s="125"/>
      <c r="AE567" s="125"/>
      <c r="AF567" s="125">
        <f t="shared" si="976"/>
        <v>0</v>
      </c>
      <c r="AG567" s="125"/>
      <c r="AH567" s="125"/>
      <c r="AI567" s="125">
        <f t="shared" si="977"/>
        <v>0</v>
      </c>
      <c r="AJ567" s="125"/>
      <c r="AK567" s="125"/>
      <c r="AL567" s="125">
        <f t="shared" si="978"/>
        <v>0</v>
      </c>
      <c r="AM567" s="125"/>
      <c r="AN567" s="125"/>
      <c r="AO567" s="125">
        <f t="shared" si="979"/>
        <v>0</v>
      </c>
      <c r="AP567" s="125"/>
      <c r="AQ567" s="125"/>
      <c r="AR567" s="125">
        <f t="shared" si="980"/>
        <v>0</v>
      </c>
      <c r="AS567" s="125"/>
      <c r="AT567" s="125"/>
      <c r="AU567" s="125">
        <f t="shared" si="981"/>
        <v>0</v>
      </c>
      <c r="AV567" s="125"/>
      <c r="AW567" s="125"/>
      <c r="AX567" s="125">
        <f t="shared" si="982"/>
        <v>0</v>
      </c>
      <c r="AY567" s="125"/>
      <c r="AZ567" s="125"/>
      <c r="BA567" s="125">
        <f t="shared" si="983"/>
        <v>0</v>
      </c>
      <c r="BB567" s="125"/>
      <c r="BC567" s="125"/>
      <c r="BD567" s="125">
        <f t="shared" si="984"/>
        <v>0</v>
      </c>
      <c r="BE567" s="125"/>
      <c r="BF567" s="125"/>
      <c r="BG567" s="125">
        <f t="shared" si="985"/>
        <v>0</v>
      </c>
      <c r="BH567" s="125"/>
      <c r="BI567" s="125"/>
      <c r="BJ567" s="125">
        <f t="shared" si="986"/>
        <v>0</v>
      </c>
      <c r="BK567" s="125"/>
      <c r="BL567" s="312"/>
      <c r="BM567" s="317"/>
      <c r="BN567" s="320"/>
    </row>
    <row r="568" s="124" customFormat="1" ht="33.95" hidden="1" customHeight="1" outlineLevel="5" spans="2:66">
      <c r="B568" s="125" t="s">
        <v>792</v>
      </c>
      <c r="C568" s="126" t="s">
        <v>2124</v>
      </c>
      <c r="D568" s="124" t="s">
        <v>2125</v>
      </c>
      <c r="E568" s="125"/>
      <c r="F568" s="125" t="s">
        <v>1618</v>
      </c>
      <c r="G568" s="125" t="s">
        <v>936</v>
      </c>
      <c r="H568" s="125">
        <f t="shared" si="972"/>
        <v>0</v>
      </c>
      <c r="I568" s="125" t="s">
        <v>1235</v>
      </c>
      <c r="J568" s="304"/>
      <c r="K568" s="125" t="s">
        <v>1143</v>
      </c>
      <c r="L568" s="125">
        <v>91</v>
      </c>
      <c r="M568" s="125" t="s">
        <v>1763</v>
      </c>
      <c r="N568" s="125">
        <f t="shared" si="973"/>
        <v>0</v>
      </c>
      <c r="O568" s="304"/>
      <c r="P568" s="304"/>
      <c r="Q568" s="304"/>
      <c r="R568" s="304"/>
      <c r="S568" s="304"/>
      <c r="T568" s="304"/>
      <c r="U568" s="304"/>
      <c r="V568" s="304"/>
      <c r="W568" s="304"/>
      <c r="X568" s="304"/>
      <c r="Y568" s="304"/>
      <c r="Z568" s="304"/>
      <c r="AA568" s="125"/>
      <c r="AB568" s="125">
        <f t="shared" si="974"/>
        <v>0</v>
      </c>
      <c r="AC568" s="125">
        <f t="shared" si="975"/>
        <v>0</v>
      </c>
      <c r="AD568" s="125"/>
      <c r="AE568" s="125"/>
      <c r="AF568" s="125">
        <f t="shared" si="976"/>
        <v>0</v>
      </c>
      <c r="AG568" s="125"/>
      <c r="AH568" s="125"/>
      <c r="AI568" s="125">
        <f t="shared" si="977"/>
        <v>0</v>
      </c>
      <c r="AJ568" s="125"/>
      <c r="AK568" s="125"/>
      <c r="AL568" s="125">
        <f t="shared" si="978"/>
        <v>0</v>
      </c>
      <c r="AM568" s="125"/>
      <c r="AN568" s="125"/>
      <c r="AO568" s="125">
        <f t="shared" si="979"/>
        <v>0</v>
      </c>
      <c r="AP568" s="125"/>
      <c r="AQ568" s="125"/>
      <c r="AR568" s="125">
        <f t="shared" si="980"/>
        <v>0</v>
      </c>
      <c r="AS568" s="125"/>
      <c r="AT568" s="125"/>
      <c r="AU568" s="125">
        <f t="shared" si="981"/>
        <v>0</v>
      </c>
      <c r="AV568" s="125"/>
      <c r="AW568" s="125"/>
      <c r="AX568" s="125">
        <f t="shared" si="982"/>
        <v>0</v>
      </c>
      <c r="AY568" s="125"/>
      <c r="AZ568" s="125"/>
      <c r="BA568" s="125">
        <f t="shared" si="983"/>
        <v>0</v>
      </c>
      <c r="BB568" s="125"/>
      <c r="BC568" s="125"/>
      <c r="BD568" s="125">
        <f t="shared" si="984"/>
        <v>0</v>
      </c>
      <c r="BE568" s="125"/>
      <c r="BF568" s="125"/>
      <c r="BG568" s="125">
        <f t="shared" si="985"/>
        <v>0</v>
      </c>
      <c r="BH568" s="125"/>
      <c r="BI568" s="125"/>
      <c r="BJ568" s="125">
        <f t="shared" si="986"/>
        <v>0</v>
      </c>
      <c r="BK568" s="125"/>
      <c r="BL568" s="312"/>
      <c r="BM568" s="317"/>
      <c r="BN568" s="320"/>
    </row>
    <row r="569" s="124" customFormat="1" ht="33.95" hidden="1" customHeight="1" outlineLevel="5" spans="2:66">
      <c r="B569" s="125" t="s">
        <v>792</v>
      </c>
      <c r="C569" s="126" t="s">
        <v>2126</v>
      </c>
      <c r="D569" s="124" t="s">
        <v>2127</v>
      </c>
      <c r="E569" s="125"/>
      <c r="F569" s="125" t="s">
        <v>1618</v>
      </c>
      <c r="G569" s="125" t="s">
        <v>936</v>
      </c>
      <c r="H569" s="125">
        <f t="shared" si="972"/>
        <v>0</v>
      </c>
      <c r="I569" s="125" t="s">
        <v>1235</v>
      </c>
      <c r="J569" s="304"/>
      <c r="K569" s="125" t="s">
        <v>1143</v>
      </c>
      <c r="L569" s="125">
        <v>165</v>
      </c>
      <c r="M569" s="125" t="s">
        <v>1763</v>
      </c>
      <c r="N569" s="125">
        <f t="shared" si="973"/>
        <v>0</v>
      </c>
      <c r="O569" s="322"/>
      <c r="P569" s="322"/>
      <c r="Q569" s="322"/>
      <c r="R569" s="322"/>
      <c r="S569" s="322"/>
      <c r="T569" s="322"/>
      <c r="U569" s="322"/>
      <c r="V569" s="322"/>
      <c r="W569" s="322"/>
      <c r="X569" s="322"/>
      <c r="Y569" s="322"/>
      <c r="Z569" s="322"/>
      <c r="AA569" s="125"/>
      <c r="AB569" s="125">
        <f t="shared" si="974"/>
        <v>0</v>
      </c>
      <c r="AC569" s="125">
        <f t="shared" si="975"/>
        <v>0</v>
      </c>
      <c r="AD569" s="125"/>
      <c r="AE569" s="125"/>
      <c r="AF569" s="125">
        <f t="shared" si="976"/>
        <v>0</v>
      </c>
      <c r="AG569" s="125"/>
      <c r="AH569" s="125"/>
      <c r="AI569" s="125">
        <f t="shared" si="977"/>
        <v>0</v>
      </c>
      <c r="AJ569" s="125"/>
      <c r="AK569" s="125"/>
      <c r="AL569" s="125">
        <f t="shared" si="978"/>
        <v>0</v>
      </c>
      <c r="AM569" s="125"/>
      <c r="AN569" s="125"/>
      <c r="AO569" s="125">
        <f t="shared" si="979"/>
        <v>0</v>
      </c>
      <c r="AP569" s="125"/>
      <c r="AQ569" s="125"/>
      <c r="AR569" s="125">
        <f t="shared" si="980"/>
        <v>0</v>
      </c>
      <c r="AS569" s="125"/>
      <c r="AT569" s="125"/>
      <c r="AU569" s="125">
        <f t="shared" si="981"/>
        <v>0</v>
      </c>
      <c r="AV569" s="125"/>
      <c r="AW569" s="125"/>
      <c r="AX569" s="125">
        <f t="shared" si="982"/>
        <v>0</v>
      </c>
      <c r="AY569" s="125"/>
      <c r="AZ569" s="125"/>
      <c r="BA569" s="125">
        <f t="shared" si="983"/>
        <v>0</v>
      </c>
      <c r="BB569" s="125"/>
      <c r="BC569" s="125"/>
      <c r="BD569" s="125">
        <f t="shared" si="984"/>
        <v>0</v>
      </c>
      <c r="BE569" s="125"/>
      <c r="BF569" s="125"/>
      <c r="BG569" s="125">
        <f t="shared" si="985"/>
        <v>0</v>
      </c>
      <c r="BH569" s="125"/>
      <c r="BI569" s="125"/>
      <c r="BJ569" s="125">
        <f t="shared" si="986"/>
        <v>0</v>
      </c>
      <c r="BK569" s="125"/>
      <c r="BL569" s="312"/>
      <c r="BM569" s="317"/>
      <c r="BN569" s="320"/>
    </row>
    <row r="570" s="43" customFormat="1" ht="33.95" hidden="1" customHeight="1" outlineLevel="3" spans="2:66">
      <c r="B570" s="121" t="s">
        <v>787</v>
      </c>
      <c r="C570" s="122" t="s">
        <v>2128</v>
      </c>
      <c r="D570" s="43" t="s">
        <v>2129</v>
      </c>
      <c r="E570" s="121"/>
      <c r="F570" s="121"/>
      <c r="G570" s="121"/>
      <c r="H570" s="121">
        <f>SUM(H571:H580)</f>
        <v>0</v>
      </c>
      <c r="I570" s="121"/>
      <c r="J570" s="121"/>
      <c r="K570" s="121"/>
      <c r="L570" s="121"/>
      <c r="M570" s="121"/>
      <c r="N570" s="311"/>
      <c r="O570" s="294"/>
      <c r="P570" s="294"/>
      <c r="Q570" s="294"/>
      <c r="R570" s="294"/>
      <c r="S570" s="294"/>
      <c r="T570" s="294"/>
      <c r="U570" s="294"/>
      <c r="V570" s="294"/>
      <c r="W570" s="294"/>
      <c r="X570" s="294"/>
      <c r="Y570" s="294"/>
      <c r="Z570" s="294"/>
      <c r="AA570" s="294"/>
      <c r="AB570" s="121">
        <f t="shared" ref="AB570:AC570" si="987">SUM(AB571:AB580)</f>
        <v>0</v>
      </c>
      <c r="AC570" s="121">
        <f t="shared" si="987"/>
        <v>0</v>
      </c>
      <c r="AD570" s="121"/>
      <c r="AE570" s="121"/>
      <c r="AF570" s="121">
        <f>SUM(AF571:AF580)</f>
        <v>0</v>
      </c>
      <c r="AG570" s="121"/>
      <c r="AH570" s="121"/>
      <c r="AI570" s="121">
        <f>SUM(AI571:AI580)</f>
        <v>0</v>
      </c>
      <c r="AJ570" s="121"/>
      <c r="AK570" s="121"/>
      <c r="AL570" s="121">
        <f>SUM(AL571:AL580)</f>
        <v>0</v>
      </c>
      <c r="AM570" s="121"/>
      <c r="AN570" s="121"/>
      <c r="AO570" s="121">
        <f>SUM(AO571:AO580)</f>
        <v>0</v>
      </c>
      <c r="AP570" s="121"/>
      <c r="AQ570" s="121"/>
      <c r="AR570" s="121">
        <f>SUM(AR571:AR580)</f>
        <v>0</v>
      </c>
      <c r="AS570" s="121"/>
      <c r="AT570" s="121"/>
      <c r="AU570" s="121">
        <f>SUM(AU571:AU580)</f>
        <v>0</v>
      </c>
      <c r="AV570" s="121"/>
      <c r="AW570" s="121"/>
      <c r="AX570" s="121">
        <f>SUM(AX571:AX580)</f>
        <v>0</v>
      </c>
      <c r="AY570" s="121"/>
      <c r="AZ570" s="121"/>
      <c r="BA570" s="121">
        <f>SUM(BA571:BA580)</f>
        <v>0</v>
      </c>
      <c r="BB570" s="121"/>
      <c r="BC570" s="121"/>
      <c r="BD570" s="121">
        <f>SUM(BD571:BD580)</f>
        <v>0</v>
      </c>
      <c r="BE570" s="121"/>
      <c r="BF570" s="121"/>
      <c r="BG570" s="121">
        <f>SUM(BG571:BG580)</f>
        <v>0</v>
      </c>
      <c r="BH570" s="121"/>
      <c r="BI570" s="121"/>
      <c r="BJ570" s="121">
        <f>SUM(BJ571:BJ580)</f>
        <v>0</v>
      </c>
      <c r="BK570" s="121"/>
      <c r="BL570" s="311"/>
      <c r="BM570" s="317"/>
      <c r="BN570" s="319"/>
    </row>
    <row r="571" s="124" customFormat="1" ht="33.95" hidden="1" customHeight="1" outlineLevel="4" spans="2:66">
      <c r="B571" s="125" t="s">
        <v>792</v>
      </c>
      <c r="C571" s="126" t="s">
        <v>2130</v>
      </c>
      <c r="D571" s="124" t="s">
        <v>2131</v>
      </c>
      <c r="E571" s="125"/>
      <c r="F571" s="125" t="s">
        <v>2132</v>
      </c>
      <c r="G571" s="125" t="s">
        <v>1844</v>
      </c>
      <c r="H571" s="125">
        <f t="shared" ref="H571:H581" si="988">J571*L571*N571</f>
        <v>0</v>
      </c>
      <c r="I571" s="125" t="s">
        <v>1235</v>
      </c>
      <c r="J571" s="125">
        <v>1</v>
      </c>
      <c r="K571" s="125" t="s">
        <v>1236</v>
      </c>
      <c r="L571" s="304"/>
      <c r="M571" s="125" t="s">
        <v>1237</v>
      </c>
      <c r="N571" s="312">
        <v>12</v>
      </c>
      <c r="O571" s="295"/>
      <c r="P571" s="295"/>
      <c r="Q571" s="295"/>
      <c r="R571" s="295"/>
      <c r="S571" s="295"/>
      <c r="T571" s="295"/>
      <c r="U571" s="295"/>
      <c r="V571" s="295"/>
      <c r="W571" s="295"/>
      <c r="X571" s="295"/>
      <c r="Y571" s="295"/>
      <c r="Z571" s="295"/>
      <c r="AA571" s="295"/>
      <c r="AB571" s="125">
        <f t="shared" ref="AB571:AB581" si="989">SUM(AC571,AF571,AI571,AL571,AO571,AR571,AU571,AX571,BA571,BD571,BG571,BJ571)</f>
        <v>0</v>
      </c>
      <c r="AC571" s="125">
        <f t="shared" ref="AC571:AC580" si="990">IF(O571="√",$J571*$L571/$N571,0)</f>
        <v>0</v>
      </c>
      <c r="AD571" s="125"/>
      <c r="AE571" s="125"/>
      <c r="AF571" s="125">
        <f t="shared" ref="AF571:AF580" si="991">IF(P571="√",$J571*$L571/$N571,0)</f>
        <v>0</v>
      </c>
      <c r="AG571" s="125"/>
      <c r="AH571" s="125"/>
      <c r="AI571" s="125">
        <f t="shared" ref="AI571:AI580" si="992">IF(Q571="√",$J571*$L571/$N571,0)</f>
        <v>0</v>
      </c>
      <c r="AJ571" s="125"/>
      <c r="AK571" s="125"/>
      <c r="AL571" s="125">
        <f t="shared" ref="AL571:AL580" si="993">IF(R571="√",$J571*$L571/$N571,0)</f>
        <v>0</v>
      </c>
      <c r="AM571" s="125"/>
      <c r="AN571" s="125"/>
      <c r="AO571" s="125">
        <f t="shared" ref="AO571:AO580" si="994">IF(S571="√",$J571*$L571/$N571,0)</f>
        <v>0</v>
      </c>
      <c r="AP571" s="125"/>
      <c r="AQ571" s="125"/>
      <c r="AR571" s="125">
        <f t="shared" ref="AR571:AR580" si="995">IF(T571="√",$J571*$L571/$N571,0)</f>
        <v>0</v>
      </c>
      <c r="AS571" s="125"/>
      <c r="AT571" s="125"/>
      <c r="AU571" s="125">
        <f t="shared" ref="AU571:AU580" si="996">IF(U571="√",$J571*$L571/$N571,0)</f>
        <v>0</v>
      </c>
      <c r="AV571" s="125"/>
      <c r="AW571" s="125"/>
      <c r="AX571" s="125">
        <f t="shared" ref="AX571:AX580" si="997">IF(V571="√",$J571*$L571/$N571,0)</f>
        <v>0</v>
      </c>
      <c r="AY571" s="125"/>
      <c r="AZ571" s="125"/>
      <c r="BA571" s="125">
        <f t="shared" ref="BA571:BA580" si="998">IF(W571="√",$J571*$L571/$N571,0)</f>
        <v>0</v>
      </c>
      <c r="BB571" s="125"/>
      <c r="BC571" s="125"/>
      <c r="BD571" s="125">
        <f t="shared" ref="BD571:BD580" si="999">IF(X571="√",$J571*$L571/$N571,0)</f>
        <v>0</v>
      </c>
      <c r="BE571" s="125"/>
      <c r="BF571" s="125"/>
      <c r="BG571" s="125">
        <f t="shared" ref="BG571:BG580" si="1000">IF(Y571="√",$J571*$L571/$N571,0)</f>
        <v>0</v>
      </c>
      <c r="BH571" s="125"/>
      <c r="BI571" s="125"/>
      <c r="BJ571" s="125">
        <f t="shared" ref="BJ571:BJ580" si="1001">IF(Z571="√",$J571*$L571/$N571,0)</f>
        <v>0</v>
      </c>
      <c r="BK571" s="125"/>
      <c r="BL571" s="312"/>
      <c r="BM571" s="317"/>
      <c r="BN571" s="320"/>
    </row>
    <row r="572" s="124" customFormat="1" ht="33.95" hidden="1" customHeight="1" outlineLevel="4" spans="2:66">
      <c r="B572" s="125" t="s">
        <v>792</v>
      </c>
      <c r="C572" s="126" t="s">
        <v>2133</v>
      </c>
      <c r="D572" s="124" t="s">
        <v>2134</v>
      </c>
      <c r="E572" s="125"/>
      <c r="F572" s="125" t="s">
        <v>2132</v>
      </c>
      <c r="G572" s="125" t="s">
        <v>1844</v>
      </c>
      <c r="H572" s="125">
        <f t="shared" si="988"/>
        <v>0</v>
      </c>
      <c r="I572" s="125" t="s">
        <v>1235</v>
      </c>
      <c r="J572" s="125">
        <v>1</v>
      </c>
      <c r="K572" s="125" t="s">
        <v>1236</v>
      </c>
      <c r="L572" s="304"/>
      <c r="M572" s="125" t="s">
        <v>1237</v>
      </c>
      <c r="N572" s="312">
        <v>12</v>
      </c>
      <c r="O572" s="295"/>
      <c r="P572" s="295"/>
      <c r="Q572" s="295"/>
      <c r="R572" s="295"/>
      <c r="S572" s="295"/>
      <c r="T572" s="295"/>
      <c r="U572" s="295"/>
      <c r="V572" s="295"/>
      <c r="W572" s="295"/>
      <c r="X572" s="295"/>
      <c r="Y572" s="295"/>
      <c r="Z572" s="295"/>
      <c r="AA572" s="295"/>
      <c r="AB572" s="125">
        <f t="shared" si="989"/>
        <v>0</v>
      </c>
      <c r="AC572" s="125">
        <f t="shared" si="990"/>
        <v>0</v>
      </c>
      <c r="AD572" s="125"/>
      <c r="AE572" s="125"/>
      <c r="AF572" s="125">
        <f t="shared" si="991"/>
        <v>0</v>
      </c>
      <c r="AG572" s="125"/>
      <c r="AH572" s="125"/>
      <c r="AI572" s="125">
        <f t="shared" si="992"/>
        <v>0</v>
      </c>
      <c r="AJ572" s="125"/>
      <c r="AK572" s="125"/>
      <c r="AL572" s="125">
        <f t="shared" si="993"/>
        <v>0</v>
      </c>
      <c r="AM572" s="125"/>
      <c r="AN572" s="125"/>
      <c r="AO572" s="125">
        <f t="shared" si="994"/>
        <v>0</v>
      </c>
      <c r="AP572" s="125"/>
      <c r="AQ572" s="125"/>
      <c r="AR572" s="125">
        <f t="shared" si="995"/>
        <v>0</v>
      </c>
      <c r="AS572" s="125"/>
      <c r="AT572" s="125"/>
      <c r="AU572" s="125">
        <f t="shared" si="996"/>
        <v>0</v>
      </c>
      <c r="AV572" s="125"/>
      <c r="AW572" s="125"/>
      <c r="AX572" s="125">
        <f t="shared" si="997"/>
        <v>0</v>
      </c>
      <c r="AY572" s="125"/>
      <c r="AZ572" s="125"/>
      <c r="BA572" s="125">
        <f t="shared" si="998"/>
        <v>0</v>
      </c>
      <c r="BB572" s="125"/>
      <c r="BC572" s="125"/>
      <c r="BD572" s="125">
        <f t="shared" si="999"/>
        <v>0</v>
      </c>
      <c r="BE572" s="125"/>
      <c r="BF572" s="125"/>
      <c r="BG572" s="125">
        <f t="shared" si="1000"/>
        <v>0</v>
      </c>
      <c r="BH572" s="125"/>
      <c r="BI572" s="125"/>
      <c r="BJ572" s="125">
        <f t="shared" si="1001"/>
        <v>0</v>
      </c>
      <c r="BK572" s="125"/>
      <c r="BL572" s="312"/>
      <c r="BM572" s="317"/>
      <c r="BN572" s="320"/>
    </row>
    <row r="573" s="124" customFormat="1" ht="33.95" hidden="1" customHeight="1" outlineLevel="4" spans="2:66">
      <c r="B573" s="125" t="s">
        <v>792</v>
      </c>
      <c r="C573" s="126" t="s">
        <v>2135</v>
      </c>
      <c r="D573" s="124" t="s">
        <v>2136</v>
      </c>
      <c r="E573" s="125"/>
      <c r="F573" s="125" t="s">
        <v>2132</v>
      </c>
      <c r="G573" s="125" t="s">
        <v>1844</v>
      </c>
      <c r="H573" s="125">
        <f t="shared" si="988"/>
        <v>0</v>
      </c>
      <c r="I573" s="125" t="s">
        <v>1235</v>
      </c>
      <c r="J573" s="125">
        <v>1</v>
      </c>
      <c r="K573" s="125" t="s">
        <v>1236</v>
      </c>
      <c r="L573" s="304"/>
      <c r="M573" s="125" t="s">
        <v>1237</v>
      </c>
      <c r="N573" s="312">
        <v>12</v>
      </c>
      <c r="O573" s="295"/>
      <c r="P573" s="295"/>
      <c r="Q573" s="295"/>
      <c r="R573" s="295"/>
      <c r="S573" s="295"/>
      <c r="T573" s="295"/>
      <c r="U573" s="295"/>
      <c r="V573" s="295"/>
      <c r="W573" s="295"/>
      <c r="X573" s="295"/>
      <c r="Y573" s="295"/>
      <c r="Z573" s="295"/>
      <c r="AA573" s="295"/>
      <c r="AB573" s="125">
        <f t="shared" si="989"/>
        <v>0</v>
      </c>
      <c r="AC573" s="125">
        <f t="shared" si="990"/>
        <v>0</v>
      </c>
      <c r="AD573" s="125"/>
      <c r="AE573" s="125"/>
      <c r="AF573" s="125">
        <f t="shared" si="991"/>
        <v>0</v>
      </c>
      <c r="AG573" s="125"/>
      <c r="AH573" s="125"/>
      <c r="AI573" s="125">
        <f t="shared" si="992"/>
        <v>0</v>
      </c>
      <c r="AJ573" s="125"/>
      <c r="AK573" s="125"/>
      <c r="AL573" s="125">
        <f t="shared" si="993"/>
        <v>0</v>
      </c>
      <c r="AM573" s="125"/>
      <c r="AN573" s="125"/>
      <c r="AO573" s="125">
        <f t="shared" si="994"/>
        <v>0</v>
      </c>
      <c r="AP573" s="125"/>
      <c r="AQ573" s="125"/>
      <c r="AR573" s="125">
        <f t="shared" si="995"/>
        <v>0</v>
      </c>
      <c r="AS573" s="125"/>
      <c r="AT573" s="125"/>
      <c r="AU573" s="125">
        <f t="shared" si="996"/>
        <v>0</v>
      </c>
      <c r="AV573" s="125"/>
      <c r="AW573" s="125"/>
      <c r="AX573" s="125">
        <f t="shared" si="997"/>
        <v>0</v>
      </c>
      <c r="AY573" s="125"/>
      <c r="AZ573" s="125"/>
      <c r="BA573" s="125">
        <f t="shared" si="998"/>
        <v>0</v>
      </c>
      <c r="BB573" s="125"/>
      <c r="BC573" s="125"/>
      <c r="BD573" s="125">
        <f t="shared" si="999"/>
        <v>0</v>
      </c>
      <c r="BE573" s="125"/>
      <c r="BF573" s="125"/>
      <c r="BG573" s="125">
        <f t="shared" si="1000"/>
        <v>0</v>
      </c>
      <c r="BH573" s="125"/>
      <c r="BI573" s="125"/>
      <c r="BJ573" s="125">
        <f t="shared" si="1001"/>
        <v>0</v>
      </c>
      <c r="BK573" s="125"/>
      <c r="BL573" s="312"/>
      <c r="BM573" s="317"/>
      <c r="BN573" s="320"/>
    </row>
    <row r="574" s="124" customFormat="1" ht="33.95" hidden="1" customHeight="1" outlineLevel="4" spans="2:66">
      <c r="B574" s="125" t="s">
        <v>792</v>
      </c>
      <c r="C574" s="126" t="s">
        <v>2137</v>
      </c>
      <c r="D574" s="124" t="s">
        <v>2138</v>
      </c>
      <c r="E574" s="125"/>
      <c r="F574" s="125" t="s">
        <v>2132</v>
      </c>
      <c r="G574" s="125" t="s">
        <v>1844</v>
      </c>
      <c r="H574" s="125">
        <f t="shared" si="988"/>
        <v>0</v>
      </c>
      <c r="I574" s="125" t="s">
        <v>1235</v>
      </c>
      <c r="J574" s="125">
        <v>1</v>
      </c>
      <c r="K574" s="125" t="s">
        <v>1236</v>
      </c>
      <c r="L574" s="304"/>
      <c r="M574" s="125" t="s">
        <v>1237</v>
      </c>
      <c r="N574" s="312">
        <v>12</v>
      </c>
      <c r="O574" s="295"/>
      <c r="P574" s="295"/>
      <c r="Q574" s="295"/>
      <c r="R574" s="295"/>
      <c r="S574" s="295"/>
      <c r="T574" s="295"/>
      <c r="U574" s="295"/>
      <c r="V574" s="295"/>
      <c r="W574" s="295"/>
      <c r="X574" s="295"/>
      <c r="Y574" s="295"/>
      <c r="Z574" s="295"/>
      <c r="AA574" s="295"/>
      <c r="AB574" s="125">
        <f t="shared" si="989"/>
        <v>0</v>
      </c>
      <c r="AC574" s="125">
        <f t="shared" si="990"/>
        <v>0</v>
      </c>
      <c r="AD574" s="125"/>
      <c r="AE574" s="125"/>
      <c r="AF574" s="125">
        <f t="shared" si="991"/>
        <v>0</v>
      </c>
      <c r="AG574" s="125"/>
      <c r="AH574" s="125"/>
      <c r="AI574" s="125">
        <f t="shared" si="992"/>
        <v>0</v>
      </c>
      <c r="AJ574" s="125"/>
      <c r="AK574" s="125"/>
      <c r="AL574" s="125">
        <f t="shared" si="993"/>
        <v>0</v>
      </c>
      <c r="AM574" s="125"/>
      <c r="AN574" s="125"/>
      <c r="AO574" s="125">
        <f t="shared" si="994"/>
        <v>0</v>
      </c>
      <c r="AP574" s="125"/>
      <c r="AQ574" s="125"/>
      <c r="AR574" s="125">
        <f t="shared" si="995"/>
        <v>0</v>
      </c>
      <c r="AS574" s="125"/>
      <c r="AT574" s="125"/>
      <c r="AU574" s="125">
        <f t="shared" si="996"/>
        <v>0</v>
      </c>
      <c r="AV574" s="125"/>
      <c r="AW574" s="125"/>
      <c r="AX574" s="125">
        <f t="shared" si="997"/>
        <v>0</v>
      </c>
      <c r="AY574" s="125"/>
      <c r="AZ574" s="125"/>
      <c r="BA574" s="125">
        <f t="shared" si="998"/>
        <v>0</v>
      </c>
      <c r="BB574" s="125"/>
      <c r="BC574" s="125"/>
      <c r="BD574" s="125">
        <f t="shared" si="999"/>
        <v>0</v>
      </c>
      <c r="BE574" s="125"/>
      <c r="BF574" s="125"/>
      <c r="BG574" s="125">
        <f t="shared" si="1000"/>
        <v>0</v>
      </c>
      <c r="BH574" s="125"/>
      <c r="BI574" s="125"/>
      <c r="BJ574" s="125">
        <f t="shared" si="1001"/>
        <v>0</v>
      </c>
      <c r="BK574" s="125"/>
      <c r="BL574" s="312"/>
      <c r="BM574" s="317"/>
      <c r="BN574" s="320"/>
    </row>
    <row r="575" s="124" customFormat="1" ht="33.95" hidden="1" customHeight="1" outlineLevel="4" spans="2:66">
      <c r="B575" s="125" t="s">
        <v>792</v>
      </c>
      <c r="C575" s="126" t="s">
        <v>2139</v>
      </c>
      <c r="D575" s="124" t="s">
        <v>2140</v>
      </c>
      <c r="E575" s="125"/>
      <c r="F575" s="125" t="s">
        <v>2132</v>
      </c>
      <c r="G575" s="125" t="s">
        <v>1844</v>
      </c>
      <c r="H575" s="125">
        <f t="shared" si="988"/>
        <v>0</v>
      </c>
      <c r="I575" s="125" t="s">
        <v>1235</v>
      </c>
      <c r="J575" s="125">
        <v>1</v>
      </c>
      <c r="K575" s="125" t="s">
        <v>1236</v>
      </c>
      <c r="L575" s="304"/>
      <c r="M575" s="125" t="s">
        <v>1237</v>
      </c>
      <c r="N575" s="312">
        <v>12</v>
      </c>
      <c r="O575" s="295"/>
      <c r="P575" s="295"/>
      <c r="Q575" s="295"/>
      <c r="R575" s="295"/>
      <c r="S575" s="295"/>
      <c r="T575" s="295"/>
      <c r="U575" s="295"/>
      <c r="V575" s="295"/>
      <c r="W575" s="295"/>
      <c r="X575" s="295"/>
      <c r="Y575" s="295"/>
      <c r="Z575" s="295"/>
      <c r="AA575" s="295"/>
      <c r="AB575" s="125">
        <f t="shared" si="989"/>
        <v>0</v>
      </c>
      <c r="AC575" s="125">
        <f t="shared" si="990"/>
        <v>0</v>
      </c>
      <c r="AD575" s="125"/>
      <c r="AE575" s="125"/>
      <c r="AF575" s="125">
        <f t="shared" si="991"/>
        <v>0</v>
      </c>
      <c r="AG575" s="125"/>
      <c r="AH575" s="125"/>
      <c r="AI575" s="125">
        <f t="shared" si="992"/>
        <v>0</v>
      </c>
      <c r="AJ575" s="125"/>
      <c r="AK575" s="125"/>
      <c r="AL575" s="125">
        <f t="shared" si="993"/>
        <v>0</v>
      </c>
      <c r="AM575" s="125"/>
      <c r="AN575" s="125"/>
      <c r="AO575" s="125">
        <f t="shared" si="994"/>
        <v>0</v>
      </c>
      <c r="AP575" s="125"/>
      <c r="AQ575" s="125"/>
      <c r="AR575" s="125">
        <f t="shared" si="995"/>
        <v>0</v>
      </c>
      <c r="AS575" s="125"/>
      <c r="AT575" s="125"/>
      <c r="AU575" s="125">
        <f t="shared" si="996"/>
        <v>0</v>
      </c>
      <c r="AV575" s="125"/>
      <c r="AW575" s="125"/>
      <c r="AX575" s="125">
        <f t="shared" si="997"/>
        <v>0</v>
      </c>
      <c r="AY575" s="125"/>
      <c r="AZ575" s="125"/>
      <c r="BA575" s="125">
        <f t="shared" si="998"/>
        <v>0</v>
      </c>
      <c r="BB575" s="125"/>
      <c r="BC575" s="125"/>
      <c r="BD575" s="125">
        <f t="shared" si="999"/>
        <v>0</v>
      </c>
      <c r="BE575" s="125"/>
      <c r="BF575" s="125"/>
      <c r="BG575" s="125">
        <f t="shared" si="1000"/>
        <v>0</v>
      </c>
      <c r="BH575" s="125"/>
      <c r="BI575" s="125"/>
      <c r="BJ575" s="125">
        <f t="shared" si="1001"/>
        <v>0</v>
      </c>
      <c r="BK575" s="125"/>
      <c r="BL575" s="312"/>
      <c r="BM575" s="317"/>
      <c r="BN575" s="320"/>
    </row>
    <row r="576" s="124" customFormat="1" ht="33.95" hidden="1" customHeight="1" outlineLevel="4" spans="2:66">
      <c r="B576" s="125" t="s">
        <v>792</v>
      </c>
      <c r="C576" s="126" t="s">
        <v>2141</v>
      </c>
      <c r="D576" s="124" t="s">
        <v>2142</v>
      </c>
      <c r="E576" s="125"/>
      <c r="F576" s="125" t="s">
        <v>2132</v>
      </c>
      <c r="G576" s="125" t="s">
        <v>1844</v>
      </c>
      <c r="H576" s="125">
        <f t="shared" si="988"/>
        <v>0</v>
      </c>
      <c r="I576" s="125" t="s">
        <v>1235</v>
      </c>
      <c r="J576" s="125">
        <v>1</v>
      </c>
      <c r="K576" s="125" t="s">
        <v>1236</v>
      </c>
      <c r="L576" s="304"/>
      <c r="M576" s="125" t="s">
        <v>1237</v>
      </c>
      <c r="N576" s="312">
        <v>12</v>
      </c>
      <c r="O576" s="295"/>
      <c r="P576" s="295"/>
      <c r="Q576" s="295"/>
      <c r="R576" s="295"/>
      <c r="S576" s="295"/>
      <c r="T576" s="295"/>
      <c r="U576" s="295"/>
      <c r="V576" s="295"/>
      <c r="W576" s="295"/>
      <c r="X576" s="295"/>
      <c r="Y576" s="295"/>
      <c r="Z576" s="295"/>
      <c r="AA576" s="295"/>
      <c r="AB576" s="125">
        <f t="shared" si="989"/>
        <v>0</v>
      </c>
      <c r="AC576" s="125">
        <f t="shared" si="990"/>
        <v>0</v>
      </c>
      <c r="AD576" s="125"/>
      <c r="AE576" s="125"/>
      <c r="AF576" s="125">
        <f t="shared" si="991"/>
        <v>0</v>
      </c>
      <c r="AG576" s="125"/>
      <c r="AH576" s="125"/>
      <c r="AI576" s="125">
        <f t="shared" si="992"/>
        <v>0</v>
      </c>
      <c r="AJ576" s="125"/>
      <c r="AK576" s="125"/>
      <c r="AL576" s="125">
        <f t="shared" si="993"/>
        <v>0</v>
      </c>
      <c r="AM576" s="125"/>
      <c r="AN576" s="125"/>
      <c r="AO576" s="125">
        <f t="shared" si="994"/>
        <v>0</v>
      </c>
      <c r="AP576" s="125"/>
      <c r="AQ576" s="125"/>
      <c r="AR576" s="125">
        <f t="shared" si="995"/>
        <v>0</v>
      </c>
      <c r="AS576" s="125"/>
      <c r="AT576" s="125"/>
      <c r="AU576" s="125">
        <f t="shared" si="996"/>
        <v>0</v>
      </c>
      <c r="AV576" s="125"/>
      <c r="AW576" s="125"/>
      <c r="AX576" s="125">
        <f t="shared" si="997"/>
        <v>0</v>
      </c>
      <c r="AY576" s="125"/>
      <c r="AZ576" s="125"/>
      <c r="BA576" s="125">
        <f t="shared" si="998"/>
        <v>0</v>
      </c>
      <c r="BB576" s="125"/>
      <c r="BC576" s="125"/>
      <c r="BD576" s="125">
        <f t="shared" si="999"/>
        <v>0</v>
      </c>
      <c r="BE576" s="125"/>
      <c r="BF576" s="125"/>
      <c r="BG576" s="125">
        <f t="shared" si="1000"/>
        <v>0</v>
      </c>
      <c r="BH576" s="125"/>
      <c r="BI576" s="125"/>
      <c r="BJ576" s="125">
        <f t="shared" si="1001"/>
        <v>0</v>
      </c>
      <c r="BK576" s="125"/>
      <c r="BL576" s="312"/>
      <c r="BM576" s="317"/>
      <c r="BN576" s="320"/>
    </row>
    <row r="577" s="124" customFormat="1" ht="33.95" hidden="1" customHeight="1" outlineLevel="4" spans="2:66">
      <c r="B577" s="125" t="s">
        <v>792</v>
      </c>
      <c r="C577" s="126" t="s">
        <v>2143</v>
      </c>
      <c r="D577" s="124" t="s">
        <v>2144</v>
      </c>
      <c r="E577" s="125"/>
      <c r="F577" s="125" t="s">
        <v>2132</v>
      </c>
      <c r="G577" s="125" t="s">
        <v>1844</v>
      </c>
      <c r="H577" s="125">
        <f t="shared" si="988"/>
        <v>0</v>
      </c>
      <c r="I577" s="125" t="s">
        <v>1235</v>
      </c>
      <c r="J577" s="125">
        <v>1</v>
      </c>
      <c r="K577" s="125" t="s">
        <v>1236</v>
      </c>
      <c r="L577" s="304"/>
      <c r="M577" s="125" t="s">
        <v>1237</v>
      </c>
      <c r="N577" s="312">
        <v>12</v>
      </c>
      <c r="O577" s="295"/>
      <c r="P577" s="295"/>
      <c r="Q577" s="295"/>
      <c r="R577" s="295"/>
      <c r="S577" s="295"/>
      <c r="T577" s="295"/>
      <c r="U577" s="295"/>
      <c r="V577" s="295"/>
      <c r="W577" s="295"/>
      <c r="X577" s="295"/>
      <c r="Y577" s="295"/>
      <c r="Z577" s="295"/>
      <c r="AA577" s="295"/>
      <c r="AB577" s="125">
        <f t="shared" si="989"/>
        <v>0</v>
      </c>
      <c r="AC577" s="125">
        <f t="shared" si="990"/>
        <v>0</v>
      </c>
      <c r="AD577" s="125"/>
      <c r="AE577" s="125"/>
      <c r="AF577" s="125">
        <f t="shared" si="991"/>
        <v>0</v>
      </c>
      <c r="AG577" s="125"/>
      <c r="AH577" s="125"/>
      <c r="AI577" s="125">
        <f t="shared" si="992"/>
        <v>0</v>
      </c>
      <c r="AJ577" s="125"/>
      <c r="AK577" s="125"/>
      <c r="AL577" s="125">
        <f t="shared" si="993"/>
        <v>0</v>
      </c>
      <c r="AM577" s="125"/>
      <c r="AN577" s="125"/>
      <c r="AO577" s="125">
        <f t="shared" si="994"/>
        <v>0</v>
      </c>
      <c r="AP577" s="125"/>
      <c r="AQ577" s="125"/>
      <c r="AR577" s="125">
        <f t="shared" si="995"/>
        <v>0</v>
      </c>
      <c r="AS577" s="125"/>
      <c r="AT577" s="125"/>
      <c r="AU577" s="125">
        <f t="shared" si="996"/>
        <v>0</v>
      </c>
      <c r="AV577" s="125"/>
      <c r="AW577" s="125"/>
      <c r="AX577" s="125">
        <f t="shared" si="997"/>
        <v>0</v>
      </c>
      <c r="AY577" s="125"/>
      <c r="AZ577" s="125"/>
      <c r="BA577" s="125">
        <f t="shared" si="998"/>
        <v>0</v>
      </c>
      <c r="BB577" s="125"/>
      <c r="BC577" s="125"/>
      <c r="BD577" s="125">
        <f t="shared" si="999"/>
        <v>0</v>
      </c>
      <c r="BE577" s="125"/>
      <c r="BF577" s="125"/>
      <c r="BG577" s="125">
        <f t="shared" si="1000"/>
        <v>0</v>
      </c>
      <c r="BH577" s="125"/>
      <c r="BI577" s="125"/>
      <c r="BJ577" s="125">
        <f t="shared" si="1001"/>
        <v>0</v>
      </c>
      <c r="BK577" s="125"/>
      <c r="BL577" s="312"/>
      <c r="BM577" s="317"/>
      <c r="BN577" s="320"/>
    </row>
    <row r="578" s="124" customFormat="1" ht="33.95" hidden="1" customHeight="1" outlineLevel="4" spans="2:66">
      <c r="B578" s="125" t="s">
        <v>792</v>
      </c>
      <c r="C578" s="126" t="s">
        <v>2145</v>
      </c>
      <c r="D578" s="124" t="s">
        <v>2146</v>
      </c>
      <c r="E578" s="125"/>
      <c r="F578" s="125" t="s">
        <v>2132</v>
      </c>
      <c r="G578" s="125" t="s">
        <v>1844</v>
      </c>
      <c r="H578" s="125">
        <f t="shared" si="988"/>
        <v>0</v>
      </c>
      <c r="I578" s="125" t="s">
        <v>1235</v>
      </c>
      <c r="J578" s="125">
        <v>1</v>
      </c>
      <c r="K578" s="125" t="s">
        <v>1236</v>
      </c>
      <c r="L578" s="304"/>
      <c r="M578" s="125" t="s">
        <v>1237</v>
      </c>
      <c r="N578" s="312">
        <v>12</v>
      </c>
      <c r="O578" s="295"/>
      <c r="P578" s="295"/>
      <c r="Q578" s="295"/>
      <c r="R578" s="295"/>
      <c r="S578" s="295"/>
      <c r="T578" s="295"/>
      <c r="U578" s="295"/>
      <c r="V578" s="295"/>
      <c r="W578" s="295"/>
      <c r="X578" s="295"/>
      <c r="Y578" s="295"/>
      <c r="Z578" s="295"/>
      <c r="AA578" s="295"/>
      <c r="AB578" s="125">
        <f t="shared" si="989"/>
        <v>0</v>
      </c>
      <c r="AC578" s="125">
        <f t="shared" si="990"/>
        <v>0</v>
      </c>
      <c r="AD578" s="125"/>
      <c r="AE578" s="125"/>
      <c r="AF578" s="125">
        <f t="shared" si="991"/>
        <v>0</v>
      </c>
      <c r="AG578" s="125"/>
      <c r="AH578" s="125"/>
      <c r="AI578" s="125">
        <f t="shared" si="992"/>
        <v>0</v>
      </c>
      <c r="AJ578" s="125"/>
      <c r="AK578" s="125"/>
      <c r="AL578" s="125">
        <f t="shared" si="993"/>
        <v>0</v>
      </c>
      <c r="AM578" s="125"/>
      <c r="AN578" s="125"/>
      <c r="AO578" s="125">
        <f t="shared" si="994"/>
        <v>0</v>
      </c>
      <c r="AP578" s="125"/>
      <c r="AQ578" s="125"/>
      <c r="AR578" s="125">
        <f t="shared" si="995"/>
        <v>0</v>
      </c>
      <c r="AS578" s="125"/>
      <c r="AT578" s="125"/>
      <c r="AU578" s="125">
        <f t="shared" si="996"/>
        <v>0</v>
      </c>
      <c r="AV578" s="125"/>
      <c r="AW578" s="125"/>
      <c r="AX578" s="125">
        <f t="shared" si="997"/>
        <v>0</v>
      </c>
      <c r="AY578" s="125"/>
      <c r="AZ578" s="125"/>
      <c r="BA578" s="125">
        <f t="shared" si="998"/>
        <v>0</v>
      </c>
      <c r="BB578" s="125"/>
      <c r="BC578" s="125"/>
      <c r="BD578" s="125">
        <f t="shared" si="999"/>
        <v>0</v>
      </c>
      <c r="BE578" s="125"/>
      <c r="BF578" s="125"/>
      <c r="BG578" s="125">
        <f t="shared" si="1000"/>
        <v>0</v>
      </c>
      <c r="BH578" s="125"/>
      <c r="BI578" s="125"/>
      <c r="BJ578" s="125">
        <f t="shared" si="1001"/>
        <v>0</v>
      </c>
      <c r="BK578" s="125"/>
      <c r="BL578" s="312"/>
      <c r="BM578" s="317"/>
      <c r="BN578" s="320"/>
    </row>
    <row r="579" s="124" customFormat="1" ht="33.95" hidden="1" customHeight="1" outlineLevel="4" spans="2:66">
      <c r="B579" s="125" t="s">
        <v>792</v>
      </c>
      <c r="C579" s="126" t="s">
        <v>2147</v>
      </c>
      <c r="D579" s="124" t="s">
        <v>2148</v>
      </c>
      <c r="E579" s="125"/>
      <c r="F579" s="125" t="s">
        <v>2132</v>
      </c>
      <c r="G579" s="125" t="s">
        <v>1844</v>
      </c>
      <c r="H579" s="125">
        <f t="shared" si="988"/>
        <v>0</v>
      </c>
      <c r="I579" s="125" t="s">
        <v>1235</v>
      </c>
      <c r="J579" s="125">
        <v>1</v>
      </c>
      <c r="K579" s="125" t="s">
        <v>1236</v>
      </c>
      <c r="L579" s="304"/>
      <c r="M579" s="125" t="s">
        <v>1237</v>
      </c>
      <c r="N579" s="312">
        <v>12</v>
      </c>
      <c r="O579" s="295"/>
      <c r="P579" s="295"/>
      <c r="Q579" s="295"/>
      <c r="R579" s="295"/>
      <c r="S579" s="295"/>
      <c r="T579" s="295"/>
      <c r="U579" s="295"/>
      <c r="V579" s="295"/>
      <c r="W579" s="295"/>
      <c r="X579" s="295"/>
      <c r="Y579" s="295"/>
      <c r="Z579" s="295"/>
      <c r="AA579" s="295"/>
      <c r="AB579" s="125">
        <f t="shared" si="989"/>
        <v>0</v>
      </c>
      <c r="AC579" s="125">
        <f t="shared" si="990"/>
        <v>0</v>
      </c>
      <c r="AD579" s="125"/>
      <c r="AE579" s="125"/>
      <c r="AF579" s="125">
        <f t="shared" si="991"/>
        <v>0</v>
      </c>
      <c r="AG579" s="125"/>
      <c r="AH579" s="125"/>
      <c r="AI579" s="125">
        <f t="shared" si="992"/>
        <v>0</v>
      </c>
      <c r="AJ579" s="125"/>
      <c r="AK579" s="125"/>
      <c r="AL579" s="125">
        <f t="shared" si="993"/>
        <v>0</v>
      </c>
      <c r="AM579" s="125"/>
      <c r="AN579" s="125"/>
      <c r="AO579" s="125">
        <f t="shared" si="994"/>
        <v>0</v>
      </c>
      <c r="AP579" s="125"/>
      <c r="AQ579" s="125"/>
      <c r="AR579" s="125">
        <f t="shared" si="995"/>
        <v>0</v>
      </c>
      <c r="AS579" s="125"/>
      <c r="AT579" s="125"/>
      <c r="AU579" s="125">
        <f t="shared" si="996"/>
        <v>0</v>
      </c>
      <c r="AV579" s="125"/>
      <c r="AW579" s="125"/>
      <c r="AX579" s="125">
        <f t="shared" si="997"/>
        <v>0</v>
      </c>
      <c r="AY579" s="125"/>
      <c r="AZ579" s="125"/>
      <c r="BA579" s="125">
        <f t="shared" si="998"/>
        <v>0</v>
      </c>
      <c r="BB579" s="125"/>
      <c r="BC579" s="125"/>
      <c r="BD579" s="125">
        <f t="shared" si="999"/>
        <v>0</v>
      </c>
      <c r="BE579" s="125"/>
      <c r="BF579" s="125"/>
      <c r="BG579" s="125">
        <f t="shared" si="1000"/>
        <v>0</v>
      </c>
      <c r="BH579" s="125"/>
      <c r="BI579" s="125"/>
      <c r="BJ579" s="125">
        <f t="shared" si="1001"/>
        <v>0</v>
      </c>
      <c r="BK579" s="125"/>
      <c r="BL579" s="312"/>
      <c r="BM579" s="317"/>
      <c r="BN579" s="320"/>
    </row>
    <row r="580" s="124" customFormat="1" ht="33.95" hidden="1" customHeight="1" outlineLevel="4" spans="2:66">
      <c r="B580" s="125" t="s">
        <v>792</v>
      </c>
      <c r="C580" s="126" t="s">
        <v>2149</v>
      </c>
      <c r="D580" s="124" t="s">
        <v>2150</v>
      </c>
      <c r="E580" s="125" t="s">
        <v>2151</v>
      </c>
      <c r="F580" s="125" t="s">
        <v>2132</v>
      </c>
      <c r="G580" s="125" t="s">
        <v>1844</v>
      </c>
      <c r="H580" s="125">
        <f t="shared" si="988"/>
        <v>0</v>
      </c>
      <c r="I580" s="125" t="s">
        <v>1235</v>
      </c>
      <c r="J580" s="125">
        <v>1</v>
      </c>
      <c r="K580" s="125" t="s">
        <v>1236</v>
      </c>
      <c r="L580" s="304"/>
      <c r="M580" s="125" t="s">
        <v>1237</v>
      </c>
      <c r="N580" s="312">
        <v>12</v>
      </c>
      <c r="O580" s="295"/>
      <c r="P580" s="295"/>
      <c r="Q580" s="295"/>
      <c r="R580" s="295"/>
      <c r="S580" s="295"/>
      <c r="T580" s="295"/>
      <c r="U580" s="295"/>
      <c r="V580" s="295"/>
      <c r="W580" s="295"/>
      <c r="X580" s="295"/>
      <c r="Y580" s="295"/>
      <c r="Z580" s="295"/>
      <c r="AA580" s="295"/>
      <c r="AB580" s="125">
        <f t="shared" si="989"/>
        <v>0</v>
      </c>
      <c r="AC580" s="125">
        <f t="shared" si="990"/>
        <v>0</v>
      </c>
      <c r="AD580" s="125"/>
      <c r="AE580" s="125"/>
      <c r="AF580" s="125">
        <f t="shared" si="991"/>
        <v>0</v>
      </c>
      <c r="AG580" s="125"/>
      <c r="AH580" s="125"/>
      <c r="AI580" s="125">
        <f t="shared" si="992"/>
        <v>0</v>
      </c>
      <c r="AJ580" s="125"/>
      <c r="AK580" s="125"/>
      <c r="AL580" s="125">
        <f t="shared" si="993"/>
        <v>0</v>
      </c>
      <c r="AM580" s="125"/>
      <c r="AN580" s="125"/>
      <c r="AO580" s="125">
        <f t="shared" si="994"/>
        <v>0</v>
      </c>
      <c r="AP580" s="125"/>
      <c r="AQ580" s="125"/>
      <c r="AR580" s="125">
        <f t="shared" si="995"/>
        <v>0</v>
      </c>
      <c r="AS580" s="125"/>
      <c r="AT580" s="125"/>
      <c r="AU580" s="125">
        <f t="shared" si="996"/>
        <v>0</v>
      </c>
      <c r="AV580" s="125"/>
      <c r="AW580" s="125"/>
      <c r="AX580" s="125">
        <f t="shared" si="997"/>
        <v>0</v>
      </c>
      <c r="AY580" s="125"/>
      <c r="AZ580" s="125"/>
      <c r="BA580" s="125">
        <f t="shared" si="998"/>
        <v>0</v>
      </c>
      <c r="BB580" s="125"/>
      <c r="BC580" s="125"/>
      <c r="BD580" s="125">
        <f t="shared" si="999"/>
        <v>0</v>
      </c>
      <c r="BE580" s="125"/>
      <c r="BF580" s="125"/>
      <c r="BG580" s="125">
        <f t="shared" si="1000"/>
        <v>0</v>
      </c>
      <c r="BH580" s="125"/>
      <c r="BI580" s="125"/>
      <c r="BJ580" s="125">
        <f t="shared" si="1001"/>
        <v>0</v>
      </c>
      <c r="BK580" s="125"/>
      <c r="BL580" s="312"/>
      <c r="BM580" s="317"/>
      <c r="BN580" s="320"/>
    </row>
    <row r="581" s="43" customFormat="1" ht="33.95" hidden="1" customHeight="1" outlineLevel="3" spans="2:66">
      <c r="B581" s="121" t="s">
        <v>792</v>
      </c>
      <c r="C581" s="122" t="s">
        <v>2152</v>
      </c>
      <c r="D581" s="43" t="s">
        <v>2153</v>
      </c>
      <c r="E581" s="121"/>
      <c r="F581" s="121" t="s">
        <v>2132</v>
      </c>
      <c r="G581" s="121" t="s">
        <v>1844</v>
      </c>
      <c r="H581" s="121">
        <f t="shared" si="988"/>
        <v>0</v>
      </c>
      <c r="I581" s="121" t="s">
        <v>1235</v>
      </c>
      <c r="J581" s="121">
        <v>1</v>
      </c>
      <c r="K581" s="121" t="s">
        <v>1236</v>
      </c>
      <c r="L581" s="304"/>
      <c r="M581" s="121" t="s">
        <v>1237</v>
      </c>
      <c r="N581" s="311">
        <v>12</v>
      </c>
      <c r="O581" s="294"/>
      <c r="P581" s="294"/>
      <c r="Q581" s="294"/>
      <c r="R581" s="294"/>
      <c r="S581" s="294"/>
      <c r="T581" s="294"/>
      <c r="U581" s="294"/>
      <c r="V581" s="294"/>
      <c r="W581" s="294"/>
      <c r="X581" s="294"/>
      <c r="Y581" s="294"/>
      <c r="Z581" s="294"/>
      <c r="AA581" s="294"/>
      <c r="AB581" s="121">
        <f t="shared" si="989"/>
        <v>0</v>
      </c>
      <c r="AC581" s="121">
        <f>$H581/12</f>
        <v>0</v>
      </c>
      <c r="AD581" s="121"/>
      <c r="AE581" s="121"/>
      <c r="AF581" s="121">
        <f>$H581/12</f>
        <v>0</v>
      </c>
      <c r="AG581" s="121"/>
      <c r="AH581" s="121"/>
      <c r="AI581" s="121">
        <f>$H581/12</f>
        <v>0</v>
      </c>
      <c r="AJ581" s="121"/>
      <c r="AK581" s="121"/>
      <c r="AL581" s="121">
        <f>$H581/12</f>
        <v>0</v>
      </c>
      <c r="AM581" s="121"/>
      <c r="AN581" s="121"/>
      <c r="AO581" s="121">
        <f>$H581/12</f>
        <v>0</v>
      </c>
      <c r="AP581" s="121"/>
      <c r="AQ581" s="121"/>
      <c r="AR581" s="121">
        <f>$H581/12</f>
        <v>0</v>
      </c>
      <c r="AS581" s="121"/>
      <c r="AT581" s="121"/>
      <c r="AU581" s="121">
        <f>$H581/12</f>
        <v>0</v>
      </c>
      <c r="AV581" s="121"/>
      <c r="AW581" s="121"/>
      <c r="AX581" s="121">
        <f>$H581/12</f>
        <v>0</v>
      </c>
      <c r="AY581" s="121"/>
      <c r="AZ581" s="121"/>
      <c r="BA581" s="121">
        <f>$H581/12</f>
        <v>0</v>
      </c>
      <c r="BB581" s="121"/>
      <c r="BC581" s="121"/>
      <c r="BD581" s="121">
        <f>$H581/12</f>
        <v>0</v>
      </c>
      <c r="BE581" s="121"/>
      <c r="BF581" s="121"/>
      <c r="BG581" s="121">
        <f>$H581/12</f>
        <v>0</v>
      </c>
      <c r="BH581" s="121"/>
      <c r="BI581" s="121"/>
      <c r="BJ581" s="121">
        <f>$H581/12</f>
        <v>0</v>
      </c>
      <c r="BK581" s="121"/>
      <c r="BL581" s="311"/>
      <c r="BM581" s="317"/>
      <c r="BN581" s="319"/>
    </row>
    <row r="582" s="114" customFormat="1" ht="33.95" customHeight="1" outlineLevel="1" collapsed="1" spans="2:66">
      <c r="B582" s="115" t="s">
        <v>787</v>
      </c>
      <c r="C582" s="116">
        <v>1.3</v>
      </c>
      <c r="D582" s="114" t="s">
        <v>64</v>
      </c>
      <c r="E582" s="115"/>
      <c r="F582" s="115"/>
      <c r="G582" s="115"/>
      <c r="H582" s="115">
        <f>H583+H601+H605+H614+H624+H627+H634+H643+H646+H651</f>
        <v>929716.981132075</v>
      </c>
      <c r="N582" s="309"/>
      <c r="O582" s="292"/>
      <c r="P582" s="292"/>
      <c r="Q582" s="292"/>
      <c r="R582" s="292"/>
      <c r="S582" s="292"/>
      <c r="T582" s="292"/>
      <c r="U582" s="292"/>
      <c r="V582" s="292"/>
      <c r="W582" s="292"/>
      <c r="X582" s="292"/>
      <c r="Y582" s="292"/>
      <c r="Z582" s="292"/>
      <c r="AA582" s="292"/>
      <c r="AB582" s="115">
        <f t="shared" ref="AB582:AF582" si="1002">AB583+AB601+AB605+AB614+AB624+AB627+AB634+AB643+AB646+AB651</f>
        <v>929716.981132075</v>
      </c>
      <c r="AC582" s="115">
        <f t="shared" si="1002"/>
        <v>324371.06918239</v>
      </c>
      <c r="AF582" s="115">
        <f t="shared" si="1002"/>
        <v>55031.4465408805</v>
      </c>
      <c r="AI582" s="115">
        <f>AI583+AI601+AI605+AI614+AI624+AI627+AI634+AI643+AI646+AI651</f>
        <v>55031.4465408805</v>
      </c>
      <c r="AL582" s="115">
        <f>AL583+AL601+AL605+AL614+AL624+AL627+AL634+AL643+AL646+AL651</f>
        <v>55031.4465408805</v>
      </c>
      <c r="AO582" s="115">
        <f>AO583+AO601+AO605+AO614+AO624+AO627+AO634+AO643+AO646+AO651</f>
        <v>55031.4465408805</v>
      </c>
      <c r="AR582" s="115">
        <f>AR583+AR601+AR605+AR614+AR624+AR627+AR634+AR643+AR646+AR651</f>
        <v>55031.4465408805</v>
      </c>
      <c r="AU582" s="115">
        <f>AU583+AU601+AU605+AU614+AU624+AU627+AU634+AU643+AU646+AU651</f>
        <v>55031.4465408805</v>
      </c>
      <c r="AX582" s="115">
        <f>AX583+AX601+AX605+AX614+AX624+AX627+AX634+AX643+AX646+AX651</f>
        <v>55031.4465408805</v>
      </c>
      <c r="BA582" s="115">
        <f>BA583+BA601+BA605+BA614+BA624+BA627+BA634+BA643+BA646+BA651</f>
        <v>55031.4465408805</v>
      </c>
      <c r="BD582" s="115">
        <f>BD583+BD601+BD605+BD614+BD624+BD627+BD634+BD643+BD646+BD651</f>
        <v>55031.4465408805</v>
      </c>
      <c r="BG582" s="115">
        <f>BG583+BG601+BG605+BG614+BG624+BG627+BG634+BG643+BG646+BG651</f>
        <v>55031.4465408805</v>
      </c>
      <c r="BJ582" s="115">
        <f>BJ583+BJ601+BJ605+BJ614+BJ624+BJ627+BJ634+BJ643+BJ646+BJ651</f>
        <v>55031.4465408805</v>
      </c>
      <c r="BL582" s="309"/>
      <c r="BM582" s="317"/>
      <c r="BN582" s="292"/>
    </row>
    <row r="583" s="14" customFormat="1" ht="33.95" hidden="1" customHeight="1" outlineLevel="2" spans="2:66">
      <c r="B583" s="118" t="s">
        <v>787</v>
      </c>
      <c r="C583" s="119" t="s">
        <v>2154</v>
      </c>
      <c r="D583" s="14" t="s">
        <v>2155</v>
      </c>
      <c r="E583" s="118"/>
      <c r="F583" s="118"/>
      <c r="G583" s="118"/>
      <c r="H583" s="118">
        <f>SUM(H584:H600)</f>
        <v>269339.622641509</v>
      </c>
      <c r="I583" s="118"/>
      <c r="J583" s="118"/>
      <c r="K583" s="118"/>
      <c r="L583" s="118"/>
      <c r="M583" s="118"/>
      <c r="N583" s="310"/>
      <c r="O583" s="293"/>
      <c r="P583" s="293"/>
      <c r="Q583" s="293"/>
      <c r="R583" s="293"/>
      <c r="S583" s="293"/>
      <c r="T583" s="293"/>
      <c r="U583" s="293"/>
      <c r="V583" s="293"/>
      <c r="W583" s="293"/>
      <c r="X583" s="293"/>
      <c r="Y583" s="293"/>
      <c r="Z583" s="293"/>
      <c r="AA583" s="293"/>
      <c r="AB583" s="118">
        <f t="shared" ref="AB583:AF583" si="1003">SUM(AB584:AB600)</f>
        <v>269339.622641509</v>
      </c>
      <c r="AC583" s="118">
        <f t="shared" si="1003"/>
        <v>269339.622641509</v>
      </c>
      <c r="AD583" s="118"/>
      <c r="AE583" s="118"/>
      <c r="AF583" s="118">
        <f t="shared" si="1003"/>
        <v>0</v>
      </c>
      <c r="AG583" s="118"/>
      <c r="AH583" s="118"/>
      <c r="AI583" s="118">
        <f>SUM(AI584:AI600)</f>
        <v>0</v>
      </c>
      <c r="AJ583" s="118"/>
      <c r="AK583" s="118"/>
      <c r="AL583" s="118">
        <f>SUM(AL584:AL600)</f>
        <v>0</v>
      </c>
      <c r="AM583" s="118"/>
      <c r="AN583" s="118"/>
      <c r="AO583" s="118">
        <f>SUM(AO584:AO600)</f>
        <v>0</v>
      </c>
      <c r="AP583" s="118"/>
      <c r="AQ583" s="118"/>
      <c r="AR583" s="118">
        <f>SUM(AR584:AR600)</f>
        <v>0</v>
      </c>
      <c r="AS583" s="118"/>
      <c r="AT583" s="118"/>
      <c r="AU583" s="118">
        <f>SUM(AU584:AU600)</f>
        <v>0</v>
      </c>
      <c r="AV583" s="118"/>
      <c r="AW583" s="118"/>
      <c r="AX583" s="118">
        <f>SUM(AX584:AX600)</f>
        <v>0</v>
      </c>
      <c r="AY583" s="118"/>
      <c r="AZ583" s="118"/>
      <c r="BA583" s="118">
        <f>SUM(BA584:BA600)</f>
        <v>0</v>
      </c>
      <c r="BB583" s="118"/>
      <c r="BC583" s="118"/>
      <c r="BD583" s="118">
        <f>SUM(BD584:BD600)</f>
        <v>0</v>
      </c>
      <c r="BE583" s="118"/>
      <c r="BF583" s="118"/>
      <c r="BG583" s="118">
        <f>SUM(BG584:BG600)</f>
        <v>0</v>
      </c>
      <c r="BH583" s="118"/>
      <c r="BI583" s="118"/>
      <c r="BJ583" s="118">
        <f>SUM(BJ584:BJ600)</f>
        <v>0</v>
      </c>
      <c r="BK583" s="118"/>
      <c r="BL583" s="310"/>
      <c r="BM583" s="317"/>
      <c r="BN583" s="318"/>
    </row>
    <row r="584" s="43" customFormat="1" ht="33.95" hidden="1" customHeight="1" outlineLevel="3" spans="2:66">
      <c r="B584" s="121" t="s">
        <v>792</v>
      </c>
      <c r="C584" s="122" t="s">
        <v>2156</v>
      </c>
      <c r="D584" s="43" t="s">
        <v>2157</v>
      </c>
      <c r="E584" s="121"/>
      <c r="F584" s="121" t="s">
        <v>1618</v>
      </c>
      <c r="G584" s="121" t="s">
        <v>936</v>
      </c>
      <c r="H584" s="121">
        <f t="shared" ref="H584:H600" si="1004">J584*L584</f>
        <v>269339.622641509</v>
      </c>
      <c r="I584" s="121" t="s">
        <v>1235</v>
      </c>
      <c r="J584" s="121">
        <v>1</v>
      </c>
      <c r="K584" s="121" t="s">
        <v>1236</v>
      </c>
      <c r="L584" s="304">
        <f>预算主表!P84</f>
        <v>269339.622641509</v>
      </c>
      <c r="M584" s="121" t="s">
        <v>1370</v>
      </c>
      <c r="N584" s="121">
        <f t="shared" ref="N584:N600" si="1005">COUNTA(O584:Z584)</f>
        <v>1</v>
      </c>
      <c r="O584" s="323" t="s">
        <v>1285</v>
      </c>
      <c r="P584" s="323"/>
      <c r="Q584" s="323"/>
      <c r="R584" s="323"/>
      <c r="S584" s="323"/>
      <c r="T584" s="323"/>
      <c r="U584" s="323"/>
      <c r="V584" s="323"/>
      <c r="W584" s="323"/>
      <c r="X584" s="323"/>
      <c r="Y584" s="323"/>
      <c r="Z584" s="323"/>
      <c r="AA584" s="121"/>
      <c r="AB584" s="121">
        <f t="shared" ref="AB584:AB600" si="1006">SUM(AC584,AF584,AI584,AL584,AO584,AR584,AU584,AX584,BA584,BD584,BG584,BJ584)</f>
        <v>269339.622641509</v>
      </c>
      <c r="AC584" s="121">
        <f t="shared" ref="AC584:AC600" si="1007">IF(O584="√",$J584*$L584/$N584,0)</f>
        <v>269339.622641509</v>
      </c>
      <c r="AD584" s="121"/>
      <c r="AE584" s="121"/>
      <c r="AF584" s="121">
        <f t="shared" ref="AF584:AF600" si="1008">IF(P584="√",$J584*$L584/$N584,0)</f>
        <v>0</v>
      </c>
      <c r="AG584" s="121"/>
      <c r="AH584" s="121"/>
      <c r="AI584" s="121">
        <f t="shared" ref="AI584:AI600" si="1009">IF(Q584="√",$J584*$L584/$N584,0)</f>
        <v>0</v>
      </c>
      <c r="AJ584" s="121"/>
      <c r="AK584" s="121"/>
      <c r="AL584" s="121">
        <f t="shared" ref="AL584:AL600" si="1010">IF(R584="√",$J584*$L584/$N584,0)</f>
        <v>0</v>
      </c>
      <c r="AM584" s="121"/>
      <c r="AN584" s="121"/>
      <c r="AO584" s="121">
        <f t="shared" ref="AO584:AO600" si="1011">IF(S584="√",$J584*$L584/$N584,0)</f>
        <v>0</v>
      </c>
      <c r="AP584" s="121"/>
      <c r="AQ584" s="121"/>
      <c r="AR584" s="121">
        <f t="shared" ref="AR584:AR600" si="1012">IF(T584="√",$J584*$L584/$N584,0)</f>
        <v>0</v>
      </c>
      <c r="AS584" s="121"/>
      <c r="AT584" s="121"/>
      <c r="AU584" s="121">
        <f t="shared" ref="AU584:AU600" si="1013">IF(U584="√",$J584*$L584/$N584,0)</f>
        <v>0</v>
      </c>
      <c r="AV584" s="121"/>
      <c r="AW584" s="121"/>
      <c r="AX584" s="121">
        <f t="shared" ref="AX584:AX600" si="1014">IF(V584="√",$J584*$L584/$N584,0)</f>
        <v>0</v>
      </c>
      <c r="AY584" s="121"/>
      <c r="AZ584" s="121"/>
      <c r="BA584" s="121">
        <f t="shared" ref="BA584:BA600" si="1015">IF(W584="√",$J584*$L584/$N584,0)</f>
        <v>0</v>
      </c>
      <c r="BB584" s="121"/>
      <c r="BC584" s="121"/>
      <c r="BD584" s="121">
        <f t="shared" ref="BD584:BD600" si="1016">IF(X584="√",$J584*$L584/$N584,0)</f>
        <v>0</v>
      </c>
      <c r="BE584" s="121"/>
      <c r="BF584" s="121"/>
      <c r="BG584" s="121">
        <f t="shared" ref="BG584:BG600" si="1017">IF(Y584="√",$J584*$L584/$N584,0)</f>
        <v>0</v>
      </c>
      <c r="BH584" s="121"/>
      <c r="BI584" s="121"/>
      <c r="BJ584" s="121">
        <f t="shared" ref="BJ584:BJ600" si="1018">IF(Z584="√",$J584*$L584/$N584,0)</f>
        <v>0</v>
      </c>
      <c r="BK584" s="121"/>
      <c r="BL584" s="311"/>
      <c r="BM584" s="317"/>
      <c r="BN584" s="319"/>
    </row>
    <row r="585" s="43" customFormat="1" ht="33.95" hidden="1" customHeight="1" outlineLevel="3" spans="2:66">
      <c r="B585" s="121" t="s">
        <v>792</v>
      </c>
      <c r="C585" s="122" t="s">
        <v>2158</v>
      </c>
      <c r="D585" s="43" t="s">
        <v>2159</v>
      </c>
      <c r="E585" s="121"/>
      <c r="F585" s="121" t="s">
        <v>1618</v>
      </c>
      <c r="G585" s="121" t="s">
        <v>936</v>
      </c>
      <c r="H585" s="121">
        <f t="shared" si="1004"/>
        <v>0</v>
      </c>
      <c r="I585" s="121" t="s">
        <v>1235</v>
      </c>
      <c r="J585" s="121">
        <v>1</v>
      </c>
      <c r="K585" s="121" t="s">
        <v>1236</v>
      </c>
      <c r="L585" s="304"/>
      <c r="M585" s="121" t="s">
        <v>1370</v>
      </c>
      <c r="N585" s="121">
        <f t="shared" si="1005"/>
        <v>0</v>
      </c>
      <c r="O585" s="304"/>
      <c r="P585" s="304"/>
      <c r="Q585" s="304"/>
      <c r="R585" s="304"/>
      <c r="S585" s="304"/>
      <c r="T585" s="304"/>
      <c r="U585" s="304"/>
      <c r="V585" s="304"/>
      <c r="W585" s="304"/>
      <c r="X585" s="304"/>
      <c r="Y585" s="304"/>
      <c r="Z585" s="304"/>
      <c r="AA585" s="121"/>
      <c r="AB585" s="121">
        <f t="shared" si="1006"/>
        <v>0</v>
      </c>
      <c r="AC585" s="121">
        <f t="shared" si="1007"/>
        <v>0</v>
      </c>
      <c r="AD585" s="121"/>
      <c r="AE585" s="121"/>
      <c r="AF585" s="121">
        <f t="shared" si="1008"/>
        <v>0</v>
      </c>
      <c r="AG585" s="121"/>
      <c r="AH585" s="121"/>
      <c r="AI585" s="121">
        <f t="shared" si="1009"/>
        <v>0</v>
      </c>
      <c r="AJ585" s="121"/>
      <c r="AK585" s="121"/>
      <c r="AL585" s="121">
        <f t="shared" si="1010"/>
        <v>0</v>
      </c>
      <c r="AM585" s="121"/>
      <c r="AN585" s="121"/>
      <c r="AO585" s="121">
        <f t="shared" si="1011"/>
        <v>0</v>
      </c>
      <c r="AP585" s="121"/>
      <c r="AQ585" s="121"/>
      <c r="AR585" s="121">
        <f t="shared" si="1012"/>
        <v>0</v>
      </c>
      <c r="AS585" s="121"/>
      <c r="AT585" s="121"/>
      <c r="AU585" s="121">
        <f t="shared" si="1013"/>
        <v>0</v>
      </c>
      <c r="AV585" s="121"/>
      <c r="AW585" s="121"/>
      <c r="AX585" s="121">
        <f t="shared" si="1014"/>
        <v>0</v>
      </c>
      <c r="AY585" s="121"/>
      <c r="AZ585" s="121"/>
      <c r="BA585" s="121">
        <f t="shared" si="1015"/>
        <v>0</v>
      </c>
      <c r="BB585" s="121"/>
      <c r="BC585" s="121"/>
      <c r="BD585" s="121">
        <f t="shared" si="1016"/>
        <v>0</v>
      </c>
      <c r="BE585" s="121"/>
      <c r="BF585" s="121"/>
      <c r="BG585" s="121">
        <f t="shared" si="1017"/>
        <v>0</v>
      </c>
      <c r="BH585" s="121"/>
      <c r="BI585" s="121"/>
      <c r="BJ585" s="121">
        <f t="shared" si="1018"/>
        <v>0</v>
      </c>
      <c r="BK585" s="121"/>
      <c r="BL585" s="311"/>
      <c r="BM585" s="317"/>
      <c r="BN585" s="319"/>
    </row>
    <row r="586" s="43" customFormat="1" ht="33.95" hidden="1" customHeight="1" outlineLevel="3" spans="2:66">
      <c r="B586" s="121" t="s">
        <v>792</v>
      </c>
      <c r="C586" s="122" t="s">
        <v>2160</v>
      </c>
      <c r="D586" s="43" t="s">
        <v>2161</v>
      </c>
      <c r="E586" s="121"/>
      <c r="F586" s="121" t="s">
        <v>1618</v>
      </c>
      <c r="G586" s="121" t="s">
        <v>936</v>
      </c>
      <c r="H586" s="121">
        <f t="shared" si="1004"/>
        <v>0</v>
      </c>
      <c r="I586" s="121" t="s">
        <v>1235</v>
      </c>
      <c r="J586" s="121">
        <v>1</v>
      </c>
      <c r="K586" s="121" t="s">
        <v>1236</v>
      </c>
      <c r="L586" s="304"/>
      <c r="M586" s="121" t="s">
        <v>1370</v>
      </c>
      <c r="N586" s="121">
        <f t="shared" si="1005"/>
        <v>0</v>
      </c>
      <c r="O586" s="304"/>
      <c r="P586" s="304"/>
      <c r="Q586" s="304"/>
      <c r="R586" s="304"/>
      <c r="S586" s="304"/>
      <c r="T586" s="304"/>
      <c r="U586" s="304"/>
      <c r="V586" s="304"/>
      <c r="W586" s="304"/>
      <c r="X586" s="304"/>
      <c r="Y586" s="304"/>
      <c r="Z586" s="304"/>
      <c r="AA586" s="121"/>
      <c r="AB586" s="121">
        <f t="shared" si="1006"/>
        <v>0</v>
      </c>
      <c r="AC586" s="121">
        <f t="shared" si="1007"/>
        <v>0</v>
      </c>
      <c r="AD586" s="121"/>
      <c r="AE586" s="121"/>
      <c r="AF586" s="121">
        <f t="shared" si="1008"/>
        <v>0</v>
      </c>
      <c r="AG586" s="121"/>
      <c r="AH586" s="121"/>
      <c r="AI586" s="121">
        <f t="shared" si="1009"/>
        <v>0</v>
      </c>
      <c r="AJ586" s="121"/>
      <c r="AK586" s="121"/>
      <c r="AL586" s="121">
        <f t="shared" si="1010"/>
        <v>0</v>
      </c>
      <c r="AM586" s="121"/>
      <c r="AN586" s="121"/>
      <c r="AO586" s="121">
        <f t="shared" si="1011"/>
        <v>0</v>
      </c>
      <c r="AP586" s="121"/>
      <c r="AQ586" s="121"/>
      <c r="AR586" s="121">
        <f t="shared" si="1012"/>
        <v>0</v>
      </c>
      <c r="AS586" s="121"/>
      <c r="AT586" s="121"/>
      <c r="AU586" s="121">
        <f t="shared" si="1013"/>
        <v>0</v>
      </c>
      <c r="AV586" s="121"/>
      <c r="AW586" s="121"/>
      <c r="AX586" s="121">
        <f t="shared" si="1014"/>
        <v>0</v>
      </c>
      <c r="AY586" s="121"/>
      <c r="AZ586" s="121"/>
      <c r="BA586" s="121">
        <f t="shared" si="1015"/>
        <v>0</v>
      </c>
      <c r="BB586" s="121"/>
      <c r="BC586" s="121"/>
      <c r="BD586" s="121">
        <f t="shared" si="1016"/>
        <v>0</v>
      </c>
      <c r="BE586" s="121"/>
      <c r="BF586" s="121"/>
      <c r="BG586" s="121">
        <f t="shared" si="1017"/>
        <v>0</v>
      </c>
      <c r="BH586" s="121"/>
      <c r="BI586" s="121"/>
      <c r="BJ586" s="121">
        <f t="shared" si="1018"/>
        <v>0</v>
      </c>
      <c r="BK586" s="121"/>
      <c r="BL586" s="311"/>
      <c r="BM586" s="317"/>
      <c r="BN586" s="319"/>
    </row>
    <row r="587" s="43" customFormat="1" ht="33.95" hidden="1" customHeight="1" outlineLevel="3" spans="2:66">
      <c r="B587" s="121" t="s">
        <v>792</v>
      </c>
      <c r="C587" s="122" t="s">
        <v>2162</v>
      </c>
      <c r="D587" s="43" t="s">
        <v>2163</v>
      </c>
      <c r="E587" s="121"/>
      <c r="F587" s="121" t="s">
        <v>1618</v>
      </c>
      <c r="G587" s="121" t="s">
        <v>936</v>
      </c>
      <c r="H587" s="121">
        <f t="shared" si="1004"/>
        <v>0</v>
      </c>
      <c r="I587" s="121" t="s">
        <v>1235</v>
      </c>
      <c r="J587" s="121">
        <v>1</v>
      </c>
      <c r="K587" s="121" t="s">
        <v>1236</v>
      </c>
      <c r="L587" s="304"/>
      <c r="M587" s="121" t="s">
        <v>1370</v>
      </c>
      <c r="N587" s="121">
        <f t="shared" si="1005"/>
        <v>0</v>
      </c>
      <c r="O587" s="304"/>
      <c r="P587" s="304"/>
      <c r="Q587" s="304"/>
      <c r="R587" s="304"/>
      <c r="S587" s="304"/>
      <c r="T587" s="304"/>
      <c r="U587" s="304"/>
      <c r="V587" s="304"/>
      <c r="W587" s="304"/>
      <c r="X587" s="304"/>
      <c r="Y587" s="304"/>
      <c r="Z587" s="304"/>
      <c r="AA587" s="121"/>
      <c r="AB587" s="121">
        <f t="shared" si="1006"/>
        <v>0</v>
      </c>
      <c r="AC587" s="121">
        <f t="shared" si="1007"/>
        <v>0</v>
      </c>
      <c r="AD587" s="121"/>
      <c r="AE587" s="121"/>
      <c r="AF587" s="121">
        <f t="shared" si="1008"/>
        <v>0</v>
      </c>
      <c r="AG587" s="121"/>
      <c r="AH587" s="121"/>
      <c r="AI587" s="121">
        <f t="shared" si="1009"/>
        <v>0</v>
      </c>
      <c r="AJ587" s="121"/>
      <c r="AK587" s="121"/>
      <c r="AL587" s="121">
        <f t="shared" si="1010"/>
        <v>0</v>
      </c>
      <c r="AM587" s="121"/>
      <c r="AN587" s="121"/>
      <c r="AO587" s="121">
        <f t="shared" si="1011"/>
        <v>0</v>
      </c>
      <c r="AP587" s="121"/>
      <c r="AQ587" s="121"/>
      <c r="AR587" s="121">
        <f t="shared" si="1012"/>
        <v>0</v>
      </c>
      <c r="AS587" s="121"/>
      <c r="AT587" s="121"/>
      <c r="AU587" s="121">
        <f t="shared" si="1013"/>
        <v>0</v>
      </c>
      <c r="AV587" s="121"/>
      <c r="AW587" s="121"/>
      <c r="AX587" s="121">
        <f t="shared" si="1014"/>
        <v>0</v>
      </c>
      <c r="AY587" s="121"/>
      <c r="AZ587" s="121"/>
      <c r="BA587" s="121">
        <f t="shared" si="1015"/>
        <v>0</v>
      </c>
      <c r="BB587" s="121"/>
      <c r="BC587" s="121"/>
      <c r="BD587" s="121">
        <f t="shared" si="1016"/>
        <v>0</v>
      </c>
      <c r="BE587" s="121"/>
      <c r="BF587" s="121"/>
      <c r="BG587" s="121">
        <f t="shared" si="1017"/>
        <v>0</v>
      </c>
      <c r="BH587" s="121"/>
      <c r="BI587" s="121"/>
      <c r="BJ587" s="121">
        <f t="shared" si="1018"/>
        <v>0</v>
      </c>
      <c r="BK587" s="121"/>
      <c r="BL587" s="311"/>
      <c r="BM587" s="317"/>
      <c r="BN587" s="319"/>
    </row>
    <row r="588" s="43" customFormat="1" ht="33.95" hidden="1" customHeight="1" outlineLevel="3" spans="2:66">
      <c r="B588" s="121" t="s">
        <v>792</v>
      </c>
      <c r="C588" s="122" t="s">
        <v>2164</v>
      </c>
      <c r="D588" s="43" t="s">
        <v>2165</v>
      </c>
      <c r="E588" s="121"/>
      <c r="F588" s="121" t="s">
        <v>1618</v>
      </c>
      <c r="G588" s="121" t="s">
        <v>936</v>
      </c>
      <c r="H588" s="121">
        <f t="shared" si="1004"/>
        <v>0</v>
      </c>
      <c r="I588" s="121" t="s">
        <v>1235</v>
      </c>
      <c r="J588" s="121">
        <v>1</v>
      </c>
      <c r="K588" s="121" t="s">
        <v>1236</v>
      </c>
      <c r="L588" s="304"/>
      <c r="M588" s="121" t="s">
        <v>1370</v>
      </c>
      <c r="N588" s="121">
        <f t="shared" si="1005"/>
        <v>0</v>
      </c>
      <c r="O588" s="304"/>
      <c r="P588" s="304"/>
      <c r="Q588" s="304"/>
      <c r="R588" s="304"/>
      <c r="S588" s="304"/>
      <c r="T588" s="304"/>
      <c r="U588" s="304"/>
      <c r="V588" s="304"/>
      <c r="W588" s="304"/>
      <c r="X588" s="304"/>
      <c r="Y588" s="304"/>
      <c r="Z588" s="304"/>
      <c r="AA588" s="121"/>
      <c r="AB588" s="121">
        <f t="shared" si="1006"/>
        <v>0</v>
      </c>
      <c r="AC588" s="121">
        <f t="shared" si="1007"/>
        <v>0</v>
      </c>
      <c r="AD588" s="121"/>
      <c r="AE588" s="121"/>
      <c r="AF588" s="121">
        <f t="shared" si="1008"/>
        <v>0</v>
      </c>
      <c r="AG588" s="121"/>
      <c r="AH588" s="121"/>
      <c r="AI588" s="121">
        <f t="shared" si="1009"/>
        <v>0</v>
      </c>
      <c r="AJ588" s="121"/>
      <c r="AK588" s="121"/>
      <c r="AL588" s="121">
        <f t="shared" si="1010"/>
        <v>0</v>
      </c>
      <c r="AM588" s="121"/>
      <c r="AN588" s="121"/>
      <c r="AO588" s="121">
        <f t="shared" si="1011"/>
        <v>0</v>
      </c>
      <c r="AP588" s="121"/>
      <c r="AQ588" s="121"/>
      <c r="AR588" s="121">
        <f t="shared" si="1012"/>
        <v>0</v>
      </c>
      <c r="AS588" s="121"/>
      <c r="AT588" s="121"/>
      <c r="AU588" s="121">
        <f t="shared" si="1013"/>
        <v>0</v>
      </c>
      <c r="AV588" s="121"/>
      <c r="AW588" s="121"/>
      <c r="AX588" s="121">
        <f t="shared" si="1014"/>
        <v>0</v>
      </c>
      <c r="AY588" s="121"/>
      <c r="AZ588" s="121"/>
      <c r="BA588" s="121">
        <f t="shared" si="1015"/>
        <v>0</v>
      </c>
      <c r="BB588" s="121"/>
      <c r="BC588" s="121"/>
      <c r="BD588" s="121">
        <f t="shared" si="1016"/>
        <v>0</v>
      </c>
      <c r="BE588" s="121"/>
      <c r="BF588" s="121"/>
      <c r="BG588" s="121">
        <f t="shared" si="1017"/>
        <v>0</v>
      </c>
      <c r="BH588" s="121"/>
      <c r="BI588" s="121"/>
      <c r="BJ588" s="121">
        <f t="shared" si="1018"/>
        <v>0</v>
      </c>
      <c r="BK588" s="121"/>
      <c r="BL588" s="311"/>
      <c r="BM588" s="317"/>
      <c r="BN588" s="319"/>
    </row>
    <row r="589" s="43" customFormat="1" ht="33.95" hidden="1" customHeight="1" outlineLevel="3" spans="2:66">
      <c r="B589" s="121" t="s">
        <v>792</v>
      </c>
      <c r="C589" s="122" t="s">
        <v>2166</v>
      </c>
      <c r="D589" s="43" t="s">
        <v>2167</v>
      </c>
      <c r="E589" s="121"/>
      <c r="F589" s="121" t="s">
        <v>1618</v>
      </c>
      <c r="G589" s="121" t="s">
        <v>936</v>
      </c>
      <c r="H589" s="121">
        <f t="shared" si="1004"/>
        <v>0</v>
      </c>
      <c r="I589" s="121" t="s">
        <v>1235</v>
      </c>
      <c r="J589" s="121">
        <v>1</v>
      </c>
      <c r="K589" s="121" t="s">
        <v>1236</v>
      </c>
      <c r="L589" s="304"/>
      <c r="M589" s="121" t="s">
        <v>1370</v>
      </c>
      <c r="N589" s="121">
        <f t="shared" si="1005"/>
        <v>0</v>
      </c>
      <c r="O589" s="304"/>
      <c r="P589" s="304"/>
      <c r="Q589" s="304"/>
      <c r="R589" s="304"/>
      <c r="S589" s="304"/>
      <c r="T589" s="304"/>
      <c r="U589" s="304"/>
      <c r="V589" s="304"/>
      <c r="W589" s="304"/>
      <c r="X589" s="304"/>
      <c r="Y589" s="304"/>
      <c r="Z589" s="304"/>
      <c r="AA589" s="121"/>
      <c r="AB589" s="121">
        <f t="shared" si="1006"/>
        <v>0</v>
      </c>
      <c r="AC589" s="121">
        <f t="shared" si="1007"/>
        <v>0</v>
      </c>
      <c r="AD589" s="121"/>
      <c r="AE589" s="121"/>
      <c r="AF589" s="121">
        <f t="shared" si="1008"/>
        <v>0</v>
      </c>
      <c r="AG589" s="121"/>
      <c r="AH589" s="121"/>
      <c r="AI589" s="121">
        <f t="shared" si="1009"/>
        <v>0</v>
      </c>
      <c r="AJ589" s="121"/>
      <c r="AK589" s="121"/>
      <c r="AL589" s="121">
        <f t="shared" si="1010"/>
        <v>0</v>
      </c>
      <c r="AM589" s="121"/>
      <c r="AN589" s="121"/>
      <c r="AO589" s="121">
        <f t="shared" si="1011"/>
        <v>0</v>
      </c>
      <c r="AP589" s="121"/>
      <c r="AQ589" s="121"/>
      <c r="AR589" s="121">
        <f t="shared" si="1012"/>
        <v>0</v>
      </c>
      <c r="AS589" s="121"/>
      <c r="AT589" s="121"/>
      <c r="AU589" s="121">
        <f t="shared" si="1013"/>
        <v>0</v>
      </c>
      <c r="AV589" s="121"/>
      <c r="AW589" s="121"/>
      <c r="AX589" s="121">
        <f t="shared" si="1014"/>
        <v>0</v>
      </c>
      <c r="AY589" s="121"/>
      <c r="AZ589" s="121"/>
      <c r="BA589" s="121">
        <f t="shared" si="1015"/>
        <v>0</v>
      </c>
      <c r="BB589" s="121"/>
      <c r="BC589" s="121"/>
      <c r="BD589" s="121">
        <f t="shared" si="1016"/>
        <v>0</v>
      </c>
      <c r="BE589" s="121"/>
      <c r="BF589" s="121"/>
      <c r="BG589" s="121">
        <f t="shared" si="1017"/>
        <v>0</v>
      </c>
      <c r="BH589" s="121"/>
      <c r="BI589" s="121"/>
      <c r="BJ589" s="121">
        <f t="shared" si="1018"/>
        <v>0</v>
      </c>
      <c r="BK589" s="121"/>
      <c r="BL589" s="311"/>
      <c r="BM589" s="317"/>
      <c r="BN589" s="319"/>
    </row>
    <row r="590" s="43" customFormat="1" ht="33.95" hidden="1" customHeight="1" outlineLevel="3" spans="2:66">
      <c r="B590" s="121" t="s">
        <v>792</v>
      </c>
      <c r="C590" s="122" t="s">
        <v>2168</v>
      </c>
      <c r="D590" s="43" t="s">
        <v>2169</v>
      </c>
      <c r="E590" s="121"/>
      <c r="F590" s="121" t="s">
        <v>1618</v>
      </c>
      <c r="G590" s="121" t="s">
        <v>936</v>
      </c>
      <c r="H590" s="121">
        <f t="shared" si="1004"/>
        <v>0</v>
      </c>
      <c r="I590" s="121" t="s">
        <v>1235</v>
      </c>
      <c r="J590" s="121">
        <v>1</v>
      </c>
      <c r="K590" s="121" t="s">
        <v>1236</v>
      </c>
      <c r="L590" s="304"/>
      <c r="M590" s="121" t="s">
        <v>1370</v>
      </c>
      <c r="N590" s="121">
        <f t="shared" si="1005"/>
        <v>0</v>
      </c>
      <c r="O590" s="304"/>
      <c r="P590" s="304"/>
      <c r="Q590" s="304"/>
      <c r="R590" s="304"/>
      <c r="S590" s="304"/>
      <c r="T590" s="304"/>
      <c r="U590" s="304"/>
      <c r="V590" s="304"/>
      <c r="W590" s="304"/>
      <c r="X590" s="304"/>
      <c r="Y590" s="304"/>
      <c r="Z590" s="304"/>
      <c r="AA590" s="121"/>
      <c r="AB590" s="121">
        <f t="shared" si="1006"/>
        <v>0</v>
      </c>
      <c r="AC590" s="121">
        <f t="shared" si="1007"/>
        <v>0</v>
      </c>
      <c r="AD590" s="121"/>
      <c r="AE590" s="121"/>
      <c r="AF590" s="121">
        <f t="shared" si="1008"/>
        <v>0</v>
      </c>
      <c r="AG590" s="121"/>
      <c r="AH590" s="121"/>
      <c r="AI590" s="121">
        <f t="shared" si="1009"/>
        <v>0</v>
      </c>
      <c r="AJ590" s="121"/>
      <c r="AK590" s="121"/>
      <c r="AL590" s="121">
        <f t="shared" si="1010"/>
        <v>0</v>
      </c>
      <c r="AM590" s="121"/>
      <c r="AN590" s="121"/>
      <c r="AO590" s="121">
        <f t="shared" si="1011"/>
        <v>0</v>
      </c>
      <c r="AP590" s="121"/>
      <c r="AQ590" s="121"/>
      <c r="AR590" s="121">
        <f t="shared" si="1012"/>
        <v>0</v>
      </c>
      <c r="AS590" s="121"/>
      <c r="AT590" s="121"/>
      <c r="AU590" s="121">
        <f t="shared" si="1013"/>
        <v>0</v>
      </c>
      <c r="AV590" s="121"/>
      <c r="AW590" s="121"/>
      <c r="AX590" s="121">
        <f t="shared" si="1014"/>
        <v>0</v>
      </c>
      <c r="AY590" s="121"/>
      <c r="AZ590" s="121"/>
      <c r="BA590" s="121">
        <f t="shared" si="1015"/>
        <v>0</v>
      </c>
      <c r="BB590" s="121"/>
      <c r="BC590" s="121"/>
      <c r="BD590" s="121">
        <f t="shared" si="1016"/>
        <v>0</v>
      </c>
      <c r="BE590" s="121"/>
      <c r="BF590" s="121"/>
      <c r="BG590" s="121">
        <f t="shared" si="1017"/>
        <v>0</v>
      </c>
      <c r="BH590" s="121"/>
      <c r="BI590" s="121"/>
      <c r="BJ590" s="121">
        <f t="shared" si="1018"/>
        <v>0</v>
      </c>
      <c r="BK590" s="121"/>
      <c r="BL590" s="311"/>
      <c r="BM590" s="317"/>
      <c r="BN590" s="319"/>
    </row>
    <row r="591" s="43" customFormat="1" ht="33.95" hidden="1" customHeight="1" outlineLevel="3" spans="2:66">
      <c r="B591" s="121" t="s">
        <v>792</v>
      </c>
      <c r="C591" s="122" t="s">
        <v>2170</v>
      </c>
      <c r="D591" s="43" t="s">
        <v>2171</v>
      </c>
      <c r="E591" s="121"/>
      <c r="F591" s="121" t="s">
        <v>1618</v>
      </c>
      <c r="G591" s="121" t="s">
        <v>936</v>
      </c>
      <c r="H591" s="121">
        <f t="shared" si="1004"/>
        <v>0</v>
      </c>
      <c r="I591" s="121" t="s">
        <v>1235</v>
      </c>
      <c r="J591" s="121">
        <v>1</v>
      </c>
      <c r="K591" s="121" t="s">
        <v>1236</v>
      </c>
      <c r="L591" s="304"/>
      <c r="M591" s="121" t="s">
        <v>1370</v>
      </c>
      <c r="N591" s="121">
        <f t="shared" si="1005"/>
        <v>0</v>
      </c>
      <c r="O591" s="304"/>
      <c r="P591" s="304"/>
      <c r="Q591" s="304"/>
      <c r="R591" s="304"/>
      <c r="S591" s="304"/>
      <c r="T591" s="304"/>
      <c r="U591" s="304"/>
      <c r="V591" s="304"/>
      <c r="W591" s="304"/>
      <c r="X591" s="304"/>
      <c r="Y591" s="304"/>
      <c r="Z591" s="304"/>
      <c r="AA591" s="121"/>
      <c r="AB591" s="121">
        <f t="shared" si="1006"/>
        <v>0</v>
      </c>
      <c r="AC591" s="121">
        <f t="shared" si="1007"/>
        <v>0</v>
      </c>
      <c r="AD591" s="121"/>
      <c r="AE591" s="121"/>
      <c r="AF591" s="121">
        <f t="shared" si="1008"/>
        <v>0</v>
      </c>
      <c r="AG591" s="121"/>
      <c r="AH591" s="121"/>
      <c r="AI591" s="121">
        <f t="shared" si="1009"/>
        <v>0</v>
      </c>
      <c r="AJ591" s="121"/>
      <c r="AK591" s="121"/>
      <c r="AL591" s="121">
        <f t="shared" si="1010"/>
        <v>0</v>
      </c>
      <c r="AM591" s="121"/>
      <c r="AN591" s="121"/>
      <c r="AO591" s="121">
        <f t="shared" si="1011"/>
        <v>0</v>
      </c>
      <c r="AP591" s="121"/>
      <c r="AQ591" s="121"/>
      <c r="AR591" s="121">
        <f t="shared" si="1012"/>
        <v>0</v>
      </c>
      <c r="AS591" s="121"/>
      <c r="AT591" s="121"/>
      <c r="AU591" s="121">
        <f t="shared" si="1013"/>
        <v>0</v>
      </c>
      <c r="AV591" s="121"/>
      <c r="AW591" s="121"/>
      <c r="AX591" s="121">
        <f t="shared" si="1014"/>
        <v>0</v>
      </c>
      <c r="AY591" s="121"/>
      <c r="AZ591" s="121"/>
      <c r="BA591" s="121">
        <f t="shared" si="1015"/>
        <v>0</v>
      </c>
      <c r="BB591" s="121"/>
      <c r="BC591" s="121"/>
      <c r="BD591" s="121">
        <f t="shared" si="1016"/>
        <v>0</v>
      </c>
      <c r="BE591" s="121"/>
      <c r="BF591" s="121"/>
      <c r="BG591" s="121">
        <f t="shared" si="1017"/>
        <v>0</v>
      </c>
      <c r="BH591" s="121"/>
      <c r="BI591" s="121"/>
      <c r="BJ591" s="121">
        <f t="shared" si="1018"/>
        <v>0</v>
      </c>
      <c r="BK591" s="121"/>
      <c r="BL591" s="311"/>
      <c r="BM591" s="317"/>
      <c r="BN591" s="319"/>
    </row>
    <row r="592" s="43" customFormat="1" ht="33.95" hidden="1" customHeight="1" outlineLevel="3" spans="2:66">
      <c r="B592" s="121" t="s">
        <v>792</v>
      </c>
      <c r="C592" s="122" t="s">
        <v>2172</v>
      </c>
      <c r="D592" s="43" t="s">
        <v>2173</v>
      </c>
      <c r="E592" s="121"/>
      <c r="F592" s="121" t="s">
        <v>1618</v>
      </c>
      <c r="G592" s="121" t="s">
        <v>936</v>
      </c>
      <c r="H592" s="121">
        <f t="shared" si="1004"/>
        <v>0</v>
      </c>
      <c r="I592" s="121" t="s">
        <v>1235</v>
      </c>
      <c r="J592" s="121">
        <v>1</v>
      </c>
      <c r="K592" s="121" t="s">
        <v>1236</v>
      </c>
      <c r="L592" s="304"/>
      <c r="M592" s="121" t="s">
        <v>1370</v>
      </c>
      <c r="N592" s="121">
        <f t="shared" si="1005"/>
        <v>0</v>
      </c>
      <c r="O592" s="304"/>
      <c r="P592" s="304"/>
      <c r="Q592" s="304"/>
      <c r="R592" s="304"/>
      <c r="S592" s="304"/>
      <c r="T592" s="304"/>
      <c r="U592" s="304"/>
      <c r="V592" s="304"/>
      <c r="W592" s="304"/>
      <c r="X592" s="304"/>
      <c r="Y592" s="304"/>
      <c r="Z592" s="304"/>
      <c r="AA592" s="121"/>
      <c r="AB592" s="121">
        <f t="shared" si="1006"/>
        <v>0</v>
      </c>
      <c r="AC592" s="121">
        <f t="shared" si="1007"/>
        <v>0</v>
      </c>
      <c r="AD592" s="121"/>
      <c r="AE592" s="121"/>
      <c r="AF592" s="121">
        <f t="shared" si="1008"/>
        <v>0</v>
      </c>
      <c r="AG592" s="121"/>
      <c r="AH592" s="121"/>
      <c r="AI592" s="121">
        <f t="shared" si="1009"/>
        <v>0</v>
      </c>
      <c r="AJ592" s="121"/>
      <c r="AK592" s="121"/>
      <c r="AL592" s="121">
        <f t="shared" si="1010"/>
        <v>0</v>
      </c>
      <c r="AM592" s="121"/>
      <c r="AN592" s="121"/>
      <c r="AO592" s="121">
        <f t="shared" si="1011"/>
        <v>0</v>
      </c>
      <c r="AP592" s="121"/>
      <c r="AQ592" s="121"/>
      <c r="AR592" s="121">
        <f t="shared" si="1012"/>
        <v>0</v>
      </c>
      <c r="AS592" s="121"/>
      <c r="AT592" s="121"/>
      <c r="AU592" s="121">
        <f t="shared" si="1013"/>
        <v>0</v>
      </c>
      <c r="AV592" s="121"/>
      <c r="AW592" s="121"/>
      <c r="AX592" s="121">
        <f t="shared" si="1014"/>
        <v>0</v>
      </c>
      <c r="AY592" s="121"/>
      <c r="AZ592" s="121"/>
      <c r="BA592" s="121">
        <f t="shared" si="1015"/>
        <v>0</v>
      </c>
      <c r="BB592" s="121"/>
      <c r="BC592" s="121"/>
      <c r="BD592" s="121">
        <f t="shared" si="1016"/>
        <v>0</v>
      </c>
      <c r="BE592" s="121"/>
      <c r="BF592" s="121"/>
      <c r="BG592" s="121">
        <f t="shared" si="1017"/>
        <v>0</v>
      </c>
      <c r="BH592" s="121"/>
      <c r="BI592" s="121"/>
      <c r="BJ592" s="121">
        <f t="shared" si="1018"/>
        <v>0</v>
      </c>
      <c r="BK592" s="121"/>
      <c r="BL592" s="311"/>
      <c r="BM592" s="317"/>
      <c r="BN592" s="319"/>
    </row>
    <row r="593" s="43" customFormat="1" ht="33.95" hidden="1" customHeight="1" outlineLevel="3" spans="2:66">
      <c r="B593" s="121" t="s">
        <v>792</v>
      </c>
      <c r="C593" s="122" t="s">
        <v>2174</v>
      </c>
      <c r="D593" s="43" t="s">
        <v>2175</v>
      </c>
      <c r="E593" s="121"/>
      <c r="F593" s="121" t="s">
        <v>1618</v>
      </c>
      <c r="G593" s="121" t="s">
        <v>936</v>
      </c>
      <c r="H593" s="121">
        <f t="shared" si="1004"/>
        <v>0</v>
      </c>
      <c r="I593" s="121" t="s">
        <v>1235</v>
      </c>
      <c r="J593" s="121">
        <v>1</v>
      </c>
      <c r="K593" s="121" t="s">
        <v>1236</v>
      </c>
      <c r="L593" s="304"/>
      <c r="M593" s="121" t="s">
        <v>1370</v>
      </c>
      <c r="N593" s="121">
        <f t="shared" si="1005"/>
        <v>0</v>
      </c>
      <c r="O593" s="304"/>
      <c r="P593" s="304"/>
      <c r="Q593" s="304"/>
      <c r="R593" s="304"/>
      <c r="S593" s="304"/>
      <c r="T593" s="304"/>
      <c r="U593" s="304"/>
      <c r="V593" s="304"/>
      <c r="W593" s="304"/>
      <c r="X593" s="304"/>
      <c r="Y593" s="304"/>
      <c r="Z593" s="304"/>
      <c r="AA593" s="121"/>
      <c r="AB593" s="121">
        <f t="shared" si="1006"/>
        <v>0</v>
      </c>
      <c r="AC593" s="121">
        <f t="shared" si="1007"/>
        <v>0</v>
      </c>
      <c r="AD593" s="121"/>
      <c r="AE593" s="121"/>
      <c r="AF593" s="121">
        <f t="shared" si="1008"/>
        <v>0</v>
      </c>
      <c r="AG593" s="121"/>
      <c r="AH593" s="121"/>
      <c r="AI593" s="121">
        <f t="shared" si="1009"/>
        <v>0</v>
      </c>
      <c r="AJ593" s="121"/>
      <c r="AK593" s="121"/>
      <c r="AL593" s="121">
        <f t="shared" si="1010"/>
        <v>0</v>
      </c>
      <c r="AM593" s="121"/>
      <c r="AN593" s="121"/>
      <c r="AO593" s="121">
        <f t="shared" si="1011"/>
        <v>0</v>
      </c>
      <c r="AP593" s="121"/>
      <c r="AQ593" s="121"/>
      <c r="AR593" s="121">
        <f t="shared" si="1012"/>
        <v>0</v>
      </c>
      <c r="AS593" s="121"/>
      <c r="AT593" s="121"/>
      <c r="AU593" s="121">
        <f t="shared" si="1013"/>
        <v>0</v>
      </c>
      <c r="AV593" s="121"/>
      <c r="AW593" s="121"/>
      <c r="AX593" s="121">
        <f t="shared" si="1014"/>
        <v>0</v>
      </c>
      <c r="AY593" s="121"/>
      <c r="AZ593" s="121"/>
      <c r="BA593" s="121">
        <f t="shared" si="1015"/>
        <v>0</v>
      </c>
      <c r="BB593" s="121"/>
      <c r="BC593" s="121"/>
      <c r="BD593" s="121">
        <f t="shared" si="1016"/>
        <v>0</v>
      </c>
      <c r="BE593" s="121"/>
      <c r="BF593" s="121"/>
      <c r="BG593" s="121">
        <f t="shared" si="1017"/>
        <v>0</v>
      </c>
      <c r="BH593" s="121"/>
      <c r="BI593" s="121"/>
      <c r="BJ593" s="121">
        <f t="shared" si="1018"/>
        <v>0</v>
      </c>
      <c r="BK593" s="121"/>
      <c r="BL593" s="311"/>
      <c r="BM593" s="317"/>
      <c r="BN593" s="319"/>
    </row>
    <row r="594" s="43" customFormat="1" ht="33.95" hidden="1" customHeight="1" outlineLevel="3" spans="2:66">
      <c r="B594" s="121" t="s">
        <v>792</v>
      </c>
      <c r="C594" s="122" t="s">
        <v>2176</v>
      </c>
      <c r="D594" s="43" t="s">
        <v>2177</v>
      </c>
      <c r="E594" s="121"/>
      <c r="F594" s="121" t="s">
        <v>1618</v>
      </c>
      <c r="G594" s="121" t="s">
        <v>936</v>
      </c>
      <c r="H594" s="121">
        <f t="shared" si="1004"/>
        <v>0</v>
      </c>
      <c r="I594" s="121" t="s">
        <v>1235</v>
      </c>
      <c r="J594" s="121">
        <v>1</v>
      </c>
      <c r="K594" s="121" t="s">
        <v>1236</v>
      </c>
      <c r="L594" s="304"/>
      <c r="M594" s="121" t="s">
        <v>1370</v>
      </c>
      <c r="N594" s="121">
        <f t="shared" si="1005"/>
        <v>0</v>
      </c>
      <c r="O594" s="304"/>
      <c r="P594" s="304"/>
      <c r="Q594" s="304"/>
      <c r="R594" s="304"/>
      <c r="S594" s="304"/>
      <c r="T594" s="304"/>
      <c r="U594" s="304"/>
      <c r="V594" s="304"/>
      <c r="W594" s="304"/>
      <c r="X594" s="304"/>
      <c r="Y594" s="304"/>
      <c r="Z594" s="304"/>
      <c r="AA594" s="121"/>
      <c r="AB594" s="121">
        <f t="shared" si="1006"/>
        <v>0</v>
      </c>
      <c r="AC594" s="121">
        <f t="shared" si="1007"/>
        <v>0</v>
      </c>
      <c r="AD594" s="121"/>
      <c r="AE594" s="121"/>
      <c r="AF594" s="121">
        <f t="shared" si="1008"/>
        <v>0</v>
      </c>
      <c r="AG594" s="121"/>
      <c r="AH594" s="121"/>
      <c r="AI594" s="121">
        <f t="shared" si="1009"/>
        <v>0</v>
      </c>
      <c r="AJ594" s="121"/>
      <c r="AK594" s="121"/>
      <c r="AL594" s="121">
        <f t="shared" si="1010"/>
        <v>0</v>
      </c>
      <c r="AM594" s="121"/>
      <c r="AN594" s="121"/>
      <c r="AO594" s="121">
        <f t="shared" si="1011"/>
        <v>0</v>
      </c>
      <c r="AP594" s="121"/>
      <c r="AQ594" s="121"/>
      <c r="AR594" s="121">
        <f t="shared" si="1012"/>
        <v>0</v>
      </c>
      <c r="AS594" s="121"/>
      <c r="AT594" s="121"/>
      <c r="AU594" s="121">
        <f t="shared" si="1013"/>
        <v>0</v>
      </c>
      <c r="AV594" s="121"/>
      <c r="AW594" s="121"/>
      <c r="AX594" s="121">
        <f t="shared" si="1014"/>
        <v>0</v>
      </c>
      <c r="AY594" s="121"/>
      <c r="AZ594" s="121"/>
      <c r="BA594" s="121">
        <f t="shared" si="1015"/>
        <v>0</v>
      </c>
      <c r="BB594" s="121"/>
      <c r="BC594" s="121"/>
      <c r="BD594" s="121">
        <f t="shared" si="1016"/>
        <v>0</v>
      </c>
      <c r="BE594" s="121"/>
      <c r="BF594" s="121"/>
      <c r="BG594" s="121">
        <f t="shared" si="1017"/>
        <v>0</v>
      </c>
      <c r="BH594" s="121"/>
      <c r="BI594" s="121"/>
      <c r="BJ594" s="121">
        <f t="shared" si="1018"/>
        <v>0</v>
      </c>
      <c r="BK594" s="121"/>
      <c r="BL594" s="311"/>
      <c r="BM594" s="317"/>
      <c r="BN594" s="319"/>
    </row>
    <row r="595" s="43" customFormat="1" ht="33.95" hidden="1" customHeight="1" outlineLevel="3" spans="2:66">
      <c r="B595" s="121" t="s">
        <v>792</v>
      </c>
      <c r="C595" s="122" t="s">
        <v>2178</v>
      </c>
      <c r="D595" s="43" t="s">
        <v>2179</v>
      </c>
      <c r="E595" s="121"/>
      <c r="F595" s="121" t="s">
        <v>1618</v>
      </c>
      <c r="G595" s="121" t="s">
        <v>936</v>
      </c>
      <c r="H595" s="121">
        <f t="shared" si="1004"/>
        <v>0</v>
      </c>
      <c r="I595" s="121" t="s">
        <v>1235</v>
      </c>
      <c r="J595" s="121">
        <v>1</v>
      </c>
      <c r="K595" s="121" t="s">
        <v>1236</v>
      </c>
      <c r="L595" s="304"/>
      <c r="M595" s="121" t="s">
        <v>1370</v>
      </c>
      <c r="N595" s="121">
        <f t="shared" si="1005"/>
        <v>0</v>
      </c>
      <c r="O595" s="304"/>
      <c r="P595" s="304"/>
      <c r="Q595" s="304"/>
      <c r="R595" s="304"/>
      <c r="S595" s="304"/>
      <c r="T595" s="304"/>
      <c r="U595" s="304"/>
      <c r="V595" s="304"/>
      <c r="W595" s="304"/>
      <c r="X595" s="304"/>
      <c r="Y595" s="304"/>
      <c r="Z595" s="304"/>
      <c r="AA595" s="121"/>
      <c r="AB595" s="121">
        <f t="shared" si="1006"/>
        <v>0</v>
      </c>
      <c r="AC595" s="121">
        <f t="shared" si="1007"/>
        <v>0</v>
      </c>
      <c r="AD595" s="121"/>
      <c r="AE595" s="121"/>
      <c r="AF595" s="121">
        <f t="shared" si="1008"/>
        <v>0</v>
      </c>
      <c r="AG595" s="121"/>
      <c r="AH595" s="121"/>
      <c r="AI595" s="121">
        <f t="shared" si="1009"/>
        <v>0</v>
      </c>
      <c r="AJ595" s="121"/>
      <c r="AK595" s="121"/>
      <c r="AL595" s="121">
        <f t="shared" si="1010"/>
        <v>0</v>
      </c>
      <c r="AM595" s="121"/>
      <c r="AN595" s="121"/>
      <c r="AO595" s="121">
        <f t="shared" si="1011"/>
        <v>0</v>
      </c>
      <c r="AP595" s="121"/>
      <c r="AQ595" s="121"/>
      <c r="AR595" s="121">
        <f t="shared" si="1012"/>
        <v>0</v>
      </c>
      <c r="AS595" s="121"/>
      <c r="AT595" s="121"/>
      <c r="AU595" s="121">
        <f t="shared" si="1013"/>
        <v>0</v>
      </c>
      <c r="AV595" s="121"/>
      <c r="AW595" s="121"/>
      <c r="AX595" s="121">
        <f t="shared" si="1014"/>
        <v>0</v>
      </c>
      <c r="AY595" s="121"/>
      <c r="AZ595" s="121"/>
      <c r="BA595" s="121">
        <f t="shared" si="1015"/>
        <v>0</v>
      </c>
      <c r="BB595" s="121"/>
      <c r="BC595" s="121"/>
      <c r="BD595" s="121">
        <f t="shared" si="1016"/>
        <v>0</v>
      </c>
      <c r="BE595" s="121"/>
      <c r="BF595" s="121"/>
      <c r="BG595" s="121">
        <f t="shared" si="1017"/>
        <v>0</v>
      </c>
      <c r="BH595" s="121"/>
      <c r="BI595" s="121"/>
      <c r="BJ595" s="121">
        <f t="shared" si="1018"/>
        <v>0</v>
      </c>
      <c r="BK595" s="121"/>
      <c r="BL595" s="311"/>
      <c r="BM595" s="317"/>
      <c r="BN595" s="319"/>
    </row>
    <row r="596" s="43" customFormat="1" ht="33.95" hidden="1" customHeight="1" outlineLevel="3" spans="2:66">
      <c r="B596" s="121" t="s">
        <v>792</v>
      </c>
      <c r="C596" s="122" t="s">
        <v>2180</v>
      </c>
      <c r="D596" s="43" t="s">
        <v>2181</v>
      </c>
      <c r="E596" s="121"/>
      <c r="F596" s="121" t="s">
        <v>1618</v>
      </c>
      <c r="G596" s="121" t="s">
        <v>936</v>
      </c>
      <c r="H596" s="121">
        <f t="shared" si="1004"/>
        <v>0</v>
      </c>
      <c r="I596" s="121" t="s">
        <v>1235</v>
      </c>
      <c r="J596" s="121">
        <v>1</v>
      </c>
      <c r="K596" s="121" t="s">
        <v>1236</v>
      </c>
      <c r="L596" s="304"/>
      <c r="M596" s="121" t="s">
        <v>1370</v>
      </c>
      <c r="N596" s="121">
        <f t="shared" si="1005"/>
        <v>0</v>
      </c>
      <c r="O596" s="304"/>
      <c r="P596" s="304"/>
      <c r="Q596" s="304"/>
      <c r="R596" s="304"/>
      <c r="S596" s="304"/>
      <c r="T596" s="304"/>
      <c r="U596" s="304"/>
      <c r="V596" s="304"/>
      <c r="W596" s="304"/>
      <c r="X596" s="304"/>
      <c r="Y596" s="304"/>
      <c r="Z596" s="304"/>
      <c r="AA596" s="121"/>
      <c r="AB596" s="121">
        <f t="shared" si="1006"/>
        <v>0</v>
      </c>
      <c r="AC596" s="121">
        <f t="shared" si="1007"/>
        <v>0</v>
      </c>
      <c r="AD596" s="121"/>
      <c r="AE596" s="121"/>
      <c r="AF596" s="121">
        <f t="shared" si="1008"/>
        <v>0</v>
      </c>
      <c r="AG596" s="121"/>
      <c r="AH596" s="121"/>
      <c r="AI596" s="121">
        <f t="shared" si="1009"/>
        <v>0</v>
      </c>
      <c r="AJ596" s="121"/>
      <c r="AK596" s="121"/>
      <c r="AL596" s="121">
        <f t="shared" si="1010"/>
        <v>0</v>
      </c>
      <c r="AM596" s="121"/>
      <c r="AN596" s="121"/>
      <c r="AO596" s="121">
        <f t="shared" si="1011"/>
        <v>0</v>
      </c>
      <c r="AP596" s="121"/>
      <c r="AQ596" s="121"/>
      <c r="AR596" s="121">
        <f t="shared" si="1012"/>
        <v>0</v>
      </c>
      <c r="AS596" s="121"/>
      <c r="AT596" s="121"/>
      <c r="AU596" s="121">
        <f t="shared" si="1013"/>
        <v>0</v>
      </c>
      <c r="AV596" s="121"/>
      <c r="AW596" s="121"/>
      <c r="AX596" s="121">
        <f t="shared" si="1014"/>
        <v>0</v>
      </c>
      <c r="AY596" s="121"/>
      <c r="AZ596" s="121"/>
      <c r="BA596" s="121">
        <f t="shared" si="1015"/>
        <v>0</v>
      </c>
      <c r="BB596" s="121"/>
      <c r="BC596" s="121"/>
      <c r="BD596" s="121">
        <f t="shared" si="1016"/>
        <v>0</v>
      </c>
      <c r="BE596" s="121"/>
      <c r="BF596" s="121"/>
      <c r="BG596" s="121">
        <f t="shared" si="1017"/>
        <v>0</v>
      </c>
      <c r="BH596" s="121"/>
      <c r="BI596" s="121"/>
      <c r="BJ596" s="121">
        <f t="shared" si="1018"/>
        <v>0</v>
      </c>
      <c r="BK596" s="121"/>
      <c r="BL596" s="311"/>
      <c r="BM596" s="317"/>
      <c r="BN596" s="319"/>
    </row>
    <row r="597" s="43" customFormat="1" ht="33.95" hidden="1" customHeight="1" outlineLevel="3" spans="2:66">
      <c r="B597" s="121" t="s">
        <v>792</v>
      </c>
      <c r="C597" s="122" t="s">
        <v>2182</v>
      </c>
      <c r="D597" s="43" t="s">
        <v>2183</v>
      </c>
      <c r="E597" s="121"/>
      <c r="F597" s="121" t="s">
        <v>1618</v>
      </c>
      <c r="G597" s="121" t="s">
        <v>936</v>
      </c>
      <c r="H597" s="121">
        <f t="shared" si="1004"/>
        <v>0</v>
      </c>
      <c r="I597" s="121" t="s">
        <v>1235</v>
      </c>
      <c r="J597" s="121">
        <v>1</v>
      </c>
      <c r="K597" s="121" t="s">
        <v>1236</v>
      </c>
      <c r="L597" s="304"/>
      <c r="M597" s="121" t="s">
        <v>1370</v>
      </c>
      <c r="N597" s="121">
        <f t="shared" si="1005"/>
        <v>0</v>
      </c>
      <c r="O597" s="304"/>
      <c r="P597" s="304"/>
      <c r="Q597" s="304"/>
      <c r="R597" s="304"/>
      <c r="S597" s="304"/>
      <c r="T597" s="304"/>
      <c r="U597" s="304"/>
      <c r="V597" s="304"/>
      <c r="W597" s="304"/>
      <c r="X597" s="304"/>
      <c r="Y597" s="304"/>
      <c r="Z597" s="304"/>
      <c r="AA597" s="121"/>
      <c r="AB597" s="121">
        <f t="shared" si="1006"/>
        <v>0</v>
      </c>
      <c r="AC597" s="121">
        <f t="shared" si="1007"/>
        <v>0</v>
      </c>
      <c r="AD597" s="121"/>
      <c r="AE597" s="121"/>
      <c r="AF597" s="121">
        <f t="shared" si="1008"/>
        <v>0</v>
      </c>
      <c r="AG597" s="121"/>
      <c r="AH597" s="121"/>
      <c r="AI597" s="121">
        <f t="shared" si="1009"/>
        <v>0</v>
      </c>
      <c r="AJ597" s="121"/>
      <c r="AK597" s="121"/>
      <c r="AL597" s="121">
        <f t="shared" si="1010"/>
        <v>0</v>
      </c>
      <c r="AM597" s="121"/>
      <c r="AN597" s="121"/>
      <c r="AO597" s="121">
        <f t="shared" si="1011"/>
        <v>0</v>
      </c>
      <c r="AP597" s="121"/>
      <c r="AQ597" s="121"/>
      <c r="AR597" s="121">
        <f t="shared" si="1012"/>
        <v>0</v>
      </c>
      <c r="AS597" s="121"/>
      <c r="AT597" s="121"/>
      <c r="AU597" s="121">
        <f t="shared" si="1013"/>
        <v>0</v>
      </c>
      <c r="AV597" s="121"/>
      <c r="AW597" s="121"/>
      <c r="AX597" s="121">
        <f t="shared" si="1014"/>
        <v>0</v>
      </c>
      <c r="AY597" s="121"/>
      <c r="AZ597" s="121"/>
      <c r="BA597" s="121">
        <f t="shared" si="1015"/>
        <v>0</v>
      </c>
      <c r="BB597" s="121"/>
      <c r="BC597" s="121"/>
      <c r="BD597" s="121">
        <f t="shared" si="1016"/>
        <v>0</v>
      </c>
      <c r="BE597" s="121"/>
      <c r="BF597" s="121"/>
      <c r="BG597" s="121">
        <f t="shared" si="1017"/>
        <v>0</v>
      </c>
      <c r="BH597" s="121"/>
      <c r="BI597" s="121"/>
      <c r="BJ597" s="121">
        <f t="shared" si="1018"/>
        <v>0</v>
      </c>
      <c r="BK597" s="121"/>
      <c r="BL597" s="311"/>
      <c r="BM597" s="317"/>
      <c r="BN597" s="319"/>
    </row>
    <row r="598" s="43" customFormat="1" ht="33.95" hidden="1" customHeight="1" outlineLevel="3" spans="2:66">
      <c r="B598" s="121" t="s">
        <v>792</v>
      </c>
      <c r="C598" s="122" t="s">
        <v>2184</v>
      </c>
      <c r="D598" s="43" t="s">
        <v>2185</v>
      </c>
      <c r="E598" s="121"/>
      <c r="F598" s="121" t="s">
        <v>1618</v>
      </c>
      <c r="G598" s="121" t="s">
        <v>936</v>
      </c>
      <c r="H598" s="121">
        <f t="shared" si="1004"/>
        <v>0</v>
      </c>
      <c r="I598" s="121" t="s">
        <v>1235</v>
      </c>
      <c r="J598" s="121">
        <v>1</v>
      </c>
      <c r="K598" s="121" t="s">
        <v>1236</v>
      </c>
      <c r="L598" s="304"/>
      <c r="M598" s="121" t="s">
        <v>1370</v>
      </c>
      <c r="N598" s="121">
        <f t="shared" si="1005"/>
        <v>0</v>
      </c>
      <c r="O598" s="304"/>
      <c r="P598" s="304"/>
      <c r="Q598" s="304"/>
      <c r="R598" s="304"/>
      <c r="S598" s="304"/>
      <c r="T598" s="304"/>
      <c r="U598" s="304"/>
      <c r="V598" s="304"/>
      <c r="W598" s="304"/>
      <c r="X598" s="304"/>
      <c r="Y598" s="304"/>
      <c r="Z598" s="304"/>
      <c r="AA598" s="121"/>
      <c r="AB598" s="121">
        <f t="shared" si="1006"/>
        <v>0</v>
      </c>
      <c r="AC598" s="121">
        <f t="shared" si="1007"/>
        <v>0</v>
      </c>
      <c r="AD598" s="121"/>
      <c r="AE598" s="121"/>
      <c r="AF598" s="121">
        <f t="shared" si="1008"/>
        <v>0</v>
      </c>
      <c r="AG598" s="121"/>
      <c r="AH598" s="121"/>
      <c r="AI598" s="121">
        <f t="shared" si="1009"/>
        <v>0</v>
      </c>
      <c r="AJ598" s="121"/>
      <c r="AK598" s="121"/>
      <c r="AL598" s="121">
        <f t="shared" si="1010"/>
        <v>0</v>
      </c>
      <c r="AM598" s="121"/>
      <c r="AN598" s="121"/>
      <c r="AO598" s="121">
        <f t="shared" si="1011"/>
        <v>0</v>
      </c>
      <c r="AP598" s="121"/>
      <c r="AQ598" s="121"/>
      <c r="AR598" s="121">
        <f t="shared" si="1012"/>
        <v>0</v>
      </c>
      <c r="AS598" s="121"/>
      <c r="AT598" s="121"/>
      <c r="AU598" s="121">
        <f t="shared" si="1013"/>
        <v>0</v>
      </c>
      <c r="AV598" s="121"/>
      <c r="AW598" s="121"/>
      <c r="AX598" s="121">
        <f t="shared" si="1014"/>
        <v>0</v>
      </c>
      <c r="AY598" s="121"/>
      <c r="AZ598" s="121"/>
      <c r="BA598" s="121">
        <f t="shared" si="1015"/>
        <v>0</v>
      </c>
      <c r="BB598" s="121"/>
      <c r="BC598" s="121"/>
      <c r="BD598" s="121">
        <f t="shared" si="1016"/>
        <v>0</v>
      </c>
      <c r="BE598" s="121"/>
      <c r="BF598" s="121"/>
      <c r="BG598" s="121">
        <f t="shared" si="1017"/>
        <v>0</v>
      </c>
      <c r="BH598" s="121"/>
      <c r="BI598" s="121"/>
      <c r="BJ598" s="121">
        <f t="shared" si="1018"/>
        <v>0</v>
      </c>
      <c r="BK598" s="121"/>
      <c r="BL598" s="311"/>
      <c r="BM598" s="317"/>
      <c r="BN598" s="319"/>
    </row>
    <row r="599" s="43" customFormat="1" ht="33.95" hidden="1" customHeight="1" outlineLevel="3" spans="2:66">
      <c r="B599" s="121" t="s">
        <v>792</v>
      </c>
      <c r="C599" s="122" t="s">
        <v>2186</v>
      </c>
      <c r="D599" s="43" t="s">
        <v>2187</v>
      </c>
      <c r="E599" s="121"/>
      <c r="F599" s="121" t="s">
        <v>1618</v>
      </c>
      <c r="G599" s="121" t="s">
        <v>936</v>
      </c>
      <c r="H599" s="121">
        <f t="shared" si="1004"/>
        <v>0</v>
      </c>
      <c r="I599" s="121" t="s">
        <v>1235</v>
      </c>
      <c r="J599" s="121">
        <v>1</v>
      </c>
      <c r="K599" s="121" t="s">
        <v>1236</v>
      </c>
      <c r="L599" s="304"/>
      <c r="M599" s="121" t="s">
        <v>1370</v>
      </c>
      <c r="N599" s="121">
        <f t="shared" si="1005"/>
        <v>0</v>
      </c>
      <c r="O599" s="304"/>
      <c r="P599" s="304"/>
      <c r="Q599" s="304"/>
      <c r="R599" s="304"/>
      <c r="S599" s="304"/>
      <c r="T599" s="304"/>
      <c r="U599" s="304"/>
      <c r="V599" s="304"/>
      <c r="W599" s="304"/>
      <c r="X599" s="304"/>
      <c r="Y599" s="304"/>
      <c r="Z599" s="304"/>
      <c r="AA599" s="121"/>
      <c r="AB599" s="121">
        <f t="shared" si="1006"/>
        <v>0</v>
      </c>
      <c r="AC599" s="121">
        <f t="shared" si="1007"/>
        <v>0</v>
      </c>
      <c r="AD599" s="121"/>
      <c r="AE599" s="121"/>
      <c r="AF599" s="121">
        <f t="shared" si="1008"/>
        <v>0</v>
      </c>
      <c r="AG599" s="121"/>
      <c r="AH599" s="121"/>
      <c r="AI599" s="121">
        <f t="shared" si="1009"/>
        <v>0</v>
      </c>
      <c r="AJ599" s="121"/>
      <c r="AK599" s="121"/>
      <c r="AL599" s="121">
        <f t="shared" si="1010"/>
        <v>0</v>
      </c>
      <c r="AM599" s="121"/>
      <c r="AN599" s="121"/>
      <c r="AO599" s="121">
        <f t="shared" si="1011"/>
        <v>0</v>
      </c>
      <c r="AP599" s="121"/>
      <c r="AQ599" s="121"/>
      <c r="AR599" s="121">
        <f t="shared" si="1012"/>
        <v>0</v>
      </c>
      <c r="AS599" s="121"/>
      <c r="AT599" s="121"/>
      <c r="AU599" s="121">
        <f t="shared" si="1013"/>
        <v>0</v>
      </c>
      <c r="AV599" s="121"/>
      <c r="AW599" s="121"/>
      <c r="AX599" s="121">
        <f t="shared" si="1014"/>
        <v>0</v>
      </c>
      <c r="AY599" s="121"/>
      <c r="AZ599" s="121"/>
      <c r="BA599" s="121">
        <f t="shared" si="1015"/>
        <v>0</v>
      </c>
      <c r="BB599" s="121"/>
      <c r="BC599" s="121"/>
      <c r="BD599" s="121">
        <f t="shared" si="1016"/>
        <v>0</v>
      </c>
      <c r="BE599" s="121"/>
      <c r="BF599" s="121"/>
      <c r="BG599" s="121">
        <f t="shared" si="1017"/>
        <v>0</v>
      </c>
      <c r="BH599" s="121"/>
      <c r="BI599" s="121"/>
      <c r="BJ599" s="121">
        <f t="shared" si="1018"/>
        <v>0</v>
      </c>
      <c r="BK599" s="121"/>
      <c r="BL599" s="311"/>
      <c r="BM599" s="317"/>
      <c r="BN599" s="319"/>
    </row>
    <row r="600" s="43" customFormat="1" ht="33.95" hidden="1" customHeight="1" outlineLevel="3" spans="2:66">
      <c r="B600" s="121" t="s">
        <v>792</v>
      </c>
      <c r="C600" s="122" t="s">
        <v>2188</v>
      </c>
      <c r="D600" s="43" t="s">
        <v>2189</v>
      </c>
      <c r="E600" s="121"/>
      <c r="F600" s="121" t="s">
        <v>1618</v>
      </c>
      <c r="G600" s="121" t="s">
        <v>936</v>
      </c>
      <c r="H600" s="121">
        <f t="shared" si="1004"/>
        <v>0</v>
      </c>
      <c r="I600" s="121" t="s">
        <v>1235</v>
      </c>
      <c r="J600" s="121">
        <v>1</v>
      </c>
      <c r="K600" s="121" t="s">
        <v>1236</v>
      </c>
      <c r="L600" s="304"/>
      <c r="M600" s="121" t="s">
        <v>1370</v>
      </c>
      <c r="N600" s="121">
        <f t="shared" si="1005"/>
        <v>0</v>
      </c>
      <c r="O600" s="322"/>
      <c r="P600" s="322"/>
      <c r="Q600" s="322"/>
      <c r="R600" s="322"/>
      <c r="S600" s="322"/>
      <c r="T600" s="322"/>
      <c r="U600" s="322"/>
      <c r="V600" s="322"/>
      <c r="W600" s="322"/>
      <c r="X600" s="322"/>
      <c r="Y600" s="322"/>
      <c r="Z600" s="322"/>
      <c r="AA600" s="121"/>
      <c r="AB600" s="121">
        <f t="shared" si="1006"/>
        <v>0</v>
      </c>
      <c r="AC600" s="121">
        <f t="shared" si="1007"/>
        <v>0</v>
      </c>
      <c r="AD600" s="121"/>
      <c r="AE600" s="121"/>
      <c r="AF600" s="121">
        <f t="shared" si="1008"/>
        <v>0</v>
      </c>
      <c r="AG600" s="121"/>
      <c r="AH600" s="121"/>
      <c r="AI600" s="121">
        <f t="shared" si="1009"/>
        <v>0</v>
      </c>
      <c r="AJ600" s="121"/>
      <c r="AK600" s="121"/>
      <c r="AL600" s="121">
        <f t="shared" si="1010"/>
        <v>0</v>
      </c>
      <c r="AM600" s="121"/>
      <c r="AN600" s="121"/>
      <c r="AO600" s="121">
        <f t="shared" si="1011"/>
        <v>0</v>
      </c>
      <c r="AP600" s="121"/>
      <c r="AQ600" s="121"/>
      <c r="AR600" s="121">
        <f t="shared" si="1012"/>
        <v>0</v>
      </c>
      <c r="AS600" s="121"/>
      <c r="AT600" s="121"/>
      <c r="AU600" s="121">
        <f t="shared" si="1013"/>
        <v>0</v>
      </c>
      <c r="AV600" s="121"/>
      <c r="AW600" s="121"/>
      <c r="AX600" s="121">
        <f t="shared" si="1014"/>
        <v>0</v>
      </c>
      <c r="AY600" s="121"/>
      <c r="AZ600" s="121"/>
      <c r="BA600" s="121">
        <f t="shared" si="1015"/>
        <v>0</v>
      </c>
      <c r="BB600" s="121"/>
      <c r="BC600" s="121"/>
      <c r="BD600" s="121">
        <f t="shared" si="1016"/>
        <v>0</v>
      </c>
      <c r="BE600" s="121"/>
      <c r="BF600" s="121"/>
      <c r="BG600" s="121">
        <f t="shared" si="1017"/>
        <v>0</v>
      </c>
      <c r="BH600" s="121"/>
      <c r="BI600" s="121"/>
      <c r="BJ600" s="121">
        <f t="shared" si="1018"/>
        <v>0</v>
      </c>
      <c r="BK600" s="121"/>
      <c r="BL600" s="311"/>
      <c r="BM600" s="317"/>
      <c r="BN600" s="319"/>
    </row>
    <row r="601" s="14" customFormat="1" ht="33.95" hidden="1" customHeight="1" outlineLevel="2" spans="2:66">
      <c r="B601" s="118" t="s">
        <v>787</v>
      </c>
      <c r="C601" s="119" t="s">
        <v>2190</v>
      </c>
      <c r="D601" s="14" t="s">
        <v>2191</v>
      </c>
      <c r="E601" s="118"/>
      <c r="F601" s="118"/>
      <c r="G601" s="118"/>
      <c r="H601" s="118">
        <f>SUM(H602:H604)</f>
        <v>0</v>
      </c>
      <c r="I601" s="118"/>
      <c r="J601" s="118"/>
      <c r="K601" s="118"/>
      <c r="L601" s="118"/>
      <c r="M601" s="118"/>
      <c r="N601" s="310"/>
      <c r="O601" s="293"/>
      <c r="P601" s="293"/>
      <c r="Q601" s="293"/>
      <c r="R601" s="293"/>
      <c r="S601" s="293"/>
      <c r="T601" s="293"/>
      <c r="U601" s="293"/>
      <c r="V601" s="293"/>
      <c r="W601" s="293"/>
      <c r="X601" s="293"/>
      <c r="Y601" s="293"/>
      <c r="Z601" s="293"/>
      <c r="AA601" s="293"/>
      <c r="AB601" s="118">
        <f t="shared" ref="AB601:AF601" si="1019">SUM(AB602:AB604)</f>
        <v>0</v>
      </c>
      <c r="AC601" s="118">
        <f t="shared" si="1019"/>
        <v>0</v>
      </c>
      <c r="AD601" s="118"/>
      <c r="AE601" s="118"/>
      <c r="AF601" s="118">
        <f t="shared" si="1019"/>
        <v>0</v>
      </c>
      <c r="AG601" s="118"/>
      <c r="AH601" s="118"/>
      <c r="AI601" s="118">
        <f>SUM(AI602:AI604)</f>
        <v>0</v>
      </c>
      <c r="AJ601" s="118"/>
      <c r="AK601" s="118"/>
      <c r="AL601" s="118">
        <f>SUM(AL602:AL604)</f>
        <v>0</v>
      </c>
      <c r="AM601" s="118"/>
      <c r="AN601" s="118"/>
      <c r="AO601" s="118">
        <f>SUM(AO602:AO604)</f>
        <v>0</v>
      </c>
      <c r="AP601" s="118"/>
      <c r="AQ601" s="118"/>
      <c r="AR601" s="118">
        <f>SUM(AR602:AR604)</f>
        <v>0</v>
      </c>
      <c r="AS601" s="118"/>
      <c r="AT601" s="118"/>
      <c r="AU601" s="118">
        <f>SUM(AU602:AU604)</f>
        <v>0</v>
      </c>
      <c r="AV601" s="118"/>
      <c r="AW601" s="118"/>
      <c r="AX601" s="118">
        <f>SUM(AX602:AX604)</f>
        <v>0</v>
      </c>
      <c r="AY601" s="118"/>
      <c r="AZ601" s="118"/>
      <c r="BA601" s="118">
        <f>SUM(BA602:BA604)</f>
        <v>0</v>
      </c>
      <c r="BB601" s="118"/>
      <c r="BC601" s="118"/>
      <c r="BD601" s="118">
        <f>SUM(BD602:BD604)</f>
        <v>0</v>
      </c>
      <c r="BE601" s="118"/>
      <c r="BF601" s="118"/>
      <c r="BG601" s="118">
        <f>SUM(BG602:BG604)</f>
        <v>0</v>
      </c>
      <c r="BH601" s="118"/>
      <c r="BI601" s="118"/>
      <c r="BJ601" s="118">
        <f>SUM(BJ602:BJ604)</f>
        <v>0</v>
      </c>
      <c r="BK601" s="118"/>
      <c r="BL601" s="310"/>
      <c r="BM601" s="317"/>
      <c r="BN601" s="318"/>
    </row>
    <row r="602" s="43" customFormat="1" ht="33.95" hidden="1" customHeight="1" outlineLevel="3" spans="2:66">
      <c r="B602" s="121" t="s">
        <v>792</v>
      </c>
      <c r="C602" s="122" t="s">
        <v>2192</v>
      </c>
      <c r="D602" s="43" t="s">
        <v>2193</v>
      </c>
      <c r="E602" s="121"/>
      <c r="F602" s="121" t="s">
        <v>1618</v>
      </c>
      <c r="G602" s="121" t="s">
        <v>936</v>
      </c>
      <c r="H602" s="121">
        <f t="shared" ref="H602:H604" si="1020">J602*L602</f>
        <v>0</v>
      </c>
      <c r="I602" s="121" t="s">
        <v>1235</v>
      </c>
      <c r="J602" s="121">
        <v>1</v>
      </c>
      <c r="K602" s="121" t="s">
        <v>1236</v>
      </c>
      <c r="L602" s="304"/>
      <c r="M602" s="121" t="s">
        <v>1370</v>
      </c>
      <c r="N602" s="121">
        <f t="shared" ref="N602:N604" si="1021">COUNTA(O602:Z602)</f>
        <v>0</v>
      </c>
      <c r="O602" s="323"/>
      <c r="P602" s="323"/>
      <c r="Q602" s="323"/>
      <c r="R602" s="323"/>
      <c r="S602" s="323"/>
      <c r="T602" s="323"/>
      <c r="U602" s="323"/>
      <c r="V602" s="323"/>
      <c r="W602" s="323"/>
      <c r="X602" s="323"/>
      <c r="Y602" s="323"/>
      <c r="Z602" s="323"/>
      <c r="AA602" s="121"/>
      <c r="AB602" s="121">
        <f t="shared" ref="AB602:AB604" si="1022">SUM(AC602,AF602,AI602,AL602,AO602,AR602,AU602,AX602,BA602,BD602,BG602,BJ602)</f>
        <v>0</v>
      </c>
      <c r="AC602" s="121">
        <f t="shared" ref="AC602:AC604" si="1023">IF(O602="√",$J602*$L602/$N602,0)</f>
        <v>0</v>
      </c>
      <c r="AD602" s="121"/>
      <c r="AE602" s="121"/>
      <c r="AF602" s="121">
        <f t="shared" ref="AF602:AF604" si="1024">IF(P602="√",$J602*$L602/$N602,0)</f>
        <v>0</v>
      </c>
      <c r="AG602" s="121"/>
      <c r="AH602" s="121"/>
      <c r="AI602" s="121">
        <f t="shared" ref="AI602:AI604" si="1025">IF(Q602="√",$J602*$L602/$N602,0)</f>
        <v>0</v>
      </c>
      <c r="AJ602" s="121"/>
      <c r="AK602" s="121"/>
      <c r="AL602" s="121">
        <f t="shared" ref="AL602:AL604" si="1026">IF(R602="√",$J602*$L602/$N602,0)</f>
        <v>0</v>
      </c>
      <c r="AM602" s="121"/>
      <c r="AN602" s="121"/>
      <c r="AO602" s="121">
        <f t="shared" ref="AO602:AO604" si="1027">IF(S602="√",$J602*$L602/$N602,0)</f>
        <v>0</v>
      </c>
      <c r="AP602" s="121"/>
      <c r="AQ602" s="121"/>
      <c r="AR602" s="121">
        <f t="shared" ref="AR602:AR604" si="1028">IF(T602="√",$J602*$L602/$N602,0)</f>
        <v>0</v>
      </c>
      <c r="AS602" s="121"/>
      <c r="AT602" s="121"/>
      <c r="AU602" s="121">
        <f t="shared" ref="AU602:AU604" si="1029">IF(U602="√",$J602*$L602/$N602,0)</f>
        <v>0</v>
      </c>
      <c r="AV602" s="121"/>
      <c r="AW602" s="121"/>
      <c r="AX602" s="121">
        <f t="shared" ref="AX602:AX604" si="1030">IF(V602="√",$J602*$L602/$N602,0)</f>
        <v>0</v>
      </c>
      <c r="AY602" s="121"/>
      <c r="AZ602" s="121"/>
      <c r="BA602" s="121">
        <f t="shared" ref="BA602:BA604" si="1031">IF(W602="√",$J602*$L602/$N602,0)</f>
        <v>0</v>
      </c>
      <c r="BB602" s="121"/>
      <c r="BC602" s="121"/>
      <c r="BD602" s="121">
        <f t="shared" ref="BD602:BD604" si="1032">IF(X602="√",$J602*$L602/$N602,0)</f>
        <v>0</v>
      </c>
      <c r="BE602" s="121"/>
      <c r="BF602" s="121"/>
      <c r="BG602" s="121">
        <f t="shared" ref="BG602:BG604" si="1033">IF(Y602="√",$J602*$L602/$N602,0)</f>
        <v>0</v>
      </c>
      <c r="BH602" s="121"/>
      <c r="BI602" s="121"/>
      <c r="BJ602" s="121">
        <f t="shared" ref="BJ602:BJ604" si="1034">IF(Z602="√",$J602*$L602/$N602,0)</f>
        <v>0</v>
      </c>
      <c r="BK602" s="121"/>
      <c r="BL602" s="311"/>
      <c r="BM602" s="317"/>
      <c r="BN602" s="319"/>
    </row>
    <row r="603" s="43" customFormat="1" ht="33.95" hidden="1" customHeight="1" outlineLevel="3" spans="2:66">
      <c r="B603" s="121" t="s">
        <v>792</v>
      </c>
      <c r="C603" s="122" t="s">
        <v>2194</v>
      </c>
      <c r="D603" s="43" t="s">
        <v>2195</v>
      </c>
      <c r="E603" s="121"/>
      <c r="F603" s="121" t="s">
        <v>1618</v>
      </c>
      <c r="G603" s="121" t="s">
        <v>936</v>
      </c>
      <c r="H603" s="121">
        <f t="shared" si="1020"/>
        <v>0</v>
      </c>
      <c r="I603" s="121" t="s">
        <v>1235</v>
      </c>
      <c r="J603" s="121">
        <v>1</v>
      </c>
      <c r="K603" s="121" t="s">
        <v>1236</v>
      </c>
      <c r="L603" s="304"/>
      <c r="M603" s="121" t="s">
        <v>1370</v>
      </c>
      <c r="N603" s="121">
        <f t="shared" si="1021"/>
        <v>0</v>
      </c>
      <c r="O603" s="304"/>
      <c r="P603" s="304"/>
      <c r="Q603" s="304"/>
      <c r="R603" s="304"/>
      <c r="S603" s="304"/>
      <c r="T603" s="304"/>
      <c r="U603" s="304"/>
      <c r="V603" s="304"/>
      <c r="W603" s="304"/>
      <c r="X603" s="304"/>
      <c r="Y603" s="304"/>
      <c r="Z603" s="304"/>
      <c r="AA603" s="121"/>
      <c r="AB603" s="121">
        <f t="shared" si="1022"/>
        <v>0</v>
      </c>
      <c r="AC603" s="121">
        <f t="shared" si="1023"/>
        <v>0</v>
      </c>
      <c r="AD603" s="121"/>
      <c r="AE603" s="121"/>
      <c r="AF603" s="121">
        <f t="shared" si="1024"/>
        <v>0</v>
      </c>
      <c r="AG603" s="121"/>
      <c r="AH603" s="121"/>
      <c r="AI603" s="121">
        <f t="shared" si="1025"/>
        <v>0</v>
      </c>
      <c r="AJ603" s="121"/>
      <c r="AK603" s="121"/>
      <c r="AL603" s="121">
        <f t="shared" si="1026"/>
        <v>0</v>
      </c>
      <c r="AM603" s="121"/>
      <c r="AN603" s="121"/>
      <c r="AO603" s="121">
        <f t="shared" si="1027"/>
        <v>0</v>
      </c>
      <c r="AP603" s="121"/>
      <c r="AQ603" s="121"/>
      <c r="AR603" s="121">
        <f t="shared" si="1028"/>
        <v>0</v>
      </c>
      <c r="AS603" s="121"/>
      <c r="AT603" s="121"/>
      <c r="AU603" s="121">
        <f t="shared" si="1029"/>
        <v>0</v>
      </c>
      <c r="AV603" s="121"/>
      <c r="AW603" s="121"/>
      <c r="AX603" s="121">
        <f t="shared" si="1030"/>
        <v>0</v>
      </c>
      <c r="AY603" s="121"/>
      <c r="AZ603" s="121"/>
      <c r="BA603" s="121">
        <f t="shared" si="1031"/>
        <v>0</v>
      </c>
      <c r="BB603" s="121"/>
      <c r="BC603" s="121"/>
      <c r="BD603" s="121">
        <f t="shared" si="1032"/>
        <v>0</v>
      </c>
      <c r="BE603" s="121"/>
      <c r="BF603" s="121"/>
      <c r="BG603" s="121">
        <f t="shared" si="1033"/>
        <v>0</v>
      </c>
      <c r="BH603" s="121"/>
      <c r="BI603" s="121"/>
      <c r="BJ603" s="121">
        <f t="shared" si="1034"/>
        <v>0</v>
      </c>
      <c r="BK603" s="121"/>
      <c r="BL603" s="311"/>
      <c r="BM603" s="317"/>
      <c r="BN603" s="319"/>
    </row>
    <row r="604" s="43" customFormat="1" ht="33.95" hidden="1" customHeight="1" outlineLevel="3" spans="2:66">
      <c r="B604" s="121" t="s">
        <v>792</v>
      </c>
      <c r="C604" s="122" t="s">
        <v>2196</v>
      </c>
      <c r="D604" s="43" t="s">
        <v>2197</v>
      </c>
      <c r="E604" s="121"/>
      <c r="F604" s="121" t="s">
        <v>1618</v>
      </c>
      <c r="G604" s="121" t="s">
        <v>936</v>
      </c>
      <c r="H604" s="121">
        <f t="shared" si="1020"/>
        <v>0</v>
      </c>
      <c r="I604" s="121" t="s">
        <v>1235</v>
      </c>
      <c r="J604" s="121">
        <v>1</v>
      </c>
      <c r="K604" s="121" t="s">
        <v>1236</v>
      </c>
      <c r="L604" s="304"/>
      <c r="M604" s="121" t="s">
        <v>1370</v>
      </c>
      <c r="N604" s="121">
        <f t="shared" si="1021"/>
        <v>0</v>
      </c>
      <c r="O604" s="322"/>
      <c r="P604" s="322"/>
      <c r="Q604" s="322"/>
      <c r="R604" s="322"/>
      <c r="S604" s="322"/>
      <c r="T604" s="322"/>
      <c r="U604" s="322"/>
      <c r="V604" s="322"/>
      <c r="W604" s="322"/>
      <c r="X604" s="322"/>
      <c r="Y604" s="322"/>
      <c r="Z604" s="322"/>
      <c r="AA604" s="121"/>
      <c r="AB604" s="121">
        <f t="shared" si="1022"/>
        <v>0</v>
      </c>
      <c r="AC604" s="121">
        <f t="shared" si="1023"/>
        <v>0</v>
      </c>
      <c r="AD604" s="121"/>
      <c r="AE604" s="121"/>
      <c r="AF604" s="121">
        <f t="shared" si="1024"/>
        <v>0</v>
      </c>
      <c r="AG604" s="121"/>
      <c r="AH604" s="121"/>
      <c r="AI604" s="121">
        <f t="shared" si="1025"/>
        <v>0</v>
      </c>
      <c r="AJ604" s="121"/>
      <c r="AK604" s="121"/>
      <c r="AL604" s="121">
        <f t="shared" si="1026"/>
        <v>0</v>
      </c>
      <c r="AM604" s="121"/>
      <c r="AN604" s="121"/>
      <c r="AO604" s="121">
        <f t="shared" si="1027"/>
        <v>0</v>
      </c>
      <c r="AP604" s="121"/>
      <c r="AQ604" s="121"/>
      <c r="AR604" s="121">
        <f t="shared" si="1028"/>
        <v>0</v>
      </c>
      <c r="AS604" s="121"/>
      <c r="AT604" s="121"/>
      <c r="AU604" s="121">
        <f t="shared" si="1029"/>
        <v>0</v>
      </c>
      <c r="AV604" s="121"/>
      <c r="AW604" s="121"/>
      <c r="AX604" s="121">
        <f t="shared" si="1030"/>
        <v>0</v>
      </c>
      <c r="AY604" s="121"/>
      <c r="AZ604" s="121"/>
      <c r="BA604" s="121">
        <f t="shared" si="1031"/>
        <v>0</v>
      </c>
      <c r="BB604" s="121"/>
      <c r="BC604" s="121"/>
      <c r="BD604" s="121">
        <f t="shared" si="1032"/>
        <v>0</v>
      </c>
      <c r="BE604" s="121"/>
      <c r="BF604" s="121"/>
      <c r="BG604" s="121">
        <f t="shared" si="1033"/>
        <v>0</v>
      </c>
      <c r="BH604" s="121"/>
      <c r="BI604" s="121"/>
      <c r="BJ604" s="121">
        <f t="shared" si="1034"/>
        <v>0</v>
      </c>
      <c r="BK604" s="121"/>
      <c r="BL604" s="311"/>
      <c r="BM604" s="317"/>
      <c r="BN604" s="319"/>
    </row>
    <row r="605" s="14" customFormat="1" ht="33.95" hidden="1" customHeight="1" outlineLevel="2" spans="2:66">
      <c r="B605" s="118" t="s">
        <v>787</v>
      </c>
      <c r="C605" s="119" t="s">
        <v>2198</v>
      </c>
      <c r="D605" s="14" t="s">
        <v>2199</v>
      </c>
      <c r="E605" s="118"/>
      <c r="F605" s="118"/>
      <c r="G605" s="118"/>
      <c r="H605" s="118">
        <f>SUM(H606:H613)</f>
        <v>0</v>
      </c>
      <c r="I605" s="118"/>
      <c r="J605" s="118"/>
      <c r="K605" s="118"/>
      <c r="L605" s="118"/>
      <c r="M605" s="118"/>
      <c r="N605" s="310"/>
      <c r="O605" s="293"/>
      <c r="P605" s="293"/>
      <c r="Q605" s="293"/>
      <c r="R605" s="293"/>
      <c r="S605" s="293"/>
      <c r="T605" s="293"/>
      <c r="U605" s="293"/>
      <c r="V605" s="293"/>
      <c r="W605" s="293"/>
      <c r="X605" s="293"/>
      <c r="Y605" s="293"/>
      <c r="Z605" s="293"/>
      <c r="AA605" s="293"/>
      <c r="AB605" s="118">
        <f t="shared" ref="AB605:AF605" si="1035">SUM(AB606:AB613)</f>
        <v>0</v>
      </c>
      <c r="AC605" s="118">
        <f t="shared" si="1035"/>
        <v>0</v>
      </c>
      <c r="AD605" s="118"/>
      <c r="AE605" s="118"/>
      <c r="AF605" s="118">
        <f t="shared" si="1035"/>
        <v>0</v>
      </c>
      <c r="AG605" s="118"/>
      <c r="AH605" s="118"/>
      <c r="AI605" s="118">
        <f>SUM(AI606:AI613)</f>
        <v>0</v>
      </c>
      <c r="AJ605" s="118"/>
      <c r="AK605" s="118"/>
      <c r="AL605" s="118">
        <f>SUM(AL606:AL613)</f>
        <v>0</v>
      </c>
      <c r="AM605" s="118"/>
      <c r="AN605" s="118"/>
      <c r="AO605" s="118">
        <f>SUM(AO606:AO613)</f>
        <v>0</v>
      </c>
      <c r="AP605" s="118"/>
      <c r="AQ605" s="118"/>
      <c r="AR605" s="118">
        <f>SUM(AR606:AR613)</f>
        <v>0</v>
      </c>
      <c r="AS605" s="118"/>
      <c r="AT605" s="118"/>
      <c r="AU605" s="118">
        <f>SUM(AU606:AU613)</f>
        <v>0</v>
      </c>
      <c r="AV605" s="118"/>
      <c r="AW605" s="118"/>
      <c r="AX605" s="118">
        <f>SUM(AX606:AX613)</f>
        <v>0</v>
      </c>
      <c r="AY605" s="118"/>
      <c r="AZ605" s="118"/>
      <c r="BA605" s="118">
        <f>SUM(BA606:BA613)</f>
        <v>0</v>
      </c>
      <c r="BB605" s="118"/>
      <c r="BC605" s="118"/>
      <c r="BD605" s="118">
        <f>SUM(BD606:BD613)</f>
        <v>0</v>
      </c>
      <c r="BE605" s="118"/>
      <c r="BF605" s="118"/>
      <c r="BG605" s="118">
        <f>SUM(BG606:BG613)</f>
        <v>0</v>
      </c>
      <c r="BH605" s="118"/>
      <c r="BI605" s="118"/>
      <c r="BJ605" s="118">
        <f>SUM(BJ606:BJ613)</f>
        <v>0</v>
      </c>
      <c r="BK605" s="118"/>
      <c r="BL605" s="310"/>
      <c r="BM605" s="317"/>
      <c r="BN605" s="318"/>
    </row>
    <row r="606" s="43" customFormat="1" ht="33.95" hidden="1" customHeight="1" outlineLevel="3" spans="2:66">
      <c r="B606" s="121" t="s">
        <v>792</v>
      </c>
      <c r="C606" s="122" t="s">
        <v>2200</v>
      </c>
      <c r="D606" s="43" t="s">
        <v>2201</v>
      </c>
      <c r="E606" s="121"/>
      <c r="F606" s="121" t="s">
        <v>1618</v>
      </c>
      <c r="G606" s="121" t="s">
        <v>936</v>
      </c>
      <c r="H606" s="121">
        <f t="shared" ref="H606:H613" si="1036">J606*L606</f>
        <v>0</v>
      </c>
      <c r="I606" s="121" t="s">
        <v>1235</v>
      </c>
      <c r="J606" s="121">
        <v>1</v>
      </c>
      <c r="K606" s="121" t="s">
        <v>1236</v>
      </c>
      <c r="L606" s="304"/>
      <c r="M606" s="121" t="s">
        <v>1370</v>
      </c>
      <c r="N606" s="121">
        <f t="shared" ref="N606:N613" si="1037">COUNTA(O606:Z606)</f>
        <v>0</v>
      </c>
      <c r="O606" s="323"/>
      <c r="P606" s="323"/>
      <c r="Q606" s="323"/>
      <c r="R606" s="323"/>
      <c r="S606" s="323"/>
      <c r="T606" s="323"/>
      <c r="U606" s="323"/>
      <c r="V606" s="323"/>
      <c r="W606" s="323"/>
      <c r="X606" s="323"/>
      <c r="Y606" s="323"/>
      <c r="Z606" s="323"/>
      <c r="AA606" s="121"/>
      <c r="AB606" s="121">
        <f t="shared" ref="AB606:AB613" si="1038">SUM(AC606,AF606,AI606,AL606,AO606,AR606,AU606,AX606,BA606,BD606,BG606,BJ606)</f>
        <v>0</v>
      </c>
      <c r="AC606" s="121">
        <f t="shared" ref="AC606:AC613" si="1039">IF(O606="√",$J606*$L606/$N606,0)</f>
        <v>0</v>
      </c>
      <c r="AD606" s="121"/>
      <c r="AE606" s="121"/>
      <c r="AF606" s="121">
        <f t="shared" ref="AF606:AF613" si="1040">IF(P606="√",$J606*$L606/$N606,0)</f>
        <v>0</v>
      </c>
      <c r="AG606" s="121"/>
      <c r="AH606" s="121"/>
      <c r="AI606" s="121">
        <f t="shared" ref="AI606:AI613" si="1041">IF(Q606="√",$J606*$L606/$N606,0)</f>
        <v>0</v>
      </c>
      <c r="AJ606" s="121"/>
      <c r="AK606" s="121"/>
      <c r="AL606" s="121">
        <f t="shared" ref="AL606:AL613" si="1042">IF(R606="√",$J606*$L606/$N606,0)</f>
        <v>0</v>
      </c>
      <c r="AM606" s="121"/>
      <c r="AN606" s="121"/>
      <c r="AO606" s="121">
        <f t="shared" ref="AO606:AO613" si="1043">IF(S606="√",$J606*$L606/$N606,0)</f>
        <v>0</v>
      </c>
      <c r="AP606" s="121"/>
      <c r="AQ606" s="121"/>
      <c r="AR606" s="121">
        <f t="shared" ref="AR606:AR613" si="1044">IF(T606="√",$J606*$L606/$N606,0)</f>
        <v>0</v>
      </c>
      <c r="AS606" s="121"/>
      <c r="AT606" s="121"/>
      <c r="AU606" s="121">
        <f t="shared" ref="AU606:AU613" si="1045">IF(U606="√",$J606*$L606/$N606,0)</f>
        <v>0</v>
      </c>
      <c r="AV606" s="121"/>
      <c r="AW606" s="121"/>
      <c r="AX606" s="121">
        <f t="shared" ref="AX606:AX613" si="1046">IF(V606="√",$J606*$L606/$N606,0)</f>
        <v>0</v>
      </c>
      <c r="AY606" s="121"/>
      <c r="AZ606" s="121"/>
      <c r="BA606" s="121">
        <f t="shared" ref="BA606:BA613" si="1047">IF(W606="√",$J606*$L606/$N606,0)</f>
        <v>0</v>
      </c>
      <c r="BB606" s="121"/>
      <c r="BC606" s="121"/>
      <c r="BD606" s="121">
        <f t="shared" ref="BD606:BD613" si="1048">IF(X606="√",$J606*$L606/$N606,0)</f>
        <v>0</v>
      </c>
      <c r="BE606" s="121"/>
      <c r="BF606" s="121"/>
      <c r="BG606" s="121">
        <f t="shared" ref="BG606:BG613" si="1049">IF(Y606="√",$J606*$L606/$N606,0)</f>
        <v>0</v>
      </c>
      <c r="BH606" s="121"/>
      <c r="BI606" s="121"/>
      <c r="BJ606" s="121">
        <f t="shared" ref="BJ606:BJ613" si="1050">IF(Z606="√",$J606*$L606/$N606,0)</f>
        <v>0</v>
      </c>
      <c r="BK606" s="121"/>
      <c r="BL606" s="311"/>
      <c r="BM606" s="317"/>
      <c r="BN606" s="319"/>
    </row>
    <row r="607" s="43" customFormat="1" ht="33.95" hidden="1" customHeight="1" outlineLevel="3" spans="2:66">
      <c r="B607" s="121" t="s">
        <v>792</v>
      </c>
      <c r="C607" s="122" t="s">
        <v>2202</v>
      </c>
      <c r="D607" s="43" t="s">
        <v>2203</v>
      </c>
      <c r="E607" s="121"/>
      <c r="F607" s="121" t="s">
        <v>1618</v>
      </c>
      <c r="G607" s="121" t="s">
        <v>936</v>
      </c>
      <c r="H607" s="121">
        <f t="shared" si="1036"/>
        <v>0</v>
      </c>
      <c r="I607" s="121" t="s">
        <v>1235</v>
      </c>
      <c r="J607" s="121">
        <v>1</v>
      </c>
      <c r="K607" s="121" t="s">
        <v>1236</v>
      </c>
      <c r="L607" s="304"/>
      <c r="M607" s="121" t="s">
        <v>1370</v>
      </c>
      <c r="N607" s="121">
        <f t="shared" si="1037"/>
        <v>0</v>
      </c>
      <c r="O607" s="304"/>
      <c r="P607" s="304"/>
      <c r="Q607" s="304"/>
      <c r="R607" s="304"/>
      <c r="S607" s="304"/>
      <c r="T607" s="304"/>
      <c r="U607" s="304"/>
      <c r="V607" s="304"/>
      <c r="W607" s="304"/>
      <c r="X607" s="304"/>
      <c r="Y607" s="304"/>
      <c r="Z607" s="304"/>
      <c r="AA607" s="121"/>
      <c r="AB607" s="121">
        <f t="shared" si="1038"/>
        <v>0</v>
      </c>
      <c r="AC607" s="121">
        <f t="shared" si="1039"/>
        <v>0</v>
      </c>
      <c r="AD607" s="121"/>
      <c r="AE607" s="121"/>
      <c r="AF607" s="121">
        <f t="shared" si="1040"/>
        <v>0</v>
      </c>
      <c r="AG607" s="121"/>
      <c r="AH607" s="121"/>
      <c r="AI607" s="121">
        <f t="shared" si="1041"/>
        <v>0</v>
      </c>
      <c r="AJ607" s="121"/>
      <c r="AK607" s="121"/>
      <c r="AL607" s="121">
        <f t="shared" si="1042"/>
        <v>0</v>
      </c>
      <c r="AM607" s="121"/>
      <c r="AN607" s="121"/>
      <c r="AO607" s="121">
        <f t="shared" si="1043"/>
        <v>0</v>
      </c>
      <c r="AP607" s="121"/>
      <c r="AQ607" s="121"/>
      <c r="AR607" s="121">
        <f t="shared" si="1044"/>
        <v>0</v>
      </c>
      <c r="AS607" s="121"/>
      <c r="AT607" s="121"/>
      <c r="AU607" s="121">
        <f t="shared" si="1045"/>
        <v>0</v>
      </c>
      <c r="AV607" s="121"/>
      <c r="AW607" s="121"/>
      <c r="AX607" s="121">
        <f t="shared" si="1046"/>
        <v>0</v>
      </c>
      <c r="AY607" s="121"/>
      <c r="AZ607" s="121"/>
      <c r="BA607" s="121">
        <f t="shared" si="1047"/>
        <v>0</v>
      </c>
      <c r="BB607" s="121"/>
      <c r="BC607" s="121"/>
      <c r="BD607" s="121">
        <f t="shared" si="1048"/>
        <v>0</v>
      </c>
      <c r="BE607" s="121"/>
      <c r="BF607" s="121"/>
      <c r="BG607" s="121">
        <f t="shared" si="1049"/>
        <v>0</v>
      </c>
      <c r="BH607" s="121"/>
      <c r="BI607" s="121"/>
      <c r="BJ607" s="121">
        <f t="shared" si="1050"/>
        <v>0</v>
      </c>
      <c r="BK607" s="121"/>
      <c r="BL607" s="311"/>
      <c r="BM607" s="317"/>
      <c r="BN607" s="319"/>
    </row>
    <row r="608" s="43" customFormat="1" ht="33.95" hidden="1" customHeight="1" outlineLevel="3" spans="2:66">
      <c r="B608" s="121" t="s">
        <v>792</v>
      </c>
      <c r="C608" s="122" t="s">
        <v>2204</v>
      </c>
      <c r="D608" s="43" t="s">
        <v>2205</v>
      </c>
      <c r="E608" s="121"/>
      <c r="F608" s="121" t="s">
        <v>1618</v>
      </c>
      <c r="G608" s="121" t="s">
        <v>936</v>
      </c>
      <c r="H608" s="121">
        <f t="shared" si="1036"/>
        <v>0</v>
      </c>
      <c r="I608" s="121" t="s">
        <v>1235</v>
      </c>
      <c r="J608" s="121">
        <v>1</v>
      </c>
      <c r="K608" s="121" t="s">
        <v>1236</v>
      </c>
      <c r="L608" s="304"/>
      <c r="M608" s="121" t="s">
        <v>1370</v>
      </c>
      <c r="N608" s="121">
        <f t="shared" si="1037"/>
        <v>0</v>
      </c>
      <c r="O608" s="304"/>
      <c r="P608" s="304"/>
      <c r="Q608" s="304"/>
      <c r="R608" s="304"/>
      <c r="S608" s="304"/>
      <c r="T608" s="304"/>
      <c r="U608" s="304"/>
      <c r="V608" s="304"/>
      <c r="W608" s="304"/>
      <c r="X608" s="304"/>
      <c r="Y608" s="304"/>
      <c r="Z608" s="304"/>
      <c r="AA608" s="121"/>
      <c r="AB608" s="121">
        <f t="shared" si="1038"/>
        <v>0</v>
      </c>
      <c r="AC608" s="121">
        <f t="shared" si="1039"/>
        <v>0</v>
      </c>
      <c r="AD608" s="121"/>
      <c r="AE608" s="121"/>
      <c r="AF608" s="121">
        <f t="shared" si="1040"/>
        <v>0</v>
      </c>
      <c r="AG608" s="121"/>
      <c r="AH608" s="121"/>
      <c r="AI608" s="121">
        <f t="shared" si="1041"/>
        <v>0</v>
      </c>
      <c r="AJ608" s="121"/>
      <c r="AK608" s="121"/>
      <c r="AL608" s="121">
        <f t="shared" si="1042"/>
        <v>0</v>
      </c>
      <c r="AM608" s="121"/>
      <c r="AN608" s="121"/>
      <c r="AO608" s="121">
        <f t="shared" si="1043"/>
        <v>0</v>
      </c>
      <c r="AP608" s="121"/>
      <c r="AQ608" s="121"/>
      <c r="AR608" s="121">
        <f t="shared" si="1044"/>
        <v>0</v>
      </c>
      <c r="AS608" s="121"/>
      <c r="AT608" s="121"/>
      <c r="AU608" s="121">
        <f t="shared" si="1045"/>
        <v>0</v>
      </c>
      <c r="AV608" s="121"/>
      <c r="AW608" s="121"/>
      <c r="AX608" s="121">
        <f t="shared" si="1046"/>
        <v>0</v>
      </c>
      <c r="AY608" s="121"/>
      <c r="AZ608" s="121"/>
      <c r="BA608" s="121">
        <f t="shared" si="1047"/>
        <v>0</v>
      </c>
      <c r="BB608" s="121"/>
      <c r="BC608" s="121"/>
      <c r="BD608" s="121">
        <f t="shared" si="1048"/>
        <v>0</v>
      </c>
      <c r="BE608" s="121"/>
      <c r="BF608" s="121"/>
      <c r="BG608" s="121">
        <f t="shared" si="1049"/>
        <v>0</v>
      </c>
      <c r="BH608" s="121"/>
      <c r="BI608" s="121"/>
      <c r="BJ608" s="121">
        <f t="shared" si="1050"/>
        <v>0</v>
      </c>
      <c r="BK608" s="121"/>
      <c r="BL608" s="311"/>
      <c r="BM608" s="317"/>
      <c r="BN608" s="319"/>
    </row>
    <row r="609" s="43" customFormat="1" ht="33.95" hidden="1" customHeight="1" outlineLevel="3" spans="2:66">
      <c r="B609" s="121" t="s">
        <v>792</v>
      </c>
      <c r="C609" s="122" t="s">
        <v>2206</v>
      </c>
      <c r="D609" s="43" t="s">
        <v>2207</v>
      </c>
      <c r="E609" s="121"/>
      <c r="F609" s="121" t="s">
        <v>1618</v>
      </c>
      <c r="G609" s="121" t="s">
        <v>936</v>
      </c>
      <c r="H609" s="121">
        <f t="shared" si="1036"/>
        <v>0</v>
      </c>
      <c r="I609" s="121" t="s">
        <v>1235</v>
      </c>
      <c r="J609" s="121">
        <v>1</v>
      </c>
      <c r="K609" s="121" t="s">
        <v>1236</v>
      </c>
      <c r="L609" s="304"/>
      <c r="M609" s="121" t="s">
        <v>1370</v>
      </c>
      <c r="N609" s="121">
        <f t="shared" si="1037"/>
        <v>0</v>
      </c>
      <c r="O609" s="304"/>
      <c r="P609" s="304"/>
      <c r="Q609" s="304"/>
      <c r="R609" s="304"/>
      <c r="S609" s="304"/>
      <c r="T609" s="304"/>
      <c r="U609" s="304"/>
      <c r="V609" s="304"/>
      <c r="W609" s="304"/>
      <c r="X609" s="304"/>
      <c r="Y609" s="304"/>
      <c r="Z609" s="304"/>
      <c r="AA609" s="121"/>
      <c r="AB609" s="121">
        <f t="shared" si="1038"/>
        <v>0</v>
      </c>
      <c r="AC609" s="121">
        <f t="shared" si="1039"/>
        <v>0</v>
      </c>
      <c r="AD609" s="121"/>
      <c r="AE609" s="121"/>
      <c r="AF609" s="121">
        <f t="shared" si="1040"/>
        <v>0</v>
      </c>
      <c r="AG609" s="121"/>
      <c r="AH609" s="121"/>
      <c r="AI609" s="121">
        <f t="shared" si="1041"/>
        <v>0</v>
      </c>
      <c r="AJ609" s="121"/>
      <c r="AK609" s="121"/>
      <c r="AL609" s="121">
        <f t="shared" si="1042"/>
        <v>0</v>
      </c>
      <c r="AM609" s="121"/>
      <c r="AN609" s="121"/>
      <c r="AO609" s="121">
        <f t="shared" si="1043"/>
        <v>0</v>
      </c>
      <c r="AP609" s="121"/>
      <c r="AQ609" s="121"/>
      <c r="AR609" s="121">
        <f t="shared" si="1044"/>
        <v>0</v>
      </c>
      <c r="AS609" s="121"/>
      <c r="AT609" s="121"/>
      <c r="AU609" s="121">
        <f t="shared" si="1045"/>
        <v>0</v>
      </c>
      <c r="AV609" s="121"/>
      <c r="AW609" s="121"/>
      <c r="AX609" s="121">
        <f t="shared" si="1046"/>
        <v>0</v>
      </c>
      <c r="AY609" s="121"/>
      <c r="AZ609" s="121"/>
      <c r="BA609" s="121">
        <f t="shared" si="1047"/>
        <v>0</v>
      </c>
      <c r="BB609" s="121"/>
      <c r="BC609" s="121"/>
      <c r="BD609" s="121">
        <f t="shared" si="1048"/>
        <v>0</v>
      </c>
      <c r="BE609" s="121"/>
      <c r="BF609" s="121"/>
      <c r="BG609" s="121">
        <f t="shared" si="1049"/>
        <v>0</v>
      </c>
      <c r="BH609" s="121"/>
      <c r="BI609" s="121"/>
      <c r="BJ609" s="121">
        <f t="shared" si="1050"/>
        <v>0</v>
      </c>
      <c r="BK609" s="121"/>
      <c r="BL609" s="311"/>
      <c r="BM609" s="317"/>
      <c r="BN609" s="319"/>
    </row>
    <row r="610" s="43" customFormat="1" ht="33.95" hidden="1" customHeight="1" outlineLevel="3" spans="2:66">
      <c r="B610" s="121" t="s">
        <v>792</v>
      </c>
      <c r="C610" s="122" t="s">
        <v>2208</v>
      </c>
      <c r="D610" s="43" t="s">
        <v>2209</v>
      </c>
      <c r="E610" s="121"/>
      <c r="F610" s="121" t="s">
        <v>1618</v>
      </c>
      <c r="G610" s="121" t="s">
        <v>936</v>
      </c>
      <c r="H610" s="121">
        <f t="shared" si="1036"/>
        <v>0</v>
      </c>
      <c r="I610" s="121" t="s">
        <v>1235</v>
      </c>
      <c r="J610" s="121">
        <v>1</v>
      </c>
      <c r="K610" s="121" t="s">
        <v>1236</v>
      </c>
      <c r="L610" s="304"/>
      <c r="M610" s="121" t="s">
        <v>1370</v>
      </c>
      <c r="N610" s="121">
        <f t="shared" si="1037"/>
        <v>0</v>
      </c>
      <c r="O610" s="304"/>
      <c r="P610" s="304"/>
      <c r="Q610" s="304"/>
      <c r="R610" s="304"/>
      <c r="S610" s="304"/>
      <c r="T610" s="304"/>
      <c r="U610" s="304"/>
      <c r="V610" s="304"/>
      <c r="W610" s="304"/>
      <c r="X610" s="304"/>
      <c r="Y610" s="304"/>
      <c r="Z610" s="304"/>
      <c r="AA610" s="121"/>
      <c r="AB610" s="121">
        <f t="shared" si="1038"/>
        <v>0</v>
      </c>
      <c r="AC610" s="121">
        <f t="shared" si="1039"/>
        <v>0</v>
      </c>
      <c r="AD610" s="121"/>
      <c r="AE610" s="121"/>
      <c r="AF610" s="121">
        <f t="shared" si="1040"/>
        <v>0</v>
      </c>
      <c r="AG610" s="121"/>
      <c r="AH610" s="121"/>
      <c r="AI610" s="121">
        <f t="shared" si="1041"/>
        <v>0</v>
      </c>
      <c r="AJ610" s="121"/>
      <c r="AK610" s="121"/>
      <c r="AL610" s="121">
        <f t="shared" si="1042"/>
        <v>0</v>
      </c>
      <c r="AM610" s="121"/>
      <c r="AN610" s="121"/>
      <c r="AO610" s="121">
        <f t="shared" si="1043"/>
        <v>0</v>
      </c>
      <c r="AP610" s="121"/>
      <c r="AQ610" s="121"/>
      <c r="AR610" s="121">
        <f t="shared" si="1044"/>
        <v>0</v>
      </c>
      <c r="AS610" s="121"/>
      <c r="AT610" s="121"/>
      <c r="AU610" s="121">
        <f t="shared" si="1045"/>
        <v>0</v>
      </c>
      <c r="AV610" s="121"/>
      <c r="AW610" s="121"/>
      <c r="AX610" s="121">
        <f t="shared" si="1046"/>
        <v>0</v>
      </c>
      <c r="AY610" s="121"/>
      <c r="AZ610" s="121"/>
      <c r="BA610" s="121">
        <f t="shared" si="1047"/>
        <v>0</v>
      </c>
      <c r="BB610" s="121"/>
      <c r="BC610" s="121"/>
      <c r="BD610" s="121">
        <f t="shared" si="1048"/>
        <v>0</v>
      </c>
      <c r="BE610" s="121"/>
      <c r="BF610" s="121"/>
      <c r="BG610" s="121">
        <f t="shared" si="1049"/>
        <v>0</v>
      </c>
      <c r="BH610" s="121"/>
      <c r="BI610" s="121"/>
      <c r="BJ610" s="121">
        <f t="shared" si="1050"/>
        <v>0</v>
      </c>
      <c r="BK610" s="121"/>
      <c r="BL610" s="311"/>
      <c r="BM610" s="317"/>
      <c r="BN610" s="319"/>
    </row>
    <row r="611" s="43" customFormat="1" ht="33.95" hidden="1" customHeight="1" outlineLevel="3" spans="2:66">
      <c r="B611" s="121" t="s">
        <v>792</v>
      </c>
      <c r="C611" s="122" t="s">
        <v>2210</v>
      </c>
      <c r="D611" s="43" t="s">
        <v>2211</v>
      </c>
      <c r="E611" s="121"/>
      <c r="F611" s="121" t="s">
        <v>1618</v>
      </c>
      <c r="G611" s="121" t="s">
        <v>936</v>
      </c>
      <c r="H611" s="121">
        <f t="shared" si="1036"/>
        <v>0</v>
      </c>
      <c r="I611" s="121" t="s">
        <v>1235</v>
      </c>
      <c r="J611" s="121">
        <v>1</v>
      </c>
      <c r="K611" s="121" t="s">
        <v>1236</v>
      </c>
      <c r="L611" s="304"/>
      <c r="M611" s="121" t="s">
        <v>1370</v>
      </c>
      <c r="N611" s="121">
        <f t="shared" si="1037"/>
        <v>0</v>
      </c>
      <c r="O611" s="304"/>
      <c r="P611" s="304"/>
      <c r="Q611" s="304"/>
      <c r="R611" s="304"/>
      <c r="S611" s="304"/>
      <c r="T611" s="304"/>
      <c r="U611" s="304"/>
      <c r="V611" s="304"/>
      <c r="W611" s="304"/>
      <c r="X611" s="304"/>
      <c r="Y611" s="304"/>
      <c r="Z611" s="304"/>
      <c r="AA611" s="121"/>
      <c r="AB611" s="121">
        <f t="shared" si="1038"/>
        <v>0</v>
      </c>
      <c r="AC611" s="121">
        <f t="shared" si="1039"/>
        <v>0</v>
      </c>
      <c r="AD611" s="121"/>
      <c r="AE611" s="121"/>
      <c r="AF611" s="121">
        <f t="shared" si="1040"/>
        <v>0</v>
      </c>
      <c r="AG611" s="121"/>
      <c r="AH611" s="121"/>
      <c r="AI611" s="121">
        <f t="shared" si="1041"/>
        <v>0</v>
      </c>
      <c r="AJ611" s="121"/>
      <c r="AK611" s="121"/>
      <c r="AL611" s="121">
        <f t="shared" si="1042"/>
        <v>0</v>
      </c>
      <c r="AM611" s="121"/>
      <c r="AN611" s="121"/>
      <c r="AO611" s="121">
        <f t="shared" si="1043"/>
        <v>0</v>
      </c>
      <c r="AP611" s="121"/>
      <c r="AQ611" s="121"/>
      <c r="AR611" s="121">
        <f t="shared" si="1044"/>
        <v>0</v>
      </c>
      <c r="AS611" s="121"/>
      <c r="AT611" s="121"/>
      <c r="AU611" s="121">
        <f t="shared" si="1045"/>
        <v>0</v>
      </c>
      <c r="AV611" s="121"/>
      <c r="AW611" s="121"/>
      <c r="AX611" s="121">
        <f t="shared" si="1046"/>
        <v>0</v>
      </c>
      <c r="AY611" s="121"/>
      <c r="AZ611" s="121"/>
      <c r="BA611" s="121">
        <f t="shared" si="1047"/>
        <v>0</v>
      </c>
      <c r="BB611" s="121"/>
      <c r="BC611" s="121"/>
      <c r="BD611" s="121">
        <f t="shared" si="1048"/>
        <v>0</v>
      </c>
      <c r="BE611" s="121"/>
      <c r="BF611" s="121"/>
      <c r="BG611" s="121">
        <f t="shared" si="1049"/>
        <v>0</v>
      </c>
      <c r="BH611" s="121"/>
      <c r="BI611" s="121"/>
      <c r="BJ611" s="121">
        <f t="shared" si="1050"/>
        <v>0</v>
      </c>
      <c r="BK611" s="121"/>
      <c r="BL611" s="311"/>
      <c r="BM611" s="317"/>
      <c r="BN611" s="319"/>
    </row>
    <row r="612" s="43" customFormat="1" ht="33.95" hidden="1" customHeight="1" outlineLevel="3" spans="2:66">
      <c r="B612" s="121" t="s">
        <v>792</v>
      </c>
      <c r="C612" s="122" t="s">
        <v>2212</v>
      </c>
      <c r="D612" s="43" t="s">
        <v>2213</v>
      </c>
      <c r="E612" s="121"/>
      <c r="F612" s="121" t="s">
        <v>1618</v>
      </c>
      <c r="G612" s="121" t="s">
        <v>936</v>
      </c>
      <c r="H612" s="121">
        <f t="shared" si="1036"/>
        <v>0</v>
      </c>
      <c r="I612" s="121" t="s">
        <v>1235</v>
      </c>
      <c r="J612" s="121">
        <v>1</v>
      </c>
      <c r="K612" s="121" t="s">
        <v>1236</v>
      </c>
      <c r="L612" s="304"/>
      <c r="M612" s="121" t="s">
        <v>1370</v>
      </c>
      <c r="N612" s="121">
        <f t="shared" si="1037"/>
        <v>0</v>
      </c>
      <c r="O612" s="304"/>
      <c r="P612" s="304"/>
      <c r="Q612" s="304"/>
      <c r="R612" s="304"/>
      <c r="S612" s="304"/>
      <c r="T612" s="304"/>
      <c r="U612" s="304"/>
      <c r="V612" s="304"/>
      <c r="W612" s="304"/>
      <c r="X612" s="304"/>
      <c r="Y612" s="304"/>
      <c r="Z612" s="304"/>
      <c r="AA612" s="121"/>
      <c r="AB612" s="121">
        <f t="shared" si="1038"/>
        <v>0</v>
      </c>
      <c r="AC612" s="121">
        <f t="shared" si="1039"/>
        <v>0</v>
      </c>
      <c r="AD612" s="121"/>
      <c r="AE612" s="121"/>
      <c r="AF612" s="121">
        <f t="shared" si="1040"/>
        <v>0</v>
      </c>
      <c r="AG612" s="121"/>
      <c r="AH612" s="121"/>
      <c r="AI612" s="121">
        <f t="shared" si="1041"/>
        <v>0</v>
      </c>
      <c r="AJ612" s="121"/>
      <c r="AK612" s="121"/>
      <c r="AL612" s="121">
        <f t="shared" si="1042"/>
        <v>0</v>
      </c>
      <c r="AM612" s="121"/>
      <c r="AN612" s="121"/>
      <c r="AO612" s="121">
        <f t="shared" si="1043"/>
        <v>0</v>
      </c>
      <c r="AP612" s="121"/>
      <c r="AQ612" s="121"/>
      <c r="AR612" s="121">
        <f t="shared" si="1044"/>
        <v>0</v>
      </c>
      <c r="AS612" s="121"/>
      <c r="AT612" s="121"/>
      <c r="AU612" s="121">
        <f t="shared" si="1045"/>
        <v>0</v>
      </c>
      <c r="AV612" s="121"/>
      <c r="AW612" s="121"/>
      <c r="AX612" s="121">
        <f t="shared" si="1046"/>
        <v>0</v>
      </c>
      <c r="AY612" s="121"/>
      <c r="AZ612" s="121"/>
      <c r="BA612" s="121">
        <f t="shared" si="1047"/>
        <v>0</v>
      </c>
      <c r="BB612" s="121"/>
      <c r="BC612" s="121"/>
      <c r="BD612" s="121">
        <f t="shared" si="1048"/>
        <v>0</v>
      </c>
      <c r="BE612" s="121"/>
      <c r="BF612" s="121"/>
      <c r="BG612" s="121">
        <f t="shared" si="1049"/>
        <v>0</v>
      </c>
      <c r="BH612" s="121"/>
      <c r="BI612" s="121"/>
      <c r="BJ612" s="121">
        <f t="shared" si="1050"/>
        <v>0</v>
      </c>
      <c r="BK612" s="121"/>
      <c r="BL612" s="311"/>
      <c r="BM612" s="317"/>
      <c r="BN612" s="319"/>
    </row>
    <row r="613" s="43" customFormat="1" ht="33.95" hidden="1" customHeight="1" outlineLevel="3" spans="2:66">
      <c r="B613" s="121" t="s">
        <v>792</v>
      </c>
      <c r="C613" s="122" t="s">
        <v>2214</v>
      </c>
      <c r="D613" s="43" t="s">
        <v>2215</v>
      </c>
      <c r="E613" s="121"/>
      <c r="F613" s="121" t="s">
        <v>1618</v>
      </c>
      <c r="G613" s="121" t="s">
        <v>936</v>
      </c>
      <c r="H613" s="121">
        <f t="shared" si="1036"/>
        <v>0</v>
      </c>
      <c r="I613" s="121" t="s">
        <v>1235</v>
      </c>
      <c r="J613" s="121">
        <v>1</v>
      </c>
      <c r="K613" s="121" t="s">
        <v>1236</v>
      </c>
      <c r="L613" s="304"/>
      <c r="M613" s="121" t="s">
        <v>1370</v>
      </c>
      <c r="N613" s="121">
        <f t="shared" si="1037"/>
        <v>0</v>
      </c>
      <c r="O613" s="322"/>
      <c r="P613" s="322"/>
      <c r="Q613" s="322"/>
      <c r="R613" s="322"/>
      <c r="S613" s="322"/>
      <c r="T613" s="322"/>
      <c r="U613" s="322"/>
      <c r="V613" s="322"/>
      <c r="W613" s="322"/>
      <c r="X613" s="322"/>
      <c r="Y613" s="322"/>
      <c r="Z613" s="322"/>
      <c r="AA613" s="121"/>
      <c r="AB613" s="121">
        <f t="shared" si="1038"/>
        <v>0</v>
      </c>
      <c r="AC613" s="121">
        <f t="shared" si="1039"/>
        <v>0</v>
      </c>
      <c r="AD613" s="121"/>
      <c r="AE613" s="121"/>
      <c r="AF613" s="121">
        <f t="shared" si="1040"/>
        <v>0</v>
      </c>
      <c r="AG613" s="121"/>
      <c r="AH613" s="121"/>
      <c r="AI613" s="121">
        <f t="shared" si="1041"/>
        <v>0</v>
      </c>
      <c r="AJ613" s="121"/>
      <c r="AK613" s="121"/>
      <c r="AL613" s="121">
        <f t="shared" si="1042"/>
        <v>0</v>
      </c>
      <c r="AM613" s="121"/>
      <c r="AN613" s="121"/>
      <c r="AO613" s="121">
        <f t="shared" si="1043"/>
        <v>0</v>
      </c>
      <c r="AP613" s="121"/>
      <c r="AQ613" s="121"/>
      <c r="AR613" s="121">
        <f t="shared" si="1044"/>
        <v>0</v>
      </c>
      <c r="AS613" s="121"/>
      <c r="AT613" s="121"/>
      <c r="AU613" s="121">
        <f t="shared" si="1045"/>
        <v>0</v>
      </c>
      <c r="AV613" s="121"/>
      <c r="AW613" s="121"/>
      <c r="AX613" s="121">
        <f t="shared" si="1046"/>
        <v>0</v>
      </c>
      <c r="AY613" s="121"/>
      <c r="AZ613" s="121"/>
      <c r="BA613" s="121">
        <f t="shared" si="1047"/>
        <v>0</v>
      </c>
      <c r="BB613" s="121"/>
      <c r="BC613" s="121"/>
      <c r="BD613" s="121">
        <f t="shared" si="1048"/>
        <v>0</v>
      </c>
      <c r="BE613" s="121"/>
      <c r="BF613" s="121"/>
      <c r="BG613" s="121">
        <f t="shared" si="1049"/>
        <v>0</v>
      </c>
      <c r="BH613" s="121"/>
      <c r="BI613" s="121"/>
      <c r="BJ613" s="121">
        <f t="shared" si="1050"/>
        <v>0</v>
      </c>
      <c r="BK613" s="121"/>
      <c r="BL613" s="311"/>
      <c r="BM613" s="317"/>
      <c r="BN613" s="319"/>
    </row>
    <row r="614" s="14" customFormat="1" ht="33.95" hidden="1" customHeight="1" outlineLevel="2" spans="2:66">
      <c r="B614" s="118" t="s">
        <v>787</v>
      </c>
      <c r="C614" s="119" t="s">
        <v>2216</v>
      </c>
      <c r="D614" s="14" t="s">
        <v>2217</v>
      </c>
      <c r="E614" s="118"/>
      <c r="F614" s="118"/>
      <c r="G614" s="118"/>
      <c r="H614" s="118">
        <f>SUM(H615:H623)</f>
        <v>0</v>
      </c>
      <c r="I614" s="118"/>
      <c r="J614" s="118"/>
      <c r="K614" s="118"/>
      <c r="L614" s="118"/>
      <c r="M614" s="118"/>
      <c r="N614" s="310"/>
      <c r="O614" s="293"/>
      <c r="P614" s="293"/>
      <c r="Q614" s="293"/>
      <c r="R614" s="293"/>
      <c r="S614" s="293"/>
      <c r="T614" s="293"/>
      <c r="U614" s="293"/>
      <c r="V614" s="293"/>
      <c r="W614" s="293"/>
      <c r="X614" s="293"/>
      <c r="Y614" s="293"/>
      <c r="Z614" s="293"/>
      <c r="AA614" s="293"/>
      <c r="AB614" s="118">
        <f t="shared" ref="AB614:AF614" si="1051">SUM(AB615:AB623)</f>
        <v>0</v>
      </c>
      <c r="AC614" s="118">
        <f t="shared" si="1051"/>
        <v>0</v>
      </c>
      <c r="AD614" s="118"/>
      <c r="AE614" s="118"/>
      <c r="AF614" s="118">
        <f t="shared" si="1051"/>
        <v>0</v>
      </c>
      <c r="AG614" s="118"/>
      <c r="AH614" s="118"/>
      <c r="AI614" s="118">
        <f>SUM(AI615:AI623)</f>
        <v>0</v>
      </c>
      <c r="AJ614" s="118"/>
      <c r="AK614" s="118"/>
      <c r="AL614" s="118">
        <f>SUM(AL615:AL623)</f>
        <v>0</v>
      </c>
      <c r="AM614" s="118"/>
      <c r="AN614" s="118"/>
      <c r="AO614" s="118">
        <f>SUM(AO615:AO623)</f>
        <v>0</v>
      </c>
      <c r="AP614" s="118"/>
      <c r="AQ614" s="118"/>
      <c r="AR614" s="118">
        <f>SUM(AR615:AR623)</f>
        <v>0</v>
      </c>
      <c r="AS614" s="118"/>
      <c r="AT614" s="118"/>
      <c r="AU614" s="118">
        <f>SUM(AU615:AU623)</f>
        <v>0</v>
      </c>
      <c r="AV614" s="118"/>
      <c r="AW614" s="118"/>
      <c r="AX614" s="118">
        <f>SUM(AX615:AX623)</f>
        <v>0</v>
      </c>
      <c r="AY614" s="118"/>
      <c r="AZ614" s="118"/>
      <c r="BA614" s="118">
        <f>SUM(BA615:BA623)</f>
        <v>0</v>
      </c>
      <c r="BB614" s="118"/>
      <c r="BC614" s="118"/>
      <c r="BD614" s="118">
        <f>SUM(BD615:BD623)</f>
        <v>0</v>
      </c>
      <c r="BE614" s="118"/>
      <c r="BF614" s="118"/>
      <c r="BG614" s="118">
        <f>SUM(BG615:BG623)</f>
        <v>0</v>
      </c>
      <c r="BH614" s="118"/>
      <c r="BI614" s="118"/>
      <c r="BJ614" s="118">
        <f>SUM(BJ615:BJ623)</f>
        <v>0</v>
      </c>
      <c r="BK614" s="118"/>
      <c r="BL614" s="310"/>
      <c r="BM614" s="317"/>
      <c r="BN614" s="318"/>
    </row>
    <row r="615" s="43" customFormat="1" ht="33.95" hidden="1" customHeight="1" outlineLevel="3" spans="2:66">
      <c r="B615" s="121" t="s">
        <v>792</v>
      </c>
      <c r="C615" s="122" t="s">
        <v>2218</v>
      </c>
      <c r="D615" s="43" t="s">
        <v>2219</v>
      </c>
      <c r="E615" s="121"/>
      <c r="F615" s="121" t="s">
        <v>1618</v>
      </c>
      <c r="G615" s="121" t="s">
        <v>936</v>
      </c>
      <c r="H615" s="121">
        <f t="shared" ref="H615:H623" si="1052">J615*L615</f>
        <v>0</v>
      </c>
      <c r="I615" s="121" t="s">
        <v>1235</v>
      </c>
      <c r="J615" s="121">
        <v>1</v>
      </c>
      <c r="K615" s="121" t="s">
        <v>1236</v>
      </c>
      <c r="L615" s="304"/>
      <c r="M615" s="121" t="s">
        <v>1370</v>
      </c>
      <c r="N615" s="121">
        <f t="shared" ref="N615:N623" si="1053">COUNTA(O615:Z615)</f>
        <v>0</v>
      </c>
      <c r="O615" s="323"/>
      <c r="P615" s="323"/>
      <c r="Q615" s="323"/>
      <c r="R615" s="323"/>
      <c r="S615" s="323"/>
      <c r="T615" s="323"/>
      <c r="U615" s="323"/>
      <c r="V615" s="323"/>
      <c r="W615" s="323"/>
      <c r="X615" s="323"/>
      <c r="Y615" s="323"/>
      <c r="Z615" s="323"/>
      <c r="AA615" s="121"/>
      <c r="AB615" s="121">
        <f t="shared" ref="AB615:AB623" si="1054">SUM(AC615,AF615,AI615,AL615,AO615,AR615,AU615,AX615,BA615,BD615,BG615,BJ615)</f>
        <v>0</v>
      </c>
      <c r="AC615" s="121">
        <f t="shared" ref="AC615:AC623" si="1055">IF(O615="√",$J615*$L615/$N615,0)</f>
        <v>0</v>
      </c>
      <c r="AD615" s="121"/>
      <c r="AE615" s="121"/>
      <c r="AF615" s="121">
        <f t="shared" ref="AF615:AF623" si="1056">IF(P615="√",$J615*$L615/$N615,0)</f>
        <v>0</v>
      </c>
      <c r="AG615" s="121"/>
      <c r="AH615" s="121"/>
      <c r="AI615" s="121">
        <f t="shared" ref="AI615:AI623" si="1057">IF(Q615="√",$J615*$L615/$N615,0)</f>
        <v>0</v>
      </c>
      <c r="AJ615" s="121"/>
      <c r="AK615" s="121"/>
      <c r="AL615" s="121">
        <f t="shared" ref="AL615:AL623" si="1058">IF(R615="√",$J615*$L615/$N615,0)</f>
        <v>0</v>
      </c>
      <c r="AM615" s="121"/>
      <c r="AN615" s="121"/>
      <c r="AO615" s="121">
        <f t="shared" ref="AO615:AO623" si="1059">IF(S615="√",$J615*$L615/$N615,0)</f>
        <v>0</v>
      </c>
      <c r="AP615" s="121"/>
      <c r="AQ615" s="121"/>
      <c r="AR615" s="121">
        <f t="shared" ref="AR615:AR623" si="1060">IF(T615="√",$J615*$L615/$N615,0)</f>
        <v>0</v>
      </c>
      <c r="AS615" s="121"/>
      <c r="AT615" s="121"/>
      <c r="AU615" s="121">
        <f t="shared" ref="AU615:AU623" si="1061">IF(U615="√",$J615*$L615/$N615,0)</f>
        <v>0</v>
      </c>
      <c r="AV615" s="121"/>
      <c r="AW615" s="121"/>
      <c r="AX615" s="121">
        <f t="shared" ref="AX615:AX623" si="1062">IF(V615="√",$J615*$L615/$N615,0)</f>
        <v>0</v>
      </c>
      <c r="AY615" s="121"/>
      <c r="AZ615" s="121"/>
      <c r="BA615" s="121">
        <f t="shared" ref="BA615:BA623" si="1063">IF(W615="√",$J615*$L615/$N615,0)</f>
        <v>0</v>
      </c>
      <c r="BB615" s="121"/>
      <c r="BC615" s="121"/>
      <c r="BD615" s="121">
        <f t="shared" ref="BD615:BD623" si="1064">IF(X615="√",$J615*$L615/$N615,0)</f>
        <v>0</v>
      </c>
      <c r="BE615" s="121"/>
      <c r="BF615" s="121"/>
      <c r="BG615" s="121">
        <f t="shared" ref="BG615:BG623" si="1065">IF(Y615="√",$J615*$L615/$N615,0)</f>
        <v>0</v>
      </c>
      <c r="BH615" s="121"/>
      <c r="BI615" s="121"/>
      <c r="BJ615" s="121">
        <f t="shared" ref="BJ615:BJ623" si="1066">IF(Z615="√",$J615*$L615/$N615,0)</f>
        <v>0</v>
      </c>
      <c r="BK615" s="121"/>
      <c r="BL615" s="311"/>
      <c r="BM615" s="317"/>
      <c r="BN615" s="319"/>
    </row>
    <row r="616" s="43" customFormat="1" ht="33.95" hidden="1" customHeight="1" outlineLevel="3" spans="2:66">
      <c r="B616" s="121" t="s">
        <v>792</v>
      </c>
      <c r="C616" s="122" t="s">
        <v>2220</v>
      </c>
      <c r="D616" s="43" t="s">
        <v>2221</v>
      </c>
      <c r="E616" s="121"/>
      <c r="F616" s="121" t="s">
        <v>1618</v>
      </c>
      <c r="G616" s="121" t="s">
        <v>936</v>
      </c>
      <c r="H616" s="121">
        <f t="shared" si="1052"/>
        <v>0</v>
      </c>
      <c r="I616" s="121" t="s">
        <v>1235</v>
      </c>
      <c r="J616" s="121">
        <v>1</v>
      </c>
      <c r="K616" s="121" t="s">
        <v>1236</v>
      </c>
      <c r="L616" s="304"/>
      <c r="M616" s="121" t="s">
        <v>1370</v>
      </c>
      <c r="N616" s="121">
        <f t="shared" si="1053"/>
        <v>0</v>
      </c>
      <c r="O616" s="304"/>
      <c r="P616" s="304"/>
      <c r="Q616" s="304"/>
      <c r="R616" s="304"/>
      <c r="S616" s="304"/>
      <c r="T616" s="304"/>
      <c r="U616" s="304"/>
      <c r="V616" s="304"/>
      <c r="W616" s="304"/>
      <c r="X616" s="304"/>
      <c r="Y616" s="304"/>
      <c r="Z616" s="304"/>
      <c r="AA616" s="121"/>
      <c r="AB616" s="121">
        <f t="shared" si="1054"/>
        <v>0</v>
      </c>
      <c r="AC616" s="121">
        <f t="shared" si="1055"/>
        <v>0</v>
      </c>
      <c r="AD616" s="121"/>
      <c r="AE616" s="121"/>
      <c r="AF616" s="121">
        <f t="shared" si="1056"/>
        <v>0</v>
      </c>
      <c r="AG616" s="121"/>
      <c r="AH616" s="121"/>
      <c r="AI616" s="121">
        <f t="shared" si="1057"/>
        <v>0</v>
      </c>
      <c r="AJ616" s="121"/>
      <c r="AK616" s="121"/>
      <c r="AL616" s="121">
        <f t="shared" si="1058"/>
        <v>0</v>
      </c>
      <c r="AM616" s="121"/>
      <c r="AN616" s="121"/>
      <c r="AO616" s="121">
        <f t="shared" si="1059"/>
        <v>0</v>
      </c>
      <c r="AP616" s="121"/>
      <c r="AQ616" s="121"/>
      <c r="AR616" s="121">
        <f t="shared" si="1060"/>
        <v>0</v>
      </c>
      <c r="AS616" s="121"/>
      <c r="AT616" s="121"/>
      <c r="AU616" s="121">
        <f t="shared" si="1061"/>
        <v>0</v>
      </c>
      <c r="AV616" s="121"/>
      <c r="AW616" s="121"/>
      <c r="AX616" s="121">
        <f t="shared" si="1062"/>
        <v>0</v>
      </c>
      <c r="AY616" s="121"/>
      <c r="AZ616" s="121"/>
      <c r="BA616" s="121">
        <f t="shared" si="1063"/>
        <v>0</v>
      </c>
      <c r="BB616" s="121"/>
      <c r="BC616" s="121"/>
      <c r="BD616" s="121">
        <f t="shared" si="1064"/>
        <v>0</v>
      </c>
      <c r="BE616" s="121"/>
      <c r="BF616" s="121"/>
      <c r="BG616" s="121">
        <f t="shared" si="1065"/>
        <v>0</v>
      </c>
      <c r="BH616" s="121"/>
      <c r="BI616" s="121"/>
      <c r="BJ616" s="121">
        <f t="shared" si="1066"/>
        <v>0</v>
      </c>
      <c r="BK616" s="121"/>
      <c r="BL616" s="311"/>
      <c r="BM616" s="317"/>
      <c r="BN616" s="319"/>
    </row>
    <row r="617" s="43" customFormat="1" ht="33.95" hidden="1" customHeight="1" outlineLevel="3" spans="2:66">
      <c r="B617" s="121" t="s">
        <v>792</v>
      </c>
      <c r="C617" s="122" t="s">
        <v>2222</v>
      </c>
      <c r="D617" s="43" t="s">
        <v>2223</v>
      </c>
      <c r="E617" s="121"/>
      <c r="F617" s="121" t="s">
        <v>1618</v>
      </c>
      <c r="G617" s="121" t="s">
        <v>936</v>
      </c>
      <c r="H617" s="121">
        <f t="shared" si="1052"/>
        <v>0</v>
      </c>
      <c r="I617" s="121" t="s">
        <v>1235</v>
      </c>
      <c r="J617" s="121">
        <v>1</v>
      </c>
      <c r="K617" s="121" t="s">
        <v>1236</v>
      </c>
      <c r="L617" s="304"/>
      <c r="M617" s="121" t="s">
        <v>1370</v>
      </c>
      <c r="N617" s="121">
        <f t="shared" si="1053"/>
        <v>0</v>
      </c>
      <c r="O617" s="304"/>
      <c r="P617" s="304"/>
      <c r="Q617" s="304"/>
      <c r="R617" s="304"/>
      <c r="S617" s="304"/>
      <c r="T617" s="304"/>
      <c r="U617" s="304"/>
      <c r="V617" s="304"/>
      <c r="W617" s="304"/>
      <c r="X617" s="304"/>
      <c r="Y617" s="304"/>
      <c r="Z617" s="304"/>
      <c r="AA617" s="121"/>
      <c r="AB617" s="121">
        <f t="shared" si="1054"/>
        <v>0</v>
      </c>
      <c r="AC617" s="121">
        <f t="shared" si="1055"/>
        <v>0</v>
      </c>
      <c r="AD617" s="121"/>
      <c r="AE617" s="121"/>
      <c r="AF617" s="121">
        <f t="shared" si="1056"/>
        <v>0</v>
      </c>
      <c r="AG617" s="121"/>
      <c r="AH617" s="121"/>
      <c r="AI617" s="121">
        <f t="shared" si="1057"/>
        <v>0</v>
      </c>
      <c r="AJ617" s="121"/>
      <c r="AK617" s="121"/>
      <c r="AL617" s="121">
        <f t="shared" si="1058"/>
        <v>0</v>
      </c>
      <c r="AM617" s="121"/>
      <c r="AN617" s="121"/>
      <c r="AO617" s="121">
        <f t="shared" si="1059"/>
        <v>0</v>
      </c>
      <c r="AP617" s="121"/>
      <c r="AQ617" s="121"/>
      <c r="AR617" s="121">
        <f t="shared" si="1060"/>
        <v>0</v>
      </c>
      <c r="AS617" s="121"/>
      <c r="AT617" s="121"/>
      <c r="AU617" s="121">
        <f t="shared" si="1061"/>
        <v>0</v>
      </c>
      <c r="AV617" s="121"/>
      <c r="AW617" s="121"/>
      <c r="AX617" s="121">
        <f t="shared" si="1062"/>
        <v>0</v>
      </c>
      <c r="AY617" s="121"/>
      <c r="AZ617" s="121"/>
      <c r="BA617" s="121">
        <f t="shared" si="1063"/>
        <v>0</v>
      </c>
      <c r="BB617" s="121"/>
      <c r="BC617" s="121"/>
      <c r="BD617" s="121">
        <f t="shared" si="1064"/>
        <v>0</v>
      </c>
      <c r="BE617" s="121"/>
      <c r="BF617" s="121"/>
      <c r="BG617" s="121">
        <f t="shared" si="1065"/>
        <v>0</v>
      </c>
      <c r="BH617" s="121"/>
      <c r="BI617" s="121"/>
      <c r="BJ617" s="121">
        <f t="shared" si="1066"/>
        <v>0</v>
      </c>
      <c r="BK617" s="121"/>
      <c r="BL617" s="311"/>
      <c r="BM617" s="317"/>
      <c r="BN617" s="319"/>
    </row>
    <row r="618" s="43" customFormat="1" ht="33.95" hidden="1" customHeight="1" outlineLevel="3" spans="2:66">
      <c r="B618" s="121" t="s">
        <v>792</v>
      </c>
      <c r="C618" s="122" t="s">
        <v>2224</v>
      </c>
      <c r="D618" s="43" t="s">
        <v>2225</v>
      </c>
      <c r="E618" s="121"/>
      <c r="F618" s="121" t="s">
        <v>1618</v>
      </c>
      <c r="G618" s="121" t="s">
        <v>936</v>
      </c>
      <c r="H618" s="121">
        <f t="shared" si="1052"/>
        <v>0</v>
      </c>
      <c r="I618" s="121" t="s">
        <v>1235</v>
      </c>
      <c r="J618" s="121">
        <v>1</v>
      </c>
      <c r="K618" s="121" t="s">
        <v>1236</v>
      </c>
      <c r="L618" s="304"/>
      <c r="M618" s="121" t="s">
        <v>1370</v>
      </c>
      <c r="N618" s="121">
        <f t="shared" si="1053"/>
        <v>0</v>
      </c>
      <c r="O618" s="304"/>
      <c r="P618" s="304"/>
      <c r="Q618" s="304"/>
      <c r="R618" s="304"/>
      <c r="S618" s="304"/>
      <c r="T618" s="304"/>
      <c r="U618" s="304"/>
      <c r="V618" s="304"/>
      <c r="W618" s="304"/>
      <c r="X618" s="304"/>
      <c r="Y618" s="304"/>
      <c r="Z618" s="304"/>
      <c r="AA618" s="121"/>
      <c r="AB618" s="121">
        <f t="shared" si="1054"/>
        <v>0</v>
      </c>
      <c r="AC618" s="121">
        <f t="shared" si="1055"/>
        <v>0</v>
      </c>
      <c r="AD618" s="121"/>
      <c r="AE618" s="121"/>
      <c r="AF618" s="121">
        <f t="shared" si="1056"/>
        <v>0</v>
      </c>
      <c r="AG618" s="121"/>
      <c r="AH618" s="121"/>
      <c r="AI618" s="121">
        <f t="shared" si="1057"/>
        <v>0</v>
      </c>
      <c r="AJ618" s="121"/>
      <c r="AK618" s="121"/>
      <c r="AL618" s="121">
        <f t="shared" si="1058"/>
        <v>0</v>
      </c>
      <c r="AM618" s="121"/>
      <c r="AN618" s="121"/>
      <c r="AO618" s="121">
        <f t="shared" si="1059"/>
        <v>0</v>
      </c>
      <c r="AP618" s="121"/>
      <c r="AQ618" s="121"/>
      <c r="AR618" s="121">
        <f t="shared" si="1060"/>
        <v>0</v>
      </c>
      <c r="AS618" s="121"/>
      <c r="AT618" s="121"/>
      <c r="AU618" s="121">
        <f t="shared" si="1061"/>
        <v>0</v>
      </c>
      <c r="AV618" s="121"/>
      <c r="AW618" s="121"/>
      <c r="AX618" s="121">
        <f t="shared" si="1062"/>
        <v>0</v>
      </c>
      <c r="AY618" s="121"/>
      <c r="AZ618" s="121"/>
      <c r="BA618" s="121">
        <f t="shared" si="1063"/>
        <v>0</v>
      </c>
      <c r="BB618" s="121"/>
      <c r="BC618" s="121"/>
      <c r="BD618" s="121">
        <f t="shared" si="1064"/>
        <v>0</v>
      </c>
      <c r="BE618" s="121"/>
      <c r="BF618" s="121"/>
      <c r="BG618" s="121">
        <f t="shared" si="1065"/>
        <v>0</v>
      </c>
      <c r="BH618" s="121"/>
      <c r="BI618" s="121"/>
      <c r="BJ618" s="121">
        <f t="shared" si="1066"/>
        <v>0</v>
      </c>
      <c r="BK618" s="121"/>
      <c r="BL618" s="311"/>
      <c r="BM618" s="317"/>
      <c r="BN618" s="319"/>
    </row>
    <row r="619" s="43" customFormat="1" ht="33.95" hidden="1" customHeight="1" outlineLevel="3" spans="2:66">
      <c r="B619" s="121" t="s">
        <v>792</v>
      </c>
      <c r="C619" s="122" t="s">
        <v>2226</v>
      </c>
      <c r="D619" s="43" t="s">
        <v>2227</v>
      </c>
      <c r="E619" s="121"/>
      <c r="F619" s="121" t="s">
        <v>1618</v>
      </c>
      <c r="G619" s="121" t="s">
        <v>936</v>
      </c>
      <c r="H619" s="121">
        <f t="shared" si="1052"/>
        <v>0</v>
      </c>
      <c r="I619" s="121" t="s">
        <v>1235</v>
      </c>
      <c r="J619" s="121">
        <v>1</v>
      </c>
      <c r="K619" s="121" t="s">
        <v>1236</v>
      </c>
      <c r="L619" s="304"/>
      <c r="M619" s="121" t="s">
        <v>1370</v>
      </c>
      <c r="N619" s="121">
        <f t="shared" si="1053"/>
        <v>0</v>
      </c>
      <c r="O619" s="304"/>
      <c r="P619" s="304"/>
      <c r="Q619" s="304"/>
      <c r="R619" s="304"/>
      <c r="S619" s="304"/>
      <c r="T619" s="304"/>
      <c r="U619" s="304"/>
      <c r="V619" s="304"/>
      <c r="W619" s="304"/>
      <c r="X619" s="304"/>
      <c r="Y619" s="304"/>
      <c r="Z619" s="304"/>
      <c r="AA619" s="121"/>
      <c r="AB619" s="121">
        <f t="shared" si="1054"/>
        <v>0</v>
      </c>
      <c r="AC619" s="121">
        <f t="shared" si="1055"/>
        <v>0</v>
      </c>
      <c r="AD619" s="121"/>
      <c r="AE619" s="121"/>
      <c r="AF619" s="121">
        <f t="shared" si="1056"/>
        <v>0</v>
      </c>
      <c r="AG619" s="121"/>
      <c r="AH619" s="121"/>
      <c r="AI619" s="121">
        <f t="shared" si="1057"/>
        <v>0</v>
      </c>
      <c r="AJ619" s="121"/>
      <c r="AK619" s="121"/>
      <c r="AL619" s="121">
        <f t="shared" si="1058"/>
        <v>0</v>
      </c>
      <c r="AM619" s="121"/>
      <c r="AN619" s="121"/>
      <c r="AO619" s="121">
        <f t="shared" si="1059"/>
        <v>0</v>
      </c>
      <c r="AP619" s="121"/>
      <c r="AQ619" s="121"/>
      <c r="AR619" s="121">
        <f t="shared" si="1060"/>
        <v>0</v>
      </c>
      <c r="AS619" s="121"/>
      <c r="AT619" s="121"/>
      <c r="AU619" s="121">
        <f t="shared" si="1061"/>
        <v>0</v>
      </c>
      <c r="AV619" s="121"/>
      <c r="AW619" s="121"/>
      <c r="AX619" s="121">
        <f t="shared" si="1062"/>
        <v>0</v>
      </c>
      <c r="AY619" s="121"/>
      <c r="AZ619" s="121"/>
      <c r="BA619" s="121">
        <f t="shared" si="1063"/>
        <v>0</v>
      </c>
      <c r="BB619" s="121"/>
      <c r="BC619" s="121"/>
      <c r="BD619" s="121">
        <f t="shared" si="1064"/>
        <v>0</v>
      </c>
      <c r="BE619" s="121"/>
      <c r="BF619" s="121"/>
      <c r="BG619" s="121">
        <f t="shared" si="1065"/>
        <v>0</v>
      </c>
      <c r="BH619" s="121"/>
      <c r="BI619" s="121"/>
      <c r="BJ619" s="121">
        <f t="shared" si="1066"/>
        <v>0</v>
      </c>
      <c r="BK619" s="121"/>
      <c r="BL619" s="311"/>
      <c r="BM619" s="317"/>
      <c r="BN619" s="319"/>
    </row>
    <row r="620" s="43" customFormat="1" ht="33.95" hidden="1" customHeight="1" outlineLevel="3" spans="2:66">
      <c r="B620" s="121" t="s">
        <v>792</v>
      </c>
      <c r="C620" s="122" t="s">
        <v>2228</v>
      </c>
      <c r="D620" s="43" t="s">
        <v>2229</v>
      </c>
      <c r="E620" s="121"/>
      <c r="F620" s="121" t="s">
        <v>1618</v>
      </c>
      <c r="G620" s="121" t="s">
        <v>936</v>
      </c>
      <c r="H620" s="121">
        <f t="shared" si="1052"/>
        <v>0</v>
      </c>
      <c r="I620" s="121" t="s">
        <v>1235</v>
      </c>
      <c r="J620" s="121">
        <v>1</v>
      </c>
      <c r="K620" s="121" t="s">
        <v>1236</v>
      </c>
      <c r="L620" s="304"/>
      <c r="M620" s="121" t="s">
        <v>1370</v>
      </c>
      <c r="N620" s="121">
        <f t="shared" si="1053"/>
        <v>0</v>
      </c>
      <c r="O620" s="304"/>
      <c r="P620" s="304"/>
      <c r="Q620" s="304"/>
      <c r="R620" s="304"/>
      <c r="S620" s="304"/>
      <c r="T620" s="304"/>
      <c r="U620" s="304"/>
      <c r="V620" s="304"/>
      <c r="W620" s="304"/>
      <c r="X620" s="304"/>
      <c r="Y620" s="304"/>
      <c r="Z620" s="304"/>
      <c r="AA620" s="121"/>
      <c r="AB620" s="121">
        <f t="shared" si="1054"/>
        <v>0</v>
      </c>
      <c r="AC620" s="121">
        <f t="shared" si="1055"/>
        <v>0</v>
      </c>
      <c r="AD620" s="121"/>
      <c r="AE620" s="121"/>
      <c r="AF620" s="121">
        <f t="shared" si="1056"/>
        <v>0</v>
      </c>
      <c r="AG620" s="121"/>
      <c r="AH620" s="121"/>
      <c r="AI620" s="121">
        <f t="shared" si="1057"/>
        <v>0</v>
      </c>
      <c r="AJ620" s="121"/>
      <c r="AK620" s="121"/>
      <c r="AL620" s="121">
        <f t="shared" si="1058"/>
        <v>0</v>
      </c>
      <c r="AM620" s="121"/>
      <c r="AN620" s="121"/>
      <c r="AO620" s="121">
        <f t="shared" si="1059"/>
        <v>0</v>
      </c>
      <c r="AP620" s="121"/>
      <c r="AQ620" s="121"/>
      <c r="AR620" s="121">
        <f t="shared" si="1060"/>
        <v>0</v>
      </c>
      <c r="AS620" s="121"/>
      <c r="AT620" s="121"/>
      <c r="AU620" s="121">
        <f t="shared" si="1061"/>
        <v>0</v>
      </c>
      <c r="AV620" s="121"/>
      <c r="AW620" s="121"/>
      <c r="AX620" s="121">
        <f t="shared" si="1062"/>
        <v>0</v>
      </c>
      <c r="AY620" s="121"/>
      <c r="AZ620" s="121"/>
      <c r="BA620" s="121">
        <f t="shared" si="1063"/>
        <v>0</v>
      </c>
      <c r="BB620" s="121"/>
      <c r="BC620" s="121"/>
      <c r="BD620" s="121">
        <f t="shared" si="1064"/>
        <v>0</v>
      </c>
      <c r="BE620" s="121"/>
      <c r="BF620" s="121"/>
      <c r="BG620" s="121">
        <f t="shared" si="1065"/>
        <v>0</v>
      </c>
      <c r="BH620" s="121"/>
      <c r="BI620" s="121"/>
      <c r="BJ620" s="121">
        <f t="shared" si="1066"/>
        <v>0</v>
      </c>
      <c r="BK620" s="121"/>
      <c r="BL620" s="311"/>
      <c r="BM620" s="317"/>
      <c r="BN620" s="319"/>
    </row>
    <row r="621" s="43" customFormat="1" ht="33.95" hidden="1" customHeight="1" outlineLevel="3" spans="2:66">
      <c r="B621" s="121" t="s">
        <v>792</v>
      </c>
      <c r="C621" s="122" t="s">
        <v>2230</v>
      </c>
      <c r="D621" s="43" t="s">
        <v>2231</v>
      </c>
      <c r="E621" s="121"/>
      <c r="F621" s="121" t="s">
        <v>1618</v>
      </c>
      <c r="G621" s="121" t="s">
        <v>936</v>
      </c>
      <c r="H621" s="121">
        <f t="shared" si="1052"/>
        <v>0</v>
      </c>
      <c r="I621" s="121" t="s">
        <v>1235</v>
      </c>
      <c r="J621" s="121">
        <v>1</v>
      </c>
      <c r="K621" s="121" t="s">
        <v>1236</v>
      </c>
      <c r="L621" s="304"/>
      <c r="M621" s="121" t="s">
        <v>1370</v>
      </c>
      <c r="N621" s="121">
        <f t="shared" si="1053"/>
        <v>0</v>
      </c>
      <c r="O621" s="304"/>
      <c r="P621" s="304"/>
      <c r="Q621" s="304"/>
      <c r="R621" s="304"/>
      <c r="S621" s="304"/>
      <c r="T621" s="304"/>
      <c r="U621" s="304"/>
      <c r="V621" s="304"/>
      <c r="W621" s="304"/>
      <c r="X621" s="304"/>
      <c r="Y621" s="304"/>
      <c r="Z621" s="304"/>
      <c r="AA621" s="121"/>
      <c r="AB621" s="121">
        <f t="shared" si="1054"/>
        <v>0</v>
      </c>
      <c r="AC621" s="121">
        <f t="shared" si="1055"/>
        <v>0</v>
      </c>
      <c r="AD621" s="121"/>
      <c r="AE621" s="121"/>
      <c r="AF621" s="121">
        <f t="shared" si="1056"/>
        <v>0</v>
      </c>
      <c r="AG621" s="121"/>
      <c r="AH621" s="121"/>
      <c r="AI621" s="121">
        <f t="shared" si="1057"/>
        <v>0</v>
      </c>
      <c r="AJ621" s="121"/>
      <c r="AK621" s="121"/>
      <c r="AL621" s="121">
        <f t="shared" si="1058"/>
        <v>0</v>
      </c>
      <c r="AM621" s="121"/>
      <c r="AN621" s="121"/>
      <c r="AO621" s="121">
        <f t="shared" si="1059"/>
        <v>0</v>
      </c>
      <c r="AP621" s="121"/>
      <c r="AQ621" s="121"/>
      <c r="AR621" s="121">
        <f t="shared" si="1060"/>
        <v>0</v>
      </c>
      <c r="AS621" s="121"/>
      <c r="AT621" s="121"/>
      <c r="AU621" s="121">
        <f t="shared" si="1061"/>
        <v>0</v>
      </c>
      <c r="AV621" s="121"/>
      <c r="AW621" s="121"/>
      <c r="AX621" s="121">
        <f t="shared" si="1062"/>
        <v>0</v>
      </c>
      <c r="AY621" s="121"/>
      <c r="AZ621" s="121"/>
      <c r="BA621" s="121">
        <f t="shared" si="1063"/>
        <v>0</v>
      </c>
      <c r="BB621" s="121"/>
      <c r="BC621" s="121"/>
      <c r="BD621" s="121">
        <f t="shared" si="1064"/>
        <v>0</v>
      </c>
      <c r="BE621" s="121"/>
      <c r="BF621" s="121"/>
      <c r="BG621" s="121">
        <f t="shared" si="1065"/>
        <v>0</v>
      </c>
      <c r="BH621" s="121"/>
      <c r="BI621" s="121"/>
      <c r="BJ621" s="121">
        <f t="shared" si="1066"/>
        <v>0</v>
      </c>
      <c r="BK621" s="121"/>
      <c r="BL621" s="311"/>
      <c r="BM621" s="317"/>
      <c r="BN621" s="319"/>
    </row>
    <row r="622" s="43" customFormat="1" ht="33.95" hidden="1" customHeight="1" outlineLevel="3" spans="2:66">
      <c r="B622" s="121" t="s">
        <v>792</v>
      </c>
      <c r="C622" s="122" t="s">
        <v>2232</v>
      </c>
      <c r="D622" s="43" t="s">
        <v>2233</v>
      </c>
      <c r="E622" s="121"/>
      <c r="F622" s="121" t="s">
        <v>1618</v>
      </c>
      <c r="G622" s="121" t="s">
        <v>936</v>
      </c>
      <c r="H622" s="121">
        <f t="shared" si="1052"/>
        <v>0</v>
      </c>
      <c r="I622" s="121" t="s">
        <v>1235</v>
      </c>
      <c r="J622" s="121">
        <v>1</v>
      </c>
      <c r="K622" s="121" t="s">
        <v>1236</v>
      </c>
      <c r="L622" s="304"/>
      <c r="M622" s="121" t="s">
        <v>1370</v>
      </c>
      <c r="N622" s="121">
        <f t="shared" si="1053"/>
        <v>0</v>
      </c>
      <c r="O622" s="304"/>
      <c r="P622" s="304"/>
      <c r="Q622" s="304"/>
      <c r="R622" s="304"/>
      <c r="S622" s="304"/>
      <c r="T622" s="304"/>
      <c r="U622" s="304"/>
      <c r="V622" s="304"/>
      <c r="W622" s="304"/>
      <c r="X622" s="304"/>
      <c r="Y622" s="304"/>
      <c r="Z622" s="304"/>
      <c r="AA622" s="121"/>
      <c r="AB622" s="121">
        <f t="shared" si="1054"/>
        <v>0</v>
      </c>
      <c r="AC622" s="121">
        <f t="shared" si="1055"/>
        <v>0</v>
      </c>
      <c r="AD622" s="121"/>
      <c r="AE622" s="121"/>
      <c r="AF622" s="121">
        <f t="shared" si="1056"/>
        <v>0</v>
      </c>
      <c r="AG622" s="121"/>
      <c r="AH622" s="121"/>
      <c r="AI622" s="121">
        <f t="shared" si="1057"/>
        <v>0</v>
      </c>
      <c r="AJ622" s="121"/>
      <c r="AK622" s="121"/>
      <c r="AL622" s="121">
        <f t="shared" si="1058"/>
        <v>0</v>
      </c>
      <c r="AM622" s="121"/>
      <c r="AN622" s="121"/>
      <c r="AO622" s="121">
        <f t="shared" si="1059"/>
        <v>0</v>
      </c>
      <c r="AP622" s="121"/>
      <c r="AQ622" s="121"/>
      <c r="AR622" s="121">
        <f t="shared" si="1060"/>
        <v>0</v>
      </c>
      <c r="AS622" s="121"/>
      <c r="AT622" s="121"/>
      <c r="AU622" s="121">
        <f t="shared" si="1061"/>
        <v>0</v>
      </c>
      <c r="AV622" s="121"/>
      <c r="AW622" s="121"/>
      <c r="AX622" s="121">
        <f t="shared" si="1062"/>
        <v>0</v>
      </c>
      <c r="AY622" s="121"/>
      <c r="AZ622" s="121"/>
      <c r="BA622" s="121">
        <f t="shared" si="1063"/>
        <v>0</v>
      </c>
      <c r="BB622" s="121"/>
      <c r="BC622" s="121"/>
      <c r="BD622" s="121">
        <f t="shared" si="1064"/>
        <v>0</v>
      </c>
      <c r="BE622" s="121"/>
      <c r="BF622" s="121"/>
      <c r="BG622" s="121">
        <f t="shared" si="1065"/>
        <v>0</v>
      </c>
      <c r="BH622" s="121"/>
      <c r="BI622" s="121"/>
      <c r="BJ622" s="121">
        <f t="shared" si="1066"/>
        <v>0</v>
      </c>
      <c r="BK622" s="121"/>
      <c r="BL622" s="311"/>
      <c r="BM622" s="317"/>
      <c r="BN622" s="319"/>
    </row>
    <row r="623" s="43" customFormat="1" ht="33.95" hidden="1" customHeight="1" outlineLevel="3" spans="2:66">
      <c r="B623" s="121" t="s">
        <v>792</v>
      </c>
      <c r="C623" s="122" t="s">
        <v>2234</v>
      </c>
      <c r="D623" s="43" t="s">
        <v>2235</v>
      </c>
      <c r="E623" s="121"/>
      <c r="F623" s="121" t="s">
        <v>1618</v>
      </c>
      <c r="G623" s="121" t="s">
        <v>936</v>
      </c>
      <c r="H623" s="121">
        <f t="shared" si="1052"/>
        <v>0</v>
      </c>
      <c r="I623" s="121" t="s">
        <v>1235</v>
      </c>
      <c r="J623" s="121">
        <v>1</v>
      </c>
      <c r="K623" s="121" t="s">
        <v>1236</v>
      </c>
      <c r="L623" s="304"/>
      <c r="M623" s="121" t="s">
        <v>1370</v>
      </c>
      <c r="N623" s="121">
        <f t="shared" si="1053"/>
        <v>0</v>
      </c>
      <c r="O623" s="322"/>
      <c r="P623" s="322"/>
      <c r="Q623" s="322"/>
      <c r="R623" s="322"/>
      <c r="S623" s="322"/>
      <c r="T623" s="322"/>
      <c r="U623" s="322"/>
      <c r="V623" s="322"/>
      <c r="W623" s="322"/>
      <c r="X623" s="322"/>
      <c r="Y623" s="322"/>
      <c r="Z623" s="322"/>
      <c r="AA623" s="121"/>
      <c r="AB623" s="121">
        <f t="shared" si="1054"/>
        <v>0</v>
      </c>
      <c r="AC623" s="121">
        <f t="shared" si="1055"/>
        <v>0</v>
      </c>
      <c r="AD623" s="121"/>
      <c r="AE623" s="121"/>
      <c r="AF623" s="121">
        <f t="shared" si="1056"/>
        <v>0</v>
      </c>
      <c r="AG623" s="121"/>
      <c r="AH623" s="121"/>
      <c r="AI623" s="121">
        <f t="shared" si="1057"/>
        <v>0</v>
      </c>
      <c r="AJ623" s="121"/>
      <c r="AK623" s="121"/>
      <c r="AL623" s="121">
        <f t="shared" si="1058"/>
        <v>0</v>
      </c>
      <c r="AM623" s="121"/>
      <c r="AN623" s="121"/>
      <c r="AO623" s="121">
        <f t="shared" si="1059"/>
        <v>0</v>
      </c>
      <c r="AP623" s="121"/>
      <c r="AQ623" s="121"/>
      <c r="AR623" s="121">
        <f t="shared" si="1060"/>
        <v>0</v>
      </c>
      <c r="AS623" s="121"/>
      <c r="AT623" s="121"/>
      <c r="AU623" s="121">
        <f t="shared" si="1061"/>
        <v>0</v>
      </c>
      <c r="AV623" s="121"/>
      <c r="AW623" s="121"/>
      <c r="AX623" s="121">
        <f t="shared" si="1062"/>
        <v>0</v>
      </c>
      <c r="AY623" s="121"/>
      <c r="AZ623" s="121"/>
      <c r="BA623" s="121">
        <f t="shared" si="1063"/>
        <v>0</v>
      </c>
      <c r="BB623" s="121"/>
      <c r="BC623" s="121"/>
      <c r="BD623" s="121">
        <f t="shared" si="1064"/>
        <v>0</v>
      </c>
      <c r="BE623" s="121"/>
      <c r="BF623" s="121"/>
      <c r="BG623" s="121">
        <f t="shared" si="1065"/>
        <v>0</v>
      </c>
      <c r="BH623" s="121"/>
      <c r="BI623" s="121"/>
      <c r="BJ623" s="121">
        <f t="shared" si="1066"/>
        <v>0</v>
      </c>
      <c r="BK623" s="121"/>
      <c r="BL623" s="311"/>
      <c r="BM623" s="317"/>
      <c r="BN623" s="319"/>
    </row>
    <row r="624" s="14" customFormat="1" ht="33.95" hidden="1" customHeight="1" outlineLevel="2" spans="2:66">
      <c r="B624" s="118" t="s">
        <v>787</v>
      </c>
      <c r="C624" s="119" t="s">
        <v>2236</v>
      </c>
      <c r="D624" s="14" t="s">
        <v>2237</v>
      </c>
      <c r="E624" s="118"/>
      <c r="F624" s="118"/>
      <c r="G624" s="118"/>
      <c r="H624" s="118">
        <f>SUM(H625:H626)</f>
        <v>0</v>
      </c>
      <c r="I624" s="118"/>
      <c r="J624" s="118"/>
      <c r="K624" s="118"/>
      <c r="L624" s="118"/>
      <c r="M624" s="118"/>
      <c r="N624" s="310"/>
      <c r="O624" s="293"/>
      <c r="P624" s="293"/>
      <c r="Q624" s="293"/>
      <c r="R624" s="293"/>
      <c r="S624" s="293"/>
      <c r="T624" s="293"/>
      <c r="U624" s="293"/>
      <c r="V624" s="293"/>
      <c r="W624" s="293"/>
      <c r="X624" s="293"/>
      <c r="Y624" s="293"/>
      <c r="Z624" s="293"/>
      <c r="AA624" s="293"/>
      <c r="AB624" s="118">
        <f t="shared" ref="AB624:AF624" si="1067">SUM(AB625:AB626)</f>
        <v>0</v>
      </c>
      <c r="AC624" s="118">
        <f t="shared" si="1067"/>
        <v>0</v>
      </c>
      <c r="AD624" s="118"/>
      <c r="AE624" s="118"/>
      <c r="AF624" s="118">
        <f t="shared" si="1067"/>
        <v>0</v>
      </c>
      <c r="AG624" s="118"/>
      <c r="AH624" s="118"/>
      <c r="AI624" s="118">
        <f>SUM(AI625:AI626)</f>
        <v>0</v>
      </c>
      <c r="AJ624" s="118"/>
      <c r="AK624" s="118"/>
      <c r="AL624" s="118">
        <f>SUM(AL625:AL626)</f>
        <v>0</v>
      </c>
      <c r="AM624" s="118"/>
      <c r="AN624" s="118"/>
      <c r="AO624" s="118">
        <f>SUM(AO625:AO626)</f>
        <v>0</v>
      </c>
      <c r="AP624" s="118"/>
      <c r="AQ624" s="118"/>
      <c r="AR624" s="118">
        <f>SUM(AR625:AR626)</f>
        <v>0</v>
      </c>
      <c r="AS624" s="118"/>
      <c r="AT624" s="118"/>
      <c r="AU624" s="118">
        <f>SUM(AU625:AU626)</f>
        <v>0</v>
      </c>
      <c r="AV624" s="118"/>
      <c r="AW624" s="118"/>
      <c r="AX624" s="118">
        <f>SUM(AX625:AX626)</f>
        <v>0</v>
      </c>
      <c r="AY624" s="118"/>
      <c r="AZ624" s="118"/>
      <c r="BA624" s="118">
        <f>SUM(BA625:BA626)</f>
        <v>0</v>
      </c>
      <c r="BB624" s="118"/>
      <c r="BC624" s="118"/>
      <c r="BD624" s="118">
        <f>SUM(BD625:BD626)</f>
        <v>0</v>
      </c>
      <c r="BE624" s="118"/>
      <c r="BF624" s="118"/>
      <c r="BG624" s="118">
        <f>SUM(BG625:BG626)</f>
        <v>0</v>
      </c>
      <c r="BH624" s="118"/>
      <c r="BI624" s="118"/>
      <c r="BJ624" s="118">
        <f>SUM(BJ625:BJ626)</f>
        <v>0</v>
      </c>
      <c r="BK624" s="118"/>
      <c r="BL624" s="310"/>
      <c r="BM624" s="317"/>
      <c r="BN624" s="318"/>
    </row>
    <row r="625" s="43" customFormat="1" ht="33.95" hidden="1" customHeight="1" outlineLevel="3" spans="2:66">
      <c r="B625" s="121" t="s">
        <v>792</v>
      </c>
      <c r="C625" s="122" t="s">
        <v>2238</v>
      </c>
      <c r="D625" s="43" t="s">
        <v>2239</v>
      </c>
      <c r="E625" s="121"/>
      <c r="F625" s="121" t="s">
        <v>1618</v>
      </c>
      <c r="G625" s="121" t="s">
        <v>936</v>
      </c>
      <c r="H625" s="121">
        <f t="shared" ref="H625:H633" si="1068">J625*L625</f>
        <v>0</v>
      </c>
      <c r="I625" s="121" t="s">
        <v>1235</v>
      </c>
      <c r="J625" s="121">
        <v>1</v>
      </c>
      <c r="K625" s="121" t="s">
        <v>1236</v>
      </c>
      <c r="L625" s="304"/>
      <c r="M625" s="121" t="s">
        <v>1370</v>
      </c>
      <c r="N625" s="121">
        <f t="shared" ref="N625:N633" si="1069">COUNTA(O625:Z625)</f>
        <v>0</v>
      </c>
      <c r="O625" s="323"/>
      <c r="P625" s="323"/>
      <c r="Q625" s="323"/>
      <c r="R625" s="323"/>
      <c r="S625" s="323"/>
      <c r="T625" s="323"/>
      <c r="U625" s="323"/>
      <c r="V625" s="323"/>
      <c r="W625" s="323"/>
      <c r="X625" s="323"/>
      <c r="Y625" s="323"/>
      <c r="Z625" s="323"/>
      <c r="AA625" s="121"/>
      <c r="AB625" s="121">
        <f t="shared" ref="AB625:AB633" si="1070">SUM(AC625,AF625,AI625,AL625,AO625,AR625,AU625,AX625,BA625,BD625,BG625,BJ625)</f>
        <v>0</v>
      </c>
      <c r="AC625" s="121">
        <f t="shared" ref="AC625:AC633" si="1071">IF(O625="√",$J625*$L625/$N625,0)</f>
        <v>0</v>
      </c>
      <c r="AD625" s="121"/>
      <c r="AE625" s="121"/>
      <c r="AF625" s="121">
        <f t="shared" ref="AF625:AF633" si="1072">IF(P625="√",$J625*$L625/$N625,0)</f>
        <v>0</v>
      </c>
      <c r="AG625" s="121"/>
      <c r="AH625" s="121"/>
      <c r="AI625" s="121">
        <f t="shared" ref="AI625:AI633" si="1073">IF(Q625="√",$J625*$L625/$N625,0)</f>
        <v>0</v>
      </c>
      <c r="AJ625" s="121"/>
      <c r="AK625" s="121"/>
      <c r="AL625" s="121">
        <f t="shared" ref="AL625:AL633" si="1074">IF(R625="√",$J625*$L625/$N625,0)</f>
        <v>0</v>
      </c>
      <c r="AM625" s="121"/>
      <c r="AN625" s="121"/>
      <c r="AO625" s="121">
        <f t="shared" ref="AO625:AO633" si="1075">IF(S625="√",$J625*$L625/$N625,0)</f>
        <v>0</v>
      </c>
      <c r="AP625" s="121"/>
      <c r="AQ625" s="121"/>
      <c r="AR625" s="121">
        <f t="shared" ref="AR625:AR633" si="1076">IF(T625="√",$J625*$L625/$N625,0)</f>
        <v>0</v>
      </c>
      <c r="AS625" s="121"/>
      <c r="AT625" s="121"/>
      <c r="AU625" s="121">
        <f t="shared" ref="AU625:AU633" si="1077">IF(U625="√",$J625*$L625/$N625,0)</f>
        <v>0</v>
      </c>
      <c r="AV625" s="121"/>
      <c r="AW625" s="121"/>
      <c r="AX625" s="121">
        <f t="shared" ref="AX625:AX633" si="1078">IF(V625="√",$J625*$L625/$N625,0)</f>
        <v>0</v>
      </c>
      <c r="AY625" s="121"/>
      <c r="AZ625" s="121"/>
      <c r="BA625" s="121">
        <f t="shared" ref="BA625:BA633" si="1079">IF(W625="√",$J625*$L625/$N625,0)</f>
        <v>0</v>
      </c>
      <c r="BB625" s="121"/>
      <c r="BC625" s="121"/>
      <c r="BD625" s="121">
        <f t="shared" ref="BD625:BD633" si="1080">IF(X625="√",$J625*$L625/$N625,0)</f>
        <v>0</v>
      </c>
      <c r="BE625" s="121"/>
      <c r="BF625" s="121"/>
      <c r="BG625" s="121">
        <f t="shared" ref="BG625:BG633" si="1081">IF(Y625="√",$J625*$L625/$N625,0)</f>
        <v>0</v>
      </c>
      <c r="BH625" s="121"/>
      <c r="BI625" s="121"/>
      <c r="BJ625" s="121">
        <f t="shared" ref="BJ625:BJ633" si="1082">IF(Z625="√",$J625*$L625/$N625,0)</f>
        <v>0</v>
      </c>
      <c r="BK625" s="121"/>
      <c r="BL625" s="311"/>
      <c r="BM625" s="317"/>
      <c r="BN625" s="319"/>
    </row>
    <row r="626" s="43" customFormat="1" ht="33.95" hidden="1" customHeight="1" outlineLevel="3" spans="2:66">
      <c r="B626" s="121" t="s">
        <v>792</v>
      </c>
      <c r="C626" s="122" t="s">
        <v>2240</v>
      </c>
      <c r="D626" s="43" t="s">
        <v>2241</v>
      </c>
      <c r="E626" s="121"/>
      <c r="F626" s="121" t="s">
        <v>1618</v>
      </c>
      <c r="G626" s="121" t="s">
        <v>936</v>
      </c>
      <c r="H626" s="121">
        <f t="shared" si="1068"/>
        <v>0</v>
      </c>
      <c r="I626" s="121" t="s">
        <v>1235</v>
      </c>
      <c r="J626" s="121">
        <v>1</v>
      </c>
      <c r="K626" s="121" t="s">
        <v>1236</v>
      </c>
      <c r="L626" s="304"/>
      <c r="M626" s="121" t="s">
        <v>1370</v>
      </c>
      <c r="N626" s="121">
        <f t="shared" si="1069"/>
        <v>0</v>
      </c>
      <c r="O626" s="322"/>
      <c r="P626" s="322"/>
      <c r="Q626" s="322"/>
      <c r="R626" s="322"/>
      <c r="S626" s="322"/>
      <c r="T626" s="322"/>
      <c r="U626" s="322"/>
      <c r="V626" s="322"/>
      <c r="W626" s="322"/>
      <c r="X626" s="322"/>
      <c r="Y626" s="322"/>
      <c r="Z626" s="322"/>
      <c r="AA626" s="121"/>
      <c r="AB626" s="121">
        <f t="shared" si="1070"/>
        <v>0</v>
      </c>
      <c r="AC626" s="121">
        <f t="shared" si="1071"/>
        <v>0</v>
      </c>
      <c r="AD626" s="121"/>
      <c r="AE626" s="121"/>
      <c r="AF626" s="121">
        <f t="shared" si="1072"/>
        <v>0</v>
      </c>
      <c r="AG626" s="121"/>
      <c r="AH626" s="121"/>
      <c r="AI626" s="121">
        <f t="shared" si="1073"/>
        <v>0</v>
      </c>
      <c r="AJ626" s="121"/>
      <c r="AK626" s="121"/>
      <c r="AL626" s="121">
        <f t="shared" si="1074"/>
        <v>0</v>
      </c>
      <c r="AM626" s="121"/>
      <c r="AN626" s="121"/>
      <c r="AO626" s="121">
        <f t="shared" si="1075"/>
        <v>0</v>
      </c>
      <c r="AP626" s="121"/>
      <c r="AQ626" s="121"/>
      <c r="AR626" s="121">
        <f t="shared" si="1076"/>
        <v>0</v>
      </c>
      <c r="AS626" s="121"/>
      <c r="AT626" s="121"/>
      <c r="AU626" s="121">
        <f t="shared" si="1077"/>
        <v>0</v>
      </c>
      <c r="AV626" s="121"/>
      <c r="AW626" s="121"/>
      <c r="AX626" s="121">
        <f t="shared" si="1078"/>
        <v>0</v>
      </c>
      <c r="AY626" s="121"/>
      <c r="AZ626" s="121"/>
      <c r="BA626" s="121">
        <f t="shared" si="1079"/>
        <v>0</v>
      </c>
      <c r="BB626" s="121"/>
      <c r="BC626" s="121"/>
      <c r="BD626" s="121">
        <f t="shared" si="1080"/>
        <v>0</v>
      </c>
      <c r="BE626" s="121"/>
      <c r="BF626" s="121"/>
      <c r="BG626" s="121">
        <f t="shared" si="1081"/>
        <v>0</v>
      </c>
      <c r="BH626" s="121"/>
      <c r="BI626" s="121"/>
      <c r="BJ626" s="121">
        <f t="shared" si="1082"/>
        <v>0</v>
      </c>
      <c r="BK626" s="121"/>
      <c r="BL626" s="311"/>
      <c r="BM626" s="317"/>
      <c r="BN626" s="319"/>
    </row>
    <row r="627" s="14" customFormat="1" ht="33.95" hidden="1" customHeight="1" outlineLevel="2" spans="2:66">
      <c r="B627" s="118" t="s">
        <v>787</v>
      </c>
      <c r="C627" s="119" t="s">
        <v>2242</v>
      </c>
      <c r="D627" s="14" t="s">
        <v>2243</v>
      </c>
      <c r="E627" s="118"/>
      <c r="F627" s="118"/>
      <c r="G627" s="118"/>
      <c r="H627" s="118">
        <f>SUM(H628:H633)</f>
        <v>0</v>
      </c>
      <c r="I627" s="118"/>
      <c r="J627" s="118"/>
      <c r="K627" s="118"/>
      <c r="L627" s="118"/>
      <c r="M627" s="118"/>
      <c r="N627" s="310"/>
      <c r="O627" s="293"/>
      <c r="P627" s="293"/>
      <c r="Q627" s="293"/>
      <c r="R627" s="293"/>
      <c r="S627" s="293"/>
      <c r="T627" s="293"/>
      <c r="U627" s="293"/>
      <c r="V627" s="293"/>
      <c r="W627" s="293"/>
      <c r="X627" s="293"/>
      <c r="Y627" s="293"/>
      <c r="Z627" s="293"/>
      <c r="AA627" s="293"/>
      <c r="AB627" s="118">
        <f t="shared" ref="AB627:AF627" si="1083">SUM(AB628:AB633)</f>
        <v>0</v>
      </c>
      <c r="AC627" s="118">
        <f t="shared" si="1083"/>
        <v>0</v>
      </c>
      <c r="AD627" s="118"/>
      <c r="AE627" s="118"/>
      <c r="AF627" s="118">
        <f t="shared" si="1083"/>
        <v>0</v>
      </c>
      <c r="AG627" s="118"/>
      <c r="AH627" s="118"/>
      <c r="AI627" s="118">
        <f>SUM(AI628:AI633)</f>
        <v>0</v>
      </c>
      <c r="AJ627" s="118"/>
      <c r="AK627" s="118"/>
      <c r="AL627" s="118">
        <f>SUM(AL628:AL633)</f>
        <v>0</v>
      </c>
      <c r="AM627" s="118"/>
      <c r="AN627" s="118"/>
      <c r="AO627" s="118">
        <f>SUM(AO628:AO633)</f>
        <v>0</v>
      </c>
      <c r="AP627" s="118"/>
      <c r="AQ627" s="118"/>
      <c r="AR627" s="118">
        <f>SUM(AR628:AR633)</f>
        <v>0</v>
      </c>
      <c r="AS627" s="118"/>
      <c r="AT627" s="118"/>
      <c r="AU627" s="118">
        <f>SUM(AU628:AU633)</f>
        <v>0</v>
      </c>
      <c r="AV627" s="118"/>
      <c r="AW627" s="118"/>
      <c r="AX627" s="118">
        <f>SUM(AX628:AX633)</f>
        <v>0</v>
      </c>
      <c r="AY627" s="118"/>
      <c r="AZ627" s="118"/>
      <c r="BA627" s="118">
        <f>SUM(BA628:BA633)</f>
        <v>0</v>
      </c>
      <c r="BB627" s="118"/>
      <c r="BC627" s="118"/>
      <c r="BD627" s="118">
        <f>SUM(BD628:BD633)</f>
        <v>0</v>
      </c>
      <c r="BE627" s="118"/>
      <c r="BF627" s="118"/>
      <c r="BG627" s="118">
        <f>SUM(BG628:BG633)</f>
        <v>0</v>
      </c>
      <c r="BH627" s="118"/>
      <c r="BI627" s="118"/>
      <c r="BJ627" s="118">
        <f>SUM(BJ628:BJ633)</f>
        <v>0</v>
      </c>
      <c r="BK627" s="118"/>
      <c r="BL627" s="310"/>
      <c r="BM627" s="317"/>
      <c r="BN627" s="318"/>
    </row>
    <row r="628" s="43" customFormat="1" ht="33.95" hidden="1" customHeight="1" outlineLevel="3" spans="2:66">
      <c r="B628" s="121" t="s">
        <v>792</v>
      </c>
      <c r="C628" s="122" t="s">
        <v>2244</v>
      </c>
      <c r="D628" s="43" t="s">
        <v>2245</v>
      </c>
      <c r="E628" s="121"/>
      <c r="F628" s="121" t="s">
        <v>1618</v>
      </c>
      <c r="G628" s="121" t="s">
        <v>936</v>
      </c>
      <c r="H628" s="121">
        <f t="shared" si="1068"/>
        <v>0</v>
      </c>
      <c r="I628" s="121" t="s">
        <v>1235</v>
      </c>
      <c r="J628" s="121">
        <v>1</v>
      </c>
      <c r="K628" s="121" t="s">
        <v>1236</v>
      </c>
      <c r="L628" s="304"/>
      <c r="M628" s="121" t="s">
        <v>1370</v>
      </c>
      <c r="N628" s="121">
        <f t="shared" si="1069"/>
        <v>0</v>
      </c>
      <c r="O628" s="323"/>
      <c r="P628" s="323"/>
      <c r="Q628" s="323"/>
      <c r="R628" s="323"/>
      <c r="S628" s="323"/>
      <c r="T628" s="323"/>
      <c r="U628" s="323"/>
      <c r="V628" s="323"/>
      <c r="W628" s="323"/>
      <c r="X628" s="323"/>
      <c r="Y628" s="323"/>
      <c r="Z628" s="323"/>
      <c r="AA628" s="121"/>
      <c r="AB628" s="121">
        <f t="shared" si="1070"/>
        <v>0</v>
      </c>
      <c r="AC628" s="121">
        <f t="shared" si="1071"/>
        <v>0</v>
      </c>
      <c r="AD628" s="121"/>
      <c r="AE628" s="121"/>
      <c r="AF628" s="121">
        <f t="shared" si="1072"/>
        <v>0</v>
      </c>
      <c r="AG628" s="121"/>
      <c r="AH628" s="121"/>
      <c r="AI628" s="121">
        <f t="shared" si="1073"/>
        <v>0</v>
      </c>
      <c r="AJ628" s="121"/>
      <c r="AK628" s="121"/>
      <c r="AL628" s="121">
        <f t="shared" si="1074"/>
        <v>0</v>
      </c>
      <c r="AM628" s="121"/>
      <c r="AN628" s="121"/>
      <c r="AO628" s="121">
        <f t="shared" si="1075"/>
        <v>0</v>
      </c>
      <c r="AP628" s="121"/>
      <c r="AQ628" s="121"/>
      <c r="AR628" s="121">
        <f t="shared" si="1076"/>
        <v>0</v>
      </c>
      <c r="AS628" s="121"/>
      <c r="AT628" s="121"/>
      <c r="AU628" s="121">
        <f t="shared" si="1077"/>
        <v>0</v>
      </c>
      <c r="AV628" s="121"/>
      <c r="AW628" s="121"/>
      <c r="AX628" s="121">
        <f t="shared" si="1078"/>
        <v>0</v>
      </c>
      <c r="AY628" s="121"/>
      <c r="AZ628" s="121"/>
      <c r="BA628" s="121">
        <f t="shared" si="1079"/>
        <v>0</v>
      </c>
      <c r="BB628" s="121"/>
      <c r="BC628" s="121"/>
      <c r="BD628" s="121">
        <f t="shared" si="1080"/>
        <v>0</v>
      </c>
      <c r="BE628" s="121"/>
      <c r="BF628" s="121"/>
      <c r="BG628" s="121">
        <f t="shared" si="1081"/>
        <v>0</v>
      </c>
      <c r="BH628" s="121"/>
      <c r="BI628" s="121"/>
      <c r="BJ628" s="121">
        <f t="shared" si="1082"/>
        <v>0</v>
      </c>
      <c r="BK628" s="121"/>
      <c r="BL628" s="311"/>
      <c r="BM628" s="317"/>
      <c r="BN628" s="319"/>
    </row>
    <row r="629" s="43" customFormat="1" ht="33.95" hidden="1" customHeight="1" outlineLevel="3" spans="2:66">
      <c r="B629" s="121" t="s">
        <v>792</v>
      </c>
      <c r="C629" s="122" t="s">
        <v>2246</v>
      </c>
      <c r="D629" s="43" t="s">
        <v>2247</v>
      </c>
      <c r="E629" s="121"/>
      <c r="F629" s="121" t="s">
        <v>1618</v>
      </c>
      <c r="G629" s="121" t="s">
        <v>936</v>
      </c>
      <c r="H629" s="121">
        <f t="shared" si="1068"/>
        <v>0</v>
      </c>
      <c r="I629" s="121" t="s">
        <v>1235</v>
      </c>
      <c r="J629" s="121">
        <v>1</v>
      </c>
      <c r="K629" s="121" t="s">
        <v>1236</v>
      </c>
      <c r="L629" s="304"/>
      <c r="M629" s="121" t="s">
        <v>1370</v>
      </c>
      <c r="N629" s="121">
        <f t="shared" si="1069"/>
        <v>0</v>
      </c>
      <c r="O629" s="304"/>
      <c r="P629" s="304"/>
      <c r="Q629" s="304"/>
      <c r="R629" s="304"/>
      <c r="S629" s="304"/>
      <c r="T629" s="304"/>
      <c r="U629" s="304"/>
      <c r="V629" s="304"/>
      <c r="W629" s="304"/>
      <c r="X629" s="304"/>
      <c r="Y629" s="304"/>
      <c r="Z629" s="304"/>
      <c r="AA629" s="121"/>
      <c r="AB629" s="121">
        <f t="shared" si="1070"/>
        <v>0</v>
      </c>
      <c r="AC629" s="121">
        <f t="shared" si="1071"/>
        <v>0</v>
      </c>
      <c r="AD629" s="121"/>
      <c r="AE629" s="121"/>
      <c r="AF629" s="121">
        <f t="shared" si="1072"/>
        <v>0</v>
      </c>
      <c r="AG629" s="121"/>
      <c r="AH629" s="121"/>
      <c r="AI629" s="121">
        <f t="shared" si="1073"/>
        <v>0</v>
      </c>
      <c r="AJ629" s="121"/>
      <c r="AK629" s="121"/>
      <c r="AL629" s="121">
        <f t="shared" si="1074"/>
        <v>0</v>
      </c>
      <c r="AM629" s="121"/>
      <c r="AN629" s="121"/>
      <c r="AO629" s="121">
        <f t="shared" si="1075"/>
        <v>0</v>
      </c>
      <c r="AP629" s="121"/>
      <c r="AQ629" s="121"/>
      <c r="AR629" s="121">
        <f t="shared" si="1076"/>
        <v>0</v>
      </c>
      <c r="AS629" s="121"/>
      <c r="AT629" s="121"/>
      <c r="AU629" s="121">
        <f t="shared" si="1077"/>
        <v>0</v>
      </c>
      <c r="AV629" s="121"/>
      <c r="AW629" s="121"/>
      <c r="AX629" s="121">
        <f t="shared" si="1078"/>
        <v>0</v>
      </c>
      <c r="AY629" s="121"/>
      <c r="AZ629" s="121"/>
      <c r="BA629" s="121">
        <f t="shared" si="1079"/>
        <v>0</v>
      </c>
      <c r="BB629" s="121"/>
      <c r="BC629" s="121"/>
      <c r="BD629" s="121">
        <f t="shared" si="1080"/>
        <v>0</v>
      </c>
      <c r="BE629" s="121"/>
      <c r="BF629" s="121"/>
      <c r="BG629" s="121">
        <f t="shared" si="1081"/>
        <v>0</v>
      </c>
      <c r="BH629" s="121"/>
      <c r="BI629" s="121"/>
      <c r="BJ629" s="121">
        <f t="shared" si="1082"/>
        <v>0</v>
      </c>
      <c r="BK629" s="121"/>
      <c r="BL629" s="311"/>
      <c r="BM629" s="317"/>
      <c r="BN629" s="319"/>
    </row>
    <row r="630" s="43" customFormat="1" ht="33.95" hidden="1" customHeight="1" outlineLevel="3" spans="2:66">
      <c r="B630" s="121" t="s">
        <v>792</v>
      </c>
      <c r="C630" s="122" t="s">
        <v>2248</v>
      </c>
      <c r="D630" s="43" t="s">
        <v>2249</v>
      </c>
      <c r="E630" s="121"/>
      <c r="F630" s="121" t="s">
        <v>1618</v>
      </c>
      <c r="G630" s="121" t="s">
        <v>936</v>
      </c>
      <c r="H630" s="121">
        <f t="shared" si="1068"/>
        <v>0</v>
      </c>
      <c r="I630" s="121" t="s">
        <v>1235</v>
      </c>
      <c r="J630" s="121">
        <v>1</v>
      </c>
      <c r="K630" s="121" t="s">
        <v>1236</v>
      </c>
      <c r="L630" s="304"/>
      <c r="M630" s="121" t="s">
        <v>1370</v>
      </c>
      <c r="N630" s="121">
        <f t="shared" si="1069"/>
        <v>0</v>
      </c>
      <c r="O630" s="304"/>
      <c r="P630" s="304"/>
      <c r="Q630" s="304"/>
      <c r="R630" s="304"/>
      <c r="S630" s="304"/>
      <c r="T630" s="304"/>
      <c r="U630" s="304"/>
      <c r="V630" s="304"/>
      <c r="W630" s="304"/>
      <c r="X630" s="304"/>
      <c r="Y630" s="304"/>
      <c r="Z630" s="304"/>
      <c r="AA630" s="121"/>
      <c r="AB630" s="121">
        <f t="shared" si="1070"/>
        <v>0</v>
      </c>
      <c r="AC630" s="121">
        <f t="shared" si="1071"/>
        <v>0</v>
      </c>
      <c r="AD630" s="121"/>
      <c r="AE630" s="121"/>
      <c r="AF630" s="121">
        <f t="shared" si="1072"/>
        <v>0</v>
      </c>
      <c r="AG630" s="121"/>
      <c r="AH630" s="121"/>
      <c r="AI630" s="121">
        <f t="shared" si="1073"/>
        <v>0</v>
      </c>
      <c r="AJ630" s="121"/>
      <c r="AK630" s="121"/>
      <c r="AL630" s="121">
        <f t="shared" si="1074"/>
        <v>0</v>
      </c>
      <c r="AM630" s="121"/>
      <c r="AN630" s="121"/>
      <c r="AO630" s="121">
        <f t="shared" si="1075"/>
        <v>0</v>
      </c>
      <c r="AP630" s="121"/>
      <c r="AQ630" s="121"/>
      <c r="AR630" s="121">
        <f t="shared" si="1076"/>
        <v>0</v>
      </c>
      <c r="AS630" s="121"/>
      <c r="AT630" s="121"/>
      <c r="AU630" s="121">
        <f t="shared" si="1077"/>
        <v>0</v>
      </c>
      <c r="AV630" s="121"/>
      <c r="AW630" s="121"/>
      <c r="AX630" s="121">
        <f t="shared" si="1078"/>
        <v>0</v>
      </c>
      <c r="AY630" s="121"/>
      <c r="AZ630" s="121"/>
      <c r="BA630" s="121">
        <f t="shared" si="1079"/>
        <v>0</v>
      </c>
      <c r="BB630" s="121"/>
      <c r="BC630" s="121"/>
      <c r="BD630" s="121">
        <f t="shared" si="1080"/>
        <v>0</v>
      </c>
      <c r="BE630" s="121"/>
      <c r="BF630" s="121"/>
      <c r="BG630" s="121">
        <f t="shared" si="1081"/>
        <v>0</v>
      </c>
      <c r="BH630" s="121"/>
      <c r="BI630" s="121"/>
      <c r="BJ630" s="121">
        <f t="shared" si="1082"/>
        <v>0</v>
      </c>
      <c r="BK630" s="121"/>
      <c r="BL630" s="311"/>
      <c r="BM630" s="317"/>
      <c r="BN630" s="319"/>
    </row>
    <row r="631" s="43" customFormat="1" ht="33.95" hidden="1" customHeight="1" outlineLevel="3" spans="2:66">
      <c r="B631" s="121" t="s">
        <v>792</v>
      </c>
      <c r="C631" s="122" t="s">
        <v>2250</v>
      </c>
      <c r="D631" s="43" t="s">
        <v>2251</v>
      </c>
      <c r="E631" s="121"/>
      <c r="F631" s="121" t="s">
        <v>1618</v>
      </c>
      <c r="G631" s="121" t="s">
        <v>936</v>
      </c>
      <c r="H631" s="121">
        <f t="shared" si="1068"/>
        <v>0</v>
      </c>
      <c r="I631" s="121" t="s">
        <v>1235</v>
      </c>
      <c r="J631" s="121">
        <v>1</v>
      </c>
      <c r="K631" s="121" t="s">
        <v>1236</v>
      </c>
      <c r="L631" s="304"/>
      <c r="M631" s="121" t="s">
        <v>1370</v>
      </c>
      <c r="N631" s="121">
        <f t="shared" si="1069"/>
        <v>0</v>
      </c>
      <c r="O631" s="304"/>
      <c r="P631" s="304"/>
      <c r="Q631" s="304"/>
      <c r="R631" s="304"/>
      <c r="S631" s="304"/>
      <c r="T631" s="304"/>
      <c r="U631" s="304"/>
      <c r="V631" s="304"/>
      <c r="W631" s="304"/>
      <c r="X631" s="304"/>
      <c r="Y631" s="304"/>
      <c r="Z631" s="304"/>
      <c r="AA631" s="121"/>
      <c r="AB631" s="121">
        <f t="shared" si="1070"/>
        <v>0</v>
      </c>
      <c r="AC631" s="121">
        <f t="shared" si="1071"/>
        <v>0</v>
      </c>
      <c r="AD631" s="121"/>
      <c r="AE631" s="121"/>
      <c r="AF631" s="121">
        <f t="shared" si="1072"/>
        <v>0</v>
      </c>
      <c r="AG631" s="121"/>
      <c r="AH631" s="121"/>
      <c r="AI631" s="121">
        <f t="shared" si="1073"/>
        <v>0</v>
      </c>
      <c r="AJ631" s="121"/>
      <c r="AK631" s="121"/>
      <c r="AL631" s="121">
        <f t="shared" si="1074"/>
        <v>0</v>
      </c>
      <c r="AM631" s="121"/>
      <c r="AN631" s="121"/>
      <c r="AO631" s="121">
        <f t="shared" si="1075"/>
        <v>0</v>
      </c>
      <c r="AP631" s="121"/>
      <c r="AQ631" s="121"/>
      <c r="AR631" s="121">
        <f t="shared" si="1076"/>
        <v>0</v>
      </c>
      <c r="AS631" s="121"/>
      <c r="AT631" s="121"/>
      <c r="AU631" s="121">
        <f t="shared" si="1077"/>
        <v>0</v>
      </c>
      <c r="AV631" s="121"/>
      <c r="AW631" s="121"/>
      <c r="AX631" s="121">
        <f t="shared" si="1078"/>
        <v>0</v>
      </c>
      <c r="AY631" s="121"/>
      <c r="AZ631" s="121"/>
      <c r="BA631" s="121">
        <f t="shared" si="1079"/>
        <v>0</v>
      </c>
      <c r="BB631" s="121"/>
      <c r="BC631" s="121"/>
      <c r="BD631" s="121">
        <f t="shared" si="1080"/>
        <v>0</v>
      </c>
      <c r="BE631" s="121"/>
      <c r="BF631" s="121"/>
      <c r="BG631" s="121">
        <f t="shared" si="1081"/>
        <v>0</v>
      </c>
      <c r="BH631" s="121"/>
      <c r="BI631" s="121"/>
      <c r="BJ631" s="121">
        <f t="shared" si="1082"/>
        <v>0</v>
      </c>
      <c r="BK631" s="121"/>
      <c r="BL631" s="311"/>
      <c r="BM631" s="317"/>
      <c r="BN631" s="319"/>
    </row>
    <row r="632" s="43" customFormat="1" ht="33.95" hidden="1" customHeight="1" outlineLevel="3" spans="2:66">
      <c r="B632" s="121" t="s">
        <v>792</v>
      </c>
      <c r="C632" s="122" t="s">
        <v>2252</v>
      </c>
      <c r="D632" s="43" t="s">
        <v>2253</v>
      </c>
      <c r="E632" s="121"/>
      <c r="F632" s="121" t="s">
        <v>1618</v>
      </c>
      <c r="G632" s="121" t="s">
        <v>936</v>
      </c>
      <c r="H632" s="121">
        <f t="shared" si="1068"/>
        <v>0</v>
      </c>
      <c r="I632" s="121" t="s">
        <v>1235</v>
      </c>
      <c r="J632" s="121">
        <v>1</v>
      </c>
      <c r="K632" s="121" t="s">
        <v>1236</v>
      </c>
      <c r="L632" s="304"/>
      <c r="M632" s="121" t="s">
        <v>1370</v>
      </c>
      <c r="N632" s="121">
        <f t="shared" si="1069"/>
        <v>0</v>
      </c>
      <c r="O632" s="304"/>
      <c r="P632" s="304"/>
      <c r="Q632" s="304"/>
      <c r="R632" s="304"/>
      <c r="S632" s="304"/>
      <c r="T632" s="304"/>
      <c r="U632" s="304"/>
      <c r="V632" s="304"/>
      <c r="W632" s="304"/>
      <c r="X632" s="304"/>
      <c r="Y632" s="304"/>
      <c r="Z632" s="304"/>
      <c r="AA632" s="121"/>
      <c r="AB632" s="121">
        <f t="shared" si="1070"/>
        <v>0</v>
      </c>
      <c r="AC632" s="121">
        <f t="shared" si="1071"/>
        <v>0</v>
      </c>
      <c r="AD632" s="121"/>
      <c r="AE632" s="121"/>
      <c r="AF632" s="121">
        <f t="shared" si="1072"/>
        <v>0</v>
      </c>
      <c r="AG632" s="121"/>
      <c r="AH632" s="121"/>
      <c r="AI632" s="121">
        <f t="shared" si="1073"/>
        <v>0</v>
      </c>
      <c r="AJ632" s="121"/>
      <c r="AK632" s="121"/>
      <c r="AL632" s="121">
        <f t="shared" si="1074"/>
        <v>0</v>
      </c>
      <c r="AM632" s="121"/>
      <c r="AN632" s="121"/>
      <c r="AO632" s="121">
        <f t="shared" si="1075"/>
        <v>0</v>
      </c>
      <c r="AP632" s="121"/>
      <c r="AQ632" s="121"/>
      <c r="AR632" s="121">
        <f t="shared" si="1076"/>
        <v>0</v>
      </c>
      <c r="AS632" s="121"/>
      <c r="AT632" s="121"/>
      <c r="AU632" s="121">
        <f t="shared" si="1077"/>
        <v>0</v>
      </c>
      <c r="AV632" s="121"/>
      <c r="AW632" s="121"/>
      <c r="AX632" s="121">
        <f t="shared" si="1078"/>
        <v>0</v>
      </c>
      <c r="AY632" s="121"/>
      <c r="AZ632" s="121"/>
      <c r="BA632" s="121">
        <f t="shared" si="1079"/>
        <v>0</v>
      </c>
      <c r="BB632" s="121"/>
      <c r="BC632" s="121"/>
      <c r="BD632" s="121">
        <f t="shared" si="1080"/>
        <v>0</v>
      </c>
      <c r="BE632" s="121"/>
      <c r="BF632" s="121"/>
      <c r="BG632" s="121">
        <f t="shared" si="1081"/>
        <v>0</v>
      </c>
      <c r="BH632" s="121"/>
      <c r="BI632" s="121"/>
      <c r="BJ632" s="121">
        <f t="shared" si="1082"/>
        <v>0</v>
      </c>
      <c r="BK632" s="121"/>
      <c r="BL632" s="311"/>
      <c r="BM632" s="317"/>
      <c r="BN632" s="319"/>
    </row>
    <row r="633" s="43" customFormat="1" ht="33.95" hidden="1" customHeight="1" outlineLevel="3" spans="2:66">
      <c r="B633" s="121" t="s">
        <v>792</v>
      </c>
      <c r="C633" s="122" t="s">
        <v>2254</v>
      </c>
      <c r="D633" s="43" t="s">
        <v>2255</v>
      </c>
      <c r="E633" s="121"/>
      <c r="F633" s="121" t="s">
        <v>1618</v>
      </c>
      <c r="G633" s="121" t="s">
        <v>936</v>
      </c>
      <c r="H633" s="121">
        <f t="shared" si="1068"/>
        <v>0</v>
      </c>
      <c r="I633" s="121" t="s">
        <v>1235</v>
      </c>
      <c r="J633" s="121">
        <v>1</v>
      </c>
      <c r="K633" s="121" t="s">
        <v>1236</v>
      </c>
      <c r="L633" s="304"/>
      <c r="M633" s="121" t="s">
        <v>1370</v>
      </c>
      <c r="N633" s="121">
        <f t="shared" si="1069"/>
        <v>0</v>
      </c>
      <c r="O633" s="322"/>
      <c r="P633" s="322"/>
      <c r="Q633" s="322"/>
      <c r="R633" s="322"/>
      <c r="S633" s="322"/>
      <c r="T633" s="322"/>
      <c r="U633" s="322"/>
      <c r="V633" s="322"/>
      <c r="W633" s="322"/>
      <c r="X633" s="322"/>
      <c r="Y633" s="322"/>
      <c r="Z633" s="322"/>
      <c r="AA633" s="121"/>
      <c r="AB633" s="121">
        <f t="shared" si="1070"/>
        <v>0</v>
      </c>
      <c r="AC633" s="121">
        <f t="shared" si="1071"/>
        <v>0</v>
      </c>
      <c r="AD633" s="121"/>
      <c r="AE633" s="121"/>
      <c r="AF633" s="121">
        <f t="shared" si="1072"/>
        <v>0</v>
      </c>
      <c r="AG633" s="121"/>
      <c r="AH633" s="121"/>
      <c r="AI633" s="121">
        <f t="shared" si="1073"/>
        <v>0</v>
      </c>
      <c r="AJ633" s="121"/>
      <c r="AK633" s="121"/>
      <c r="AL633" s="121">
        <f t="shared" si="1074"/>
        <v>0</v>
      </c>
      <c r="AM633" s="121"/>
      <c r="AN633" s="121"/>
      <c r="AO633" s="121">
        <f t="shared" si="1075"/>
        <v>0</v>
      </c>
      <c r="AP633" s="121"/>
      <c r="AQ633" s="121"/>
      <c r="AR633" s="121">
        <f t="shared" si="1076"/>
        <v>0</v>
      </c>
      <c r="AS633" s="121"/>
      <c r="AT633" s="121"/>
      <c r="AU633" s="121">
        <f t="shared" si="1077"/>
        <v>0</v>
      </c>
      <c r="AV633" s="121"/>
      <c r="AW633" s="121"/>
      <c r="AX633" s="121">
        <f t="shared" si="1078"/>
        <v>0</v>
      </c>
      <c r="AY633" s="121"/>
      <c r="AZ633" s="121"/>
      <c r="BA633" s="121">
        <f t="shared" si="1079"/>
        <v>0</v>
      </c>
      <c r="BB633" s="121"/>
      <c r="BC633" s="121"/>
      <c r="BD633" s="121">
        <f t="shared" si="1080"/>
        <v>0</v>
      </c>
      <c r="BE633" s="121"/>
      <c r="BF633" s="121"/>
      <c r="BG633" s="121">
        <f t="shared" si="1081"/>
        <v>0</v>
      </c>
      <c r="BH633" s="121"/>
      <c r="BI633" s="121"/>
      <c r="BJ633" s="121">
        <f t="shared" si="1082"/>
        <v>0</v>
      </c>
      <c r="BK633" s="121"/>
      <c r="BL633" s="311"/>
      <c r="BM633" s="317"/>
      <c r="BN633" s="319"/>
    </row>
    <row r="634" s="14" customFormat="1" ht="33.95" hidden="1" customHeight="1" outlineLevel="2" spans="2:66">
      <c r="B634" s="118" t="s">
        <v>787</v>
      </c>
      <c r="C634" s="119" t="s">
        <v>2256</v>
      </c>
      <c r="D634" s="14" t="s">
        <v>2257</v>
      </c>
      <c r="E634" s="118"/>
      <c r="F634" s="118"/>
      <c r="G634" s="118"/>
      <c r="H634" s="118">
        <f>SUM(H635:H642)</f>
        <v>0</v>
      </c>
      <c r="I634" s="118"/>
      <c r="J634" s="118"/>
      <c r="K634" s="118"/>
      <c r="L634" s="118"/>
      <c r="M634" s="118"/>
      <c r="N634" s="310"/>
      <c r="O634" s="293"/>
      <c r="P634" s="293"/>
      <c r="Q634" s="293"/>
      <c r="R634" s="293"/>
      <c r="S634" s="293"/>
      <c r="T634" s="293"/>
      <c r="U634" s="293"/>
      <c r="V634" s="293"/>
      <c r="W634" s="293"/>
      <c r="X634" s="293"/>
      <c r="Y634" s="293"/>
      <c r="Z634" s="293"/>
      <c r="AA634" s="293"/>
      <c r="AB634" s="118">
        <f t="shared" ref="AB634:AF634" si="1084">SUM(AB635:AB642)</f>
        <v>0</v>
      </c>
      <c r="AC634" s="118">
        <f t="shared" si="1084"/>
        <v>0</v>
      </c>
      <c r="AD634" s="118"/>
      <c r="AE634" s="118"/>
      <c r="AF634" s="118">
        <f t="shared" si="1084"/>
        <v>0</v>
      </c>
      <c r="AG634" s="118"/>
      <c r="AH634" s="118"/>
      <c r="AI634" s="118">
        <f>SUM(AI635:AI642)</f>
        <v>0</v>
      </c>
      <c r="AJ634" s="118"/>
      <c r="AK634" s="118"/>
      <c r="AL634" s="118">
        <f>SUM(AL635:AL642)</f>
        <v>0</v>
      </c>
      <c r="AM634" s="118"/>
      <c r="AN634" s="118"/>
      <c r="AO634" s="118">
        <f>SUM(AO635:AO642)</f>
        <v>0</v>
      </c>
      <c r="AP634" s="118"/>
      <c r="AQ634" s="118"/>
      <c r="AR634" s="118">
        <f>SUM(AR635:AR642)</f>
        <v>0</v>
      </c>
      <c r="AS634" s="118"/>
      <c r="AT634" s="118"/>
      <c r="AU634" s="118">
        <f>SUM(AU635:AU642)</f>
        <v>0</v>
      </c>
      <c r="AV634" s="118"/>
      <c r="AW634" s="118"/>
      <c r="AX634" s="118">
        <f>SUM(AX635:AX642)</f>
        <v>0</v>
      </c>
      <c r="AY634" s="118"/>
      <c r="AZ634" s="118"/>
      <c r="BA634" s="118">
        <f>SUM(BA635:BA642)</f>
        <v>0</v>
      </c>
      <c r="BB634" s="118"/>
      <c r="BC634" s="118"/>
      <c r="BD634" s="118">
        <f>SUM(BD635:BD642)</f>
        <v>0</v>
      </c>
      <c r="BE634" s="118"/>
      <c r="BF634" s="118"/>
      <c r="BG634" s="118">
        <f>SUM(BG635:BG642)</f>
        <v>0</v>
      </c>
      <c r="BH634" s="118"/>
      <c r="BI634" s="118"/>
      <c r="BJ634" s="118">
        <f>SUM(BJ635:BJ642)</f>
        <v>0</v>
      </c>
      <c r="BK634" s="118"/>
      <c r="BL634" s="310"/>
      <c r="BM634" s="317"/>
      <c r="BN634" s="318"/>
    </row>
    <row r="635" s="43" customFormat="1" ht="33.95" hidden="1" customHeight="1" outlineLevel="3" spans="2:66">
      <c r="B635" s="121" t="s">
        <v>792</v>
      </c>
      <c r="C635" s="122" t="s">
        <v>2258</v>
      </c>
      <c r="D635" s="43" t="s">
        <v>2259</v>
      </c>
      <c r="E635" s="121"/>
      <c r="F635" s="121" t="s">
        <v>1618</v>
      </c>
      <c r="G635" s="121" t="s">
        <v>936</v>
      </c>
      <c r="H635" s="121">
        <f t="shared" ref="H635:H642" si="1085">J635*L635</f>
        <v>0</v>
      </c>
      <c r="I635" s="121" t="s">
        <v>1235</v>
      </c>
      <c r="J635" s="121">
        <v>1</v>
      </c>
      <c r="K635" s="121" t="s">
        <v>1236</v>
      </c>
      <c r="L635" s="304"/>
      <c r="M635" s="121" t="s">
        <v>1370</v>
      </c>
      <c r="N635" s="121">
        <f t="shared" ref="N635:N642" si="1086">COUNTA(O635:Z635)</f>
        <v>0</v>
      </c>
      <c r="O635" s="323"/>
      <c r="P635" s="323"/>
      <c r="Q635" s="323"/>
      <c r="R635" s="323"/>
      <c r="S635" s="323"/>
      <c r="T635" s="323"/>
      <c r="U635" s="323"/>
      <c r="V635" s="323"/>
      <c r="W635" s="323"/>
      <c r="X635" s="323"/>
      <c r="Y635" s="323"/>
      <c r="Z635" s="323"/>
      <c r="AA635" s="121"/>
      <c r="AB635" s="121">
        <f t="shared" ref="AB635:AB642" si="1087">SUM(AC635,AF635,AI635,AL635,AO635,AR635,AU635,AX635,BA635,BD635,BG635,BJ635)</f>
        <v>0</v>
      </c>
      <c r="AC635" s="121">
        <f t="shared" ref="AC635:AC642" si="1088">IF(O635="√",$J635*$L635/$N635,0)</f>
        <v>0</v>
      </c>
      <c r="AD635" s="121"/>
      <c r="AE635" s="121"/>
      <c r="AF635" s="121">
        <f t="shared" ref="AF635:AF642" si="1089">IF(P635="√",$J635*$L635/$N635,0)</f>
        <v>0</v>
      </c>
      <c r="AG635" s="121"/>
      <c r="AH635" s="121"/>
      <c r="AI635" s="121">
        <f t="shared" ref="AI635:AI642" si="1090">IF(Q635="√",$J635*$L635/$N635,0)</f>
        <v>0</v>
      </c>
      <c r="AJ635" s="121"/>
      <c r="AK635" s="121"/>
      <c r="AL635" s="121">
        <f t="shared" ref="AL635:AL642" si="1091">IF(R635="√",$J635*$L635/$N635,0)</f>
        <v>0</v>
      </c>
      <c r="AM635" s="121"/>
      <c r="AN635" s="121"/>
      <c r="AO635" s="121">
        <f t="shared" ref="AO635:AO642" si="1092">IF(S635="√",$J635*$L635/$N635,0)</f>
        <v>0</v>
      </c>
      <c r="AP635" s="121"/>
      <c r="AQ635" s="121"/>
      <c r="AR635" s="121">
        <f t="shared" ref="AR635:AR642" si="1093">IF(T635="√",$J635*$L635/$N635,0)</f>
        <v>0</v>
      </c>
      <c r="AS635" s="121"/>
      <c r="AT635" s="121"/>
      <c r="AU635" s="121">
        <f t="shared" ref="AU635:AU642" si="1094">IF(U635="√",$J635*$L635/$N635,0)</f>
        <v>0</v>
      </c>
      <c r="AV635" s="121"/>
      <c r="AW635" s="121"/>
      <c r="AX635" s="121">
        <f t="shared" ref="AX635:AX642" si="1095">IF(V635="√",$J635*$L635/$N635,0)</f>
        <v>0</v>
      </c>
      <c r="AY635" s="121"/>
      <c r="AZ635" s="121"/>
      <c r="BA635" s="121">
        <f t="shared" ref="BA635:BA642" si="1096">IF(W635="√",$J635*$L635/$N635,0)</f>
        <v>0</v>
      </c>
      <c r="BB635" s="121"/>
      <c r="BC635" s="121"/>
      <c r="BD635" s="121">
        <f t="shared" ref="BD635:BD642" si="1097">IF(X635="√",$J635*$L635/$N635,0)</f>
        <v>0</v>
      </c>
      <c r="BE635" s="121"/>
      <c r="BF635" s="121"/>
      <c r="BG635" s="121">
        <f t="shared" ref="BG635:BG642" si="1098">IF(Y635="√",$J635*$L635/$N635,0)</f>
        <v>0</v>
      </c>
      <c r="BH635" s="121"/>
      <c r="BI635" s="121"/>
      <c r="BJ635" s="121">
        <f t="shared" ref="BJ635:BJ642" si="1099">IF(Z635="√",$J635*$L635/$N635,0)</f>
        <v>0</v>
      </c>
      <c r="BK635" s="121"/>
      <c r="BL635" s="311"/>
      <c r="BM635" s="317"/>
      <c r="BN635" s="319"/>
    </row>
    <row r="636" s="43" customFormat="1" ht="33.95" hidden="1" customHeight="1" outlineLevel="3" spans="2:66">
      <c r="B636" s="121" t="s">
        <v>792</v>
      </c>
      <c r="C636" s="122" t="s">
        <v>2260</v>
      </c>
      <c r="D636" s="43" t="s">
        <v>2261</v>
      </c>
      <c r="E636" s="121"/>
      <c r="F636" s="121" t="s">
        <v>1618</v>
      </c>
      <c r="G636" s="121" t="s">
        <v>936</v>
      </c>
      <c r="H636" s="121">
        <f t="shared" si="1085"/>
        <v>0</v>
      </c>
      <c r="I636" s="121" t="s">
        <v>1235</v>
      </c>
      <c r="J636" s="121">
        <v>1</v>
      </c>
      <c r="K636" s="121" t="s">
        <v>1236</v>
      </c>
      <c r="L636" s="304"/>
      <c r="M636" s="121" t="s">
        <v>1370</v>
      </c>
      <c r="N636" s="121">
        <f t="shared" si="1086"/>
        <v>0</v>
      </c>
      <c r="O636" s="304"/>
      <c r="P636" s="304"/>
      <c r="Q636" s="304"/>
      <c r="R636" s="304"/>
      <c r="S636" s="304"/>
      <c r="T636" s="304"/>
      <c r="U636" s="304"/>
      <c r="V636" s="304"/>
      <c r="W636" s="304"/>
      <c r="X636" s="304"/>
      <c r="Y636" s="304"/>
      <c r="Z636" s="304"/>
      <c r="AA636" s="121"/>
      <c r="AB636" s="121">
        <f t="shared" si="1087"/>
        <v>0</v>
      </c>
      <c r="AC636" s="121">
        <f t="shared" si="1088"/>
        <v>0</v>
      </c>
      <c r="AD636" s="121"/>
      <c r="AE636" s="121"/>
      <c r="AF636" s="121">
        <f t="shared" si="1089"/>
        <v>0</v>
      </c>
      <c r="AG636" s="121"/>
      <c r="AH636" s="121"/>
      <c r="AI636" s="121">
        <f t="shared" si="1090"/>
        <v>0</v>
      </c>
      <c r="AJ636" s="121"/>
      <c r="AK636" s="121"/>
      <c r="AL636" s="121">
        <f t="shared" si="1091"/>
        <v>0</v>
      </c>
      <c r="AM636" s="121"/>
      <c r="AN636" s="121"/>
      <c r="AO636" s="121">
        <f t="shared" si="1092"/>
        <v>0</v>
      </c>
      <c r="AP636" s="121"/>
      <c r="AQ636" s="121"/>
      <c r="AR636" s="121">
        <f t="shared" si="1093"/>
        <v>0</v>
      </c>
      <c r="AS636" s="121"/>
      <c r="AT636" s="121"/>
      <c r="AU636" s="121">
        <f t="shared" si="1094"/>
        <v>0</v>
      </c>
      <c r="AV636" s="121"/>
      <c r="AW636" s="121"/>
      <c r="AX636" s="121">
        <f t="shared" si="1095"/>
        <v>0</v>
      </c>
      <c r="AY636" s="121"/>
      <c r="AZ636" s="121"/>
      <c r="BA636" s="121">
        <f t="shared" si="1096"/>
        <v>0</v>
      </c>
      <c r="BB636" s="121"/>
      <c r="BC636" s="121"/>
      <c r="BD636" s="121">
        <f t="shared" si="1097"/>
        <v>0</v>
      </c>
      <c r="BE636" s="121"/>
      <c r="BF636" s="121"/>
      <c r="BG636" s="121">
        <f t="shared" si="1098"/>
        <v>0</v>
      </c>
      <c r="BH636" s="121"/>
      <c r="BI636" s="121"/>
      <c r="BJ636" s="121">
        <f t="shared" si="1099"/>
        <v>0</v>
      </c>
      <c r="BK636" s="121"/>
      <c r="BL636" s="311"/>
      <c r="BM636" s="317"/>
      <c r="BN636" s="319"/>
    </row>
    <row r="637" s="43" customFormat="1" ht="33.95" hidden="1" customHeight="1" outlineLevel="3" spans="2:66">
      <c r="B637" s="121" t="s">
        <v>792</v>
      </c>
      <c r="C637" s="122" t="s">
        <v>2262</v>
      </c>
      <c r="D637" s="43" t="s">
        <v>2263</v>
      </c>
      <c r="E637" s="121"/>
      <c r="F637" s="121" t="s">
        <v>1618</v>
      </c>
      <c r="G637" s="121" t="s">
        <v>936</v>
      </c>
      <c r="H637" s="121">
        <f t="shared" si="1085"/>
        <v>0</v>
      </c>
      <c r="I637" s="121" t="s">
        <v>1235</v>
      </c>
      <c r="J637" s="121">
        <v>1</v>
      </c>
      <c r="K637" s="121" t="s">
        <v>1236</v>
      </c>
      <c r="L637" s="304"/>
      <c r="M637" s="121" t="s">
        <v>1370</v>
      </c>
      <c r="N637" s="121">
        <f t="shared" si="1086"/>
        <v>0</v>
      </c>
      <c r="O637" s="304"/>
      <c r="P637" s="304"/>
      <c r="Q637" s="304"/>
      <c r="R637" s="304"/>
      <c r="S637" s="304"/>
      <c r="T637" s="304"/>
      <c r="U637" s="304"/>
      <c r="V637" s="304"/>
      <c r="W637" s="304"/>
      <c r="X637" s="304"/>
      <c r="Y637" s="304"/>
      <c r="Z637" s="304"/>
      <c r="AA637" s="121"/>
      <c r="AB637" s="121">
        <f t="shared" si="1087"/>
        <v>0</v>
      </c>
      <c r="AC637" s="121">
        <f t="shared" si="1088"/>
        <v>0</v>
      </c>
      <c r="AD637" s="121"/>
      <c r="AE637" s="121"/>
      <c r="AF637" s="121">
        <f t="shared" si="1089"/>
        <v>0</v>
      </c>
      <c r="AG637" s="121"/>
      <c r="AH637" s="121"/>
      <c r="AI637" s="121">
        <f t="shared" si="1090"/>
        <v>0</v>
      </c>
      <c r="AJ637" s="121"/>
      <c r="AK637" s="121"/>
      <c r="AL637" s="121">
        <f t="shared" si="1091"/>
        <v>0</v>
      </c>
      <c r="AM637" s="121"/>
      <c r="AN637" s="121"/>
      <c r="AO637" s="121">
        <f t="shared" si="1092"/>
        <v>0</v>
      </c>
      <c r="AP637" s="121"/>
      <c r="AQ637" s="121"/>
      <c r="AR637" s="121">
        <f t="shared" si="1093"/>
        <v>0</v>
      </c>
      <c r="AS637" s="121"/>
      <c r="AT637" s="121"/>
      <c r="AU637" s="121">
        <f t="shared" si="1094"/>
        <v>0</v>
      </c>
      <c r="AV637" s="121"/>
      <c r="AW637" s="121"/>
      <c r="AX637" s="121">
        <f t="shared" si="1095"/>
        <v>0</v>
      </c>
      <c r="AY637" s="121"/>
      <c r="AZ637" s="121"/>
      <c r="BA637" s="121">
        <f t="shared" si="1096"/>
        <v>0</v>
      </c>
      <c r="BB637" s="121"/>
      <c r="BC637" s="121"/>
      <c r="BD637" s="121">
        <f t="shared" si="1097"/>
        <v>0</v>
      </c>
      <c r="BE637" s="121"/>
      <c r="BF637" s="121"/>
      <c r="BG637" s="121">
        <f t="shared" si="1098"/>
        <v>0</v>
      </c>
      <c r="BH637" s="121"/>
      <c r="BI637" s="121"/>
      <c r="BJ637" s="121">
        <f t="shared" si="1099"/>
        <v>0</v>
      </c>
      <c r="BK637" s="121"/>
      <c r="BL637" s="311"/>
      <c r="BM637" s="317"/>
      <c r="BN637" s="319"/>
    </row>
    <row r="638" s="43" customFormat="1" ht="33.95" hidden="1" customHeight="1" outlineLevel="3" spans="2:66">
      <c r="B638" s="121" t="s">
        <v>792</v>
      </c>
      <c r="C638" s="122" t="s">
        <v>2264</v>
      </c>
      <c r="D638" s="43" t="s">
        <v>2265</v>
      </c>
      <c r="E638" s="121"/>
      <c r="F638" s="121" t="s">
        <v>1618</v>
      </c>
      <c r="G638" s="121" t="s">
        <v>936</v>
      </c>
      <c r="H638" s="121">
        <f t="shared" si="1085"/>
        <v>0</v>
      </c>
      <c r="I638" s="121" t="s">
        <v>1235</v>
      </c>
      <c r="J638" s="121">
        <v>1</v>
      </c>
      <c r="K638" s="121" t="s">
        <v>1236</v>
      </c>
      <c r="L638" s="304"/>
      <c r="M638" s="121" t="s">
        <v>1370</v>
      </c>
      <c r="N638" s="121">
        <f t="shared" si="1086"/>
        <v>0</v>
      </c>
      <c r="O638" s="304"/>
      <c r="P638" s="304"/>
      <c r="Q638" s="304"/>
      <c r="R638" s="304"/>
      <c r="S638" s="304"/>
      <c r="T638" s="304"/>
      <c r="U638" s="304"/>
      <c r="V638" s="304"/>
      <c r="W638" s="304"/>
      <c r="X638" s="304"/>
      <c r="Y638" s="304"/>
      <c r="Z638" s="304"/>
      <c r="AA638" s="121"/>
      <c r="AB638" s="121">
        <f t="shared" si="1087"/>
        <v>0</v>
      </c>
      <c r="AC638" s="121">
        <f t="shared" si="1088"/>
        <v>0</v>
      </c>
      <c r="AD638" s="121"/>
      <c r="AE638" s="121"/>
      <c r="AF638" s="121">
        <f t="shared" si="1089"/>
        <v>0</v>
      </c>
      <c r="AG638" s="121"/>
      <c r="AH638" s="121"/>
      <c r="AI638" s="121">
        <f t="shared" si="1090"/>
        <v>0</v>
      </c>
      <c r="AJ638" s="121"/>
      <c r="AK638" s="121"/>
      <c r="AL638" s="121">
        <f t="shared" si="1091"/>
        <v>0</v>
      </c>
      <c r="AM638" s="121"/>
      <c r="AN638" s="121"/>
      <c r="AO638" s="121">
        <f t="shared" si="1092"/>
        <v>0</v>
      </c>
      <c r="AP638" s="121"/>
      <c r="AQ638" s="121"/>
      <c r="AR638" s="121">
        <f t="shared" si="1093"/>
        <v>0</v>
      </c>
      <c r="AS638" s="121"/>
      <c r="AT638" s="121"/>
      <c r="AU638" s="121">
        <f t="shared" si="1094"/>
        <v>0</v>
      </c>
      <c r="AV638" s="121"/>
      <c r="AW638" s="121"/>
      <c r="AX638" s="121">
        <f t="shared" si="1095"/>
        <v>0</v>
      </c>
      <c r="AY638" s="121"/>
      <c r="AZ638" s="121"/>
      <c r="BA638" s="121">
        <f t="shared" si="1096"/>
        <v>0</v>
      </c>
      <c r="BB638" s="121"/>
      <c r="BC638" s="121"/>
      <c r="BD638" s="121">
        <f t="shared" si="1097"/>
        <v>0</v>
      </c>
      <c r="BE638" s="121"/>
      <c r="BF638" s="121"/>
      <c r="BG638" s="121">
        <f t="shared" si="1098"/>
        <v>0</v>
      </c>
      <c r="BH638" s="121"/>
      <c r="BI638" s="121"/>
      <c r="BJ638" s="121">
        <f t="shared" si="1099"/>
        <v>0</v>
      </c>
      <c r="BK638" s="121"/>
      <c r="BL638" s="311"/>
      <c r="BM638" s="317"/>
      <c r="BN638" s="319"/>
    </row>
    <row r="639" s="43" customFormat="1" ht="33.95" hidden="1" customHeight="1" outlineLevel="3" spans="2:66">
      <c r="B639" s="121" t="s">
        <v>792</v>
      </c>
      <c r="C639" s="122" t="s">
        <v>2266</v>
      </c>
      <c r="D639" s="43" t="s">
        <v>2267</v>
      </c>
      <c r="E639" s="121"/>
      <c r="F639" s="121" t="s">
        <v>1618</v>
      </c>
      <c r="G639" s="121" t="s">
        <v>936</v>
      </c>
      <c r="H639" s="121">
        <f t="shared" si="1085"/>
        <v>0</v>
      </c>
      <c r="I639" s="121" t="s">
        <v>1235</v>
      </c>
      <c r="J639" s="121">
        <v>1</v>
      </c>
      <c r="K639" s="121" t="s">
        <v>1236</v>
      </c>
      <c r="L639" s="304"/>
      <c r="M639" s="121" t="s">
        <v>1370</v>
      </c>
      <c r="N639" s="121">
        <f t="shared" si="1086"/>
        <v>0</v>
      </c>
      <c r="O639" s="304"/>
      <c r="P639" s="304"/>
      <c r="Q639" s="304"/>
      <c r="R639" s="304"/>
      <c r="S639" s="304"/>
      <c r="T639" s="304"/>
      <c r="U639" s="304"/>
      <c r="V639" s="304"/>
      <c r="W639" s="304"/>
      <c r="X639" s="304"/>
      <c r="Y639" s="304"/>
      <c r="Z639" s="304"/>
      <c r="AA639" s="121"/>
      <c r="AB639" s="121">
        <f t="shared" si="1087"/>
        <v>0</v>
      </c>
      <c r="AC639" s="121">
        <f t="shared" si="1088"/>
        <v>0</v>
      </c>
      <c r="AD639" s="121"/>
      <c r="AE639" s="121"/>
      <c r="AF639" s="121">
        <f t="shared" si="1089"/>
        <v>0</v>
      </c>
      <c r="AG639" s="121"/>
      <c r="AH639" s="121"/>
      <c r="AI639" s="121">
        <f t="shared" si="1090"/>
        <v>0</v>
      </c>
      <c r="AJ639" s="121"/>
      <c r="AK639" s="121"/>
      <c r="AL639" s="121">
        <f t="shared" si="1091"/>
        <v>0</v>
      </c>
      <c r="AM639" s="121"/>
      <c r="AN639" s="121"/>
      <c r="AO639" s="121">
        <f t="shared" si="1092"/>
        <v>0</v>
      </c>
      <c r="AP639" s="121"/>
      <c r="AQ639" s="121"/>
      <c r="AR639" s="121">
        <f t="shared" si="1093"/>
        <v>0</v>
      </c>
      <c r="AS639" s="121"/>
      <c r="AT639" s="121"/>
      <c r="AU639" s="121">
        <f t="shared" si="1094"/>
        <v>0</v>
      </c>
      <c r="AV639" s="121"/>
      <c r="AW639" s="121"/>
      <c r="AX639" s="121">
        <f t="shared" si="1095"/>
        <v>0</v>
      </c>
      <c r="AY639" s="121"/>
      <c r="AZ639" s="121"/>
      <c r="BA639" s="121">
        <f t="shared" si="1096"/>
        <v>0</v>
      </c>
      <c r="BB639" s="121"/>
      <c r="BC639" s="121"/>
      <c r="BD639" s="121">
        <f t="shared" si="1097"/>
        <v>0</v>
      </c>
      <c r="BE639" s="121"/>
      <c r="BF639" s="121"/>
      <c r="BG639" s="121">
        <f t="shared" si="1098"/>
        <v>0</v>
      </c>
      <c r="BH639" s="121"/>
      <c r="BI639" s="121"/>
      <c r="BJ639" s="121">
        <f t="shared" si="1099"/>
        <v>0</v>
      </c>
      <c r="BK639" s="121"/>
      <c r="BL639" s="311"/>
      <c r="BM639" s="317"/>
      <c r="BN639" s="319"/>
    </row>
    <row r="640" s="43" customFormat="1" ht="33.95" hidden="1" customHeight="1" outlineLevel="3" spans="2:66">
      <c r="B640" s="121" t="s">
        <v>792</v>
      </c>
      <c r="C640" s="122" t="s">
        <v>2268</v>
      </c>
      <c r="D640" s="43" t="s">
        <v>2269</v>
      </c>
      <c r="E640" s="121"/>
      <c r="F640" s="121" t="s">
        <v>1618</v>
      </c>
      <c r="G640" s="121" t="s">
        <v>936</v>
      </c>
      <c r="H640" s="121">
        <f t="shared" si="1085"/>
        <v>0</v>
      </c>
      <c r="I640" s="121" t="s">
        <v>1235</v>
      </c>
      <c r="J640" s="121">
        <v>1</v>
      </c>
      <c r="K640" s="121" t="s">
        <v>1236</v>
      </c>
      <c r="L640" s="304"/>
      <c r="M640" s="121" t="s">
        <v>1370</v>
      </c>
      <c r="N640" s="121">
        <f t="shared" si="1086"/>
        <v>0</v>
      </c>
      <c r="O640" s="304"/>
      <c r="P640" s="304"/>
      <c r="Q640" s="304"/>
      <c r="R640" s="304"/>
      <c r="S640" s="304"/>
      <c r="T640" s="304"/>
      <c r="U640" s="304"/>
      <c r="V640" s="304"/>
      <c r="W640" s="304"/>
      <c r="X640" s="304"/>
      <c r="Y640" s="304"/>
      <c r="Z640" s="304"/>
      <c r="AA640" s="121"/>
      <c r="AB640" s="121">
        <f t="shared" si="1087"/>
        <v>0</v>
      </c>
      <c r="AC640" s="121">
        <f t="shared" si="1088"/>
        <v>0</v>
      </c>
      <c r="AD640" s="121"/>
      <c r="AE640" s="121"/>
      <c r="AF640" s="121">
        <f t="shared" si="1089"/>
        <v>0</v>
      </c>
      <c r="AG640" s="121"/>
      <c r="AH640" s="121"/>
      <c r="AI640" s="121">
        <f t="shared" si="1090"/>
        <v>0</v>
      </c>
      <c r="AJ640" s="121"/>
      <c r="AK640" s="121"/>
      <c r="AL640" s="121">
        <f t="shared" si="1091"/>
        <v>0</v>
      </c>
      <c r="AM640" s="121"/>
      <c r="AN640" s="121"/>
      <c r="AO640" s="121">
        <f t="shared" si="1092"/>
        <v>0</v>
      </c>
      <c r="AP640" s="121"/>
      <c r="AQ640" s="121"/>
      <c r="AR640" s="121">
        <f t="shared" si="1093"/>
        <v>0</v>
      </c>
      <c r="AS640" s="121"/>
      <c r="AT640" s="121"/>
      <c r="AU640" s="121">
        <f t="shared" si="1094"/>
        <v>0</v>
      </c>
      <c r="AV640" s="121"/>
      <c r="AW640" s="121"/>
      <c r="AX640" s="121">
        <f t="shared" si="1095"/>
        <v>0</v>
      </c>
      <c r="AY640" s="121"/>
      <c r="AZ640" s="121"/>
      <c r="BA640" s="121">
        <f t="shared" si="1096"/>
        <v>0</v>
      </c>
      <c r="BB640" s="121"/>
      <c r="BC640" s="121"/>
      <c r="BD640" s="121">
        <f t="shared" si="1097"/>
        <v>0</v>
      </c>
      <c r="BE640" s="121"/>
      <c r="BF640" s="121"/>
      <c r="BG640" s="121">
        <f t="shared" si="1098"/>
        <v>0</v>
      </c>
      <c r="BH640" s="121"/>
      <c r="BI640" s="121"/>
      <c r="BJ640" s="121">
        <f t="shared" si="1099"/>
        <v>0</v>
      </c>
      <c r="BK640" s="121"/>
      <c r="BL640" s="311"/>
      <c r="BM640" s="317"/>
      <c r="BN640" s="319"/>
    </row>
    <row r="641" s="43" customFormat="1" ht="33.95" hidden="1" customHeight="1" outlineLevel="3" spans="2:66">
      <c r="B641" s="121" t="s">
        <v>792</v>
      </c>
      <c r="C641" s="122" t="s">
        <v>2270</v>
      </c>
      <c r="D641" s="43" t="s">
        <v>2271</v>
      </c>
      <c r="E641" s="121"/>
      <c r="F641" s="121" t="s">
        <v>1618</v>
      </c>
      <c r="G641" s="121" t="s">
        <v>936</v>
      </c>
      <c r="H641" s="121">
        <f t="shared" si="1085"/>
        <v>0</v>
      </c>
      <c r="I641" s="121" t="s">
        <v>1235</v>
      </c>
      <c r="J641" s="121">
        <v>1</v>
      </c>
      <c r="K641" s="121" t="s">
        <v>1236</v>
      </c>
      <c r="L641" s="304"/>
      <c r="M641" s="121" t="s">
        <v>1370</v>
      </c>
      <c r="N641" s="121">
        <f t="shared" si="1086"/>
        <v>0</v>
      </c>
      <c r="O641" s="304"/>
      <c r="P641" s="304"/>
      <c r="Q641" s="304"/>
      <c r="R641" s="304"/>
      <c r="S641" s="304"/>
      <c r="T641" s="304"/>
      <c r="U641" s="304"/>
      <c r="V641" s="304"/>
      <c r="W641" s="304"/>
      <c r="X641" s="304"/>
      <c r="Y641" s="304"/>
      <c r="Z641" s="304"/>
      <c r="AA641" s="121"/>
      <c r="AB641" s="121">
        <f t="shared" si="1087"/>
        <v>0</v>
      </c>
      <c r="AC641" s="121">
        <f t="shared" si="1088"/>
        <v>0</v>
      </c>
      <c r="AD641" s="121"/>
      <c r="AE641" s="121"/>
      <c r="AF641" s="121">
        <f t="shared" si="1089"/>
        <v>0</v>
      </c>
      <c r="AG641" s="121"/>
      <c r="AH641" s="121"/>
      <c r="AI641" s="121">
        <f t="shared" si="1090"/>
        <v>0</v>
      </c>
      <c r="AJ641" s="121"/>
      <c r="AK641" s="121"/>
      <c r="AL641" s="121">
        <f t="shared" si="1091"/>
        <v>0</v>
      </c>
      <c r="AM641" s="121"/>
      <c r="AN641" s="121"/>
      <c r="AO641" s="121">
        <f t="shared" si="1092"/>
        <v>0</v>
      </c>
      <c r="AP641" s="121"/>
      <c r="AQ641" s="121"/>
      <c r="AR641" s="121">
        <f t="shared" si="1093"/>
        <v>0</v>
      </c>
      <c r="AS641" s="121"/>
      <c r="AT641" s="121"/>
      <c r="AU641" s="121">
        <f t="shared" si="1094"/>
        <v>0</v>
      </c>
      <c r="AV641" s="121"/>
      <c r="AW641" s="121"/>
      <c r="AX641" s="121">
        <f t="shared" si="1095"/>
        <v>0</v>
      </c>
      <c r="AY641" s="121"/>
      <c r="AZ641" s="121"/>
      <c r="BA641" s="121">
        <f t="shared" si="1096"/>
        <v>0</v>
      </c>
      <c r="BB641" s="121"/>
      <c r="BC641" s="121"/>
      <c r="BD641" s="121">
        <f t="shared" si="1097"/>
        <v>0</v>
      </c>
      <c r="BE641" s="121"/>
      <c r="BF641" s="121"/>
      <c r="BG641" s="121">
        <f t="shared" si="1098"/>
        <v>0</v>
      </c>
      <c r="BH641" s="121"/>
      <c r="BI641" s="121"/>
      <c r="BJ641" s="121">
        <f t="shared" si="1099"/>
        <v>0</v>
      </c>
      <c r="BK641" s="121"/>
      <c r="BL641" s="311"/>
      <c r="BM641" s="317"/>
      <c r="BN641" s="319"/>
    </row>
    <row r="642" s="43" customFormat="1" ht="33.95" hidden="1" customHeight="1" outlineLevel="3" spans="2:66">
      <c r="B642" s="121" t="s">
        <v>792</v>
      </c>
      <c r="C642" s="122" t="s">
        <v>2272</v>
      </c>
      <c r="D642" s="43" t="s">
        <v>2273</v>
      </c>
      <c r="E642" s="121"/>
      <c r="F642" s="121" t="s">
        <v>1618</v>
      </c>
      <c r="G642" s="121" t="s">
        <v>936</v>
      </c>
      <c r="H642" s="121">
        <f t="shared" si="1085"/>
        <v>0</v>
      </c>
      <c r="I642" s="121" t="s">
        <v>1235</v>
      </c>
      <c r="J642" s="121">
        <v>1</v>
      </c>
      <c r="K642" s="121" t="s">
        <v>1236</v>
      </c>
      <c r="L642" s="304"/>
      <c r="M642" s="121" t="s">
        <v>1370</v>
      </c>
      <c r="N642" s="121">
        <f t="shared" si="1086"/>
        <v>0</v>
      </c>
      <c r="O642" s="322"/>
      <c r="P642" s="322"/>
      <c r="Q642" s="322"/>
      <c r="R642" s="322"/>
      <c r="S642" s="322"/>
      <c r="T642" s="322"/>
      <c r="U642" s="322"/>
      <c r="V642" s="322"/>
      <c r="W642" s="322"/>
      <c r="X642" s="322"/>
      <c r="Y642" s="322"/>
      <c r="Z642" s="322"/>
      <c r="AA642" s="121"/>
      <c r="AB642" s="121">
        <f t="shared" si="1087"/>
        <v>0</v>
      </c>
      <c r="AC642" s="121">
        <f t="shared" si="1088"/>
        <v>0</v>
      </c>
      <c r="AD642" s="121"/>
      <c r="AE642" s="121"/>
      <c r="AF642" s="121">
        <f t="shared" si="1089"/>
        <v>0</v>
      </c>
      <c r="AG642" s="121"/>
      <c r="AH642" s="121"/>
      <c r="AI642" s="121">
        <f t="shared" si="1090"/>
        <v>0</v>
      </c>
      <c r="AJ642" s="121"/>
      <c r="AK642" s="121"/>
      <c r="AL642" s="121">
        <f t="shared" si="1091"/>
        <v>0</v>
      </c>
      <c r="AM642" s="121"/>
      <c r="AN642" s="121"/>
      <c r="AO642" s="121">
        <f t="shared" si="1092"/>
        <v>0</v>
      </c>
      <c r="AP642" s="121"/>
      <c r="AQ642" s="121"/>
      <c r="AR642" s="121">
        <f t="shared" si="1093"/>
        <v>0</v>
      </c>
      <c r="AS642" s="121"/>
      <c r="AT642" s="121"/>
      <c r="AU642" s="121">
        <f t="shared" si="1094"/>
        <v>0</v>
      </c>
      <c r="AV642" s="121"/>
      <c r="AW642" s="121"/>
      <c r="AX642" s="121">
        <f t="shared" si="1095"/>
        <v>0</v>
      </c>
      <c r="AY642" s="121"/>
      <c r="AZ642" s="121"/>
      <c r="BA642" s="121">
        <f t="shared" si="1096"/>
        <v>0</v>
      </c>
      <c r="BB642" s="121"/>
      <c r="BC642" s="121"/>
      <c r="BD642" s="121">
        <f t="shared" si="1097"/>
        <v>0</v>
      </c>
      <c r="BE642" s="121"/>
      <c r="BF642" s="121"/>
      <c r="BG642" s="121">
        <f t="shared" si="1098"/>
        <v>0</v>
      </c>
      <c r="BH642" s="121"/>
      <c r="BI642" s="121"/>
      <c r="BJ642" s="121">
        <f t="shared" si="1099"/>
        <v>0</v>
      </c>
      <c r="BK642" s="121"/>
      <c r="BL642" s="311"/>
      <c r="BM642" s="317"/>
      <c r="BN642" s="319"/>
    </row>
    <row r="643" s="14" customFormat="1" ht="33.95" hidden="1" customHeight="1" outlineLevel="2" spans="2:66">
      <c r="B643" s="118" t="s">
        <v>787</v>
      </c>
      <c r="C643" s="119" t="s">
        <v>2274</v>
      </c>
      <c r="D643" s="14" t="s">
        <v>2275</v>
      </c>
      <c r="E643" s="118"/>
      <c r="F643" s="118"/>
      <c r="G643" s="118"/>
      <c r="H643" s="118">
        <f>SUM(H644:H645)</f>
        <v>0</v>
      </c>
      <c r="I643" s="118"/>
      <c r="J643" s="118"/>
      <c r="K643" s="118"/>
      <c r="L643" s="118"/>
      <c r="M643" s="118"/>
      <c r="N643" s="310"/>
      <c r="O643" s="293"/>
      <c r="P643" s="293"/>
      <c r="Q643" s="293"/>
      <c r="R643" s="293"/>
      <c r="S643" s="293"/>
      <c r="T643" s="293"/>
      <c r="U643" s="293"/>
      <c r="V643" s="293"/>
      <c r="W643" s="293"/>
      <c r="X643" s="293"/>
      <c r="Y643" s="293"/>
      <c r="Z643" s="293"/>
      <c r="AA643" s="293"/>
      <c r="AB643" s="118">
        <f t="shared" ref="AB643:AF643" si="1100">SUM(AB644:AB645)</f>
        <v>0</v>
      </c>
      <c r="AC643" s="118">
        <f t="shared" si="1100"/>
        <v>0</v>
      </c>
      <c r="AD643" s="118"/>
      <c r="AE643" s="118"/>
      <c r="AF643" s="118">
        <f t="shared" si="1100"/>
        <v>0</v>
      </c>
      <c r="AG643" s="118"/>
      <c r="AH643" s="118"/>
      <c r="AI643" s="118">
        <f>SUM(AI644:AI645)</f>
        <v>0</v>
      </c>
      <c r="AJ643" s="118"/>
      <c r="AK643" s="118"/>
      <c r="AL643" s="118">
        <f>SUM(AL644:AL645)</f>
        <v>0</v>
      </c>
      <c r="AM643" s="118"/>
      <c r="AN643" s="118"/>
      <c r="AO643" s="118">
        <f>SUM(AO644:AO645)</f>
        <v>0</v>
      </c>
      <c r="AP643" s="118"/>
      <c r="AQ643" s="118"/>
      <c r="AR643" s="118">
        <f>SUM(AR644:AR645)</f>
        <v>0</v>
      </c>
      <c r="AS643" s="118"/>
      <c r="AT643" s="118"/>
      <c r="AU643" s="118">
        <f>SUM(AU644:AU645)</f>
        <v>0</v>
      </c>
      <c r="AV643" s="118"/>
      <c r="AW643" s="118"/>
      <c r="AX643" s="118">
        <f>SUM(AX644:AX645)</f>
        <v>0</v>
      </c>
      <c r="AY643" s="118"/>
      <c r="AZ643" s="118"/>
      <c r="BA643" s="118">
        <f>SUM(BA644:BA645)</f>
        <v>0</v>
      </c>
      <c r="BB643" s="118"/>
      <c r="BC643" s="118"/>
      <c r="BD643" s="118">
        <f>SUM(BD644:BD645)</f>
        <v>0</v>
      </c>
      <c r="BE643" s="118"/>
      <c r="BF643" s="118"/>
      <c r="BG643" s="118">
        <f>SUM(BG644:BG645)</f>
        <v>0</v>
      </c>
      <c r="BH643" s="118"/>
      <c r="BI643" s="118"/>
      <c r="BJ643" s="118">
        <f>SUM(BJ644:BJ645)</f>
        <v>0</v>
      </c>
      <c r="BK643" s="118"/>
      <c r="BL643" s="310"/>
      <c r="BM643" s="317"/>
      <c r="BN643" s="318"/>
    </row>
    <row r="644" s="43" customFormat="1" ht="33.95" hidden="1" customHeight="1" outlineLevel="3" spans="2:66">
      <c r="B644" s="121" t="s">
        <v>792</v>
      </c>
      <c r="C644" s="122" t="s">
        <v>2276</v>
      </c>
      <c r="D644" s="43" t="s">
        <v>2277</v>
      </c>
      <c r="E644" s="121"/>
      <c r="F644" s="121" t="s">
        <v>1618</v>
      </c>
      <c r="G644" s="121" t="s">
        <v>936</v>
      </c>
      <c r="H644" s="121">
        <f t="shared" ref="H644:H650" si="1101">J644*L644</f>
        <v>0</v>
      </c>
      <c r="I644" s="121" t="s">
        <v>1235</v>
      </c>
      <c r="J644" s="121">
        <v>1</v>
      </c>
      <c r="K644" s="121" t="s">
        <v>1236</v>
      </c>
      <c r="L644" s="304"/>
      <c r="M644" s="121" t="s">
        <v>1370</v>
      </c>
      <c r="N644" s="121">
        <f t="shared" ref="N644:N650" si="1102">COUNTA(O644:Z644)</f>
        <v>0</v>
      </c>
      <c r="O644" s="323"/>
      <c r="P644" s="323"/>
      <c r="Q644" s="323"/>
      <c r="R644" s="323"/>
      <c r="S644" s="323"/>
      <c r="T644" s="323"/>
      <c r="U644" s="323"/>
      <c r="V644" s="323"/>
      <c r="W644" s="323"/>
      <c r="X644" s="323"/>
      <c r="Y644" s="323"/>
      <c r="Z644" s="323"/>
      <c r="AA644" s="121"/>
      <c r="AB644" s="121">
        <f t="shared" ref="AB644:AB651" si="1103">SUM(AC644,AF644,AI644,AL644,AO644,AR644,AU644,AX644,BA644,BD644,BG644,BJ644)</f>
        <v>0</v>
      </c>
      <c r="AC644" s="121">
        <f t="shared" ref="AC644:AC650" si="1104">IF(O644="√",$J644*$L644/$N644,0)</f>
        <v>0</v>
      </c>
      <c r="AD644" s="121"/>
      <c r="AE644" s="121"/>
      <c r="AF644" s="121">
        <f t="shared" ref="AF644:AF650" si="1105">IF(P644="√",$J644*$L644/$N644,0)</f>
        <v>0</v>
      </c>
      <c r="AG644" s="121"/>
      <c r="AH644" s="121"/>
      <c r="AI644" s="121">
        <f t="shared" ref="AI644:AI650" si="1106">IF(Q644="√",$J644*$L644/$N644,0)</f>
        <v>0</v>
      </c>
      <c r="AJ644" s="121"/>
      <c r="AK644" s="121"/>
      <c r="AL644" s="121">
        <f t="shared" ref="AL644:AL650" si="1107">IF(R644="√",$J644*$L644/$N644,0)</f>
        <v>0</v>
      </c>
      <c r="AM644" s="121"/>
      <c r="AN644" s="121"/>
      <c r="AO644" s="121">
        <f t="shared" ref="AO644:AO650" si="1108">IF(S644="√",$J644*$L644/$N644,0)</f>
        <v>0</v>
      </c>
      <c r="AP644" s="121"/>
      <c r="AQ644" s="121"/>
      <c r="AR644" s="121">
        <f t="shared" ref="AR644:AR650" si="1109">IF(T644="√",$J644*$L644/$N644,0)</f>
        <v>0</v>
      </c>
      <c r="AS644" s="121"/>
      <c r="AT644" s="121"/>
      <c r="AU644" s="121">
        <f t="shared" ref="AU644:AU650" si="1110">IF(U644="√",$J644*$L644/$N644,0)</f>
        <v>0</v>
      </c>
      <c r="AV644" s="121"/>
      <c r="AW644" s="121"/>
      <c r="AX644" s="121">
        <f t="shared" ref="AX644:AX650" si="1111">IF(V644="√",$J644*$L644/$N644,0)</f>
        <v>0</v>
      </c>
      <c r="AY644" s="121"/>
      <c r="AZ644" s="121"/>
      <c r="BA644" s="121">
        <f t="shared" ref="BA644:BA650" si="1112">IF(W644="√",$J644*$L644/$N644,0)</f>
        <v>0</v>
      </c>
      <c r="BB644" s="121"/>
      <c r="BC644" s="121"/>
      <c r="BD644" s="121">
        <f t="shared" ref="BD644:BD650" si="1113">IF(X644="√",$J644*$L644/$N644,0)</f>
        <v>0</v>
      </c>
      <c r="BE644" s="121"/>
      <c r="BF644" s="121"/>
      <c r="BG644" s="121">
        <f t="shared" ref="BG644:BG650" si="1114">IF(Y644="√",$J644*$L644/$N644,0)</f>
        <v>0</v>
      </c>
      <c r="BH644" s="121"/>
      <c r="BI644" s="121"/>
      <c r="BJ644" s="121">
        <f t="shared" ref="BJ644:BJ650" si="1115">IF(Z644="√",$J644*$L644/$N644,0)</f>
        <v>0</v>
      </c>
      <c r="BK644" s="121"/>
      <c r="BL644" s="311"/>
      <c r="BM644" s="317"/>
      <c r="BN644" s="319"/>
    </row>
    <row r="645" s="43" customFormat="1" ht="33.95" hidden="1" customHeight="1" outlineLevel="3" spans="2:66">
      <c r="B645" s="121" t="s">
        <v>792</v>
      </c>
      <c r="C645" s="122" t="s">
        <v>2278</v>
      </c>
      <c r="D645" s="43" t="s">
        <v>2279</v>
      </c>
      <c r="E645" s="121"/>
      <c r="F645" s="121" t="s">
        <v>1618</v>
      </c>
      <c r="G645" s="121" t="s">
        <v>936</v>
      </c>
      <c r="H645" s="121">
        <f t="shared" si="1101"/>
        <v>0</v>
      </c>
      <c r="I645" s="121" t="s">
        <v>1235</v>
      </c>
      <c r="J645" s="121">
        <v>1</v>
      </c>
      <c r="K645" s="121" t="s">
        <v>1236</v>
      </c>
      <c r="L645" s="304"/>
      <c r="M645" s="121" t="s">
        <v>1370</v>
      </c>
      <c r="N645" s="121">
        <f t="shared" si="1102"/>
        <v>0</v>
      </c>
      <c r="O645" s="322"/>
      <c r="P645" s="322"/>
      <c r="Q645" s="322"/>
      <c r="R645" s="322"/>
      <c r="S645" s="322"/>
      <c r="T645" s="322"/>
      <c r="U645" s="322"/>
      <c r="V645" s="322"/>
      <c r="W645" s="322"/>
      <c r="X645" s="322"/>
      <c r="Y645" s="322"/>
      <c r="Z645" s="322"/>
      <c r="AA645" s="121"/>
      <c r="AB645" s="121">
        <f t="shared" si="1103"/>
        <v>0</v>
      </c>
      <c r="AC645" s="121">
        <f t="shared" si="1104"/>
        <v>0</v>
      </c>
      <c r="AD645" s="121"/>
      <c r="AE645" s="121"/>
      <c r="AF645" s="121">
        <f t="shared" si="1105"/>
        <v>0</v>
      </c>
      <c r="AG645" s="121"/>
      <c r="AH645" s="121"/>
      <c r="AI645" s="121">
        <f t="shared" si="1106"/>
        <v>0</v>
      </c>
      <c r="AJ645" s="121"/>
      <c r="AK645" s="121"/>
      <c r="AL645" s="121">
        <f t="shared" si="1107"/>
        <v>0</v>
      </c>
      <c r="AM645" s="121"/>
      <c r="AN645" s="121"/>
      <c r="AO645" s="121">
        <f t="shared" si="1108"/>
        <v>0</v>
      </c>
      <c r="AP645" s="121"/>
      <c r="AQ645" s="121"/>
      <c r="AR645" s="121">
        <f t="shared" si="1109"/>
        <v>0</v>
      </c>
      <c r="AS645" s="121"/>
      <c r="AT645" s="121"/>
      <c r="AU645" s="121">
        <f t="shared" si="1110"/>
        <v>0</v>
      </c>
      <c r="AV645" s="121"/>
      <c r="AW645" s="121"/>
      <c r="AX645" s="121">
        <f t="shared" si="1111"/>
        <v>0</v>
      </c>
      <c r="AY645" s="121"/>
      <c r="AZ645" s="121"/>
      <c r="BA645" s="121">
        <f t="shared" si="1112"/>
        <v>0</v>
      </c>
      <c r="BB645" s="121"/>
      <c r="BC645" s="121"/>
      <c r="BD645" s="121">
        <f t="shared" si="1113"/>
        <v>0</v>
      </c>
      <c r="BE645" s="121"/>
      <c r="BF645" s="121"/>
      <c r="BG645" s="121">
        <f t="shared" si="1114"/>
        <v>0</v>
      </c>
      <c r="BH645" s="121"/>
      <c r="BI645" s="121"/>
      <c r="BJ645" s="121">
        <f t="shared" si="1115"/>
        <v>0</v>
      </c>
      <c r="BK645" s="121"/>
      <c r="BL645" s="311"/>
      <c r="BM645" s="317"/>
      <c r="BN645" s="319"/>
    </row>
    <row r="646" s="14" customFormat="1" ht="33.95" hidden="1" customHeight="1" outlineLevel="2" spans="2:66">
      <c r="B646" s="118" t="s">
        <v>787</v>
      </c>
      <c r="C646" s="119" t="s">
        <v>2280</v>
      </c>
      <c r="D646" s="14" t="s">
        <v>2281</v>
      </c>
      <c r="E646" s="118"/>
      <c r="F646" s="118"/>
      <c r="G646" s="118"/>
      <c r="H646" s="118">
        <f>SUM(H647:H650)</f>
        <v>0</v>
      </c>
      <c r="I646" s="118"/>
      <c r="J646" s="118"/>
      <c r="K646" s="118"/>
      <c r="L646" s="118"/>
      <c r="M646" s="118"/>
      <c r="N646" s="310"/>
      <c r="O646" s="293"/>
      <c r="P646" s="293"/>
      <c r="Q646" s="293"/>
      <c r="R646" s="293"/>
      <c r="S646" s="293"/>
      <c r="T646" s="293"/>
      <c r="U646" s="293"/>
      <c r="V646" s="293"/>
      <c r="W646" s="293"/>
      <c r="X646" s="293"/>
      <c r="Y646" s="293"/>
      <c r="Z646" s="293"/>
      <c r="AA646" s="293"/>
      <c r="AB646" s="118">
        <f>SUM(AB647:AB650)</f>
        <v>0</v>
      </c>
      <c r="AC646" s="118">
        <f>SUM(AC647:AC650)</f>
        <v>0</v>
      </c>
      <c r="AD646" s="118"/>
      <c r="AE646" s="118"/>
      <c r="AF646" s="118">
        <f>SUM(AF647:AF650)</f>
        <v>0</v>
      </c>
      <c r="AG646" s="118"/>
      <c r="AH646" s="118"/>
      <c r="AI646" s="118">
        <f>SUM(AI647:AI650)</f>
        <v>0</v>
      </c>
      <c r="AJ646" s="118"/>
      <c r="AK646" s="118"/>
      <c r="AL646" s="118">
        <f>SUM(AL647:AL650)</f>
        <v>0</v>
      </c>
      <c r="AM646" s="118"/>
      <c r="AN646" s="118"/>
      <c r="AO646" s="118">
        <f>SUM(AO647:AO650)</f>
        <v>0</v>
      </c>
      <c r="AP646" s="118"/>
      <c r="AQ646" s="118"/>
      <c r="AR646" s="118">
        <f>SUM(AR647:AR650)</f>
        <v>0</v>
      </c>
      <c r="AS646" s="118"/>
      <c r="AT646" s="118"/>
      <c r="AU646" s="118">
        <f>SUM(AU647:AU650)</f>
        <v>0</v>
      </c>
      <c r="AV646" s="118"/>
      <c r="AW646" s="118"/>
      <c r="AX646" s="118">
        <f>SUM(AX647:AX650)</f>
        <v>0</v>
      </c>
      <c r="AY646" s="118"/>
      <c r="AZ646" s="118"/>
      <c r="BA646" s="118">
        <f>SUM(BA647:BA650)</f>
        <v>0</v>
      </c>
      <c r="BB646" s="118"/>
      <c r="BC646" s="118"/>
      <c r="BD646" s="118">
        <f>SUM(BD647:BD650)</f>
        <v>0</v>
      </c>
      <c r="BE646" s="118"/>
      <c r="BF646" s="118"/>
      <c r="BG646" s="118">
        <f>SUM(BG647:BG650)</f>
        <v>0</v>
      </c>
      <c r="BH646" s="118"/>
      <c r="BI646" s="118"/>
      <c r="BJ646" s="118">
        <f>SUM(BJ647:BJ650)</f>
        <v>0</v>
      </c>
      <c r="BK646" s="118"/>
      <c r="BL646" s="310"/>
      <c r="BM646" s="317"/>
      <c r="BN646" s="318"/>
    </row>
    <row r="647" s="43" customFormat="1" ht="33.95" hidden="1" customHeight="1" outlineLevel="3" spans="2:66">
      <c r="B647" s="121" t="s">
        <v>792</v>
      </c>
      <c r="C647" s="122" t="s">
        <v>2282</v>
      </c>
      <c r="D647" s="43" t="s">
        <v>2283</v>
      </c>
      <c r="E647" s="121" t="s">
        <v>2284</v>
      </c>
      <c r="F647" s="121" t="s">
        <v>1618</v>
      </c>
      <c r="G647" s="121" t="s">
        <v>936</v>
      </c>
      <c r="H647" s="121">
        <f t="shared" si="1101"/>
        <v>0</v>
      </c>
      <c r="I647" s="121" t="s">
        <v>1235</v>
      </c>
      <c r="J647" s="121">
        <v>1</v>
      </c>
      <c r="K647" s="121" t="s">
        <v>1236</v>
      </c>
      <c r="L647" s="304"/>
      <c r="M647" s="121" t="s">
        <v>1370</v>
      </c>
      <c r="N647" s="121">
        <f t="shared" si="1102"/>
        <v>0</v>
      </c>
      <c r="O647" s="323"/>
      <c r="P647" s="323"/>
      <c r="Q647" s="323"/>
      <c r="R647" s="323"/>
      <c r="S647" s="323"/>
      <c r="T647" s="323"/>
      <c r="U647" s="323"/>
      <c r="V647" s="323"/>
      <c r="W647" s="323"/>
      <c r="X647" s="323"/>
      <c r="Y647" s="323"/>
      <c r="Z647" s="323"/>
      <c r="AA647" s="121"/>
      <c r="AB647" s="121">
        <f t="shared" si="1103"/>
        <v>0</v>
      </c>
      <c r="AC647" s="121">
        <f t="shared" si="1104"/>
        <v>0</v>
      </c>
      <c r="AD647" s="121"/>
      <c r="AE647" s="121"/>
      <c r="AF647" s="121">
        <f t="shared" si="1105"/>
        <v>0</v>
      </c>
      <c r="AG647" s="121"/>
      <c r="AH647" s="121"/>
      <c r="AI647" s="121">
        <f t="shared" si="1106"/>
        <v>0</v>
      </c>
      <c r="AJ647" s="121"/>
      <c r="AK647" s="121"/>
      <c r="AL647" s="121">
        <f t="shared" si="1107"/>
        <v>0</v>
      </c>
      <c r="AM647" s="121"/>
      <c r="AN647" s="121"/>
      <c r="AO647" s="121">
        <f t="shared" si="1108"/>
        <v>0</v>
      </c>
      <c r="AP647" s="121"/>
      <c r="AQ647" s="121"/>
      <c r="AR647" s="121">
        <f t="shared" si="1109"/>
        <v>0</v>
      </c>
      <c r="AS647" s="121"/>
      <c r="AT647" s="121"/>
      <c r="AU647" s="121">
        <f t="shared" si="1110"/>
        <v>0</v>
      </c>
      <c r="AV647" s="121"/>
      <c r="AW647" s="121"/>
      <c r="AX647" s="121">
        <f t="shared" si="1111"/>
        <v>0</v>
      </c>
      <c r="AY647" s="121"/>
      <c r="AZ647" s="121"/>
      <c r="BA647" s="121">
        <f t="shared" si="1112"/>
        <v>0</v>
      </c>
      <c r="BB647" s="121"/>
      <c r="BC647" s="121"/>
      <c r="BD647" s="121">
        <f t="shared" si="1113"/>
        <v>0</v>
      </c>
      <c r="BE647" s="121"/>
      <c r="BF647" s="121"/>
      <c r="BG647" s="121">
        <f t="shared" si="1114"/>
        <v>0</v>
      </c>
      <c r="BH647" s="121"/>
      <c r="BI647" s="121"/>
      <c r="BJ647" s="121">
        <f t="shared" si="1115"/>
        <v>0</v>
      </c>
      <c r="BK647" s="121"/>
      <c r="BL647" s="311"/>
      <c r="BM647" s="317"/>
      <c r="BN647" s="319"/>
    </row>
    <row r="648" s="43" customFormat="1" ht="33.95" hidden="1" customHeight="1" outlineLevel="3" spans="2:66">
      <c r="B648" s="121" t="s">
        <v>792</v>
      </c>
      <c r="C648" s="122" t="s">
        <v>2285</v>
      </c>
      <c r="D648" s="43" t="s">
        <v>2286</v>
      </c>
      <c r="E648" s="121" t="s">
        <v>2287</v>
      </c>
      <c r="F648" s="121" t="s">
        <v>1618</v>
      </c>
      <c r="G648" s="121" t="s">
        <v>936</v>
      </c>
      <c r="H648" s="121">
        <f t="shared" si="1101"/>
        <v>0</v>
      </c>
      <c r="I648" s="121" t="s">
        <v>1235</v>
      </c>
      <c r="J648" s="121">
        <v>1</v>
      </c>
      <c r="K648" s="121" t="s">
        <v>1236</v>
      </c>
      <c r="L648" s="304"/>
      <c r="M648" s="121" t="s">
        <v>1370</v>
      </c>
      <c r="N648" s="121">
        <f t="shared" si="1102"/>
        <v>0</v>
      </c>
      <c r="O648" s="304"/>
      <c r="P648" s="304"/>
      <c r="Q648" s="304"/>
      <c r="R648" s="304"/>
      <c r="S648" s="304"/>
      <c r="T648" s="304"/>
      <c r="U648" s="304"/>
      <c r="V648" s="304"/>
      <c r="W648" s="304"/>
      <c r="X648" s="304"/>
      <c r="Y648" s="304"/>
      <c r="Z648" s="304"/>
      <c r="AA648" s="121"/>
      <c r="AB648" s="121">
        <f t="shared" si="1103"/>
        <v>0</v>
      </c>
      <c r="AC648" s="121">
        <f t="shared" si="1104"/>
        <v>0</v>
      </c>
      <c r="AD648" s="121"/>
      <c r="AE648" s="121"/>
      <c r="AF648" s="121">
        <f t="shared" si="1105"/>
        <v>0</v>
      </c>
      <c r="AG648" s="121"/>
      <c r="AH648" s="121"/>
      <c r="AI648" s="121">
        <f t="shared" si="1106"/>
        <v>0</v>
      </c>
      <c r="AJ648" s="121"/>
      <c r="AK648" s="121"/>
      <c r="AL648" s="121">
        <f t="shared" si="1107"/>
        <v>0</v>
      </c>
      <c r="AM648" s="121"/>
      <c r="AN648" s="121"/>
      <c r="AO648" s="121">
        <f t="shared" si="1108"/>
        <v>0</v>
      </c>
      <c r="AP648" s="121"/>
      <c r="AQ648" s="121"/>
      <c r="AR648" s="121">
        <f t="shared" si="1109"/>
        <v>0</v>
      </c>
      <c r="AS648" s="121"/>
      <c r="AT648" s="121"/>
      <c r="AU648" s="121">
        <f t="shared" si="1110"/>
        <v>0</v>
      </c>
      <c r="AV648" s="121"/>
      <c r="AW648" s="121"/>
      <c r="AX648" s="121">
        <f t="shared" si="1111"/>
        <v>0</v>
      </c>
      <c r="AY648" s="121"/>
      <c r="AZ648" s="121"/>
      <c r="BA648" s="121">
        <f t="shared" si="1112"/>
        <v>0</v>
      </c>
      <c r="BB648" s="121"/>
      <c r="BC648" s="121"/>
      <c r="BD648" s="121">
        <f t="shared" si="1113"/>
        <v>0</v>
      </c>
      <c r="BE648" s="121"/>
      <c r="BF648" s="121"/>
      <c r="BG648" s="121">
        <f t="shared" si="1114"/>
        <v>0</v>
      </c>
      <c r="BH648" s="121"/>
      <c r="BI648" s="121"/>
      <c r="BJ648" s="121">
        <f t="shared" si="1115"/>
        <v>0</v>
      </c>
      <c r="BK648" s="121"/>
      <c r="BL648" s="311"/>
      <c r="BM648" s="317"/>
      <c r="BN648" s="319"/>
    </row>
    <row r="649" s="43" customFormat="1" ht="33.95" hidden="1" customHeight="1" outlineLevel="3" spans="2:66">
      <c r="B649" s="121" t="s">
        <v>792</v>
      </c>
      <c r="C649" s="122" t="s">
        <v>2288</v>
      </c>
      <c r="D649" s="43" t="s">
        <v>2289</v>
      </c>
      <c r="E649" s="121" t="s">
        <v>2290</v>
      </c>
      <c r="F649" s="121" t="s">
        <v>1618</v>
      </c>
      <c r="G649" s="121" t="s">
        <v>936</v>
      </c>
      <c r="H649" s="121">
        <f t="shared" si="1101"/>
        <v>0</v>
      </c>
      <c r="I649" s="121" t="s">
        <v>1235</v>
      </c>
      <c r="J649" s="121">
        <v>1</v>
      </c>
      <c r="K649" s="121" t="s">
        <v>1236</v>
      </c>
      <c r="L649" s="304"/>
      <c r="M649" s="121" t="s">
        <v>1370</v>
      </c>
      <c r="N649" s="121">
        <f t="shared" si="1102"/>
        <v>0</v>
      </c>
      <c r="O649" s="304"/>
      <c r="P649" s="304"/>
      <c r="Q649" s="304"/>
      <c r="R649" s="304"/>
      <c r="S649" s="304"/>
      <c r="T649" s="304"/>
      <c r="U649" s="304"/>
      <c r="V649" s="304"/>
      <c r="W649" s="304"/>
      <c r="X649" s="304"/>
      <c r="Y649" s="304"/>
      <c r="Z649" s="304"/>
      <c r="AA649" s="121"/>
      <c r="AB649" s="121">
        <f t="shared" si="1103"/>
        <v>0</v>
      </c>
      <c r="AC649" s="121">
        <f t="shared" si="1104"/>
        <v>0</v>
      </c>
      <c r="AD649" s="121"/>
      <c r="AE649" s="121"/>
      <c r="AF649" s="121">
        <f t="shared" si="1105"/>
        <v>0</v>
      </c>
      <c r="AG649" s="121"/>
      <c r="AH649" s="121"/>
      <c r="AI649" s="121">
        <f t="shared" si="1106"/>
        <v>0</v>
      </c>
      <c r="AJ649" s="121"/>
      <c r="AK649" s="121"/>
      <c r="AL649" s="121">
        <f t="shared" si="1107"/>
        <v>0</v>
      </c>
      <c r="AM649" s="121"/>
      <c r="AN649" s="121"/>
      <c r="AO649" s="121">
        <f t="shared" si="1108"/>
        <v>0</v>
      </c>
      <c r="AP649" s="121"/>
      <c r="AQ649" s="121"/>
      <c r="AR649" s="121">
        <f t="shared" si="1109"/>
        <v>0</v>
      </c>
      <c r="AS649" s="121"/>
      <c r="AT649" s="121"/>
      <c r="AU649" s="121">
        <f t="shared" si="1110"/>
        <v>0</v>
      </c>
      <c r="AV649" s="121"/>
      <c r="AW649" s="121"/>
      <c r="AX649" s="121">
        <f t="shared" si="1111"/>
        <v>0</v>
      </c>
      <c r="AY649" s="121"/>
      <c r="AZ649" s="121"/>
      <c r="BA649" s="121">
        <f t="shared" si="1112"/>
        <v>0</v>
      </c>
      <c r="BB649" s="121"/>
      <c r="BC649" s="121"/>
      <c r="BD649" s="121">
        <f t="shared" si="1113"/>
        <v>0</v>
      </c>
      <c r="BE649" s="121"/>
      <c r="BF649" s="121"/>
      <c r="BG649" s="121">
        <f t="shared" si="1114"/>
        <v>0</v>
      </c>
      <c r="BH649" s="121"/>
      <c r="BI649" s="121"/>
      <c r="BJ649" s="121">
        <f t="shared" si="1115"/>
        <v>0</v>
      </c>
      <c r="BK649" s="121"/>
      <c r="BL649" s="311"/>
      <c r="BM649" s="317"/>
      <c r="BN649" s="319"/>
    </row>
    <row r="650" s="43" customFormat="1" ht="33.95" hidden="1" customHeight="1" outlineLevel="3" spans="2:66">
      <c r="B650" s="121" t="s">
        <v>792</v>
      </c>
      <c r="C650" s="122" t="s">
        <v>2291</v>
      </c>
      <c r="D650" s="43" t="s">
        <v>2292</v>
      </c>
      <c r="E650" s="121"/>
      <c r="F650" s="121" t="s">
        <v>1618</v>
      </c>
      <c r="G650" s="121" t="s">
        <v>936</v>
      </c>
      <c r="H650" s="121">
        <f t="shared" si="1101"/>
        <v>0</v>
      </c>
      <c r="I650" s="121" t="s">
        <v>1235</v>
      </c>
      <c r="J650" s="121">
        <v>1</v>
      </c>
      <c r="K650" s="121" t="s">
        <v>1236</v>
      </c>
      <c r="L650" s="304"/>
      <c r="M650" s="121" t="s">
        <v>1370</v>
      </c>
      <c r="N650" s="121">
        <f t="shared" si="1102"/>
        <v>0</v>
      </c>
      <c r="O650" s="322"/>
      <c r="P650" s="322"/>
      <c r="Q650" s="322"/>
      <c r="R650" s="322"/>
      <c r="S650" s="322"/>
      <c r="T650" s="322"/>
      <c r="U650" s="322"/>
      <c r="V650" s="322"/>
      <c r="W650" s="322"/>
      <c r="X650" s="322"/>
      <c r="Y650" s="322"/>
      <c r="Z650" s="322"/>
      <c r="AA650" s="121"/>
      <c r="AB650" s="121">
        <f t="shared" si="1103"/>
        <v>0</v>
      </c>
      <c r="AC650" s="121">
        <f t="shared" si="1104"/>
        <v>0</v>
      </c>
      <c r="AD650" s="121"/>
      <c r="AE650" s="121"/>
      <c r="AF650" s="121">
        <f t="shared" si="1105"/>
        <v>0</v>
      </c>
      <c r="AG650" s="121"/>
      <c r="AH650" s="121"/>
      <c r="AI650" s="121">
        <f t="shared" si="1106"/>
        <v>0</v>
      </c>
      <c r="AJ650" s="121"/>
      <c r="AK650" s="121"/>
      <c r="AL650" s="121">
        <f t="shared" si="1107"/>
        <v>0</v>
      </c>
      <c r="AM650" s="121"/>
      <c r="AN650" s="121"/>
      <c r="AO650" s="121">
        <f t="shared" si="1108"/>
        <v>0</v>
      </c>
      <c r="AP650" s="121"/>
      <c r="AQ650" s="121"/>
      <c r="AR650" s="121">
        <f t="shared" si="1109"/>
        <v>0</v>
      </c>
      <c r="AS650" s="121"/>
      <c r="AT650" s="121"/>
      <c r="AU650" s="121">
        <f t="shared" si="1110"/>
        <v>0</v>
      </c>
      <c r="AV650" s="121"/>
      <c r="AW650" s="121"/>
      <c r="AX650" s="121">
        <f t="shared" si="1111"/>
        <v>0</v>
      </c>
      <c r="AY650" s="121"/>
      <c r="AZ650" s="121"/>
      <c r="BA650" s="121">
        <f t="shared" si="1112"/>
        <v>0</v>
      </c>
      <c r="BB650" s="121"/>
      <c r="BC650" s="121"/>
      <c r="BD650" s="121">
        <f t="shared" si="1113"/>
        <v>0</v>
      </c>
      <c r="BE650" s="121"/>
      <c r="BF650" s="121"/>
      <c r="BG650" s="121">
        <f t="shared" si="1114"/>
        <v>0</v>
      </c>
      <c r="BH650" s="121"/>
      <c r="BI650" s="121"/>
      <c r="BJ650" s="121">
        <f t="shared" si="1115"/>
        <v>0</v>
      </c>
      <c r="BK650" s="121"/>
      <c r="BL650" s="311"/>
      <c r="BM650" s="317"/>
      <c r="BN650" s="319"/>
    </row>
    <row r="651" s="14" customFormat="1" ht="33.95" hidden="1" customHeight="1" outlineLevel="2" spans="2:66">
      <c r="B651" s="118" t="s">
        <v>792</v>
      </c>
      <c r="C651" s="119" t="s">
        <v>2293</v>
      </c>
      <c r="D651" s="14" t="s">
        <v>2294</v>
      </c>
      <c r="G651" s="118" t="s">
        <v>1844</v>
      </c>
      <c r="H651" s="118">
        <f>J651*L651*N651</f>
        <v>660377.358490566</v>
      </c>
      <c r="I651" s="118" t="s">
        <v>1235</v>
      </c>
      <c r="J651" s="118">
        <v>1</v>
      </c>
      <c r="K651" s="118" t="s">
        <v>1236</v>
      </c>
      <c r="L651" s="304">
        <f>预算主表!P88/12</f>
        <v>55031.4465408805</v>
      </c>
      <c r="M651" s="118" t="s">
        <v>1237</v>
      </c>
      <c r="N651" s="310">
        <v>12</v>
      </c>
      <c r="O651" s="293"/>
      <c r="P651" s="293"/>
      <c r="Q651" s="293"/>
      <c r="R651" s="293"/>
      <c r="S651" s="293"/>
      <c r="T651" s="293"/>
      <c r="U651" s="293"/>
      <c r="V651" s="293"/>
      <c r="W651" s="293"/>
      <c r="X651" s="293"/>
      <c r="Y651" s="293"/>
      <c r="Z651" s="293"/>
      <c r="AA651" s="293"/>
      <c r="AB651" s="118">
        <f t="shared" si="1103"/>
        <v>660377.358490566</v>
      </c>
      <c r="AC651" s="118">
        <f t="shared" ref="AC651:AC655" si="1116">$H651/12</f>
        <v>55031.4465408805</v>
      </c>
      <c r="AD651" s="118"/>
      <c r="AE651" s="118"/>
      <c r="AF651" s="118">
        <f t="shared" ref="AF651:AF655" si="1117">$H651/12</f>
        <v>55031.4465408805</v>
      </c>
      <c r="AG651" s="118"/>
      <c r="AH651" s="118"/>
      <c r="AI651" s="118">
        <f t="shared" ref="AI651:AI655" si="1118">$H651/12</f>
        <v>55031.4465408805</v>
      </c>
      <c r="AJ651" s="118"/>
      <c r="AK651" s="118"/>
      <c r="AL651" s="118">
        <f t="shared" ref="AL651:AL655" si="1119">$H651/12</f>
        <v>55031.4465408805</v>
      </c>
      <c r="AM651" s="118"/>
      <c r="AN651" s="118"/>
      <c r="AO651" s="118">
        <f t="shared" ref="AO651:AO655" si="1120">$H651/12</f>
        <v>55031.4465408805</v>
      </c>
      <c r="AP651" s="118"/>
      <c r="AQ651" s="118"/>
      <c r="AR651" s="118">
        <f t="shared" ref="AR651:AR655" si="1121">$H651/12</f>
        <v>55031.4465408805</v>
      </c>
      <c r="AS651" s="118"/>
      <c r="AT651" s="118"/>
      <c r="AU651" s="118">
        <f t="shared" ref="AU651:AU655" si="1122">$H651/12</f>
        <v>55031.4465408805</v>
      </c>
      <c r="AV651" s="118"/>
      <c r="AW651" s="118"/>
      <c r="AX651" s="118">
        <f t="shared" ref="AX651:AX655" si="1123">$H651/12</f>
        <v>55031.4465408805</v>
      </c>
      <c r="AY651" s="118"/>
      <c r="AZ651" s="118"/>
      <c r="BA651" s="118">
        <f t="shared" ref="BA651:BA655" si="1124">$H651/12</f>
        <v>55031.4465408805</v>
      </c>
      <c r="BB651" s="118"/>
      <c r="BC651" s="118"/>
      <c r="BD651" s="118">
        <f t="shared" ref="BD651:BD655" si="1125">$H651/12</f>
        <v>55031.4465408805</v>
      </c>
      <c r="BE651" s="118"/>
      <c r="BF651" s="118"/>
      <c r="BG651" s="118">
        <f t="shared" ref="BG651:BG655" si="1126">$H651/12</f>
        <v>55031.4465408805</v>
      </c>
      <c r="BH651" s="118"/>
      <c r="BI651" s="118"/>
      <c r="BJ651" s="118">
        <f t="shared" ref="BJ651:BJ655" si="1127">$H651/12</f>
        <v>55031.4465408805</v>
      </c>
      <c r="BK651" s="118"/>
      <c r="BL651" s="310"/>
      <c r="BM651" s="317"/>
      <c r="BN651" s="318"/>
    </row>
    <row r="652" s="114" customFormat="1" ht="33.95" customHeight="1" outlineLevel="1" spans="2:66">
      <c r="B652" s="115" t="s">
        <v>787</v>
      </c>
      <c r="C652" s="116">
        <v>1.4</v>
      </c>
      <c r="D652" s="114" t="s">
        <v>215</v>
      </c>
      <c r="G652" s="115"/>
      <c r="H652" s="115">
        <f>SUM(H653:H657)</f>
        <v>0</v>
      </c>
      <c r="N652" s="309"/>
      <c r="O652" s="292"/>
      <c r="P652" s="292"/>
      <c r="Q652" s="292"/>
      <c r="R652" s="292"/>
      <c r="S652" s="292"/>
      <c r="T652" s="292"/>
      <c r="U652" s="292"/>
      <c r="V652" s="292"/>
      <c r="W652" s="292"/>
      <c r="X652" s="292"/>
      <c r="Y652" s="292"/>
      <c r="Z652" s="292"/>
      <c r="AA652" s="292"/>
      <c r="AB652" s="115">
        <f t="shared" ref="AB652:AC652" si="1128">SUM(AB653:AB657)</f>
        <v>0</v>
      </c>
      <c r="AC652" s="115">
        <f t="shared" si="1128"/>
        <v>0</v>
      </c>
      <c r="AF652" s="115">
        <f>SUM(AF653:AF657)</f>
        <v>0</v>
      </c>
      <c r="AI652" s="115">
        <f>SUM(AI653:AI657)</f>
        <v>0</v>
      </c>
      <c r="AL652" s="115">
        <f>SUM(AL653:AL657)</f>
        <v>0</v>
      </c>
      <c r="AO652" s="115">
        <f>SUM(AO653:AO657)</f>
        <v>0</v>
      </c>
      <c r="AR652" s="115">
        <f>SUM(AR653:AR657)</f>
        <v>0</v>
      </c>
      <c r="AU652" s="115">
        <f>SUM(AU653:AU657)</f>
        <v>0</v>
      </c>
      <c r="AX652" s="115">
        <f>SUM(AX653:AX657)</f>
        <v>0</v>
      </c>
      <c r="BA652" s="115">
        <f>SUM(BA653:BA657)</f>
        <v>0</v>
      </c>
      <c r="BD652" s="115">
        <f>SUM(BD653:BD657)</f>
        <v>0</v>
      </c>
      <c r="BG652" s="115">
        <f>SUM(BG653:BG657)</f>
        <v>0</v>
      </c>
      <c r="BJ652" s="115">
        <f>SUM(BJ653:BJ657)</f>
        <v>0</v>
      </c>
      <c r="BL652" s="309"/>
      <c r="BM652" s="317"/>
      <c r="BN652" s="292"/>
    </row>
    <row r="653" s="14" customFormat="1" ht="33.95" customHeight="1" outlineLevel="2" spans="2:66">
      <c r="B653" s="118" t="s">
        <v>792</v>
      </c>
      <c r="C653" s="119" t="s">
        <v>84</v>
      </c>
      <c r="D653" s="14" t="s">
        <v>85</v>
      </c>
      <c r="E653" s="118" t="s">
        <v>2295</v>
      </c>
      <c r="F653" s="118"/>
      <c r="G653" s="118" t="s">
        <v>1844</v>
      </c>
      <c r="H653" s="118">
        <f t="shared" ref="H653:H657" si="1129">J653*L653*N653</f>
        <v>0</v>
      </c>
      <c r="I653" s="118" t="s">
        <v>2296</v>
      </c>
      <c r="J653" s="304">
        <f>预算主表!P100/(12*L653)</f>
        <v>0</v>
      </c>
      <c r="K653" s="118" t="s">
        <v>2297</v>
      </c>
      <c r="L653" s="304">
        <v>5.24</v>
      </c>
      <c r="M653" s="118" t="s">
        <v>2298</v>
      </c>
      <c r="N653" s="310">
        <v>12</v>
      </c>
      <c r="O653" s="293"/>
      <c r="P653" s="293"/>
      <c r="Q653" s="293"/>
      <c r="R653" s="293"/>
      <c r="S653" s="293"/>
      <c r="T653" s="293"/>
      <c r="U653" s="293"/>
      <c r="V653" s="293"/>
      <c r="W653" s="293"/>
      <c r="X653" s="293"/>
      <c r="Y653" s="293"/>
      <c r="Z653" s="293"/>
      <c r="AA653" s="293"/>
      <c r="AB653" s="118">
        <f t="shared" ref="AB653:AB657" si="1130">SUM(AC653,AF653,AI653,AL653,AO653,AR653,AU653,AX653,BA653,BD653,BG653,BJ653)</f>
        <v>0</v>
      </c>
      <c r="AC653" s="118">
        <f t="shared" si="1116"/>
        <v>0</v>
      </c>
      <c r="AD653" s="118"/>
      <c r="AE653" s="118"/>
      <c r="AF653" s="118">
        <f t="shared" si="1117"/>
        <v>0</v>
      </c>
      <c r="AG653" s="118"/>
      <c r="AH653" s="118"/>
      <c r="AI653" s="118">
        <f t="shared" si="1118"/>
        <v>0</v>
      </c>
      <c r="AJ653" s="118"/>
      <c r="AK653" s="118"/>
      <c r="AL653" s="118">
        <f t="shared" si="1119"/>
        <v>0</v>
      </c>
      <c r="AM653" s="118"/>
      <c r="AN653" s="118"/>
      <c r="AO653" s="118">
        <f t="shared" si="1120"/>
        <v>0</v>
      </c>
      <c r="AP653" s="118"/>
      <c r="AQ653" s="118"/>
      <c r="AR653" s="118">
        <f t="shared" si="1121"/>
        <v>0</v>
      </c>
      <c r="AS653" s="118"/>
      <c r="AT653" s="118"/>
      <c r="AU653" s="118">
        <f t="shared" si="1122"/>
        <v>0</v>
      </c>
      <c r="AV653" s="118"/>
      <c r="AW653" s="118"/>
      <c r="AX653" s="118">
        <f t="shared" si="1123"/>
        <v>0</v>
      </c>
      <c r="AY653" s="118"/>
      <c r="AZ653" s="118"/>
      <c r="BA653" s="118">
        <f t="shared" si="1124"/>
        <v>0</v>
      </c>
      <c r="BB653" s="118"/>
      <c r="BC653" s="118"/>
      <c r="BD653" s="118">
        <f t="shared" si="1125"/>
        <v>0</v>
      </c>
      <c r="BE653" s="118"/>
      <c r="BF653" s="118"/>
      <c r="BG653" s="118">
        <f t="shared" si="1126"/>
        <v>0</v>
      </c>
      <c r="BH653" s="118"/>
      <c r="BI653" s="118"/>
      <c r="BJ653" s="118">
        <f t="shared" si="1127"/>
        <v>0</v>
      </c>
      <c r="BK653" s="118"/>
      <c r="BL653" s="310"/>
      <c r="BM653" s="317"/>
      <c r="BN653" s="318"/>
    </row>
    <row r="654" s="14" customFormat="1" ht="33.95" customHeight="1" outlineLevel="2" spans="2:66">
      <c r="B654" s="118" t="s">
        <v>792</v>
      </c>
      <c r="C654" s="119" t="s">
        <v>88</v>
      </c>
      <c r="D654" s="14" t="s">
        <v>89</v>
      </c>
      <c r="E654" s="118" t="s">
        <v>2299</v>
      </c>
      <c r="F654" s="118"/>
      <c r="G654" s="118" t="s">
        <v>1844</v>
      </c>
      <c r="H654" s="118">
        <f t="shared" si="1129"/>
        <v>0</v>
      </c>
      <c r="I654" s="118" t="s">
        <v>2300</v>
      </c>
      <c r="J654" s="304">
        <f>预算主表!P101/(12*L654)</f>
        <v>0</v>
      </c>
      <c r="K654" s="118" t="s">
        <v>2301</v>
      </c>
      <c r="L654" s="304">
        <v>0.69</v>
      </c>
      <c r="M654" s="118" t="s">
        <v>2302</v>
      </c>
      <c r="N654" s="310">
        <v>12</v>
      </c>
      <c r="O654" s="293"/>
      <c r="P654" s="293"/>
      <c r="Q654" s="293"/>
      <c r="R654" s="293"/>
      <c r="S654" s="293"/>
      <c r="T654" s="293"/>
      <c r="U654" s="293"/>
      <c r="V654" s="293"/>
      <c r="W654" s="293"/>
      <c r="X654" s="293"/>
      <c r="Y654" s="293"/>
      <c r="Z654" s="293"/>
      <c r="AA654" s="293"/>
      <c r="AB654" s="118">
        <f t="shared" si="1130"/>
        <v>0</v>
      </c>
      <c r="AC654" s="118">
        <f t="shared" si="1116"/>
        <v>0</v>
      </c>
      <c r="AD654" s="118"/>
      <c r="AE654" s="118"/>
      <c r="AF654" s="118">
        <f t="shared" si="1117"/>
        <v>0</v>
      </c>
      <c r="AG654" s="118"/>
      <c r="AH654" s="118"/>
      <c r="AI654" s="118">
        <f t="shared" si="1118"/>
        <v>0</v>
      </c>
      <c r="AJ654" s="118"/>
      <c r="AK654" s="118"/>
      <c r="AL654" s="118">
        <f t="shared" si="1119"/>
        <v>0</v>
      </c>
      <c r="AM654" s="118"/>
      <c r="AN654" s="118"/>
      <c r="AO654" s="118">
        <f t="shared" si="1120"/>
        <v>0</v>
      </c>
      <c r="AP654" s="118"/>
      <c r="AQ654" s="118"/>
      <c r="AR654" s="118">
        <f t="shared" si="1121"/>
        <v>0</v>
      </c>
      <c r="AS654" s="118"/>
      <c r="AT654" s="118"/>
      <c r="AU654" s="118">
        <f t="shared" si="1122"/>
        <v>0</v>
      </c>
      <c r="AV654" s="118"/>
      <c r="AW654" s="118"/>
      <c r="AX654" s="118">
        <f t="shared" si="1123"/>
        <v>0</v>
      </c>
      <c r="AY654" s="118"/>
      <c r="AZ654" s="118"/>
      <c r="BA654" s="118">
        <f t="shared" si="1124"/>
        <v>0</v>
      </c>
      <c r="BB654" s="118"/>
      <c r="BC654" s="118"/>
      <c r="BD654" s="118">
        <f t="shared" si="1125"/>
        <v>0</v>
      </c>
      <c r="BE654" s="118"/>
      <c r="BF654" s="118"/>
      <c r="BG654" s="118">
        <f t="shared" si="1126"/>
        <v>0</v>
      </c>
      <c r="BH654" s="118"/>
      <c r="BI654" s="118"/>
      <c r="BJ654" s="118">
        <f t="shared" si="1127"/>
        <v>0</v>
      </c>
      <c r="BK654" s="118"/>
      <c r="BL654" s="310"/>
      <c r="BM654" s="317"/>
      <c r="BN654" s="318"/>
    </row>
    <row r="655" s="14" customFormat="1" ht="33.95" customHeight="1" outlineLevel="2" spans="2:66">
      <c r="B655" s="118" t="s">
        <v>792</v>
      </c>
      <c r="C655" s="119" t="s">
        <v>96</v>
      </c>
      <c r="D655" s="14" t="s">
        <v>97</v>
      </c>
      <c r="E655" s="118" t="s">
        <v>2303</v>
      </c>
      <c r="F655" s="118"/>
      <c r="G655" s="118" t="s">
        <v>1844</v>
      </c>
      <c r="H655" s="118">
        <f t="shared" si="1129"/>
        <v>0</v>
      </c>
      <c r="I655" s="118" t="s">
        <v>2304</v>
      </c>
      <c r="J655" s="304"/>
      <c r="K655" s="118" t="s">
        <v>2297</v>
      </c>
      <c r="L655" s="304"/>
      <c r="M655" s="118" t="s">
        <v>2298</v>
      </c>
      <c r="N655" s="310">
        <v>12</v>
      </c>
      <c r="O655" s="293"/>
      <c r="P655" s="293"/>
      <c r="Q655" s="293"/>
      <c r="R655" s="293"/>
      <c r="S655" s="293"/>
      <c r="T655" s="293"/>
      <c r="U655" s="293"/>
      <c r="V655" s="293"/>
      <c r="W655" s="293"/>
      <c r="X655" s="293"/>
      <c r="Y655" s="293"/>
      <c r="Z655" s="293"/>
      <c r="AA655" s="293"/>
      <c r="AB655" s="118">
        <f t="shared" si="1130"/>
        <v>0</v>
      </c>
      <c r="AC655" s="118">
        <f t="shared" si="1116"/>
        <v>0</v>
      </c>
      <c r="AD655" s="118"/>
      <c r="AE655" s="118"/>
      <c r="AF655" s="118">
        <f t="shared" si="1117"/>
        <v>0</v>
      </c>
      <c r="AG655" s="118"/>
      <c r="AH655" s="118"/>
      <c r="AI655" s="118">
        <f t="shared" si="1118"/>
        <v>0</v>
      </c>
      <c r="AJ655" s="118"/>
      <c r="AK655" s="118"/>
      <c r="AL655" s="118">
        <f t="shared" si="1119"/>
        <v>0</v>
      </c>
      <c r="AM655" s="118"/>
      <c r="AN655" s="118"/>
      <c r="AO655" s="118">
        <f t="shared" si="1120"/>
        <v>0</v>
      </c>
      <c r="AP655" s="118"/>
      <c r="AQ655" s="118"/>
      <c r="AR655" s="118">
        <f t="shared" si="1121"/>
        <v>0</v>
      </c>
      <c r="AS655" s="118"/>
      <c r="AT655" s="118"/>
      <c r="AU655" s="118">
        <f t="shared" si="1122"/>
        <v>0</v>
      </c>
      <c r="AV655" s="118"/>
      <c r="AW655" s="118"/>
      <c r="AX655" s="118">
        <f t="shared" si="1123"/>
        <v>0</v>
      </c>
      <c r="AY655" s="118"/>
      <c r="AZ655" s="118"/>
      <c r="BA655" s="118">
        <f t="shared" si="1124"/>
        <v>0</v>
      </c>
      <c r="BB655" s="118"/>
      <c r="BC655" s="118"/>
      <c r="BD655" s="118">
        <f t="shared" si="1125"/>
        <v>0</v>
      </c>
      <c r="BE655" s="118"/>
      <c r="BF655" s="118"/>
      <c r="BG655" s="118">
        <f t="shared" si="1126"/>
        <v>0</v>
      </c>
      <c r="BH655" s="118"/>
      <c r="BI655" s="118"/>
      <c r="BJ655" s="118">
        <f t="shared" si="1127"/>
        <v>0</v>
      </c>
      <c r="BK655" s="118"/>
      <c r="BL655" s="310"/>
      <c r="BM655" s="317"/>
      <c r="BN655" s="318"/>
    </row>
    <row r="656" s="14" customFormat="1" ht="33.95" customHeight="1" outlineLevel="2" spans="2:66">
      <c r="B656" s="118" t="s">
        <v>792</v>
      </c>
      <c r="C656" s="119" t="s">
        <v>92</v>
      </c>
      <c r="D656" s="14" t="s">
        <v>93</v>
      </c>
      <c r="E656" s="118" t="s">
        <v>2305</v>
      </c>
      <c r="F656" s="118" t="s">
        <v>1618</v>
      </c>
      <c r="G656" s="118" t="s">
        <v>1844</v>
      </c>
      <c r="H656" s="118">
        <f>J656*L656</f>
        <v>0</v>
      </c>
      <c r="I656" s="118" t="s">
        <v>2306</v>
      </c>
      <c r="J656" s="304"/>
      <c r="K656" s="118" t="s">
        <v>1236</v>
      </c>
      <c r="L656" s="304"/>
      <c r="M656" s="118" t="s">
        <v>2307</v>
      </c>
      <c r="N656" s="118">
        <f>COUNTA(O656:Z656)</f>
        <v>0</v>
      </c>
      <c r="O656" s="329"/>
      <c r="P656" s="329"/>
      <c r="Q656" s="329"/>
      <c r="R656" s="329"/>
      <c r="S656" s="329"/>
      <c r="T656" s="329"/>
      <c r="U656" s="329"/>
      <c r="V656" s="329"/>
      <c r="W656" s="329"/>
      <c r="X656" s="329"/>
      <c r="Y656" s="329"/>
      <c r="Z656" s="329"/>
      <c r="AA656" s="118"/>
      <c r="AB656" s="118">
        <f t="shared" si="1130"/>
        <v>0</v>
      </c>
      <c r="AC656" s="118">
        <f>IF(O656="√",$J656*$L656/$N656,0)</f>
        <v>0</v>
      </c>
      <c r="AD656" s="118"/>
      <c r="AE656" s="118"/>
      <c r="AF656" s="118">
        <f>IF(R656="√",$J656*$L656/$N656,0)</f>
        <v>0</v>
      </c>
      <c r="AG656" s="118"/>
      <c r="AH656" s="118"/>
      <c r="AI656" s="118">
        <f>IF(U656="√",$J656*$L656/$N656,0)</f>
        <v>0</v>
      </c>
      <c r="AJ656" s="118"/>
      <c r="AK656" s="118"/>
      <c r="AL656" s="118">
        <f>IF(X656="√",$J656*$L656/$N656,0)</f>
        <v>0</v>
      </c>
      <c r="AM656" s="118"/>
      <c r="AN656" s="118"/>
      <c r="AO656" s="118">
        <f>IF(AA656="√",$J656*$L656/$N656,0)</f>
        <v>0</v>
      </c>
      <c r="AP656" s="118"/>
      <c r="AQ656" s="118"/>
      <c r="AR656" s="118">
        <f>IF(AD656="√",$J656*$L656/$N656,0)</f>
        <v>0</v>
      </c>
      <c r="AS656" s="118"/>
      <c r="AT656" s="118"/>
      <c r="AU656" s="118">
        <f>IF(AG656="√",$J656*$L656/$N656,0)</f>
        <v>0</v>
      </c>
      <c r="AV656" s="118"/>
      <c r="AW656" s="118"/>
      <c r="AX656" s="118">
        <f>IF(AJ656="√",$J656*$L656/$N656,0)</f>
        <v>0</v>
      </c>
      <c r="AY656" s="118"/>
      <c r="AZ656" s="118"/>
      <c r="BA656" s="118">
        <f>IF(AM656="√",$J656*$L656/$N656,0)</f>
        <v>0</v>
      </c>
      <c r="BB656" s="118"/>
      <c r="BC656" s="118"/>
      <c r="BD656" s="118">
        <f>IF(AP656="√",$J656*$L656/$N656,0)</f>
        <v>0</v>
      </c>
      <c r="BE656" s="118"/>
      <c r="BF656" s="118"/>
      <c r="BG656" s="118">
        <f>IF(AS656="√",$J656*$L656/$N656,0)</f>
        <v>0</v>
      </c>
      <c r="BH656" s="118"/>
      <c r="BI656" s="118"/>
      <c r="BJ656" s="118">
        <f>IF(AV656="√",$J656*$L656/$N656,0)</f>
        <v>0</v>
      </c>
      <c r="BK656" s="118"/>
      <c r="BL656" s="310"/>
      <c r="BM656" s="317"/>
      <c r="BN656" s="318"/>
    </row>
    <row r="657" s="14" customFormat="1" ht="33.95" customHeight="1" outlineLevel="2" spans="2:66">
      <c r="B657" s="118" t="s">
        <v>792</v>
      </c>
      <c r="C657" s="119" t="s">
        <v>100</v>
      </c>
      <c r="D657" s="14" t="s">
        <v>101</v>
      </c>
      <c r="E657" s="118" t="s">
        <v>2308</v>
      </c>
      <c r="F657" s="118"/>
      <c r="G657" s="118" t="s">
        <v>1844</v>
      </c>
      <c r="H657" s="118">
        <f t="shared" si="1129"/>
        <v>0</v>
      </c>
      <c r="I657" s="118" t="s">
        <v>1235</v>
      </c>
      <c r="J657" s="118">
        <v>1</v>
      </c>
      <c r="K657" s="118" t="s">
        <v>1236</v>
      </c>
      <c r="L657" s="304"/>
      <c r="M657" s="118" t="s">
        <v>1237</v>
      </c>
      <c r="N657" s="310">
        <v>12</v>
      </c>
      <c r="O657" s="293"/>
      <c r="P657" s="293"/>
      <c r="Q657" s="293"/>
      <c r="R657" s="293"/>
      <c r="S657" s="293"/>
      <c r="T657" s="293"/>
      <c r="U657" s="293"/>
      <c r="V657" s="293"/>
      <c r="W657" s="293"/>
      <c r="X657" s="293"/>
      <c r="Y657" s="293"/>
      <c r="Z657" s="293"/>
      <c r="AA657" s="293"/>
      <c r="AB657" s="118">
        <f t="shared" si="1130"/>
        <v>0</v>
      </c>
      <c r="AC657" s="118">
        <f>$H657/12</f>
        <v>0</v>
      </c>
      <c r="AD657" s="118"/>
      <c r="AE657" s="118"/>
      <c r="AF657" s="118">
        <f>$H657/12</f>
        <v>0</v>
      </c>
      <c r="AG657" s="118"/>
      <c r="AH657" s="118"/>
      <c r="AI657" s="118">
        <f>$H657/12</f>
        <v>0</v>
      </c>
      <c r="AJ657" s="118"/>
      <c r="AK657" s="118"/>
      <c r="AL657" s="118">
        <f>$H657/12</f>
        <v>0</v>
      </c>
      <c r="AM657" s="118"/>
      <c r="AN657" s="118"/>
      <c r="AO657" s="118">
        <f>$H657/12</f>
        <v>0</v>
      </c>
      <c r="AP657" s="118"/>
      <c r="AQ657" s="118"/>
      <c r="AR657" s="118">
        <f>$H657/12</f>
        <v>0</v>
      </c>
      <c r="AS657" s="118"/>
      <c r="AT657" s="118"/>
      <c r="AU657" s="118">
        <f>$H657/12</f>
        <v>0</v>
      </c>
      <c r="AV657" s="118"/>
      <c r="AW657" s="118"/>
      <c r="AX657" s="118">
        <f>$H657/12</f>
        <v>0</v>
      </c>
      <c r="AY657" s="118"/>
      <c r="AZ657" s="118"/>
      <c r="BA657" s="118">
        <f>$H657/12</f>
        <v>0</v>
      </c>
      <c r="BB657" s="118"/>
      <c r="BC657" s="118"/>
      <c r="BD657" s="118">
        <f>$H657/12</f>
        <v>0</v>
      </c>
      <c r="BE657" s="118"/>
      <c r="BF657" s="118"/>
      <c r="BG657" s="118">
        <f>$H657/12</f>
        <v>0</v>
      </c>
      <c r="BH657" s="118"/>
      <c r="BI657" s="118"/>
      <c r="BJ657" s="118">
        <f>$H657/12</f>
        <v>0</v>
      </c>
      <c r="BK657" s="118"/>
      <c r="BL657" s="310"/>
      <c r="BM657" s="317"/>
      <c r="BN657" s="318"/>
    </row>
    <row r="658" s="114" customFormat="1" ht="33.95" customHeight="1" outlineLevel="1" spans="2:66">
      <c r="B658" s="115" t="s">
        <v>787</v>
      </c>
      <c r="C658" s="328">
        <v>1.5</v>
      </c>
      <c r="D658" s="114" t="s">
        <v>216</v>
      </c>
      <c r="G658" s="115"/>
      <c r="H658" s="115">
        <f>SUM(H659:H667)</f>
        <v>146494.98</v>
      </c>
      <c r="N658" s="309"/>
      <c r="O658" s="292"/>
      <c r="P658" s="292"/>
      <c r="Q658" s="292"/>
      <c r="R658" s="292"/>
      <c r="S658" s="292"/>
      <c r="T658" s="292"/>
      <c r="U658" s="292"/>
      <c r="V658" s="292"/>
      <c r="W658" s="292"/>
      <c r="X658" s="292"/>
      <c r="Y658" s="292"/>
      <c r="Z658" s="292"/>
      <c r="AA658" s="292"/>
      <c r="AB658" s="115">
        <f t="shared" ref="AB658:AF658" si="1131">SUM(AB659:AB667)</f>
        <v>146494.98</v>
      </c>
      <c r="AC658" s="115">
        <f t="shared" si="1131"/>
        <v>12207.915</v>
      </c>
      <c r="AF658" s="115">
        <f t="shared" si="1131"/>
        <v>12207.915</v>
      </c>
      <c r="AI658" s="115">
        <f>SUM(AI659:AI667)</f>
        <v>12207.915</v>
      </c>
      <c r="AL658" s="115">
        <f>SUM(AL659:AL667)</f>
        <v>12207.915</v>
      </c>
      <c r="AO658" s="115">
        <f>SUM(AO659:AO667)</f>
        <v>12207.915</v>
      </c>
      <c r="AR658" s="115">
        <f>SUM(AR659:AR667)</f>
        <v>12207.915</v>
      </c>
      <c r="AU658" s="115">
        <f>SUM(AU659:AU667)</f>
        <v>12207.915</v>
      </c>
      <c r="AX658" s="115">
        <f>SUM(AX659:AX667)</f>
        <v>12207.915</v>
      </c>
      <c r="BA658" s="115">
        <f>SUM(BA659:BA667)</f>
        <v>12207.915</v>
      </c>
      <c r="BD658" s="115">
        <f>SUM(BD659:BD667)</f>
        <v>12207.915</v>
      </c>
      <c r="BG658" s="115">
        <f>SUM(BG659:BG667)</f>
        <v>12207.915</v>
      </c>
      <c r="BJ658" s="115">
        <f>SUM(BJ659:BJ667)</f>
        <v>12207.915</v>
      </c>
      <c r="BL658" s="309"/>
      <c r="BM658" s="317"/>
      <c r="BN658" s="292"/>
    </row>
    <row r="659" s="14" customFormat="1" ht="33.95" customHeight="1" outlineLevel="2" spans="2:66">
      <c r="B659" s="118" t="s">
        <v>792</v>
      </c>
      <c r="C659" s="119" t="s">
        <v>135</v>
      </c>
      <c r="D659" s="14" t="s">
        <v>136</v>
      </c>
      <c r="E659" s="118" t="s">
        <v>2309</v>
      </c>
      <c r="F659" s="118"/>
      <c r="G659" s="118" t="s">
        <v>936</v>
      </c>
      <c r="H659" s="118">
        <f>J659*L659*N659</f>
        <v>0</v>
      </c>
      <c r="I659" s="118" t="s">
        <v>1235</v>
      </c>
      <c r="J659" s="304"/>
      <c r="K659" s="118" t="s">
        <v>1389</v>
      </c>
      <c r="L659" s="118">
        <v>100</v>
      </c>
      <c r="M659" s="118" t="s">
        <v>1410</v>
      </c>
      <c r="N659" s="118">
        <f>COUNTA(O659:Z659)</f>
        <v>0</v>
      </c>
      <c r="O659" s="329"/>
      <c r="P659" s="329"/>
      <c r="Q659" s="329"/>
      <c r="R659" s="329"/>
      <c r="S659" s="329"/>
      <c r="T659" s="329"/>
      <c r="U659" s="329"/>
      <c r="V659" s="329"/>
      <c r="W659" s="329"/>
      <c r="X659" s="329"/>
      <c r="Y659" s="329"/>
      <c r="Z659" s="329"/>
      <c r="AA659" s="118"/>
      <c r="AB659" s="331">
        <f>SUM(AC659,AF659,AI659,AL659,AO659,AR659,AU659,AX659,BA659,BD659,BG659,BJ659)</f>
        <v>0</v>
      </c>
      <c r="AC659" s="331">
        <f>IF(O659="√",$J659*$L659/$N659,0)</f>
        <v>0</v>
      </c>
      <c r="AD659" s="331"/>
      <c r="AE659" s="331"/>
      <c r="AF659" s="331">
        <f>IF(P659="√",$J659*$L659/$N659,0)</f>
        <v>0</v>
      </c>
      <c r="AG659" s="331"/>
      <c r="AH659" s="331"/>
      <c r="AI659" s="331">
        <f>IF(Q659="√",$J659*$L659/$N659,0)</f>
        <v>0</v>
      </c>
      <c r="AJ659" s="331"/>
      <c r="AK659" s="331"/>
      <c r="AL659" s="331">
        <f>IF(R659="√",$J659*$L659/$N659,0)</f>
        <v>0</v>
      </c>
      <c r="AM659" s="331"/>
      <c r="AN659" s="331"/>
      <c r="AO659" s="331">
        <f>IF(S659="√",$J659*$L659/$N659,0)</f>
        <v>0</v>
      </c>
      <c r="AP659" s="331"/>
      <c r="AQ659" s="331"/>
      <c r="AR659" s="331">
        <f>IF(T659="√",$J659*$L659/$N659,0)</f>
        <v>0</v>
      </c>
      <c r="AS659" s="331"/>
      <c r="AT659" s="331"/>
      <c r="AU659" s="331">
        <f>IF(U659="√",$J659*$L659/$N659,0)</f>
        <v>0</v>
      </c>
      <c r="AV659" s="331"/>
      <c r="AW659" s="331"/>
      <c r="AX659" s="331">
        <f>IF(V659="√",$J659*$L659/$N659,0)</f>
        <v>0</v>
      </c>
      <c r="AY659" s="331"/>
      <c r="AZ659" s="331"/>
      <c r="BA659" s="331">
        <f>IF(W659="√",$J659*$L659/$N659,0)</f>
        <v>0</v>
      </c>
      <c r="BB659" s="331"/>
      <c r="BC659" s="331"/>
      <c r="BD659" s="331">
        <f>IF(X659="√",$J659*$L659/$N659,0)</f>
        <v>0</v>
      </c>
      <c r="BE659" s="331"/>
      <c r="BF659" s="331"/>
      <c r="BG659" s="331">
        <f>IF(Y659="√",$J659*$L659/$N659,0)</f>
        <v>0</v>
      </c>
      <c r="BH659" s="331"/>
      <c r="BI659" s="331"/>
      <c r="BJ659" s="331">
        <f>IF(Z659="√",$J659*$L659/$N659,0)</f>
        <v>0</v>
      </c>
      <c r="BK659" s="331"/>
      <c r="BL659" s="332"/>
      <c r="BM659" s="317"/>
      <c r="BN659" s="318"/>
    </row>
    <row r="660" s="14" customFormat="1" ht="33.95" customHeight="1" outlineLevel="2" spans="2:66">
      <c r="B660" s="118" t="s">
        <v>792</v>
      </c>
      <c r="C660" s="119" t="s">
        <v>137</v>
      </c>
      <c r="D660" s="14" t="s">
        <v>138</v>
      </c>
      <c r="E660" s="118" t="s">
        <v>2310</v>
      </c>
      <c r="F660" s="118"/>
      <c r="G660" s="118" t="s">
        <v>1844</v>
      </c>
      <c r="H660" s="118">
        <f t="shared" ref="H660:H667" si="1132">J660*L660*N660</f>
        <v>40894.98</v>
      </c>
      <c r="I660" s="118" t="s">
        <v>1235</v>
      </c>
      <c r="J660" s="118">
        <v>1</v>
      </c>
      <c r="K660" s="118" t="s">
        <v>1236</v>
      </c>
      <c r="L660" s="304">
        <f>预算主表!P116/12</f>
        <v>3407.915</v>
      </c>
      <c r="M660" s="118" t="s">
        <v>1237</v>
      </c>
      <c r="N660" s="310">
        <v>12</v>
      </c>
      <c r="O660" s="293"/>
      <c r="P660" s="293"/>
      <c r="Q660" s="293"/>
      <c r="R660" s="293"/>
      <c r="S660" s="293"/>
      <c r="T660" s="293"/>
      <c r="U660" s="293"/>
      <c r="V660" s="293"/>
      <c r="W660" s="293"/>
      <c r="X660" s="293"/>
      <c r="Y660" s="293"/>
      <c r="Z660" s="293"/>
      <c r="AA660" s="293"/>
      <c r="AB660" s="331">
        <f t="shared" ref="AB660:AB667" si="1133">SUM(AC660,AF660,AI660,AL660,AO660,AR660,AU660,AX660,BA660,BD660,BG660,BJ660)</f>
        <v>40894.98</v>
      </c>
      <c r="AC660" s="331">
        <f t="shared" ref="AC660:AC667" si="1134">$H660/12</f>
        <v>3407.915</v>
      </c>
      <c r="AD660" s="331"/>
      <c r="AE660" s="331"/>
      <c r="AF660" s="331">
        <f t="shared" ref="AF660:AF667" si="1135">$H660/12</f>
        <v>3407.915</v>
      </c>
      <c r="AG660" s="331"/>
      <c r="AH660" s="331"/>
      <c r="AI660" s="331">
        <f t="shared" ref="AI660:AI667" si="1136">$H660/12</f>
        <v>3407.915</v>
      </c>
      <c r="AJ660" s="331"/>
      <c r="AK660" s="331"/>
      <c r="AL660" s="331">
        <f t="shared" ref="AL660:AL667" si="1137">$H660/12</f>
        <v>3407.915</v>
      </c>
      <c r="AM660" s="331"/>
      <c r="AN660" s="331"/>
      <c r="AO660" s="331">
        <f t="shared" ref="AO660:AO667" si="1138">$H660/12</f>
        <v>3407.915</v>
      </c>
      <c r="AP660" s="331"/>
      <c r="AQ660" s="331"/>
      <c r="AR660" s="331">
        <f t="shared" ref="AR660:AR667" si="1139">$H660/12</f>
        <v>3407.915</v>
      </c>
      <c r="AS660" s="331"/>
      <c r="AT660" s="331"/>
      <c r="AU660" s="331">
        <f t="shared" ref="AU660:AU667" si="1140">$H660/12</f>
        <v>3407.915</v>
      </c>
      <c r="AV660" s="331"/>
      <c r="AW660" s="331"/>
      <c r="AX660" s="331">
        <f t="shared" ref="AX660:AX667" si="1141">$H660/12</f>
        <v>3407.915</v>
      </c>
      <c r="AY660" s="331"/>
      <c r="AZ660" s="331"/>
      <c r="BA660" s="331">
        <f t="shared" ref="BA660:BA667" si="1142">$H660/12</f>
        <v>3407.915</v>
      </c>
      <c r="BB660" s="331"/>
      <c r="BC660" s="331"/>
      <c r="BD660" s="331">
        <f t="shared" ref="BD660:BD667" si="1143">$H660/12</f>
        <v>3407.915</v>
      </c>
      <c r="BE660" s="331"/>
      <c r="BF660" s="331"/>
      <c r="BG660" s="331">
        <f t="shared" ref="BG660:BG667" si="1144">$H660/12</f>
        <v>3407.915</v>
      </c>
      <c r="BH660" s="331"/>
      <c r="BI660" s="331"/>
      <c r="BJ660" s="331">
        <f t="shared" ref="BJ660:BJ667" si="1145">$H660/12</f>
        <v>3407.915</v>
      </c>
      <c r="BK660" s="331"/>
      <c r="BL660" s="332"/>
      <c r="BM660" s="317"/>
      <c r="BN660" s="318"/>
    </row>
    <row r="661" s="14" customFormat="1" ht="33.95" customHeight="1" outlineLevel="2" spans="2:66">
      <c r="B661" s="118" t="s">
        <v>792</v>
      </c>
      <c r="C661" s="119" t="s">
        <v>141</v>
      </c>
      <c r="D661" s="14" t="s">
        <v>142</v>
      </c>
      <c r="E661" s="118" t="s">
        <v>2311</v>
      </c>
      <c r="F661" s="118"/>
      <c r="G661" s="118" t="s">
        <v>1844</v>
      </c>
      <c r="H661" s="118">
        <f t="shared" si="1132"/>
        <v>0</v>
      </c>
      <c r="I661" s="118" t="s">
        <v>1235</v>
      </c>
      <c r="J661" s="118">
        <v>1</v>
      </c>
      <c r="K661" s="118" t="s">
        <v>1236</v>
      </c>
      <c r="L661" s="304">
        <f>预算主表!P117/12</f>
        <v>0</v>
      </c>
      <c r="M661" s="118" t="s">
        <v>1237</v>
      </c>
      <c r="N661" s="310">
        <v>12</v>
      </c>
      <c r="O661" s="293"/>
      <c r="P661" s="293"/>
      <c r="Q661" s="293"/>
      <c r="R661" s="293"/>
      <c r="S661" s="293"/>
      <c r="T661" s="293"/>
      <c r="U661" s="293"/>
      <c r="V661" s="293"/>
      <c r="W661" s="293"/>
      <c r="X661" s="293"/>
      <c r="Y661" s="293"/>
      <c r="Z661" s="293"/>
      <c r="AA661" s="293"/>
      <c r="AB661" s="331">
        <f t="shared" si="1133"/>
        <v>0</v>
      </c>
      <c r="AC661" s="331">
        <f t="shared" si="1134"/>
        <v>0</v>
      </c>
      <c r="AD661" s="331"/>
      <c r="AE661" s="331"/>
      <c r="AF661" s="331">
        <f t="shared" si="1135"/>
        <v>0</v>
      </c>
      <c r="AG661" s="331"/>
      <c r="AH661" s="331"/>
      <c r="AI661" s="331">
        <f t="shared" si="1136"/>
        <v>0</v>
      </c>
      <c r="AJ661" s="331"/>
      <c r="AK661" s="331"/>
      <c r="AL661" s="331">
        <f t="shared" si="1137"/>
        <v>0</v>
      </c>
      <c r="AM661" s="331"/>
      <c r="AN661" s="331"/>
      <c r="AO661" s="331">
        <f t="shared" si="1138"/>
        <v>0</v>
      </c>
      <c r="AP661" s="331"/>
      <c r="AQ661" s="331"/>
      <c r="AR661" s="331">
        <f t="shared" si="1139"/>
        <v>0</v>
      </c>
      <c r="AS661" s="331"/>
      <c r="AT661" s="331"/>
      <c r="AU661" s="331">
        <f t="shared" si="1140"/>
        <v>0</v>
      </c>
      <c r="AV661" s="331"/>
      <c r="AW661" s="331"/>
      <c r="AX661" s="331">
        <f t="shared" si="1141"/>
        <v>0</v>
      </c>
      <c r="AY661" s="331"/>
      <c r="AZ661" s="331"/>
      <c r="BA661" s="331">
        <f t="shared" si="1142"/>
        <v>0</v>
      </c>
      <c r="BB661" s="331"/>
      <c r="BC661" s="331"/>
      <c r="BD661" s="331">
        <f t="shared" si="1143"/>
        <v>0</v>
      </c>
      <c r="BE661" s="331"/>
      <c r="BF661" s="331"/>
      <c r="BG661" s="331">
        <f t="shared" si="1144"/>
        <v>0</v>
      </c>
      <c r="BH661" s="331"/>
      <c r="BI661" s="331"/>
      <c r="BJ661" s="331">
        <f t="shared" si="1145"/>
        <v>0</v>
      </c>
      <c r="BK661" s="331"/>
      <c r="BL661" s="332"/>
      <c r="BM661" s="317"/>
      <c r="BN661" s="318"/>
    </row>
    <row r="662" s="14" customFormat="1" ht="33.95" customHeight="1" outlineLevel="2" spans="2:66">
      <c r="B662" s="118" t="s">
        <v>792</v>
      </c>
      <c r="C662" s="119" t="s">
        <v>102</v>
      </c>
      <c r="D662" s="14" t="s">
        <v>103</v>
      </c>
      <c r="E662" s="118" t="s">
        <v>2312</v>
      </c>
      <c r="F662" s="118"/>
      <c r="G662" s="118" t="s">
        <v>1844</v>
      </c>
      <c r="H662" s="118">
        <f t="shared" si="1132"/>
        <v>0</v>
      </c>
      <c r="I662" s="118" t="s">
        <v>1235</v>
      </c>
      <c r="J662" s="118">
        <v>1</v>
      </c>
      <c r="K662" s="118" t="s">
        <v>1236</v>
      </c>
      <c r="L662" s="304"/>
      <c r="M662" s="118" t="s">
        <v>1237</v>
      </c>
      <c r="N662" s="310">
        <v>12</v>
      </c>
      <c r="O662" s="293"/>
      <c r="P662" s="293"/>
      <c r="Q662" s="293"/>
      <c r="R662" s="293"/>
      <c r="S662" s="293"/>
      <c r="T662" s="293"/>
      <c r="U662" s="293"/>
      <c r="V662" s="293"/>
      <c r="W662" s="293"/>
      <c r="X662" s="293"/>
      <c r="Y662" s="293"/>
      <c r="Z662" s="293"/>
      <c r="AA662" s="293"/>
      <c r="AB662" s="331">
        <f t="shared" si="1133"/>
        <v>0</v>
      </c>
      <c r="AC662" s="331">
        <f t="shared" si="1134"/>
        <v>0</v>
      </c>
      <c r="AD662" s="331"/>
      <c r="AE662" s="331"/>
      <c r="AF662" s="331">
        <f t="shared" si="1135"/>
        <v>0</v>
      </c>
      <c r="AG662" s="331"/>
      <c r="AH662" s="331"/>
      <c r="AI662" s="331">
        <f t="shared" si="1136"/>
        <v>0</v>
      </c>
      <c r="AJ662" s="331"/>
      <c r="AK662" s="331"/>
      <c r="AL662" s="331">
        <f t="shared" si="1137"/>
        <v>0</v>
      </c>
      <c r="AM662" s="331"/>
      <c r="AN662" s="331"/>
      <c r="AO662" s="331">
        <f t="shared" si="1138"/>
        <v>0</v>
      </c>
      <c r="AP662" s="331"/>
      <c r="AQ662" s="331"/>
      <c r="AR662" s="331">
        <f t="shared" si="1139"/>
        <v>0</v>
      </c>
      <c r="AS662" s="331"/>
      <c r="AT662" s="331"/>
      <c r="AU662" s="331">
        <f t="shared" si="1140"/>
        <v>0</v>
      </c>
      <c r="AV662" s="331"/>
      <c r="AW662" s="331"/>
      <c r="AX662" s="331">
        <f t="shared" si="1141"/>
        <v>0</v>
      </c>
      <c r="AY662" s="331"/>
      <c r="AZ662" s="331"/>
      <c r="BA662" s="331">
        <f t="shared" si="1142"/>
        <v>0</v>
      </c>
      <c r="BB662" s="331"/>
      <c r="BC662" s="331"/>
      <c r="BD662" s="331">
        <f t="shared" si="1143"/>
        <v>0</v>
      </c>
      <c r="BE662" s="331"/>
      <c r="BF662" s="331"/>
      <c r="BG662" s="331">
        <f t="shared" si="1144"/>
        <v>0</v>
      </c>
      <c r="BH662" s="331"/>
      <c r="BI662" s="331"/>
      <c r="BJ662" s="331">
        <f t="shared" si="1145"/>
        <v>0</v>
      </c>
      <c r="BK662" s="331"/>
      <c r="BL662" s="332"/>
      <c r="BM662" s="317"/>
      <c r="BN662" s="318"/>
    </row>
    <row r="663" s="14" customFormat="1" ht="33.95" customHeight="1" outlineLevel="2" spans="2:66">
      <c r="B663" s="118" t="s">
        <v>792</v>
      </c>
      <c r="C663" s="119" t="s">
        <v>143</v>
      </c>
      <c r="D663" s="14" t="s">
        <v>144</v>
      </c>
      <c r="E663" s="118"/>
      <c r="F663" s="118"/>
      <c r="G663" s="118" t="s">
        <v>1844</v>
      </c>
      <c r="H663" s="118">
        <f t="shared" si="1132"/>
        <v>0</v>
      </c>
      <c r="I663" s="118" t="s">
        <v>1235</v>
      </c>
      <c r="J663" s="118">
        <v>1</v>
      </c>
      <c r="K663" s="118" t="s">
        <v>1236</v>
      </c>
      <c r="L663" s="304"/>
      <c r="M663" s="118" t="s">
        <v>1237</v>
      </c>
      <c r="N663" s="310">
        <v>12</v>
      </c>
      <c r="O663" s="293"/>
      <c r="P663" s="293"/>
      <c r="Q663" s="293"/>
      <c r="R663" s="293"/>
      <c r="S663" s="293"/>
      <c r="T663" s="293"/>
      <c r="U663" s="293"/>
      <c r="V663" s="293"/>
      <c r="W663" s="293"/>
      <c r="X663" s="293"/>
      <c r="Y663" s="293"/>
      <c r="Z663" s="293"/>
      <c r="AA663" s="293"/>
      <c r="AB663" s="331">
        <f t="shared" si="1133"/>
        <v>0</v>
      </c>
      <c r="AC663" s="331">
        <f t="shared" si="1134"/>
        <v>0</v>
      </c>
      <c r="AD663" s="331"/>
      <c r="AE663" s="331"/>
      <c r="AF663" s="331">
        <f t="shared" si="1135"/>
        <v>0</v>
      </c>
      <c r="AG663" s="331"/>
      <c r="AH663" s="331"/>
      <c r="AI663" s="331">
        <f t="shared" si="1136"/>
        <v>0</v>
      </c>
      <c r="AJ663" s="331"/>
      <c r="AK663" s="331"/>
      <c r="AL663" s="331">
        <f t="shared" si="1137"/>
        <v>0</v>
      </c>
      <c r="AM663" s="331"/>
      <c r="AN663" s="331"/>
      <c r="AO663" s="331">
        <f t="shared" si="1138"/>
        <v>0</v>
      </c>
      <c r="AP663" s="331"/>
      <c r="AQ663" s="331"/>
      <c r="AR663" s="331">
        <f t="shared" si="1139"/>
        <v>0</v>
      </c>
      <c r="AS663" s="331"/>
      <c r="AT663" s="331"/>
      <c r="AU663" s="331">
        <f t="shared" si="1140"/>
        <v>0</v>
      </c>
      <c r="AV663" s="331"/>
      <c r="AW663" s="331"/>
      <c r="AX663" s="331">
        <f t="shared" si="1141"/>
        <v>0</v>
      </c>
      <c r="AY663" s="331"/>
      <c r="AZ663" s="331"/>
      <c r="BA663" s="331">
        <f t="shared" si="1142"/>
        <v>0</v>
      </c>
      <c r="BB663" s="331"/>
      <c r="BC663" s="331"/>
      <c r="BD663" s="331">
        <f t="shared" si="1143"/>
        <v>0</v>
      </c>
      <c r="BE663" s="331"/>
      <c r="BF663" s="331"/>
      <c r="BG663" s="331">
        <f t="shared" si="1144"/>
        <v>0</v>
      </c>
      <c r="BH663" s="331"/>
      <c r="BI663" s="331"/>
      <c r="BJ663" s="331">
        <f t="shared" si="1145"/>
        <v>0</v>
      </c>
      <c r="BK663" s="331"/>
      <c r="BL663" s="332"/>
      <c r="BM663" s="317"/>
      <c r="BN663" s="318"/>
    </row>
    <row r="664" s="14" customFormat="1" ht="33.95" customHeight="1" outlineLevel="2" spans="2:66">
      <c r="B664" s="118" t="s">
        <v>792</v>
      </c>
      <c r="C664" s="119" t="s">
        <v>147</v>
      </c>
      <c r="D664" s="14" t="s">
        <v>148</v>
      </c>
      <c r="E664" s="118" t="s">
        <v>2313</v>
      </c>
      <c r="F664" s="118"/>
      <c r="G664" s="118" t="s">
        <v>1844</v>
      </c>
      <c r="H664" s="118">
        <f t="shared" si="1132"/>
        <v>30600</v>
      </c>
      <c r="I664" s="118" t="s">
        <v>1235</v>
      </c>
      <c r="J664" s="118">
        <v>1</v>
      </c>
      <c r="K664" s="118" t="s">
        <v>1236</v>
      </c>
      <c r="L664" s="304">
        <f>预算主表!P119/12</f>
        <v>2550</v>
      </c>
      <c r="M664" s="118" t="s">
        <v>1237</v>
      </c>
      <c r="N664" s="310">
        <v>12</v>
      </c>
      <c r="O664" s="293"/>
      <c r="P664" s="293"/>
      <c r="Q664" s="293"/>
      <c r="R664" s="293"/>
      <c r="S664" s="293"/>
      <c r="T664" s="293"/>
      <c r="U664" s="293"/>
      <c r="V664" s="293"/>
      <c r="W664" s="293"/>
      <c r="X664" s="293"/>
      <c r="Y664" s="293"/>
      <c r="Z664" s="293"/>
      <c r="AA664" s="293"/>
      <c r="AB664" s="331">
        <f t="shared" si="1133"/>
        <v>30600</v>
      </c>
      <c r="AC664" s="331">
        <f t="shared" si="1134"/>
        <v>2550</v>
      </c>
      <c r="AD664" s="331"/>
      <c r="AE664" s="331"/>
      <c r="AF664" s="331">
        <f t="shared" si="1135"/>
        <v>2550</v>
      </c>
      <c r="AG664" s="331"/>
      <c r="AH664" s="331"/>
      <c r="AI664" s="331">
        <f t="shared" si="1136"/>
        <v>2550</v>
      </c>
      <c r="AJ664" s="331"/>
      <c r="AK664" s="331"/>
      <c r="AL664" s="331">
        <f t="shared" si="1137"/>
        <v>2550</v>
      </c>
      <c r="AM664" s="331"/>
      <c r="AN664" s="331"/>
      <c r="AO664" s="331">
        <f t="shared" si="1138"/>
        <v>2550</v>
      </c>
      <c r="AP664" s="331"/>
      <c r="AQ664" s="331"/>
      <c r="AR664" s="331">
        <f t="shared" si="1139"/>
        <v>2550</v>
      </c>
      <c r="AS664" s="331"/>
      <c r="AT664" s="331"/>
      <c r="AU664" s="331">
        <f t="shared" si="1140"/>
        <v>2550</v>
      </c>
      <c r="AV664" s="331"/>
      <c r="AW664" s="331"/>
      <c r="AX664" s="331">
        <f t="shared" si="1141"/>
        <v>2550</v>
      </c>
      <c r="AY664" s="331"/>
      <c r="AZ664" s="331"/>
      <c r="BA664" s="331">
        <f t="shared" si="1142"/>
        <v>2550</v>
      </c>
      <c r="BB664" s="331"/>
      <c r="BC664" s="331"/>
      <c r="BD664" s="331">
        <f t="shared" si="1143"/>
        <v>2550</v>
      </c>
      <c r="BE664" s="331"/>
      <c r="BF664" s="331"/>
      <c r="BG664" s="331">
        <f t="shared" si="1144"/>
        <v>2550</v>
      </c>
      <c r="BH664" s="331"/>
      <c r="BI664" s="331"/>
      <c r="BJ664" s="331">
        <f t="shared" si="1145"/>
        <v>2550</v>
      </c>
      <c r="BK664" s="331"/>
      <c r="BL664" s="332"/>
      <c r="BM664" s="317"/>
      <c r="BN664" s="318"/>
    </row>
    <row r="665" s="14" customFormat="1" ht="33.95" customHeight="1" outlineLevel="2" spans="2:66">
      <c r="B665" s="118" t="s">
        <v>792</v>
      </c>
      <c r="C665" s="119" t="s">
        <v>153</v>
      </c>
      <c r="D665" s="14" t="s">
        <v>154</v>
      </c>
      <c r="E665" s="118" t="s">
        <v>2314</v>
      </c>
      <c r="F665" s="118"/>
      <c r="G665" s="118" t="s">
        <v>1844</v>
      </c>
      <c r="H665" s="118">
        <f t="shared" si="1132"/>
        <v>75000</v>
      </c>
      <c r="I665" s="118" t="s">
        <v>1235</v>
      </c>
      <c r="J665" s="118">
        <v>1</v>
      </c>
      <c r="K665" s="118" t="s">
        <v>1236</v>
      </c>
      <c r="L665" s="304">
        <f>预算主表!P125/12</f>
        <v>6250</v>
      </c>
      <c r="M665" s="118" t="s">
        <v>1237</v>
      </c>
      <c r="N665" s="310">
        <v>12</v>
      </c>
      <c r="O665" s="293"/>
      <c r="P665" s="293"/>
      <c r="Q665" s="293"/>
      <c r="R665" s="293"/>
      <c r="S665" s="293"/>
      <c r="T665" s="293"/>
      <c r="U665" s="293"/>
      <c r="V665" s="293"/>
      <c r="W665" s="293"/>
      <c r="X665" s="293"/>
      <c r="Y665" s="293"/>
      <c r="Z665" s="293"/>
      <c r="AA665" s="293"/>
      <c r="AB665" s="331">
        <f t="shared" si="1133"/>
        <v>75000</v>
      </c>
      <c r="AC665" s="331">
        <f t="shared" si="1134"/>
        <v>6250</v>
      </c>
      <c r="AD665" s="331"/>
      <c r="AE665" s="331"/>
      <c r="AF665" s="331">
        <f t="shared" si="1135"/>
        <v>6250</v>
      </c>
      <c r="AG665" s="331"/>
      <c r="AH665" s="331"/>
      <c r="AI665" s="331">
        <f t="shared" si="1136"/>
        <v>6250</v>
      </c>
      <c r="AJ665" s="331"/>
      <c r="AK665" s="331"/>
      <c r="AL665" s="331">
        <f t="shared" si="1137"/>
        <v>6250</v>
      </c>
      <c r="AM665" s="331"/>
      <c r="AN665" s="331"/>
      <c r="AO665" s="331">
        <f t="shared" si="1138"/>
        <v>6250</v>
      </c>
      <c r="AP665" s="331"/>
      <c r="AQ665" s="331"/>
      <c r="AR665" s="331">
        <f t="shared" si="1139"/>
        <v>6250</v>
      </c>
      <c r="AS665" s="331"/>
      <c r="AT665" s="331"/>
      <c r="AU665" s="331">
        <f t="shared" si="1140"/>
        <v>6250</v>
      </c>
      <c r="AV665" s="331"/>
      <c r="AW665" s="331"/>
      <c r="AX665" s="331">
        <f t="shared" si="1141"/>
        <v>6250</v>
      </c>
      <c r="AY665" s="331"/>
      <c r="AZ665" s="331"/>
      <c r="BA665" s="331">
        <f t="shared" si="1142"/>
        <v>6250</v>
      </c>
      <c r="BB665" s="331"/>
      <c r="BC665" s="331"/>
      <c r="BD665" s="331">
        <f t="shared" si="1143"/>
        <v>6250</v>
      </c>
      <c r="BE665" s="331"/>
      <c r="BF665" s="331"/>
      <c r="BG665" s="331">
        <f t="shared" si="1144"/>
        <v>6250</v>
      </c>
      <c r="BH665" s="331"/>
      <c r="BI665" s="331"/>
      <c r="BJ665" s="331">
        <f t="shared" si="1145"/>
        <v>6250</v>
      </c>
      <c r="BK665" s="331"/>
      <c r="BL665" s="332"/>
      <c r="BM665" s="317"/>
      <c r="BN665" s="318"/>
    </row>
    <row r="666" s="14" customFormat="1" ht="33.95" customHeight="1" outlineLevel="2" spans="2:66">
      <c r="B666" s="118" t="s">
        <v>792</v>
      </c>
      <c r="C666" s="119" t="s">
        <v>157</v>
      </c>
      <c r="D666" s="14" t="s">
        <v>158</v>
      </c>
      <c r="E666" s="118" t="s">
        <v>2315</v>
      </c>
      <c r="F666" s="118"/>
      <c r="G666" s="118" t="s">
        <v>1844</v>
      </c>
      <c r="H666" s="118">
        <f t="shared" si="1132"/>
        <v>0</v>
      </c>
      <c r="I666" s="118" t="s">
        <v>1235</v>
      </c>
      <c r="J666" s="118">
        <v>1</v>
      </c>
      <c r="K666" s="118" t="s">
        <v>1236</v>
      </c>
      <c r="L666" s="304">
        <f>预算主表!P127/12</f>
        <v>0</v>
      </c>
      <c r="M666" s="118" t="s">
        <v>1237</v>
      </c>
      <c r="N666" s="310">
        <v>12</v>
      </c>
      <c r="O666" s="293"/>
      <c r="P666" s="293"/>
      <c r="Q666" s="293"/>
      <c r="R666" s="293"/>
      <c r="S666" s="293"/>
      <c r="T666" s="293"/>
      <c r="U666" s="293"/>
      <c r="V666" s="293"/>
      <c r="W666" s="293"/>
      <c r="X666" s="293"/>
      <c r="Y666" s="293"/>
      <c r="Z666" s="293"/>
      <c r="AA666" s="293"/>
      <c r="AB666" s="331">
        <f t="shared" si="1133"/>
        <v>0</v>
      </c>
      <c r="AC666" s="331">
        <f t="shared" si="1134"/>
        <v>0</v>
      </c>
      <c r="AD666" s="331"/>
      <c r="AE666" s="331"/>
      <c r="AF666" s="331">
        <f t="shared" si="1135"/>
        <v>0</v>
      </c>
      <c r="AG666" s="331"/>
      <c r="AH666" s="331"/>
      <c r="AI666" s="331">
        <f t="shared" si="1136"/>
        <v>0</v>
      </c>
      <c r="AJ666" s="331"/>
      <c r="AK666" s="331"/>
      <c r="AL666" s="331">
        <f t="shared" si="1137"/>
        <v>0</v>
      </c>
      <c r="AM666" s="331"/>
      <c r="AN666" s="331"/>
      <c r="AO666" s="331">
        <f t="shared" si="1138"/>
        <v>0</v>
      </c>
      <c r="AP666" s="331"/>
      <c r="AQ666" s="331"/>
      <c r="AR666" s="331">
        <f t="shared" si="1139"/>
        <v>0</v>
      </c>
      <c r="AS666" s="331"/>
      <c r="AT666" s="331"/>
      <c r="AU666" s="331">
        <f t="shared" si="1140"/>
        <v>0</v>
      </c>
      <c r="AV666" s="331"/>
      <c r="AW666" s="331"/>
      <c r="AX666" s="331">
        <f t="shared" si="1141"/>
        <v>0</v>
      </c>
      <c r="AY666" s="331"/>
      <c r="AZ666" s="331"/>
      <c r="BA666" s="331">
        <f t="shared" si="1142"/>
        <v>0</v>
      </c>
      <c r="BB666" s="331"/>
      <c r="BC666" s="331"/>
      <c r="BD666" s="331">
        <f t="shared" si="1143"/>
        <v>0</v>
      </c>
      <c r="BE666" s="331"/>
      <c r="BF666" s="331"/>
      <c r="BG666" s="331">
        <f t="shared" si="1144"/>
        <v>0</v>
      </c>
      <c r="BH666" s="331"/>
      <c r="BI666" s="331"/>
      <c r="BJ666" s="331">
        <f t="shared" si="1145"/>
        <v>0</v>
      </c>
      <c r="BK666" s="331"/>
      <c r="BL666" s="332"/>
      <c r="BM666" s="317"/>
      <c r="BN666" s="318"/>
    </row>
    <row r="667" s="14" customFormat="1" ht="33.95" customHeight="1" outlineLevel="2" spans="2:66">
      <c r="B667" s="118" t="s">
        <v>792</v>
      </c>
      <c r="C667" s="119" t="s">
        <v>78</v>
      </c>
      <c r="D667" s="14" t="s">
        <v>79</v>
      </c>
      <c r="E667" s="118" t="s">
        <v>2316</v>
      </c>
      <c r="F667" s="118"/>
      <c r="G667" s="118" t="s">
        <v>1844</v>
      </c>
      <c r="H667" s="118">
        <f t="shared" si="1132"/>
        <v>0</v>
      </c>
      <c r="I667" s="118" t="s">
        <v>1235</v>
      </c>
      <c r="J667" s="118">
        <v>1</v>
      </c>
      <c r="K667" s="118" t="s">
        <v>1236</v>
      </c>
      <c r="L667" s="304">
        <f>预算主表!P98/12</f>
        <v>0</v>
      </c>
      <c r="M667" s="118" t="s">
        <v>1237</v>
      </c>
      <c r="N667" s="310">
        <v>12</v>
      </c>
      <c r="O667" s="293"/>
      <c r="P667" s="293"/>
      <c r="Q667" s="293"/>
      <c r="R667" s="293"/>
      <c r="S667" s="293"/>
      <c r="T667" s="293"/>
      <c r="U667" s="293"/>
      <c r="V667" s="293"/>
      <c r="W667" s="293"/>
      <c r="X667" s="293"/>
      <c r="Y667" s="293"/>
      <c r="Z667" s="293"/>
      <c r="AA667" s="293"/>
      <c r="AB667" s="331">
        <f t="shared" si="1133"/>
        <v>0</v>
      </c>
      <c r="AC667" s="331">
        <f t="shared" si="1134"/>
        <v>0</v>
      </c>
      <c r="AD667" s="331"/>
      <c r="AE667" s="331"/>
      <c r="AF667" s="331">
        <f t="shared" si="1135"/>
        <v>0</v>
      </c>
      <c r="AG667" s="331"/>
      <c r="AH667" s="331"/>
      <c r="AI667" s="331">
        <f t="shared" si="1136"/>
        <v>0</v>
      </c>
      <c r="AJ667" s="331"/>
      <c r="AK667" s="331"/>
      <c r="AL667" s="331">
        <f t="shared" si="1137"/>
        <v>0</v>
      </c>
      <c r="AM667" s="331"/>
      <c r="AN667" s="331"/>
      <c r="AO667" s="331">
        <f t="shared" si="1138"/>
        <v>0</v>
      </c>
      <c r="AP667" s="331"/>
      <c r="AQ667" s="331"/>
      <c r="AR667" s="331">
        <f t="shared" si="1139"/>
        <v>0</v>
      </c>
      <c r="AS667" s="331"/>
      <c r="AT667" s="331"/>
      <c r="AU667" s="331">
        <f t="shared" si="1140"/>
        <v>0</v>
      </c>
      <c r="AV667" s="331"/>
      <c r="AW667" s="331"/>
      <c r="AX667" s="331">
        <f t="shared" si="1141"/>
        <v>0</v>
      </c>
      <c r="AY667" s="331"/>
      <c r="AZ667" s="331"/>
      <c r="BA667" s="331">
        <f t="shared" si="1142"/>
        <v>0</v>
      </c>
      <c r="BB667" s="331"/>
      <c r="BC667" s="331"/>
      <c r="BD667" s="331">
        <f t="shared" si="1143"/>
        <v>0</v>
      </c>
      <c r="BE667" s="331"/>
      <c r="BF667" s="331"/>
      <c r="BG667" s="331">
        <f t="shared" si="1144"/>
        <v>0</v>
      </c>
      <c r="BH667" s="331"/>
      <c r="BI667" s="331"/>
      <c r="BJ667" s="331">
        <f t="shared" si="1145"/>
        <v>0</v>
      </c>
      <c r="BK667" s="331"/>
      <c r="BL667" s="332"/>
      <c r="BM667" s="317"/>
      <c r="BN667" s="318"/>
    </row>
    <row r="668" s="114" customFormat="1" ht="33.95" customHeight="1" outlineLevel="1" spans="2:66">
      <c r="B668" s="115" t="s">
        <v>787</v>
      </c>
      <c r="C668" s="116">
        <v>1.6</v>
      </c>
      <c r="D668" s="114" t="s">
        <v>217</v>
      </c>
      <c r="F668" s="114" t="s">
        <v>2317</v>
      </c>
      <c r="G668" s="115"/>
      <c r="H668" s="115">
        <f>H669+H691+H692+H693+H694</f>
        <v>1257459.96226415</v>
      </c>
      <c r="N668" s="309"/>
      <c r="O668" s="292"/>
      <c r="P668" s="292"/>
      <c r="Q668" s="292"/>
      <c r="R668" s="292"/>
      <c r="S668" s="292"/>
      <c r="T668" s="292"/>
      <c r="U668" s="292"/>
      <c r="V668" s="292"/>
      <c r="W668" s="292"/>
      <c r="X668" s="292"/>
      <c r="Y668" s="292"/>
      <c r="Z668" s="292"/>
      <c r="AA668" s="292"/>
      <c r="AB668" s="115">
        <f t="shared" ref="AB668:AF668" si="1146">AB669+AB691+AB692+AB693+AB694</f>
        <v>1257459.96226415</v>
      </c>
      <c r="AC668" s="115">
        <f t="shared" si="1146"/>
        <v>1170301.46226415</v>
      </c>
      <c r="AF668" s="115">
        <f t="shared" si="1146"/>
        <v>7923.5</v>
      </c>
      <c r="AI668" s="115">
        <f>AI669+AI691+AI692+AI693+AI694</f>
        <v>7923.5</v>
      </c>
      <c r="AL668" s="115">
        <f>AL669+AL691+AL692+AL693+AL694</f>
        <v>7923.5</v>
      </c>
      <c r="AO668" s="115">
        <f>AO669+AO691+AO692+AO693+AO694</f>
        <v>7923.5</v>
      </c>
      <c r="AR668" s="115">
        <f>AR669+AR691+AR692+AR693+AR694</f>
        <v>7923.5</v>
      </c>
      <c r="AU668" s="115">
        <f>AU669+AU691+AU692+AU693+AU694</f>
        <v>7923.5</v>
      </c>
      <c r="AX668" s="115">
        <f>AX669+AX691+AX692+AX693+AX694</f>
        <v>7923.5</v>
      </c>
      <c r="BA668" s="115">
        <f>BA669+BA691+BA692+BA693+BA694</f>
        <v>7923.5</v>
      </c>
      <c r="BD668" s="115">
        <f>BD669+BD691+BD692+BD693+BD694</f>
        <v>7923.5</v>
      </c>
      <c r="BG668" s="115">
        <f>BG669+BG691+BG692+BG693+BG694</f>
        <v>7923.5</v>
      </c>
      <c r="BJ668" s="115">
        <f>BJ669+BJ691+BJ692+BJ693+BJ694</f>
        <v>7923.5</v>
      </c>
      <c r="BL668" s="309"/>
      <c r="BM668" s="317"/>
      <c r="BN668" s="292"/>
    </row>
    <row r="669" s="14" customFormat="1" ht="33.95" customHeight="1" outlineLevel="2" spans="2:66">
      <c r="B669" s="118" t="s">
        <v>787</v>
      </c>
      <c r="C669" s="119" t="s">
        <v>2318</v>
      </c>
      <c r="D669" s="14" t="s">
        <v>2319</v>
      </c>
      <c r="G669" s="118"/>
      <c r="H669" s="118">
        <f>SUM(H670:H690)</f>
        <v>95082</v>
      </c>
      <c r="I669" s="118"/>
      <c r="N669" s="330"/>
      <c r="O669" s="293"/>
      <c r="P669" s="293"/>
      <c r="Q669" s="293"/>
      <c r="R669" s="293"/>
      <c r="S669" s="293"/>
      <c r="T669" s="293"/>
      <c r="U669" s="293"/>
      <c r="V669" s="293"/>
      <c r="W669" s="293"/>
      <c r="X669" s="293"/>
      <c r="Y669" s="293"/>
      <c r="Z669" s="293"/>
      <c r="AA669" s="318"/>
      <c r="AB669" s="118">
        <f t="shared" ref="AB669:AF669" si="1147">SUM(AB670:AB690)</f>
        <v>95082</v>
      </c>
      <c r="AC669" s="118">
        <f t="shared" si="1147"/>
        <v>7923.5</v>
      </c>
      <c r="AF669" s="118">
        <f t="shared" si="1147"/>
        <v>7923.5</v>
      </c>
      <c r="AI669" s="118">
        <f>SUM(AI670:AI690)</f>
        <v>7923.5</v>
      </c>
      <c r="AL669" s="118">
        <f>SUM(AL670:AL690)</f>
        <v>7923.5</v>
      </c>
      <c r="AO669" s="118">
        <f>SUM(AO670:AO690)</f>
        <v>7923.5</v>
      </c>
      <c r="AR669" s="118">
        <f>SUM(AR670:AR690)</f>
        <v>7923.5</v>
      </c>
      <c r="AU669" s="118">
        <f>SUM(AU670:AU690)</f>
        <v>7923.5</v>
      </c>
      <c r="AX669" s="118">
        <f>SUM(AX670:AX690)</f>
        <v>7923.5</v>
      </c>
      <c r="BA669" s="118">
        <f>SUM(BA670:BA690)</f>
        <v>7923.5</v>
      </c>
      <c r="BD669" s="118">
        <f>SUM(BD670:BD690)</f>
        <v>7923.5</v>
      </c>
      <c r="BG669" s="118">
        <f>SUM(BG670:BG690)</f>
        <v>7923.5</v>
      </c>
      <c r="BJ669" s="118">
        <f>SUM(BJ670:BJ690)</f>
        <v>7923.5</v>
      </c>
      <c r="BL669" s="330"/>
      <c r="BM669" s="317"/>
      <c r="BN669" s="318"/>
    </row>
    <row r="670" s="43" customFormat="1" ht="33.95" customHeight="1" outlineLevel="3" spans="2:66">
      <c r="B670" s="121" t="s">
        <v>792</v>
      </c>
      <c r="C670" s="122" t="s">
        <v>2320</v>
      </c>
      <c r="D670" s="43" t="s">
        <v>2321</v>
      </c>
      <c r="F670" s="121" t="s">
        <v>1618</v>
      </c>
      <c r="G670" s="121" t="s">
        <v>936</v>
      </c>
      <c r="H670" s="121">
        <f t="shared" ref="H670:H681" si="1148">J670*L670</f>
        <v>0</v>
      </c>
      <c r="I670" s="121" t="s">
        <v>1235</v>
      </c>
      <c r="J670" s="304"/>
      <c r="K670" s="121" t="s">
        <v>1389</v>
      </c>
      <c r="L670" s="121">
        <v>1700</v>
      </c>
      <c r="M670" s="121" t="s">
        <v>1668</v>
      </c>
      <c r="N670" s="121">
        <f t="shared" ref="N670:N681" si="1149">COUNTA(O670:Z670)</f>
        <v>0</v>
      </c>
      <c r="O670" s="323"/>
      <c r="P670" s="323"/>
      <c r="Q670" s="323"/>
      <c r="R670" s="323"/>
      <c r="S670" s="323"/>
      <c r="T670" s="323"/>
      <c r="U670" s="323"/>
      <c r="V670" s="323"/>
      <c r="W670" s="323"/>
      <c r="X670" s="323"/>
      <c r="Y670" s="323"/>
      <c r="Z670" s="323"/>
      <c r="AA670" s="121"/>
      <c r="AB670" s="121">
        <f t="shared" ref="AB670:AB681" si="1150">SUM(AC670,AF670,AI670,AL670,AO670,AR670,AU670,AX670,BA670,BD670,BG670,BJ670)</f>
        <v>0</v>
      </c>
      <c r="AC670" s="121">
        <f t="shared" ref="AC670:AC681" si="1151">IF(O670="√",$J670*$L670/$N670,0)</f>
        <v>0</v>
      </c>
      <c r="AD670" s="121"/>
      <c r="AE670" s="121"/>
      <c r="AF670" s="121">
        <f t="shared" ref="AF670:AF681" si="1152">IF(P670="√",$J670*$L670/$N670,0)</f>
        <v>0</v>
      </c>
      <c r="AG670" s="121"/>
      <c r="AH670" s="121"/>
      <c r="AI670" s="121">
        <f t="shared" ref="AI670:AI681" si="1153">IF(Q670="√",$J670*$L670/$N670,0)</f>
        <v>0</v>
      </c>
      <c r="AJ670" s="121"/>
      <c r="AK670" s="121"/>
      <c r="AL670" s="121">
        <f t="shared" ref="AL670:AL681" si="1154">IF(R670="√",$J670*$L670/$N670,0)</f>
        <v>0</v>
      </c>
      <c r="AM670" s="121"/>
      <c r="AN670" s="121"/>
      <c r="AO670" s="121">
        <f t="shared" ref="AO670:AO681" si="1155">IF(S670="√",$J670*$L670/$N670,0)</f>
        <v>0</v>
      </c>
      <c r="AP670" s="121"/>
      <c r="AQ670" s="121"/>
      <c r="AR670" s="121">
        <f t="shared" ref="AR670:AR681" si="1156">IF(T670="√",$J670*$L670/$N670,0)</f>
        <v>0</v>
      </c>
      <c r="AS670" s="121"/>
      <c r="AT670" s="121"/>
      <c r="AU670" s="121">
        <f t="shared" ref="AU670:AU681" si="1157">IF(U670="√",$J670*$L670/$N670,0)</f>
        <v>0</v>
      </c>
      <c r="AV670" s="121"/>
      <c r="AW670" s="121"/>
      <c r="AX670" s="121">
        <f t="shared" ref="AX670:AX681" si="1158">IF(V670="√",$J670*$L670/$N670,0)</f>
        <v>0</v>
      </c>
      <c r="AY670" s="121"/>
      <c r="AZ670" s="121"/>
      <c r="BA670" s="121">
        <f t="shared" ref="BA670:BA681" si="1159">IF(W670="√",$J670*$L670/$N670,0)</f>
        <v>0</v>
      </c>
      <c r="BB670" s="121"/>
      <c r="BC670" s="121"/>
      <c r="BD670" s="121">
        <f t="shared" ref="BD670:BD681" si="1160">IF(X670="√",$J670*$L670/$N670,0)</f>
        <v>0</v>
      </c>
      <c r="BE670" s="121"/>
      <c r="BF670" s="121"/>
      <c r="BG670" s="121">
        <f t="shared" ref="BG670:BG681" si="1161">IF(Y670="√",$J670*$L670/$N670,0)</f>
        <v>0</v>
      </c>
      <c r="BH670" s="121"/>
      <c r="BI670" s="121"/>
      <c r="BJ670" s="121">
        <f t="shared" ref="BJ670:BJ681" si="1162">IF(Z670="√",$J670*$L670/$N670,0)</f>
        <v>0</v>
      </c>
      <c r="BK670" s="121"/>
      <c r="BL670" s="311"/>
      <c r="BM670" s="317"/>
      <c r="BN670" s="319"/>
    </row>
    <row r="671" s="43" customFormat="1" ht="33.95" customHeight="1" outlineLevel="3" spans="2:66">
      <c r="B671" s="121" t="s">
        <v>792</v>
      </c>
      <c r="C671" s="122" t="s">
        <v>2322</v>
      </c>
      <c r="D671" s="43" t="s">
        <v>2323</v>
      </c>
      <c r="F671" s="121" t="s">
        <v>1618</v>
      </c>
      <c r="G671" s="121" t="s">
        <v>936</v>
      </c>
      <c r="H671" s="121">
        <f t="shared" si="1148"/>
        <v>0</v>
      </c>
      <c r="I671" s="121" t="s">
        <v>1235</v>
      </c>
      <c r="J671" s="304"/>
      <c r="K671" s="121" t="s">
        <v>1389</v>
      </c>
      <c r="L671" s="121">
        <v>510</v>
      </c>
      <c r="M671" s="121" t="s">
        <v>1668</v>
      </c>
      <c r="N671" s="121">
        <f t="shared" si="1149"/>
        <v>0</v>
      </c>
      <c r="O671" s="304"/>
      <c r="P671" s="304"/>
      <c r="Q671" s="304"/>
      <c r="R671" s="304"/>
      <c r="S671" s="304"/>
      <c r="T671" s="304"/>
      <c r="U671" s="304"/>
      <c r="V671" s="304"/>
      <c r="W671" s="304"/>
      <c r="X671" s="304"/>
      <c r="Y671" s="304"/>
      <c r="Z671" s="304"/>
      <c r="AA671" s="121"/>
      <c r="AB671" s="121">
        <f t="shared" si="1150"/>
        <v>0</v>
      </c>
      <c r="AC671" s="121">
        <f t="shared" si="1151"/>
        <v>0</v>
      </c>
      <c r="AD671" s="121"/>
      <c r="AE671" s="121"/>
      <c r="AF671" s="121">
        <f t="shared" si="1152"/>
        <v>0</v>
      </c>
      <c r="AG671" s="121"/>
      <c r="AH671" s="121"/>
      <c r="AI671" s="121">
        <f t="shared" si="1153"/>
        <v>0</v>
      </c>
      <c r="AJ671" s="121"/>
      <c r="AK671" s="121"/>
      <c r="AL671" s="121">
        <f t="shared" si="1154"/>
        <v>0</v>
      </c>
      <c r="AM671" s="121"/>
      <c r="AN671" s="121"/>
      <c r="AO671" s="121">
        <f t="shared" si="1155"/>
        <v>0</v>
      </c>
      <c r="AP671" s="121"/>
      <c r="AQ671" s="121"/>
      <c r="AR671" s="121">
        <f t="shared" si="1156"/>
        <v>0</v>
      </c>
      <c r="AS671" s="121"/>
      <c r="AT671" s="121"/>
      <c r="AU671" s="121">
        <f t="shared" si="1157"/>
        <v>0</v>
      </c>
      <c r="AV671" s="121"/>
      <c r="AW671" s="121"/>
      <c r="AX671" s="121">
        <f t="shared" si="1158"/>
        <v>0</v>
      </c>
      <c r="AY671" s="121"/>
      <c r="AZ671" s="121"/>
      <c r="BA671" s="121">
        <f t="shared" si="1159"/>
        <v>0</v>
      </c>
      <c r="BB671" s="121"/>
      <c r="BC671" s="121"/>
      <c r="BD671" s="121">
        <f t="shared" si="1160"/>
        <v>0</v>
      </c>
      <c r="BE671" s="121"/>
      <c r="BF671" s="121"/>
      <c r="BG671" s="121">
        <f t="shared" si="1161"/>
        <v>0</v>
      </c>
      <c r="BH671" s="121"/>
      <c r="BI671" s="121"/>
      <c r="BJ671" s="121">
        <f t="shared" si="1162"/>
        <v>0</v>
      </c>
      <c r="BK671" s="121"/>
      <c r="BL671" s="311"/>
      <c r="BM671" s="317"/>
      <c r="BN671" s="319"/>
    </row>
    <row r="672" s="43" customFormat="1" ht="33.95" customHeight="1" outlineLevel="3" spans="2:66">
      <c r="B672" s="121" t="s">
        <v>792</v>
      </c>
      <c r="C672" s="122" t="s">
        <v>2324</v>
      </c>
      <c r="D672" s="43" t="s">
        <v>2325</v>
      </c>
      <c r="F672" s="121" t="s">
        <v>1618</v>
      </c>
      <c r="G672" s="121" t="s">
        <v>936</v>
      </c>
      <c r="H672" s="121">
        <f t="shared" si="1148"/>
        <v>0</v>
      </c>
      <c r="I672" s="121" t="s">
        <v>1235</v>
      </c>
      <c r="J672" s="304"/>
      <c r="K672" s="121" t="s">
        <v>1389</v>
      </c>
      <c r="L672" s="121">
        <v>200</v>
      </c>
      <c r="M672" s="121" t="s">
        <v>1668</v>
      </c>
      <c r="N672" s="121">
        <f t="shared" si="1149"/>
        <v>0</v>
      </c>
      <c r="O672" s="304"/>
      <c r="P672" s="304"/>
      <c r="Q672" s="304"/>
      <c r="R672" s="304"/>
      <c r="S672" s="304"/>
      <c r="T672" s="304"/>
      <c r="U672" s="304"/>
      <c r="V672" s="304"/>
      <c r="W672" s="304"/>
      <c r="X672" s="304"/>
      <c r="Y672" s="304"/>
      <c r="Z672" s="304"/>
      <c r="AA672" s="121"/>
      <c r="AB672" s="121">
        <f t="shared" si="1150"/>
        <v>0</v>
      </c>
      <c r="AC672" s="121">
        <f t="shared" si="1151"/>
        <v>0</v>
      </c>
      <c r="AD672" s="121"/>
      <c r="AE672" s="121"/>
      <c r="AF672" s="121">
        <f t="shared" si="1152"/>
        <v>0</v>
      </c>
      <c r="AG672" s="121"/>
      <c r="AH672" s="121"/>
      <c r="AI672" s="121">
        <f t="shared" si="1153"/>
        <v>0</v>
      </c>
      <c r="AJ672" s="121"/>
      <c r="AK672" s="121"/>
      <c r="AL672" s="121">
        <f t="shared" si="1154"/>
        <v>0</v>
      </c>
      <c r="AM672" s="121"/>
      <c r="AN672" s="121"/>
      <c r="AO672" s="121">
        <f t="shared" si="1155"/>
        <v>0</v>
      </c>
      <c r="AP672" s="121"/>
      <c r="AQ672" s="121"/>
      <c r="AR672" s="121">
        <f t="shared" si="1156"/>
        <v>0</v>
      </c>
      <c r="AS672" s="121"/>
      <c r="AT672" s="121"/>
      <c r="AU672" s="121">
        <f t="shared" si="1157"/>
        <v>0</v>
      </c>
      <c r="AV672" s="121"/>
      <c r="AW672" s="121"/>
      <c r="AX672" s="121">
        <f t="shared" si="1158"/>
        <v>0</v>
      </c>
      <c r="AY672" s="121"/>
      <c r="AZ672" s="121"/>
      <c r="BA672" s="121">
        <f t="shared" si="1159"/>
        <v>0</v>
      </c>
      <c r="BB672" s="121"/>
      <c r="BC672" s="121"/>
      <c r="BD672" s="121">
        <f t="shared" si="1160"/>
        <v>0</v>
      </c>
      <c r="BE672" s="121"/>
      <c r="BF672" s="121"/>
      <c r="BG672" s="121">
        <f t="shared" si="1161"/>
        <v>0</v>
      </c>
      <c r="BH672" s="121"/>
      <c r="BI672" s="121"/>
      <c r="BJ672" s="121">
        <f t="shared" si="1162"/>
        <v>0</v>
      </c>
      <c r="BK672" s="121"/>
      <c r="BL672" s="311"/>
      <c r="BM672" s="317"/>
      <c r="BN672" s="319"/>
    </row>
    <row r="673" s="43" customFormat="1" ht="33.95" customHeight="1" outlineLevel="3" spans="2:66">
      <c r="B673" s="121" t="s">
        <v>792</v>
      </c>
      <c r="C673" s="122" t="s">
        <v>2326</v>
      </c>
      <c r="D673" s="43" t="s">
        <v>2327</v>
      </c>
      <c r="E673" s="121" t="s">
        <v>2328</v>
      </c>
      <c r="F673" s="121" t="s">
        <v>1618</v>
      </c>
      <c r="G673" s="121" t="s">
        <v>936</v>
      </c>
      <c r="H673" s="121">
        <f t="shared" si="1148"/>
        <v>0</v>
      </c>
      <c r="I673" s="121" t="s">
        <v>1235</v>
      </c>
      <c r="J673" s="304"/>
      <c r="K673" s="121" t="s">
        <v>1389</v>
      </c>
      <c r="L673" s="121">
        <v>450</v>
      </c>
      <c r="M673" s="121" t="s">
        <v>1668</v>
      </c>
      <c r="N673" s="121">
        <f t="shared" si="1149"/>
        <v>0</v>
      </c>
      <c r="O673" s="304"/>
      <c r="P673" s="304"/>
      <c r="Q673" s="304"/>
      <c r="R673" s="304"/>
      <c r="S673" s="304"/>
      <c r="T673" s="304"/>
      <c r="U673" s="304"/>
      <c r="V673" s="304"/>
      <c r="W673" s="304"/>
      <c r="X673" s="304"/>
      <c r="Y673" s="304"/>
      <c r="Z673" s="304"/>
      <c r="AA673" s="121"/>
      <c r="AB673" s="121">
        <f t="shared" si="1150"/>
        <v>0</v>
      </c>
      <c r="AC673" s="121">
        <f t="shared" si="1151"/>
        <v>0</v>
      </c>
      <c r="AD673" s="121"/>
      <c r="AE673" s="121"/>
      <c r="AF673" s="121">
        <f t="shared" si="1152"/>
        <v>0</v>
      </c>
      <c r="AG673" s="121"/>
      <c r="AH673" s="121"/>
      <c r="AI673" s="121">
        <f t="shared" si="1153"/>
        <v>0</v>
      </c>
      <c r="AJ673" s="121"/>
      <c r="AK673" s="121"/>
      <c r="AL673" s="121">
        <f t="shared" si="1154"/>
        <v>0</v>
      </c>
      <c r="AM673" s="121"/>
      <c r="AN673" s="121"/>
      <c r="AO673" s="121">
        <f t="shared" si="1155"/>
        <v>0</v>
      </c>
      <c r="AP673" s="121"/>
      <c r="AQ673" s="121"/>
      <c r="AR673" s="121">
        <f t="shared" si="1156"/>
        <v>0</v>
      </c>
      <c r="AS673" s="121"/>
      <c r="AT673" s="121"/>
      <c r="AU673" s="121">
        <f t="shared" si="1157"/>
        <v>0</v>
      </c>
      <c r="AV673" s="121"/>
      <c r="AW673" s="121"/>
      <c r="AX673" s="121">
        <f t="shared" si="1158"/>
        <v>0</v>
      </c>
      <c r="AY673" s="121"/>
      <c r="AZ673" s="121"/>
      <c r="BA673" s="121">
        <f t="shared" si="1159"/>
        <v>0</v>
      </c>
      <c r="BB673" s="121"/>
      <c r="BC673" s="121"/>
      <c r="BD673" s="121">
        <f t="shared" si="1160"/>
        <v>0</v>
      </c>
      <c r="BE673" s="121"/>
      <c r="BF673" s="121"/>
      <c r="BG673" s="121">
        <f t="shared" si="1161"/>
        <v>0</v>
      </c>
      <c r="BH673" s="121"/>
      <c r="BI673" s="121"/>
      <c r="BJ673" s="121">
        <f t="shared" si="1162"/>
        <v>0</v>
      </c>
      <c r="BK673" s="121"/>
      <c r="BL673" s="311"/>
      <c r="BM673" s="317"/>
      <c r="BN673" s="319"/>
    </row>
    <row r="674" s="43" customFormat="1" ht="33.95" customHeight="1" outlineLevel="3" spans="2:66">
      <c r="B674" s="121" t="s">
        <v>792</v>
      </c>
      <c r="C674" s="122" t="s">
        <v>2329</v>
      </c>
      <c r="D674" s="43" t="s">
        <v>2330</v>
      </c>
      <c r="E674" s="121" t="s">
        <v>2331</v>
      </c>
      <c r="F674" s="121" t="s">
        <v>1618</v>
      </c>
      <c r="G674" s="121" t="s">
        <v>936</v>
      </c>
      <c r="H674" s="121">
        <f t="shared" si="1148"/>
        <v>0</v>
      </c>
      <c r="I674" s="121" t="s">
        <v>1235</v>
      </c>
      <c r="J674" s="304"/>
      <c r="K674" s="121" t="s">
        <v>1389</v>
      </c>
      <c r="L674" s="121">
        <v>460</v>
      </c>
      <c r="M674" s="121" t="s">
        <v>1668</v>
      </c>
      <c r="N674" s="121">
        <f t="shared" si="1149"/>
        <v>0</v>
      </c>
      <c r="O674" s="304"/>
      <c r="P674" s="304"/>
      <c r="Q674" s="304"/>
      <c r="R674" s="304"/>
      <c r="S674" s="304"/>
      <c r="T674" s="304"/>
      <c r="U674" s="304"/>
      <c r="V674" s="304"/>
      <c r="W674" s="304"/>
      <c r="X674" s="304"/>
      <c r="Y674" s="304"/>
      <c r="Z674" s="304"/>
      <c r="AA674" s="121"/>
      <c r="AB674" s="121">
        <f t="shared" si="1150"/>
        <v>0</v>
      </c>
      <c r="AC674" s="121">
        <f t="shared" si="1151"/>
        <v>0</v>
      </c>
      <c r="AD674" s="121"/>
      <c r="AE674" s="121"/>
      <c r="AF674" s="121">
        <f t="shared" si="1152"/>
        <v>0</v>
      </c>
      <c r="AG674" s="121"/>
      <c r="AH674" s="121"/>
      <c r="AI674" s="121">
        <f t="shared" si="1153"/>
        <v>0</v>
      </c>
      <c r="AJ674" s="121"/>
      <c r="AK674" s="121"/>
      <c r="AL674" s="121">
        <f t="shared" si="1154"/>
        <v>0</v>
      </c>
      <c r="AM674" s="121"/>
      <c r="AN674" s="121"/>
      <c r="AO674" s="121">
        <f t="shared" si="1155"/>
        <v>0</v>
      </c>
      <c r="AP674" s="121"/>
      <c r="AQ674" s="121"/>
      <c r="AR674" s="121">
        <f t="shared" si="1156"/>
        <v>0</v>
      </c>
      <c r="AS674" s="121"/>
      <c r="AT674" s="121"/>
      <c r="AU674" s="121">
        <f t="shared" si="1157"/>
        <v>0</v>
      </c>
      <c r="AV674" s="121"/>
      <c r="AW674" s="121"/>
      <c r="AX674" s="121">
        <f t="shared" si="1158"/>
        <v>0</v>
      </c>
      <c r="AY674" s="121"/>
      <c r="AZ674" s="121"/>
      <c r="BA674" s="121">
        <f t="shared" si="1159"/>
        <v>0</v>
      </c>
      <c r="BB674" s="121"/>
      <c r="BC674" s="121"/>
      <c r="BD674" s="121">
        <f t="shared" si="1160"/>
        <v>0</v>
      </c>
      <c r="BE674" s="121"/>
      <c r="BF674" s="121"/>
      <c r="BG674" s="121">
        <f t="shared" si="1161"/>
        <v>0</v>
      </c>
      <c r="BH674" s="121"/>
      <c r="BI674" s="121"/>
      <c r="BJ674" s="121">
        <f t="shared" si="1162"/>
        <v>0</v>
      </c>
      <c r="BK674" s="121"/>
      <c r="BL674" s="311"/>
      <c r="BM674" s="317"/>
      <c r="BN674" s="319"/>
    </row>
    <row r="675" s="43" customFormat="1" ht="33.95" customHeight="1" outlineLevel="3" spans="2:66">
      <c r="B675" s="121" t="s">
        <v>792</v>
      </c>
      <c r="C675" s="122" t="s">
        <v>2332</v>
      </c>
      <c r="D675" s="43" t="s">
        <v>2333</v>
      </c>
      <c r="E675" s="121" t="s">
        <v>2334</v>
      </c>
      <c r="F675" s="121" t="s">
        <v>1618</v>
      </c>
      <c r="G675" s="121" t="s">
        <v>936</v>
      </c>
      <c r="H675" s="121">
        <f t="shared" si="1148"/>
        <v>0</v>
      </c>
      <c r="I675" s="121" t="s">
        <v>1235</v>
      </c>
      <c r="J675" s="304"/>
      <c r="K675" s="121" t="s">
        <v>1389</v>
      </c>
      <c r="L675" s="121">
        <v>1300</v>
      </c>
      <c r="M675" s="121" t="s">
        <v>1668</v>
      </c>
      <c r="N675" s="121">
        <f t="shared" si="1149"/>
        <v>0</v>
      </c>
      <c r="O675" s="304"/>
      <c r="P675" s="304"/>
      <c r="Q675" s="304"/>
      <c r="R675" s="304"/>
      <c r="S675" s="304"/>
      <c r="T675" s="304"/>
      <c r="U675" s="304"/>
      <c r="V675" s="304"/>
      <c r="W675" s="304"/>
      <c r="X675" s="304"/>
      <c r="Y675" s="304"/>
      <c r="Z675" s="304"/>
      <c r="AA675" s="121"/>
      <c r="AB675" s="121">
        <f t="shared" si="1150"/>
        <v>0</v>
      </c>
      <c r="AC675" s="121">
        <f t="shared" si="1151"/>
        <v>0</v>
      </c>
      <c r="AD675" s="121"/>
      <c r="AE675" s="121"/>
      <c r="AF675" s="121">
        <f t="shared" si="1152"/>
        <v>0</v>
      </c>
      <c r="AG675" s="121"/>
      <c r="AH675" s="121"/>
      <c r="AI675" s="121">
        <f t="shared" si="1153"/>
        <v>0</v>
      </c>
      <c r="AJ675" s="121"/>
      <c r="AK675" s="121"/>
      <c r="AL675" s="121">
        <f t="shared" si="1154"/>
        <v>0</v>
      </c>
      <c r="AM675" s="121"/>
      <c r="AN675" s="121"/>
      <c r="AO675" s="121">
        <f t="shared" si="1155"/>
        <v>0</v>
      </c>
      <c r="AP675" s="121"/>
      <c r="AQ675" s="121"/>
      <c r="AR675" s="121">
        <f t="shared" si="1156"/>
        <v>0</v>
      </c>
      <c r="AS675" s="121"/>
      <c r="AT675" s="121"/>
      <c r="AU675" s="121">
        <f t="shared" si="1157"/>
        <v>0</v>
      </c>
      <c r="AV675" s="121"/>
      <c r="AW675" s="121"/>
      <c r="AX675" s="121">
        <f t="shared" si="1158"/>
        <v>0</v>
      </c>
      <c r="AY675" s="121"/>
      <c r="AZ675" s="121"/>
      <c r="BA675" s="121">
        <f t="shared" si="1159"/>
        <v>0</v>
      </c>
      <c r="BB675" s="121"/>
      <c r="BC675" s="121"/>
      <c r="BD675" s="121">
        <f t="shared" si="1160"/>
        <v>0</v>
      </c>
      <c r="BE675" s="121"/>
      <c r="BF675" s="121"/>
      <c r="BG675" s="121">
        <f t="shared" si="1161"/>
        <v>0</v>
      </c>
      <c r="BH675" s="121"/>
      <c r="BI675" s="121"/>
      <c r="BJ675" s="121">
        <f t="shared" si="1162"/>
        <v>0</v>
      </c>
      <c r="BK675" s="121"/>
      <c r="BL675" s="311"/>
      <c r="BM675" s="317"/>
      <c r="BN675" s="319"/>
    </row>
    <row r="676" s="43" customFormat="1" ht="33.95" customHeight="1" outlineLevel="3" spans="2:66">
      <c r="B676" s="121" t="s">
        <v>792</v>
      </c>
      <c r="C676" s="122" t="s">
        <v>2335</v>
      </c>
      <c r="D676" s="43" t="s">
        <v>2336</v>
      </c>
      <c r="E676" s="121" t="s">
        <v>2337</v>
      </c>
      <c r="F676" s="121" t="s">
        <v>1618</v>
      </c>
      <c r="G676" s="121" t="s">
        <v>936</v>
      </c>
      <c r="H676" s="121">
        <f t="shared" si="1148"/>
        <v>0</v>
      </c>
      <c r="I676" s="121" t="s">
        <v>1235</v>
      </c>
      <c r="J676" s="304"/>
      <c r="K676" s="121" t="s">
        <v>1389</v>
      </c>
      <c r="L676" s="121">
        <v>1100</v>
      </c>
      <c r="M676" s="121" t="s">
        <v>1668</v>
      </c>
      <c r="N676" s="121">
        <f t="shared" si="1149"/>
        <v>0</v>
      </c>
      <c r="O676" s="304"/>
      <c r="P676" s="304"/>
      <c r="Q676" s="304"/>
      <c r="R676" s="304"/>
      <c r="S676" s="304"/>
      <c r="T676" s="304"/>
      <c r="U676" s="304"/>
      <c r="V676" s="304"/>
      <c r="W676" s="304"/>
      <c r="X676" s="304"/>
      <c r="Y676" s="304"/>
      <c r="Z676" s="304"/>
      <c r="AA676" s="121"/>
      <c r="AB676" s="121">
        <f t="shared" si="1150"/>
        <v>0</v>
      </c>
      <c r="AC676" s="121">
        <f t="shared" si="1151"/>
        <v>0</v>
      </c>
      <c r="AD676" s="121"/>
      <c r="AE676" s="121"/>
      <c r="AF676" s="121">
        <f t="shared" si="1152"/>
        <v>0</v>
      </c>
      <c r="AG676" s="121"/>
      <c r="AH676" s="121"/>
      <c r="AI676" s="121">
        <f t="shared" si="1153"/>
        <v>0</v>
      </c>
      <c r="AJ676" s="121"/>
      <c r="AK676" s="121"/>
      <c r="AL676" s="121">
        <f t="shared" si="1154"/>
        <v>0</v>
      </c>
      <c r="AM676" s="121"/>
      <c r="AN676" s="121"/>
      <c r="AO676" s="121">
        <f t="shared" si="1155"/>
        <v>0</v>
      </c>
      <c r="AP676" s="121"/>
      <c r="AQ676" s="121"/>
      <c r="AR676" s="121">
        <f t="shared" si="1156"/>
        <v>0</v>
      </c>
      <c r="AS676" s="121"/>
      <c r="AT676" s="121"/>
      <c r="AU676" s="121">
        <f t="shared" si="1157"/>
        <v>0</v>
      </c>
      <c r="AV676" s="121"/>
      <c r="AW676" s="121"/>
      <c r="AX676" s="121">
        <f t="shared" si="1158"/>
        <v>0</v>
      </c>
      <c r="AY676" s="121"/>
      <c r="AZ676" s="121"/>
      <c r="BA676" s="121">
        <f t="shared" si="1159"/>
        <v>0</v>
      </c>
      <c r="BB676" s="121"/>
      <c r="BC676" s="121"/>
      <c r="BD676" s="121">
        <f t="shared" si="1160"/>
        <v>0</v>
      </c>
      <c r="BE676" s="121"/>
      <c r="BF676" s="121"/>
      <c r="BG676" s="121">
        <f t="shared" si="1161"/>
        <v>0</v>
      </c>
      <c r="BH676" s="121"/>
      <c r="BI676" s="121"/>
      <c r="BJ676" s="121">
        <f t="shared" si="1162"/>
        <v>0</v>
      </c>
      <c r="BK676" s="121"/>
      <c r="BL676" s="311"/>
      <c r="BM676" s="317"/>
      <c r="BN676" s="319"/>
    </row>
    <row r="677" s="43" customFormat="1" ht="33.95" customHeight="1" outlineLevel="3" spans="2:66">
      <c r="B677" s="121" t="s">
        <v>792</v>
      </c>
      <c r="C677" s="122" t="s">
        <v>2338</v>
      </c>
      <c r="D677" s="43" t="s">
        <v>2339</v>
      </c>
      <c r="E677" s="121" t="s">
        <v>2340</v>
      </c>
      <c r="F677" s="121" t="s">
        <v>1618</v>
      </c>
      <c r="G677" s="121" t="s">
        <v>936</v>
      </c>
      <c r="H677" s="121">
        <f t="shared" si="1148"/>
        <v>0</v>
      </c>
      <c r="I677" s="121" t="s">
        <v>1235</v>
      </c>
      <c r="J677" s="304"/>
      <c r="K677" s="121" t="s">
        <v>1389</v>
      </c>
      <c r="L677" s="121">
        <v>240</v>
      </c>
      <c r="M677" s="121" t="s">
        <v>1668</v>
      </c>
      <c r="N677" s="121">
        <f t="shared" si="1149"/>
        <v>0</v>
      </c>
      <c r="O677" s="304"/>
      <c r="P677" s="304"/>
      <c r="Q677" s="304"/>
      <c r="R677" s="304"/>
      <c r="S677" s="304"/>
      <c r="T677" s="304"/>
      <c r="U677" s="304"/>
      <c r="V677" s="304"/>
      <c r="W677" s="304"/>
      <c r="X677" s="304"/>
      <c r="Y677" s="304"/>
      <c r="Z677" s="304"/>
      <c r="AA677" s="121"/>
      <c r="AB677" s="121">
        <f t="shared" si="1150"/>
        <v>0</v>
      </c>
      <c r="AC677" s="121">
        <f t="shared" si="1151"/>
        <v>0</v>
      </c>
      <c r="AD677" s="121"/>
      <c r="AE677" s="121"/>
      <c r="AF677" s="121">
        <f t="shared" si="1152"/>
        <v>0</v>
      </c>
      <c r="AG677" s="121"/>
      <c r="AH677" s="121"/>
      <c r="AI677" s="121">
        <f t="shared" si="1153"/>
        <v>0</v>
      </c>
      <c r="AJ677" s="121"/>
      <c r="AK677" s="121"/>
      <c r="AL677" s="121">
        <f t="shared" si="1154"/>
        <v>0</v>
      </c>
      <c r="AM677" s="121"/>
      <c r="AN677" s="121"/>
      <c r="AO677" s="121">
        <f t="shared" si="1155"/>
        <v>0</v>
      </c>
      <c r="AP677" s="121"/>
      <c r="AQ677" s="121"/>
      <c r="AR677" s="121">
        <f t="shared" si="1156"/>
        <v>0</v>
      </c>
      <c r="AS677" s="121"/>
      <c r="AT677" s="121"/>
      <c r="AU677" s="121">
        <f t="shared" si="1157"/>
        <v>0</v>
      </c>
      <c r="AV677" s="121"/>
      <c r="AW677" s="121"/>
      <c r="AX677" s="121">
        <f t="shared" si="1158"/>
        <v>0</v>
      </c>
      <c r="AY677" s="121"/>
      <c r="AZ677" s="121"/>
      <c r="BA677" s="121">
        <f t="shared" si="1159"/>
        <v>0</v>
      </c>
      <c r="BB677" s="121"/>
      <c r="BC677" s="121"/>
      <c r="BD677" s="121">
        <f t="shared" si="1160"/>
        <v>0</v>
      </c>
      <c r="BE677" s="121"/>
      <c r="BF677" s="121"/>
      <c r="BG677" s="121">
        <f t="shared" si="1161"/>
        <v>0</v>
      </c>
      <c r="BH677" s="121"/>
      <c r="BI677" s="121"/>
      <c r="BJ677" s="121">
        <f t="shared" si="1162"/>
        <v>0</v>
      </c>
      <c r="BK677" s="121"/>
      <c r="BL677" s="311"/>
      <c r="BM677" s="317"/>
      <c r="BN677" s="319"/>
    </row>
    <row r="678" s="43" customFormat="1" ht="33.95" customHeight="1" outlineLevel="3" spans="2:66">
      <c r="B678" s="121" t="s">
        <v>792</v>
      </c>
      <c r="C678" s="122" t="s">
        <v>2341</v>
      </c>
      <c r="D678" s="43" t="s">
        <v>2342</v>
      </c>
      <c r="E678" s="121" t="s">
        <v>2343</v>
      </c>
      <c r="F678" s="121" t="s">
        <v>1618</v>
      </c>
      <c r="G678" s="121" t="s">
        <v>936</v>
      </c>
      <c r="H678" s="121">
        <f t="shared" si="1148"/>
        <v>0</v>
      </c>
      <c r="I678" s="121" t="s">
        <v>1235</v>
      </c>
      <c r="J678" s="304"/>
      <c r="K678" s="121" t="s">
        <v>1389</v>
      </c>
      <c r="L678" s="121">
        <v>1200</v>
      </c>
      <c r="M678" s="121" t="s">
        <v>1668</v>
      </c>
      <c r="N678" s="121">
        <f t="shared" si="1149"/>
        <v>0</v>
      </c>
      <c r="O678" s="304"/>
      <c r="P678" s="304"/>
      <c r="Q678" s="304"/>
      <c r="R678" s="304"/>
      <c r="S678" s="304"/>
      <c r="T678" s="304"/>
      <c r="U678" s="304"/>
      <c r="V678" s="304"/>
      <c r="W678" s="304"/>
      <c r="X678" s="304"/>
      <c r="Y678" s="304"/>
      <c r="Z678" s="304"/>
      <c r="AA678" s="121"/>
      <c r="AB678" s="121">
        <f t="shared" si="1150"/>
        <v>0</v>
      </c>
      <c r="AC678" s="121">
        <f t="shared" si="1151"/>
        <v>0</v>
      </c>
      <c r="AD678" s="121"/>
      <c r="AE678" s="121"/>
      <c r="AF678" s="121">
        <f t="shared" si="1152"/>
        <v>0</v>
      </c>
      <c r="AG678" s="121"/>
      <c r="AH678" s="121"/>
      <c r="AI678" s="121">
        <f t="shared" si="1153"/>
        <v>0</v>
      </c>
      <c r="AJ678" s="121"/>
      <c r="AK678" s="121"/>
      <c r="AL678" s="121">
        <f t="shared" si="1154"/>
        <v>0</v>
      </c>
      <c r="AM678" s="121"/>
      <c r="AN678" s="121"/>
      <c r="AO678" s="121">
        <f t="shared" si="1155"/>
        <v>0</v>
      </c>
      <c r="AP678" s="121"/>
      <c r="AQ678" s="121"/>
      <c r="AR678" s="121">
        <f t="shared" si="1156"/>
        <v>0</v>
      </c>
      <c r="AS678" s="121"/>
      <c r="AT678" s="121"/>
      <c r="AU678" s="121">
        <f t="shared" si="1157"/>
        <v>0</v>
      </c>
      <c r="AV678" s="121"/>
      <c r="AW678" s="121"/>
      <c r="AX678" s="121">
        <f t="shared" si="1158"/>
        <v>0</v>
      </c>
      <c r="AY678" s="121"/>
      <c r="AZ678" s="121"/>
      <c r="BA678" s="121">
        <f t="shared" si="1159"/>
        <v>0</v>
      </c>
      <c r="BB678" s="121"/>
      <c r="BC678" s="121"/>
      <c r="BD678" s="121">
        <f t="shared" si="1160"/>
        <v>0</v>
      </c>
      <c r="BE678" s="121"/>
      <c r="BF678" s="121"/>
      <c r="BG678" s="121">
        <f t="shared" si="1161"/>
        <v>0</v>
      </c>
      <c r="BH678" s="121"/>
      <c r="BI678" s="121"/>
      <c r="BJ678" s="121">
        <f t="shared" si="1162"/>
        <v>0</v>
      </c>
      <c r="BK678" s="121"/>
      <c r="BL678" s="311"/>
      <c r="BM678" s="317"/>
      <c r="BN678" s="319"/>
    </row>
    <row r="679" s="43" customFormat="1" ht="33.95" customHeight="1" outlineLevel="3" spans="2:66">
      <c r="B679" s="121" t="s">
        <v>792</v>
      </c>
      <c r="C679" s="122" t="s">
        <v>2344</v>
      </c>
      <c r="D679" s="43" t="s">
        <v>2345</v>
      </c>
      <c r="E679" s="121" t="s">
        <v>2346</v>
      </c>
      <c r="F679" s="121" t="s">
        <v>1618</v>
      </c>
      <c r="G679" s="121" t="s">
        <v>936</v>
      </c>
      <c r="H679" s="121">
        <f t="shared" si="1148"/>
        <v>0</v>
      </c>
      <c r="I679" s="121" t="s">
        <v>1235</v>
      </c>
      <c r="J679" s="304"/>
      <c r="K679" s="121" t="s">
        <v>1389</v>
      </c>
      <c r="L679" s="121">
        <v>225</v>
      </c>
      <c r="M679" s="121" t="s">
        <v>1668</v>
      </c>
      <c r="N679" s="121">
        <f t="shared" si="1149"/>
        <v>0</v>
      </c>
      <c r="O679" s="304"/>
      <c r="P679" s="304"/>
      <c r="Q679" s="304"/>
      <c r="R679" s="304"/>
      <c r="S679" s="304"/>
      <c r="T679" s="304"/>
      <c r="U679" s="304"/>
      <c r="V679" s="304"/>
      <c r="W679" s="304"/>
      <c r="X679" s="304"/>
      <c r="Y679" s="304"/>
      <c r="Z679" s="304"/>
      <c r="AA679" s="121"/>
      <c r="AB679" s="121">
        <f t="shared" si="1150"/>
        <v>0</v>
      </c>
      <c r="AC679" s="121">
        <f t="shared" si="1151"/>
        <v>0</v>
      </c>
      <c r="AD679" s="121"/>
      <c r="AE679" s="121"/>
      <c r="AF679" s="121">
        <f t="shared" si="1152"/>
        <v>0</v>
      </c>
      <c r="AG679" s="121"/>
      <c r="AH679" s="121"/>
      <c r="AI679" s="121">
        <f t="shared" si="1153"/>
        <v>0</v>
      </c>
      <c r="AJ679" s="121"/>
      <c r="AK679" s="121"/>
      <c r="AL679" s="121">
        <f t="shared" si="1154"/>
        <v>0</v>
      </c>
      <c r="AM679" s="121"/>
      <c r="AN679" s="121"/>
      <c r="AO679" s="121">
        <f t="shared" si="1155"/>
        <v>0</v>
      </c>
      <c r="AP679" s="121"/>
      <c r="AQ679" s="121"/>
      <c r="AR679" s="121">
        <f t="shared" si="1156"/>
        <v>0</v>
      </c>
      <c r="AS679" s="121"/>
      <c r="AT679" s="121"/>
      <c r="AU679" s="121">
        <f t="shared" si="1157"/>
        <v>0</v>
      </c>
      <c r="AV679" s="121"/>
      <c r="AW679" s="121"/>
      <c r="AX679" s="121">
        <f t="shared" si="1158"/>
        <v>0</v>
      </c>
      <c r="AY679" s="121"/>
      <c r="AZ679" s="121"/>
      <c r="BA679" s="121">
        <f t="shared" si="1159"/>
        <v>0</v>
      </c>
      <c r="BB679" s="121"/>
      <c r="BC679" s="121"/>
      <c r="BD679" s="121">
        <f t="shared" si="1160"/>
        <v>0</v>
      </c>
      <c r="BE679" s="121"/>
      <c r="BF679" s="121"/>
      <c r="BG679" s="121">
        <f t="shared" si="1161"/>
        <v>0</v>
      </c>
      <c r="BH679" s="121"/>
      <c r="BI679" s="121"/>
      <c r="BJ679" s="121">
        <f t="shared" si="1162"/>
        <v>0</v>
      </c>
      <c r="BK679" s="121"/>
      <c r="BL679" s="311"/>
      <c r="BM679" s="317"/>
      <c r="BN679" s="319"/>
    </row>
    <row r="680" s="43" customFormat="1" ht="33.95" customHeight="1" outlineLevel="3" spans="2:66">
      <c r="B680" s="121" t="s">
        <v>792</v>
      </c>
      <c r="C680" s="122" t="s">
        <v>2347</v>
      </c>
      <c r="D680" s="43" t="s">
        <v>2348</v>
      </c>
      <c r="E680" s="121" t="s">
        <v>2349</v>
      </c>
      <c r="F680" s="121" t="s">
        <v>1618</v>
      </c>
      <c r="G680" s="121" t="s">
        <v>936</v>
      </c>
      <c r="H680" s="121">
        <f t="shared" si="1148"/>
        <v>0</v>
      </c>
      <c r="I680" s="121" t="s">
        <v>1235</v>
      </c>
      <c r="J680" s="304"/>
      <c r="K680" s="121" t="s">
        <v>1389</v>
      </c>
      <c r="L680" s="121">
        <v>4000</v>
      </c>
      <c r="M680" s="121" t="s">
        <v>1668</v>
      </c>
      <c r="N680" s="121">
        <f t="shared" si="1149"/>
        <v>0</v>
      </c>
      <c r="O680" s="304"/>
      <c r="P680" s="304"/>
      <c r="Q680" s="304"/>
      <c r="R680" s="304"/>
      <c r="S680" s="304"/>
      <c r="T680" s="304"/>
      <c r="U680" s="304"/>
      <c r="V680" s="304"/>
      <c r="W680" s="304"/>
      <c r="X680" s="304"/>
      <c r="Y680" s="304"/>
      <c r="Z680" s="304"/>
      <c r="AA680" s="121"/>
      <c r="AB680" s="121">
        <f t="shared" si="1150"/>
        <v>0</v>
      </c>
      <c r="AC680" s="121">
        <f t="shared" si="1151"/>
        <v>0</v>
      </c>
      <c r="AD680" s="121"/>
      <c r="AE680" s="121"/>
      <c r="AF680" s="121">
        <f t="shared" si="1152"/>
        <v>0</v>
      </c>
      <c r="AG680" s="121"/>
      <c r="AH680" s="121"/>
      <c r="AI680" s="121">
        <f t="shared" si="1153"/>
        <v>0</v>
      </c>
      <c r="AJ680" s="121"/>
      <c r="AK680" s="121"/>
      <c r="AL680" s="121">
        <f t="shared" si="1154"/>
        <v>0</v>
      </c>
      <c r="AM680" s="121"/>
      <c r="AN680" s="121"/>
      <c r="AO680" s="121">
        <f t="shared" si="1155"/>
        <v>0</v>
      </c>
      <c r="AP680" s="121"/>
      <c r="AQ680" s="121"/>
      <c r="AR680" s="121">
        <f t="shared" si="1156"/>
        <v>0</v>
      </c>
      <c r="AS680" s="121"/>
      <c r="AT680" s="121"/>
      <c r="AU680" s="121">
        <f t="shared" si="1157"/>
        <v>0</v>
      </c>
      <c r="AV680" s="121"/>
      <c r="AW680" s="121"/>
      <c r="AX680" s="121">
        <f t="shared" si="1158"/>
        <v>0</v>
      </c>
      <c r="AY680" s="121"/>
      <c r="AZ680" s="121"/>
      <c r="BA680" s="121">
        <f t="shared" si="1159"/>
        <v>0</v>
      </c>
      <c r="BB680" s="121"/>
      <c r="BC680" s="121"/>
      <c r="BD680" s="121">
        <f t="shared" si="1160"/>
        <v>0</v>
      </c>
      <c r="BE680" s="121"/>
      <c r="BF680" s="121"/>
      <c r="BG680" s="121">
        <f t="shared" si="1161"/>
        <v>0</v>
      </c>
      <c r="BH680" s="121"/>
      <c r="BI680" s="121"/>
      <c r="BJ680" s="121">
        <f t="shared" si="1162"/>
        <v>0</v>
      </c>
      <c r="BK680" s="121"/>
      <c r="BL680" s="311"/>
      <c r="BM680" s="317"/>
      <c r="BN680" s="319"/>
    </row>
    <row r="681" s="43" customFormat="1" ht="33.95" customHeight="1" outlineLevel="3" spans="2:66">
      <c r="B681" s="121" t="s">
        <v>792</v>
      </c>
      <c r="C681" s="122" t="s">
        <v>2350</v>
      </c>
      <c r="D681" s="43" t="s">
        <v>2351</v>
      </c>
      <c r="E681" s="121" t="s">
        <v>2352</v>
      </c>
      <c r="F681" s="121" t="s">
        <v>1618</v>
      </c>
      <c r="G681" s="121" t="s">
        <v>936</v>
      </c>
      <c r="H681" s="121">
        <f t="shared" si="1148"/>
        <v>0</v>
      </c>
      <c r="I681" s="121" t="s">
        <v>1235</v>
      </c>
      <c r="J681" s="304"/>
      <c r="K681" s="121" t="s">
        <v>1626</v>
      </c>
      <c r="L681" s="121">
        <v>4100</v>
      </c>
      <c r="M681" s="121" t="s">
        <v>1627</v>
      </c>
      <c r="N681" s="121">
        <f t="shared" si="1149"/>
        <v>0</v>
      </c>
      <c r="O681" s="304"/>
      <c r="P681" s="304"/>
      <c r="Q681" s="304"/>
      <c r="R681" s="304"/>
      <c r="S681" s="304"/>
      <c r="T681" s="304"/>
      <c r="U681" s="304"/>
      <c r="V681" s="304"/>
      <c r="W681" s="304"/>
      <c r="X681" s="304"/>
      <c r="Y681" s="304"/>
      <c r="Z681" s="304"/>
      <c r="AA681" s="121"/>
      <c r="AB681" s="121">
        <f t="shared" si="1150"/>
        <v>0</v>
      </c>
      <c r="AC681" s="121">
        <f t="shared" si="1151"/>
        <v>0</v>
      </c>
      <c r="AD681" s="121"/>
      <c r="AE681" s="121"/>
      <c r="AF681" s="121">
        <f t="shared" si="1152"/>
        <v>0</v>
      </c>
      <c r="AG681" s="121"/>
      <c r="AH681" s="121"/>
      <c r="AI681" s="121">
        <f t="shared" si="1153"/>
        <v>0</v>
      </c>
      <c r="AJ681" s="121"/>
      <c r="AK681" s="121"/>
      <c r="AL681" s="121">
        <f t="shared" si="1154"/>
        <v>0</v>
      </c>
      <c r="AM681" s="121"/>
      <c r="AN681" s="121"/>
      <c r="AO681" s="121">
        <f t="shared" si="1155"/>
        <v>0</v>
      </c>
      <c r="AP681" s="121"/>
      <c r="AQ681" s="121"/>
      <c r="AR681" s="121">
        <f t="shared" si="1156"/>
        <v>0</v>
      </c>
      <c r="AS681" s="121"/>
      <c r="AT681" s="121"/>
      <c r="AU681" s="121">
        <f t="shared" si="1157"/>
        <v>0</v>
      </c>
      <c r="AV681" s="121"/>
      <c r="AW681" s="121"/>
      <c r="AX681" s="121">
        <f t="shared" si="1158"/>
        <v>0</v>
      </c>
      <c r="AY681" s="121"/>
      <c r="AZ681" s="121"/>
      <c r="BA681" s="121">
        <f t="shared" si="1159"/>
        <v>0</v>
      </c>
      <c r="BB681" s="121"/>
      <c r="BC681" s="121"/>
      <c r="BD681" s="121">
        <f t="shared" si="1160"/>
        <v>0</v>
      </c>
      <c r="BE681" s="121"/>
      <c r="BF681" s="121"/>
      <c r="BG681" s="121">
        <f t="shared" si="1161"/>
        <v>0</v>
      </c>
      <c r="BH681" s="121"/>
      <c r="BI681" s="121"/>
      <c r="BJ681" s="121">
        <f t="shared" si="1162"/>
        <v>0</v>
      </c>
      <c r="BK681" s="121"/>
      <c r="BL681" s="311"/>
      <c r="BM681" s="317"/>
      <c r="BN681" s="319"/>
    </row>
    <row r="682" s="43" customFormat="1" ht="33.95" customHeight="1" outlineLevel="3" spans="2:66">
      <c r="B682" s="121" t="s">
        <v>792</v>
      </c>
      <c r="C682" s="122" t="s">
        <v>2353</v>
      </c>
      <c r="D682" s="43" t="s">
        <v>2354</v>
      </c>
      <c r="E682" s="121" t="s">
        <v>2355</v>
      </c>
      <c r="F682" s="121" t="s">
        <v>1618</v>
      </c>
      <c r="G682" s="121" t="s">
        <v>936</v>
      </c>
      <c r="H682" s="121">
        <f t="shared" ref="H682:H690" si="1163">J682*L682</f>
        <v>0</v>
      </c>
      <c r="I682" s="121" t="s">
        <v>1235</v>
      </c>
      <c r="J682" s="304"/>
      <c r="K682" s="121" t="s">
        <v>1389</v>
      </c>
      <c r="L682" s="121">
        <v>1500</v>
      </c>
      <c r="M682" s="121" t="s">
        <v>1668</v>
      </c>
      <c r="N682" s="121">
        <f t="shared" ref="N682:N689" si="1164">COUNTA(O682:Z682)</f>
        <v>0</v>
      </c>
      <c r="O682" s="304"/>
      <c r="P682" s="304"/>
      <c r="Q682" s="304"/>
      <c r="R682" s="304"/>
      <c r="S682" s="304"/>
      <c r="T682" s="304"/>
      <c r="U682" s="304"/>
      <c r="V682" s="304"/>
      <c r="W682" s="304"/>
      <c r="X682" s="304"/>
      <c r="Y682" s="304"/>
      <c r="Z682" s="304"/>
      <c r="AA682" s="121"/>
      <c r="AB682" s="121">
        <f t="shared" ref="AB682:AB694" si="1165">SUM(AC682,AF682,AI682,AL682,AO682,AR682,AU682,AX682,BA682,BD682,BG682,BJ682)</f>
        <v>0</v>
      </c>
      <c r="AC682" s="121">
        <f t="shared" ref="AC682:AC689" si="1166">IF(O682="√",$J682*$L682/$N682,0)</f>
        <v>0</v>
      </c>
      <c r="AD682" s="121"/>
      <c r="AE682" s="121"/>
      <c r="AF682" s="121">
        <f t="shared" ref="AF682:AF689" si="1167">IF(P682="√",$J682*$L682/$N682,0)</f>
        <v>0</v>
      </c>
      <c r="AG682" s="121"/>
      <c r="AH682" s="121"/>
      <c r="AI682" s="121">
        <f t="shared" ref="AI682:AI689" si="1168">IF(Q682="√",$J682*$L682/$N682,0)</f>
        <v>0</v>
      </c>
      <c r="AJ682" s="121"/>
      <c r="AK682" s="121"/>
      <c r="AL682" s="121">
        <f t="shared" ref="AL682:AL689" si="1169">IF(R682="√",$J682*$L682/$N682,0)</f>
        <v>0</v>
      </c>
      <c r="AM682" s="121"/>
      <c r="AN682" s="121"/>
      <c r="AO682" s="121">
        <f t="shared" ref="AO682:AO689" si="1170">IF(S682="√",$J682*$L682/$N682,0)</f>
        <v>0</v>
      </c>
      <c r="AP682" s="121"/>
      <c r="AQ682" s="121"/>
      <c r="AR682" s="121">
        <f t="shared" ref="AR682:AR689" si="1171">IF(T682="√",$J682*$L682/$N682,0)</f>
        <v>0</v>
      </c>
      <c r="AS682" s="121"/>
      <c r="AT682" s="121"/>
      <c r="AU682" s="121">
        <f t="shared" ref="AU682:AU689" si="1172">IF(U682="√",$J682*$L682/$N682,0)</f>
        <v>0</v>
      </c>
      <c r="AV682" s="121"/>
      <c r="AW682" s="121"/>
      <c r="AX682" s="121">
        <f t="shared" ref="AX682:AX689" si="1173">IF(V682="√",$J682*$L682/$N682,0)</f>
        <v>0</v>
      </c>
      <c r="AY682" s="121"/>
      <c r="AZ682" s="121"/>
      <c r="BA682" s="121">
        <f t="shared" ref="BA682:BA689" si="1174">IF(W682="√",$J682*$L682/$N682,0)</f>
        <v>0</v>
      </c>
      <c r="BB682" s="121"/>
      <c r="BC682" s="121"/>
      <c r="BD682" s="121">
        <f t="shared" ref="BD682:BD689" si="1175">IF(X682="√",$J682*$L682/$N682,0)</f>
        <v>0</v>
      </c>
      <c r="BE682" s="121"/>
      <c r="BF682" s="121"/>
      <c r="BG682" s="121">
        <f t="shared" ref="BG682:BG689" si="1176">IF(Y682="√",$J682*$L682/$N682,0)</f>
        <v>0</v>
      </c>
      <c r="BH682" s="121"/>
      <c r="BI682" s="121"/>
      <c r="BJ682" s="121">
        <f t="shared" ref="BJ682:BJ689" si="1177">IF(Z682="√",$J682*$L682/$N682,0)</f>
        <v>0</v>
      </c>
      <c r="BK682" s="121"/>
      <c r="BL682" s="311"/>
      <c r="BM682" s="317"/>
      <c r="BN682" s="319"/>
    </row>
    <row r="683" s="43" customFormat="1" ht="33.95" customHeight="1" outlineLevel="3" spans="2:66">
      <c r="B683" s="121" t="s">
        <v>792</v>
      </c>
      <c r="C683" s="122" t="s">
        <v>2356</v>
      </c>
      <c r="D683" s="43" t="s">
        <v>2357</v>
      </c>
      <c r="E683" s="121"/>
      <c r="F683" s="121" t="s">
        <v>1618</v>
      </c>
      <c r="G683" s="121" t="s">
        <v>936</v>
      </c>
      <c r="H683" s="121">
        <f t="shared" si="1163"/>
        <v>0</v>
      </c>
      <c r="I683" s="121" t="s">
        <v>1235</v>
      </c>
      <c r="J683" s="304"/>
      <c r="K683" s="121" t="s">
        <v>1389</v>
      </c>
      <c r="L683" s="121">
        <v>5000</v>
      </c>
      <c r="M683" s="121" t="s">
        <v>1668</v>
      </c>
      <c r="N683" s="121">
        <f t="shared" si="1164"/>
        <v>0</v>
      </c>
      <c r="O683" s="304"/>
      <c r="P683" s="304"/>
      <c r="Q683" s="304"/>
      <c r="R683" s="304"/>
      <c r="S683" s="304"/>
      <c r="T683" s="304"/>
      <c r="U683" s="304"/>
      <c r="V683" s="304"/>
      <c r="W683" s="304"/>
      <c r="X683" s="304"/>
      <c r="Y683" s="304"/>
      <c r="Z683" s="304"/>
      <c r="AA683" s="121"/>
      <c r="AB683" s="121">
        <f t="shared" si="1165"/>
        <v>0</v>
      </c>
      <c r="AC683" s="121">
        <f t="shared" si="1166"/>
        <v>0</v>
      </c>
      <c r="AD683" s="121"/>
      <c r="AE683" s="121"/>
      <c r="AF683" s="121">
        <f t="shared" si="1167"/>
        <v>0</v>
      </c>
      <c r="AG683" s="121"/>
      <c r="AH683" s="121"/>
      <c r="AI683" s="121">
        <f t="shared" si="1168"/>
        <v>0</v>
      </c>
      <c r="AJ683" s="121"/>
      <c r="AK683" s="121"/>
      <c r="AL683" s="121">
        <f t="shared" si="1169"/>
        <v>0</v>
      </c>
      <c r="AM683" s="121"/>
      <c r="AN683" s="121"/>
      <c r="AO683" s="121">
        <f t="shared" si="1170"/>
        <v>0</v>
      </c>
      <c r="AP683" s="121"/>
      <c r="AQ683" s="121"/>
      <c r="AR683" s="121">
        <f t="shared" si="1171"/>
        <v>0</v>
      </c>
      <c r="AS683" s="121"/>
      <c r="AT683" s="121"/>
      <c r="AU683" s="121">
        <f t="shared" si="1172"/>
        <v>0</v>
      </c>
      <c r="AV683" s="121"/>
      <c r="AW683" s="121"/>
      <c r="AX683" s="121">
        <f t="shared" si="1173"/>
        <v>0</v>
      </c>
      <c r="AY683" s="121"/>
      <c r="AZ683" s="121"/>
      <c r="BA683" s="121">
        <f t="shared" si="1174"/>
        <v>0</v>
      </c>
      <c r="BB683" s="121"/>
      <c r="BC683" s="121"/>
      <c r="BD683" s="121">
        <f t="shared" si="1175"/>
        <v>0</v>
      </c>
      <c r="BE683" s="121"/>
      <c r="BF683" s="121"/>
      <c r="BG683" s="121">
        <f t="shared" si="1176"/>
        <v>0</v>
      </c>
      <c r="BH683" s="121"/>
      <c r="BI683" s="121"/>
      <c r="BJ683" s="121">
        <f t="shared" si="1177"/>
        <v>0</v>
      </c>
      <c r="BK683" s="121"/>
      <c r="BL683" s="311"/>
      <c r="BM683" s="317"/>
      <c r="BN683" s="319"/>
    </row>
    <row r="684" s="43" customFormat="1" ht="33.95" customHeight="1" outlineLevel="3" spans="2:66">
      <c r="B684" s="121" t="s">
        <v>792</v>
      </c>
      <c r="C684" s="122" t="s">
        <v>2358</v>
      </c>
      <c r="D684" s="43" t="s">
        <v>2359</v>
      </c>
      <c r="E684" s="121"/>
      <c r="F684" s="121" t="s">
        <v>1618</v>
      </c>
      <c r="G684" s="121" t="s">
        <v>936</v>
      </c>
      <c r="H684" s="121">
        <f t="shared" si="1163"/>
        <v>0</v>
      </c>
      <c r="I684" s="121" t="s">
        <v>1235</v>
      </c>
      <c r="J684" s="304"/>
      <c r="K684" s="121" t="s">
        <v>1389</v>
      </c>
      <c r="L684" s="121">
        <v>8500</v>
      </c>
      <c r="M684" s="121" t="s">
        <v>1668</v>
      </c>
      <c r="N684" s="121">
        <f t="shared" si="1164"/>
        <v>0</v>
      </c>
      <c r="O684" s="304"/>
      <c r="P684" s="304"/>
      <c r="Q684" s="304"/>
      <c r="R684" s="304"/>
      <c r="S684" s="304"/>
      <c r="T684" s="304"/>
      <c r="U684" s="304"/>
      <c r="V684" s="304"/>
      <c r="W684" s="304"/>
      <c r="X684" s="304"/>
      <c r="Y684" s="304"/>
      <c r="Z684" s="304"/>
      <c r="AA684" s="121"/>
      <c r="AB684" s="121">
        <f t="shared" si="1165"/>
        <v>0</v>
      </c>
      <c r="AC684" s="121">
        <f t="shared" si="1166"/>
        <v>0</v>
      </c>
      <c r="AD684" s="121"/>
      <c r="AE684" s="121"/>
      <c r="AF684" s="121">
        <f t="shared" si="1167"/>
        <v>0</v>
      </c>
      <c r="AG684" s="121"/>
      <c r="AH684" s="121"/>
      <c r="AI684" s="121">
        <f t="shared" si="1168"/>
        <v>0</v>
      </c>
      <c r="AJ684" s="121"/>
      <c r="AK684" s="121"/>
      <c r="AL684" s="121">
        <f t="shared" si="1169"/>
        <v>0</v>
      </c>
      <c r="AM684" s="121"/>
      <c r="AN684" s="121"/>
      <c r="AO684" s="121">
        <f t="shared" si="1170"/>
        <v>0</v>
      </c>
      <c r="AP684" s="121"/>
      <c r="AQ684" s="121"/>
      <c r="AR684" s="121">
        <f t="shared" si="1171"/>
        <v>0</v>
      </c>
      <c r="AS684" s="121"/>
      <c r="AT684" s="121"/>
      <c r="AU684" s="121">
        <f t="shared" si="1172"/>
        <v>0</v>
      </c>
      <c r="AV684" s="121"/>
      <c r="AW684" s="121"/>
      <c r="AX684" s="121">
        <f t="shared" si="1173"/>
        <v>0</v>
      </c>
      <c r="AY684" s="121"/>
      <c r="AZ684" s="121"/>
      <c r="BA684" s="121">
        <f t="shared" si="1174"/>
        <v>0</v>
      </c>
      <c r="BB684" s="121"/>
      <c r="BC684" s="121"/>
      <c r="BD684" s="121">
        <f t="shared" si="1175"/>
        <v>0</v>
      </c>
      <c r="BE684" s="121"/>
      <c r="BF684" s="121"/>
      <c r="BG684" s="121">
        <f t="shared" si="1176"/>
        <v>0</v>
      </c>
      <c r="BH684" s="121"/>
      <c r="BI684" s="121"/>
      <c r="BJ684" s="121">
        <f t="shared" si="1177"/>
        <v>0</v>
      </c>
      <c r="BK684" s="121"/>
      <c r="BL684" s="311"/>
      <c r="BM684" s="317"/>
      <c r="BN684" s="319"/>
    </row>
    <row r="685" s="43" customFormat="1" ht="33.95" customHeight="1" outlineLevel="3" spans="2:66">
      <c r="B685" s="121" t="s">
        <v>792</v>
      </c>
      <c r="C685" s="122" t="s">
        <v>2360</v>
      </c>
      <c r="D685" s="43" t="s">
        <v>2361</v>
      </c>
      <c r="E685" s="121"/>
      <c r="F685" s="121" t="s">
        <v>1618</v>
      </c>
      <c r="G685" s="121" t="s">
        <v>936</v>
      </c>
      <c r="H685" s="121">
        <f t="shared" si="1163"/>
        <v>0</v>
      </c>
      <c r="I685" s="121" t="s">
        <v>1235</v>
      </c>
      <c r="J685" s="304"/>
      <c r="K685" s="121" t="s">
        <v>1389</v>
      </c>
      <c r="L685" s="121">
        <v>2700</v>
      </c>
      <c r="M685" s="121" t="s">
        <v>1668</v>
      </c>
      <c r="N685" s="121">
        <f t="shared" si="1164"/>
        <v>0</v>
      </c>
      <c r="O685" s="304"/>
      <c r="P685" s="304"/>
      <c r="Q685" s="304"/>
      <c r="R685" s="304"/>
      <c r="S685" s="304"/>
      <c r="T685" s="304"/>
      <c r="U685" s="304"/>
      <c r="V685" s="304"/>
      <c r="W685" s="304"/>
      <c r="X685" s="304"/>
      <c r="Y685" s="304"/>
      <c r="Z685" s="304"/>
      <c r="AA685" s="121"/>
      <c r="AB685" s="121">
        <f t="shared" si="1165"/>
        <v>0</v>
      </c>
      <c r="AC685" s="121">
        <f t="shared" si="1166"/>
        <v>0</v>
      </c>
      <c r="AD685" s="121"/>
      <c r="AE685" s="121"/>
      <c r="AF685" s="121">
        <f t="shared" si="1167"/>
        <v>0</v>
      </c>
      <c r="AG685" s="121"/>
      <c r="AH685" s="121"/>
      <c r="AI685" s="121">
        <f t="shared" si="1168"/>
        <v>0</v>
      </c>
      <c r="AJ685" s="121"/>
      <c r="AK685" s="121"/>
      <c r="AL685" s="121">
        <f t="shared" si="1169"/>
        <v>0</v>
      </c>
      <c r="AM685" s="121"/>
      <c r="AN685" s="121"/>
      <c r="AO685" s="121">
        <f t="shared" si="1170"/>
        <v>0</v>
      </c>
      <c r="AP685" s="121"/>
      <c r="AQ685" s="121"/>
      <c r="AR685" s="121">
        <f t="shared" si="1171"/>
        <v>0</v>
      </c>
      <c r="AS685" s="121"/>
      <c r="AT685" s="121"/>
      <c r="AU685" s="121">
        <f t="shared" si="1172"/>
        <v>0</v>
      </c>
      <c r="AV685" s="121"/>
      <c r="AW685" s="121"/>
      <c r="AX685" s="121">
        <f t="shared" si="1173"/>
        <v>0</v>
      </c>
      <c r="AY685" s="121"/>
      <c r="AZ685" s="121"/>
      <c r="BA685" s="121">
        <f t="shared" si="1174"/>
        <v>0</v>
      </c>
      <c r="BB685" s="121"/>
      <c r="BC685" s="121"/>
      <c r="BD685" s="121">
        <f t="shared" si="1175"/>
        <v>0</v>
      </c>
      <c r="BE685" s="121"/>
      <c r="BF685" s="121"/>
      <c r="BG685" s="121">
        <f t="shared" si="1176"/>
        <v>0</v>
      </c>
      <c r="BH685" s="121"/>
      <c r="BI685" s="121"/>
      <c r="BJ685" s="121">
        <f t="shared" si="1177"/>
        <v>0</v>
      </c>
      <c r="BK685" s="121"/>
      <c r="BL685" s="311"/>
      <c r="BM685" s="317"/>
      <c r="BN685" s="319"/>
    </row>
    <row r="686" s="43" customFormat="1" ht="33.95" customHeight="1" outlineLevel="3" spans="2:66">
      <c r="B686" s="121" t="s">
        <v>792</v>
      </c>
      <c r="C686" s="122" t="s">
        <v>2362</v>
      </c>
      <c r="D686" s="43" t="s">
        <v>2363</v>
      </c>
      <c r="E686" s="121" t="s">
        <v>2364</v>
      </c>
      <c r="F686" s="121" t="s">
        <v>1618</v>
      </c>
      <c r="G686" s="121" t="s">
        <v>936</v>
      </c>
      <c r="H686" s="121">
        <f t="shared" si="1163"/>
        <v>0</v>
      </c>
      <c r="I686" s="121" t="s">
        <v>1235</v>
      </c>
      <c r="J686" s="304"/>
      <c r="K686" s="121" t="s">
        <v>1389</v>
      </c>
      <c r="L686" s="121">
        <v>400</v>
      </c>
      <c r="M686" s="121" t="s">
        <v>1668</v>
      </c>
      <c r="N686" s="121">
        <f t="shared" si="1164"/>
        <v>0</v>
      </c>
      <c r="O686" s="304"/>
      <c r="P686" s="304"/>
      <c r="Q686" s="304"/>
      <c r="R686" s="304"/>
      <c r="S686" s="304"/>
      <c r="T686" s="304"/>
      <c r="U686" s="304"/>
      <c r="V686" s="304"/>
      <c r="W686" s="304"/>
      <c r="X686" s="304"/>
      <c r="Y686" s="304"/>
      <c r="Z686" s="304"/>
      <c r="AA686" s="121"/>
      <c r="AB686" s="121">
        <f t="shared" si="1165"/>
        <v>0</v>
      </c>
      <c r="AC686" s="121">
        <f t="shared" si="1166"/>
        <v>0</v>
      </c>
      <c r="AD686" s="121"/>
      <c r="AE686" s="121"/>
      <c r="AF686" s="121">
        <f t="shared" si="1167"/>
        <v>0</v>
      </c>
      <c r="AG686" s="121"/>
      <c r="AH686" s="121"/>
      <c r="AI686" s="121">
        <f t="shared" si="1168"/>
        <v>0</v>
      </c>
      <c r="AJ686" s="121"/>
      <c r="AK686" s="121"/>
      <c r="AL686" s="121">
        <f t="shared" si="1169"/>
        <v>0</v>
      </c>
      <c r="AM686" s="121"/>
      <c r="AN686" s="121"/>
      <c r="AO686" s="121">
        <f t="shared" si="1170"/>
        <v>0</v>
      </c>
      <c r="AP686" s="121"/>
      <c r="AQ686" s="121"/>
      <c r="AR686" s="121">
        <f t="shared" si="1171"/>
        <v>0</v>
      </c>
      <c r="AS686" s="121"/>
      <c r="AT686" s="121"/>
      <c r="AU686" s="121">
        <f t="shared" si="1172"/>
        <v>0</v>
      </c>
      <c r="AV686" s="121"/>
      <c r="AW686" s="121"/>
      <c r="AX686" s="121">
        <f t="shared" si="1173"/>
        <v>0</v>
      </c>
      <c r="AY686" s="121"/>
      <c r="AZ686" s="121"/>
      <c r="BA686" s="121">
        <f t="shared" si="1174"/>
        <v>0</v>
      </c>
      <c r="BB686" s="121"/>
      <c r="BC686" s="121"/>
      <c r="BD686" s="121">
        <f t="shared" si="1175"/>
        <v>0</v>
      </c>
      <c r="BE686" s="121"/>
      <c r="BF686" s="121"/>
      <c r="BG686" s="121">
        <f t="shared" si="1176"/>
        <v>0</v>
      </c>
      <c r="BH686" s="121"/>
      <c r="BI686" s="121"/>
      <c r="BJ686" s="121">
        <f t="shared" si="1177"/>
        <v>0</v>
      </c>
      <c r="BK686" s="121"/>
      <c r="BL686" s="311"/>
      <c r="BM686" s="317"/>
      <c r="BN686" s="319"/>
    </row>
    <row r="687" s="43" customFormat="1" ht="33.95" customHeight="1" outlineLevel="3" spans="2:66">
      <c r="B687" s="121" t="s">
        <v>792</v>
      </c>
      <c r="C687" s="122" t="s">
        <v>2365</v>
      </c>
      <c r="D687" s="43" t="s">
        <v>2327</v>
      </c>
      <c r="E687" s="121" t="s">
        <v>2328</v>
      </c>
      <c r="F687" s="121" t="s">
        <v>1618</v>
      </c>
      <c r="G687" s="121" t="s">
        <v>936</v>
      </c>
      <c r="H687" s="121">
        <f t="shared" si="1163"/>
        <v>0</v>
      </c>
      <c r="I687" s="121" t="s">
        <v>1235</v>
      </c>
      <c r="J687" s="304"/>
      <c r="K687" s="121" t="s">
        <v>1389</v>
      </c>
      <c r="L687" s="121">
        <v>450</v>
      </c>
      <c r="M687" s="121" t="s">
        <v>1668</v>
      </c>
      <c r="N687" s="121">
        <f t="shared" si="1164"/>
        <v>0</v>
      </c>
      <c r="O687" s="304"/>
      <c r="P687" s="304"/>
      <c r="Q687" s="304"/>
      <c r="R687" s="304"/>
      <c r="S687" s="304"/>
      <c r="T687" s="304"/>
      <c r="U687" s="304"/>
      <c r="V687" s="304"/>
      <c r="W687" s="304"/>
      <c r="X687" s="304"/>
      <c r="Y687" s="304"/>
      <c r="Z687" s="304"/>
      <c r="AA687" s="121"/>
      <c r="AB687" s="121">
        <f t="shared" si="1165"/>
        <v>0</v>
      </c>
      <c r="AC687" s="121">
        <f t="shared" si="1166"/>
        <v>0</v>
      </c>
      <c r="AD687" s="121"/>
      <c r="AE687" s="121"/>
      <c r="AF687" s="121">
        <f t="shared" si="1167"/>
        <v>0</v>
      </c>
      <c r="AG687" s="121"/>
      <c r="AH687" s="121"/>
      <c r="AI687" s="121">
        <f t="shared" si="1168"/>
        <v>0</v>
      </c>
      <c r="AJ687" s="121"/>
      <c r="AK687" s="121"/>
      <c r="AL687" s="121">
        <f t="shared" si="1169"/>
        <v>0</v>
      </c>
      <c r="AM687" s="121"/>
      <c r="AN687" s="121"/>
      <c r="AO687" s="121">
        <f t="shared" si="1170"/>
        <v>0</v>
      </c>
      <c r="AP687" s="121"/>
      <c r="AQ687" s="121"/>
      <c r="AR687" s="121">
        <f t="shared" si="1171"/>
        <v>0</v>
      </c>
      <c r="AS687" s="121"/>
      <c r="AT687" s="121"/>
      <c r="AU687" s="121">
        <f t="shared" si="1172"/>
        <v>0</v>
      </c>
      <c r="AV687" s="121"/>
      <c r="AW687" s="121"/>
      <c r="AX687" s="121">
        <f t="shared" si="1173"/>
        <v>0</v>
      </c>
      <c r="AY687" s="121"/>
      <c r="AZ687" s="121"/>
      <c r="BA687" s="121">
        <f t="shared" si="1174"/>
        <v>0</v>
      </c>
      <c r="BB687" s="121"/>
      <c r="BC687" s="121"/>
      <c r="BD687" s="121">
        <f t="shared" si="1175"/>
        <v>0</v>
      </c>
      <c r="BE687" s="121"/>
      <c r="BF687" s="121"/>
      <c r="BG687" s="121">
        <f t="shared" si="1176"/>
        <v>0</v>
      </c>
      <c r="BH687" s="121"/>
      <c r="BI687" s="121"/>
      <c r="BJ687" s="121">
        <f t="shared" si="1177"/>
        <v>0</v>
      </c>
      <c r="BK687" s="121"/>
      <c r="BL687" s="311"/>
      <c r="BM687" s="317"/>
      <c r="BN687" s="319"/>
    </row>
    <row r="688" s="43" customFormat="1" ht="33.95" customHeight="1" outlineLevel="3" spans="2:66">
      <c r="B688" s="121" t="s">
        <v>792</v>
      </c>
      <c r="C688" s="122" t="s">
        <v>2366</v>
      </c>
      <c r="D688" s="43" t="s">
        <v>2330</v>
      </c>
      <c r="E688" s="121" t="s">
        <v>2331</v>
      </c>
      <c r="F688" s="121" t="s">
        <v>1618</v>
      </c>
      <c r="G688" s="121" t="s">
        <v>936</v>
      </c>
      <c r="H688" s="121">
        <f t="shared" si="1163"/>
        <v>0</v>
      </c>
      <c r="I688" s="121" t="s">
        <v>1235</v>
      </c>
      <c r="J688" s="304"/>
      <c r="K688" s="121" t="s">
        <v>1389</v>
      </c>
      <c r="L688" s="121">
        <v>460</v>
      </c>
      <c r="M688" s="121" t="s">
        <v>1668</v>
      </c>
      <c r="N688" s="121">
        <f t="shared" si="1164"/>
        <v>0</v>
      </c>
      <c r="O688" s="304"/>
      <c r="P688" s="304"/>
      <c r="Q688" s="304"/>
      <c r="R688" s="304"/>
      <c r="S688" s="304"/>
      <c r="T688" s="304"/>
      <c r="U688" s="304"/>
      <c r="V688" s="304"/>
      <c r="W688" s="304"/>
      <c r="X688" s="304"/>
      <c r="Y688" s="304"/>
      <c r="Z688" s="304"/>
      <c r="AA688" s="121"/>
      <c r="AB688" s="121">
        <f t="shared" si="1165"/>
        <v>0</v>
      </c>
      <c r="AC688" s="121">
        <f t="shared" si="1166"/>
        <v>0</v>
      </c>
      <c r="AD688" s="121"/>
      <c r="AE688" s="121"/>
      <c r="AF688" s="121">
        <f t="shared" si="1167"/>
        <v>0</v>
      </c>
      <c r="AG688" s="121"/>
      <c r="AH688" s="121"/>
      <c r="AI688" s="121">
        <f t="shared" si="1168"/>
        <v>0</v>
      </c>
      <c r="AJ688" s="121"/>
      <c r="AK688" s="121"/>
      <c r="AL688" s="121">
        <f t="shared" si="1169"/>
        <v>0</v>
      </c>
      <c r="AM688" s="121"/>
      <c r="AN688" s="121"/>
      <c r="AO688" s="121">
        <f t="shared" si="1170"/>
        <v>0</v>
      </c>
      <c r="AP688" s="121"/>
      <c r="AQ688" s="121"/>
      <c r="AR688" s="121">
        <f t="shared" si="1171"/>
        <v>0</v>
      </c>
      <c r="AS688" s="121"/>
      <c r="AT688" s="121"/>
      <c r="AU688" s="121">
        <f t="shared" si="1172"/>
        <v>0</v>
      </c>
      <c r="AV688" s="121"/>
      <c r="AW688" s="121"/>
      <c r="AX688" s="121">
        <f t="shared" si="1173"/>
        <v>0</v>
      </c>
      <c r="AY688" s="121"/>
      <c r="AZ688" s="121"/>
      <c r="BA688" s="121">
        <f t="shared" si="1174"/>
        <v>0</v>
      </c>
      <c r="BB688" s="121"/>
      <c r="BC688" s="121"/>
      <c r="BD688" s="121">
        <f t="shared" si="1175"/>
        <v>0</v>
      </c>
      <c r="BE688" s="121"/>
      <c r="BF688" s="121"/>
      <c r="BG688" s="121">
        <f t="shared" si="1176"/>
        <v>0</v>
      </c>
      <c r="BH688" s="121"/>
      <c r="BI688" s="121"/>
      <c r="BJ688" s="121">
        <f t="shared" si="1177"/>
        <v>0</v>
      </c>
      <c r="BK688" s="121"/>
      <c r="BL688" s="311"/>
      <c r="BM688" s="317"/>
      <c r="BN688" s="319"/>
    </row>
    <row r="689" s="43" customFormat="1" ht="33.95" customHeight="1" outlineLevel="3" spans="2:66">
      <c r="B689" s="121" t="s">
        <v>792</v>
      </c>
      <c r="C689" s="122" t="s">
        <v>2367</v>
      </c>
      <c r="D689" s="43" t="s">
        <v>2368</v>
      </c>
      <c r="E689" s="121" t="s">
        <v>2369</v>
      </c>
      <c r="F689" s="121" t="s">
        <v>1618</v>
      </c>
      <c r="G689" s="121" t="s">
        <v>936</v>
      </c>
      <c r="H689" s="121">
        <f t="shared" si="1163"/>
        <v>0</v>
      </c>
      <c r="I689" s="121" t="s">
        <v>1235</v>
      </c>
      <c r="J689" s="304"/>
      <c r="K689" s="121" t="s">
        <v>1389</v>
      </c>
      <c r="L689" s="121">
        <v>500</v>
      </c>
      <c r="M689" s="121" t="s">
        <v>1668</v>
      </c>
      <c r="N689" s="121">
        <f t="shared" si="1164"/>
        <v>0</v>
      </c>
      <c r="O689" s="322"/>
      <c r="P689" s="322"/>
      <c r="Q689" s="322"/>
      <c r="R689" s="322"/>
      <c r="S689" s="322"/>
      <c r="T689" s="322"/>
      <c r="U689" s="322"/>
      <c r="V689" s="322"/>
      <c r="W689" s="322"/>
      <c r="X689" s="322"/>
      <c r="Y689" s="322"/>
      <c r="Z689" s="322"/>
      <c r="AA689" s="121"/>
      <c r="AB689" s="121">
        <f t="shared" si="1165"/>
        <v>0</v>
      </c>
      <c r="AC689" s="121">
        <f t="shared" si="1166"/>
        <v>0</v>
      </c>
      <c r="AD689" s="121"/>
      <c r="AE689" s="121"/>
      <c r="AF689" s="121">
        <f t="shared" si="1167"/>
        <v>0</v>
      </c>
      <c r="AG689" s="121"/>
      <c r="AH689" s="121"/>
      <c r="AI689" s="121">
        <f t="shared" si="1168"/>
        <v>0</v>
      </c>
      <c r="AJ689" s="121"/>
      <c r="AK689" s="121"/>
      <c r="AL689" s="121">
        <f t="shared" si="1169"/>
        <v>0</v>
      </c>
      <c r="AM689" s="121"/>
      <c r="AN689" s="121"/>
      <c r="AO689" s="121">
        <f t="shared" si="1170"/>
        <v>0</v>
      </c>
      <c r="AP689" s="121"/>
      <c r="AQ689" s="121"/>
      <c r="AR689" s="121">
        <f t="shared" si="1171"/>
        <v>0</v>
      </c>
      <c r="AS689" s="121"/>
      <c r="AT689" s="121"/>
      <c r="AU689" s="121">
        <f t="shared" si="1172"/>
        <v>0</v>
      </c>
      <c r="AV689" s="121"/>
      <c r="AW689" s="121"/>
      <c r="AX689" s="121">
        <f t="shared" si="1173"/>
        <v>0</v>
      </c>
      <c r="AY689" s="121"/>
      <c r="AZ689" s="121"/>
      <c r="BA689" s="121">
        <f t="shared" si="1174"/>
        <v>0</v>
      </c>
      <c r="BB689" s="121"/>
      <c r="BC689" s="121"/>
      <c r="BD689" s="121">
        <f t="shared" si="1175"/>
        <v>0</v>
      </c>
      <c r="BE689" s="121"/>
      <c r="BF689" s="121"/>
      <c r="BG689" s="121">
        <f t="shared" si="1176"/>
        <v>0</v>
      </c>
      <c r="BH689" s="121"/>
      <c r="BI689" s="121"/>
      <c r="BJ689" s="121">
        <f t="shared" si="1177"/>
        <v>0</v>
      </c>
      <c r="BK689" s="121"/>
      <c r="BL689" s="311"/>
      <c r="BM689" s="317"/>
      <c r="BN689" s="319"/>
    </row>
    <row r="690" s="43" customFormat="1" ht="33.95" customHeight="1" outlineLevel="3" spans="2:66">
      <c r="B690" s="121" t="s">
        <v>792</v>
      </c>
      <c r="C690" s="122" t="s">
        <v>2370</v>
      </c>
      <c r="D690" s="43" t="s">
        <v>2371</v>
      </c>
      <c r="E690" s="121"/>
      <c r="F690" s="121"/>
      <c r="G690" s="121" t="s">
        <v>936</v>
      </c>
      <c r="H690" s="121">
        <f t="shared" si="1163"/>
        <v>95082</v>
      </c>
      <c r="I690" s="121" t="s">
        <v>1235</v>
      </c>
      <c r="J690" s="304">
        <v>12</v>
      </c>
      <c r="K690" s="121" t="s">
        <v>1236</v>
      </c>
      <c r="L690" s="304">
        <f>预算主表!P123/12</f>
        <v>7923.5</v>
      </c>
      <c r="M690" s="121" t="s">
        <v>1237</v>
      </c>
      <c r="N690" s="311">
        <v>12</v>
      </c>
      <c r="O690" s="294"/>
      <c r="P690" s="294"/>
      <c r="Q690" s="294"/>
      <c r="R690" s="294"/>
      <c r="S690" s="294"/>
      <c r="T690" s="294"/>
      <c r="U690" s="294"/>
      <c r="V690" s="294"/>
      <c r="W690" s="294"/>
      <c r="X690" s="294"/>
      <c r="Y690" s="294"/>
      <c r="Z690" s="294"/>
      <c r="AA690" s="294"/>
      <c r="AB690" s="121">
        <f t="shared" si="1165"/>
        <v>95082</v>
      </c>
      <c r="AC690" s="121">
        <f>$H690/12</f>
        <v>7923.5</v>
      </c>
      <c r="AD690" s="121"/>
      <c r="AE690" s="121"/>
      <c r="AF690" s="121">
        <f>$H690/12</f>
        <v>7923.5</v>
      </c>
      <c r="AG690" s="121"/>
      <c r="AH690" s="121"/>
      <c r="AI690" s="121">
        <f>$H690/12</f>
        <v>7923.5</v>
      </c>
      <c r="AJ690" s="121"/>
      <c r="AK690" s="121"/>
      <c r="AL690" s="121">
        <f>$H690/12</f>
        <v>7923.5</v>
      </c>
      <c r="AM690" s="121"/>
      <c r="AN690" s="121"/>
      <c r="AO690" s="121">
        <f>$H690/12</f>
        <v>7923.5</v>
      </c>
      <c r="AP690" s="121"/>
      <c r="AQ690" s="121"/>
      <c r="AR690" s="121">
        <f>$H690/12</f>
        <v>7923.5</v>
      </c>
      <c r="AS690" s="121"/>
      <c r="AT690" s="121"/>
      <c r="AU690" s="121">
        <f>$H690/12</f>
        <v>7923.5</v>
      </c>
      <c r="AV690" s="121"/>
      <c r="AW690" s="121"/>
      <c r="AX690" s="121">
        <f>$H690/12</f>
        <v>7923.5</v>
      </c>
      <c r="AY690" s="121"/>
      <c r="AZ690" s="121"/>
      <c r="BA690" s="121">
        <f>$H690/12</f>
        <v>7923.5</v>
      </c>
      <c r="BB690" s="121"/>
      <c r="BC690" s="121"/>
      <c r="BD690" s="121">
        <f>$H690/12</f>
        <v>7923.5</v>
      </c>
      <c r="BE690" s="121"/>
      <c r="BF690" s="121"/>
      <c r="BG690" s="121">
        <f>$H690/12</f>
        <v>7923.5</v>
      </c>
      <c r="BH690" s="121"/>
      <c r="BI690" s="121"/>
      <c r="BJ690" s="121">
        <f>$H690/12</f>
        <v>7923.5</v>
      </c>
      <c r="BK690" s="121"/>
      <c r="BL690" s="311"/>
      <c r="BM690" s="317"/>
      <c r="BN690" s="319"/>
    </row>
    <row r="691" s="14" customFormat="1" ht="33.95" customHeight="1" outlineLevel="2" collapsed="1" spans="2:66">
      <c r="B691" s="118" t="s">
        <v>792</v>
      </c>
      <c r="C691" s="119" t="s">
        <v>2372</v>
      </c>
      <c r="D691" s="14" t="s">
        <v>2373</v>
      </c>
      <c r="E691" s="118" t="s">
        <v>2374</v>
      </c>
      <c r="F691" s="118" t="s">
        <v>1618</v>
      </c>
      <c r="G691" s="118" t="s">
        <v>936</v>
      </c>
      <c r="H691" s="118">
        <f t="shared" ref="H691:H694" si="1178">J691*L691</f>
        <v>60000</v>
      </c>
      <c r="I691" s="118" t="s">
        <v>1235</v>
      </c>
      <c r="J691" s="118">
        <v>1</v>
      </c>
      <c r="K691" s="118" t="s">
        <v>1236</v>
      </c>
      <c r="L691" s="304">
        <f>预算主表!P132</f>
        <v>60000</v>
      </c>
      <c r="M691" s="118" t="s">
        <v>1370</v>
      </c>
      <c r="N691" s="118">
        <f t="shared" ref="N691:N694" si="1179">COUNTA(O691:Z691)</f>
        <v>1</v>
      </c>
      <c r="O691" s="323" t="s">
        <v>1285</v>
      </c>
      <c r="P691" s="323"/>
      <c r="Q691" s="323"/>
      <c r="R691" s="323"/>
      <c r="S691" s="323"/>
      <c r="T691" s="323"/>
      <c r="U691" s="323"/>
      <c r="V691" s="323"/>
      <c r="W691" s="323"/>
      <c r="X691" s="323"/>
      <c r="Y691" s="323"/>
      <c r="Z691" s="323"/>
      <c r="AA691" s="118"/>
      <c r="AB691" s="118">
        <f t="shared" si="1165"/>
        <v>60000</v>
      </c>
      <c r="AC691" s="118">
        <f t="shared" ref="AC691:AC694" si="1180">IF(O691="√",$J691*$L691/$N691,0)</f>
        <v>60000</v>
      </c>
      <c r="AD691" s="118"/>
      <c r="AE691" s="118"/>
      <c r="AF691" s="118">
        <f t="shared" ref="AF691:AF694" si="1181">IF(P691="√",$J691*$L691/$N691,0)</f>
        <v>0</v>
      </c>
      <c r="AG691" s="118"/>
      <c r="AH691" s="118"/>
      <c r="AI691" s="118">
        <f t="shared" ref="AI691:AI694" si="1182">IF(Q691="√",$J691*$L691/$N691,0)</f>
        <v>0</v>
      </c>
      <c r="AJ691" s="118"/>
      <c r="AK691" s="118"/>
      <c r="AL691" s="118">
        <f t="shared" ref="AL691:AL694" si="1183">IF(R691="√",$J691*$L691/$N691,0)</f>
        <v>0</v>
      </c>
      <c r="AM691" s="118"/>
      <c r="AN691" s="118"/>
      <c r="AO691" s="118">
        <f t="shared" ref="AO691:AO694" si="1184">IF(S691="√",$J691*$L691/$N691,0)</f>
        <v>0</v>
      </c>
      <c r="AP691" s="118"/>
      <c r="AQ691" s="118"/>
      <c r="AR691" s="118">
        <f t="shared" ref="AR691:AR694" si="1185">IF(T691="√",$J691*$L691/$N691,0)</f>
        <v>0</v>
      </c>
      <c r="AS691" s="118"/>
      <c r="AT691" s="118"/>
      <c r="AU691" s="118">
        <f t="shared" ref="AU691:AU694" si="1186">IF(U691="√",$J691*$L691/$N691,0)</f>
        <v>0</v>
      </c>
      <c r="AV691" s="118"/>
      <c r="AW691" s="118"/>
      <c r="AX691" s="118">
        <f t="shared" ref="AX691:AX694" si="1187">IF(V691="√",$J691*$L691/$N691,0)</f>
        <v>0</v>
      </c>
      <c r="AY691" s="118"/>
      <c r="AZ691" s="118"/>
      <c r="BA691" s="118">
        <f t="shared" ref="BA691:BA694" si="1188">IF(W691="√",$J691*$L691/$N691,0)</f>
        <v>0</v>
      </c>
      <c r="BB691" s="118"/>
      <c r="BC691" s="118"/>
      <c r="BD691" s="118">
        <f t="shared" ref="BD691:BD694" si="1189">IF(X691="√",$J691*$L691/$N691,0)</f>
        <v>0</v>
      </c>
      <c r="BE691" s="118"/>
      <c r="BF691" s="118"/>
      <c r="BG691" s="118">
        <f t="shared" ref="BG691:BG694" si="1190">IF(Y691="√",$J691*$L691/$N691,0)</f>
        <v>0</v>
      </c>
      <c r="BH691" s="118"/>
      <c r="BI691" s="118"/>
      <c r="BJ691" s="118">
        <f t="shared" ref="BJ691:BJ694" si="1191">IF(Z691="√",$J691*$L691/$N691,0)</f>
        <v>0</v>
      </c>
      <c r="BK691" s="118"/>
      <c r="BL691" s="310"/>
      <c r="BM691" s="317"/>
      <c r="BN691" s="318"/>
    </row>
    <row r="692" s="14" customFormat="1" ht="33.95" customHeight="1" outlineLevel="2" collapsed="1" spans="2:66">
      <c r="B692" s="118" t="s">
        <v>792</v>
      </c>
      <c r="C692" s="119" t="s">
        <v>2375</v>
      </c>
      <c r="D692" s="14" t="s">
        <v>2376</v>
      </c>
      <c r="E692" s="118" t="s">
        <v>2377</v>
      </c>
      <c r="F692" s="118" t="s">
        <v>1618</v>
      </c>
      <c r="G692" s="118" t="s">
        <v>936</v>
      </c>
      <c r="H692" s="118">
        <f t="shared" si="1178"/>
        <v>0</v>
      </c>
      <c r="I692" s="118" t="s">
        <v>1235</v>
      </c>
      <c r="J692" s="118">
        <v>1</v>
      </c>
      <c r="K692" s="118" t="s">
        <v>1236</v>
      </c>
      <c r="L692" s="304"/>
      <c r="M692" s="118" t="s">
        <v>1370</v>
      </c>
      <c r="N692" s="118">
        <f t="shared" si="1179"/>
        <v>1</v>
      </c>
      <c r="O692" s="304" t="s">
        <v>1285</v>
      </c>
      <c r="P692" s="304"/>
      <c r="Q692" s="304"/>
      <c r="R692" s="304"/>
      <c r="S692" s="304"/>
      <c r="T692" s="304"/>
      <c r="U692" s="304"/>
      <c r="V692" s="304"/>
      <c r="W692" s="304"/>
      <c r="X692" s="304"/>
      <c r="Y692" s="304"/>
      <c r="Z692" s="304"/>
      <c r="AA692" s="118"/>
      <c r="AB692" s="118">
        <f t="shared" si="1165"/>
        <v>0</v>
      </c>
      <c r="AC692" s="118">
        <f t="shared" si="1180"/>
        <v>0</v>
      </c>
      <c r="AD692" s="118"/>
      <c r="AE692" s="118"/>
      <c r="AF692" s="118">
        <f t="shared" si="1181"/>
        <v>0</v>
      </c>
      <c r="AG692" s="118"/>
      <c r="AH692" s="118"/>
      <c r="AI692" s="118">
        <f t="shared" si="1182"/>
        <v>0</v>
      </c>
      <c r="AJ692" s="118"/>
      <c r="AK692" s="118"/>
      <c r="AL692" s="118">
        <f t="shared" si="1183"/>
        <v>0</v>
      </c>
      <c r="AM692" s="118"/>
      <c r="AN692" s="118"/>
      <c r="AO692" s="118">
        <f t="shared" si="1184"/>
        <v>0</v>
      </c>
      <c r="AP692" s="118"/>
      <c r="AQ692" s="118"/>
      <c r="AR692" s="118">
        <f t="shared" si="1185"/>
        <v>0</v>
      </c>
      <c r="AS692" s="118"/>
      <c r="AT692" s="118"/>
      <c r="AU692" s="118">
        <f t="shared" si="1186"/>
        <v>0</v>
      </c>
      <c r="AV692" s="118"/>
      <c r="AW692" s="118"/>
      <c r="AX692" s="118">
        <f t="shared" si="1187"/>
        <v>0</v>
      </c>
      <c r="AY692" s="118"/>
      <c r="AZ692" s="118"/>
      <c r="BA692" s="118">
        <f t="shared" si="1188"/>
        <v>0</v>
      </c>
      <c r="BB692" s="118"/>
      <c r="BC692" s="118"/>
      <c r="BD692" s="118">
        <f t="shared" si="1189"/>
        <v>0</v>
      </c>
      <c r="BE692" s="118"/>
      <c r="BF692" s="118"/>
      <c r="BG692" s="118">
        <f t="shared" si="1190"/>
        <v>0</v>
      </c>
      <c r="BH692" s="118"/>
      <c r="BI692" s="118"/>
      <c r="BJ692" s="118">
        <f t="shared" si="1191"/>
        <v>0</v>
      </c>
      <c r="BK692" s="118"/>
      <c r="BL692" s="310"/>
      <c r="BM692" s="317"/>
      <c r="BN692" s="318"/>
    </row>
    <row r="693" s="14" customFormat="1" ht="33.95" customHeight="1" outlineLevel="2" collapsed="1" spans="2:66">
      <c r="B693" s="118" t="s">
        <v>792</v>
      </c>
      <c r="C693" s="119" t="s">
        <v>2378</v>
      </c>
      <c r="D693" s="14" t="s">
        <v>2379</v>
      </c>
      <c r="F693" s="118" t="s">
        <v>1618</v>
      </c>
      <c r="G693" s="118" t="s">
        <v>936</v>
      </c>
      <c r="H693" s="118">
        <f t="shared" si="1178"/>
        <v>742377.962264151</v>
      </c>
      <c r="I693" s="118" t="s">
        <v>1235</v>
      </c>
      <c r="J693" s="118">
        <v>1</v>
      </c>
      <c r="K693" s="118" t="s">
        <v>1236</v>
      </c>
      <c r="L693" s="304">
        <f>预算主表!P93</f>
        <v>742377.962264151</v>
      </c>
      <c r="M693" s="118" t="s">
        <v>1370</v>
      </c>
      <c r="N693" s="118">
        <f t="shared" si="1179"/>
        <v>1</v>
      </c>
      <c r="O693" s="304" t="s">
        <v>1285</v>
      </c>
      <c r="P693" s="304"/>
      <c r="Q693" s="304"/>
      <c r="R693" s="304"/>
      <c r="S693" s="304"/>
      <c r="T693" s="304"/>
      <c r="U693" s="304"/>
      <c r="V693" s="304"/>
      <c r="W693" s="304"/>
      <c r="X693" s="304"/>
      <c r="Y693" s="304"/>
      <c r="Z693" s="304"/>
      <c r="AA693" s="118"/>
      <c r="AB693" s="118">
        <f t="shared" si="1165"/>
        <v>742377.962264151</v>
      </c>
      <c r="AC693" s="118">
        <f t="shared" si="1180"/>
        <v>742377.962264151</v>
      </c>
      <c r="AD693" s="118"/>
      <c r="AE693" s="118"/>
      <c r="AF693" s="118">
        <f t="shared" si="1181"/>
        <v>0</v>
      </c>
      <c r="AG693" s="118"/>
      <c r="AH693" s="118"/>
      <c r="AI693" s="118">
        <f t="shared" si="1182"/>
        <v>0</v>
      </c>
      <c r="AJ693" s="118"/>
      <c r="AK693" s="118"/>
      <c r="AL693" s="118">
        <f t="shared" si="1183"/>
        <v>0</v>
      </c>
      <c r="AM693" s="118"/>
      <c r="AN693" s="118"/>
      <c r="AO693" s="118">
        <f t="shared" si="1184"/>
        <v>0</v>
      </c>
      <c r="AP693" s="118"/>
      <c r="AQ693" s="118"/>
      <c r="AR693" s="118">
        <f t="shared" si="1185"/>
        <v>0</v>
      </c>
      <c r="AS693" s="118"/>
      <c r="AT693" s="118"/>
      <c r="AU693" s="118">
        <f t="shared" si="1186"/>
        <v>0</v>
      </c>
      <c r="AV693" s="118"/>
      <c r="AW693" s="118"/>
      <c r="AX693" s="118">
        <f t="shared" si="1187"/>
        <v>0</v>
      </c>
      <c r="AY693" s="118"/>
      <c r="AZ693" s="118"/>
      <c r="BA693" s="118">
        <f t="shared" si="1188"/>
        <v>0</v>
      </c>
      <c r="BB693" s="118"/>
      <c r="BC693" s="118"/>
      <c r="BD693" s="118">
        <f t="shared" si="1189"/>
        <v>0</v>
      </c>
      <c r="BE693" s="118"/>
      <c r="BF693" s="118"/>
      <c r="BG693" s="118">
        <f t="shared" si="1190"/>
        <v>0</v>
      </c>
      <c r="BH693" s="118"/>
      <c r="BI693" s="118"/>
      <c r="BJ693" s="118">
        <f t="shared" si="1191"/>
        <v>0</v>
      </c>
      <c r="BK693" s="118"/>
      <c r="BL693" s="310"/>
      <c r="BM693" s="317"/>
      <c r="BN693" s="318"/>
    </row>
    <row r="694" s="14" customFormat="1" ht="33.95" customHeight="1" outlineLevel="2" collapsed="1" spans="2:66">
      <c r="B694" s="118" t="s">
        <v>792</v>
      </c>
      <c r="C694" s="119" t="s">
        <v>2380</v>
      </c>
      <c r="D694" s="14" t="s">
        <v>2381</v>
      </c>
      <c r="F694" s="118" t="s">
        <v>1618</v>
      </c>
      <c r="G694" s="118" t="s">
        <v>936</v>
      </c>
      <c r="H694" s="118">
        <f t="shared" si="1178"/>
        <v>360000</v>
      </c>
      <c r="I694" s="118" t="s">
        <v>1235</v>
      </c>
      <c r="J694" s="118">
        <v>1</v>
      </c>
      <c r="K694" s="118" t="s">
        <v>1236</v>
      </c>
      <c r="L694" s="304">
        <f>预算主表!P95</f>
        <v>360000</v>
      </c>
      <c r="M694" s="118" t="s">
        <v>1370</v>
      </c>
      <c r="N694" s="118">
        <f t="shared" si="1179"/>
        <v>1</v>
      </c>
      <c r="O694" s="304" t="s">
        <v>1285</v>
      </c>
      <c r="P694" s="304"/>
      <c r="Q694" s="304"/>
      <c r="R694" s="304"/>
      <c r="S694" s="304"/>
      <c r="T694" s="304"/>
      <c r="U694" s="304"/>
      <c r="V694" s="304"/>
      <c r="W694" s="304"/>
      <c r="X694" s="304"/>
      <c r="Y694" s="304"/>
      <c r="Z694" s="304"/>
      <c r="AA694" s="118"/>
      <c r="AB694" s="118">
        <f t="shared" si="1165"/>
        <v>360000</v>
      </c>
      <c r="AC694" s="118">
        <f t="shared" si="1180"/>
        <v>360000</v>
      </c>
      <c r="AD694" s="118"/>
      <c r="AE694" s="118"/>
      <c r="AF694" s="118">
        <f t="shared" si="1181"/>
        <v>0</v>
      </c>
      <c r="AG694" s="118"/>
      <c r="AH694" s="118"/>
      <c r="AI694" s="118">
        <f t="shared" si="1182"/>
        <v>0</v>
      </c>
      <c r="AJ694" s="118"/>
      <c r="AK694" s="118"/>
      <c r="AL694" s="118">
        <f t="shared" si="1183"/>
        <v>0</v>
      </c>
      <c r="AM694" s="118"/>
      <c r="AN694" s="118"/>
      <c r="AO694" s="118">
        <f t="shared" si="1184"/>
        <v>0</v>
      </c>
      <c r="AP694" s="118"/>
      <c r="AQ694" s="118"/>
      <c r="AR694" s="118">
        <f t="shared" si="1185"/>
        <v>0</v>
      </c>
      <c r="AS694" s="118"/>
      <c r="AT694" s="118"/>
      <c r="AU694" s="118">
        <f t="shared" si="1186"/>
        <v>0</v>
      </c>
      <c r="AV694" s="118"/>
      <c r="AW694" s="118"/>
      <c r="AX694" s="118">
        <f t="shared" si="1187"/>
        <v>0</v>
      </c>
      <c r="AY694" s="118"/>
      <c r="AZ694" s="118"/>
      <c r="BA694" s="118">
        <f t="shared" si="1188"/>
        <v>0</v>
      </c>
      <c r="BB694" s="118"/>
      <c r="BC694" s="118"/>
      <c r="BD694" s="118">
        <f t="shared" si="1189"/>
        <v>0</v>
      </c>
      <c r="BE694" s="118"/>
      <c r="BF694" s="118"/>
      <c r="BG694" s="118">
        <f t="shared" si="1190"/>
        <v>0</v>
      </c>
      <c r="BH694" s="118"/>
      <c r="BI694" s="118"/>
      <c r="BJ694" s="118">
        <f t="shared" si="1191"/>
        <v>0</v>
      </c>
      <c r="BK694" s="118"/>
      <c r="BL694" s="310"/>
      <c r="BM694" s="317"/>
      <c r="BN694" s="318"/>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workbookViewId="0">
      <selection activeCell="D3" sqref="D3:D14"/>
    </sheetView>
  </sheetViews>
  <sheetFormatPr defaultColWidth="8.75833333333333" defaultRowHeight="16.5"/>
  <cols>
    <col min="1" max="1" width="2.375" style="251" customWidth="1"/>
    <col min="2" max="2" width="2.875" style="252" customWidth="1"/>
    <col min="3" max="3" width="12.875" style="253" customWidth="1"/>
    <col min="4" max="4" width="28.7583333333333" style="254" customWidth="1"/>
    <col min="5" max="5" width="4" style="252" customWidth="1"/>
    <col min="6" max="6" width="31.125" style="252" customWidth="1"/>
    <col min="7" max="7" width="7.75833333333333" style="252" customWidth="1"/>
    <col min="8" max="19" width="12.125" style="253" customWidth="1"/>
    <col min="20" max="20" width="8.75833333333333" style="252"/>
    <col min="21" max="21" width="1.875" style="251" customWidth="1"/>
    <col min="22" max="16384" width="8.75833333333333" style="252"/>
  </cols>
  <sheetData>
    <row r="1" ht="12" customHeight="1" spans="2:20">
      <c r="B1" s="251"/>
      <c r="C1" s="255"/>
      <c r="D1" s="256"/>
      <c r="E1" s="251"/>
      <c r="F1" s="251"/>
      <c r="G1" s="251"/>
      <c r="H1" s="255"/>
      <c r="I1" s="255"/>
      <c r="J1" s="255"/>
      <c r="K1" s="255"/>
      <c r="L1" s="255"/>
      <c r="M1" s="255"/>
      <c r="N1" s="255"/>
      <c r="O1" s="255"/>
      <c r="P1" s="255"/>
      <c r="Q1" s="255"/>
      <c r="R1" s="255"/>
      <c r="S1" s="255"/>
      <c r="T1" s="251"/>
    </row>
    <row r="2" ht="30.95" customHeight="1" spans="3:19">
      <c r="C2" s="257" t="s">
        <v>2382</v>
      </c>
      <c r="D2" s="257"/>
      <c r="E2" s="257"/>
      <c r="F2" s="257"/>
      <c r="G2" s="257"/>
      <c r="H2" s="257"/>
      <c r="I2" s="257"/>
      <c r="J2" s="257"/>
      <c r="K2" s="257"/>
      <c r="L2" s="257"/>
      <c r="M2" s="257"/>
      <c r="N2" s="257"/>
      <c r="O2" s="257"/>
      <c r="P2" s="257"/>
      <c r="Q2" s="257"/>
      <c r="R2" s="257"/>
      <c r="S2" s="257"/>
    </row>
    <row r="3" ht="27" customHeight="1" spans="3:19">
      <c r="C3" s="88" t="s">
        <v>2383</v>
      </c>
      <c r="D3" s="258" t="s">
        <v>2384</v>
      </c>
      <c r="F3" s="259" t="s">
        <v>2385</v>
      </c>
      <c r="G3" s="260"/>
      <c r="H3" s="260"/>
      <c r="I3" s="260"/>
      <c r="J3" s="260"/>
      <c r="K3" s="260"/>
      <c r="L3" s="260"/>
      <c r="M3" s="260"/>
      <c r="N3" s="260"/>
      <c r="O3" s="260"/>
      <c r="P3" s="260"/>
      <c r="Q3" s="260"/>
      <c r="R3" s="260"/>
      <c r="S3" s="265"/>
    </row>
    <row r="4" ht="27" customHeight="1" spans="3:19">
      <c r="C4" s="88" t="s">
        <v>2386</v>
      </c>
      <c r="D4" s="258" t="s">
        <v>2387</v>
      </c>
      <c r="F4" s="88" t="s">
        <v>2388</v>
      </c>
      <c r="G4" s="261" t="s">
        <v>2389</v>
      </c>
      <c r="H4" s="88" t="s">
        <v>1235</v>
      </c>
      <c r="I4" s="88" t="s">
        <v>1235</v>
      </c>
      <c r="J4" s="88" t="s">
        <v>1235</v>
      </c>
      <c r="K4" s="88" t="s">
        <v>1235</v>
      </c>
      <c r="L4" s="88" t="s">
        <v>1235</v>
      </c>
      <c r="M4" s="88" t="s">
        <v>1235</v>
      </c>
      <c r="N4" s="88" t="s">
        <v>1235</v>
      </c>
      <c r="O4" s="88" t="s">
        <v>1235</v>
      </c>
      <c r="P4" s="88" t="s">
        <v>1235</v>
      </c>
      <c r="Q4" s="88" t="s">
        <v>1235</v>
      </c>
      <c r="R4" s="88" t="s">
        <v>1235</v>
      </c>
      <c r="S4" s="88" t="s">
        <v>1235</v>
      </c>
    </row>
    <row r="5" ht="27" customHeight="1" spans="3:19">
      <c r="C5" s="88" t="s">
        <v>2390</v>
      </c>
      <c r="D5" s="258" t="s">
        <v>2391</v>
      </c>
      <c r="F5" s="88"/>
      <c r="G5" s="262"/>
      <c r="H5" s="88" t="s">
        <v>759</v>
      </c>
      <c r="I5" s="88" t="s">
        <v>760</v>
      </c>
      <c r="J5" s="88" t="s">
        <v>761</v>
      </c>
      <c r="K5" s="88" t="s">
        <v>762</v>
      </c>
      <c r="L5" s="88" t="s">
        <v>763</v>
      </c>
      <c r="M5" s="88" t="s">
        <v>764</v>
      </c>
      <c r="N5" s="88" t="s">
        <v>765</v>
      </c>
      <c r="O5" s="88" t="s">
        <v>766</v>
      </c>
      <c r="P5" s="88" t="s">
        <v>767</v>
      </c>
      <c r="Q5" s="88" t="s">
        <v>768</v>
      </c>
      <c r="R5" s="88" t="s">
        <v>769</v>
      </c>
      <c r="S5" s="88" t="s">
        <v>770</v>
      </c>
    </row>
    <row r="6" ht="27" customHeight="1" spans="3:19">
      <c r="C6" s="88" t="s">
        <v>2392</v>
      </c>
      <c r="D6" s="258"/>
      <c r="F6" s="88" t="s">
        <v>2393</v>
      </c>
      <c r="G6" s="88" t="s">
        <v>1297</v>
      </c>
      <c r="H6" s="263">
        <v>1</v>
      </c>
      <c r="I6" s="263">
        <v>1</v>
      </c>
      <c r="J6" s="263">
        <v>1</v>
      </c>
      <c r="K6" s="263">
        <v>1</v>
      </c>
      <c r="L6" s="263">
        <v>1</v>
      </c>
      <c r="M6" s="263">
        <v>1</v>
      </c>
      <c r="N6" s="263">
        <v>1</v>
      </c>
      <c r="O6" s="263">
        <v>1</v>
      </c>
      <c r="P6" s="263">
        <v>1</v>
      </c>
      <c r="Q6" s="263">
        <v>1</v>
      </c>
      <c r="R6" s="263">
        <v>1</v>
      </c>
      <c r="S6" s="263">
        <v>1</v>
      </c>
    </row>
    <row r="7" ht="27" customHeight="1" spans="3:19">
      <c r="C7" s="88" t="s">
        <v>2394</v>
      </c>
      <c r="D7" s="258" t="s">
        <v>2395</v>
      </c>
      <c r="F7" s="88" t="s">
        <v>2396</v>
      </c>
      <c r="G7" s="88" t="s">
        <v>1389</v>
      </c>
      <c r="H7" s="263">
        <v>0</v>
      </c>
      <c r="I7" s="263">
        <v>0</v>
      </c>
      <c r="J7" s="263">
        <v>0</v>
      </c>
      <c r="K7" s="263">
        <v>0</v>
      </c>
      <c r="L7" s="263">
        <v>0</v>
      </c>
      <c r="M7" s="263">
        <v>0</v>
      </c>
      <c r="N7" s="263">
        <v>0</v>
      </c>
      <c r="O7" s="263">
        <v>0</v>
      </c>
      <c r="P7" s="263">
        <v>0</v>
      </c>
      <c r="Q7" s="263">
        <v>0</v>
      </c>
      <c r="R7" s="263">
        <v>0</v>
      </c>
      <c r="S7" s="263">
        <v>0</v>
      </c>
    </row>
    <row r="8" ht="27" customHeight="1" spans="3:19">
      <c r="C8" s="88" t="s">
        <v>170</v>
      </c>
      <c r="D8" s="258" t="s">
        <v>2397</v>
      </c>
      <c r="F8" s="88" t="s">
        <v>2398</v>
      </c>
      <c r="G8" s="88" t="s">
        <v>1026</v>
      </c>
      <c r="H8" s="263">
        <v>252764</v>
      </c>
      <c r="I8" s="263">
        <v>252764</v>
      </c>
      <c r="J8" s="263">
        <v>252764</v>
      </c>
      <c r="K8" s="263">
        <v>252764</v>
      </c>
      <c r="L8" s="263">
        <v>252764</v>
      </c>
      <c r="M8" s="263">
        <v>252764</v>
      </c>
      <c r="N8" s="263">
        <v>252764</v>
      </c>
      <c r="O8" s="263">
        <v>252764</v>
      </c>
      <c r="P8" s="263">
        <v>252764</v>
      </c>
      <c r="Q8" s="263">
        <v>252764</v>
      </c>
      <c r="R8" s="263">
        <v>252764</v>
      </c>
      <c r="S8" s="263">
        <v>252764</v>
      </c>
    </row>
    <row r="9" ht="27" customHeight="1" spans="3:19">
      <c r="C9" s="88" t="s">
        <v>2399</v>
      </c>
      <c r="D9" s="258" t="s">
        <v>2400</v>
      </c>
      <c r="F9" s="88" t="s">
        <v>1025</v>
      </c>
      <c r="G9" s="88" t="s">
        <v>1026</v>
      </c>
      <c r="H9" s="263">
        <v>252764</v>
      </c>
      <c r="I9" s="263">
        <v>252764</v>
      </c>
      <c r="J9" s="263">
        <v>252764</v>
      </c>
      <c r="K9" s="263">
        <v>252764</v>
      </c>
      <c r="L9" s="263">
        <v>252764</v>
      </c>
      <c r="M9" s="263">
        <v>252764</v>
      </c>
      <c r="N9" s="263">
        <v>252764</v>
      </c>
      <c r="O9" s="263">
        <v>252764</v>
      </c>
      <c r="P9" s="263">
        <v>252764</v>
      </c>
      <c r="Q9" s="263">
        <v>252764</v>
      </c>
      <c r="R9" s="263">
        <v>252764</v>
      </c>
      <c r="S9" s="263">
        <v>252764</v>
      </c>
    </row>
    <row r="10" ht="27" customHeight="1" spans="3:19">
      <c r="C10" s="88" t="s">
        <v>2401</v>
      </c>
      <c r="D10" s="258"/>
      <c r="F10" s="88" t="s">
        <v>2402</v>
      </c>
      <c r="G10" s="88" t="s">
        <v>1026</v>
      </c>
      <c r="H10" s="263">
        <v>252764</v>
      </c>
      <c r="I10" s="263">
        <v>252764</v>
      </c>
      <c r="J10" s="263">
        <v>252764</v>
      </c>
      <c r="K10" s="263">
        <v>252764</v>
      </c>
      <c r="L10" s="263">
        <v>252764</v>
      </c>
      <c r="M10" s="263">
        <v>252764</v>
      </c>
      <c r="N10" s="263">
        <v>252764</v>
      </c>
      <c r="O10" s="263">
        <v>252764</v>
      </c>
      <c r="P10" s="263">
        <v>252764</v>
      </c>
      <c r="Q10" s="263">
        <v>252764</v>
      </c>
      <c r="R10" s="263">
        <v>252764</v>
      </c>
      <c r="S10" s="263">
        <v>252764</v>
      </c>
    </row>
    <row r="11" ht="27" customHeight="1" spans="3:19">
      <c r="C11" s="88" t="s">
        <v>2403</v>
      </c>
      <c r="D11" s="258" t="s">
        <v>2404</v>
      </c>
      <c r="F11" s="88" t="s">
        <v>1089</v>
      </c>
      <c r="G11" s="88" t="s">
        <v>1026</v>
      </c>
      <c r="H11" s="263"/>
      <c r="I11" s="263"/>
      <c r="J11" s="263"/>
      <c r="K11" s="263"/>
      <c r="L11" s="263"/>
      <c r="M11" s="263"/>
      <c r="N11" s="263"/>
      <c r="O11" s="263"/>
      <c r="P11" s="263"/>
      <c r="Q11" s="263"/>
      <c r="R11" s="263"/>
      <c r="S11" s="263"/>
    </row>
    <row r="12" ht="27" customHeight="1" spans="3:19">
      <c r="C12" s="88" t="s">
        <v>2405</v>
      </c>
      <c r="D12" s="258"/>
      <c r="F12" s="88" t="s">
        <v>1170</v>
      </c>
      <c r="G12" s="88" t="s">
        <v>1026</v>
      </c>
      <c r="H12" s="263">
        <v>252764</v>
      </c>
      <c r="I12" s="263">
        <v>252764</v>
      </c>
      <c r="J12" s="263">
        <v>252764</v>
      </c>
      <c r="K12" s="263">
        <v>252764</v>
      </c>
      <c r="L12" s="263">
        <v>252764</v>
      </c>
      <c r="M12" s="263">
        <v>252764</v>
      </c>
      <c r="N12" s="263">
        <v>252764</v>
      </c>
      <c r="O12" s="263">
        <v>252764</v>
      </c>
      <c r="P12" s="263">
        <v>252764</v>
      </c>
      <c r="Q12" s="263">
        <v>252764</v>
      </c>
      <c r="R12" s="263">
        <v>252764</v>
      </c>
      <c r="S12" s="263">
        <v>252764</v>
      </c>
    </row>
    <row r="13" ht="27" customHeight="1" spans="3:19">
      <c r="C13" s="88" t="s">
        <v>2406</v>
      </c>
      <c r="D13" s="258"/>
      <c r="F13" s="88" t="s">
        <v>2306</v>
      </c>
      <c r="G13" s="88" t="s">
        <v>1026</v>
      </c>
      <c r="H13" s="263">
        <v>252764</v>
      </c>
      <c r="I13" s="263">
        <v>252764</v>
      </c>
      <c r="J13" s="263">
        <v>252764</v>
      </c>
      <c r="K13" s="263">
        <v>252764</v>
      </c>
      <c r="L13" s="263">
        <v>252764</v>
      </c>
      <c r="M13" s="263">
        <v>252764</v>
      </c>
      <c r="N13" s="263">
        <v>252764</v>
      </c>
      <c r="O13" s="263">
        <v>252764</v>
      </c>
      <c r="P13" s="263">
        <v>252764</v>
      </c>
      <c r="Q13" s="263">
        <v>252764</v>
      </c>
      <c r="R13" s="263">
        <v>252764</v>
      </c>
      <c r="S13" s="263">
        <v>252764</v>
      </c>
    </row>
    <row r="14" ht="27" customHeight="1" spans="3:4">
      <c r="C14" s="88" t="s">
        <v>2407</v>
      </c>
      <c r="D14" s="258" t="s">
        <v>2408</v>
      </c>
    </row>
    <row r="15" ht="18" customHeight="1" spans="4:4">
      <c r="D15" s="253"/>
    </row>
    <row r="16" ht="9.95" customHeight="1" spans="2:20">
      <c r="B16" s="251"/>
      <c r="C16" s="255"/>
      <c r="D16" s="256"/>
      <c r="E16" s="251"/>
      <c r="F16" s="251"/>
      <c r="G16" s="251"/>
      <c r="H16" s="255"/>
      <c r="I16" s="255"/>
      <c r="J16" s="255"/>
      <c r="K16" s="255"/>
      <c r="L16" s="255"/>
      <c r="M16" s="255"/>
      <c r="N16" s="255"/>
      <c r="O16" s="255"/>
      <c r="P16" s="255"/>
      <c r="Q16" s="255"/>
      <c r="R16" s="255"/>
      <c r="S16" s="255"/>
      <c r="T16" s="251"/>
    </row>
    <row r="17" ht="27" customHeight="1" spans="3:19">
      <c r="C17" s="257" t="s">
        <v>2409</v>
      </c>
      <c r="D17" s="257"/>
      <c r="E17" s="257"/>
      <c r="F17" s="257"/>
      <c r="G17" s="257"/>
      <c r="H17" s="257"/>
      <c r="I17" s="257"/>
      <c r="J17" s="257"/>
      <c r="K17" s="257"/>
      <c r="L17" s="257"/>
      <c r="M17" s="257"/>
      <c r="N17" s="257"/>
      <c r="O17" s="257"/>
      <c r="P17" s="257"/>
      <c r="Q17" s="257"/>
      <c r="R17" s="257"/>
      <c r="S17" s="257"/>
    </row>
    <row r="18" ht="27" customHeight="1" spans="3:19">
      <c r="C18" s="88" t="s">
        <v>2410</v>
      </c>
      <c r="D18" s="264" t="s">
        <v>2404</v>
      </c>
      <c r="F18" s="259" t="s">
        <v>2411</v>
      </c>
      <c r="G18" s="260"/>
      <c r="H18" s="260"/>
      <c r="I18" s="260"/>
      <c r="J18" s="260"/>
      <c r="K18" s="260"/>
      <c r="L18" s="260"/>
      <c r="M18" s="260"/>
      <c r="N18" s="260"/>
      <c r="O18" s="260"/>
      <c r="P18" s="260"/>
      <c r="Q18" s="260"/>
      <c r="R18" s="260"/>
      <c r="S18" s="265"/>
    </row>
    <row r="19" ht="27" customHeight="1" spans="3:19">
      <c r="C19" s="88" t="s">
        <v>2412</v>
      </c>
      <c r="D19" s="264" t="s">
        <v>2413</v>
      </c>
      <c r="F19" s="88" t="s">
        <v>2388</v>
      </c>
      <c r="G19" s="261" t="s">
        <v>2389</v>
      </c>
      <c r="H19" s="88" t="s">
        <v>1235</v>
      </c>
      <c r="I19" s="88" t="s">
        <v>1235</v>
      </c>
      <c r="J19" s="88" t="s">
        <v>1235</v>
      </c>
      <c r="K19" s="88" t="s">
        <v>1235</v>
      </c>
      <c r="L19" s="88" t="s">
        <v>1235</v>
      </c>
      <c r="M19" s="88" t="s">
        <v>1235</v>
      </c>
      <c r="N19" s="88" t="s">
        <v>1235</v>
      </c>
      <c r="O19" s="88" t="s">
        <v>1235</v>
      </c>
      <c r="P19" s="88" t="s">
        <v>1235</v>
      </c>
      <c r="Q19" s="88" t="s">
        <v>1235</v>
      </c>
      <c r="R19" s="88" t="s">
        <v>1235</v>
      </c>
      <c r="S19" s="88" t="s">
        <v>1235</v>
      </c>
    </row>
    <row r="20" ht="27" customHeight="1" spans="3:19">
      <c r="C20" s="88" t="s">
        <v>2414</v>
      </c>
      <c r="D20" s="264" t="s">
        <v>2415</v>
      </c>
      <c r="F20" s="88"/>
      <c r="G20" s="262"/>
      <c r="H20" s="88" t="s">
        <v>759</v>
      </c>
      <c r="I20" s="88" t="s">
        <v>760</v>
      </c>
      <c r="J20" s="88" t="s">
        <v>761</v>
      </c>
      <c r="K20" s="88" t="s">
        <v>762</v>
      </c>
      <c r="L20" s="88" t="s">
        <v>763</v>
      </c>
      <c r="M20" s="88" t="s">
        <v>764</v>
      </c>
      <c r="N20" s="88" t="s">
        <v>765</v>
      </c>
      <c r="O20" s="88" t="s">
        <v>766</v>
      </c>
      <c r="P20" s="88" t="s">
        <v>767</v>
      </c>
      <c r="Q20" s="88" t="s">
        <v>768</v>
      </c>
      <c r="R20" s="88" t="s">
        <v>769</v>
      </c>
      <c r="S20" s="88" t="s">
        <v>770</v>
      </c>
    </row>
    <row r="21" ht="27" customHeight="1" spans="3:19">
      <c r="C21" s="88" t="s">
        <v>2416</v>
      </c>
      <c r="D21" s="97" t="str">
        <f>VLOOKUP(D4,'附表1-数据库'!B46:C383,2,FALSE)</f>
        <v>一类城市</v>
      </c>
      <c r="F21" s="87" t="s">
        <v>1141</v>
      </c>
      <c r="G21" s="87" t="s">
        <v>1143</v>
      </c>
      <c r="H21" s="258">
        <f>预算主表!$P$83/(12*330)</f>
        <v>0</v>
      </c>
      <c r="I21" s="258">
        <f>预算主表!$P$83/(12*330)</f>
        <v>0</v>
      </c>
      <c r="J21" s="258">
        <f>预算主表!$P$83/(12*330)</f>
        <v>0</v>
      </c>
      <c r="K21" s="258">
        <f>预算主表!$P$83/(12*330)</f>
        <v>0</v>
      </c>
      <c r="L21" s="258">
        <f>预算主表!$P$83/(12*330)</f>
        <v>0</v>
      </c>
      <c r="M21" s="258">
        <f>预算主表!$P$83/(12*330)</f>
        <v>0</v>
      </c>
      <c r="N21" s="258">
        <f>预算主表!$P$83/(12*330)</f>
        <v>0</v>
      </c>
      <c r="O21" s="258">
        <f>预算主表!$P$83/(12*330)</f>
        <v>0</v>
      </c>
      <c r="P21" s="258">
        <f>预算主表!$P$83/(12*330)</f>
        <v>0</v>
      </c>
      <c r="Q21" s="258">
        <f>预算主表!$P$83/(12*330)</f>
        <v>0</v>
      </c>
      <c r="R21" s="258">
        <f>预算主表!$P$83/(12*330)</f>
        <v>0</v>
      </c>
      <c r="S21" s="258">
        <f>预算主表!$P$83/(12*330)</f>
        <v>0</v>
      </c>
    </row>
    <row r="22" ht="27" customHeight="1" spans="3:19">
      <c r="C22" s="254"/>
      <c r="F22" s="87" t="s">
        <v>1146</v>
      </c>
      <c r="G22" s="87" t="s">
        <v>1143</v>
      </c>
      <c r="H22" s="258"/>
      <c r="I22" s="258"/>
      <c r="J22" s="258"/>
      <c r="K22" s="258"/>
      <c r="L22" s="258"/>
      <c r="M22" s="258"/>
      <c r="N22" s="258"/>
      <c r="O22" s="258"/>
      <c r="P22" s="258"/>
      <c r="Q22" s="258"/>
      <c r="R22" s="258"/>
      <c r="S22" s="258"/>
    </row>
    <row r="23" ht="27" customHeight="1" spans="6:19">
      <c r="F23" s="87" t="s">
        <v>1148</v>
      </c>
      <c r="G23" s="87" t="s">
        <v>1143</v>
      </c>
      <c r="H23" s="258"/>
      <c r="I23" s="258"/>
      <c r="J23" s="258"/>
      <c r="K23" s="258"/>
      <c r="L23" s="258"/>
      <c r="M23" s="258"/>
      <c r="N23" s="258"/>
      <c r="O23" s="258"/>
      <c r="P23" s="258"/>
      <c r="Q23" s="258"/>
      <c r="R23" s="258"/>
      <c r="S23" s="258"/>
    </row>
    <row r="24" ht="27" customHeight="1" spans="6:19">
      <c r="F24" s="87" t="s">
        <v>1150</v>
      </c>
      <c r="G24" s="87" t="s">
        <v>1143</v>
      </c>
      <c r="H24" s="258"/>
      <c r="I24" s="258"/>
      <c r="J24" s="258"/>
      <c r="K24" s="258"/>
      <c r="L24" s="258"/>
      <c r="M24" s="258"/>
      <c r="N24" s="258"/>
      <c r="O24" s="258"/>
      <c r="P24" s="258"/>
      <c r="Q24" s="258"/>
      <c r="R24" s="258"/>
      <c r="S24" s="258"/>
    </row>
    <row r="25" ht="27" customHeight="1" spans="6:19">
      <c r="F25" s="87" t="s">
        <v>1152</v>
      </c>
      <c r="G25" s="87" t="s">
        <v>1143</v>
      </c>
      <c r="H25" s="258"/>
      <c r="I25" s="258"/>
      <c r="J25" s="258"/>
      <c r="K25" s="258"/>
      <c r="L25" s="258"/>
      <c r="M25" s="258"/>
      <c r="N25" s="258"/>
      <c r="O25" s="258"/>
      <c r="P25" s="258"/>
      <c r="Q25" s="258"/>
      <c r="R25" s="258"/>
      <c r="S25" s="258"/>
    </row>
    <row r="26" ht="27" customHeight="1" spans="6:19">
      <c r="F26" s="87" t="s">
        <v>1154</v>
      </c>
      <c r="G26" s="87" t="s">
        <v>1143</v>
      </c>
      <c r="H26" s="258"/>
      <c r="I26" s="258"/>
      <c r="J26" s="258"/>
      <c r="K26" s="258"/>
      <c r="L26" s="258"/>
      <c r="M26" s="258"/>
      <c r="N26" s="258"/>
      <c r="O26" s="258"/>
      <c r="P26" s="258"/>
      <c r="Q26" s="258"/>
      <c r="R26" s="258"/>
      <c r="S26" s="258"/>
    </row>
    <row r="27" ht="27" customHeight="1" spans="6:19">
      <c r="F27" s="87" t="s">
        <v>1156</v>
      </c>
      <c r="G27" s="87" t="s">
        <v>1143</v>
      </c>
      <c r="H27" s="258"/>
      <c r="I27" s="258"/>
      <c r="J27" s="258"/>
      <c r="K27" s="258"/>
      <c r="L27" s="258"/>
      <c r="M27" s="258"/>
      <c r="N27" s="258"/>
      <c r="O27" s="258"/>
      <c r="P27" s="258"/>
      <c r="Q27" s="258"/>
      <c r="R27" s="258"/>
      <c r="S27" s="258"/>
    </row>
    <row r="28" ht="27" customHeight="1" spans="6:19">
      <c r="F28" s="87" t="s">
        <v>1158</v>
      </c>
      <c r="G28" s="87" t="s">
        <v>1143</v>
      </c>
      <c r="H28" s="258"/>
      <c r="I28" s="258"/>
      <c r="J28" s="258"/>
      <c r="K28" s="258"/>
      <c r="L28" s="258"/>
      <c r="M28" s="258"/>
      <c r="N28" s="258"/>
      <c r="O28" s="258"/>
      <c r="P28" s="258"/>
      <c r="Q28" s="258"/>
      <c r="R28" s="258"/>
      <c r="S28" s="258"/>
    </row>
    <row r="29" ht="27" customHeight="1" spans="6:19">
      <c r="F29" s="87" t="s">
        <v>1160</v>
      </c>
      <c r="G29" s="87" t="s">
        <v>1143</v>
      </c>
      <c r="H29" s="258"/>
      <c r="I29" s="258"/>
      <c r="J29" s="258"/>
      <c r="K29" s="258"/>
      <c r="L29" s="258"/>
      <c r="M29" s="258"/>
      <c r="N29" s="258"/>
      <c r="O29" s="258"/>
      <c r="P29" s="258"/>
      <c r="Q29" s="258"/>
      <c r="R29" s="258"/>
      <c r="S29" s="258"/>
    </row>
    <row r="30" ht="27" customHeight="1" spans="6:19">
      <c r="F30" s="87" t="s">
        <v>1162</v>
      </c>
      <c r="G30" s="87" t="s">
        <v>1143</v>
      </c>
      <c r="H30" s="258"/>
      <c r="I30" s="258"/>
      <c r="J30" s="258"/>
      <c r="K30" s="258"/>
      <c r="L30" s="258"/>
      <c r="M30" s="258"/>
      <c r="N30" s="258"/>
      <c r="O30" s="258"/>
      <c r="P30" s="258"/>
      <c r="Q30" s="258"/>
      <c r="R30" s="258"/>
      <c r="S30" s="258"/>
    </row>
    <row r="31" ht="27" customHeight="1" spans="6:19">
      <c r="F31" s="87" t="s">
        <v>1164</v>
      </c>
      <c r="G31" s="87" t="s">
        <v>1143</v>
      </c>
      <c r="H31" s="258"/>
      <c r="I31" s="258"/>
      <c r="J31" s="258"/>
      <c r="K31" s="258"/>
      <c r="L31" s="258"/>
      <c r="M31" s="258"/>
      <c r="N31" s="258"/>
      <c r="O31" s="258"/>
      <c r="P31" s="258"/>
      <c r="Q31" s="258"/>
      <c r="R31" s="258"/>
      <c r="S31" s="258"/>
    </row>
    <row r="32" ht="27" customHeight="1" spans="6:19">
      <c r="F32" s="87" t="s">
        <v>1166</v>
      </c>
      <c r="G32" s="87" t="s">
        <v>1143</v>
      </c>
      <c r="H32" s="258"/>
      <c r="I32" s="258"/>
      <c r="J32" s="258"/>
      <c r="K32" s="258"/>
      <c r="L32" s="258"/>
      <c r="M32" s="258"/>
      <c r="N32" s="258"/>
      <c r="O32" s="258"/>
      <c r="P32" s="258"/>
      <c r="Q32" s="258"/>
      <c r="R32" s="258"/>
      <c r="S32" s="258"/>
    </row>
    <row r="33" ht="27" customHeight="1" spans="6:19">
      <c r="F33" s="87" t="s">
        <v>1168</v>
      </c>
      <c r="G33" s="87" t="s">
        <v>1143</v>
      </c>
      <c r="H33" s="258"/>
      <c r="I33" s="258"/>
      <c r="J33" s="258"/>
      <c r="K33" s="258"/>
      <c r="L33" s="258"/>
      <c r="M33" s="258"/>
      <c r="N33" s="258"/>
      <c r="O33" s="258"/>
      <c r="P33" s="258"/>
      <c r="Q33" s="258"/>
      <c r="R33" s="258"/>
      <c r="S33" s="258"/>
    </row>
    <row r="34" ht="21.95" customHeight="1"/>
    <row r="35" ht="12" customHeight="1" spans="2:20">
      <c r="B35" s="251"/>
      <c r="C35" s="255"/>
      <c r="D35" s="256"/>
      <c r="E35" s="251"/>
      <c r="F35" s="251"/>
      <c r="G35" s="251"/>
      <c r="H35" s="255"/>
      <c r="I35" s="255"/>
      <c r="J35" s="255"/>
      <c r="K35" s="255"/>
      <c r="L35" s="255"/>
      <c r="M35" s="255"/>
      <c r="N35" s="255"/>
      <c r="O35" s="255"/>
      <c r="P35" s="255"/>
      <c r="Q35" s="255"/>
      <c r="R35" s="255"/>
      <c r="S35" s="255"/>
      <c r="T35" s="251"/>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59" activePane="bottomRight" state="frozen"/>
      <selection/>
      <selection pane="topRight"/>
      <selection pane="bottomLeft"/>
      <selection pane="bottomRight" activeCell="F77" sqref="F77:Q77"/>
    </sheetView>
  </sheetViews>
  <sheetFormatPr defaultColWidth="8.75833333333333" defaultRowHeight="16.5"/>
  <cols>
    <col min="1" max="1" width="8.75833333333333" style="223"/>
    <col min="2" max="2" width="16.875" style="224" customWidth="1"/>
    <col min="3" max="3" width="12.875" style="224" customWidth="1"/>
    <col min="4" max="4" width="12.875" style="225" customWidth="1"/>
    <col min="5" max="5" width="7.125" style="224" customWidth="1"/>
    <col min="6" max="16384" width="8.75833333333333" style="223"/>
  </cols>
  <sheetData>
    <row r="1" ht="30.95" customHeight="1" spans="1:17">
      <c r="A1" s="223">
        <v>11</v>
      </c>
      <c r="B1" s="226" t="s">
        <v>2417</v>
      </c>
      <c r="C1" s="226" t="s">
        <v>2418</v>
      </c>
      <c r="D1" s="227" t="s">
        <v>2419</v>
      </c>
      <c r="E1" s="226" t="s">
        <v>2389</v>
      </c>
      <c r="F1" s="228" t="s">
        <v>759</v>
      </c>
      <c r="G1" s="228" t="s">
        <v>760</v>
      </c>
      <c r="H1" s="228" t="s">
        <v>761</v>
      </c>
      <c r="I1" s="228" t="s">
        <v>762</v>
      </c>
      <c r="J1" s="228" t="s">
        <v>763</v>
      </c>
      <c r="K1" s="228" t="s">
        <v>764</v>
      </c>
      <c r="L1" s="228" t="s">
        <v>765</v>
      </c>
      <c r="M1" s="228" t="s">
        <v>766</v>
      </c>
      <c r="N1" s="228" t="s">
        <v>767</v>
      </c>
      <c r="O1" s="228" t="s">
        <v>768</v>
      </c>
      <c r="P1" s="228" t="s">
        <v>769</v>
      </c>
      <c r="Q1" s="228" t="s">
        <v>770</v>
      </c>
    </row>
    <row r="2" spans="1:17">
      <c r="A2" s="223">
        <v>1</v>
      </c>
      <c r="B2" s="229" t="s">
        <v>2420</v>
      </c>
      <c r="C2" s="229" t="s">
        <v>738</v>
      </c>
      <c r="D2" s="230">
        <f t="shared" ref="D2:D65" si="0">IFERROR(SUM(F2:Q2)/COUNTIF(F2:Q2,"&lt;&gt;0"),0)</f>
        <v>260.583333333333</v>
      </c>
      <c r="E2" s="230" t="s">
        <v>798</v>
      </c>
      <c r="F2" s="231">
        <f t="shared" ref="F2:Q2" si="1">F3+F4+F5</f>
        <v>256</v>
      </c>
      <c r="G2" s="231">
        <f t="shared" si="1"/>
        <v>261</v>
      </c>
      <c r="H2" s="231">
        <f t="shared" si="1"/>
        <v>261</v>
      </c>
      <c r="I2" s="231">
        <f t="shared" si="1"/>
        <v>261</v>
      </c>
      <c r="J2" s="231">
        <f t="shared" si="1"/>
        <v>261</v>
      </c>
      <c r="K2" s="231">
        <f t="shared" si="1"/>
        <v>261</v>
      </c>
      <c r="L2" s="231">
        <f t="shared" si="1"/>
        <v>261</v>
      </c>
      <c r="M2" s="231">
        <f t="shared" si="1"/>
        <v>261</v>
      </c>
      <c r="N2" s="231">
        <f t="shared" si="1"/>
        <v>261</v>
      </c>
      <c r="O2" s="231">
        <f t="shared" si="1"/>
        <v>261</v>
      </c>
      <c r="P2" s="231">
        <f t="shared" si="1"/>
        <v>261</v>
      </c>
      <c r="Q2" s="231">
        <f t="shared" si="1"/>
        <v>261</v>
      </c>
    </row>
    <row r="3" spans="1:17">
      <c r="A3" s="223">
        <v>1</v>
      </c>
      <c r="B3" s="229" t="s">
        <v>2420</v>
      </c>
      <c r="C3" s="232" t="s">
        <v>109</v>
      </c>
      <c r="D3" s="233">
        <f t="shared" si="0"/>
        <v>192.166666666667</v>
      </c>
      <c r="E3" s="233" t="s">
        <v>798</v>
      </c>
      <c r="F3" s="234">
        <f t="shared" ref="F3:Q3" si="2">F7+F35+F71+F115+F155+F175+F195+F211</f>
        <v>150</v>
      </c>
      <c r="G3" s="234">
        <f t="shared" si="2"/>
        <v>196</v>
      </c>
      <c r="H3" s="234">
        <f t="shared" si="2"/>
        <v>196</v>
      </c>
      <c r="I3" s="234">
        <f t="shared" si="2"/>
        <v>196</v>
      </c>
      <c r="J3" s="234">
        <f t="shared" si="2"/>
        <v>196</v>
      </c>
      <c r="K3" s="234">
        <f t="shared" si="2"/>
        <v>196</v>
      </c>
      <c r="L3" s="234">
        <f t="shared" si="2"/>
        <v>196</v>
      </c>
      <c r="M3" s="234">
        <f t="shared" si="2"/>
        <v>196</v>
      </c>
      <c r="N3" s="234">
        <f t="shared" si="2"/>
        <v>196</v>
      </c>
      <c r="O3" s="234">
        <f t="shared" si="2"/>
        <v>196</v>
      </c>
      <c r="P3" s="234">
        <f t="shared" si="2"/>
        <v>196</v>
      </c>
      <c r="Q3" s="234">
        <f t="shared" si="2"/>
        <v>196</v>
      </c>
    </row>
    <row r="4" spans="1:17">
      <c r="A4" s="223">
        <v>1</v>
      </c>
      <c r="B4" s="229" t="s">
        <v>2420</v>
      </c>
      <c r="C4" s="235" t="s">
        <v>68</v>
      </c>
      <c r="D4" s="236">
        <f t="shared" si="0"/>
        <v>20</v>
      </c>
      <c r="E4" s="236" t="s">
        <v>798</v>
      </c>
      <c r="F4" s="237">
        <f t="shared" ref="F4:Q4" si="3">F8+F36+F72+F116+F156+F176+F196+F212</f>
        <v>20</v>
      </c>
      <c r="G4" s="237">
        <f t="shared" si="3"/>
        <v>0</v>
      </c>
      <c r="H4" s="237">
        <f t="shared" si="3"/>
        <v>0</v>
      </c>
      <c r="I4" s="237">
        <f t="shared" si="3"/>
        <v>0</v>
      </c>
      <c r="J4" s="237">
        <f t="shared" si="3"/>
        <v>0</v>
      </c>
      <c r="K4" s="237">
        <f t="shared" si="3"/>
        <v>0</v>
      </c>
      <c r="L4" s="237">
        <f t="shared" si="3"/>
        <v>0</v>
      </c>
      <c r="M4" s="237">
        <f t="shared" si="3"/>
        <v>0</v>
      </c>
      <c r="N4" s="237">
        <f t="shared" si="3"/>
        <v>0</v>
      </c>
      <c r="O4" s="237">
        <f t="shared" si="3"/>
        <v>0</v>
      </c>
      <c r="P4" s="237">
        <f t="shared" si="3"/>
        <v>0</v>
      </c>
      <c r="Q4" s="237">
        <f t="shared" si="3"/>
        <v>0</v>
      </c>
    </row>
    <row r="5" spans="1:17">
      <c r="A5" s="223">
        <v>1</v>
      </c>
      <c r="B5" s="229" t="s">
        <v>2420</v>
      </c>
      <c r="C5" s="238" t="s">
        <v>19</v>
      </c>
      <c r="D5" s="239">
        <f t="shared" si="0"/>
        <v>66.75</v>
      </c>
      <c r="E5" s="239" t="s">
        <v>798</v>
      </c>
      <c r="F5" s="240">
        <f t="shared" ref="F5:Q5" si="4">F9+F37+F73+F117+F157+F177+F197+F213</f>
        <v>86</v>
      </c>
      <c r="G5" s="240">
        <f t="shared" si="4"/>
        <v>65</v>
      </c>
      <c r="H5" s="240">
        <f t="shared" si="4"/>
        <v>65</v>
      </c>
      <c r="I5" s="240">
        <f t="shared" si="4"/>
        <v>65</v>
      </c>
      <c r="J5" s="240">
        <f t="shared" si="4"/>
        <v>65</v>
      </c>
      <c r="K5" s="240">
        <f t="shared" si="4"/>
        <v>65</v>
      </c>
      <c r="L5" s="240">
        <f t="shared" si="4"/>
        <v>65</v>
      </c>
      <c r="M5" s="240">
        <f t="shared" si="4"/>
        <v>65</v>
      </c>
      <c r="N5" s="240">
        <f t="shared" si="4"/>
        <v>65</v>
      </c>
      <c r="O5" s="240">
        <f t="shared" si="4"/>
        <v>65</v>
      </c>
      <c r="P5" s="240">
        <f t="shared" si="4"/>
        <v>65</v>
      </c>
      <c r="Q5" s="240">
        <f t="shared" si="4"/>
        <v>65</v>
      </c>
    </row>
    <row r="6" spans="1:17">
      <c r="A6" s="223">
        <v>1</v>
      </c>
      <c r="B6" s="241" t="s">
        <v>187</v>
      </c>
      <c r="C6" s="241" t="s">
        <v>738</v>
      </c>
      <c r="D6" s="242">
        <f t="shared" si="0"/>
        <v>46</v>
      </c>
      <c r="E6" s="242" t="s">
        <v>798</v>
      </c>
      <c r="F6" s="243">
        <f t="shared" ref="F6:Q6" si="5">F7+F8+F9</f>
        <v>46</v>
      </c>
      <c r="G6" s="243">
        <f t="shared" si="5"/>
        <v>46</v>
      </c>
      <c r="H6" s="243">
        <f t="shared" si="5"/>
        <v>46</v>
      </c>
      <c r="I6" s="243">
        <f t="shared" si="5"/>
        <v>46</v>
      </c>
      <c r="J6" s="243">
        <f t="shared" si="5"/>
        <v>46</v>
      </c>
      <c r="K6" s="243">
        <f t="shared" si="5"/>
        <v>46</v>
      </c>
      <c r="L6" s="243">
        <f t="shared" si="5"/>
        <v>46</v>
      </c>
      <c r="M6" s="243">
        <f t="shared" si="5"/>
        <v>46</v>
      </c>
      <c r="N6" s="243">
        <f t="shared" si="5"/>
        <v>46</v>
      </c>
      <c r="O6" s="243">
        <f t="shared" si="5"/>
        <v>46</v>
      </c>
      <c r="P6" s="243">
        <f t="shared" si="5"/>
        <v>46</v>
      </c>
      <c r="Q6" s="243">
        <f t="shared" si="5"/>
        <v>46</v>
      </c>
    </row>
    <row r="7" spans="1:17">
      <c r="A7" s="223">
        <v>1</v>
      </c>
      <c r="B7" s="241" t="s">
        <v>187</v>
      </c>
      <c r="C7" s="232" t="s">
        <v>109</v>
      </c>
      <c r="D7" s="233">
        <f t="shared" si="0"/>
        <v>46</v>
      </c>
      <c r="E7" s="233" t="s">
        <v>798</v>
      </c>
      <c r="F7" s="234">
        <f t="shared" ref="F7:Q7" si="6">F11+F15+F19+F23+F27+F31</f>
        <v>46</v>
      </c>
      <c r="G7" s="234">
        <f t="shared" si="6"/>
        <v>46</v>
      </c>
      <c r="H7" s="234">
        <f t="shared" si="6"/>
        <v>46</v>
      </c>
      <c r="I7" s="234">
        <f t="shared" si="6"/>
        <v>46</v>
      </c>
      <c r="J7" s="234">
        <f t="shared" si="6"/>
        <v>46</v>
      </c>
      <c r="K7" s="234">
        <f t="shared" si="6"/>
        <v>46</v>
      </c>
      <c r="L7" s="234">
        <f t="shared" si="6"/>
        <v>46</v>
      </c>
      <c r="M7" s="234">
        <f t="shared" si="6"/>
        <v>46</v>
      </c>
      <c r="N7" s="234">
        <f t="shared" si="6"/>
        <v>46</v>
      </c>
      <c r="O7" s="234">
        <f t="shared" si="6"/>
        <v>46</v>
      </c>
      <c r="P7" s="234">
        <f t="shared" si="6"/>
        <v>46</v>
      </c>
      <c r="Q7" s="234">
        <f t="shared" si="6"/>
        <v>46</v>
      </c>
    </row>
    <row r="8" spans="1:17">
      <c r="A8" s="223">
        <v>1</v>
      </c>
      <c r="B8" s="241" t="s">
        <v>187</v>
      </c>
      <c r="C8" s="235" t="s">
        <v>68</v>
      </c>
      <c r="D8" s="236">
        <f t="shared" si="0"/>
        <v>0</v>
      </c>
      <c r="E8" s="236" t="s">
        <v>798</v>
      </c>
      <c r="F8" s="237">
        <f t="shared" ref="F8:Q8" si="7">F12+F16+F20+F24+F28+F32</f>
        <v>0</v>
      </c>
      <c r="G8" s="237">
        <f t="shared" si="7"/>
        <v>0</v>
      </c>
      <c r="H8" s="237">
        <f t="shared" si="7"/>
        <v>0</v>
      </c>
      <c r="I8" s="237">
        <f t="shared" si="7"/>
        <v>0</v>
      </c>
      <c r="J8" s="237">
        <f t="shared" si="7"/>
        <v>0</v>
      </c>
      <c r="K8" s="237">
        <f t="shared" si="7"/>
        <v>0</v>
      </c>
      <c r="L8" s="237">
        <f t="shared" si="7"/>
        <v>0</v>
      </c>
      <c r="M8" s="237">
        <f t="shared" si="7"/>
        <v>0</v>
      </c>
      <c r="N8" s="237">
        <f t="shared" si="7"/>
        <v>0</v>
      </c>
      <c r="O8" s="237">
        <f t="shared" si="7"/>
        <v>0</v>
      </c>
      <c r="P8" s="237">
        <f t="shared" si="7"/>
        <v>0</v>
      </c>
      <c r="Q8" s="237">
        <f t="shared" si="7"/>
        <v>0</v>
      </c>
    </row>
    <row r="9" spans="1:17">
      <c r="A9" s="223">
        <v>1</v>
      </c>
      <c r="B9" s="241" t="s">
        <v>187</v>
      </c>
      <c r="C9" s="238" t="s">
        <v>19</v>
      </c>
      <c r="D9" s="239">
        <f t="shared" si="0"/>
        <v>0</v>
      </c>
      <c r="E9" s="239" t="s">
        <v>798</v>
      </c>
      <c r="F9" s="240">
        <f t="shared" ref="F9:Q9" si="8">F13+F17+F21+F25+F29+F33</f>
        <v>0</v>
      </c>
      <c r="G9" s="240">
        <f t="shared" si="8"/>
        <v>0</v>
      </c>
      <c r="H9" s="240">
        <f t="shared" si="8"/>
        <v>0</v>
      </c>
      <c r="I9" s="240">
        <f t="shared" si="8"/>
        <v>0</v>
      </c>
      <c r="J9" s="240">
        <f t="shared" si="8"/>
        <v>0</v>
      </c>
      <c r="K9" s="240">
        <f t="shared" si="8"/>
        <v>0</v>
      </c>
      <c r="L9" s="240">
        <f t="shared" si="8"/>
        <v>0</v>
      </c>
      <c r="M9" s="240">
        <f t="shared" si="8"/>
        <v>0</v>
      </c>
      <c r="N9" s="240">
        <f t="shared" si="8"/>
        <v>0</v>
      </c>
      <c r="O9" s="240">
        <f t="shared" si="8"/>
        <v>0</v>
      </c>
      <c r="P9" s="240">
        <f t="shared" si="8"/>
        <v>0</v>
      </c>
      <c r="Q9" s="240">
        <f t="shared" si="8"/>
        <v>0</v>
      </c>
    </row>
    <row r="10" outlineLevel="1" spans="1:17">
      <c r="A10" s="223">
        <v>2</v>
      </c>
      <c r="B10" s="244" t="s">
        <v>794</v>
      </c>
      <c r="C10" s="245" t="s">
        <v>738</v>
      </c>
      <c r="D10" s="246">
        <f t="shared" si="0"/>
        <v>46</v>
      </c>
      <c r="E10" s="246" t="s">
        <v>798</v>
      </c>
      <c r="F10" s="247">
        <f t="shared" ref="F10:Q10" si="9">F11+F12+F13</f>
        <v>46</v>
      </c>
      <c r="G10" s="247">
        <f t="shared" si="9"/>
        <v>46</v>
      </c>
      <c r="H10" s="247">
        <f t="shared" si="9"/>
        <v>46</v>
      </c>
      <c r="I10" s="247">
        <f t="shared" si="9"/>
        <v>46</v>
      </c>
      <c r="J10" s="247">
        <f t="shared" si="9"/>
        <v>46</v>
      </c>
      <c r="K10" s="247">
        <f t="shared" si="9"/>
        <v>46</v>
      </c>
      <c r="L10" s="247">
        <f t="shared" si="9"/>
        <v>46</v>
      </c>
      <c r="M10" s="247">
        <f t="shared" si="9"/>
        <v>46</v>
      </c>
      <c r="N10" s="247">
        <f t="shared" si="9"/>
        <v>46</v>
      </c>
      <c r="O10" s="247">
        <f t="shared" si="9"/>
        <v>46</v>
      </c>
      <c r="P10" s="247">
        <f t="shared" si="9"/>
        <v>46</v>
      </c>
      <c r="Q10" s="247">
        <f t="shared" si="9"/>
        <v>46</v>
      </c>
    </row>
    <row r="11" outlineLevel="1" spans="1:17">
      <c r="A11" s="223">
        <v>2</v>
      </c>
      <c r="B11" s="244" t="s">
        <v>794</v>
      </c>
      <c r="C11" s="232" t="s">
        <v>109</v>
      </c>
      <c r="D11" s="233">
        <f t="shared" si="0"/>
        <v>46</v>
      </c>
      <c r="E11" s="233" t="s">
        <v>798</v>
      </c>
      <c r="F11" s="248">
        <f>自有人工预算!E11</f>
        <v>46</v>
      </c>
      <c r="G11" s="248">
        <f>自有人工预算!F11</f>
        <v>46</v>
      </c>
      <c r="H11" s="248">
        <f>自有人工预算!G11</f>
        <v>46</v>
      </c>
      <c r="I11" s="248">
        <f>自有人工预算!H11</f>
        <v>46</v>
      </c>
      <c r="J11" s="248">
        <f>自有人工预算!I11</f>
        <v>46</v>
      </c>
      <c r="K11" s="248">
        <f>自有人工预算!J11</f>
        <v>46</v>
      </c>
      <c r="L11" s="248">
        <f>自有人工预算!K11</f>
        <v>46</v>
      </c>
      <c r="M11" s="248">
        <f>自有人工预算!L11</f>
        <v>46</v>
      </c>
      <c r="N11" s="248">
        <f>自有人工预算!M11</f>
        <v>46</v>
      </c>
      <c r="O11" s="248">
        <f>自有人工预算!N11</f>
        <v>46</v>
      </c>
      <c r="P11" s="248">
        <f>自有人工预算!O11</f>
        <v>46</v>
      </c>
      <c r="Q11" s="248">
        <f>自有人工预算!P11</f>
        <v>46</v>
      </c>
    </row>
    <row r="12" outlineLevel="1" spans="1:17">
      <c r="A12" s="223">
        <v>2</v>
      </c>
      <c r="B12" s="244" t="s">
        <v>794</v>
      </c>
      <c r="C12" s="235" t="s">
        <v>68</v>
      </c>
      <c r="D12" s="236">
        <f t="shared" si="0"/>
        <v>0</v>
      </c>
      <c r="E12" s="236" t="s">
        <v>798</v>
      </c>
      <c r="F12" s="248"/>
      <c r="G12" s="248"/>
      <c r="H12" s="248"/>
      <c r="I12" s="248"/>
      <c r="J12" s="248"/>
      <c r="K12" s="248"/>
      <c r="L12" s="248"/>
      <c r="M12" s="248"/>
      <c r="N12" s="248"/>
      <c r="O12" s="248"/>
      <c r="P12" s="248"/>
      <c r="Q12" s="248"/>
    </row>
    <row r="13" outlineLevel="1" spans="1:17">
      <c r="A13" s="223">
        <v>2</v>
      </c>
      <c r="B13" s="244" t="s">
        <v>794</v>
      </c>
      <c r="C13" s="238" t="s">
        <v>19</v>
      </c>
      <c r="D13" s="239">
        <f t="shared" si="0"/>
        <v>0</v>
      </c>
      <c r="E13" s="239" t="s">
        <v>798</v>
      </c>
      <c r="F13" s="248"/>
      <c r="G13" s="248"/>
      <c r="H13" s="248"/>
      <c r="I13" s="248"/>
      <c r="J13" s="248"/>
      <c r="K13" s="248"/>
      <c r="L13" s="248"/>
      <c r="M13" s="248"/>
      <c r="N13" s="248"/>
      <c r="O13" s="248"/>
      <c r="P13" s="248"/>
      <c r="Q13" s="248"/>
    </row>
    <row r="14" outlineLevel="1" spans="1:17">
      <c r="A14" s="223">
        <v>3</v>
      </c>
      <c r="B14" s="244" t="s">
        <v>801</v>
      </c>
      <c r="C14" s="245" t="s">
        <v>738</v>
      </c>
      <c r="D14" s="246">
        <f t="shared" si="0"/>
        <v>0</v>
      </c>
      <c r="E14" s="246" t="s">
        <v>798</v>
      </c>
      <c r="F14" s="247">
        <f t="shared" ref="F14:Q14" si="10">F15+F16+F17</f>
        <v>0</v>
      </c>
      <c r="G14" s="247">
        <f t="shared" si="10"/>
        <v>0</v>
      </c>
      <c r="H14" s="247">
        <f t="shared" si="10"/>
        <v>0</v>
      </c>
      <c r="I14" s="247">
        <f t="shared" si="10"/>
        <v>0</v>
      </c>
      <c r="J14" s="247">
        <f t="shared" si="10"/>
        <v>0</v>
      </c>
      <c r="K14" s="247">
        <f t="shared" si="10"/>
        <v>0</v>
      </c>
      <c r="L14" s="247">
        <f t="shared" si="10"/>
        <v>0</v>
      </c>
      <c r="M14" s="247">
        <f t="shared" si="10"/>
        <v>0</v>
      </c>
      <c r="N14" s="247">
        <f t="shared" si="10"/>
        <v>0</v>
      </c>
      <c r="O14" s="247">
        <f t="shared" si="10"/>
        <v>0</v>
      </c>
      <c r="P14" s="247">
        <f t="shared" si="10"/>
        <v>0</v>
      </c>
      <c r="Q14" s="247">
        <f t="shared" si="10"/>
        <v>0</v>
      </c>
    </row>
    <row r="15" outlineLevel="1" spans="1:17">
      <c r="A15" s="223">
        <v>3</v>
      </c>
      <c r="B15" s="244" t="s">
        <v>801</v>
      </c>
      <c r="C15" s="232" t="s">
        <v>109</v>
      </c>
      <c r="D15" s="233">
        <f t="shared" si="0"/>
        <v>0</v>
      </c>
      <c r="E15" s="233" t="s">
        <v>798</v>
      </c>
      <c r="F15" s="248"/>
      <c r="G15" s="248"/>
      <c r="H15" s="248"/>
      <c r="I15" s="248"/>
      <c r="J15" s="248"/>
      <c r="K15" s="248"/>
      <c r="L15" s="248"/>
      <c r="M15" s="248"/>
      <c r="N15" s="248"/>
      <c r="O15" s="248"/>
      <c r="P15" s="248"/>
      <c r="Q15" s="248"/>
    </row>
    <row r="16" outlineLevel="1" spans="1:17">
      <c r="A16" s="223">
        <v>3</v>
      </c>
      <c r="B16" s="244" t="s">
        <v>801</v>
      </c>
      <c r="C16" s="235" t="s">
        <v>68</v>
      </c>
      <c r="D16" s="236">
        <f t="shared" si="0"/>
        <v>0</v>
      </c>
      <c r="E16" s="236" t="s">
        <v>798</v>
      </c>
      <c r="F16" s="248"/>
      <c r="G16" s="248"/>
      <c r="H16" s="248"/>
      <c r="I16" s="248"/>
      <c r="J16" s="248"/>
      <c r="K16" s="248"/>
      <c r="L16" s="248"/>
      <c r="M16" s="248"/>
      <c r="N16" s="248"/>
      <c r="O16" s="248"/>
      <c r="P16" s="248"/>
      <c r="Q16" s="248"/>
    </row>
    <row r="17" outlineLevel="1" spans="1:17">
      <c r="A17" s="223">
        <v>3</v>
      </c>
      <c r="B17" s="244" t="s">
        <v>801</v>
      </c>
      <c r="C17" s="238" t="s">
        <v>19</v>
      </c>
      <c r="D17" s="239">
        <f t="shared" si="0"/>
        <v>0</v>
      </c>
      <c r="E17" s="239" t="s">
        <v>798</v>
      </c>
      <c r="F17" s="248"/>
      <c r="G17" s="248"/>
      <c r="H17" s="248"/>
      <c r="I17" s="248"/>
      <c r="J17" s="248"/>
      <c r="K17" s="248"/>
      <c r="L17" s="248"/>
      <c r="M17" s="248"/>
      <c r="N17" s="248"/>
      <c r="O17" s="248"/>
      <c r="P17" s="248"/>
      <c r="Q17" s="248"/>
    </row>
    <row r="18" outlineLevel="1" spans="1:17">
      <c r="A18" s="223">
        <v>4</v>
      </c>
      <c r="B18" s="244" t="s">
        <v>804</v>
      </c>
      <c r="C18" s="245" t="s">
        <v>738</v>
      </c>
      <c r="D18" s="246">
        <f t="shared" si="0"/>
        <v>0</v>
      </c>
      <c r="E18" s="246" t="s">
        <v>798</v>
      </c>
      <c r="F18" s="247">
        <f t="shared" ref="F18:Q18" si="11">F19+F20+F21</f>
        <v>0</v>
      </c>
      <c r="G18" s="247">
        <f t="shared" si="11"/>
        <v>0</v>
      </c>
      <c r="H18" s="247">
        <f t="shared" si="11"/>
        <v>0</v>
      </c>
      <c r="I18" s="247">
        <f t="shared" si="11"/>
        <v>0</v>
      </c>
      <c r="J18" s="247">
        <f t="shared" si="11"/>
        <v>0</v>
      </c>
      <c r="K18" s="247">
        <f t="shared" si="11"/>
        <v>0</v>
      </c>
      <c r="L18" s="247">
        <f t="shared" si="11"/>
        <v>0</v>
      </c>
      <c r="M18" s="247">
        <f t="shared" si="11"/>
        <v>0</v>
      </c>
      <c r="N18" s="247">
        <f t="shared" si="11"/>
        <v>0</v>
      </c>
      <c r="O18" s="247">
        <f t="shared" si="11"/>
        <v>0</v>
      </c>
      <c r="P18" s="247">
        <f t="shared" si="11"/>
        <v>0</v>
      </c>
      <c r="Q18" s="247">
        <f t="shared" si="11"/>
        <v>0</v>
      </c>
    </row>
    <row r="19" outlineLevel="1" spans="1:17">
      <c r="A19" s="223">
        <v>4</v>
      </c>
      <c r="B19" s="244" t="s">
        <v>804</v>
      </c>
      <c r="C19" s="232" t="s">
        <v>109</v>
      </c>
      <c r="D19" s="233">
        <f t="shared" si="0"/>
        <v>0</v>
      </c>
      <c r="E19" s="233" t="s">
        <v>798</v>
      </c>
      <c r="F19" s="248"/>
      <c r="G19" s="248"/>
      <c r="H19" s="248"/>
      <c r="I19" s="248"/>
      <c r="J19" s="248"/>
      <c r="K19" s="248"/>
      <c r="L19" s="248"/>
      <c r="M19" s="248"/>
      <c r="N19" s="248"/>
      <c r="O19" s="248"/>
      <c r="P19" s="248"/>
      <c r="Q19" s="248"/>
    </row>
    <row r="20" outlineLevel="1" spans="1:17">
      <c r="A20" s="223">
        <v>4</v>
      </c>
      <c r="B20" s="244" t="s">
        <v>804</v>
      </c>
      <c r="C20" s="235" t="s">
        <v>68</v>
      </c>
      <c r="D20" s="236">
        <f t="shared" si="0"/>
        <v>0</v>
      </c>
      <c r="E20" s="236" t="s">
        <v>798</v>
      </c>
      <c r="F20" s="248"/>
      <c r="G20" s="248"/>
      <c r="H20" s="248"/>
      <c r="I20" s="248"/>
      <c r="J20" s="248"/>
      <c r="K20" s="248"/>
      <c r="L20" s="248"/>
      <c r="M20" s="248"/>
      <c r="N20" s="248"/>
      <c r="O20" s="248"/>
      <c r="P20" s="248"/>
      <c r="Q20" s="248"/>
    </row>
    <row r="21" outlineLevel="1" spans="1:17">
      <c r="A21" s="223">
        <v>4</v>
      </c>
      <c r="B21" s="244" t="s">
        <v>804</v>
      </c>
      <c r="C21" s="238" t="s">
        <v>19</v>
      </c>
      <c r="D21" s="239">
        <f t="shared" si="0"/>
        <v>0</v>
      </c>
      <c r="E21" s="239" t="s">
        <v>798</v>
      </c>
      <c r="F21" s="248"/>
      <c r="G21" s="248"/>
      <c r="H21" s="248"/>
      <c r="I21" s="248"/>
      <c r="J21" s="248"/>
      <c r="K21" s="248"/>
      <c r="L21" s="248"/>
      <c r="M21" s="248"/>
      <c r="N21" s="248"/>
      <c r="O21" s="248"/>
      <c r="P21" s="248"/>
      <c r="Q21" s="248"/>
    </row>
    <row r="22" outlineLevel="1" spans="1:17">
      <c r="A22" s="223">
        <v>5</v>
      </c>
      <c r="B22" s="244" t="s">
        <v>807</v>
      </c>
      <c r="C22" s="245" t="s">
        <v>738</v>
      </c>
      <c r="D22" s="246">
        <f t="shared" si="0"/>
        <v>0</v>
      </c>
      <c r="E22" s="246" t="s">
        <v>798</v>
      </c>
      <c r="F22" s="247">
        <f t="shared" ref="F22:Q22" si="12">F23+F24+F25</f>
        <v>0</v>
      </c>
      <c r="G22" s="247">
        <f t="shared" si="12"/>
        <v>0</v>
      </c>
      <c r="H22" s="247">
        <f t="shared" si="12"/>
        <v>0</v>
      </c>
      <c r="I22" s="247">
        <f t="shared" si="12"/>
        <v>0</v>
      </c>
      <c r="J22" s="247">
        <f t="shared" si="12"/>
        <v>0</v>
      </c>
      <c r="K22" s="247">
        <f t="shared" si="12"/>
        <v>0</v>
      </c>
      <c r="L22" s="247">
        <f t="shared" si="12"/>
        <v>0</v>
      </c>
      <c r="M22" s="247">
        <f t="shared" si="12"/>
        <v>0</v>
      </c>
      <c r="N22" s="247">
        <f t="shared" si="12"/>
        <v>0</v>
      </c>
      <c r="O22" s="247">
        <f t="shared" si="12"/>
        <v>0</v>
      </c>
      <c r="P22" s="247">
        <f t="shared" si="12"/>
        <v>0</v>
      </c>
      <c r="Q22" s="247">
        <f t="shared" si="12"/>
        <v>0</v>
      </c>
    </row>
    <row r="23" outlineLevel="1" spans="1:17">
      <c r="A23" s="223">
        <v>5</v>
      </c>
      <c r="B23" s="244" t="s">
        <v>807</v>
      </c>
      <c r="C23" s="232" t="s">
        <v>109</v>
      </c>
      <c r="D23" s="233">
        <f t="shared" si="0"/>
        <v>0</v>
      </c>
      <c r="E23" s="233" t="s">
        <v>798</v>
      </c>
      <c r="F23" s="248"/>
      <c r="G23" s="248"/>
      <c r="H23" s="248"/>
      <c r="I23" s="248"/>
      <c r="J23" s="248"/>
      <c r="K23" s="248"/>
      <c r="L23" s="248"/>
      <c r="M23" s="248"/>
      <c r="N23" s="248"/>
      <c r="O23" s="248"/>
      <c r="P23" s="248"/>
      <c r="Q23" s="248"/>
    </row>
    <row r="24" outlineLevel="1" spans="1:17">
      <c r="A24" s="223">
        <v>5</v>
      </c>
      <c r="B24" s="244" t="s">
        <v>807</v>
      </c>
      <c r="C24" s="235" t="s">
        <v>68</v>
      </c>
      <c r="D24" s="236">
        <f t="shared" si="0"/>
        <v>0</v>
      </c>
      <c r="E24" s="236" t="s">
        <v>798</v>
      </c>
      <c r="F24" s="248"/>
      <c r="G24" s="248"/>
      <c r="H24" s="248"/>
      <c r="I24" s="248"/>
      <c r="J24" s="248"/>
      <c r="K24" s="248"/>
      <c r="L24" s="248"/>
      <c r="M24" s="248"/>
      <c r="N24" s="248"/>
      <c r="O24" s="248"/>
      <c r="P24" s="248"/>
      <c r="Q24" s="248"/>
    </row>
    <row r="25" outlineLevel="1" spans="1:17">
      <c r="A25" s="223">
        <v>5</v>
      </c>
      <c r="B25" s="244" t="s">
        <v>807</v>
      </c>
      <c r="C25" s="238" t="s">
        <v>19</v>
      </c>
      <c r="D25" s="239">
        <f t="shared" si="0"/>
        <v>0</v>
      </c>
      <c r="E25" s="239" t="s">
        <v>798</v>
      </c>
      <c r="F25" s="248"/>
      <c r="G25" s="248"/>
      <c r="H25" s="248"/>
      <c r="I25" s="248"/>
      <c r="J25" s="248"/>
      <c r="K25" s="248"/>
      <c r="L25" s="248"/>
      <c r="M25" s="248"/>
      <c r="N25" s="248"/>
      <c r="O25" s="248"/>
      <c r="P25" s="248"/>
      <c r="Q25" s="248"/>
    </row>
    <row r="26" outlineLevel="1" spans="1:17">
      <c r="A26" s="223">
        <v>6</v>
      </c>
      <c r="B26" s="244" t="s">
        <v>810</v>
      </c>
      <c r="C26" s="245" t="s">
        <v>738</v>
      </c>
      <c r="D26" s="246">
        <f t="shared" si="0"/>
        <v>0</v>
      </c>
      <c r="E26" s="246" t="s">
        <v>798</v>
      </c>
      <c r="F26" s="247">
        <f t="shared" ref="F26:Q26" si="13">F27+F28+F29</f>
        <v>0</v>
      </c>
      <c r="G26" s="247">
        <f t="shared" si="13"/>
        <v>0</v>
      </c>
      <c r="H26" s="247">
        <f t="shared" si="13"/>
        <v>0</v>
      </c>
      <c r="I26" s="247">
        <f t="shared" si="13"/>
        <v>0</v>
      </c>
      <c r="J26" s="247">
        <f t="shared" si="13"/>
        <v>0</v>
      </c>
      <c r="K26" s="247">
        <f t="shared" si="13"/>
        <v>0</v>
      </c>
      <c r="L26" s="247">
        <f t="shared" si="13"/>
        <v>0</v>
      </c>
      <c r="M26" s="247">
        <f t="shared" si="13"/>
        <v>0</v>
      </c>
      <c r="N26" s="247">
        <f t="shared" si="13"/>
        <v>0</v>
      </c>
      <c r="O26" s="247">
        <f t="shared" si="13"/>
        <v>0</v>
      </c>
      <c r="P26" s="247">
        <f t="shared" si="13"/>
        <v>0</v>
      </c>
      <c r="Q26" s="247">
        <f t="shared" si="13"/>
        <v>0</v>
      </c>
    </row>
    <row r="27" outlineLevel="1" spans="1:17">
      <c r="A27" s="223">
        <v>6</v>
      </c>
      <c r="B27" s="244" t="s">
        <v>810</v>
      </c>
      <c r="C27" s="232" t="s">
        <v>109</v>
      </c>
      <c r="D27" s="233">
        <f t="shared" si="0"/>
        <v>0</v>
      </c>
      <c r="E27" s="233" t="s">
        <v>798</v>
      </c>
      <c r="F27" s="248"/>
      <c r="G27" s="248"/>
      <c r="H27" s="248"/>
      <c r="I27" s="248"/>
      <c r="J27" s="248"/>
      <c r="K27" s="248"/>
      <c r="L27" s="248"/>
      <c r="M27" s="248"/>
      <c r="N27" s="248"/>
      <c r="O27" s="248"/>
      <c r="P27" s="248"/>
      <c r="Q27" s="248"/>
    </row>
    <row r="28" outlineLevel="1" spans="1:17">
      <c r="A28" s="223">
        <v>6</v>
      </c>
      <c r="B28" s="244" t="s">
        <v>810</v>
      </c>
      <c r="C28" s="235" t="s">
        <v>68</v>
      </c>
      <c r="D28" s="236">
        <f t="shared" si="0"/>
        <v>0</v>
      </c>
      <c r="E28" s="236" t="s">
        <v>798</v>
      </c>
      <c r="F28" s="248"/>
      <c r="G28" s="248"/>
      <c r="H28" s="248"/>
      <c r="I28" s="248"/>
      <c r="J28" s="248"/>
      <c r="K28" s="248"/>
      <c r="L28" s="248"/>
      <c r="M28" s="248"/>
      <c r="N28" s="248"/>
      <c r="O28" s="248"/>
      <c r="P28" s="248"/>
      <c r="Q28" s="248"/>
    </row>
    <row r="29" outlineLevel="1" spans="1:17">
      <c r="A29" s="223">
        <v>6</v>
      </c>
      <c r="B29" s="244" t="s">
        <v>810</v>
      </c>
      <c r="C29" s="238" t="s">
        <v>19</v>
      </c>
      <c r="D29" s="239">
        <f t="shared" si="0"/>
        <v>0</v>
      </c>
      <c r="E29" s="239" t="s">
        <v>798</v>
      </c>
      <c r="F29" s="248"/>
      <c r="G29" s="248"/>
      <c r="H29" s="248"/>
      <c r="I29" s="248"/>
      <c r="J29" s="248"/>
      <c r="K29" s="248"/>
      <c r="L29" s="248"/>
      <c r="M29" s="248"/>
      <c r="N29" s="248"/>
      <c r="O29" s="248"/>
      <c r="P29" s="248"/>
      <c r="Q29" s="248"/>
    </row>
    <row r="30" outlineLevel="1" spans="1:17">
      <c r="A30" s="223">
        <v>7</v>
      </c>
      <c r="B30" s="244" t="s">
        <v>813</v>
      </c>
      <c r="C30" s="245" t="s">
        <v>738</v>
      </c>
      <c r="D30" s="246">
        <f t="shared" si="0"/>
        <v>0</v>
      </c>
      <c r="E30" s="246" t="s">
        <v>798</v>
      </c>
      <c r="F30" s="247">
        <f t="shared" ref="F30:Q30" si="14">F31+F32+F33</f>
        <v>0</v>
      </c>
      <c r="G30" s="247">
        <f t="shared" si="14"/>
        <v>0</v>
      </c>
      <c r="H30" s="247">
        <f t="shared" si="14"/>
        <v>0</v>
      </c>
      <c r="I30" s="247">
        <f t="shared" si="14"/>
        <v>0</v>
      </c>
      <c r="J30" s="247">
        <f t="shared" si="14"/>
        <v>0</v>
      </c>
      <c r="K30" s="247">
        <f t="shared" si="14"/>
        <v>0</v>
      </c>
      <c r="L30" s="247">
        <f t="shared" si="14"/>
        <v>0</v>
      </c>
      <c r="M30" s="247">
        <f t="shared" si="14"/>
        <v>0</v>
      </c>
      <c r="N30" s="247">
        <f t="shared" si="14"/>
        <v>0</v>
      </c>
      <c r="O30" s="247">
        <f t="shared" si="14"/>
        <v>0</v>
      </c>
      <c r="P30" s="247">
        <f t="shared" si="14"/>
        <v>0</v>
      </c>
      <c r="Q30" s="247">
        <f t="shared" si="14"/>
        <v>0</v>
      </c>
    </row>
    <row r="31" outlineLevel="1" spans="1:17">
      <c r="A31" s="223">
        <v>7</v>
      </c>
      <c r="B31" s="244" t="s">
        <v>813</v>
      </c>
      <c r="C31" s="232" t="s">
        <v>109</v>
      </c>
      <c r="D31" s="233">
        <f t="shared" si="0"/>
        <v>0</v>
      </c>
      <c r="E31" s="233" t="s">
        <v>798</v>
      </c>
      <c r="F31" s="248"/>
      <c r="G31" s="248"/>
      <c r="H31" s="248"/>
      <c r="I31" s="248"/>
      <c r="J31" s="248"/>
      <c r="K31" s="248"/>
      <c r="L31" s="248"/>
      <c r="M31" s="248"/>
      <c r="N31" s="248"/>
      <c r="O31" s="248"/>
      <c r="P31" s="248"/>
      <c r="Q31" s="248"/>
    </row>
    <row r="32" outlineLevel="1" spans="1:17">
      <c r="A32" s="223">
        <v>7</v>
      </c>
      <c r="B32" s="244" t="s">
        <v>813</v>
      </c>
      <c r="C32" s="235" t="s">
        <v>68</v>
      </c>
      <c r="D32" s="236">
        <f t="shared" si="0"/>
        <v>0</v>
      </c>
      <c r="E32" s="236" t="s">
        <v>798</v>
      </c>
      <c r="F32" s="248"/>
      <c r="G32" s="248"/>
      <c r="H32" s="248"/>
      <c r="I32" s="248"/>
      <c r="J32" s="248"/>
      <c r="K32" s="248"/>
      <c r="L32" s="248"/>
      <c r="M32" s="248"/>
      <c r="N32" s="248"/>
      <c r="O32" s="248"/>
      <c r="P32" s="248"/>
      <c r="Q32" s="248"/>
    </row>
    <row r="33" outlineLevel="1" spans="1:17">
      <c r="A33" s="223">
        <v>7</v>
      </c>
      <c r="B33" s="244" t="s">
        <v>813</v>
      </c>
      <c r="C33" s="238" t="s">
        <v>19</v>
      </c>
      <c r="D33" s="239">
        <f t="shared" si="0"/>
        <v>0</v>
      </c>
      <c r="E33" s="239" t="s">
        <v>798</v>
      </c>
      <c r="F33" s="248"/>
      <c r="G33" s="248"/>
      <c r="H33" s="248"/>
      <c r="I33" s="248"/>
      <c r="J33" s="248"/>
      <c r="K33" s="248"/>
      <c r="L33" s="248"/>
      <c r="M33" s="248"/>
      <c r="N33" s="248"/>
      <c r="O33" s="248"/>
      <c r="P33" s="248"/>
      <c r="Q33" s="248"/>
    </row>
    <row r="34" spans="1:17">
      <c r="A34" s="223">
        <v>8</v>
      </c>
      <c r="B34" s="241" t="s">
        <v>203</v>
      </c>
      <c r="C34" s="241" t="s">
        <v>738</v>
      </c>
      <c r="D34" s="242">
        <f t="shared" si="0"/>
        <v>65.5</v>
      </c>
      <c r="E34" s="242" t="s">
        <v>798</v>
      </c>
      <c r="F34" s="243">
        <f t="shared" ref="F34:Q34" si="15">F35+F36+F37</f>
        <v>60</v>
      </c>
      <c r="G34" s="243">
        <f t="shared" si="15"/>
        <v>66</v>
      </c>
      <c r="H34" s="243">
        <f t="shared" si="15"/>
        <v>66</v>
      </c>
      <c r="I34" s="243">
        <f t="shared" si="15"/>
        <v>66</v>
      </c>
      <c r="J34" s="243">
        <f t="shared" si="15"/>
        <v>66</v>
      </c>
      <c r="K34" s="243">
        <f t="shared" si="15"/>
        <v>66</v>
      </c>
      <c r="L34" s="243">
        <f t="shared" si="15"/>
        <v>66</v>
      </c>
      <c r="M34" s="243">
        <f t="shared" si="15"/>
        <v>66</v>
      </c>
      <c r="N34" s="243">
        <f t="shared" si="15"/>
        <v>66</v>
      </c>
      <c r="O34" s="243">
        <f t="shared" si="15"/>
        <v>66</v>
      </c>
      <c r="P34" s="243">
        <f t="shared" si="15"/>
        <v>66</v>
      </c>
      <c r="Q34" s="243">
        <f t="shared" si="15"/>
        <v>66</v>
      </c>
    </row>
    <row r="35" spans="1:17">
      <c r="A35" s="223">
        <v>8</v>
      </c>
      <c r="B35" s="241" t="s">
        <v>203</v>
      </c>
      <c r="C35" s="232" t="s">
        <v>109</v>
      </c>
      <c r="D35" s="233">
        <f t="shared" si="0"/>
        <v>62.0833333333333</v>
      </c>
      <c r="E35" s="233" t="s">
        <v>798</v>
      </c>
      <c r="F35" s="234">
        <v>19</v>
      </c>
      <c r="G35" s="234">
        <f t="shared" ref="G35:Q35" si="16">G39+G43+G47+G51+G55+G59+G63+G67</f>
        <v>66</v>
      </c>
      <c r="H35" s="234">
        <f t="shared" si="16"/>
        <v>66</v>
      </c>
      <c r="I35" s="234">
        <f t="shared" si="16"/>
        <v>66</v>
      </c>
      <c r="J35" s="234">
        <f t="shared" si="16"/>
        <v>66</v>
      </c>
      <c r="K35" s="234">
        <f t="shared" si="16"/>
        <v>66</v>
      </c>
      <c r="L35" s="234">
        <f t="shared" si="16"/>
        <v>66</v>
      </c>
      <c r="M35" s="234">
        <f t="shared" si="16"/>
        <v>66</v>
      </c>
      <c r="N35" s="234">
        <f t="shared" si="16"/>
        <v>66</v>
      </c>
      <c r="O35" s="234">
        <f t="shared" si="16"/>
        <v>66</v>
      </c>
      <c r="P35" s="234">
        <f t="shared" si="16"/>
        <v>66</v>
      </c>
      <c r="Q35" s="234">
        <f t="shared" si="16"/>
        <v>66</v>
      </c>
    </row>
    <row r="36" spans="1:17">
      <c r="A36" s="223">
        <v>8</v>
      </c>
      <c r="B36" s="241" t="s">
        <v>203</v>
      </c>
      <c r="C36" s="235" t="s">
        <v>68</v>
      </c>
      <c r="D36" s="236">
        <f t="shared" si="0"/>
        <v>20</v>
      </c>
      <c r="E36" s="236" t="s">
        <v>798</v>
      </c>
      <c r="F36" s="237">
        <v>20</v>
      </c>
      <c r="G36" s="237">
        <f t="shared" ref="G36:Q36" si="17">G40+G44+G48+G52+G56+G60+G64+G68</f>
        <v>0</v>
      </c>
      <c r="H36" s="237">
        <f t="shared" si="17"/>
        <v>0</v>
      </c>
      <c r="I36" s="237">
        <f t="shared" si="17"/>
        <v>0</v>
      </c>
      <c r="J36" s="237">
        <f t="shared" si="17"/>
        <v>0</v>
      </c>
      <c r="K36" s="237">
        <f t="shared" si="17"/>
        <v>0</v>
      </c>
      <c r="L36" s="237">
        <f t="shared" si="17"/>
        <v>0</v>
      </c>
      <c r="M36" s="237">
        <f t="shared" si="17"/>
        <v>0</v>
      </c>
      <c r="N36" s="237">
        <f t="shared" si="17"/>
        <v>0</v>
      </c>
      <c r="O36" s="237">
        <f t="shared" si="17"/>
        <v>0</v>
      </c>
      <c r="P36" s="237">
        <f t="shared" si="17"/>
        <v>0</v>
      </c>
      <c r="Q36" s="237">
        <f t="shared" si="17"/>
        <v>0</v>
      </c>
    </row>
    <row r="37" spans="1:17">
      <c r="A37" s="223">
        <v>8</v>
      </c>
      <c r="B37" s="241" t="s">
        <v>203</v>
      </c>
      <c r="C37" s="238" t="s">
        <v>19</v>
      </c>
      <c r="D37" s="239">
        <f t="shared" si="0"/>
        <v>21</v>
      </c>
      <c r="E37" s="239" t="s">
        <v>798</v>
      </c>
      <c r="F37" s="240">
        <v>21</v>
      </c>
      <c r="G37" s="240">
        <f t="shared" ref="G37:Q37" si="18">G41+G45+G49+G53+G57+G61+G65+G69</f>
        <v>0</v>
      </c>
      <c r="H37" s="240">
        <f t="shared" si="18"/>
        <v>0</v>
      </c>
      <c r="I37" s="240">
        <f t="shared" si="18"/>
        <v>0</v>
      </c>
      <c r="J37" s="240">
        <f t="shared" si="18"/>
        <v>0</v>
      </c>
      <c r="K37" s="240">
        <f t="shared" si="18"/>
        <v>0</v>
      </c>
      <c r="L37" s="240">
        <f t="shared" si="18"/>
        <v>0</v>
      </c>
      <c r="M37" s="240">
        <f t="shared" si="18"/>
        <v>0</v>
      </c>
      <c r="N37" s="240">
        <f t="shared" si="18"/>
        <v>0</v>
      </c>
      <c r="O37" s="240">
        <f t="shared" si="18"/>
        <v>0</v>
      </c>
      <c r="P37" s="240">
        <f t="shared" si="18"/>
        <v>0</v>
      </c>
      <c r="Q37" s="240">
        <f t="shared" si="18"/>
        <v>0</v>
      </c>
    </row>
    <row r="38" outlineLevel="1" spans="1:17">
      <c r="A38" s="223">
        <v>9</v>
      </c>
      <c r="B38" s="244" t="s">
        <v>834</v>
      </c>
      <c r="C38" s="245" t="s">
        <v>738</v>
      </c>
      <c r="D38" s="246">
        <f t="shared" si="0"/>
        <v>66</v>
      </c>
      <c r="E38" s="246" t="s">
        <v>798</v>
      </c>
      <c r="F38" s="247">
        <f t="shared" ref="F38:Q38" si="19">F39+F40+F41</f>
        <v>66</v>
      </c>
      <c r="G38" s="247">
        <f t="shared" si="19"/>
        <v>66</v>
      </c>
      <c r="H38" s="247">
        <f t="shared" si="19"/>
        <v>66</v>
      </c>
      <c r="I38" s="247">
        <f t="shared" si="19"/>
        <v>66</v>
      </c>
      <c r="J38" s="247">
        <f t="shared" si="19"/>
        <v>66</v>
      </c>
      <c r="K38" s="247">
        <f t="shared" si="19"/>
        <v>66</v>
      </c>
      <c r="L38" s="247">
        <f t="shared" si="19"/>
        <v>66</v>
      </c>
      <c r="M38" s="247">
        <f t="shared" si="19"/>
        <v>66</v>
      </c>
      <c r="N38" s="247">
        <f t="shared" si="19"/>
        <v>66</v>
      </c>
      <c r="O38" s="247">
        <f t="shared" si="19"/>
        <v>66</v>
      </c>
      <c r="P38" s="247">
        <f t="shared" si="19"/>
        <v>66</v>
      </c>
      <c r="Q38" s="247">
        <f t="shared" si="19"/>
        <v>66</v>
      </c>
    </row>
    <row r="39" outlineLevel="1" spans="1:17">
      <c r="A39" s="223">
        <v>9</v>
      </c>
      <c r="B39" s="244" t="s">
        <v>834</v>
      </c>
      <c r="C39" s="232" t="s">
        <v>109</v>
      </c>
      <c r="D39" s="233">
        <f t="shared" si="0"/>
        <v>66</v>
      </c>
      <c r="E39" s="233" t="s">
        <v>798</v>
      </c>
      <c r="F39" s="248">
        <f>自有人工预算!E13</f>
        <v>66</v>
      </c>
      <c r="G39" s="248">
        <f>自有人工预算!F13</f>
        <v>66</v>
      </c>
      <c r="H39" s="248">
        <f>自有人工预算!G13</f>
        <v>66</v>
      </c>
      <c r="I39" s="248">
        <f>自有人工预算!H13</f>
        <v>66</v>
      </c>
      <c r="J39" s="248">
        <f>自有人工预算!I13</f>
        <v>66</v>
      </c>
      <c r="K39" s="248">
        <f>自有人工预算!J13</f>
        <v>66</v>
      </c>
      <c r="L39" s="248">
        <f>自有人工预算!K13</f>
        <v>66</v>
      </c>
      <c r="M39" s="248">
        <f>自有人工预算!L13</f>
        <v>66</v>
      </c>
      <c r="N39" s="248">
        <f>自有人工预算!M13</f>
        <v>66</v>
      </c>
      <c r="O39" s="248">
        <f>自有人工预算!N13</f>
        <v>66</v>
      </c>
      <c r="P39" s="248">
        <f>自有人工预算!O13</f>
        <v>66</v>
      </c>
      <c r="Q39" s="248">
        <f>自有人工预算!P13</f>
        <v>66</v>
      </c>
    </row>
    <row r="40" outlineLevel="1" spans="1:17">
      <c r="A40" s="223">
        <v>9</v>
      </c>
      <c r="B40" s="244" t="s">
        <v>834</v>
      </c>
      <c r="C40" s="235" t="s">
        <v>68</v>
      </c>
      <c r="D40" s="236">
        <f t="shared" si="0"/>
        <v>0</v>
      </c>
      <c r="E40" s="236" t="s">
        <v>798</v>
      </c>
      <c r="F40" s="248"/>
      <c r="G40" s="248"/>
      <c r="H40" s="248"/>
      <c r="I40" s="248"/>
      <c r="J40" s="248"/>
      <c r="K40" s="248"/>
      <c r="L40" s="248"/>
      <c r="M40" s="248"/>
      <c r="N40" s="248"/>
      <c r="O40" s="248"/>
      <c r="P40" s="248"/>
      <c r="Q40" s="248"/>
    </row>
    <row r="41" outlineLevel="1" spans="1:17">
      <c r="A41" s="223">
        <v>9</v>
      </c>
      <c r="B41" s="244" t="s">
        <v>834</v>
      </c>
      <c r="C41" s="238" t="s">
        <v>19</v>
      </c>
      <c r="D41" s="239">
        <f t="shared" si="0"/>
        <v>0</v>
      </c>
      <c r="E41" s="239" t="s">
        <v>798</v>
      </c>
      <c r="F41" s="248"/>
      <c r="G41" s="248"/>
      <c r="H41" s="248"/>
      <c r="I41" s="248"/>
      <c r="J41" s="248"/>
      <c r="K41" s="248"/>
      <c r="L41" s="248"/>
      <c r="M41" s="248"/>
      <c r="N41" s="248"/>
      <c r="O41" s="248"/>
      <c r="P41" s="248"/>
      <c r="Q41" s="248"/>
    </row>
    <row r="42" outlineLevel="1" spans="1:17">
      <c r="A42" s="223">
        <v>10</v>
      </c>
      <c r="B42" s="244" t="s">
        <v>837</v>
      </c>
      <c r="C42" s="245" t="s">
        <v>738</v>
      </c>
      <c r="D42" s="246">
        <f t="shared" si="0"/>
        <v>0</v>
      </c>
      <c r="E42" s="246" t="s">
        <v>798</v>
      </c>
      <c r="F42" s="247">
        <f t="shared" ref="F42:Q42" si="20">F43+F44+F45</f>
        <v>0</v>
      </c>
      <c r="G42" s="247">
        <f t="shared" si="20"/>
        <v>0</v>
      </c>
      <c r="H42" s="247">
        <f t="shared" si="20"/>
        <v>0</v>
      </c>
      <c r="I42" s="247">
        <f t="shared" si="20"/>
        <v>0</v>
      </c>
      <c r="J42" s="247">
        <f t="shared" si="20"/>
        <v>0</v>
      </c>
      <c r="K42" s="247">
        <f t="shared" si="20"/>
        <v>0</v>
      </c>
      <c r="L42" s="247">
        <f t="shared" si="20"/>
        <v>0</v>
      </c>
      <c r="M42" s="247">
        <f t="shared" si="20"/>
        <v>0</v>
      </c>
      <c r="N42" s="247">
        <f t="shared" si="20"/>
        <v>0</v>
      </c>
      <c r="O42" s="247">
        <f t="shared" si="20"/>
        <v>0</v>
      </c>
      <c r="P42" s="247">
        <f t="shared" si="20"/>
        <v>0</v>
      </c>
      <c r="Q42" s="247">
        <f t="shared" si="20"/>
        <v>0</v>
      </c>
    </row>
    <row r="43" outlineLevel="1" spans="1:17">
      <c r="A43" s="223">
        <v>10</v>
      </c>
      <c r="B43" s="244" t="s">
        <v>837</v>
      </c>
      <c r="C43" s="232" t="s">
        <v>109</v>
      </c>
      <c r="D43" s="233">
        <f t="shared" si="0"/>
        <v>0</v>
      </c>
      <c r="E43" s="233" t="s">
        <v>798</v>
      </c>
      <c r="F43" s="248"/>
      <c r="G43" s="248"/>
      <c r="H43" s="248"/>
      <c r="I43" s="248"/>
      <c r="J43" s="248"/>
      <c r="K43" s="248"/>
      <c r="L43" s="248"/>
      <c r="M43" s="248"/>
      <c r="N43" s="248"/>
      <c r="O43" s="248"/>
      <c r="P43" s="248"/>
      <c r="Q43" s="248"/>
    </row>
    <row r="44" outlineLevel="1" spans="1:17">
      <c r="A44" s="223">
        <v>10</v>
      </c>
      <c r="B44" s="244" t="s">
        <v>837</v>
      </c>
      <c r="C44" s="235" t="s">
        <v>68</v>
      </c>
      <c r="D44" s="236">
        <f t="shared" si="0"/>
        <v>0</v>
      </c>
      <c r="E44" s="236" t="s">
        <v>798</v>
      </c>
      <c r="F44" s="248"/>
      <c r="G44" s="248"/>
      <c r="H44" s="248"/>
      <c r="I44" s="248"/>
      <c r="J44" s="248"/>
      <c r="K44" s="248"/>
      <c r="L44" s="248"/>
      <c r="M44" s="248"/>
      <c r="N44" s="248"/>
      <c r="O44" s="248"/>
      <c r="P44" s="248"/>
      <c r="Q44" s="248"/>
    </row>
    <row r="45" outlineLevel="1" spans="1:17">
      <c r="A45" s="223">
        <v>10</v>
      </c>
      <c r="B45" s="244" t="s">
        <v>837</v>
      </c>
      <c r="C45" s="238" t="s">
        <v>19</v>
      </c>
      <c r="D45" s="239">
        <f t="shared" si="0"/>
        <v>0</v>
      </c>
      <c r="E45" s="239" t="s">
        <v>798</v>
      </c>
      <c r="F45" s="248"/>
      <c r="G45" s="248"/>
      <c r="H45" s="248"/>
      <c r="I45" s="248"/>
      <c r="J45" s="248"/>
      <c r="K45" s="248"/>
      <c r="L45" s="248"/>
      <c r="M45" s="248"/>
      <c r="N45" s="248"/>
      <c r="O45" s="248"/>
      <c r="P45" s="248"/>
      <c r="Q45" s="248"/>
    </row>
    <row r="46" outlineLevel="1" spans="1:17">
      <c r="A46" s="223">
        <v>11</v>
      </c>
      <c r="B46" s="244" t="s">
        <v>839</v>
      </c>
      <c r="C46" s="245" t="s">
        <v>738</v>
      </c>
      <c r="D46" s="246">
        <f t="shared" si="0"/>
        <v>0</v>
      </c>
      <c r="E46" s="246" t="s">
        <v>798</v>
      </c>
      <c r="F46" s="247">
        <f t="shared" ref="F46:Q46" si="21">F47+F48+F49</f>
        <v>0</v>
      </c>
      <c r="G46" s="247">
        <f t="shared" si="21"/>
        <v>0</v>
      </c>
      <c r="H46" s="247">
        <f t="shared" si="21"/>
        <v>0</v>
      </c>
      <c r="I46" s="247">
        <f t="shared" si="21"/>
        <v>0</v>
      </c>
      <c r="J46" s="247">
        <f t="shared" si="21"/>
        <v>0</v>
      </c>
      <c r="K46" s="247">
        <f t="shared" si="21"/>
        <v>0</v>
      </c>
      <c r="L46" s="247">
        <f t="shared" si="21"/>
        <v>0</v>
      </c>
      <c r="M46" s="247">
        <f t="shared" si="21"/>
        <v>0</v>
      </c>
      <c r="N46" s="247">
        <f t="shared" si="21"/>
        <v>0</v>
      </c>
      <c r="O46" s="247">
        <f t="shared" si="21"/>
        <v>0</v>
      </c>
      <c r="P46" s="247">
        <f t="shared" si="21"/>
        <v>0</v>
      </c>
      <c r="Q46" s="247">
        <f t="shared" si="21"/>
        <v>0</v>
      </c>
    </row>
    <row r="47" outlineLevel="1" spans="1:17">
      <c r="A47" s="223">
        <v>11</v>
      </c>
      <c r="B47" s="244" t="s">
        <v>839</v>
      </c>
      <c r="C47" s="232" t="s">
        <v>109</v>
      </c>
      <c r="D47" s="233">
        <f t="shared" si="0"/>
        <v>0</v>
      </c>
      <c r="E47" s="233" t="s">
        <v>798</v>
      </c>
      <c r="F47" s="248"/>
      <c r="G47" s="248"/>
      <c r="H47" s="248"/>
      <c r="I47" s="248"/>
      <c r="J47" s="248"/>
      <c r="K47" s="248"/>
      <c r="L47" s="248"/>
      <c r="M47" s="248"/>
      <c r="N47" s="248"/>
      <c r="O47" s="248"/>
      <c r="P47" s="248"/>
      <c r="Q47" s="248"/>
    </row>
    <row r="48" outlineLevel="1" spans="1:17">
      <c r="A48" s="223">
        <v>11</v>
      </c>
      <c r="B48" s="244" t="s">
        <v>839</v>
      </c>
      <c r="C48" s="235" t="s">
        <v>68</v>
      </c>
      <c r="D48" s="236">
        <f t="shared" si="0"/>
        <v>0</v>
      </c>
      <c r="E48" s="236" t="s">
        <v>798</v>
      </c>
      <c r="F48" s="248"/>
      <c r="G48" s="248"/>
      <c r="H48" s="248"/>
      <c r="I48" s="248"/>
      <c r="J48" s="248"/>
      <c r="K48" s="248"/>
      <c r="L48" s="248"/>
      <c r="M48" s="248"/>
      <c r="N48" s="248"/>
      <c r="O48" s="248"/>
      <c r="P48" s="248"/>
      <c r="Q48" s="248"/>
    </row>
    <row r="49" outlineLevel="1" spans="1:17">
      <c r="A49" s="223">
        <v>11</v>
      </c>
      <c r="B49" s="244" t="s">
        <v>839</v>
      </c>
      <c r="C49" s="238" t="s">
        <v>19</v>
      </c>
      <c r="D49" s="239">
        <f t="shared" si="0"/>
        <v>0</v>
      </c>
      <c r="E49" s="239" t="s">
        <v>798</v>
      </c>
      <c r="F49" s="248"/>
      <c r="G49" s="248"/>
      <c r="H49" s="248"/>
      <c r="I49" s="248"/>
      <c r="J49" s="248"/>
      <c r="K49" s="248"/>
      <c r="L49" s="248"/>
      <c r="M49" s="248"/>
      <c r="N49" s="248"/>
      <c r="O49" s="248"/>
      <c r="P49" s="248"/>
      <c r="Q49" s="248"/>
    </row>
    <row r="50" outlineLevel="1" spans="1:17">
      <c r="A50" s="223">
        <v>12</v>
      </c>
      <c r="B50" s="244" t="s">
        <v>842</v>
      </c>
      <c r="C50" s="245" t="s">
        <v>738</v>
      </c>
      <c r="D50" s="246">
        <f t="shared" si="0"/>
        <v>0</v>
      </c>
      <c r="E50" s="246" t="s">
        <v>798</v>
      </c>
      <c r="F50" s="247">
        <f t="shared" ref="F50:Q50" si="22">F51+F52+F53</f>
        <v>0</v>
      </c>
      <c r="G50" s="247">
        <f t="shared" si="22"/>
        <v>0</v>
      </c>
      <c r="H50" s="247">
        <f t="shared" si="22"/>
        <v>0</v>
      </c>
      <c r="I50" s="247">
        <f t="shared" si="22"/>
        <v>0</v>
      </c>
      <c r="J50" s="247">
        <f t="shared" si="22"/>
        <v>0</v>
      </c>
      <c r="K50" s="247">
        <f t="shared" si="22"/>
        <v>0</v>
      </c>
      <c r="L50" s="247">
        <f t="shared" si="22"/>
        <v>0</v>
      </c>
      <c r="M50" s="247">
        <f t="shared" si="22"/>
        <v>0</v>
      </c>
      <c r="N50" s="247">
        <f t="shared" si="22"/>
        <v>0</v>
      </c>
      <c r="O50" s="247">
        <f t="shared" si="22"/>
        <v>0</v>
      </c>
      <c r="P50" s="247">
        <f t="shared" si="22"/>
        <v>0</v>
      </c>
      <c r="Q50" s="247">
        <f t="shared" si="22"/>
        <v>0</v>
      </c>
    </row>
    <row r="51" outlineLevel="1" spans="1:17">
      <c r="A51" s="223">
        <v>12</v>
      </c>
      <c r="B51" s="244" t="s">
        <v>842</v>
      </c>
      <c r="C51" s="232" t="s">
        <v>109</v>
      </c>
      <c r="D51" s="233">
        <f t="shared" si="0"/>
        <v>0</v>
      </c>
      <c r="E51" s="233" t="s">
        <v>798</v>
      </c>
      <c r="F51" s="248"/>
      <c r="G51" s="248"/>
      <c r="H51" s="248"/>
      <c r="I51" s="248"/>
      <c r="J51" s="248"/>
      <c r="K51" s="248"/>
      <c r="L51" s="248"/>
      <c r="M51" s="248"/>
      <c r="N51" s="248"/>
      <c r="O51" s="248"/>
      <c r="P51" s="248"/>
      <c r="Q51" s="248"/>
    </row>
    <row r="52" outlineLevel="1" spans="1:17">
      <c r="A52" s="223">
        <v>12</v>
      </c>
      <c r="B52" s="244" t="s">
        <v>842</v>
      </c>
      <c r="C52" s="235" t="s">
        <v>68</v>
      </c>
      <c r="D52" s="236">
        <f t="shared" si="0"/>
        <v>0</v>
      </c>
      <c r="E52" s="236" t="s">
        <v>798</v>
      </c>
      <c r="F52" s="248"/>
      <c r="G52" s="248"/>
      <c r="H52" s="248"/>
      <c r="I52" s="248"/>
      <c r="J52" s="248"/>
      <c r="K52" s="248"/>
      <c r="L52" s="248"/>
      <c r="M52" s="248"/>
      <c r="N52" s="248"/>
      <c r="O52" s="248"/>
      <c r="P52" s="248"/>
      <c r="Q52" s="248"/>
    </row>
    <row r="53" outlineLevel="1" spans="1:17">
      <c r="A53" s="223">
        <v>12</v>
      </c>
      <c r="B53" s="244" t="s">
        <v>842</v>
      </c>
      <c r="C53" s="238" t="s">
        <v>19</v>
      </c>
      <c r="D53" s="239">
        <f t="shared" si="0"/>
        <v>0</v>
      </c>
      <c r="E53" s="239" t="s">
        <v>798</v>
      </c>
      <c r="F53" s="248"/>
      <c r="G53" s="248"/>
      <c r="H53" s="248"/>
      <c r="I53" s="248"/>
      <c r="J53" s="248"/>
      <c r="K53" s="248"/>
      <c r="L53" s="248"/>
      <c r="M53" s="248"/>
      <c r="N53" s="248"/>
      <c r="O53" s="248"/>
      <c r="P53" s="248"/>
      <c r="Q53" s="248"/>
    </row>
    <row r="54" outlineLevel="1" spans="1:17">
      <c r="A54" s="223">
        <v>13</v>
      </c>
      <c r="B54" s="244" t="s">
        <v>845</v>
      </c>
      <c r="C54" s="245" t="s">
        <v>738</v>
      </c>
      <c r="D54" s="246">
        <f t="shared" si="0"/>
        <v>0</v>
      </c>
      <c r="E54" s="246" t="s">
        <v>798</v>
      </c>
      <c r="F54" s="247">
        <f t="shared" ref="F54:Q54" si="23">F55+F56+F57</f>
        <v>0</v>
      </c>
      <c r="G54" s="247">
        <f t="shared" si="23"/>
        <v>0</v>
      </c>
      <c r="H54" s="247">
        <f t="shared" si="23"/>
        <v>0</v>
      </c>
      <c r="I54" s="247">
        <f t="shared" si="23"/>
        <v>0</v>
      </c>
      <c r="J54" s="247">
        <f t="shared" si="23"/>
        <v>0</v>
      </c>
      <c r="K54" s="247">
        <f t="shared" si="23"/>
        <v>0</v>
      </c>
      <c r="L54" s="247">
        <f t="shared" si="23"/>
        <v>0</v>
      </c>
      <c r="M54" s="247">
        <f t="shared" si="23"/>
        <v>0</v>
      </c>
      <c r="N54" s="247">
        <f t="shared" si="23"/>
        <v>0</v>
      </c>
      <c r="O54" s="247">
        <f t="shared" si="23"/>
        <v>0</v>
      </c>
      <c r="P54" s="247">
        <f t="shared" si="23"/>
        <v>0</v>
      </c>
      <c r="Q54" s="247">
        <f t="shared" si="23"/>
        <v>0</v>
      </c>
    </row>
    <row r="55" outlineLevel="1" spans="1:17">
      <c r="A55" s="223">
        <v>13</v>
      </c>
      <c r="B55" s="244" t="s">
        <v>845</v>
      </c>
      <c r="C55" s="232" t="s">
        <v>109</v>
      </c>
      <c r="D55" s="233">
        <f t="shared" si="0"/>
        <v>0</v>
      </c>
      <c r="E55" s="233" t="s">
        <v>798</v>
      </c>
      <c r="F55" s="248"/>
      <c r="G55" s="248"/>
      <c r="H55" s="248"/>
      <c r="I55" s="248"/>
      <c r="J55" s="248"/>
      <c r="K55" s="248"/>
      <c r="L55" s="248"/>
      <c r="M55" s="248"/>
      <c r="N55" s="248"/>
      <c r="O55" s="248"/>
      <c r="P55" s="248"/>
      <c r="Q55" s="248"/>
    </row>
    <row r="56" outlineLevel="1" spans="1:17">
      <c r="A56" s="223">
        <v>13</v>
      </c>
      <c r="B56" s="244" t="s">
        <v>845</v>
      </c>
      <c r="C56" s="235" t="s">
        <v>68</v>
      </c>
      <c r="D56" s="236">
        <f t="shared" si="0"/>
        <v>0</v>
      </c>
      <c r="E56" s="236" t="s">
        <v>798</v>
      </c>
      <c r="F56" s="248"/>
      <c r="G56" s="248"/>
      <c r="H56" s="248"/>
      <c r="I56" s="248"/>
      <c r="J56" s="248"/>
      <c r="K56" s="248"/>
      <c r="L56" s="248"/>
      <c r="M56" s="248"/>
      <c r="N56" s="248"/>
      <c r="O56" s="248"/>
      <c r="P56" s="248"/>
      <c r="Q56" s="248"/>
    </row>
    <row r="57" outlineLevel="1" spans="1:17">
      <c r="A57" s="223">
        <v>13</v>
      </c>
      <c r="B57" s="244" t="s">
        <v>845</v>
      </c>
      <c r="C57" s="238" t="s">
        <v>19</v>
      </c>
      <c r="D57" s="239">
        <f t="shared" si="0"/>
        <v>0</v>
      </c>
      <c r="E57" s="239" t="s">
        <v>798</v>
      </c>
      <c r="F57" s="248"/>
      <c r="G57" s="248"/>
      <c r="H57" s="248"/>
      <c r="I57" s="248"/>
      <c r="J57" s="248"/>
      <c r="K57" s="248"/>
      <c r="L57" s="248"/>
      <c r="M57" s="248"/>
      <c r="N57" s="248"/>
      <c r="O57" s="248"/>
      <c r="P57" s="248"/>
      <c r="Q57" s="248"/>
    </row>
    <row r="58" outlineLevel="1" spans="1:17">
      <c r="A58" s="223">
        <v>14</v>
      </c>
      <c r="B58" s="244" t="s">
        <v>848</v>
      </c>
      <c r="C58" s="245" t="s">
        <v>738</v>
      </c>
      <c r="D58" s="246">
        <f t="shared" si="0"/>
        <v>0</v>
      </c>
      <c r="E58" s="246" t="s">
        <v>798</v>
      </c>
      <c r="F58" s="247">
        <f t="shared" ref="F58:Q58" si="24">F59+F60+F61</f>
        <v>0</v>
      </c>
      <c r="G58" s="247">
        <f t="shared" si="24"/>
        <v>0</v>
      </c>
      <c r="H58" s="247">
        <f t="shared" si="24"/>
        <v>0</v>
      </c>
      <c r="I58" s="247">
        <f t="shared" si="24"/>
        <v>0</v>
      </c>
      <c r="J58" s="247">
        <f t="shared" si="24"/>
        <v>0</v>
      </c>
      <c r="K58" s="247">
        <f t="shared" si="24"/>
        <v>0</v>
      </c>
      <c r="L58" s="247">
        <f t="shared" si="24"/>
        <v>0</v>
      </c>
      <c r="M58" s="247">
        <f t="shared" si="24"/>
        <v>0</v>
      </c>
      <c r="N58" s="247">
        <f t="shared" si="24"/>
        <v>0</v>
      </c>
      <c r="O58" s="247">
        <f t="shared" si="24"/>
        <v>0</v>
      </c>
      <c r="P58" s="247">
        <f t="shared" si="24"/>
        <v>0</v>
      </c>
      <c r="Q58" s="247">
        <f t="shared" si="24"/>
        <v>0</v>
      </c>
    </row>
    <row r="59" outlineLevel="1" spans="1:17">
      <c r="A59" s="223">
        <v>14</v>
      </c>
      <c r="B59" s="244" t="s">
        <v>848</v>
      </c>
      <c r="C59" s="232" t="s">
        <v>109</v>
      </c>
      <c r="D59" s="233">
        <f t="shared" si="0"/>
        <v>0</v>
      </c>
      <c r="E59" s="233" t="s">
        <v>798</v>
      </c>
      <c r="F59" s="248"/>
      <c r="G59" s="248"/>
      <c r="H59" s="248"/>
      <c r="I59" s="248"/>
      <c r="J59" s="248"/>
      <c r="K59" s="248"/>
      <c r="L59" s="248"/>
      <c r="M59" s="248"/>
      <c r="N59" s="248"/>
      <c r="O59" s="248"/>
      <c r="P59" s="248"/>
      <c r="Q59" s="248"/>
    </row>
    <row r="60" outlineLevel="1" spans="1:17">
      <c r="A60" s="223">
        <v>14</v>
      </c>
      <c r="B60" s="244" t="s">
        <v>848</v>
      </c>
      <c r="C60" s="235" t="s">
        <v>68</v>
      </c>
      <c r="D60" s="236">
        <f t="shared" si="0"/>
        <v>0</v>
      </c>
      <c r="E60" s="236" t="s">
        <v>798</v>
      </c>
      <c r="F60" s="248"/>
      <c r="G60" s="248"/>
      <c r="H60" s="248"/>
      <c r="I60" s="248"/>
      <c r="J60" s="248"/>
      <c r="K60" s="248"/>
      <c r="L60" s="248"/>
      <c r="M60" s="248"/>
      <c r="N60" s="248"/>
      <c r="O60" s="248"/>
      <c r="P60" s="248"/>
      <c r="Q60" s="248"/>
    </row>
    <row r="61" outlineLevel="1" spans="1:17">
      <c r="A61" s="223">
        <v>14</v>
      </c>
      <c r="B61" s="244" t="s">
        <v>848</v>
      </c>
      <c r="C61" s="238" t="s">
        <v>19</v>
      </c>
      <c r="D61" s="239">
        <f t="shared" si="0"/>
        <v>0</v>
      </c>
      <c r="E61" s="239" t="s">
        <v>798</v>
      </c>
      <c r="F61" s="248"/>
      <c r="G61" s="248"/>
      <c r="H61" s="248"/>
      <c r="I61" s="248"/>
      <c r="J61" s="248"/>
      <c r="K61" s="248"/>
      <c r="L61" s="248"/>
      <c r="M61" s="248"/>
      <c r="N61" s="248"/>
      <c r="O61" s="248"/>
      <c r="P61" s="248"/>
      <c r="Q61" s="248"/>
    </row>
    <row r="62" outlineLevel="1" spans="1:17">
      <c r="A62" s="223">
        <v>15</v>
      </c>
      <c r="B62" s="244" t="s">
        <v>851</v>
      </c>
      <c r="C62" s="245" t="s">
        <v>738</v>
      </c>
      <c r="D62" s="246">
        <f t="shared" si="0"/>
        <v>0</v>
      </c>
      <c r="E62" s="246" t="s">
        <v>798</v>
      </c>
      <c r="F62" s="247">
        <f t="shared" ref="F62:Q62" si="25">F63+F64+F65</f>
        <v>0</v>
      </c>
      <c r="G62" s="247">
        <f t="shared" si="25"/>
        <v>0</v>
      </c>
      <c r="H62" s="247">
        <f t="shared" si="25"/>
        <v>0</v>
      </c>
      <c r="I62" s="247">
        <f t="shared" si="25"/>
        <v>0</v>
      </c>
      <c r="J62" s="247">
        <f t="shared" si="25"/>
        <v>0</v>
      </c>
      <c r="K62" s="247">
        <f t="shared" si="25"/>
        <v>0</v>
      </c>
      <c r="L62" s="247">
        <f t="shared" si="25"/>
        <v>0</v>
      </c>
      <c r="M62" s="247">
        <f t="shared" si="25"/>
        <v>0</v>
      </c>
      <c r="N62" s="247">
        <f t="shared" si="25"/>
        <v>0</v>
      </c>
      <c r="O62" s="247">
        <f t="shared" si="25"/>
        <v>0</v>
      </c>
      <c r="P62" s="247">
        <f t="shared" si="25"/>
        <v>0</v>
      </c>
      <c r="Q62" s="247">
        <f t="shared" si="25"/>
        <v>0</v>
      </c>
    </row>
    <row r="63" outlineLevel="1" spans="1:17">
      <c r="A63" s="223">
        <v>15</v>
      </c>
      <c r="B63" s="244" t="s">
        <v>851</v>
      </c>
      <c r="C63" s="232" t="s">
        <v>109</v>
      </c>
      <c r="D63" s="233">
        <f t="shared" si="0"/>
        <v>0</v>
      </c>
      <c r="E63" s="233" t="s">
        <v>798</v>
      </c>
      <c r="F63" s="248"/>
      <c r="G63" s="248"/>
      <c r="H63" s="248"/>
      <c r="I63" s="248"/>
      <c r="J63" s="248"/>
      <c r="K63" s="248"/>
      <c r="L63" s="248"/>
      <c r="M63" s="248"/>
      <c r="N63" s="248"/>
      <c r="O63" s="248"/>
      <c r="P63" s="248"/>
      <c r="Q63" s="248"/>
    </row>
    <row r="64" outlineLevel="1" spans="1:17">
      <c r="A64" s="223">
        <v>15</v>
      </c>
      <c r="B64" s="244" t="s">
        <v>851</v>
      </c>
      <c r="C64" s="235" t="s">
        <v>68</v>
      </c>
      <c r="D64" s="236">
        <f t="shared" si="0"/>
        <v>0</v>
      </c>
      <c r="E64" s="236" t="s">
        <v>798</v>
      </c>
      <c r="F64" s="248"/>
      <c r="G64" s="248"/>
      <c r="H64" s="248"/>
      <c r="I64" s="248"/>
      <c r="J64" s="248"/>
      <c r="K64" s="248"/>
      <c r="L64" s="248"/>
      <c r="M64" s="248"/>
      <c r="N64" s="248"/>
      <c r="O64" s="248"/>
      <c r="P64" s="248"/>
      <c r="Q64" s="248"/>
    </row>
    <row r="65" outlineLevel="1" spans="1:17">
      <c r="A65" s="223">
        <v>15</v>
      </c>
      <c r="B65" s="244" t="s">
        <v>851</v>
      </c>
      <c r="C65" s="238" t="s">
        <v>19</v>
      </c>
      <c r="D65" s="239">
        <f t="shared" si="0"/>
        <v>0</v>
      </c>
      <c r="E65" s="239" t="s">
        <v>798</v>
      </c>
      <c r="F65" s="248"/>
      <c r="G65" s="248"/>
      <c r="H65" s="248"/>
      <c r="I65" s="248"/>
      <c r="J65" s="248"/>
      <c r="K65" s="248"/>
      <c r="L65" s="248"/>
      <c r="M65" s="248"/>
      <c r="N65" s="248"/>
      <c r="O65" s="248"/>
      <c r="P65" s="248"/>
      <c r="Q65" s="248"/>
    </row>
    <row r="66" outlineLevel="1" spans="1:17">
      <c r="A66" s="223">
        <v>16</v>
      </c>
      <c r="B66" s="244" t="s">
        <v>854</v>
      </c>
      <c r="C66" s="245" t="s">
        <v>738</v>
      </c>
      <c r="D66" s="246">
        <f t="shared" ref="D66:D129" si="26">IFERROR(SUM(F66:Q66)/COUNTIF(F66:Q66,"&lt;&gt;0"),0)</f>
        <v>0</v>
      </c>
      <c r="E66" s="246" t="s">
        <v>798</v>
      </c>
      <c r="F66" s="247">
        <f t="shared" ref="F66:Q66" si="27">F67+F68+F69</f>
        <v>0</v>
      </c>
      <c r="G66" s="247">
        <f t="shared" si="27"/>
        <v>0</v>
      </c>
      <c r="H66" s="247">
        <f t="shared" si="27"/>
        <v>0</v>
      </c>
      <c r="I66" s="247">
        <f t="shared" si="27"/>
        <v>0</v>
      </c>
      <c r="J66" s="247">
        <f t="shared" si="27"/>
        <v>0</v>
      </c>
      <c r="K66" s="247">
        <f t="shared" si="27"/>
        <v>0</v>
      </c>
      <c r="L66" s="247">
        <f t="shared" si="27"/>
        <v>0</v>
      </c>
      <c r="M66" s="247">
        <f t="shared" si="27"/>
        <v>0</v>
      </c>
      <c r="N66" s="247">
        <f t="shared" si="27"/>
        <v>0</v>
      </c>
      <c r="O66" s="247">
        <f t="shared" si="27"/>
        <v>0</v>
      </c>
      <c r="P66" s="247">
        <f t="shared" si="27"/>
        <v>0</v>
      </c>
      <c r="Q66" s="247">
        <f t="shared" si="27"/>
        <v>0</v>
      </c>
    </row>
    <row r="67" outlineLevel="1" spans="1:17">
      <c r="A67" s="223">
        <v>16</v>
      </c>
      <c r="B67" s="244" t="s">
        <v>854</v>
      </c>
      <c r="C67" s="232" t="s">
        <v>109</v>
      </c>
      <c r="D67" s="233">
        <f t="shared" si="26"/>
        <v>0</v>
      </c>
      <c r="E67" s="233" t="s">
        <v>798</v>
      </c>
      <c r="F67" s="248"/>
      <c r="G67" s="248"/>
      <c r="H67" s="248"/>
      <c r="I67" s="248"/>
      <c r="J67" s="248"/>
      <c r="K67" s="248"/>
      <c r="L67" s="248"/>
      <c r="M67" s="248"/>
      <c r="N67" s="248"/>
      <c r="O67" s="248"/>
      <c r="P67" s="248"/>
      <c r="Q67" s="248"/>
    </row>
    <row r="68" outlineLevel="1" spans="1:17">
      <c r="A68" s="223">
        <v>16</v>
      </c>
      <c r="B68" s="244" t="s">
        <v>854</v>
      </c>
      <c r="C68" s="235" t="s">
        <v>68</v>
      </c>
      <c r="D68" s="236">
        <f t="shared" si="26"/>
        <v>0</v>
      </c>
      <c r="E68" s="236" t="s">
        <v>798</v>
      </c>
      <c r="F68" s="248"/>
      <c r="G68" s="248"/>
      <c r="H68" s="248"/>
      <c r="I68" s="248"/>
      <c r="J68" s="248"/>
      <c r="K68" s="248"/>
      <c r="L68" s="248"/>
      <c r="M68" s="248"/>
      <c r="N68" s="248"/>
      <c r="O68" s="248"/>
      <c r="P68" s="248"/>
      <c r="Q68" s="248"/>
    </row>
    <row r="69" outlineLevel="1" spans="1:17">
      <c r="A69" s="223">
        <v>16</v>
      </c>
      <c r="B69" s="244" t="s">
        <v>854</v>
      </c>
      <c r="C69" s="238" t="s">
        <v>19</v>
      </c>
      <c r="D69" s="239">
        <f t="shared" si="26"/>
        <v>0</v>
      </c>
      <c r="E69" s="239" t="s">
        <v>798</v>
      </c>
      <c r="F69" s="248"/>
      <c r="G69" s="248"/>
      <c r="H69" s="248"/>
      <c r="I69" s="248"/>
      <c r="J69" s="248"/>
      <c r="K69" s="248"/>
      <c r="L69" s="248"/>
      <c r="M69" s="248"/>
      <c r="N69" s="248"/>
      <c r="O69" s="248"/>
      <c r="P69" s="248"/>
      <c r="Q69" s="248"/>
    </row>
    <row r="70" spans="1:17">
      <c r="A70" s="223">
        <v>17</v>
      </c>
      <c r="B70" s="241" t="s">
        <v>191</v>
      </c>
      <c r="C70" s="241" t="s">
        <v>738</v>
      </c>
      <c r="D70" s="242">
        <f t="shared" si="26"/>
        <v>66</v>
      </c>
      <c r="E70" s="242" t="s">
        <v>798</v>
      </c>
      <c r="F70" s="243">
        <f t="shared" ref="F70:Q70" si="28">F71+F72+F73</f>
        <v>66</v>
      </c>
      <c r="G70" s="243">
        <f t="shared" si="28"/>
        <v>66</v>
      </c>
      <c r="H70" s="243">
        <f t="shared" si="28"/>
        <v>66</v>
      </c>
      <c r="I70" s="243">
        <f t="shared" si="28"/>
        <v>66</v>
      </c>
      <c r="J70" s="243">
        <f t="shared" si="28"/>
        <v>66</v>
      </c>
      <c r="K70" s="243">
        <f t="shared" si="28"/>
        <v>66</v>
      </c>
      <c r="L70" s="243">
        <f t="shared" si="28"/>
        <v>66</v>
      </c>
      <c r="M70" s="243">
        <f t="shared" si="28"/>
        <v>66</v>
      </c>
      <c r="N70" s="243">
        <f t="shared" si="28"/>
        <v>66</v>
      </c>
      <c r="O70" s="243">
        <f t="shared" si="28"/>
        <v>66</v>
      </c>
      <c r="P70" s="243">
        <f t="shared" si="28"/>
        <v>66</v>
      </c>
      <c r="Q70" s="243">
        <f t="shared" si="28"/>
        <v>66</v>
      </c>
    </row>
    <row r="71" spans="1:17">
      <c r="A71" s="223">
        <v>17</v>
      </c>
      <c r="B71" s="241" t="s">
        <v>191</v>
      </c>
      <c r="C71" s="232" t="s">
        <v>109</v>
      </c>
      <c r="D71" s="233">
        <f t="shared" si="26"/>
        <v>1</v>
      </c>
      <c r="E71" s="233" t="s">
        <v>798</v>
      </c>
      <c r="F71" s="234">
        <f t="shared" ref="F71:Q71" si="29">F75+F79+F83+F87+F91+F95+F99+F103+F107+F111</f>
        <v>1</v>
      </c>
      <c r="G71" s="234">
        <f t="shared" si="29"/>
        <v>1</v>
      </c>
      <c r="H71" s="234">
        <f t="shared" si="29"/>
        <v>1</v>
      </c>
      <c r="I71" s="234">
        <f t="shared" si="29"/>
        <v>1</v>
      </c>
      <c r="J71" s="234">
        <f t="shared" si="29"/>
        <v>1</v>
      </c>
      <c r="K71" s="234">
        <f t="shared" si="29"/>
        <v>1</v>
      </c>
      <c r="L71" s="234">
        <f t="shared" si="29"/>
        <v>1</v>
      </c>
      <c r="M71" s="234">
        <f t="shared" si="29"/>
        <v>1</v>
      </c>
      <c r="N71" s="234">
        <f t="shared" si="29"/>
        <v>1</v>
      </c>
      <c r="O71" s="234">
        <f t="shared" si="29"/>
        <v>1</v>
      </c>
      <c r="P71" s="234">
        <f t="shared" si="29"/>
        <v>1</v>
      </c>
      <c r="Q71" s="234">
        <f t="shared" si="29"/>
        <v>1</v>
      </c>
    </row>
    <row r="72" spans="1:17">
      <c r="A72" s="223">
        <v>17</v>
      </c>
      <c r="B72" s="241" t="s">
        <v>191</v>
      </c>
      <c r="C72" s="235" t="s">
        <v>68</v>
      </c>
      <c r="D72" s="236">
        <f t="shared" si="26"/>
        <v>0</v>
      </c>
      <c r="E72" s="236" t="s">
        <v>798</v>
      </c>
      <c r="F72" s="237">
        <f t="shared" ref="F72:Q72" si="30">F76+F80+F84+F88+F92+F96+F100+F104+F108+F112</f>
        <v>0</v>
      </c>
      <c r="G72" s="237">
        <f t="shared" si="30"/>
        <v>0</v>
      </c>
      <c r="H72" s="237">
        <f t="shared" si="30"/>
        <v>0</v>
      </c>
      <c r="I72" s="237">
        <f t="shared" si="30"/>
        <v>0</v>
      </c>
      <c r="J72" s="237">
        <f t="shared" si="30"/>
        <v>0</v>
      </c>
      <c r="K72" s="237">
        <f t="shared" si="30"/>
        <v>0</v>
      </c>
      <c r="L72" s="237">
        <f t="shared" si="30"/>
        <v>0</v>
      </c>
      <c r="M72" s="237">
        <f t="shared" si="30"/>
        <v>0</v>
      </c>
      <c r="N72" s="237">
        <f t="shared" si="30"/>
        <v>0</v>
      </c>
      <c r="O72" s="237">
        <f t="shared" si="30"/>
        <v>0</v>
      </c>
      <c r="P72" s="237">
        <f t="shared" si="30"/>
        <v>0</v>
      </c>
      <c r="Q72" s="237">
        <f t="shared" si="30"/>
        <v>0</v>
      </c>
    </row>
    <row r="73" spans="1:17">
      <c r="A73" s="223">
        <v>17</v>
      </c>
      <c r="B73" s="241" t="s">
        <v>191</v>
      </c>
      <c r="C73" s="238" t="s">
        <v>19</v>
      </c>
      <c r="D73" s="239">
        <f t="shared" si="26"/>
        <v>65</v>
      </c>
      <c r="E73" s="239" t="s">
        <v>798</v>
      </c>
      <c r="F73" s="240">
        <f t="shared" ref="F73:Q73" si="31">F77+F81+F85+F89+F93+F97+F101+F105+F109+F113</f>
        <v>65</v>
      </c>
      <c r="G73" s="240">
        <f t="shared" si="31"/>
        <v>65</v>
      </c>
      <c r="H73" s="240">
        <f t="shared" si="31"/>
        <v>65</v>
      </c>
      <c r="I73" s="240">
        <f t="shared" si="31"/>
        <v>65</v>
      </c>
      <c r="J73" s="240">
        <f t="shared" si="31"/>
        <v>65</v>
      </c>
      <c r="K73" s="240">
        <f t="shared" si="31"/>
        <v>65</v>
      </c>
      <c r="L73" s="240">
        <f t="shared" si="31"/>
        <v>65</v>
      </c>
      <c r="M73" s="240">
        <f t="shared" si="31"/>
        <v>65</v>
      </c>
      <c r="N73" s="240">
        <f t="shared" si="31"/>
        <v>65</v>
      </c>
      <c r="O73" s="240">
        <f t="shared" si="31"/>
        <v>65</v>
      </c>
      <c r="P73" s="240">
        <f t="shared" si="31"/>
        <v>65</v>
      </c>
      <c r="Q73" s="240">
        <f t="shared" si="31"/>
        <v>65</v>
      </c>
    </row>
    <row r="74" outlineLevel="1" spans="1:17">
      <c r="A74" s="223">
        <v>18</v>
      </c>
      <c r="B74" s="244" t="s">
        <v>878</v>
      </c>
      <c r="C74" s="245" t="s">
        <v>738</v>
      </c>
      <c r="D74" s="246">
        <f t="shared" si="26"/>
        <v>66</v>
      </c>
      <c r="E74" s="246" t="s">
        <v>798</v>
      </c>
      <c r="F74" s="247">
        <f t="shared" ref="F74:Q74" si="32">F75+F76+F77</f>
        <v>66</v>
      </c>
      <c r="G74" s="247">
        <f t="shared" si="32"/>
        <v>66</v>
      </c>
      <c r="H74" s="247">
        <f t="shared" si="32"/>
        <v>66</v>
      </c>
      <c r="I74" s="247">
        <f t="shared" si="32"/>
        <v>66</v>
      </c>
      <c r="J74" s="247">
        <f t="shared" si="32"/>
        <v>66</v>
      </c>
      <c r="K74" s="247">
        <f t="shared" si="32"/>
        <v>66</v>
      </c>
      <c r="L74" s="247">
        <f t="shared" si="32"/>
        <v>66</v>
      </c>
      <c r="M74" s="247">
        <f t="shared" si="32"/>
        <v>66</v>
      </c>
      <c r="N74" s="247">
        <f t="shared" si="32"/>
        <v>66</v>
      </c>
      <c r="O74" s="247">
        <f t="shared" si="32"/>
        <v>66</v>
      </c>
      <c r="P74" s="247">
        <f t="shared" si="32"/>
        <v>66</v>
      </c>
      <c r="Q74" s="247">
        <f t="shared" si="32"/>
        <v>66</v>
      </c>
    </row>
    <row r="75" outlineLevel="1" spans="1:17">
      <c r="A75" s="223">
        <v>18</v>
      </c>
      <c r="B75" s="244" t="s">
        <v>878</v>
      </c>
      <c r="C75" s="232" t="s">
        <v>109</v>
      </c>
      <c r="D75" s="233">
        <f t="shared" si="26"/>
        <v>1</v>
      </c>
      <c r="E75" s="233" t="s">
        <v>798</v>
      </c>
      <c r="F75" s="248">
        <v>1</v>
      </c>
      <c r="G75" s="248">
        <v>1</v>
      </c>
      <c r="H75" s="248">
        <v>1</v>
      </c>
      <c r="I75" s="248">
        <v>1</v>
      </c>
      <c r="J75" s="248">
        <v>1</v>
      </c>
      <c r="K75" s="248">
        <v>1</v>
      </c>
      <c r="L75" s="248">
        <v>1</v>
      </c>
      <c r="M75" s="248">
        <v>1</v>
      </c>
      <c r="N75" s="248">
        <v>1</v>
      </c>
      <c r="O75" s="248">
        <v>1</v>
      </c>
      <c r="P75" s="248">
        <v>1</v>
      </c>
      <c r="Q75" s="248">
        <v>1</v>
      </c>
    </row>
    <row r="76" outlineLevel="1" spans="1:17">
      <c r="A76" s="223">
        <v>18</v>
      </c>
      <c r="B76" s="244" t="s">
        <v>878</v>
      </c>
      <c r="C76" s="235" t="s">
        <v>68</v>
      </c>
      <c r="D76" s="236">
        <f t="shared" si="26"/>
        <v>0</v>
      </c>
      <c r="E76" s="236" t="s">
        <v>798</v>
      </c>
      <c r="F76" s="248"/>
      <c r="G76" s="248"/>
      <c r="H76" s="248"/>
      <c r="I76" s="248"/>
      <c r="J76" s="248"/>
      <c r="K76" s="248"/>
      <c r="L76" s="248"/>
      <c r="M76" s="248"/>
      <c r="N76" s="248"/>
      <c r="O76" s="248"/>
      <c r="P76" s="248"/>
      <c r="Q76" s="248"/>
    </row>
    <row r="77" outlineLevel="1" spans="1:17">
      <c r="A77" s="223">
        <v>18</v>
      </c>
      <c r="B77" s="244" t="s">
        <v>878</v>
      </c>
      <c r="C77" s="238" t="s">
        <v>19</v>
      </c>
      <c r="D77" s="239">
        <f t="shared" si="26"/>
        <v>65</v>
      </c>
      <c r="E77" s="239" t="s">
        <v>798</v>
      </c>
      <c r="F77" s="248">
        <v>65</v>
      </c>
      <c r="G77" s="248">
        <v>65</v>
      </c>
      <c r="H77" s="248">
        <v>65</v>
      </c>
      <c r="I77" s="248">
        <v>65</v>
      </c>
      <c r="J77" s="248">
        <v>65</v>
      </c>
      <c r="K77" s="248">
        <v>65</v>
      </c>
      <c r="L77" s="248">
        <v>65</v>
      </c>
      <c r="M77" s="248">
        <v>65</v>
      </c>
      <c r="N77" s="248">
        <v>65</v>
      </c>
      <c r="O77" s="248">
        <v>65</v>
      </c>
      <c r="P77" s="248">
        <v>65</v>
      </c>
      <c r="Q77" s="248">
        <v>65</v>
      </c>
    </row>
    <row r="78" outlineLevel="1" spans="1:17">
      <c r="A78" s="223">
        <v>19</v>
      </c>
      <c r="B78" s="244" t="s">
        <v>881</v>
      </c>
      <c r="C78" s="245" t="s">
        <v>738</v>
      </c>
      <c r="D78" s="246">
        <f t="shared" si="26"/>
        <v>0</v>
      </c>
      <c r="E78" s="246" t="s">
        <v>798</v>
      </c>
      <c r="F78" s="247">
        <f t="shared" ref="F78:Q78" si="33">F79+F80+F81</f>
        <v>0</v>
      </c>
      <c r="G78" s="247">
        <f t="shared" si="33"/>
        <v>0</v>
      </c>
      <c r="H78" s="247">
        <f t="shared" si="33"/>
        <v>0</v>
      </c>
      <c r="I78" s="247">
        <f t="shared" si="33"/>
        <v>0</v>
      </c>
      <c r="J78" s="247">
        <f t="shared" si="33"/>
        <v>0</v>
      </c>
      <c r="K78" s="247">
        <f t="shared" si="33"/>
        <v>0</v>
      </c>
      <c r="L78" s="247">
        <f t="shared" si="33"/>
        <v>0</v>
      </c>
      <c r="M78" s="247">
        <f t="shared" si="33"/>
        <v>0</v>
      </c>
      <c r="N78" s="247">
        <f t="shared" si="33"/>
        <v>0</v>
      </c>
      <c r="O78" s="247">
        <f t="shared" si="33"/>
        <v>0</v>
      </c>
      <c r="P78" s="247">
        <f t="shared" si="33"/>
        <v>0</v>
      </c>
      <c r="Q78" s="247">
        <f t="shared" si="33"/>
        <v>0</v>
      </c>
    </row>
    <row r="79" outlineLevel="1" spans="1:17">
      <c r="A79" s="223">
        <v>19</v>
      </c>
      <c r="B79" s="244" t="s">
        <v>881</v>
      </c>
      <c r="C79" s="232" t="s">
        <v>109</v>
      </c>
      <c r="D79" s="233">
        <f t="shared" si="26"/>
        <v>0</v>
      </c>
      <c r="E79" s="233" t="s">
        <v>798</v>
      </c>
      <c r="F79" s="248"/>
      <c r="G79" s="248"/>
      <c r="H79" s="248"/>
      <c r="I79" s="248"/>
      <c r="J79" s="248"/>
      <c r="K79" s="248"/>
      <c r="L79" s="248"/>
      <c r="M79" s="248"/>
      <c r="N79" s="248"/>
      <c r="O79" s="248"/>
      <c r="P79" s="248"/>
      <c r="Q79" s="248"/>
    </row>
    <row r="80" outlineLevel="1" spans="1:17">
      <c r="A80" s="223">
        <v>19</v>
      </c>
      <c r="B80" s="244" t="s">
        <v>881</v>
      </c>
      <c r="C80" s="235" t="s">
        <v>68</v>
      </c>
      <c r="D80" s="236">
        <f t="shared" si="26"/>
        <v>0</v>
      </c>
      <c r="E80" s="236" t="s">
        <v>798</v>
      </c>
      <c r="F80" s="248"/>
      <c r="G80" s="248"/>
      <c r="H80" s="248"/>
      <c r="I80" s="248"/>
      <c r="J80" s="248"/>
      <c r="K80" s="248"/>
      <c r="L80" s="248"/>
      <c r="M80" s="248"/>
      <c r="N80" s="248"/>
      <c r="O80" s="248"/>
      <c r="P80" s="248"/>
      <c r="Q80" s="248"/>
    </row>
    <row r="81" outlineLevel="1" spans="1:17">
      <c r="A81" s="223">
        <v>19</v>
      </c>
      <c r="B81" s="244" t="s">
        <v>881</v>
      </c>
      <c r="C81" s="238" t="s">
        <v>19</v>
      </c>
      <c r="D81" s="239">
        <f t="shared" si="26"/>
        <v>0</v>
      </c>
      <c r="E81" s="239" t="s">
        <v>798</v>
      </c>
      <c r="F81" s="248"/>
      <c r="G81" s="248"/>
      <c r="H81" s="248"/>
      <c r="I81" s="248"/>
      <c r="J81" s="248"/>
      <c r="K81" s="248"/>
      <c r="L81" s="248"/>
      <c r="M81" s="248"/>
      <c r="N81" s="248"/>
      <c r="O81" s="248"/>
      <c r="P81" s="248"/>
      <c r="Q81" s="248"/>
    </row>
    <row r="82" outlineLevel="1" spans="1:17">
      <c r="A82" s="223">
        <v>20</v>
      </c>
      <c r="B82" s="244" t="s">
        <v>884</v>
      </c>
      <c r="C82" s="245" t="s">
        <v>738</v>
      </c>
      <c r="D82" s="246">
        <f t="shared" si="26"/>
        <v>0</v>
      </c>
      <c r="E82" s="246" t="s">
        <v>798</v>
      </c>
      <c r="F82" s="247">
        <f t="shared" ref="F82:Q82" si="34">F83+F84+F85</f>
        <v>0</v>
      </c>
      <c r="G82" s="247">
        <f t="shared" si="34"/>
        <v>0</v>
      </c>
      <c r="H82" s="247">
        <f t="shared" si="34"/>
        <v>0</v>
      </c>
      <c r="I82" s="247">
        <f t="shared" si="34"/>
        <v>0</v>
      </c>
      <c r="J82" s="247">
        <f t="shared" si="34"/>
        <v>0</v>
      </c>
      <c r="K82" s="247">
        <f t="shared" si="34"/>
        <v>0</v>
      </c>
      <c r="L82" s="247">
        <f t="shared" si="34"/>
        <v>0</v>
      </c>
      <c r="M82" s="247">
        <f t="shared" si="34"/>
        <v>0</v>
      </c>
      <c r="N82" s="247">
        <f t="shared" si="34"/>
        <v>0</v>
      </c>
      <c r="O82" s="247">
        <f t="shared" si="34"/>
        <v>0</v>
      </c>
      <c r="P82" s="247">
        <f t="shared" si="34"/>
        <v>0</v>
      </c>
      <c r="Q82" s="247">
        <f t="shared" si="34"/>
        <v>0</v>
      </c>
    </row>
    <row r="83" outlineLevel="1" spans="1:17">
      <c r="A83" s="223">
        <v>20</v>
      </c>
      <c r="B83" s="244" t="s">
        <v>884</v>
      </c>
      <c r="C83" s="232" t="s">
        <v>109</v>
      </c>
      <c r="D83" s="233">
        <f t="shared" si="26"/>
        <v>0</v>
      </c>
      <c r="E83" s="233" t="s">
        <v>798</v>
      </c>
      <c r="F83" s="248"/>
      <c r="G83" s="248"/>
      <c r="H83" s="248"/>
      <c r="I83" s="248"/>
      <c r="J83" s="248"/>
      <c r="K83" s="248"/>
      <c r="L83" s="248"/>
      <c r="M83" s="248"/>
      <c r="N83" s="248"/>
      <c r="O83" s="248"/>
      <c r="P83" s="248"/>
      <c r="Q83" s="248"/>
    </row>
    <row r="84" outlineLevel="1" spans="1:17">
      <c r="A84" s="223">
        <v>20</v>
      </c>
      <c r="B84" s="244" t="s">
        <v>884</v>
      </c>
      <c r="C84" s="235" t="s">
        <v>68</v>
      </c>
      <c r="D84" s="236">
        <f t="shared" si="26"/>
        <v>0</v>
      </c>
      <c r="E84" s="236" t="s">
        <v>798</v>
      </c>
      <c r="F84" s="248"/>
      <c r="G84" s="248"/>
      <c r="H84" s="248"/>
      <c r="I84" s="248"/>
      <c r="J84" s="248"/>
      <c r="K84" s="248"/>
      <c r="L84" s="248"/>
      <c r="M84" s="248"/>
      <c r="N84" s="248"/>
      <c r="O84" s="248"/>
      <c r="P84" s="248"/>
      <c r="Q84" s="248"/>
    </row>
    <row r="85" outlineLevel="1" spans="1:17">
      <c r="A85" s="223">
        <v>20</v>
      </c>
      <c r="B85" s="244" t="s">
        <v>884</v>
      </c>
      <c r="C85" s="238" t="s">
        <v>19</v>
      </c>
      <c r="D85" s="239">
        <f t="shared" si="26"/>
        <v>0</v>
      </c>
      <c r="E85" s="239" t="s">
        <v>798</v>
      </c>
      <c r="F85" s="248"/>
      <c r="G85" s="248"/>
      <c r="H85" s="248"/>
      <c r="I85" s="248"/>
      <c r="J85" s="248"/>
      <c r="K85" s="248"/>
      <c r="L85" s="248"/>
      <c r="M85" s="248"/>
      <c r="N85" s="248"/>
      <c r="O85" s="248"/>
      <c r="P85" s="248"/>
      <c r="Q85" s="248"/>
    </row>
    <row r="86" outlineLevel="1" spans="1:17">
      <c r="A86" s="223">
        <v>21</v>
      </c>
      <c r="B86" s="244" t="s">
        <v>887</v>
      </c>
      <c r="C86" s="245" t="s">
        <v>738</v>
      </c>
      <c r="D86" s="246">
        <f t="shared" si="26"/>
        <v>0</v>
      </c>
      <c r="E86" s="246" t="s">
        <v>798</v>
      </c>
      <c r="F86" s="247">
        <f t="shared" ref="F86:Q86" si="35">F87+F88+F89</f>
        <v>0</v>
      </c>
      <c r="G86" s="247">
        <f t="shared" si="35"/>
        <v>0</v>
      </c>
      <c r="H86" s="247">
        <f t="shared" si="35"/>
        <v>0</v>
      </c>
      <c r="I86" s="247">
        <f t="shared" si="35"/>
        <v>0</v>
      </c>
      <c r="J86" s="247">
        <f t="shared" si="35"/>
        <v>0</v>
      </c>
      <c r="K86" s="247">
        <f t="shared" si="35"/>
        <v>0</v>
      </c>
      <c r="L86" s="247">
        <f t="shared" si="35"/>
        <v>0</v>
      </c>
      <c r="M86" s="247">
        <f t="shared" si="35"/>
        <v>0</v>
      </c>
      <c r="N86" s="247">
        <f t="shared" si="35"/>
        <v>0</v>
      </c>
      <c r="O86" s="247">
        <f t="shared" si="35"/>
        <v>0</v>
      </c>
      <c r="P86" s="247">
        <f t="shared" si="35"/>
        <v>0</v>
      </c>
      <c r="Q86" s="247">
        <f t="shared" si="35"/>
        <v>0</v>
      </c>
    </row>
    <row r="87" outlineLevel="1" spans="1:17">
      <c r="A87" s="223">
        <v>21</v>
      </c>
      <c r="B87" s="244" t="s">
        <v>887</v>
      </c>
      <c r="C87" s="232" t="s">
        <v>109</v>
      </c>
      <c r="D87" s="233">
        <f t="shared" si="26"/>
        <v>0</v>
      </c>
      <c r="E87" s="233" t="s">
        <v>798</v>
      </c>
      <c r="F87" s="248"/>
      <c r="G87" s="248"/>
      <c r="H87" s="248"/>
      <c r="I87" s="248"/>
      <c r="J87" s="248"/>
      <c r="K87" s="248"/>
      <c r="L87" s="248"/>
      <c r="M87" s="248"/>
      <c r="N87" s="248"/>
      <c r="O87" s="248"/>
      <c r="P87" s="248"/>
      <c r="Q87" s="248"/>
    </row>
    <row r="88" outlineLevel="1" spans="1:17">
      <c r="A88" s="223">
        <v>21</v>
      </c>
      <c r="B88" s="244" t="s">
        <v>887</v>
      </c>
      <c r="C88" s="235" t="s">
        <v>68</v>
      </c>
      <c r="D88" s="236">
        <f t="shared" si="26"/>
        <v>0</v>
      </c>
      <c r="E88" s="236" t="s">
        <v>798</v>
      </c>
      <c r="F88" s="248"/>
      <c r="G88" s="248"/>
      <c r="H88" s="248"/>
      <c r="I88" s="248"/>
      <c r="J88" s="248"/>
      <c r="K88" s="248"/>
      <c r="L88" s="248"/>
      <c r="M88" s="248"/>
      <c r="N88" s="248"/>
      <c r="O88" s="248"/>
      <c r="P88" s="248"/>
      <c r="Q88" s="248"/>
    </row>
    <row r="89" outlineLevel="1" spans="1:17">
      <c r="A89" s="223">
        <v>21</v>
      </c>
      <c r="B89" s="244" t="s">
        <v>887</v>
      </c>
      <c r="C89" s="238" t="s">
        <v>19</v>
      </c>
      <c r="D89" s="239">
        <f t="shared" si="26"/>
        <v>0</v>
      </c>
      <c r="E89" s="239" t="s">
        <v>798</v>
      </c>
      <c r="F89" s="248"/>
      <c r="G89" s="248"/>
      <c r="H89" s="248"/>
      <c r="I89" s="248"/>
      <c r="J89" s="248"/>
      <c r="K89" s="248"/>
      <c r="L89" s="248"/>
      <c r="M89" s="248"/>
      <c r="N89" s="248"/>
      <c r="O89" s="248"/>
      <c r="P89" s="248"/>
      <c r="Q89" s="248"/>
    </row>
    <row r="90" outlineLevel="1" spans="1:17">
      <c r="A90" s="223">
        <v>22</v>
      </c>
      <c r="B90" s="244" t="s">
        <v>890</v>
      </c>
      <c r="C90" s="245" t="s">
        <v>738</v>
      </c>
      <c r="D90" s="246">
        <f t="shared" si="26"/>
        <v>0</v>
      </c>
      <c r="E90" s="246" t="s">
        <v>798</v>
      </c>
      <c r="F90" s="247">
        <f t="shared" ref="F90:Q90" si="36">F91+F92+F93</f>
        <v>0</v>
      </c>
      <c r="G90" s="247">
        <f t="shared" si="36"/>
        <v>0</v>
      </c>
      <c r="H90" s="247">
        <f t="shared" si="36"/>
        <v>0</v>
      </c>
      <c r="I90" s="247">
        <f t="shared" si="36"/>
        <v>0</v>
      </c>
      <c r="J90" s="247">
        <f t="shared" si="36"/>
        <v>0</v>
      </c>
      <c r="K90" s="247">
        <f t="shared" si="36"/>
        <v>0</v>
      </c>
      <c r="L90" s="247">
        <f t="shared" si="36"/>
        <v>0</v>
      </c>
      <c r="M90" s="247">
        <f t="shared" si="36"/>
        <v>0</v>
      </c>
      <c r="N90" s="247">
        <f t="shared" si="36"/>
        <v>0</v>
      </c>
      <c r="O90" s="247">
        <f t="shared" si="36"/>
        <v>0</v>
      </c>
      <c r="P90" s="247">
        <f t="shared" si="36"/>
        <v>0</v>
      </c>
      <c r="Q90" s="247">
        <f t="shared" si="36"/>
        <v>0</v>
      </c>
    </row>
    <row r="91" outlineLevel="1" spans="1:17">
      <c r="A91" s="223">
        <v>22</v>
      </c>
      <c r="B91" s="244" t="s">
        <v>890</v>
      </c>
      <c r="C91" s="232" t="s">
        <v>109</v>
      </c>
      <c r="D91" s="233">
        <f t="shared" si="26"/>
        <v>0</v>
      </c>
      <c r="E91" s="233" t="s">
        <v>798</v>
      </c>
      <c r="F91" s="248"/>
      <c r="G91" s="248"/>
      <c r="H91" s="248"/>
      <c r="I91" s="248"/>
      <c r="J91" s="248"/>
      <c r="K91" s="248"/>
      <c r="L91" s="248"/>
      <c r="M91" s="248"/>
      <c r="N91" s="248"/>
      <c r="O91" s="248"/>
      <c r="P91" s="248"/>
      <c r="Q91" s="248"/>
    </row>
    <row r="92" outlineLevel="1" spans="1:17">
      <c r="A92" s="223">
        <v>22</v>
      </c>
      <c r="B92" s="244" t="s">
        <v>890</v>
      </c>
      <c r="C92" s="235" t="s">
        <v>68</v>
      </c>
      <c r="D92" s="236">
        <f t="shared" si="26"/>
        <v>0</v>
      </c>
      <c r="E92" s="236" t="s">
        <v>798</v>
      </c>
      <c r="F92" s="248"/>
      <c r="G92" s="248"/>
      <c r="H92" s="248"/>
      <c r="I92" s="248"/>
      <c r="J92" s="248"/>
      <c r="K92" s="248"/>
      <c r="L92" s="248"/>
      <c r="M92" s="248"/>
      <c r="N92" s="248"/>
      <c r="O92" s="248"/>
      <c r="P92" s="248"/>
      <c r="Q92" s="248"/>
    </row>
    <row r="93" outlineLevel="1" spans="1:17">
      <c r="A93" s="223">
        <v>22</v>
      </c>
      <c r="B93" s="244" t="s">
        <v>890</v>
      </c>
      <c r="C93" s="238" t="s">
        <v>19</v>
      </c>
      <c r="D93" s="239">
        <f t="shared" si="26"/>
        <v>0</v>
      </c>
      <c r="E93" s="239" t="s">
        <v>798</v>
      </c>
      <c r="F93" s="248"/>
      <c r="G93" s="248"/>
      <c r="H93" s="248"/>
      <c r="I93" s="248"/>
      <c r="J93" s="248"/>
      <c r="K93" s="248"/>
      <c r="L93" s="248"/>
      <c r="M93" s="248"/>
      <c r="N93" s="248"/>
      <c r="O93" s="248"/>
      <c r="P93" s="248"/>
      <c r="Q93" s="248"/>
    </row>
    <row r="94" outlineLevel="1" spans="1:17">
      <c r="A94" s="223">
        <v>23</v>
      </c>
      <c r="B94" s="244" t="s">
        <v>893</v>
      </c>
      <c r="C94" s="245" t="s">
        <v>738</v>
      </c>
      <c r="D94" s="246">
        <f t="shared" si="26"/>
        <v>0</v>
      </c>
      <c r="E94" s="246" t="s">
        <v>798</v>
      </c>
      <c r="F94" s="247">
        <f t="shared" ref="F94:Q94" si="37">F95+F96+F97</f>
        <v>0</v>
      </c>
      <c r="G94" s="247">
        <f t="shared" si="37"/>
        <v>0</v>
      </c>
      <c r="H94" s="247">
        <f t="shared" si="37"/>
        <v>0</v>
      </c>
      <c r="I94" s="247">
        <f t="shared" si="37"/>
        <v>0</v>
      </c>
      <c r="J94" s="247">
        <f t="shared" si="37"/>
        <v>0</v>
      </c>
      <c r="K94" s="247">
        <f t="shared" si="37"/>
        <v>0</v>
      </c>
      <c r="L94" s="247">
        <f t="shared" si="37"/>
        <v>0</v>
      </c>
      <c r="M94" s="247">
        <f t="shared" si="37"/>
        <v>0</v>
      </c>
      <c r="N94" s="247">
        <f t="shared" si="37"/>
        <v>0</v>
      </c>
      <c r="O94" s="247">
        <f t="shared" si="37"/>
        <v>0</v>
      </c>
      <c r="P94" s="247">
        <f t="shared" si="37"/>
        <v>0</v>
      </c>
      <c r="Q94" s="247">
        <f t="shared" si="37"/>
        <v>0</v>
      </c>
    </row>
    <row r="95" outlineLevel="1" spans="1:17">
      <c r="A95" s="223">
        <v>23</v>
      </c>
      <c r="B95" s="244" t="s">
        <v>893</v>
      </c>
      <c r="C95" s="232" t="s">
        <v>109</v>
      </c>
      <c r="D95" s="233">
        <f t="shared" si="26"/>
        <v>0</v>
      </c>
      <c r="E95" s="233" t="s">
        <v>798</v>
      </c>
      <c r="F95" s="248"/>
      <c r="G95" s="248"/>
      <c r="H95" s="248"/>
      <c r="I95" s="248"/>
      <c r="J95" s="248"/>
      <c r="K95" s="248"/>
      <c r="L95" s="248"/>
      <c r="M95" s="248"/>
      <c r="N95" s="248"/>
      <c r="O95" s="248"/>
      <c r="P95" s="248"/>
      <c r="Q95" s="248"/>
    </row>
    <row r="96" outlineLevel="1" spans="1:17">
      <c r="A96" s="223">
        <v>23</v>
      </c>
      <c r="B96" s="244" t="s">
        <v>893</v>
      </c>
      <c r="C96" s="235" t="s">
        <v>68</v>
      </c>
      <c r="D96" s="236">
        <f t="shared" si="26"/>
        <v>0</v>
      </c>
      <c r="E96" s="236" t="s">
        <v>798</v>
      </c>
      <c r="F96" s="248"/>
      <c r="G96" s="248"/>
      <c r="H96" s="248"/>
      <c r="I96" s="248"/>
      <c r="J96" s="248"/>
      <c r="K96" s="248"/>
      <c r="L96" s="248"/>
      <c r="M96" s="248"/>
      <c r="N96" s="248"/>
      <c r="O96" s="248"/>
      <c r="P96" s="248"/>
      <c r="Q96" s="248"/>
    </row>
    <row r="97" outlineLevel="1" spans="1:17">
      <c r="A97" s="223">
        <v>23</v>
      </c>
      <c r="B97" s="244" t="s">
        <v>893</v>
      </c>
      <c r="C97" s="238" t="s">
        <v>19</v>
      </c>
      <c r="D97" s="239">
        <f t="shared" si="26"/>
        <v>0</v>
      </c>
      <c r="E97" s="239" t="s">
        <v>798</v>
      </c>
      <c r="F97" s="248"/>
      <c r="G97" s="248"/>
      <c r="H97" s="248"/>
      <c r="I97" s="248"/>
      <c r="J97" s="248"/>
      <c r="K97" s="248"/>
      <c r="L97" s="248"/>
      <c r="M97" s="248"/>
      <c r="N97" s="248"/>
      <c r="O97" s="248"/>
      <c r="P97" s="248"/>
      <c r="Q97" s="248"/>
    </row>
    <row r="98" outlineLevel="1" spans="1:17">
      <c r="A98" s="223">
        <v>24</v>
      </c>
      <c r="B98" s="244" t="s">
        <v>896</v>
      </c>
      <c r="C98" s="245" t="s">
        <v>738</v>
      </c>
      <c r="D98" s="246">
        <f t="shared" si="26"/>
        <v>0</v>
      </c>
      <c r="E98" s="246" t="s">
        <v>798</v>
      </c>
      <c r="F98" s="247">
        <f t="shared" ref="F98:Q98" si="38">F99+F100+F101</f>
        <v>0</v>
      </c>
      <c r="G98" s="247">
        <f t="shared" si="38"/>
        <v>0</v>
      </c>
      <c r="H98" s="247">
        <f t="shared" si="38"/>
        <v>0</v>
      </c>
      <c r="I98" s="247">
        <f t="shared" si="38"/>
        <v>0</v>
      </c>
      <c r="J98" s="247">
        <f t="shared" si="38"/>
        <v>0</v>
      </c>
      <c r="K98" s="247">
        <f t="shared" si="38"/>
        <v>0</v>
      </c>
      <c r="L98" s="247">
        <f t="shared" si="38"/>
        <v>0</v>
      </c>
      <c r="M98" s="247">
        <f t="shared" si="38"/>
        <v>0</v>
      </c>
      <c r="N98" s="247">
        <f t="shared" si="38"/>
        <v>0</v>
      </c>
      <c r="O98" s="247">
        <f t="shared" si="38"/>
        <v>0</v>
      </c>
      <c r="P98" s="247">
        <f t="shared" si="38"/>
        <v>0</v>
      </c>
      <c r="Q98" s="247">
        <f t="shared" si="38"/>
        <v>0</v>
      </c>
    </row>
    <row r="99" outlineLevel="1" spans="1:17">
      <c r="A99" s="223">
        <v>24</v>
      </c>
      <c r="B99" s="244" t="s">
        <v>896</v>
      </c>
      <c r="C99" s="232" t="s">
        <v>109</v>
      </c>
      <c r="D99" s="233">
        <f t="shared" si="26"/>
        <v>0</v>
      </c>
      <c r="E99" s="233" t="s">
        <v>798</v>
      </c>
      <c r="F99" s="248"/>
      <c r="G99" s="248"/>
      <c r="H99" s="248"/>
      <c r="I99" s="248"/>
      <c r="J99" s="248"/>
      <c r="K99" s="248"/>
      <c r="L99" s="248"/>
      <c r="M99" s="248"/>
      <c r="N99" s="248"/>
      <c r="O99" s="248"/>
      <c r="P99" s="248"/>
      <c r="Q99" s="248"/>
    </row>
    <row r="100" outlineLevel="1" spans="1:17">
      <c r="A100" s="223">
        <v>24</v>
      </c>
      <c r="B100" s="244" t="s">
        <v>896</v>
      </c>
      <c r="C100" s="235" t="s">
        <v>68</v>
      </c>
      <c r="D100" s="236">
        <f t="shared" si="26"/>
        <v>0</v>
      </c>
      <c r="E100" s="236" t="s">
        <v>798</v>
      </c>
      <c r="F100" s="248"/>
      <c r="G100" s="248"/>
      <c r="H100" s="248"/>
      <c r="I100" s="248"/>
      <c r="J100" s="248"/>
      <c r="K100" s="248"/>
      <c r="L100" s="248"/>
      <c r="M100" s="248"/>
      <c r="N100" s="248"/>
      <c r="O100" s="248"/>
      <c r="P100" s="248"/>
      <c r="Q100" s="248"/>
    </row>
    <row r="101" outlineLevel="1" spans="1:17">
      <c r="A101" s="223">
        <v>24</v>
      </c>
      <c r="B101" s="244" t="s">
        <v>896</v>
      </c>
      <c r="C101" s="238" t="s">
        <v>19</v>
      </c>
      <c r="D101" s="239">
        <f t="shared" si="26"/>
        <v>0</v>
      </c>
      <c r="E101" s="239" t="s">
        <v>798</v>
      </c>
      <c r="F101" s="248"/>
      <c r="G101" s="248"/>
      <c r="H101" s="248"/>
      <c r="I101" s="248"/>
      <c r="J101" s="248"/>
      <c r="K101" s="248"/>
      <c r="L101" s="248"/>
      <c r="M101" s="248"/>
      <c r="N101" s="248"/>
      <c r="O101" s="248"/>
      <c r="P101" s="248"/>
      <c r="Q101" s="248"/>
    </row>
    <row r="102" outlineLevel="1" spans="1:17">
      <c r="A102" s="223">
        <v>25</v>
      </c>
      <c r="B102" s="244" t="s">
        <v>899</v>
      </c>
      <c r="C102" s="245" t="s">
        <v>738</v>
      </c>
      <c r="D102" s="246">
        <f t="shared" si="26"/>
        <v>0</v>
      </c>
      <c r="E102" s="246" t="s">
        <v>798</v>
      </c>
      <c r="F102" s="247">
        <f t="shared" ref="F102:Q102" si="39">F103+F104+F105</f>
        <v>0</v>
      </c>
      <c r="G102" s="247">
        <f t="shared" si="39"/>
        <v>0</v>
      </c>
      <c r="H102" s="247">
        <f t="shared" si="39"/>
        <v>0</v>
      </c>
      <c r="I102" s="247">
        <f t="shared" si="39"/>
        <v>0</v>
      </c>
      <c r="J102" s="247">
        <f t="shared" si="39"/>
        <v>0</v>
      </c>
      <c r="K102" s="247">
        <f t="shared" si="39"/>
        <v>0</v>
      </c>
      <c r="L102" s="247">
        <f t="shared" si="39"/>
        <v>0</v>
      </c>
      <c r="M102" s="247">
        <f t="shared" si="39"/>
        <v>0</v>
      </c>
      <c r="N102" s="247">
        <f t="shared" si="39"/>
        <v>0</v>
      </c>
      <c r="O102" s="247">
        <f t="shared" si="39"/>
        <v>0</v>
      </c>
      <c r="P102" s="247">
        <f t="shared" si="39"/>
        <v>0</v>
      </c>
      <c r="Q102" s="247">
        <f t="shared" si="39"/>
        <v>0</v>
      </c>
    </row>
    <row r="103" outlineLevel="1" spans="1:17">
      <c r="A103" s="223">
        <v>25</v>
      </c>
      <c r="B103" s="244" t="s">
        <v>899</v>
      </c>
      <c r="C103" s="232" t="s">
        <v>109</v>
      </c>
      <c r="D103" s="233">
        <f t="shared" si="26"/>
        <v>0</v>
      </c>
      <c r="E103" s="233" t="s">
        <v>798</v>
      </c>
      <c r="F103" s="248"/>
      <c r="G103" s="248"/>
      <c r="H103" s="248"/>
      <c r="I103" s="248"/>
      <c r="J103" s="248"/>
      <c r="K103" s="248"/>
      <c r="L103" s="248"/>
      <c r="M103" s="248"/>
      <c r="N103" s="248"/>
      <c r="O103" s="248"/>
      <c r="P103" s="248"/>
      <c r="Q103" s="248"/>
    </row>
    <row r="104" outlineLevel="1" spans="1:17">
      <c r="A104" s="223">
        <v>25</v>
      </c>
      <c r="B104" s="244" t="s">
        <v>899</v>
      </c>
      <c r="C104" s="235" t="s">
        <v>68</v>
      </c>
      <c r="D104" s="236">
        <f t="shared" si="26"/>
        <v>0</v>
      </c>
      <c r="E104" s="236" t="s">
        <v>798</v>
      </c>
      <c r="F104" s="248"/>
      <c r="G104" s="248"/>
      <c r="H104" s="248"/>
      <c r="I104" s="248"/>
      <c r="J104" s="248"/>
      <c r="K104" s="248"/>
      <c r="L104" s="248"/>
      <c r="M104" s="248"/>
      <c r="N104" s="248"/>
      <c r="O104" s="248"/>
      <c r="P104" s="248"/>
      <c r="Q104" s="248"/>
    </row>
    <row r="105" outlineLevel="1" spans="1:17">
      <c r="A105" s="223">
        <v>25</v>
      </c>
      <c r="B105" s="244" t="s">
        <v>899</v>
      </c>
      <c r="C105" s="238" t="s">
        <v>19</v>
      </c>
      <c r="D105" s="239">
        <f t="shared" si="26"/>
        <v>0</v>
      </c>
      <c r="E105" s="239" t="s">
        <v>798</v>
      </c>
      <c r="F105" s="248"/>
      <c r="G105" s="248"/>
      <c r="H105" s="248"/>
      <c r="I105" s="248"/>
      <c r="J105" s="248"/>
      <c r="K105" s="248"/>
      <c r="L105" s="248"/>
      <c r="M105" s="248"/>
      <c r="N105" s="248"/>
      <c r="O105" s="248"/>
      <c r="P105" s="248"/>
      <c r="Q105" s="248"/>
    </row>
    <row r="106" outlineLevel="1" spans="1:17">
      <c r="A106" s="223">
        <v>26</v>
      </c>
      <c r="B106" s="244" t="s">
        <v>902</v>
      </c>
      <c r="C106" s="245" t="s">
        <v>738</v>
      </c>
      <c r="D106" s="246">
        <f t="shared" si="26"/>
        <v>0</v>
      </c>
      <c r="E106" s="246" t="s">
        <v>798</v>
      </c>
      <c r="F106" s="247">
        <f t="shared" ref="F106:Q106" si="40">F107+F108+F109</f>
        <v>0</v>
      </c>
      <c r="G106" s="247">
        <f t="shared" si="40"/>
        <v>0</v>
      </c>
      <c r="H106" s="247">
        <f t="shared" si="40"/>
        <v>0</v>
      </c>
      <c r="I106" s="247">
        <f t="shared" si="40"/>
        <v>0</v>
      </c>
      <c r="J106" s="247">
        <f t="shared" si="40"/>
        <v>0</v>
      </c>
      <c r="K106" s="247">
        <f t="shared" si="40"/>
        <v>0</v>
      </c>
      <c r="L106" s="247">
        <f t="shared" si="40"/>
        <v>0</v>
      </c>
      <c r="M106" s="247">
        <f t="shared" si="40"/>
        <v>0</v>
      </c>
      <c r="N106" s="247">
        <f t="shared" si="40"/>
        <v>0</v>
      </c>
      <c r="O106" s="247">
        <f t="shared" si="40"/>
        <v>0</v>
      </c>
      <c r="P106" s="247">
        <f t="shared" si="40"/>
        <v>0</v>
      </c>
      <c r="Q106" s="247">
        <f t="shared" si="40"/>
        <v>0</v>
      </c>
    </row>
    <row r="107" outlineLevel="1" spans="1:17">
      <c r="A107" s="223">
        <v>26</v>
      </c>
      <c r="B107" s="244" t="s">
        <v>902</v>
      </c>
      <c r="C107" s="232" t="s">
        <v>109</v>
      </c>
      <c r="D107" s="233">
        <f t="shared" si="26"/>
        <v>0</v>
      </c>
      <c r="E107" s="233" t="s">
        <v>798</v>
      </c>
      <c r="F107" s="248"/>
      <c r="G107" s="248"/>
      <c r="H107" s="248"/>
      <c r="I107" s="248"/>
      <c r="J107" s="248"/>
      <c r="K107" s="248"/>
      <c r="L107" s="248"/>
      <c r="M107" s="248"/>
      <c r="N107" s="248"/>
      <c r="O107" s="248"/>
      <c r="P107" s="248"/>
      <c r="Q107" s="248"/>
    </row>
    <row r="108" outlineLevel="1" spans="1:17">
      <c r="A108" s="223">
        <v>26</v>
      </c>
      <c r="B108" s="244" t="s">
        <v>902</v>
      </c>
      <c r="C108" s="235" t="s">
        <v>68</v>
      </c>
      <c r="D108" s="236">
        <f t="shared" si="26"/>
        <v>0</v>
      </c>
      <c r="E108" s="236" t="s">
        <v>798</v>
      </c>
      <c r="F108" s="248"/>
      <c r="G108" s="248"/>
      <c r="H108" s="248"/>
      <c r="I108" s="248"/>
      <c r="J108" s="248"/>
      <c r="K108" s="248"/>
      <c r="L108" s="248"/>
      <c r="M108" s="248"/>
      <c r="N108" s="248"/>
      <c r="O108" s="248"/>
      <c r="P108" s="248"/>
      <c r="Q108" s="248"/>
    </row>
    <row r="109" outlineLevel="1" spans="1:17">
      <c r="A109" s="223">
        <v>26</v>
      </c>
      <c r="B109" s="244" t="s">
        <v>902</v>
      </c>
      <c r="C109" s="238" t="s">
        <v>19</v>
      </c>
      <c r="D109" s="239">
        <f t="shared" si="26"/>
        <v>0</v>
      </c>
      <c r="E109" s="239" t="s">
        <v>798</v>
      </c>
      <c r="F109" s="248"/>
      <c r="G109" s="248"/>
      <c r="H109" s="248"/>
      <c r="I109" s="248"/>
      <c r="J109" s="248"/>
      <c r="K109" s="248"/>
      <c r="L109" s="248"/>
      <c r="M109" s="248"/>
      <c r="N109" s="248"/>
      <c r="O109" s="248"/>
      <c r="P109" s="248"/>
      <c r="Q109" s="248"/>
    </row>
    <row r="110" outlineLevel="1" spans="1:17">
      <c r="A110" s="223">
        <v>27</v>
      </c>
      <c r="B110" s="244" t="s">
        <v>905</v>
      </c>
      <c r="C110" s="245" t="s">
        <v>738</v>
      </c>
      <c r="D110" s="246">
        <f t="shared" si="26"/>
        <v>0</v>
      </c>
      <c r="E110" s="246" t="s">
        <v>798</v>
      </c>
      <c r="F110" s="247">
        <f t="shared" ref="F110:Q110" si="41">F111+F112+F113</f>
        <v>0</v>
      </c>
      <c r="G110" s="247">
        <f t="shared" si="41"/>
        <v>0</v>
      </c>
      <c r="H110" s="247">
        <f t="shared" si="41"/>
        <v>0</v>
      </c>
      <c r="I110" s="247">
        <f t="shared" si="41"/>
        <v>0</v>
      </c>
      <c r="J110" s="247">
        <f t="shared" si="41"/>
        <v>0</v>
      </c>
      <c r="K110" s="247">
        <f t="shared" si="41"/>
        <v>0</v>
      </c>
      <c r="L110" s="247">
        <f t="shared" si="41"/>
        <v>0</v>
      </c>
      <c r="M110" s="247">
        <f t="shared" si="41"/>
        <v>0</v>
      </c>
      <c r="N110" s="247">
        <f t="shared" si="41"/>
        <v>0</v>
      </c>
      <c r="O110" s="247">
        <f t="shared" si="41"/>
        <v>0</v>
      </c>
      <c r="P110" s="247">
        <f t="shared" si="41"/>
        <v>0</v>
      </c>
      <c r="Q110" s="247">
        <f t="shared" si="41"/>
        <v>0</v>
      </c>
    </row>
    <row r="111" outlineLevel="1" spans="1:17">
      <c r="A111" s="223">
        <v>27</v>
      </c>
      <c r="B111" s="244" t="s">
        <v>905</v>
      </c>
      <c r="C111" s="232" t="s">
        <v>109</v>
      </c>
      <c r="D111" s="233">
        <f t="shared" si="26"/>
        <v>0</v>
      </c>
      <c r="E111" s="233" t="s">
        <v>798</v>
      </c>
      <c r="F111" s="248"/>
      <c r="G111" s="248"/>
      <c r="H111" s="248"/>
      <c r="I111" s="248"/>
      <c r="J111" s="248"/>
      <c r="K111" s="248"/>
      <c r="L111" s="248"/>
      <c r="M111" s="248"/>
      <c r="N111" s="248"/>
      <c r="O111" s="248"/>
      <c r="P111" s="248"/>
      <c r="Q111" s="248"/>
    </row>
    <row r="112" outlineLevel="1" spans="1:17">
      <c r="A112" s="223">
        <v>27</v>
      </c>
      <c r="B112" s="244" t="s">
        <v>905</v>
      </c>
      <c r="C112" s="235" t="s">
        <v>68</v>
      </c>
      <c r="D112" s="236">
        <f t="shared" si="26"/>
        <v>0</v>
      </c>
      <c r="E112" s="236" t="s">
        <v>798</v>
      </c>
      <c r="F112" s="248"/>
      <c r="G112" s="248"/>
      <c r="H112" s="248"/>
      <c r="I112" s="248"/>
      <c r="J112" s="248"/>
      <c r="K112" s="248"/>
      <c r="L112" s="248"/>
      <c r="M112" s="248"/>
      <c r="N112" s="248"/>
      <c r="O112" s="248"/>
      <c r="P112" s="248"/>
      <c r="Q112" s="248"/>
    </row>
    <row r="113" outlineLevel="1" spans="1:17">
      <c r="A113" s="223">
        <v>27</v>
      </c>
      <c r="B113" s="244" t="s">
        <v>905</v>
      </c>
      <c r="C113" s="238" t="s">
        <v>19</v>
      </c>
      <c r="D113" s="239">
        <f t="shared" si="26"/>
        <v>0</v>
      </c>
      <c r="E113" s="239" t="s">
        <v>798</v>
      </c>
      <c r="F113" s="248"/>
      <c r="G113" s="248"/>
      <c r="H113" s="248"/>
      <c r="I113" s="248"/>
      <c r="J113" s="248"/>
      <c r="K113" s="248"/>
      <c r="L113" s="248"/>
      <c r="M113" s="248"/>
      <c r="N113" s="248"/>
      <c r="O113" s="248"/>
      <c r="P113" s="248"/>
      <c r="Q113" s="248"/>
    </row>
    <row r="114" spans="1:17">
      <c r="A114" s="223">
        <v>28</v>
      </c>
      <c r="B114" s="241" t="s">
        <v>195</v>
      </c>
      <c r="C114" s="241" t="s">
        <v>738</v>
      </c>
      <c r="D114" s="242">
        <f t="shared" si="26"/>
        <v>38</v>
      </c>
      <c r="E114" s="242" t="s">
        <v>798</v>
      </c>
      <c r="F114" s="243">
        <f t="shared" ref="F114:Q114" si="42">F115+F116+F117</f>
        <v>38</v>
      </c>
      <c r="G114" s="243">
        <f t="shared" si="42"/>
        <v>38</v>
      </c>
      <c r="H114" s="243">
        <f t="shared" si="42"/>
        <v>38</v>
      </c>
      <c r="I114" s="243">
        <f t="shared" si="42"/>
        <v>38</v>
      </c>
      <c r="J114" s="243">
        <f t="shared" si="42"/>
        <v>38</v>
      </c>
      <c r="K114" s="243">
        <f t="shared" si="42"/>
        <v>38</v>
      </c>
      <c r="L114" s="243">
        <f t="shared" si="42"/>
        <v>38</v>
      </c>
      <c r="M114" s="243">
        <f t="shared" si="42"/>
        <v>38</v>
      </c>
      <c r="N114" s="243">
        <f t="shared" si="42"/>
        <v>38</v>
      </c>
      <c r="O114" s="243">
        <f t="shared" si="42"/>
        <v>38</v>
      </c>
      <c r="P114" s="243">
        <f t="shared" si="42"/>
        <v>38</v>
      </c>
      <c r="Q114" s="243">
        <f t="shared" si="42"/>
        <v>38</v>
      </c>
    </row>
    <row r="115" spans="1:17">
      <c r="A115" s="223">
        <v>28</v>
      </c>
      <c r="B115" s="241" t="s">
        <v>195</v>
      </c>
      <c r="C115" s="232" t="s">
        <v>109</v>
      </c>
      <c r="D115" s="233">
        <f t="shared" si="26"/>
        <v>38</v>
      </c>
      <c r="E115" s="233" t="s">
        <v>798</v>
      </c>
      <c r="F115" s="234">
        <f t="shared" ref="F115:Q115" si="43">F119+F123+F127+F131+F135+F139+F143+F147+F151</f>
        <v>38</v>
      </c>
      <c r="G115" s="234">
        <f t="shared" si="43"/>
        <v>38</v>
      </c>
      <c r="H115" s="234">
        <f t="shared" si="43"/>
        <v>38</v>
      </c>
      <c r="I115" s="234">
        <f t="shared" si="43"/>
        <v>38</v>
      </c>
      <c r="J115" s="234">
        <f t="shared" si="43"/>
        <v>38</v>
      </c>
      <c r="K115" s="234">
        <f t="shared" si="43"/>
        <v>38</v>
      </c>
      <c r="L115" s="234">
        <f t="shared" si="43"/>
        <v>38</v>
      </c>
      <c r="M115" s="234">
        <f t="shared" si="43"/>
        <v>38</v>
      </c>
      <c r="N115" s="234">
        <f t="shared" si="43"/>
        <v>38</v>
      </c>
      <c r="O115" s="234">
        <f t="shared" si="43"/>
        <v>38</v>
      </c>
      <c r="P115" s="234">
        <f t="shared" si="43"/>
        <v>38</v>
      </c>
      <c r="Q115" s="234">
        <f t="shared" si="43"/>
        <v>38</v>
      </c>
    </row>
    <row r="116" spans="1:17">
      <c r="A116" s="223">
        <v>28</v>
      </c>
      <c r="B116" s="241" t="s">
        <v>195</v>
      </c>
      <c r="C116" s="235" t="s">
        <v>68</v>
      </c>
      <c r="D116" s="236">
        <f t="shared" si="26"/>
        <v>0</v>
      </c>
      <c r="E116" s="236" t="s">
        <v>798</v>
      </c>
      <c r="F116" s="237">
        <f t="shared" ref="F116:Q116" si="44">F120+F124+F128+F132+F136+F140+F144+F148+F152</f>
        <v>0</v>
      </c>
      <c r="G116" s="237">
        <f t="shared" si="44"/>
        <v>0</v>
      </c>
      <c r="H116" s="237">
        <f t="shared" si="44"/>
        <v>0</v>
      </c>
      <c r="I116" s="237">
        <f t="shared" si="44"/>
        <v>0</v>
      </c>
      <c r="J116" s="237">
        <f t="shared" si="44"/>
        <v>0</v>
      </c>
      <c r="K116" s="237">
        <f t="shared" si="44"/>
        <v>0</v>
      </c>
      <c r="L116" s="237">
        <f t="shared" si="44"/>
        <v>0</v>
      </c>
      <c r="M116" s="237">
        <f t="shared" si="44"/>
        <v>0</v>
      </c>
      <c r="N116" s="237">
        <f t="shared" si="44"/>
        <v>0</v>
      </c>
      <c r="O116" s="237">
        <f t="shared" si="44"/>
        <v>0</v>
      </c>
      <c r="P116" s="237">
        <f t="shared" si="44"/>
        <v>0</v>
      </c>
      <c r="Q116" s="237">
        <f t="shared" si="44"/>
        <v>0</v>
      </c>
    </row>
    <row r="117" spans="1:17">
      <c r="A117" s="223">
        <v>28</v>
      </c>
      <c r="B117" s="241" t="s">
        <v>195</v>
      </c>
      <c r="C117" s="238" t="s">
        <v>19</v>
      </c>
      <c r="D117" s="239">
        <f t="shared" si="26"/>
        <v>0</v>
      </c>
      <c r="E117" s="239" t="s">
        <v>798</v>
      </c>
      <c r="F117" s="240">
        <f t="shared" ref="F117:Q117" si="45">F121+F125+F129+F133+F137+F141+F145+F149+F153</f>
        <v>0</v>
      </c>
      <c r="G117" s="240">
        <f t="shared" si="45"/>
        <v>0</v>
      </c>
      <c r="H117" s="240">
        <f t="shared" si="45"/>
        <v>0</v>
      </c>
      <c r="I117" s="240">
        <f t="shared" si="45"/>
        <v>0</v>
      </c>
      <c r="J117" s="240">
        <f t="shared" si="45"/>
        <v>0</v>
      </c>
      <c r="K117" s="240">
        <f t="shared" si="45"/>
        <v>0</v>
      </c>
      <c r="L117" s="240">
        <f t="shared" si="45"/>
        <v>0</v>
      </c>
      <c r="M117" s="240">
        <f t="shared" si="45"/>
        <v>0</v>
      </c>
      <c r="N117" s="240">
        <f t="shared" si="45"/>
        <v>0</v>
      </c>
      <c r="O117" s="240">
        <f t="shared" si="45"/>
        <v>0</v>
      </c>
      <c r="P117" s="240">
        <f t="shared" si="45"/>
        <v>0</v>
      </c>
      <c r="Q117" s="240">
        <f t="shared" si="45"/>
        <v>0</v>
      </c>
    </row>
    <row r="118" outlineLevel="1" spans="1:17">
      <c r="A118" s="223">
        <v>29</v>
      </c>
      <c r="B118" s="244" t="s">
        <v>979</v>
      </c>
      <c r="C118" s="245" t="s">
        <v>738</v>
      </c>
      <c r="D118" s="246">
        <f t="shared" si="26"/>
        <v>38</v>
      </c>
      <c r="E118" s="246" t="s">
        <v>798</v>
      </c>
      <c r="F118" s="247">
        <f t="shared" ref="F118:Q118" si="46">F119+F120+F121</f>
        <v>38</v>
      </c>
      <c r="G118" s="247">
        <f t="shared" si="46"/>
        <v>38</v>
      </c>
      <c r="H118" s="247">
        <f t="shared" si="46"/>
        <v>38</v>
      </c>
      <c r="I118" s="247">
        <f t="shared" si="46"/>
        <v>38</v>
      </c>
      <c r="J118" s="247">
        <f t="shared" si="46"/>
        <v>38</v>
      </c>
      <c r="K118" s="247">
        <f t="shared" si="46"/>
        <v>38</v>
      </c>
      <c r="L118" s="247">
        <f t="shared" si="46"/>
        <v>38</v>
      </c>
      <c r="M118" s="247">
        <f t="shared" si="46"/>
        <v>38</v>
      </c>
      <c r="N118" s="247">
        <f t="shared" si="46"/>
        <v>38</v>
      </c>
      <c r="O118" s="247">
        <f t="shared" si="46"/>
        <v>38</v>
      </c>
      <c r="P118" s="247">
        <f t="shared" si="46"/>
        <v>38</v>
      </c>
      <c r="Q118" s="247">
        <f t="shared" si="46"/>
        <v>38</v>
      </c>
    </row>
    <row r="119" outlineLevel="1" spans="1:17">
      <c r="A119" s="223">
        <v>29</v>
      </c>
      <c r="B119" s="244" t="s">
        <v>979</v>
      </c>
      <c r="C119" s="232" t="s">
        <v>109</v>
      </c>
      <c r="D119" s="233">
        <f t="shared" si="26"/>
        <v>38</v>
      </c>
      <c r="E119" s="233" t="s">
        <v>798</v>
      </c>
      <c r="F119" s="248">
        <f>自有人工预算!E10</f>
        <v>38</v>
      </c>
      <c r="G119" s="248">
        <f>自有人工预算!F10</f>
        <v>38</v>
      </c>
      <c r="H119" s="248">
        <f>自有人工预算!G10</f>
        <v>38</v>
      </c>
      <c r="I119" s="248">
        <f>自有人工预算!H10</f>
        <v>38</v>
      </c>
      <c r="J119" s="248">
        <f>自有人工预算!I10</f>
        <v>38</v>
      </c>
      <c r="K119" s="248">
        <f>自有人工预算!J10</f>
        <v>38</v>
      </c>
      <c r="L119" s="248">
        <f>自有人工预算!K10</f>
        <v>38</v>
      </c>
      <c r="M119" s="248">
        <f>自有人工预算!L10</f>
        <v>38</v>
      </c>
      <c r="N119" s="248">
        <f>自有人工预算!M10</f>
        <v>38</v>
      </c>
      <c r="O119" s="248">
        <f>自有人工预算!N10</f>
        <v>38</v>
      </c>
      <c r="P119" s="248">
        <f>自有人工预算!O10</f>
        <v>38</v>
      </c>
      <c r="Q119" s="248">
        <f>自有人工预算!P10</f>
        <v>38</v>
      </c>
    </row>
    <row r="120" outlineLevel="1" spans="1:17">
      <c r="A120" s="223">
        <v>29</v>
      </c>
      <c r="B120" s="244" t="s">
        <v>979</v>
      </c>
      <c r="C120" s="235" t="s">
        <v>68</v>
      </c>
      <c r="D120" s="236">
        <f t="shared" si="26"/>
        <v>0</v>
      </c>
      <c r="E120" s="236" t="s">
        <v>798</v>
      </c>
      <c r="F120" s="248"/>
      <c r="G120" s="248"/>
      <c r="H120" s="248"/>
      <c r="I120" s="248"/>
      <c r="J120" s="248"/>
      <c r="K120" s="248"/>
      <c r="L120" s="248"/>
      <c r="M120" s="248"/>
      <c r="N120" s="248"/>
      <c r="O120" s="248"/>
      <c r="P120" s="248"/>
      <c r="Q120" s="248"/>
    </row>
    <row r="121" outlineLevel="1" spans="1:17">
      <c r="A121" s="223">
        <v>29</v>
      </c>
      <c r="B121" s="244" t="s">
        <v>979</v>
      </c>
      <c r="C121" s="238" t="s">
        <v>19</v>
      </c>
      <c r="D121" s="239">
        <f t="shared" si="26"/>
        <v>0</v>
      </c>
      <c r="E121" s="239" t="s">
        <v>798</v>
      </c>
      <c r="F121" s="248"/>
      <c r="G121" s="248"/>
      <c r="H121" s="248"/>
      <c r="I121" s="248"/>
      <c r="J121" s="248"/>
      <c r="K121" s="248"/>
      <c r="L121" s="248"/>
      <c r="M121" s="248"/>
      <c r="N121" s="248"/>
      <c r="O121" s="248"/>
      <c r="P121" s="248"/>
      <c r="Q121" s="248"/>
    </row>
    <row r="122" outlineLevel="1" spans="1:17">
      <c r="A122" s="223">
        <v>30</v>
      </c>
      <c r="B122" s="244" t="s">
        <v>982</v>
      </c>
      <c r="C122" s="245" t="s">
        <v>738</v>
      </c>
      <c r="D122" s="246">
        <f t="shared" si="26"/>
        <v>0</v>
      </c>
      <c r="E122" s="246" t="s">
        <v>798</v>
      </c>
      <c r="F122" s="247">
        <f t="shared" ref="F122:Q122" si="47">F123+F124+F125</f>
        <v>0</v>
      </c>
      <c r="G122" s="247">
        <f t="shared" si="47"/>
        <v>0</v>
      </c>
      <c r="H122" s="247">
        <f t="shared" si="47"/>
        <v>0</v>
      </c>
      <c r="I122" s="247">
        <f t="shared" si="47"/>
        <v>0</v>
      </c>
      <c r="J122" s="247">
        <f t="shared" si="47"/>
        <v>0</v>
      </c>
      <c r="K122" s="247">
        <f t="shared" si="47"/>
        <v>0</v>
      </c>
      <c r="L122" s="247">
        <f t="shared" si="47"/>
        <v>0</v>
      </c>
      <c r="M122" s="247">
        <f t="shared" si="47"/>
        <v>0</v>
      </c>
      <c r="N122" s="247">
        <f t="shared" si="47"/>
        <v>0</v>
      </c>
      <c r="O122" s="247">
        <f t="shared" si="47"/>
        <v>0</v>
      </c>
      <c r="P122" s="247">
        <f t="shared" si="47"/>
        <v>0</v>
      </c>
      <c r="Q122" s="247">
        <f t="shared" si="47"/>
        <v>0</v>
      </c>
    </row>
    <row r="123" outlineLevel="1" spans="1:17">
      <c r="A123" s="223">
        <v>30</v>
      </c>
      <c r="B123" s="244" t="s">
        <v>982</v>
      </c>
      <c r="C123" s="232" t="s">
        <v>109</v>
      </c>
      <c r="D123" s="233">
        <f t="shared" si="26"/>
        <v>0</v>
      </c>
      <c r="E123" s="233" t="s">
        <v>798</v>
      </c>
      <c r="F123" s="248"/>
      <c r="G123" s="248"/>
      <c r="H123" s="248"/>
      <c r="I123" s="248"/>
      <c r="J123" s="248"/>
      <c r="K123" s="248"/>
      <c r="L123" s="248"/>
      <c r="M123" s="248"/>
      <c r="N123" s="248"/>
      <c r="O123" s="248"/>
      <c r="P123" s="248"/>
      <c r="Q123" s="248"/>
    </row>
    <row r="124" outlineLevel="1" spans="1:17">
      <c r="A124" s="223">
        <v>30</v>
      </c>
      <c r="B124" s="244" t="s">
        <v>982</v>
      </c>
      <c r="C124" s="235" t="s">
        <v>68</v>
      </c>
      <c r="D124" s="236">
        <f t="shared" si="26"/>
        <v>0</v>
      </c>
      <c r="E124" s="236" t="s">
        <v>798</v>
      </c>
      <c r="F124" s="248"/>
      <c r="G124" s="248"/>
      <c r="H124" s="248"/>
      <c r="I124" s="248"/>
      <c r="J124" s="248"/>
      <c r="K124" s="248"/>
      <c r="L124" s="248"/>
      <c r="M124" s="248"/>
      <c r="N124" s="248"/>
      <c r="O124" s="248"/>
      <c r="P124" s="248"/>
      <c r="Q124" s="248"/>
    </row>
    <row r="125" outlineLevel="1" spans="1:17">
      <c r="A125" s="223">
        <v>30</v>
      </c>
      <c r="B125" s="244" t="s">
        <v>982</v>
      </c>
      <c r="C125" s="238" t="s">
        <v>19</v>
      </c>
      <c r="D125" s="239">
        <f t="shared" si="26"/>
        <v>0</v>
      </c>
      <c r="E125" s="239" t="s">
        <v>798</v>
      </c>
      <c r="F125" s="248"/>
      <c r="G125" s="248"/>
      <c r="H125" s="248"/>
      <c r="I125" s="248"/>
      <c r="J125" s="248"/>
      <c r="K125" s="248"/>
      <c r="L125" s="248"/>
      <c r="M125" s="248"/>
      <c r="N125" s="248"/>
      <c r="O125" s="248"/>
      <c r="P125" s="248"/>
      <c r="Q125" s="248"/>
    </row>
    <row r="126" outlineLevel="1" spans="1:17">
      <c r="A126" s="223">
        <v>31</v>
      </c>
      <c r="B126" s="244" t="s">
        <v>985</v>
      </c>
      <c r="C126" s="245" t="s">
        <v>738</v>
      </c>
      <c r="D126" s="246">
        <f t="shared" si="26"/>
        <v>0</v>
      </c>
      <c r="E126" s="246" t="s">
        <v>798</v>
      </c>
      <c r="F126" s="247">
        <f t="shared" ref="F126:Q126" si="48">F127+F128+F129</f>
        <v>0</v>
      </c>
      <c r="G126" s="247">
        <f t="shared" si="48"/>
        <v>0</v>
      </c>
      <c r="H126" s="247">
        <f t="shared" si="48"/>
        <v>0</v>
      </c>
      <c r="I126" s="247">
        <f t="shared" si="48"/>
        <v>0</v>
      </c>
      <c r="J126" s="247">
        <f t="shared" si="48"/>
        <v>0</v>
      </c>
      <c r="K126" s="247">
        <f t="shared" si="48"/>
        <v>0</v>
      </c>
      <c r="L126" s="247">
        <f t="shared" si="48"/>
        <v>0</v>
      </c>
      <c r="M126" s="247">
        <f t="shared" si="48"/>
        <v>0</v>
      </c>
      <c r="N126" s="247">
        <f t="shared" si="48"/>
        <v>0</v>
      </c>
      <c r="O126" s="247">
        <f t="shared" si="48"/>
        <v>0</v>
      </c>
      <c r="P126" s="247">
        <f t="shared" si="48"/>
        <v>0</v>
      </c>
      <c r="Q126" s="247">
        <f t="shared" si="48"/>
        <v>0</v>
      </c>
    </row>
    <row r="127" outlineLevel="1" spans="1:17">
      <c r="A127" s="223">
        <v>31</v>
      </c>
      <c r="B127" s="244" t="s">
        <v>985</v>
      </c>
      <c r="C127" s="232" t="s">
        <v>109</v>
      </c>
      <c r="D127" s="233">
        <f t="shared" si="26"/>
        <v>0</v>
      </c>
      <c r="E127" s="233" t="s">
        <v>798</v>
      </c>
      <c r="F127" s="248"/>
      <c r="G127" s="248"/>
      <c r="H127" s="248"/>
      <c r="I127" s="248"/>
      <c r="J127" s="248"/>
      <c r="K127" s="248"/>
      <c r="L127" s="248"/>
      <c r="M127" s="248"/>
      <c r="N127" s="248"/>
      <c r="O127" s="248"/>
      <c r="P127" s="248"/>
      <c r="Q127" s="248"/>
    </row>
    <row r="128" outlineLevel="1" spans="1:17">
      <c r="A128" s="223">
        <v>31</v>
      </c>
      <c r="B128" s="244" t="s">
        <v>985</v>
      </c>
      <c r="C128" s="235" t="s">
        <v>68</v>
      </c>
      <c r="D128" s="236">
        <f t="shared" si="26"/>
        <v>0</v>
      </c>
      <c r="E128" s="236" t="s">
        <v>798</v>
      </c>
      <c r="F128" s="248"/>
      <c r="G128" s="248"/>
      <c r="H128" s="248"/>
      <c r="I128" s="248"/>
      <c r="J128" s="248"/>
      <c r="K128" s="248"/>
      <c r="L128" s="248"/>
      <c r="M128" s="248"/>
      <c r="N128" s="248"/>
      <c r="O128" s="248"/>
      <c r="P128" s="248"/>
      <c r="Q128" s="248"/>
    </row>
    <row r="129" outlineLevel="1" spans="1:17">
      <c r="A129" s="223">
        <v>31</v>
      </c>
      <c r="B129" s="244" t="s">
        <v>985</v>
      </c>
      <c r="C129" s="238" t="s">
        <v>19</v>
      </c>
      <c r="D129" s="239">
        <f t="shared" si="26"/>
        <v>0</v>
      </c>
      <c r="E129" s="239" t="s">
        <v>798</v>
      </c>
      <c r="F129" s="248"/>
      <c r="G129" s="248"/>
      <c r="H129" s="248"/>
      <c r="I129" s="248"/>
      <c r="J129" s="248"/>
      <c r="K129" s="248"/>
      <c r="L129" s="248"/>
      <c r="M129" s="248"/>
      <c r="N129" s="248"/>
      <c r="O129" s="248"/>
      <c r="P129" s="248"/>
      <c r="Q129" s="248"/>
    </row>
    <row r="130" outlineLevel="1" spans="1:17">
      <c r="A130" s="223">
        <v>32</v>
      </c>
      <c r="B130" s="244" t="s">
        <v>988</v>
      </c>
      <c r="C130" s="245" t="s">
        <v>738</v>
      </c>
      <c r="D130" s="246">
        <f t="shared" ref="D130:D193" si="49">IFERROR(SUM(F130:Q130)/COUNTIF(F130:Q130,"&lt;&gt;0"),0)</f>
        <v>0</v>
      </c>
      <c r="E130" s="246" t="s">
        <v>798</v>
      </c>
      <c r="F130" s="247">
        <f t="shared" ref="F130:Q130" si="50">F131+F132+F133</f>
        <v>0</v>
      </c>
      <c r="G130" s="247">
        <f t="shared" si="50"/>
        <v>0</v>
      </c>
      <c r="H130" s="247">
        <f t="shared" si="50"/>
        <v>0</v>
      </c>
      <c r="I130" s="247">
        <f t="shared" si="50"/>
        <v>0</v>
      </c>
      <c r="J130" s="247">
        <f t="shared" si="50"/>
        <v>0</v>
      </c>
      <c r="K130" s="247">
        <f t="shared" si="50"/>
        <v>0</v>
      </c>
      <c r="L130" s="247">
        <f t="shared" si="50"/>
        <v>0</v>
      </c>
      <c r="M130" s="247">
        <f t="shared" si="50"/>
        <v>0</v>
      </c>
      <c r="N130" s="247">
        <f t="shared" si="50"/>
        <v>0</v>
      </c>
      <c r="O130" s="247">
        <f t="shared" si="50"/>
        <v>0</v>
      </c>
      <c r="P130" s="247">
        <f t="shared" si="50"/>
        <v>0</v>
      </c>
      <c r="Q130" s="247">
        <f t="shared" si="50"/>
        <v>0</v>
      </c>
    </row>
    <row r="131" outlineLevel="1" spans="1:17">
      <c r="A131" s="223">
        <v>32</v>
      </c>
      <c r="B131" s="244" t="s">
        <v>988</v>
      </c>
      <c r="C131" s="232" t="s">
        <v>109</v>
      </c>
      <c r="D131" s="233">
        <f t="shared" si="49"/>
        <v>0</v>
      </c>
      <c r="E131" s="233" t="s">
        <v>798</v>
      </c>
      <c r="F131" s="248"/>
      <c r="G131" s="248"/>
      <c r="H131" s="248"/>
      <c r="I131" s="248"/>
      <c r="J131" s="248"/>
      <c r="K131" s="248"/>
      <c r="L131" s="248"/>
      <c r="M131" s="248"/>
      <c r="N131" s="248"/>
      <c r="O131" s="248"/>
      <c r="P131" s="248"/>
      <c r="Q131" s="248"/>
    </row>
    <row r="132" outlineLevel="1" spans="1:17">
      <c r="A132" s="223">
        <v>32</v>
      </c>
      <c r="B132" s="244" t="s">
        <v>988</v>
      </c>
      <c r="C132" s="235" t="s">
        <v>68</v>
      </c>
      <c r="D132" s="236">
        <f t="shared" si="49"/>
        <v>0</v>
      </c>
      <c r="E132" s="236" t="s">
        <v>798</v>
      </c>
      <c r="F132" s="248"/>
      <c r="G132" s="248"/>
      <c r="H132" s="248"/>
      <c r="I132" s="248"/>
      <c r="J132" s="248"/>
      <c r="K132" s="248"/>
      <c r="L132" s="248"/>
      <c r="M132" s="248"/>
      <c r="N132" s="248"/>
      <c r="O132" s="248"/>
      <c r="P132" s="248"/>
      <c r="Q132" s="248"/>
    </row>
    <row r="133" outlineLevel="1" spans="1:17">
      <c r="A133" s="223">
        <v>32</v>
      </c>
      <c r="B133" s="244" t="s">
        <v>988</v>
      </c>
      <c r="C133" s="238" t="s">
        <v>19</v>
      </c>
      <c r="D133" s="239">
        <f t="shared" si="49"/>
        <v>0</v>
      </c>
      <c r="E133" s="239" t="s">
        <v>798</v>
      </c>
      <c r="F133" s="248"/>
      <c r="G133" s="248"/>
      <c r="H133" s="248"/>
      <c r="I133" s="248"/>
      <c r="J133" s="248"/>
      <c r="K133" s="248"/>
      <c r="L133" s="248"/>
      <c r="M133" s="248"/>
      <c r="N133" s="248"/>
      <c r="O133" s="248"/>
      <c r="P133" s="248"/>
      <c r="Q133" s="248"/>
    </row>
    <row r="134" outlineLevel="1" spans="1:17">
      <c r="A134" s="223">
        <v>33</v>
      </c>
      <c r="B134" s="244" t="s">
        <v>991</v>
      </c>
      <c r="C134" s="245" t="s">
        <v>738</v>
      </c>
      <c r="D134" s="246">
        <f t="shared" si="49"/>
        <v>0</v>
      </c>
      <c r="E134" s="246" t="s">
        <v>798</v>
      </c>
      <c r="F134" s="247">
        <f t="shared" ref="F134:Q134" si="51">F135+F136+F137</f>
        <v>0</v>
      </c>
      <c r="G134" s="247">
        <f t="shared" si="51"/>
        <v>0</v>
      </c>
      <c r="H134" s="247">
        <f t="shared" si="51"/>
        <v>0</v>
      </c>
      <c r="I134" s="247">
        <f t="shared" si="51"/>
        <v>0</v>
      </c>
      <c r="J134" s="247">
        <f t="shared" si="51"/>
        <v>0</v>
      </c>
      <c r="K134" s="247">
        <f t="shared" si="51"/>
        <v>0</v>
      </c>
      <c r="L134" s="247">
        <f t="shared" si="51"/>
        <v>0</v>
      </c>
      <c r="M134" s="247">
        <f t="shared" si="51"/>
        <v>0</v>
      </c>
      <c r="N134" s="247">
        <f t="shared" si="51"/>
        <v>0</v>
      </c>
      <c r="O134" s="247">
        <f t="shared" si="51"/>
        <v>0</v>
      </c>
      <c r="P134" s="247">
        <f t="shared" si="51"/>
        <v>0</v>
      </c>
      <c r="Q134" s="247">
        <f t="shared" si="51"/>
        <v>0</v>
      </c>
    </row>
    <row r="135" outlineLevel="1" spans="1:17">
      <c r="A135" s="223">
        <v>33</v>
      </c>
      <c r="B135" s="244" t="s">
        <v>991</v>
      </c>
      <c r="C135" s="232" t="s">
        <v>109</v>
      </c>
      <c r="D135" s="233">
        <f t="shared" si="49"/>
        <v>0</v>
      </c>
      <c r="E135" s="233" t="s">
        <v>798</v>
      </c>
      <c r="F135" s="248"/>
      <c r="G135" s="248"/>
      <c r="H135" s="248"/>
      <c r="I135" s="248"/>
      <c r="J135" s="248"/>
      <c r="K135" s="248"/>
      <c r="L135" s="248"/>
      <c r="M135" s="248"/>
      <c r="N135" s="248"/>
      <c r="O135" s="248"/>
      <c r="P135" s="248"/>
      <c r="Q135" s="248"/>
    </row>
    <row r="136" outlineLevel="1" spans="1:17">
      <c r="A136" s="223">
        <v>33</v>
      </c>
      <c r="B136" s="244" t="s">
        <v>991</v>
      </c>
      <c r="C136" s="235" t="s">
        <v>68</v>
      </c>
      <c r="D136" s="236">
        <f t="shared" si="49"/>
        <v>0</v>
      </c>
      <c r="E136" s="236" t="s">
        <v>798</v>
      </c>
      <c r="F136" s="248"/>
      <c r="G136" s="248"/>
      <c r="H136" s="248"/>
      <c r="I136" s="248"/>
      <c r="J136" s="248"/>
      <c r="K136" s="248"/>
      <c r="L136" s="248"/>
      <c r="M136" s="248"/>
      <c r="N136" s="248"/>
      <c r="O136" s="248"/>
      <c r="P136" s="248"/>
      <c r="Q136" s="248"/>
    </row>
    <row r="137" outlineLevel="1" spans="1:17">
      <c r="A137" s="223">
        <v>33</v>
      </c>
      <c r="B137" s="244" t="s">
        <v>991</v>
      </c>
      <c r="C137" s="238" t="s">
        <v>19</v>
      </c>
      <c r="D137" s="239">
        <f t="shared" si="49"/>
        <v>0</v>
      </c>
      <c r="E137" s="239" t="s">
        <v>798</v>
      </c>
      <c r="F137" s="248"/>
      <c r="G137" s="248"/>
      <c r="H137" s="248"/>
      <c r="I137" s="248"/>
      <c r="J137" s="248"/>
      <c r="K137" s="248"/>
      <c r="L137" s="248"/>
      <c r="M137" s="248"/>
      <c r="N137" s="248"/>
      <c r="O137" s="248"/>
      <c r="P137" s="248"/>
      <c r="Q137" s="248"/>
    </row>
    <row r="138" outlineLevel="1" spans="1:17">
      <c r="A138" s="223">
        <v>34</v>
      </c>
      <c r="B138" s="244" t="s">
        <v>993</v>
      </c>
      <c r="C138" s="245" t="s">
        <v>738</v>
      </c>
      <c r="D138" s="246">
        <f t="shared" si="49"/>
        <v>0</v>
      </c>
      <c r="E138" s="246" t="s">
        <v>798</v>
      </c>
      <c r="F138" s="247">
        <f t="shared" ref="F138:Q138" si="52">F139+F140+F141</f>
        <v>0</v>
      </c>
      <c r="G138" s="247">
        <f t="shared" si="52"/>
        <v>0</v>
      </c>
      <c r="H138" s="247">
        <f t="shared" si="52"/>
        <v>0</v>
      </c>
      <c r="I138" s="247">
        <f t="shared" si="52"/>
        <v>0</v>
      </c>
      <c r="J138" s="247">
        <f t="shared" si="52"/>
        <v>0</v>
      </c>
      <c r="K138" s="247">
        <f t="shared" si="52"/>
        <v>0</v>
      </c>
      <c r="L138" s="247">
        <f t="shared" si="52"/>
        <v>0</v>
      </c>
      <c r="M138" s="247">
        <f t="shared" si="52"/>
        <v>0</v>
      </c>
      <c r="N138" s="247">
        <f t="shared" si="52"/>
        <v>0</v>
      </c>
      <c r="O138" s="247">
        <f t="shared" si="52"/>
        <v>0</v>
      </c>
      <c r="P138" s="247">
        <f t="shared" si="52"/>
        <v>0</v>
      </c>
      <c r="Q138" s="247">
        <f t="shared" si="52"/>
        <v>0</v>
      </c>
    </row>
    <row r="139" outlineLevel="1" spans="1:17">
      <c r="A139" s="223">
        <v>34</v>
      </c>
      <c r="B139" s="244" t="s">
        <v>993</v>
      </c>
      <c r="C139" s="232" t="s">
        <v>109</v>
      </c>
      <c r="D139" s="233">
        <f t="shared" si="49"/>
        <v>0</v>
      </c>
      <c r="E139" s="233" t="s">
        <v>798</v>
      </c>
      <c r="F139" s="248"/>
      <c r="G139" s="248"/>
      <c r="H139" s="248"/>
      <c r="I139" s="248"/>
      <c r="J139" s="248"/>
      <c r="K139" s="248"/>
      <c r="L139" s="248"/>
      <c r="M139" s="248"/>
      <c r="N139" s="248"/>
      <c r="O139" s="248"/>
      <c r="P139" s="248"/>
      <c r="Q139" s="248"/>
    </row>
    <row r="140" outlineLevel="1" spans="1:17">
      <c r="A140" s="223">
        <v>34</v>
      </c>
      <c r="B140" s="244" t="s">
        <v>993</v>
      </c>
      <c r="C140" s="235" t="s">
        <v>68</v>
      </c>
      <c r="D140" s="236">
        <f t="shared" si="49"/>
        <v>0</v>
      </c>
      <c r="E140" s="236" t="s">
        <v>798</v>
      </c>
      <c r="F140" s="248"/>
      <c r="G140" s="248"/>
      <c r="H140" s="248"/>
      <c r="I140" s="248"/>
      <c r="J140" s="248"/>
      <c r="K140" s="248"/>
      <c r="L140" s="248"/>
      <c r="M140" s="248"/>
      <c r="N140" s="248"/>
      <c r="O140" s="248"/>
      <c r="P140" s="248"/>
      <c r="Q140" s="248"/>
    </row>
    <row r="141" outlineLevel="1" spans="1:17">
      <c r="A141" s="223">
        <v>34</v>
      </c>
      <c r="B141" s="244" t="s">
        <v>993</v>
      </c>
      <c r="C141" s="238" t="s">
        <v>19</v>
      </c>
      <c r="D141" s="239">
        <f t="shared" si="49"/>
        <v>0</v>
      </c>
      <c r="E141" s="239" t="s">
        <v>798</v>
      </c>
      <c r="F141" s="248"/>
      <c r="G141" s="248"/>
      <c r="H141" s="248"/>
      <c r="I141" s="248"/>
      <c r="J141" s="248"/>
      <c r="K141" s="248"/>
      <c r="L141" s="248"/>
      <c r="M141" s="248"/>
      <c r="N141" s="248"/>
      <c r="O141" s="248"/>
      <c r="P141" s="248"/>
      <c r="Q141" s="248"/>
    </row>
    <row r="142" outlineLevel="1" spans="1:17">
      <c r="A142" s="223">
        <v>35</v>
      </c>
      <c r="B142" s="244" t="s">
        <v>995</v>
      </c>
      <c r="C142" s="245" t="s">
        <v>738</v>
      </c>
      <c r="D142" s="246">
        <f t="shared" si="49"/>
        <v>0</v>
      </c>
      <c r="E142" s="246" t="s">
        <v>798</v>
      </c>
      <c r="F142" s="247">
        <f t="shared" ref="F142:Q142" si="53">F143+F144+F145</f>
        <v>0</v>
      </c>
      <c r="G142" s="247">
        <f t="shared" si="53"/>
        <v>0</v>
      </c>
      <c r="H142" s="247">
        <f t="shared" si="53"/>
        <v>0</v>
      </c>
      <c r="I142" s="247">
        <f t="shared" si="53"/>
        <v>0</v>
      </c>
      <c r="J142" s="247">
        <f t="shared" si="53"/>
        <v>0</v>
      </c>
      <c r="K142" s="247">
        <f t="shared" si="53"/>
        <v>0</v>
      </c>
      <c r="L142" s="247">
        <f t="shared" si="53"/>
        <v>0</v>
      </c>
      <c r="M142" s="247">
        <f t="shared" si="53"/>
        <v>0</v>
      </c>
      <c r="N142" s="247">
        <f t="shared" si="53"/>
        <v>0</v>
      </c>
      <c r="O142" s="247">
        <f t="shared" si="53"/>
        <v>0</v>
      </c>
      <c r="P142" s="247">
        <f t="shared" si="53"/>
        <v>0</v>
      </c>
      <c r="Q142" s="247">
        <f t="shared" si="53"/>
        <v>0</v>
      </c>
    </row>
    <row r="143" outlineLevel="1" spans="1:17">
      <c r="A143" s="223">
        <v>35</v>
      </c>
      <c r="B143" s="244" t="s">
        <v>995</v>
      </c>
      <c r="C143" s="232" t="s">
        <v>109</v>
      </c>
      <c r="D143" s="233">
        <f t="shared" si="49"/>
        <v>0</v>
      </c>
      <c r="E143" s="233" t="s">
        <v>798</v>
      </c>
      <c r="F143" s="248"/>
      <c r="G143" s="248"/>
      <c r="H143" s="248"/>
      <c r="I143" s="248"/>
      <c r="J143" s="248"/>
      <c r="K143" s="248"/>
      <c r="L143" s="248"/>
      <c r="M143" s="248"/>
      <c r="N143" s="248"/>
      <c r="O143" s="248"/>
      <c r="P143" s="248"/>
      <c r="Q143" s="248"/>
    </row>
    <row r="144" outlineLevel="1" spans="1:17">
      <c r="A144" s="223">
        <v>35</v>
      </c>
      <c r="B144" s="244" t="s">
        <v>995</v>
      </c>
      <c r="C144" s="235" t="s">
        <v>68</v>
      </c>
      <c r="D144" s="236">
        <f t="shared" si="49"/>
        <v>0</v>
      </c>
      <c r="E144" s="236" t="s">
        <v>798</v>
      </c>
      <c r="F144" s="248"/>
      <c r="G144" s="248"/>
      <c r="H144" s="248"/>
      <c r="I144" s="248"/>
      <c r="J144" s="248"/>
      <c r="K144" s="248"/>
      <c r="L144" s="248"/>
      <c r="M144" s="248"/>
      <c r="N144" s="248"/>
      <c r="O144" s="248"/>
      <c r="P144" s="248"/>
      <c r="Q144" s="248"/>
    </row>
    <row r="145" outlineLevel="1" spans="1:17">
      <c r="A145" s="223">
        <v>35</v>
      </c>
      <c r="B145" s="244" t="s">
        <v>995</v>
      </c>
      <c r="C145" s="238" t="s">
        <v>19</v>
      </c>
      <c r="D145" s="239">
        <f t="shared" si="49"/>
        <v>0</v>
      </c>
      <c r="E145" s="239" t="s">
        <v>798</v>
      </c>
      <c r="F145" s="248"/>
      <c r="G145" s="248"/>
      <c r="H145" s="248"/>
      <c r="I145" s="248"/>
      <c r="J145" s="248"/>
      <c r="K145" s="248"/>
      <c r="L145" s="248"/>
      <c r="M145" s="248"/>
      <c r="N145" s="248"/>
      <c r="O145" s="248"/>
      <c r="P145" s="248"/>
      <c r="Q145" s="248"/>
    </row>
    <row r="146" outlineLevel="1" spans="1:17">
      <c r="A146" s="223">
        <v>36</v>
      </c>
      <c r="B146" s="244" t="s">
        <v>997</v>
      </c>
      <c r="C146" s="245" t="s">
        <v>738</v>
      </c>
      <c r="D146" s="246">
        <f t="shared" si="49"/>
        <v>0</v>
      </c>
      <c r="E146" s="246" t="s">
        <v>798</v>
      </c>
      <c r="F146" s="247">
        <f t="shared" ref="F146:Q146" si="54">F147+F148+F149</f>
        <v>0</v>
      </c>
      <c r="G146" s="247">
        <f t="shared" si="54"/>
        <v>0</v>
      </c>
      <c r="H146" s="247">
        <f t="shared" si="54"/>
        <v>0</v>
      </c>
      <c r="I146" s="247">
        <f t="shared" si="54"/>
        <v>0</v>
      </c>
      <c r="J146" s="247">
        <f t="shared" si="54"/>
        <v>0</v>
      </c>
      <c r="K146" s="247">
        <f t="shared" si="54"/>
        <v>0</v>
      </c>
      <c r="L146" s="247">
        <f t="shared" si="54"/>
        <v>0</v>
      </c>
      <c r="M146" s="247">
        <f t="shared" si="54"/>
        <v>0</v>
      </c>
      <c r="N146" s="247">
        <f t="shared" si="54"/>
        <v>0</v>
      </c>
      <c r="O146" s="247">
        <f t="shared" si="54"/>
        <v>0</v>
      </c>
      <c r="P146" s="247">
        <f t="shared" si="54"/>
        <v>0</v>
      </c>
      <c r="Q146" s="247">
        <f t="shared" si="54"/>
        <v>0</v>
      </c>
    </row>
    <row r="147" outlineLevel="1" spans="1:17">
      <c r="A147" s="223">
        <v>36</v>
      </c>
      <c r="B147" s="244" t="s">
        <v>997</v>
      </c>
      <c r="C147" s="232" t="s">
        <v>109</v>
      </c>
      <c r="D147" s="233">
        <f t="shared" si="49"/>
        <v>0</v>
      </c>
      <c r="E147" s="233" t="s">
        <v>798</v>
      </c>
      <c r="F147" s="248"/>
      <c r="G147" s="248"/>
      <c r="H147" s="248"/>
      <c r="I147" s="248"/>
      <c r="J147" s="248"/>
      <c r="K147" s="248"/>
      <c r="L147" s="248"/>
      <c r="M147" s="248"/>
      <c r="N147" s="248"/>
      <c r="O147" s="248"/>
      <c r="P147" s="248"/>
      <c r="Q147" s="248"/>
    </row>
    <row r="148" outlineLevel="1" spans="1:17">
      <c r="A148" s="223">
        <v>36</v>
      </c>
      <c r="B148" s="244" t="s">
        <v>997</v>
      </c>
      <c r="C148" s="235" t="s">
        <v>68</v>
      </c>
      <c r="D148" s="236">
        <f t="shared" si="49"/>
        <v>0</v>
      </c>
      <c r="E148" s="236" t="s">
        <v>798</v>
      </c>
      <c r="F148" s="248"/>
      <c r="G148" s="248"/>
      <c r="H148" s="248"/>
      <c r="I148" s="248"/>
      <c r="J148" s="248"/>
      <c r="K148" s="248"/>
      <c r="L148" s="248"/>
      <c r="M148" s="248"/>
      <c r="N148" s="248"/>
      <c r="O148" s="248"/>
      <c r="P148" s="248"/>
      <c r="Q148" s="248"/>
    </row>
    <row r="149" outlineLevel="1" spans="1:17">
      <c r="A149" s="223">
        <v>36</v>
      </c>
      <c r="B149" s="244" t="s">
        <v>997</v>
      </c>
      <c r="C149" s="238" t="s">
        <v>19</v>
      </c>
      <c r="D149" s="239">
        <f t="shared" si="49"/>
        <v>0</v>
      </c>
      <c r="E149" s="239" t="s">
        <v>798</v>
      </c>
      <c r="F149" s="248"/>
      <c r="G149" s="248"/>
      <c r="H149" s="248"/>
      <c r="I149" s="248"/>
      <c r="J149" s="248"/>
      <c r="K149" s="248"/>
      <c r="L149" s="248"/>
      <c r="M149" s="248"/>
      <c r="N149" s="248"/>
      <c r="O149" s="248"/>
      <c r="P149" s="248"/>
      <c r="Q149" s="248"/>
    </row>
    <row r="150" outlineLevel="1" spans="1:17">
      <c r="A150" s="223">
        <v>37</v>
      </c>
      <c r="B150" s="244" t="s">
        <v>1000</v>
      </c>
      <c r="C150" s="245" t="s">
        <v>738</v>
      </c>
      <c r="D150" s="246">
        <f t="shared" si="49"/>
        <v>0</v>
      </c>
      <c r="E150" s="246" t="s">
        <v>798</v>
      </c>
      <c r="F150" s="247">
        <f t="shared" ref="F150:Q150" si="55">F151+F152+F153</f>
        <v>0</v>
      </c>
      <c r="G150" s="247">
        <f t="shared" si="55"/>
        <v>0</v>
      </c>
      <c r="H150" s="247">
        <f t="shared" si="55"/>
        <v>0</v>
      </c>
      <c r="I150" s="247">
        <f t="shared" si="55"/>
        <v>0</v>
      </c>
      <c r="J150" s="247">
        <f t="shared" si="55"/>
        <v>0</v>
      </c>
      <c r="K150" s="247">
        <f t="shared" si="55"/>
        <v>0</v>
      </c>
      <c r="L150" s="247">
        <f t="shared" si="55"/>
        <v>0</v>
      </c>
      <c r="M150" s="247">
        <f t="shared" si="55"/>
        <v>0</v>
      </c>
      <c r="N150" s="247">
        <f t="shared" si="55"/>
        <v>0</v>
      </c>
      <c r="O150" s="247">
        <f t="shared" si="55"/>
        <v>0</v>
      </c>
      <c r="P150" s="247">
        <f t="shared" si="55"/>
        <v>0</v>
      </c>
      <c r="Q150" s="247">
        <f t="shared" si="55"/>
        <v>0</v>
      </c>
    </row>
    <row r="151" outlineLevel="1" spans="1:17">
      <c r="A151" s="223">
        <v>37</v>
      </c>
      <c r="B151" s="244" t="s">
        <v>1000</v>
      </c>
      <c r="C151" s="232" t="s">
        <v>109</v>
      </c>
      <c r="D151" s="233">
        <f t="shared" si="49"/>
        <v>0</v>
      </c>
      <c r="E151" s="233" t="s">
        <v>798</v>
      </c>
      <c r="F151" s="248"/>
      <c r="G151" s="248"/>
      <c r="H151" s="248"/>
      <c r="I151" s="248"/>
      <c r="J151" s="248"/>
      <c r="K151" s="248"/>
      <c r="L151" s="248"/>
      <c r="M151" s="248"/>
      <c r="N151" s="248"/>
      <c r="O151" s="248"/>
      <c r="P151" s="248"/>
      <c r="Q151" s="248"/>
    </row>
    <row r="152" outlineLevel="1" spans="1:17">
      <c r="A152" s="223">
        <v>37</v>
      </c>
      <c r="B152" s="244" t="s">
        <v>1000</v>
      </c>
      <c r="C152" s="235" t="s">
        <v>68</v>
      </c>
      <c r="D152" s="236">
        <f t="shared" si="49"/>
        <v>0</v>
      </c>
      <c r="E152" s="236" t="s">
        <v>798</v>
      </c>
      <c r="F152" s="248"/>
      <c r="G152" s="248"/>
      <c r="H152" s="248"/>
      <c r="I152" s="248"/>
      <c r="J152" s="248"/>
      <c r="K152" s="248"/>
      <c r="L152" s="248"/>
      <c r="M152" s="248"/>
      <c r="N152" s="248"/>
      <c r="O152" s="248"/>
      <c r="P152" s="248"/>
      <c r="Q152" s="248"/>
    </row>
    <row r="153" outlineLevel="1" spans="1:17">
      <c r="A153" s="223">
        <v>37</v>
      </c>
      <c r="B153" s="244" t="s">
        <v>1000</v>
      </c>
      <c r="C153" s="238" t="s">
        <v>19</v>
      </c>
      <c r="D153" s="239">
        <f t="shared" si="49"/>
        <v>0</v>
      </c>
      <c r="E153" s="239" t="s">
        <v>798</v>
      </c>
      <c r="F153" s="248"/>
      <c r="G153" s="248"/>
      <c r="H153" s="248"/>
      <c r="I153" s="248"/>
      <c r="J153" s="248"/>
      <c r="K153" s="248"/>
      <c r="L153" s="248"/>
      <c r="M153" s="248"/>
      <c r="N153" s="248"/>
      <c r="O153" s="248"/>
      <c r="P153" s="248"/>
      <c r="Q153" s="248"/>
    </row>
    <row r="154" spans="1:17">
      <c r="A154" s="223">
        <v>38</v>
      </c>
      <c r="B154" s="241" t="s">
        <v>199</v>
      </c>
      <c r="C154" s="241" t="s">
        <v>738</v>
      </c>
      <c r="D154" s="242">
        <f t="shared" si="49"/>
        <v>24</v>
      </c>
      <c r="E154" s="242" t="s">
        <v>798</v>
      </c>
      <c r="F154" s="243">
        <f t="shared" ref="F154:Q154" si="56">F155+F156+F157</f>
        <v>24</v>
      </c>
      <c r="G154" s="243">
        <f t="shared" si="56"/>
        <v>24</v>
      </c>
      <c r="H154" s="243">
        <f t="shared" si="56"/>
        <v>24</v>
      </c>
      <c r="I154" s="243">
        <f t="shared" si="56"/>
        <v>24</v>
      </c>
      <c r="J154" s="243">
        <f t="shared" si="56"/>
        <v>24</v>
      </c>
      <c r="K154" s="243">
        <f t="shared" si="56"/>
        <v>24</v>
      </c>
      <c r="L154" s="243">
        <f t="shared" si="56"/>
        <v>24</v>
      </c>
      <c r="M154" s="243">
        <f t="shared" si="56"/>
        <v>24</v>
      </c>
      <c r="N154" s="243">
        <f t="shared" si="56"/>
        <v>24</v>
      </c>
      <c r="O154" s="243">
        <f t="shared" si="56"/>
        <v>24</v>
      </c>
      <c r="P154" s="243">
        <f t="shared" si="56"/>
        <v>24</v>
      </c>
      <c r="Q154" s="243">
        <f t="shared" si="56"/>
        <v>24</v>
      </c>
    </row>
    <row r="155" spans="1:17">
      <c r="A155" s="223">
        <v>38</v>
      </c>
      <c r="B155" s="241" t="s">
        <v>199</v>
      </c>
      <c r="C155" s="232" t="s">
        <v>109</v>
      </c>
      <c r="D155" s="233">
        <f t="shared" si="49"/>
        <v>24</v>
      </c>
      <c r="E155" s="233" t="s">
        <v>798</v>
      </c>
      <c r="F155" s="234">
        <f t="shared" ref="F155:Q155" si="57">F159+F163+F167+F171</f>
        <v>24</v>
      </c>
      <c r="G155" s="234">
        <f t="shared" si="57"/>
        <v>24</v>
      </c>
      <c r="H155" s="234">
        <f t="shared" si="57"/>
        <v>24</v>
      </c>
      <c r="I155" s="234">
        <f t="shared" si="57"/>
        <v>24</v>
      </c>
      <c r="J155" s="234">
        <f t="shared" si="57"/>
        <v>24</v>
      </c>
      <c r="K155" s="234">
        <f t="shared" si="57"/>
        <v>24</v>
      </c>
      <c r="L155" s="234">
        <f t="shared" si="57"/>
        <v>24</v>
      </c>
      <c r="M155" s="234">
        <f t="shared" si="57"/>
        <v>24</v>
      </c>
      <c r="N155" s="234">
        <f t="shared" si="57"/>
        <v>24</v>
      </c>
      <c r="O155" s="234">
        <f t="shared" si="57"/>
        <v>24</v>
      </c>
      <c r="P155" s="234">
        <f t="shared" si="57"/>
        <v>24</v>
      </c>
      <c r="Q155" s="234">
        <f t="shared" si="57"/>
        <v>24</v>
      </c>
    </row>
    <row r="156" spans="1:17">
      <c r="A156" s="223">
        <v>38</v>
      </c>
      <c r="B156" s="241" t="s">
        <v>199</v>
      </c>
      <c r="C156" s="235" t="s">
        <v>68</v>
      </c>
      <c r="D156" s="236">
        <f t="shared" si="49"/>
        <v>0</v>
      </c>
      <c r="E156" s="236" t="s">
        <v>798</v>
      </c>
      <c r="F156" s="237">
        <f t="shared" ref="F156:Q156" si="58">F160+F164+F168+F172</f>
        <v>0</v>
      </c>
      <c r="G156" s="237">
        <f t="shared" si="58"/>
        <v>0</v>
      </c>
      <c r="H156" s="237">
        <f t="shared" si="58"/>
        <v>0</v>
      </c>
      <c r="I156" s="237">
        <f t="shared" si="58"/>
        <v>0</v>
      </c>
      <c r="J156" s="237">
        <f t="shared" si="58"/>
        <v>0</v>
      </c>
      <c r="K156" s="237">
        <f t="shared" si="58"/>
        <v>0</v>
      </c>
      <c r="L156" s="237">
        <f t="shared" si="58"/>
        <v>0</v>
      </c>
      <c r="M156" s="237">
        <f t="shared" si="58"/>
        <v>0</v>
      </c>
      <c r="N156" s="237">
        <f t="shared" si="58"/>
        <v>0</v>
      </c>
      <c r="O156" s="237">
        <f t="shared" si="58"/>
        <v>0</v>
      </c>
      <c r="P156" s="237">
        <f t="shared" si="58"/>
        <v>0</v>
      </c>
      <c r="Q156" s="237">
        <f t="shared" si="58"/>
        <v>0</v>
      </c>
    </row>
    <row r="157" spans="1:17">
      <c r="A157" s="223">
        <v>38</v>
      </c>
      <c r="B157" s="241" t="s">
        <v>199</v>
      </c>
      <c r="C157" s="238" t="s">
        <v>19</v>
      </c>
      <c r="D157" s="239">
        <f t="shared" si="49"/>
        <v>0</v>
      </c>
      <c r="E157" s="239" t="s">
        <v>798</v>
      </c>
      <c r="F157" s="240">
        <f t="shared" ref="F157:Q157" si="59">F161+F165+F169+F173</f>
        <v>0</v>
      </c>
      <c r="G157" s="240">
        <f t="shared" si="59"/>
        <v>0</v>
      </c>
      <c r="H157" s="240">
        <f t="shared" si="59"/>
        <v>0</v>
      </c>
      <c r="I157" s="240">
        <f t="shared" si="59"/>
        <v>0</v>
      </c>
      <c r="J157" s="240">
        <f t="shared" si="59"/>
        <v>0</v>
      </c>
      <c r="K157" s="240">
        <f t="shared" si="59"/>
        <v>0</v>
      </c>
      <c r="L157" s="240">
        <f t="shared" si="59"/>
        <v>0</v>
      </c>
      <c r="M157" s="240">
        <f t="shared" si="59"/>
        <v>0</v>
      </c>
      <c r="N157" s="240">
        <f t="shared" si="59"/>
        <v>0</v>
      </c>
      <c r="O157" s="240">
        <f t="shared" si="59"/>
        <v>0</v>
      </c>
      <c r="P157" s="240">
        <f t="shared" si="59"/>
        <v>0</v>
      </c>
      <c r="Q157" s="240">
        <f t="shared" si="59"/>
        <v>0</v>
      </c>
    </row>
    <row r="158" outlineLevel="1" spans="1:17">
      <c r="A158" s="223">
        <v>39</v>
      </c>
      <c r="B158" s="244" t="s">
        <v>1030</v>
      </c>
      <c r="C158" s="245" t="s">
        <v>738</v>
      </c>
      <c r="D158" s="246">
        <f t="shared" si="49"/>
        <v>24</v>
      </c>
      <c r="E158" s="246" t="s">
        <v>798</v>
      </c>
      <c r="F158" s="247">
        <f t="shared" ref="F158:Q158" si="60">F159+F160+F161</f>
        <v>24</v>
      </c>
      <c r="G158" s="247">
        <f t="shared" si="60"/>
        <v>24</v>
      </c>
      <c r="H158" s="247">
        <f t="shared" si="60"/>
        <v>24</v>
      </c>
      <c r="I158" s="247">
        <f t="shared" si="60"/>
        <v>24</v>
      </c>
      <c r="J158" s="247">
        <f t="shared" si="60"/>
        <v>24</v>
      </c>
      <c r="K158" s="247">
        <f t="shared" si="60"/>
        <v>24</v>
      </c>
      <c r="L158" s="247">
        <f t="shared" si="60"/>
        <v>24</v>
      </c>
      <c r="M158" s="247">
        <f t="shared" si="60"/>
        <v>24</v>
      </c>
      <c r="N158" s="247">
        <f t="shared" si="60"/>
        <v>24</v>
      </c>
      <c r="O158" s="247">
        <f t="shared" si="60"/>
        <v>24</v>
      </c>
      <c r="P158" s="247">
        <f t="shared" si="60"/>
        <v>24</v>
      </c>
      <c r="Q158" s="247">
        <f t="shared" si="60"/>
        <v>24</v>
      </c>
    </row>
    <row r="159" outlineLevel="1" spans="1:17">
      <c r="A159" s="223">
        <v>39</v>
      </c>
      <c r="B159" s="244" t="s">
        <v>1030</v>
      </c>
      <c r="C159" s="232" t="s">
        <v>109</v>
      </c>
      <c r="D159" s="233">
        <f t="shared" si="49"/>
        <v>24</v>
      </c>
      <c r="E159" s="233" t="s">
        <v>798</v>
      </c>
      <c r="F159" s="248">
        <f>自有人工预算!E9</f>
        <v>24</v>
      </c>
      <c r="G159" s="248">
        <f>自有人工预算!F9</f>
        <v>24</v>
      </c>
      <c r="H159" s="248">
        <f>自有人工预算!G9</f>
        <v>24</v>
      </c>
      <c r="I159" s="248">
        <f>自有人工预算!H9</f>
        <v>24</v>
      </c>
      <c r="J159" s="248">
        <f>自有人工预算!I9</f>
        <v>24</v>
      </c>
      <c r="K159" s="248">
        <f>自有人工预算!J9</f>
        <v>24</v>
      </c>
      <c r="L159" s="248">
        <f>自有人工预算!K9</f>
        <v>24</v>
      </c>
      <c r="M159" s="248">
        <f>自有人工预算!L9</f>
        <v>24</v>
      </c>
      <c r="N159" s="248">
        <f>自有人工预算!M9</f>
        <v>24</v>
      </c>
      <c r="O159" s="248">
        <f>自有人工预算!N9</f>
        <v>24</v>
      </c>
      <c r="P159" s="248">
        <f>自有人工预算!O9</f>
        <v>24</v>
      </c>
      <c r="Q159" s="248">
        <f>自有人工预算!P9</f>
        <v>24</v>
      </c>
    </row>
    <row r="160" outlineLevel="1" spans="1:17">
      <c r="A160" s="223">
        <v>39</v>
      </c>
      <c r="B160" s="244" t="s">
        <v>1030</v>
      </c>
      <c r="C160" s="235" t="s">
        <v>68</v>
      </c>
      <c r="D160" s="236">
        <f t="shared" si="49"/>
        <v>0</v>
      </c>
      <c r="E160" s="236" t="s">
        <v>798</v>
      </c>
      <c r="F160" s="248"/>
      <c r="G160" s="248"/>
      <c r="H160" s="248"/>
      <c r="I160" s="248"/>
      <c r="J160" s="248"/>
      <c r="K160" s="248"/>
      <c r="L160" s="248"/>
      <c r="M160" s="248"/>
      <c r="N160" s="248"/>
      <c r="O160" s="248"/>
      <c r="P160" s="248"/>
      <c r="Q160" s="248"/>
    </row>
    <row r="161" outlineLevel="1" spans="1:17">
      <c r="A161" s="223">
        <v>39</v>
      </c>
      <c r="B161" s="244" t="s">
        <v>1030</v>
      </c>
      <c r="C161" s="238" t="s">
        <v>19</v>
      </c>
      <c r="D161" s="239">
        <f t="shared" si="49"/>
        <v>0</v>
      </c>
      <c r="E161" s="239" t="s">
        <v>798</v>
      </c>
      <c r="F161" s="248"/>
      <c r="G161" s="248"/>
      <c r="H161" s="248"/>
      <c r="I161" s="248"/>
      <c r="J161" s="248"/>
      <c r="K161" s="248"/>
      <c r="L161" s="248"/>
      <c r="M161" s="248"/>
      <c r="N161" s="248"/>
      <c r="O161" s="248"/>
      <c r="P161" s="248"/>
      <c r="Q161" s="248"/>
    </row>
    <row r="162" outlineLevel="1" spans="1:17">
      <c r="A162" s="223">
        <v>40</v>
      </c>
      <c r="B162" s="244" t="s">
        <v>1033</v>
      </c>
      <c r="C162" s="245" t="s">
        <v>738</v>
      </c>
      <c r="D162" s="246">
        <f t="shared" si="49"/>
        <v>0</v>
      </c>
      <c r="E162" s="246" t="s">
        <v>798</v>
      </c>
      <c r="F162" s="247">
        <f t="shared" ref="F162:Q162" si="61">F163+F164+F165</f>
        <v>0</v>
      </c>
      <c r="G162" s="247">
        <f t="shared" si="61"/>
        <v>0</v>
      </c>
      <c r="H162" s="247">
        <f t="shared" si="61"/>
        <v>0</v>
      </c>
      <c r="I162" s="247">
        <f t="shared" si="61"/>
        <v>0</v>
      </c>
      <c r="J162" s="247">
        <f t="shared" si="61"/>
        <v>0</v>
      </c>
      <c r="K162" s="247">
        <f t="shared" si="61"/>
        <v>0</v>
      </c>
      <c r="L162" s="247">
        <f t="shared" si="61"/>
        <v>0</v>
      </c>
      <c r="M162" s="247">
        <f t="shared" si="61"/>
        <v>0</v>
      </c>
      <c r="N162" s="247">
        <f t="shared" si="61"/>
        <v>0</v>
      </c>
      <c r="O162" s="247">
        <f t="shared" si="61"/>
        <v>0</v>
      </c>
      <c r="P162" s="247">
        <f t="shared" si="61"/>
        <v>0</v>
      </c>
      <c r="Q162" s="247">
        <f t="shared" si="61"/>
        <v>0</v>
      </c>
    </row>
    <row r="163" outlineLevel="1" spans="1:17">
      <c r="A163" s="223">
        <v>40</v>
      </c>
      <c r="B163" s="244" t="s">
        <v>1033</v>
      </c>
      <c r="C163" s="232" t="s">
        <v>109</v>
      </c>
      <c r="D163" s="233">
        <f t="shared" si="49"/>
        <v>0</v>
      </c>
      <c r="E163" s="233" t="s">
        <v>798</v>
      </c>
      <c r="F163" s="248"/>
      <c r="G163" s="248"/>
      <c r="H163" s="248"/>
      <c r="I163" s="248"/>
      <c r="J163" s="248"/>
      <c r="K163" s="248"/>
      <c r="L163" s="248"/>
      <c r="M163" s="248"/>
      <c r="N163" s="248"/>
      <c r="O163" s="248"/>
      <c r="P163" s="248"/>
      <c r="Q163" s="248"/>
    </row>
    <row r="164" outlineLevel="1" spans="1:17">
      <c r="A164" s="223">
        <v>40</v>
      </c>
      <c r="B164" s="244" t="s">
        <v>1033</v>
      </c>
      <c r="C164" s="235" t="s">
        <v>68</v>
      </c>
      <c r="D164" s="236">
        <f t="shared" si="49"/>
        <v>0</v>
      </c>
      <c r="E164" s="236" t="s">
        <v>798</v>
      </c>
      <c r="F164" s="248"/>
      <c r="G164" s="248"/>
      <c r="H164" s="248"/>
      <c r="I164" s="248"/>
      <c r="J164" s="248"/>
      <c r="K164" s="248"/>
      <c r="L164" s="248"/>
      <c r="M164" s="248"/>
      <c r="N164" s="248"/>
      <c r="O164" s="248"/>
      <c r="P164" s="248"/>
      <c r="Q164" s="248"/>
    </row>
    <row r="165" outlineLevel="1" spans="1:17">
      <c r="A165" s="223">
        <v>40</v>
      </c>
      <c r="B165" s="244" t="s">
        <v>1033</v>
      </c>
      <c r="C165" s="238" t="s">
        <v>19</v>
      </c>
      <c r="D165" s="239">
        <f t="shared" si="49"/>
        <v>0</v>
      </c>
      <c r="E165" s="239" t="s">
        <v>798</v>
      </c>
      <c r="F165" s="248"/>
      <c r="G165" s="248"/>
      <c r="H165" s="248"/>
      <c r="I165" s="248"/>
      <c r="J165" s="248"/>
      <c r="K165" s="248"/>
      <c r="L165" s="248"/>
      <c r="M165" s="248"/>
      <c r="N165" s="248"/>
      <c r="O165" s="248"/>
      <c r="P165" s="248"/>
      <c r="Q165" s="248"/>
    </row>
    <row r="166" outlineLevel="1" spans="1:17">
      <c r="A166" s="223">
        <v>41</v>
      </c>
      <c r="B166" s="244" t="s">
        <v>1036</v>
      </c>
      <c r="C166" s="245" t="s">
        <v>738</v>
      </c>
      <c r="D166" s="246">
        <f t="shared" si="49"/>
        <v>0</v>
      </c>
      <c r="E166" s="246" t="s">
        <v>798</v>
      </c>
      <c r="F166" s="247">
        <f t="shared" ref="F166:Q166" si="62">F167+F168+F169</f>
        <v>0</v>
      </c>
      <c r="G166" s="247">
        <f t="shared" si="62"/>
        <v>0</v>
      </c>
      <c r="H166" s="247">
        <f t="shared" si="62"/>
        <v>0</v>
      </c>
      <c r="I166" s="247">
        <f t="shared" si="62"/>
        <v>0</v>
      </c>
      <c r="J166" s="247">
        <f t="shared" si="62"/>
        <v>0</v>
      </c>
      <c r="K166" s="247">
        <f t="shared" si="62"/>
        <v>0</v>
      </c>
      <c r="L166" s="247">
        <f t="shared" si="62"/>
        <v>0</v>
      </c>
      <c r="M166" s="247">
        <f t="shared" si="62"/>
        <v>0</v>
      </c>
      <c r="N166" s="247">
        <f t="shared" si="62"/>
        <v>0</v>
      </c>
      <c r="O166" s="247">
        <f t="shared" si="62"/>
        <v>0</v>
      </c>
      <c r="P166" s="247">
        <f t="shared" si="62"/>
        <v>0</v>
      </c>
      <c r="Q166" s="247">
        <f t="shared" si="62"/>
        <v>0</v>
      </c>
    </row>
    <row r="167" outlineLevel="1" spans="1:17">
      <c r="A167" s="223">
        <v>41</v>
      </c>
      <c r="B167" s="244" t="s">
        <v>1036</v>
      </c>
      <c r="C167" s="232" t="s">
        <v>109</v>
      </c>
      <c r="D167" s="233">
        <f t="shared" si="49"/>
        <v>0</v>
      </c>
      <c r="E167" s="233" t="s">
        <v>798</v>
      </c>
      <c r="F167" s="248"/>
      <c r="G167" s="248"/>
      <c r="H167" s="248"/>
      <c r="I167" s="248"/>
      <c r="J167" s="248"/>
      <c r="K167" s="248"/>
      <c r="L167" s="248"/>
      <c r="M167" s="248"/>
      <c r="N167" s="248"/>
      <c r="O167" s="248"/>
      <c r="P167" s="248"/>
      <c r="Q167" s="248"/>
    </row>
    <row r="168" outlineLevel="1" spans="1:17">
      <c r="A168" s="223">
        <v>41</v>
      </c>
      <c r="B168" s="244" t="s">
        <v>1036</v>
      </c>
      <c r="C168" s="235" t="s">
        <v>68</v>
      </c>
      <c r="D168" s="236">
        <f t="shared" si="49"/>
        <v>0</v>
      </c>
      <c r="E168" s="236" t="s">
        <v>798</v>
      </c>
      <c r="F168" s="248"/>
      <c r="G168" s="248"/>
      <c r="H168" s="248"/>
      <c r="I168" s="248"/>
      <c r="J168" s="248"/>
      <c r="K168" s="248"/>
      <c r="L168" s="248"/>
      <c r="M168" s="248"/>
      <c r="N168" s="248"/>
      <c r="O168" s="248"/>
      <c r="P168" s="248"/>
      <c r="Q168" s="248"/>
    </row>
    <row r="169" outlineLevel="1" spans="1:17">
      <c r="A169" s="223">
        <v>41</v>
      </c>
      <c r="B169" s="244" t="s">
        <v>1036</v>
      </c>
      <c r="C169" s="238" t="s">
        <v>19</v>
      </c>
      <c r="D169" s="239">
        <f t="shared" si="49"/>
        <v>0</v>
      </c>
      <c r="E169" s="239" t="s">
        <v>798</v>
      </c>
      <c r="F169" s="248"/>
      <c r="G169" s="248"/>
      <c r="H169" s="248"/>
      <c r="I169" s="248"/>
      <c r="J169" s="248"/>
      <c r="K169" s="248"/>
      <c r="L169" s="248"/>
      <c r="M169" s="248"/>
      <c r="N169" s="248"/>
      <c r="O169" s="248"/>
      <c r="P169" s="248"/>
      <c r="Q169" s="248"/>
    </row>
    <row r="170" outlineLevel="1" spans="1:17">
      <c r="A170" s="223">
        <v>42</v>
      </c>
      <c r="B170" s="244" t="s">
        <v>1039</v>
      </c>
      <c r="C170" s="245" t="s">
        <v>738</v>
      </c>
      <c r="D170" s="246">
        <f t="shared" si="49"/>
        <v>0</v>
      </c>
      <c r="E170" s="246" t="s">
        <v>798</v>
      </c>
      <c r="F170" s="247">
        <f t="shared" ref="F170:Q170" si="63">F171+F172+F173</f>
        <v>0</v>
      </c>
      <c r="G170" s="247">
        <f t="shared" si="63"/>
        <v>0</v>
      </c>
      <c r="H170" s="247">
        <f t="shared" si="63"/>
        <v>0</v>
      </c>
      <c r="I170" s="247">
        <f t="shared" si="63"/>
        <v>0</v>
      </c>
      <c r="J170" s="247">
        <f t="shared" si="63"/>
        <v>0</v>
      </c>
      <c r="K170" s="247">
        <f t="shared" si="63"/>
        <v>0</v>
      </c>
      <c r="L170" s="247">
        <f t="shared" si="63"/>
        <v>0</v>
      </c>
      <c r="M170" s="247">
        <f t="shared" si="63"/>
        <v>0</v>
      </c>
      <c r="N170" s="247">
        <f t="shared" si="63"/>
        <v>0</v>
      </c>
      <c r="O170" s="247">
        <f t="shared" si="63"/>
        <v>0</v>
      </c>
      <c r="P170" s="247">
        <f t="shared" si="63"/>
        <v>0</v>
      </c>
      <c r="Q170" s="247">
        <f t="shared" si="63"/>
        <v>0</v>
      </c>
    </row>
    <row r="171" outlineLevel="1" spans="1:17">
      <c r="A171" s="223">
        <v>42</v>
      </c>
      <c r="B171" s="244" t="s">
        <v>1039</v>
      </c>
      <c r="C171" s="232" t="s">
        <v>109</v>
      </c>
      <c r="D171" s="233">
        <f t="shared" si="49"/>
        <v>0</v>
      </c>
      <c r="E171" s="233" t="s">
        <v>798</v>
      </c>
      <c r="F171" s="248"/>
      <c r="G171" s="248"/>
      <c r="H171" s="248"/>
      <c r="I171" s="248"/>
      <c r="J171" s="248"/>
      <c r="K171" s="248"/>
      <c r="L171" s="248"/>
      <c r="M171" s="248"/>
      <c r="N171" s="248"/>
      <c r="O171" s="248"/>
      <c r="P171" s="248"/>
      <c r="Q171" s="248"/>
    </row>
    <row r="172" outlineLevel="1" spans="1:17">
      <c r="A172" s="223">
        <v>42</v>
      </c>
      <c r="B172" s="244" t="s">
        <v>1039</v>
      </c>
      <c r="C172" s="235" t="s">
        <v>68</v>
      </c>
      <c r="D172" s="236">
        <f t="shared" si="49"/>
        <v>0</v>
      </c>
      <c r="E172" s="236" t="s">
        <v>798</v>
      </c>
      <c r="F172" s="248"/>
      <c r="G172" s="248"/>
      <c r="H172" s="248"/>
      <c r="I172" s="248"/>
      <c r="J172" s="248"/>
      <c r="K172" s="248"/>
      <c r="L172" s="248"/>
      <c r="M172" s="248"/>
      <c r="N172" s="248"/>
      <c r="O172" s="248"/>
      <c r="P172" s="248"/>
      <c r="Q172" s="248"/>
    </row>
    <row r="173" outlineLevel="1" spans="1:17">
      <c r="A173" s="223">
        <v>42</v>
      </c>
      <c r="B173" s="244" t="s">
        <v>1039</v>
      </c>
      <c r="C173" s="238" t="s">
        <v>19</v>
      </c>
      <c r="D173" s="239">
        <f t="shared" si="49"/>
        <v>0</v>
      </c>
      <c r="E173" s="239" t="s">
        <v>798</v>
      </c>
      <c r="F173" s="248"/>
      <c r="G173" s="248"/>
      <c r="H173" s="248"/>
      <c r="I173" s="248"/>
      <c r="J173" s="248"/>
      <c r="K173" s="248"/>
      <c r="L173" s="248"/>
      <c r="M173" s="248"/>
      <c r="N173" s="248"/>
      <c r="O173" s="248"/>
      <c r="P173" s="248"/>
      <c r="Q173" s="248"/>
    </row>
    <row r="174" spans="1:17">
      <c r="A174" s="223">
        <v>43</v>
      </c>
      <c r="B174" s="241" t="s">
        <v>2421</v>
      </c>
      <c r="C174" s="241" t="s">
        <v>738</v>
      </c>
      <c r="D174" s="242">
        <f t="shared" si="49"/>
        <v>0</v>
      </c>
      <c r="E174" s="242" t="s">
        <v>798</v>
      </c>
      <c r="F174" s="243">
        <f t="shared" ref="F174:Q174" si="64">F175+F176+F177</f>
        <v>0</v>
      </c>
      <c r="G174" s="243">
        <f t="shared" si="64"/>
        <v>0</v>
      </c>
      <c r="H174" s="243">
        <f t="shared" si="64"/>
        <v>0</v>
      </c>
      <c r="I174" s="243">
        <f t="shared" si="64"/>
        <v>0</v>
      </c>
      <c r="J174" s="243">
        <f t="shared" si="64"/>
        <v>0</v>
      </c>
      <c r="K174" s="243">
        <f t="shared" si="64"/>
        <v>0</v>
      </c>
      <c r="L174" s="243">
        <f t="shared" si="64"/>
        <v>0</v>
      </c>
      <c r="M174" s="243">
        <f t="shared" si="64"/>
        <v>0</v>
      </c>
      <c r="N174" s="243">
        <f t="shared" si="64"/>
        <v>0</v>
      </c>
      <c r="O174" s="243">
        <f t="shared" si="64"/>
        <v>0</v>
      </c>
      <c r="P174" s="243">
        <f t="shared" si="64"/>
        <v>0</v>
      </c>
      <c r="Q174" s="243">
        <f t="shared" si="64"/>
        <v>0</v>
      </c>
    </row>
    <row r="175" spans="1:17">
      <c r="A175" s="223">
        <v>43</v>
      </c>
      <c r="B175" s="241" t="s">
        <v>2421</v>
      </c>
      <c r="C175" s="232" t="s">
        <v>109</v>
      </c>
      <c r="D175" s="233">
        <f t="shared" si="49"/>
        <v>0</v>
      </c>
      <c r="E175" s="233" t="s">
        <v>798</v>
      </c>
      <c r="F175" s="234">
        <f t="shared" ref="F175:Q175" si="65">F179+F183+F187+F191</f>
        <v>0</v>
      </c>
      <c r="G175" s="234">
        <f t="shared" si="65"/>
        <v>0</v>
      </c>
      <c r="H175" s="234">
        <f t="shared" si="65"/>
        <v>0</v>
      </c>
      <c r="I175" s="234">
        <f t="shared" si="65"/>
        <v>0</v>
      </c>
      <c r="J175" s="234">
        <f t="shared" si="65"/>
        <v>0</v>
      </c>
      <c r="K175" s="234">
        <f t="shared" si="65"/>
        <v>0</v>
      </c>
      <c r="L175" s="234">
        <f t="shared" si="65"/>
        <v>0</v>
      </c>
      <c r="M175" s="234">
        <f t="shared" si="65"/>
        <v>0</v>
      </c>
      <c r="N175" s="234">
        <f t="shared" si="65"/>
        <v>0</v>
      </c>
      <c r="O175" s="234">
        <f t="shared" si="65"/>
        <v>0</v>
      </c>
      <c r="P175" s="234">
        <f t="shared" si="65"/>
        <v>0</v>
      </c>
      <c r="Q175" s="234">
        <f t="shared" si="65"/>
        <v>0</v>
      </c>
    </row>
    <row r="176" spans="1:17">
      <c r="A176" s="223">
        <v>43</v>
      </c>
      <c r="B176" s="241" t="s">
        <v>2421</v>
      </c>
      <c r="C176" s="235" t="s">
        <v>68</v>
      </c>
      <c r="D176" s="236">
        <f t="shared" si="49"/>
        <v>0</v>
      </c>
      <c r="E176" s="236" t="s">
        <v>798</v>
      </c>
      <c r="F176" s="237">
        <f t="shared" ref="F176:Q176" si="66">F180+F184+F188+F192</f>
        <v>0</v>
      </c>
      <c r="G176" s="237">
        <f t="shared" si="66"/>
        <v>0</v>
      </c>
      <c r="H176" s="237">
        <f t="shared" si="66"/>
        <v>0</v>
      </c>
      <c r="I176" s="237">
        <f t="shared" si="66"/>
        <v>0</v>
      </c>
      <c r="J176" s="237">
        <f t="shared" si="66"/>
        <v>0</v>
      </c>
      <c r="K176" s="237">
        <f t="shared" si="66"/>
        <v>0</v>
      </c>
      <c r="L176" s="237">
        <f t="shared" si="66"/>
        <v>0</v>
      </c>
      <c r="M176" s="237">
        <f t="shared" si="66"/>
        <v>0</v>
      </c>
      <c r="N176" s="237">
        <f t="shared" si="66"/>
        <v>0</v>
      </c>
      <c r="O176" s="237">
        <f t="shared" si="66"/>
        <v>0</v>
      </c>
      <c r="P176" s="237">
        <f t="shared" si="66"/>
        <v>0</v>
      </c>
      <c r="Q176" s="237">
        <f t="shared" si="66"/>
        <v>0</v>
      </c>
    </row>
    <row r="177" spans="1:17">
      <c r="A177" s="223">
        <v>43</v>
      </c>
      <c r="B177" s="241" t="s">
        <v>2421</v>
      </c>
      <c r="C177" s="238" t="s">
        <v>19</v>
      </c>
      <c r="D177" s="239">
        <f t="shared" si="49"/>
        <v>0</v>
      </c>
      <c r="E177" s="239" t="s">
        <v>798</v>
      </c>
      <c r="F177" s="240">
        <f t="shared" ref="F177:Q177" si="67">F181+F185+F189+F193</f>
        <v>0</v>
      </c>
      <c r="G177" s="240">
        <f t="shared" si="67"/>
        <v>0</v>
      </c>
      <c r="H177" s="240">
        <f t="shared" si="67"/>
        <v>0</v>
      </c>
      <c r="I177" s="240">
        <f t="shared" si="67"/>
        <v>0</v>
      </c>
      <c r="J177" s="240">
        <f t="shared" si="67"/>
        <v>0</v>
      </c>
      <c r="K177" s="240">
        <f t="shared" si="67"/>
        <v>0</v>
      </c>
      <c r="L177" s="240">
        <f t="shared" si="67"/>
        <v>0</v>
      </c>
      <c r="M177" s="240">
        <f t="shared" si="67"/>
        <v>0</v>
      </c>
      <c r="N177" s="240">
        <f t="shared" si="67"/>
        <v>0</v>
      </c>
      <c r="O177" s="240">
        <f t="shared" si="67"/>
        <v>0</v>
      </c>
      <c r="P177" s="240">
        <f t="shared" si="67"/>
        <v>0</v>
      </c>
      <c r="Q177" s="240">
        <f t="shared" si="67"/>
        <v>0</v>
      </c>
    </row>
    <row r="178" outlineLevel="1" spans="1:17">
      <c r="A178" s="223">
        <v>44</v>
      </c>
      <c r="B178" s="244" t="s">
        <v>1062</v>
      </c>
      <c r="C178" s="245" t="s">
        <v>738</v>
      </c>
      <c r="D178" s="246">
        <f t="shared" si="49"/>
        <v>0</v>
      </c>
      <c r="E178" s="246" t="s">
        <v>798</v>
      </c>
      <c r="F178" s="247">
        <f t="shared" ref="F178:Q178" si="68">F179+F180+F181</f>
        <v>0</v>
      </c>
      <c r="G178" s="247">
        <f t="shared" si="68"/>
        <v>0</v>
      </c>
      <c r="H178" s="247">
        <f t="shared" si="68"/>
        <v>0</v>
      </c>
      <c r="I178" s="247">
        <f t="shared" si="68"/>
        <v>0</v>
      </c>
      <c r="J178" s="247">
        <f t="shared" si="68"/>
        <v>0</v>
      </c>
      <c r="K178" s="247">
        <f t="shared" si="68"/>
        <v>0</v>
      </c>
      <c r="L178" s="247">
        <f t="shared" si="68"/>
        <v>0</v>
      </c>
      <c r="M178" s="247">
        <f t="shared" si="68"/>
        <v>0</v>
      </c>
      <c r="N178" s="247">
        <f t="shared" si="68"/>
        <v>0</v>
      </c>
      <c r="O178" s="247">
        <f t="shared" si="68"/>
        <v>0</v>
      </c>
      <c r="P178" s="247">
        <f t="shared" si="68"/>
        <v>0</v>
      </c>
      <c r="Q178" s="247">
        <f t="shared" si="68"/>
        <v>0</v>
      </c>
    </row>
    <row r="179" outlineLevel="1" spans="1:17">
      <c r="A179" s="223">
        <v>44</v>
      </c>
      <c r="B179" s="244" t="s">
        <v>1062</v>
      </c>
      <c r="C179" s="232" t="s">
        <v>109</v>
      </c>
      <c r="D179" s="233">
        <f t="shared" si="49"/>
        <v>0</v>
      </c>
      <c r="E179" s="233" t="s">
        <v>798</v>
      </c>
      <c r="F179" s="248">
        <v>0</v>
      </c>
      <c r="G179" s="248">
        <v>0</v>
      </c>
      <c r="H179" s="248">
        <v>0</v>
      </c>
      <c r="I179" s="248">
        <v>0</v>
      </c>
      <c r="J179" s="248">
        <v>0</v>
      </c>
      <c r="K179" s="248">
        <v>0</v>
      </c>
      <c r="L179" s="248">
        <v>0</v>
      </c>
      <c r="M179" s="248">
        <v>0</v>
      </c>
      <c r="N179" s="248">
        <v>0</v>
      </c>
      <c r="O179" s="248">
        <v>0</v>
      </c>
      <c r="P179" s="248">
        <v>0</v>
      </c>
      <c r="Q179" s="248">
        <v>0</v>
      </c>
    </row>
    <row r="180" outlineLevel="1" spans="1:17">
      <c r="A180" s="223">
        <v>44</v>
      </c>
      <c r="B180" s="244" t="s">
        <v>1062</v>
      </c>
      <c r="C180" s="235" t="s">
        <v>68</v>
      </c>
      <c r="D180" s="236">
        <f t="shared" si="49"/>
        <v>0</v>
      </c>
      <c r="E180" s="236" t="s">
        <v>798</v>
      </c>
      <c r="F180" s="248"/>
      <c r="G180" s="248"/>
      <c r="H180" s="248"/>
      <c r="I180" s="248"/>
      <c r="J180" s="248"/>
      <c r="K180" s="248"/>
      <c r="L180" s="248"/>
      <c r="M180" s="248"/>
      <c r="N180" s="248"/>
      <c r="O180" s="248"/>
      <c r="P180" s="248"/>
      <c r="Q180" s="248"/>
    </row>
    <row r="181" outlineLevel="1" spans="1:17">
      <c r="A181" s="223">
        <v>44</v>
      </c>
      <c r="B181" s="244" t="s">
        <v>1062</v>
      </c>
      <c r="C181" s="238" t="s">
        <v>19</v>
      </c>
      <c r="D181" s="239">
        <f t="shared" si="49"/>
        <v>0</v>
      </c>
      <c r="E181" s="239" t="s">
        <v>798</v>
      </c>
      <c r="F181" s="248"/>
      <c r="G181" s="248"/>
      <c r="H181" s="248"/>
      <c r="I181" s="248"/>
      <c r="J181" s="248"/>
      <c r="K181" s="248"/>
      <c r="L181" s="248"/>
      <c r="M181" s="248"/>
      <c r="N181" s="248"/>
      <c r="O181" s="248"/>
      <c r="P181" s="248"/>
      <c r="Q181" s="248"/>
    </row>
    <row r="182" outlineLevel="1" spans="1:17">
      <c r="A182" s="223">
        <v>45</v>
      </c>
      <c r="B182" s="244" t="s">
        <v>1065</v>
      </c>
      <c r="C182" s="245" t="s">
        <v>738</v>
      </c>
      <c r="D182" s="246">
        <f t="shared" si="49"/>
        <v>0</v>
      </c>
      <c r="E182" s="246" t="s">
        <v>798</v>
      </c>
      <c r="F182" s="247">
        <f t="shared" ref="F182:Q182" si="69">F183+F184+F185</f>
        <v>0</v>
      </c>
      <c r="G182" s="247">
        <f t="shared" si="69"/>
        <v>0</v>
      </c>
      <c r="H182" s="247">
        <f t="shared" si="69"/>
        <v>0</v>
      </c>
      <c r="I182" s="247">
        <f t="shared" si="69"/>
        <v>0</v>
      </c>
      <c r="J182" s="247">
        <f t="shared" si="69"/>
        <v>0</v>
      </c>
      <c r="K182" s="247">
        <f t="shared" si="69"/>
        <v>0</v>
      </c>
      <c r="L182" s="247">
        <f t="shared" si="69"/>
        <v>0</v>
      </c>
      <c r="M182" s="247">
        <f t="shared" si="69"/>
        <v>0</v>
      </c>
      <c r="N182" s="247">
        <f t="shared" si="69"/>
        <v>0</v>
      </c>
      <c r="O182" s="247">
        <f t="shared" si="69"/>
        <v>0</v>
      </c>
      <c r="P182" s="247">
        <f t="shared" si="69"/>
        <v>0</v>
      </c>
      <c r="Q182" s="247">
        <f t="shared" si="69"/>
        <v>0</v>
      </c>
    </row>
    <row r="183" outlineLevel="1" spans="1:17">
      <c r="A183" s="223">
        <v>45</v>
      </c>
      <c r="B183" s="244" t="s">
        <v>1065</v>
      </c>
      <c r="C183" s="232" t="s">
        <v>109</v>
      </c>
      <c r="D183" s="233">
        <f t="shared" si="49"/>
        <v>0</v>
      </c>
      <c r="E183" s="233" t="s">
        <v>798</v>
      </c>
      <c r="F183" s="248"/>
      <c r="G183" s="248"/>
      <c r="H183" s="248"/>
      <c r="I183" s="248"/>
      <c r="J183" s="248"/>
      <c r="K183" s="248"/>
      <c r="L183" s="248"/>
      <c r="M183" s="248"/>
      <c r="N183" s="248"/>
      <c r="O183" s="248"/>
      <c r="P183" s="248"/>
      <c r="Q183" s="248"/>
    </row>
    <row r="184" outlineLevel="1" spans="1:17">
      <c r="A184" s="223">
        <v>45</v>
      </c>
      <c r="B184" s="244" t="s">
        <v>1065</v>
      </c>
      <c r="C184" s="235" t="s">
        <v>68</v>
      </c>
      <c r="D184" s="236">
        <f t="shared" si="49"/>
        <v>0</v>
      </c>
      <c r="E184" s="236" t="s">
        <v>798</v>
      </c>
      <c r="F184" s="248"/>
      <c r="G184" s="248"/>
      <c r="H184" s="248"/>
      <c r="I184" s="248"/>
      <c r="J184" s="248"/>
      <c r="K184" s="248"/>
      <c r="L184" s="248"/>
      <c r="M184" s="248"/>
      <c r="N184" s="248"/>
      <c r="O184" s="248"/>
      <c r="P184" s="248"/>
      <c r="Q184" s="248"/>
    </row>
    <row r="185" outlineLevel="1" spans="1:17">
      <c r="A185" s="223">
        <v>45</v>
      </c>
      <c r="B185" s="244" t="s">
        <v>1065</v>
      </c>
      <c r="C185" s="238" t="s">
        <v>19</v>
      </c>
      <c r="D185" s="239">
        <f t="shared" si="49"/>
        <v>0</v>
      </c>
      <c r="E185" s="239" t="s">
        <v>798</v>
      </c>
      <c r="F185" s="248"/>
      <c r="G185" s="248"/>
      <c r="H185" s="248"/>
      <c r="I185" s="248"/>
      <c r="J185" s="248"/>
      <c r="K185" s="248"/>
      <c r="L185" s="248"/>
      <c r="M185" s="248"/>
      <c r="N185" s="248"/>
      <c r="O185" s="248"/>
      <c r="P185" s="248"/>
      <c r="Q185" s="248"/>
    </row>
    <row r="186" outlineLevel="1" spans="1:17">
      <c r="A186" s="223">
        <v>46</v>
      </c>
      <c r="B186" s="244" t="s">
        <v>1068</v>
      </c>
      <c r="C186" s="245" t="s">
        <v>738</v>
      </c>
      <c r="D186" s="246">
        <f t="shared" si="49"/>
        <v>0</v>
      </c>
      <c r="E186" s="246" t="s">
        <v>798</v>
      </c>
      <c r="F186" s="247">
        <f t="shared" ref="F186:Q186" si="70">F187+F188+F189</f>
        <v>0</v>
      </c>
      <c r="G186" s="247">
        <f t="shared" si="70"/>
        <v>0</v>
      </c>
      <c r="H186" s="247">
        <f t="shared" si="70"/>
        <v>0</v>
      </c>
      <c r="I186" s="247">
        <f t="shared" si="70"/>
        <v>0</v>
      </c>
      <c r="J186" s="247">
        <f t="shared" si="70"/>
        <v>0</v>
      </c>
      <c r="K186" s="247">
        <f t="shared" si="70"/>
        <v>0</v>
      </c>
      <c r="L186" s="247">
        <f t="shared" si="70"/>
        <v>0</v>
      </c>
      <c r="M186" s="247">
        <f t="shared" si="70"/>
        <v>0</v>
      </c>
      <c r="N186" s="247">
        <f t="shared" si="70"/>
        <v>0</v>
      </c>
      <c r="O186" s="247">
        <f t="shared" si="70"/>
        <v>0</v>
      </c>
      <c r="P186" s="247">
        <f t="shared" si="70"/>
        <v>0</v>
      </c>
      <c r="Q186" s="247">
        <f t="shared" si="70"/>
        <v>0</v>
      </c>
    </row>
    <row r="187" outlineLevel="1" spans="1:17">
      <c r="A187" s="223">
        <v>46</v>
      </c>
      <c r="B187" s="244" t="s">
        <v>1068</v>
      </c>
      <c r="C187" s="232" t="s">
        <v>109</v>
      </c>
      <c r="D187" s="233">
        <f t="shared" si="49"/>
        <v>0</v>
      </c>
      <c r="E187" s="233" t="s">
        <v>798</v>
      </c>
      <c r="F187" s="248"/>
      <c r="G187" s="248"/>
      <c r="H187" s="248"/>
      <c r="I187" s="248"/>
      <c r="J187" s="248"/>
      <c r="K187" s="248"/>
      <c r="L187" s="248"/>
      <c r="M187" s="248"/>
      <c r="N187" s="248"/>
      <c r="O187" s="248"/>
      <c r="P187" s="248"/>
      <c r="Q187" s="248"/>
    </row>
    <row r="188" outlineLevel="1" spans="1:17">
      <c r="A188" s="223">
        <v>46</v>
      </c>
      <c r="B188" s="244" t="s">
        <v>1068</v>
      </c>
      <c r="C188" s="235" t="s">
        <v>68</v>
      </c>
      <c r="D188" s="236">
        <f t="shared" si="49"/>
        <v>0</v>
      </c>
      <c r="E188" s="236" t="s">
        <v>798</v>
      </c>
      <c r="F188" s="248"/>
      <c r="G188" s="248"/>
      <c r="H188" s="248"/>
      <c r="I188" s="248"/>
      <c r="J188" s="248"/>
      <c r="K188" s="248"/>
      <c r="L188" s="248"/>
      <c r="M188" s="248"/>
      <c r="N188" s="248"/>
      <c r="O188" s="248"/>
      <c r="P188" s="248"/>
      <c r="Q188" s="248"/>
    </row>
    <row r="189" outlineLevel="1" spans="1:17">
      <c r="A189" s="223">
        <v>46</v>
      </c>
      <c r="B189" s="244" t="s">
        <v>1068</v>
      </c>
      <c r="C189" s="238" t="s">
        <v>19</v>
      </c>
      <c r="D189" s="239">
        <f t="shared" si="49"/>
        <v>0</v>
      </c>
      <c r="E189" s="239" t="s">
        <v>798</v>
      </c>
      <c r="F189" s="248"/>
      <c r="G189" s="248"/>
      <c r="H189" s="248"/>
      <c r="I189" s="248"/>
      <c r="J189" s="248"/>
      <c r="K189" s="248"/>
      <c r="L189" s="248"/>
      <c r="M189" s="248"/>
      <c r="N189" s="248"/>
      <c r="O189" s="248"/>
      <c r="P189" s="248"/>
      <c r="Q189" s="248"/>
    </row>
    <row r="190" outlineLevel="1" spans="1:17">
      <c r="A190" s="223">
        <v>47</v>
      </c>
      <c r="B190" s="244" t="s">
        <v>1071</v>
      </c>
      <c r="C190" s="245" t="s">
        <v>738</v>
      </c>
      <c r="D190" s="246">
        <f t="shared" si="49"/>
        <v>0</v>
      </c>
      <c r="E190" s="246" t="s">
        <v>798</v>
      </c>
      <c r="F190" s="247">
        <f t="shared" ref="F190:Q190" si="71">F191+F192+F193</f>
        <v>0</v>
      </c>
      <c r="G190" s="247">
        <f t="shared" si="71"/>
        <v>0</v>
      </c>
      <c r="H190" s="247">
        <f t="shared" si="71"/>
        <v>0</v>
      </c>
      <c r="I190" s="247">
        <f t="shared" si="71"/>
        <v>0</v>
      </c>
      <c r="J190" s="247">
        <f t="shared" si="71"/>
        <v>0</v>
      </c>
      <c r="K190" s="247">
        <f t="shared" si="71"/>
        <v>0</v>
      </c>
      <c r="L190" s="247">
        <f t="shared" si="71"/>
        <v>0</v>
      </c>
      <c r="M190" s="247">
        <f t="shared" si="71"/>
        <v>0</v>
      </c>
      <c r="N190" s="247">
        <f t="shared" si="71"/>
        <v>0</v>
      </c>
      <c r="O190" s="247">
        <f t="shared" si="71"/>
        <v>0</v>
      </c>
      <c r="P190" s="247">
        <f t="shared" si="71"/>
        <v>0</v>
      </c>
      <c r="Q190" s="247">
        <f t="shared" si="71"/>
        <v>0</v>
      </c>
    </row>
    <row r="191" outlineLevel="1" spans="1:17">
      <c r="A191" s="223">
        <v>47</v>
      </c>
      <c r="B191" s="244" t="s">
        <v>1071</v>
      </c>
      <c r="C191" s="232" t="s">
        <v>109</v>
      </c>
      <c r="D191" s="233">
        <f t="shared" si="49"/>
        <v>0</v>
      </c>
      <c r="E191" s="233" t="s">
        <v>798</v>
      </c>
      <c r="F191" s="248"/>
      <c r="G191" s="248"/>
      <c r="H191" s="248"/>
      <c r="I191" s="248"/>
      <c r="J191" s="248"/>
      <c r="K191" s="248"/>
      <c r="L191" s="248"/>
      <c r="M191" s="248"/>
      <c r="N191" s="248"/>
      <c r="O191" s="248"/>
      <c r="P191" s="248"/>
      <c r="Q191" s="248"/>
    </row>
    <row r="192" outlineLevel="1" spans="1:17">
      <c r="A192" s="223">
        <v>47</v>
      </c>
      <c r="B192" s="244" t="s">
        <v>1071</v>
      </c>
      <c r="C192" s="235" t="s">
        <v>68</v>
      </c>
      <c r="D192" s="236">
        <f t="shared" si="49"/>
        <v>0</v>
      </c>
      <c r="E192" s="236" t="s">
        <v>798</v>
      </c>
      <c r="F192" s="248"/>
      <c r="G192" s="248"/>
      <c r="H192" s="248"/>
      <c r="I192" s="248"/>
      <c r="J192" s="248"/>
      <c r="K192" s="248"/>
      <c r="L192" s="248"/>
      <c r="M192" s="248"/>
      <c r="N192" s="248"/>
      <c r="O192" s="248"/>
      <c r="P192" s="248"/>
      <c r="Q192" s="248"/>
    </row>
    <row r="193" outlineLevel="1" spans="1:17">
      <c r="A193" s="223">
        <v>47</v>
      </c>
      <c r="B193" s="244" t="s">
        <v>1071</v>
      </c>
      <c r="C193" s="238" t="s">
        <v>19</v>
      </c>
      <c r="D193" s="239">
        <f t="shared" si="49"/>
        <v>0</v>
      </c>
      <c r="E193" s="239" t="s">
        <v>798</v>
      </c>
      <c r="F193" s="248"/>
      <c r="G193" s="248"/>
      <c r="H193" s="248"/>
      <c r="I193" s="248"/>
      <c r="J193" s="248"/>
      <c r="K193" s="248"/>
      <c r="L193" s="248"/>
      <c r="M193" s="248"/>
      <c r="N193" s="248"/>
      <c r="O193" s="248"/>
      <c r="P193" s="248"/>
      <c r="Q193" s="248"/>
    </row>
    <row r="194" spans="1:17">
      <c r="A194" s="223">
        <v>48</v>
      </c>
      <c r="B194" s="241" t="s">
        <v>2422</v>
      </c>
      <c r="C194" s="241" t="s">
        <v>738</v>
      </c>
      <c r="D194" s="242">
        <f t="shared" ref="D194:D233" si="72">IFERROR(SUM(F194:Q194)/COUNTIF(F194:Q194,"&lt;&gt;0"),0)</f>
        <v>1</v>
      </c>
      <c r="E194" s="242" t="s">
        <v>798</v>
      </c>
      <c r="F194" s="243">
        <f t="shared" ref="F194:Q194" si="73">F195+F196+F197</f>
        <v>1</v>
      </c>
      <c r="G194" s="243">
        <f t="shared" si="73"/>
        <v>0</v>
      </c>
      <c r="H194" s="243">
        <f t="shared" si="73"/>
        <v>0</v>
      </c>
      <c r="I194" s="243">
        <f t="shared" si="73"/>
        <v>0</v>
      </c>
      <c r="J194" s="243">
        <f t="shared" si="73"/>
        <v>0</v>
      </c>
      <c r="K194" s="243">
        <f t="shared" si="73"/>
        <v>0</v>
      </c>
      <c r="L194" s="243">
        <f t="shared" si="73"/>
        <v>0</v>
      </c>
      <c r="M194" s="243">
        <f t="shared" si="73"/>
        <v>0</v>
      </c>
      <c r="N194" s="243">
        <f t="shared" si="73"/>
        <v>0</v>
      </c>
      <c r="O194" s="243">
        <f t="shared" si="73"/>
        <v>0</v>
      </c>
      <c r="P194" s="243">
        <f t="shared" si="73"/>
        <v>0</v>
      </c>
      <c r="Q194" s="243">
        <f t="shared" si="73"/>
        <v>0</v>
      </c>
    </row>
    <row r="195" spans="1:17">
      <c r="A195" s="223">
        <v>48</v>
      </c>
      <c r="B195" s="241" t="s">
        <v>2422</v>
      </c>
      <c r="C195" s="232" t="s">
        <v>109</v>
      </c>
      <c r="D195" s="233">
        <f t="shared" si="72"/>
        <v>1</v>
      </c>
      <c r="E195" s="233" t="s">
        <v>798</v>
      </c>
      <c r="F195" s="234">
        <f t="shared" ref="F195:Q195" si="74">F199+F203+F207</f>
        <v>1</v>
      </c>
      <c r="G195" s="234">
        <f t="shared" si="74"/>
        <v>0</v>
      </c>
      <c r="H195" s="234">
        <f t="shared" si="74"/>
        <v>0</v>
      </c>
      <c r="I195" s="234">
        <f t="shared" si="74"/>
        <v>0</v>
      </c>
      <c r="J195" s="234">
        <f t="shared" si="74"/>
        <v>0</v>
      </c>
      <c r="K195" s="234">
        <f t="shared" si="74"/>
        <v>0</v>
      </c>
      <c r="L195" s="234">
        <f t="shared" si="74"/>
        <v>0</v>
      </c>
      <c r="M195" s="234">
        <f t="shared" si="74"/>
        <v>0</v>
      </c>
      <c r="N195" s="234">
        <f t="shared" si="74"/>
        <v>0</v>
      </c>
      <c r="O195" s="234">
        <f t="shared" si="74"/>
        <v>0</v>
      </c>
      <c r="P195" s="234">
        <f t="shared" si="74"/>
        <v>0</v>
      </c>
      <c r="Q195" s="234">
        <f t="shared" si="74"/>
        <v>0</v>
      </c>
    </row>
    <row r="196" spans="1:17">
      <c r="A196" s="223">
        <v>48</v>
      </c>
      <c r="B196" s="241" t="s">
        <v>2422</v>
      </c>
      <c r="C196" s="235" t="s">
        <v>68</v>
      </c>
      <c r="D196" s="236">
        <f t="shared" si="72"/>
        <v>0</v>
      </c>
      <c r="E196" s="236" t="s">
        <v>798</v>
      </c>
      <c r="F196" s="237">
        <f t="shared" ref="F196:Q196" si="75">F200+F204+F208</f>
        <v>0</v>
      </c>
      <c r="G196" s="237">
        <f t="shared" si="75"/>
        <v>0</v>
      </c>
      <c r="H196" s="237">
        <f t="shared" si="75"/>
        <v>0</v>
      </c>
      <c r="I196" s="237">
        <f t="shared" si="75"/>
        <v>0</v>
      </c>
      <c r="J196" s="237">
        <f t="shared" si="75"/>
        <v>0</v>
      </c>
      <c r="K196" s="237">
        <f t="shared" si="75"/>
        <v>0</v>
      </c>
      <c r="L196" s="237">
        <f t="shared" si="75"/>
        <v>0</v>
      </c>
      <c r="M196" s="237">
        <f t="shared" si="75"/>
        <v>0</v>
      </c>
      <c r="N196" s="237">
        <f t="shared" si="75"/>
        <v>0</v>
      </c>
      <c r="O196" s="237">
        <f t="shared" si="75"/>
        <v>0</v>
      </c>
      <c r="P196" s="237">
        <f t="shared" si="75"/>
        <v>0</v>
      </c>
      <c r="Q196" s="237">
        <f t="shared" si="75"/>
        <v>0</v>
      </c>
    </row>
    <row r="197" spans="1:17">
      <c r="A197" s="223">
        <v>48</v>
      </c>
      <c r="B197" s="241" t="s">
        <v>2422</v>
      </c>
      <c r="C197" s="238" t="s">
        <v>19</v>
      </c>
      <c r="D197" s="239">
        <f t="shared" si="72"/>
        <v>0</v>
      </c>
      <c r="E197" s="239" t="s">
        <v>798</v>
      </c>
      <c r="F197" s="240">
        <f t="shared" ref="F197:Q197" si="76">F201+F205+F209</f>
        <v>0</v>
      </c>
      <c r="G197" s="240">
        <f t="shared" si="76"/>
        <v>0</v>
      </c>
      <c r="H197" s="240">
        <f t="shared" si="76"/>
        <v>0</v>
      </c>
      <c r="I197" s="240">
        <f t="shared" si="76"/>
        <v>0</v>
      </c>
      <c r="J197" s="240">
        <f t="shared" si="76"/>
        <v>0</v>
      </c>
      <c r="K197" s="240">
        <f t="shared" si="76"/>
        <v>0</v>
      </c>
      <c r="L197" s="240">
        <f t="shared" si="76"/>
        <v>0</v>
      </c>
      <c r="M197" s="240">
        <f t="shared" si="76"/>
        <v>0</v>
      </c>
      <c r="N197" s="240">
        <f t="shared" si="76"/>
        <v>0</v>
      </c>
      <c r="O197" s="240">
        <f t="shared" si="76"/>
        <v>0</v>
      </c>
      <c r="P197" s="240">
        <f t="shared" si="76"/>
        <v>0</v>
      </c>
      <c r="Q197" s="240">
        <f t="shared" si="76"/>
        <v>0</v>
      </c>
    </row>
    <row r="198" outlineLevel="1" spans="1:17">
      <c r="A198" s="223">
        <v>49</v>
      </c>
      <c r="B198" s="244" t="s">
        <v>1093</v>
      </c>
      <c r="C198" s="245" t="s">
        <v>738</v>
      </c>
      <c r="D198" s="246">
        <f t="shared" si="72"/>
        <v>1</v>
      </c>
      <c r="E198" s="246" t="s">
        <v>798</v>
      </c>
      <c r="F198" s="247">
        <f t="shared" ref="F198:Q198" si="77">F199+F200+F201</f>
        <v>1</v>
      </c>
      <c r="G198" s="247">
        <f t="shared" si="77"/>
        <v>0</v>
      </c>
      <c r="H198" s="247">
        <f t="shared" si="77"/>
        <v>0</v>
      </c>
      <c r="I198" s="247">
        <f t="shared" si="77"/>
        <v>0</v>
      </c>
      <c r="J198" s="247">
        <f t="shared" si="77"/>
        <v>0</v>
      </c>
      <c r="K198" s="247">
        <f t="shared" si="77"/>
        <v>0</v>
      </c>
      <c r="L198" s="247">
        <f t="shared" si="77"/>
        <v>0</v>
      </c>
      <c r="M198" s="247">
        <f t="shared" si="77"/>
        <v>0</v>
      </c>
      <c r="N198" s="247">
        <f t="shared" si="77"/>
        <v>0</v>
      </c>
      <c r="O198" s="247">
        <f t="shared" si="77"/>
        <v>0</v>
      </c>
      <c r="P198" s="247">
        <f t="shared" si="77"/>
        <v>0</v>
      </c>
      <c r="Q198" s="247">
        <f t="shared" si="77"/>
        <v>0</v>
      </c>
    </row>
    <row r="199" outlineLevel="1" spans="1:17">
      <c r="A199" s="223">
        <v>49</v>
      </c>
      <c r="B199" s="244" t="s">
        <v>1093</v>
      </c>
      <c r="C199" s="232" t="s">
        <v>109</v>
      </c>
      <c r="D199" s="233">
        <f t="shared" si="72"/>
        <v>0.0833333333333333</v>
      </c>
      <c r="E199" s="233" t="s">
        <v>798</v>
      </c>
      <c r="F199" s="248">
        <v>1</v>
      </c>
      <c r="G199" s="248"/>
      <c r="H199" s="248"/>
      <c r="I199" s="248"/>
      <c r="J199" s="248"/>
      <c r="K199" s="248"/>
      <c r="L199" s="248"/>
      <c r="M199" s="248"/>
      <c r="N199" s="248"/>
      <c r="O199" s="248"/>
      <c r="P199" s="248"/>
      <c r="Q199" s="248"/>
    </row>
    <row r="200" outlineLevel="1" spans="1:17">
      <c r="A200" s="223">
        <v>49</v>
      </c>
      <c r="B200" s="244" t="s">
        <v>1093</v>
      </c>
      <c r="C200" s="235" t="s">
        <v>68</v>
      </c>
      <c r="D200" s="236">
        <f t="shared" si="72"/>
        <v>0</v>
      </c>
      <c r="E200" s="236" t="s">
        <v>798</v>
      </c>
      <c r="F200" s="248"/>
      <c r="G200" s="248"/>
      <c r="H200" s="248"/>
      <c r="I200" s="248"/>
      <c r="J200" s="248"/>
      <c r="K200" s="248"/>
      <c r="L200" s="248"/>
      <c r="M200" s="248"/>
      <c r="N200" s="248"/>
      <c r="O200" s="248"/>
      <c r="P200" s="248"/>
      <c r="Q200" s="248"/>
    </row>
    <row r="201" outlineLevel="1" spans="1:17">
      <c r="A201" s="223">
        <v>49</v>
      </c>
      <c r="B201" s="244" t="s">
        <v>1093</v>
      </c>
      <c r="C201" s="238" t="s">
        <v>19</v>
      </c>
      <c r="D201" s="239">
        <f t="shared" si="72"/>
        <v>0</v>
      </c>
      <c r="E201" s="239" t="s">
        <v>798</v>
      </c>
      <c r="F201" s="248"/>
      <c r="G201" s="248"/>
      <c r="H201" s="248"/>
      <c r="I201" s="248"/>
      <c r="J201" s="248"/>
      <c r="K201" s="248"/>
      <c r="L201" s="248"/>
      <c r="M201" s="248"/>
      <c r="N201" s="248"/>
      <c r="O201" s="248"/>
      <c r="P201" s="248"/>
      <c r="Q201" s="248"/>
    </row>
    <row r="202" outlineLevel="1" spans="1:17">
      <c r="A202" s="223">
        <v>50</v>
      </c>
      <c r="B202" s="244" t="s">
        <v>1091</v>
      </c>
      <c r="C202" s="245" t="s">
        <v>738</v>
      </c>
      <c r="D202" s="246">
        <f t="shared" si="72"/>
        <v>0</v>
      </c>
      <c r="E202" s="246" t="s">
        <v>798</v>
      </c>
      <c r="F202" s="247">
        <f t="shared" ref="F202:Q202" si="78">F203+F204+F205</f>
        <v>0</v>
      </c>
      <c r="G202" s="247">
        <f t="shared" si="78"/>
        <v>0</v>
      </c>
      <c r="H202" s="247">
        <f t="shared" si="78"/>
        <v>0</v>
      </c>
      <c r="I202" s="247">
        <f t="shared" si="78"/>
        <v>0</v>
      </c>
      <c r="J202" s="247">
        <f t="shared" si="78"/>
        <v>0</v>
      </c>
      <c r="K202" s="247">
        <f t="shared" si="78"/>
        <v>0</v>
      </c>
      <c r="L202" s="247">
        <f t="shared" si="78"/>
        <v>0</v>
      </c>
      <c r="M202" s="247">
        <f t="shared" si="78"/>
        <v>0</v>
      </c>
      <c r="N202" s="247">
        <f t="shared" si="78"/>
        <v>0</v>
      </c>
      <c r="O202" s="247">
        <f t="shared" si="78"/>
        <v>0</v>
      </c>
      <c r="P202" s="247">
        <f t="shared" si="78"/>
        <v>0</v>
      </c>
      <c r="Q202" s="247">
        <f t="shared" si="78"/>
        <v>0</v>
      </c>
    </row>
    <row r="203" outlineLevel="1" spans="1:17">
      <c r="A203" s="223">
        <v>50</v>
      </c>
      <c r="B203" s="244" t="s">
        <v>1091</v>
      </c>
      <c r="C203" s="232" t="s">
        <v>109</v>
      </c>
      <c r="D203" s="233">
        <f t="shared" si="72"/>
        <v>0</v>
      </c>
      <c r="E203" s="233" t="s">
        <v>798</v>
      </c>
      <c r="F203" s="248"/>
      <c r="G203" s="248"/>
      <c r="H203" s="248"/>
      <c r="I203" s="248"/>
      <c r="J203" s="248"/>
      <c r="K203" s="248"/>
      <c r="L203" s="248"/>
      <c r="M203" s="248"/>
      <c r="N203" s="248"/>
      <c r="O203" s="248"/>
      <c r="P203" s="248"/>
      <c r="Q203" s="248"/>
    </row>
    <row r="204" outlineLevel="1" spans="1:17">
      <c r="A204" s="223">
        <v>50</v>
      </c>
      <c r="B204" s="244" t="s">
        <v>1091</v>
      </c>
      <c r="C204" s="235" t="s">
        <v>68</v>
      </c>
      <c r="D204" s="236">
        <f t="shared" si="72"/>
        <v>0</v>
      </c>
      <c r="E204" s="236" t="s">
        <v>798</v>
      </c>
      <c r="F204" s="248"/>
      <c r="G204" s="248"/>
      <c r="H204" s="248"/>
      <c r="I204" s="248"/>
      <c r="J204" s="248"/>
      <c r="K204" s="248"/>
      <c r="L204" s="248"/>
      <c r="M204" s="248"/>
      <c r="N204" s="248"/>
      <c r="O204" s="248"/>
      <c r="P204" s="248"/>
      <c r="Q204" s="248"/>
    </row>
    <row r="205" outlineLevel="1" spans="1:17">
      <c r="A205" s="223">
        <v>50</v>
      </c>
      <c r="B205" s="244" t="s">
        <v>1091</v>
      </c>
      <c r="C205" s="238" t="s">
        <v>19</v>
      </c>
      <c r="D205" s="239">
        <f t="shared" si="72"/>
        <v>0</v>
      </c>
      <c r="E205" s="239" t="s">
        <v>798</v>
      </c>
      <c r="F205" s="248"/>
      <c r="G205" s="248"/>
      <c r="H205" s="248"/>
      <c r="I205" s="248"/>
      <c r="J205" s="248"/>
      <c r="K205" s="248"/>
      <c r="L205" s="248"/>
      <c r="M205" s="248"/>
      <c r="N205" s="248"/>
      <c r="O205" s="248"/>
      <c r="P205" s="248"/>
      <c r="Q205" s="248"/>
    </row>
    <row r="206" outlineLevel="1" spans="1:17">
      <c r="A206" s="223">
        <v>51</v>
      </c>
      <c r="B206" s="244" t="s">
        <v>1098</v>
      </c>
      <c r="C206" s="245" t="s">
        <v>738</v>
      </c>
      <c r="D206" s="246">
        <f t="shared" si="72"/>
        <v>0</v>
      </c>
      <c r="E206" s="246" t="s">
        <v>798</v>
      </c>
      <c r="F206" s="247">
        <f t="shared" ref="F206:Q206" si="79">F207+F208+F209</f>
        <v>0</v>
      </c>
      <c r="G206" s="247">
        <f t="shared" si="79"/>
        <v>0</v>
      </c>
      <c r="H206" s="247">
        <f t="shared" si="79"/>
        <v>0</v>
      </c>
      <c r="I206" s="247">
        <f t="shared" si="79"/>
        <v>0</v>
      </c>
      <c r="J206" s="247">
        <f t="shared" si="79"/>
        <v>0</v>
      </c>
      <c r="K206" s="247">
        <f t="shared" si="79"/>
        <v>0</v>
      </c>
      <c r="L206" s="247">
        <f t="shared" si="79"/>
        <v>0</v>
      </c>
      <c r="M206" s="247">
        <f t="shared" si="79"/>
        <v>0</v>
      </c>
      <c r="N206" s="247">
        <f t="shared" si="79"/>
        <v>0</v>
      </c>
      <c r="O206" s="247">
        <f t="shared" si="79"/>
        <v>0</v>
      </c>
      <c r="P206" s="247">
        <f t="shared" si="79"/>
        <v>0</v>
      </c>
      <c r="Q206" s="247">
        <f t="shared" si="79"/>
        <v>0</v>
      </c>
    </row>
    <row r="207" outlineLevel="1" spans="1:17">
      <c r="A207" s="223">
        <v>51</v>
      </c>
      <c r="B207" s="244" t="s">
        <v>1098</v>
      </c>
      <c r="C207" s="232" t="s">
        <v>109</v>
      </c>
      <c r="D207" s="233">
        <f t="shared" si="72"/>
        <v>0</v>
      </c>
      <c r="E207" s="233" t="s">
        <v>798</v>
      </c>
      <c r="F207" s="248"/>
      <c r="G207" s="248"/>
      <c r="H207" s="248"/>
      <c r="I207" s="248"/>
      <c r="J207" s="248"/>
      <c r="K207" s="248"/>
      <c r="L207" s="248"/>
      <c r="M207" s="248"/>
      <c r="N207" s="248"/>
      <c r="O207" s="248"/>
      <c r="P207" s="248"/>
      <c r="Q207" s="248"/>
    </row>
    <row r="208" outlineLevel="1" spans="1:17">
      <c r="A208" s="223">
        <v>51</v>
      </c>
      <c r="B208" s="244" t="s">
        <v>1098</v>
      </c>
      <c r="C208" s="235" t="s">
        <v>68</v>
      </c>
      <c r="D208" s="236">
        <f t="shared" si="72"/>
        <v>0</v>
      </c>
      <c r="E208" s="236" t="s">
        <v>798</v>
      </c>
      <c r="F208" s="248"/>
      <c r="G208" s="248"/>
      <c r="H208" s="248"/>
      <c r="I208" s="248"/>
      <c r="J208" s="248"/>
      <c r="K208" s="248"/>
      <c r="L208" s="248"/>
      <c r="M208" s="248"/>
      <c r="N208" s="248"/>
      <c r="O208" s="248"/>
      <c r="P208" s="248"/>
      <c r="Q208" s="248"/>
    </row>
    <row r="209" outlineLevel="1" spans="1:17">
      <c r="A209" s="223">
        <v>51</v>
      </c>
      <c r="B209" s="244" t="s">
        <v>1098</v>
      </c>
      <c r="C209" s="238" t="s">
        <v>19</v>
      </c>
      <c r="D209" s="239">
        <f t="shared" si="72"/>
        <v>0</v>
      </c>
      <c r="E209" s="239" t="s">
        <v>798</v>
      </c>
      <c r="F209" s="248"/>
      <c r="G209" s="248"/>
      <c r="H209" s="248"/>
      <c r="I209" s="248"/>
      <c r="J209" s="248"/>
      <c r="K209" s="248"/>
      <c r="L209" s="248"/>
      <c r="M209" s="248"/>
      <c r="N209" s="248"/>
      <c r="O209" s="248"/>
      <c r="P209" s="248"/>
      <c r="Q209" s="248"/>
    </row>
    <row r="210" spans="1:17">
      <c r="A210" s="223">
        <v>52</v>
      </c>
      <c r="B210" s="241" t="s">
        <v>1114</v>
      </c>
      <c r="C210" s="241" t="s">
        <v>738</v>
      </c>
      <c r="D210" s="242">
        <f t="shared" si="72"/>
        <v>21</v>
      </c>
      <c r="E210" s="242" t="s">
        <v>798</v>
      </c>
      <c r="F210" s="243">
        <f t="shared" ref="F210:Q210" si="80">F211+F212+F213</f>
        <v>21</v>
      </c>
      <c r="G210" s="243">
        <f t="shared" si="80"/>
        <v>21</v>
      </c>
      <c r="H210" s="243">
        <f t="shared" si="80"/>
        <v>21</v>
      </c>
      <c r="I210" s="243">
        <f t="shared" si="80"/>
        <v>21</v>
      </c>
      <c r="J210" s="243">
        <f t="shared" si="80"/>
        <v>21</v>
      </c>
      <c r="K210" s="243">
        <f t="shared" si="80"/>
        <v>21</v>
      </c>
      <c r="L210" s="243">
        <f t="shared" si="80"/>
        <v>21</v>
      </c>
      <c r="M210" s="243">
        <f t="shared" si="80"/>
        <v>21</v>
      </c>
      <c r="N210" s="243">
        <f t="shared" si="80"/>
        <v>21</v>
      </c>
      <c r="O210" s="243">
        <f t="shared" si="80"/>
        <v>21</v>
      </c>
      <c r="P210" s="243">
        <f t="shared" si="80"/>
        <v>21</v>
      </c>
      <c r="Q210" s="243">
        <f t="shared" si="80"/>
        <v>21</v>
      </c>
    </row>
    <row r="211" spans="1:17">
      <c r="A211" s="223">
        <v>52</v>
      </c>
      <c r="B211" s="241" t="s">
        <v>1114</v>
      </c>
      <c r="C211" s="232" t="s">
        <v>109</v>
      </c>
      <c r="D211" s="233">
        <f t="shared" si="72"/>
        <v>21</v>
      </c>
      <c r="E211" s="233" t="s">
        <v>798</v>
      </c>
      <c r="F211" s="234">
        <f t="shared" ref="F211:F213" si="81">F215+F219+F223+F227+F231</f>
        <v>21</v>
      </c>
      <c r="G211" s="234">
        <f t="shared" ref="G211:Q211" si="82">G215+G219+G223+G227+G231</f>
        <v>21</v>
      </c>
      <c r="H211" s="234">
        <f t="shared" si="82"/>
        <v>21</v>
      </c>
      <c r="I211" s="234">
        <f t="shared" si="82"/>
        <v>21</v>
      </c>
      <c r="J211" s="234">
        <f t="shared" si="82"/>
        <v>21</v>
      </c>
      <c r="K211" s="234">
        <f t="shared" si="82"/>
        <v>21</v>
      </c>
      <c r="L211" s="234">
        <f t="shared" si="82"/>
        <v>21</v>
      </c>
      <c r="M211" s="234">
        <f t="shared" si="82"/>
        <v>21</v>
      </c>
      <c r="N211" s="234">
        <f t="shared" si="82"/>
        <v>21</v>
      </c>
      <c r="O211" s="234">
        <f t="shared" si="82"/>
        <v>21</v>
      </c>
      <c r="P211" s="234">
        <f t="shared" si="82"/>
        <v>21</v>
      </c>
      <c r="Q211" s="234">
        <f t="shared" si="82"/>
        <v>21</v>
      </c>
    </row>
    <row r="212" spans="1:17">
      <c r="A212" s="223">
        <v>52</v>
      </c>
      <c r="B212" s="241" t="s">
        <v>1114</v>
      </c>
      <c r="C212" s="235" t="s">
        <v>68</v>
      </c>
      <c r="D212" s="236">
        <f t="shared" si="72"/>
        <v>0</v>
      </c>
      <c r="E212" s="236" t="s">
        <v>798</v>
      </c>
      <c r="F212" s="237">
        <f t="shared" si="81"/>
        <v>0</v>
      </c>
      <c r="G212" s="237">
        <f t="shared" ref="G212:Q212" si="83">G216+G220+G224+G228+G232</f>
        <v>0</v>
      </c>
      <c r="H212" s="237">
        <f t="shared" si="83"/>
        <v>0</v>
      </c>
      <c r="I212" s="237">
        <f t="shared" si="83"/>
        <v>0</v>
      </c>
      <c r="J212" s="237">
        <f t="shared" si="83"/>
        <v>0</v>
      </c>
      <c r="K212" s="237">
        <f t="shared" si="83"/>
        <v>0</v>
      </c>
      <c r="L212" s="237">
        <f t="shared" si="83"/>
        <v>0</v>
      </c>
      <c r="M212" s="237">
        <f t="shared" si="83"/>
        <v>0</v>
      </c>
      <c r="N212" s="237">
        <f t="shared" si="83"/>
        <v>0</v>
      </c>
      <c r="O212" s="237">
        <f t="shared" si="83"/>
        <v>0</v>
      </c>
      <c r="P212" s="237">
        <f t="shared" si="83"/>
        <v>0</v>
      </c>
      <c r="Q212" s="237">
        <f t="shared" si="83"/>
        <v>0</v>
      </c>
    </row>
    <row r="213" spans="1:17">
      <c r="A213" s="223">
        <v>52</v>
      </c>
      <c r="B213" s="241" t="s">
        <v>1114</v>
      </c>
      <c r="C213" s="238" t="s">
        <v>19</v>
      </c>
      <c r="D213" s="239">
        <f t="shared" si="72"/>
        <v>0</v>
      </c>
      <c r="E213" s="239" t="s">
        <v>798</v>
      </c>
      <c r="F213" s="240">
        <f t="shared" si="81"/>
        <v>0</v>
      </c>
      <c r="G213" s="240">
        <f t="shared" ref="G213:Q213" si="84">G217+G221+G225+G229+G233</f>
        <v>0</v>
      </c>
      <c r="H213" s="240">
        <f t="shared" si="84"/>
        <v>0</v>
      </c>
      <c r="I213" s="240">
        <f t="shared" si="84"/>
        <v>0</v>
      </c>
      <c r="J213" s="240">
        <f t="shared" si="84"/>
        <v>0</v>
      </c>
      <c r="K213" s="240">
        <f t="shared" si="84"/>
        <v>0</v>
      </c>
      <c r="L213" s="240">
        <f t="shared" si="84"/>
        <v>0</v>
      </c>
      <c r="M213" s="240">
        <f t="shared" si="84"/>
        <v>0</v>
      </c>
      <c r="N213" s="240">
        <f t="shared" si="84"/>
        <v>0</v>
      </c>
      <c r="O213" s="240">
        <f t="shared" si="84"/>
        <v>0</v>
      </c>
      <c r="P213" s="240">
        <f t="shared" si="84"/>
        <v>0</v>
      </c>
      <c r="Q213" s="240">
        <f t="shared" si="84"/>
        <v>0</v>
      </c>
    </row>
    <row r="214" outlineLevel="1" spans="1:17">
      <c r="A214" s="223">
        <v>53</v>
      </c>
      <c r="B214" s="244" t="s">
        <v>1116</v>
      </c>
      <c r="C214" s="245" t="s">
        <v>738</v>
      </c>
      <c r="D214" s="246">
        <f t="shared" si="72"/>
        <v>21</v>
      </c>
      <c r="E214" s="245" t="s">
        <v>798</v>
      </c>
      <c r="F214" s="249">
        <f t="shared" ref="F214:Q214" si="85">F215+F216+F217</f>
        <v>21</v>
      </c>
      <c r="G214" s="249">
        <f t="shared" si="85"/>
        <v>21</v>
      </c>
      <c r="H214" s="249">
        <f t="shared" si="85"/>
        <v>21</v>
      </c>
      <c r="I214" s="249">
        <f t="shared" si="85"/>
        <v>21</v>
      </c>
      <c r="J214" s="249">
        <f t="shared" si="85"/>
        <v>21</v>
      </c>
      <c r="K214" s="249">
        <f t="shared" si="85"/>
        <v>21</v>
      </c>
      <c r="L214" s="249">
        <f t="shared" si="85"/>
        <v>21</v>
      </c>
      <c r="M214" s="249">
        <f t="shared" si="85"/>
        <v>21</v>
      </c>
      <c r="N214" s="249">
        <f t="shared" si="85"/>
        <v>21</v>
      </c>
      <c r="O214" s="249">
        <f t="shared" si="85"/>
        <v>21</v>
      </c>
      <c r="P214" s="249">
        <f t="shared" si="85"/>
        <v>21</v>
      </c>
      <c r="Q214" s="249">
        <f t="shared" si="85"/>
        <v>21</v>
      </c>
    </row>
    <row r="215" outlineLevel="1" spans="1:17">
      <c r="A215" s="223">
        <v>53</v>
      </c>
      <c r="B215" s="244" t="s">
        <v>1116</v>
      </c>
      <c r="C215" s="232" t="s">
        <v>109</v>
      </c>
      <c r="D215" s="233">
        <f t="shared" si="72"/>
        <v>21</v>
      </c>
      <c r="E215" s="232" t="s">
        <v>798</v>
      </c>
      <c r="F215" s="250">
        <f>自有人工预算!E14</f>
        <v>21</v>
      </c>
      <c r="G215" s="250">
        <f>自有人工预算!F14</f>
        <v>21</v>
      </c>
      <c r="H215" s="250">
        <f>自有人工预算!G14</f>
        <v>21</v>
      </c>
      <c r="I215" s="250">
        <f>自有人工预算!H14</f>
        <v>21</v>
      </c>
      <c r="J215" s="250">
        <f>自有人工预算!I14</f>
        <v>21</v>
      </c>
      <c r="K215" s="250">
        <f>自有人工预算!J14</f>
        <v>21</v>
      </c>
      <c r="L215" s="250">
        <f>自有人工预算!K14</f>
        <v>21</v>
      </c>
      <c r="M215" s="250">
        <f>自有人工预算!L14</f>
        <v>21</v>
      </c>
      <c r="N215" s="250">
        <f>自有人工预算!M14</f>
        <v>21</v>
      </c>
      <c r="O215" s="250">
        <f>自有人工预算!N14</f>
        <v>21</v>
      </c>
      <c r="P215" s="250">
        <f>自有人工预算!O14</f>
        <v>21</v>
      </c>
      <c r="Q215" s="250">
        <f>自有人工预算!P14</f>
        <v>21</v>
      </c>
    </row>
    <row r="216" outlineLevel="1" spans="1:17">
      <c r="A216" s="223">
        <v>53</v>
      </c>
      <c r="B216" s="244" t="s">
        <v>1116</v>
      </c>
      <c r="C216" s="235" t="s">
        <v>68</v>
      </c>
      <c r="D216" s="236">
        <f t="shared" si="72"/>
        <v>0</v>
      </c>
      <c r="E216" s="235" t="s">
        <v>798</v>
      </c>
      <c r="F216" s="250"/>
      <c r="G216" s="250"/>
      <c r="H216" s="250"/>
      <c r="I216" s="250"/>
      <c r="J216" s="250"/>
      <c r="K216" s="250"/>
      <c r="L216" s="250"/>
      <c r="M216" s="250"/>
      <c r="N216" s="250"/>
      <c r="O216" s="250"/>
      <c r="P216" s="250"/>
      <c r="Q216" s="250"/>
    </row>
    <row r="217" outlineLevel="1" spans="1:17">
      <c r="A217" s="223">
        <v>53</v>
      </c>
      <c r="B217" s="244" t="s">
        <v>1116</v>
      </c>
      <c r="C217" s="238" t="s">
        <v>19</v>
      </c>
      <c r="D217" s="239">
        <f t="shared" si="72"/>
        <v>0</v>
      </c>
      <c r="E217" s="238" t="s">
        <v>798</v>
      </c>
      <c r="F217" s="250"/>
      <c r="G217" s="250"/>
      <c r="H217" s="250"/>
      <c r="I217" s="250"/>
      <c r="J217" s="250"/>
      <c r="K217" s="250"/>
      <c r="L217" s="250"/>
      <c r="M217" s="250"/>
      <c r="N217" s="250"/>
      <c r="O217" s="250"/>
      <c r="P217" s="250"/>
      <c r="Q217" s="250"/>
    </row>
    <row r="218" outlineLevel="1" spans="1:17">
      <c r="A218" s="223">
        <v>54</v>
      </c>
      <c r="B218" s="244" t="s">
        <v>1119</v>
      </c>
      <c r="C218" s="245" t="s">
        <v>738</v>
      </c>
      <c r="D218" s="246">
        <f t="shared" si="72"/>
        <v>0</v>
      </c>
      <c r="E218" s="245" t="s">
        <v>798</v>
      </c>
      <c r="F218" s="249">
        <f t="shared" ref="F218:Q218" si="86">F219+F220+F221</f>
        <v>0</v>
      </c>
      <c r="G218" s="249">
        <f t="shared" si="86"/>
        <v>0</v>
      </c>
      <c r="H218" s="249">
        <f t="shared" si="86"/>
        <v>0</v>
      </c>
      <c r="I218" s="249">
        <f t="shared" si="86"/>
        <v>0</v>
      </c>
      <c r="J218" s="249">
        <f t="shared" si="86"/>
        <v>0</v>
      </c>
      <c r="K218" s="249">
        <f t="shared" si="86"/>
        <v>0</v>
      </c>
      <c r="L218" s="249">
        <f t="shared" si="86"/>
        <v>0</v>
      </c>
      <c r="M218" s="249">
        <f t="shared" si="86"/>
        <v>0</v>
      </c>
      <c r="N218" s="249">
        <f t="shared" si="86"/>
        <v>0</v>
      </c>
      <c r="O218" s="249">
        <f t="shared" si="86"/>
        <v>0</v>
      </c>
      <c r="P218" s="249">
        <f t="shared" si="86"/>
        <v>0</v>
      </c>
      <c r="Q218" s="249">
        <f t="shared" si="86"/>
        <v>0</v>
      </c>
    </row>
    <row r="219" outlineLevel="1" spans="1:17">
      <c r="A219" s="223">
        <v>54</v>
      </c>
      <c r="B219" s="244" t="s">
        <v>1119</v>
      </c>
      <c r="C219" s="232" t="s">
        <v>109</v>
      </c>
      <c r="D219" s="233">
        <f t="shared" si="72"/>
        <v>0</v>
      </c>
      <c r="E219" s="232" t="s">
        <v>798</v>
      </c>
      <c r="F219" s="250"/>
      <c r="G219" s="250"/>
      <c r="H219" s="250"/>
      <c r="I219" s="250"/>
      <c r="J219" s="250"/>
      <c r="K219" s="250"/>
      <c r="L219" s="250"/>
      <c r="M219" s="250"/>
      <c r="N219" s="250"/>
      <c r="O219" s="250"/>
      <c r="P219" s="250"/>
      <c r="Q219" s="250"/>
    </row>
    <row r="220" outlineLevel="1" spans="1:17">
      <c r="A220" s="223">
        <v>54</v>
      </c>
      <c r="B220" s="244" t="s">
        <v>1119</v>
      </c>
      <c r="C220" s="235" t="s">
        <v>68</v>
      </c>
      <c r="D220" s="236">
        <f t="shared" si="72"/>
        <v>0</v>
      </c>
      <c r="E220" s="235" t="s">
        <v>798</v>
      </c>
      <c r="F220" s="250"/>
      <c r="G220" s="250"/>
      <c r="H220" s="250"/>
      <c r="I220" s="250"/>
      <c r="J220" s="250"/>
      <c r="K220" s="250"/>
      <c r="L220" s="250"/>
      <c r="M220" s="250"/>
      <c r="N220" s="250"/>
      <c r="O220" s="250"/>
      <c r="P220" s="250"/>
      <c r="Q220" s="250"/>
    </row>
    <row r="221" outlineLevel="1" spans="1:17">
      <c r="A221" s="223">
        <v>54</v>
      </c>
      <c r="B221" s="244" t="s">
        <v>1119</v>
      </c>
      <c r="C221" s="238" t="s">
        <v>19</v>
      </c>
      <c r="D221" s="239">
        <f t="shared" si="72"/>
        <v>0</v>
      </c>
      <c r="E221" s="238" t="s">
        <v>798</v>
      </c>
      <c r="F221" s="250"/>
      <c r="G221" s="250"/>
      <c r="H221" s="250"/>
      <c r="I221" s="250"/>
      <c r="J221" s="250"/>
      <c r="K221" s="250"/>
      <c r="L221" s="250"/>
      <c r="M221" s="250"/>
      <c r="N221" s="250"/>
      <c r="O221" s="250"/>
      <c r="P221" s="250"/>
      <c r="Q221" s="250"/>
    </row>
    <row r="222" outlineLevel="1" spans="1:17">
      <c r="A222" s="223">
        <v>55</v>
      </c>
      <c r="B222" s="244" t="s">
        <v>1121</v>
      </c>
      <c r="C222" s="245" t="s">
        <v>738</v>
      </c>
      <c r="D222" s="246">
        <f t="shared" si="72"/>
        <v>0</v>
      </c>
      <c r="E222" s="245" t="s">
        <v>798</v>
      </c>
      <c r="F222" s="249">
        <f t="shared" ref="F222:Q222" si="87">F223+F224+F225</f>
        <v>0</v>
      </c>
      <c r="G222" s="249">
        <f t="shared" si="87"/>
        <v>0</v>
      </c>
      <c r="H222" s="249">
        <f t="shared" si="87"/>
        <v>0</v>
      </c>
      <c r="I222" s="249">
        <f t="shared" si="87"/>
        <v>0</v>
      </c>
      <c r="J222" s="249">
        <f t="shared" si="87"/>
        <v>0</v>
      </c>
      <c r="K222" s="249">
        <f t="shared" si="87"/>
        <v>0</v>
      </c>
      <c r="L222" s="249">
        <f t="shared" si="87"/>
        <v>0</v>
      </c>
      <c r="M222" s="249">
        <f t="shared" si="87"/>
        <v>0</v>
      </c>
      <c r="N222" s="249">
        <f t="shared" si="87"/>
        <v>0</v>
      </c>
      <c r="O222" s="249">
        <f t="shared" si="87"/>
        <v>0</v>
      </c>
      <c r="P222" s="249">
        <f t="shared" si="87"/>
        <v>0</v>
      </c>
      <c r="Q222" s="249">
        <f t="shared" si="87"/>
        <v>0</v>
      </c>
    </row>
    <row r="223" outlineLevel="1" spans="1:17">
      <c r="A223" s="223">
        <v>55</v>
      </c>
      <c r="B223" s="244" t="s">
        <v>1121</v>
      </c>
      <c r="C223" s="232" t="s">
        <v>109</v>
      </c>
      <c r="D223" s="233">
        <f t="shared" si="72"/>
        <v>0</v>
      </c>
      <c r="E223" s="232" t="s">
        <v>798</v>
      </c>
      <c r="F223" s="250"/>
      <c r="G223" s="250"/>
      <c r="H223" s="250"/>
      <c r="I223" s="250"/>
      <c r="J223" s="250"/>
      <c r="K223" s="250"/>
      <c r="L223" s="250"/>
      <c r="M223" s="250"/>
      <c r="N223" s="250"/>
      <c r="O223" s="250"/>
      <c r="P223" s="250"/>
      <c r="Q223" s="250"/>
    </row>
    <row r="224" outlineLevel="1" spans="1:17">
      <c r="A224" s="223">
        <v>55</v>
      </c>
      <c r="B224" s="244" t="s">
        <v>1121</v>
      </c>
      <c r="C224" s="235" t="s">
        <v>68</v>
      </c>
      <c r="D224" s="236">
        <f t="shared" si="72"/>
        <v>0</v>
      </c>
      <c r="E224" s="235" t="s">
        <v>798</v>
      </c>
      <c r="F224" s="250"/>
      <c r="G224" s="250"/>
      <c r="H224" s="250"/>
      <c r="I224" s="250"/>
      <c r="J224" s="250"/>
      <c r="K224" s="250"/>
      <c r="L224" s="250"/>
      <c r="M224" s="250"/>
      <c r="N224" s="250"/>
      <c r="O224" s="250"/>
      <c r="P224" s="250"/>
      <c r="Q224" s="250"/>
    </row>
    <row r="225" outlineLevel="1" spans="1:17">
      <c r="A225" s="223">
        <v>55</v>
      </c>
      <c r="B225" s="244" t="s">
        <v>1121</v>
      </c>
      <c r="C225" s="238" t="s">
        <v>19</v>
      </c>
      <c r="D225" s="239">
        <f t="shared" si="72"/>
        <v>0</v>
      </c>
      <c r="E225" s="238" t="s">
        <v>798</v>
      </c>
      <c r="F225" s="250"/>
      <c r="G225" s="250"/>
      <c r="H225" s="250"/>
      <c r="I225" s="250"/>
      <c r="J225" s="250"/>
      <c r="K225" s="250"/>
      <c r="L225" s="250"/>
      <c r="M225" s="250"/>
      <c r="N225" s="250"/>
      <c r="O225" s="250"/>
      <c r="P225" s="250"/>
      <c r="Q225" s="250"/>
    </row>
    <row r="226" outlineLevel="1" spans="1:17">
      <c r="A226" s="223">
        <v>56</v>
      </c>
      <c r="B226" s="244" t="s">
        <v>1123</v>
      </c>
      <c r="C226" s="245" t="s">
        <v>738</v>
      </c>
      <c r="D226" s="246">
        <f t="shared" si="72"/>
        <v>0</v>
      </c>
      <c r="E226" s="245" t="s">
        <v>798</v>
      </c>
      <c r="F226" s="249">
        <f t="shared" ref="F226:Q226" si="88">F227+F228+F229</f>
        <v>0</v>
      </c>
      <c r="G226" s="249">
        <f t="shared" si="88"/>
        <v>0</v>
      </c>
      <c r="H226" s="249">
        <f t="shared" si="88"/>
        <v>0</v>
      </c>
      <c r="I226" s="249">
        <f t="shared" si="88"/>
        <v>0</v>
      </c>
      <c r="J226" s="249">
        <f t="shared" si="88"/>
        <v>0</v>
      </c>
      <c r="K226" s="249">
        <f t="shared" si="88"/>
        <v>0</v>
      </c>
      <c r="L226" s="249">
        <f t="shared" si="88"/>
        <v>0</v>
      </c>
      <c r="M226" s="249">
        <f t="shared" si="88"/>
        <v>0</v>
      </c>
      <c r="N226" s="249">
        <f t="shared" si="88"/>
        <v>0</v>
      </c>
      <c r="O226" s="249">
        <f t="shared" si="88"/>
        <v>0</v>
      </c>
      <c r="P226" s="249">
        <f t="shared" si="88"/>
        <v>0</v>
      </c>
      <c r="Q226" s="249">
        <f t="shared" si="88"/>
        <v>0</v>
      </c>
    </row>
    <row r="227" outlineLevel="1" spans="1:17">
      <c r="A227" s="223">
        <v>56</v>
      </c>
      <c r="B227" s="244" t="s">
        <v>1123</v>
      </c>
      <c r="C227" s="232" t="s">
        <v>109</v>
      </c>
      <c r="D227" s="233">
        <f t="shared" si="72"/>
        <v>0</v>
      </c>
      <c r="E227" s="232" t="s">
        <v>798</v>
      </c>
      <c r="F227" s="250"/>
      <c r="G227" s="250"/>
      <c r="H227" s="250"/>
      <c r="I227" s="250"/>
      <c r="J227" s="250"/>
      <c r="K227" s="250"/>
      <c r="L227" s="250"/>
      <c r="M227" s="250"/>
      <c r="N227" s="250"/>
      <c r="O227" s="250"/>
      <c r="P227" s="250"/>
      <c r="Q227" s="250"/>
    </row>
    <row r="228" outlineLevel="1" spans="1:17">
      <c r="A228" s="223">
        <v>56</v>
      </c>
      <c r="B228" s="244" t="s">
        <v>1123</v>
      </c>
      <c r="C228" s="235" t="s">
        <v>68</v>
      </c>
      <c r="D228" s="236">
        <f t="shared" si="72"/>
        <v>0</v>
      </c>
      <c r="E228" s="235" t="s">
        <v>798</v>
      </c>
      <c r="F228" s="250"/>
      <c r="G228" s="250"/>
      <c r="H228" s="250"/>
      <c r="I228" s="250"/>
      <c r="J228" s="250"/>
      <c r="K228" s="250"/>
      <c r="L228" s="250"/>
      <c r="M228" s="250"/>
      <c r="N228" s="250"/>
      <c r="O228" s="250"/>
      <c r="P228" s="250"/>
      <c r="Q228" s="250"/>
    </row>
    <row r="229" outlineLevel="1" spans="1:17">
      <c r="A229" s="223">
        <v>56</v>
      </c>
      <c r="B229" s="244" t="s">
        <v>1123</v>
      </c>
      <c r="C229" s="238" t="s">
        <v>19</v>
      </c>
      <c r="D229" s="239">
        <f t="shared" si="72"/>
        <v>0</v>
      </c>
      <c r="E229" s="238" t="s">
        <v>798</v>
      </c>
      <c r="F229" s="250"/>
      <c r="G229" s="250"/>
      <c r="H229" s="250"/>
      <c r="I229" s="250"/>
      <c r="J229" s="250"/>
      <c r="K229" s="250"/>
      <c r="L229" s="250"/>
      <c r="M229" s="250"/>
      <c r="N229" s="250"/>
      <c r="O229" s="250"/>
      <c r="P229" s="250"/>
      <c r="Q229" s="250"/>
    </row>
    <row r="230" outlineLevel="1" spans="1:17">
      <c r="A230" s="223">
        <v>57</v>
      </c>
      <c r="B230" s="244" t="s">
        <v>1125</v>
      </c>
      <c r="C230" s="245" t="s">
        <v>738</v>
      </c>
      <c r="D230" s="246">
        <f t="shared" si="72"/>
        <v>0</v>
      </c>
      <c r="E230" s="245" t="s">
        <v>798</v>
      </c>
      <c r="F230" s="249">
        <f t="shared" ref="F230:Q230" si="89">F231+F232+F233</f>
        <v>0</v>
      </c>
      <c r="G230" s="249">
        <f t="shared" si="89"/>
        <v>0</v>
      </c>
      <c r="H230" s="249">
        <f t="shared" si="89"/>
        <v>0</v>
      </c>
      <c r="I230" s="249">
        <f t="shared" si="89"/>
        <v>0</v>
      </c>
      <c r="J230" s="249">
        <f t="shared" si="89"/>
        <v>0</v>
      </c>
      <c r="K230" s="249">
        <f t="shared" si="89"/>
        <v>0</v>
      </c>
      <c r="L230" s="249">
        <f t="shared" si="89"/>
        <v>0</v>
      </c>
      <c r="M230" s="249">
        <f t="shared" si="89"/>
        <v>0</v>
      </c>
      <c r="N230" s="249">
        <f t="shared" si="89"/>
        <v>0</v>
      </c>
      <c r="O230" s="249">
        <f t="shared" si="89"/>
        <v>0</v>
      </c>
      <c r="P230" s="249">
        <f t="shared" si="89"/>
        <v>0</v>
      </c>
      <c r="Q230" s="249">
        <f t="shared" si="89"/>
        <v>0</v>
      </c>
    </row>
    <row r="231" outlineLevel="1" spans="1:17">
      <c r="A231" s="223">
        <v>57</v>
      </c>
      <c r="B231" s="244" t="s">
        <v>1125</v>
      </c>
      <c r="C231" s="232" t="s">
        <v>109</v>
      </c>
      <c r="D231" s="233">
        <f t="shared" si="72"/>
        <v>0</v>
      </c>
      <c r="E231" s="232" t="s">
        <v>798</v>
      </c>
      <c r="F231" s="250"/>
      <c r="G231" s="250"/>
      <c r="H231" s="250"/>
      <c r="I231" s="250"/>
      <c r="J231" s="250"/>
      <c r="K231" s="250"/>
      <c r="L231" s="250"/>
      <c r="M231" s="250"/>
      <c r="N231" s="250"/>
      <c r="O231" s="250"/>
      <c r="P231" s="250"/>
      <c r="Q231" s="250"/>
    </row>
    <row r="232" outlineLevel="1" spans="1:17">
      <c r="A232" s="223">
        <v>57</v>
      </c>
      <c r="B232" s="244" t="s">
        <v>1125</v>
      </c>
      <c r="C232" s="235" t="s">
        <v>68</v>
      </c>
      <c r="D232" s="236">
        <f t="shared" si="72"/>
        <v>0</v>
      </c>
      <c r="E232" s="235" t="s">
        <v>798</v>
      </c>
      <c r="F232" s="250"/>
      <c r="G232" s="250"/>
      <c r="H232" s="250"/>
      <c r="I232" s="250"/>
      <c r="J232" s="250"/>
      <c r="K232" s="250"/>
      <c r="L232" s="250"/>
      <c r="M232" s="250"/>
      <c r="N232" s="250"/>
      <c r="O232" s="250"/>
      <c r="P232" s="250"/>
      <c r="Q232" s="250"/>
    </row>
    <row r="233" outlineLevel="1" spans="1:17">
      <c r="A233" s="223">
        <v>57</v>
      </c>
      <c r="B233" s="244" t="s">
        <v>1125</v>
      </c>
      <c r="C233" s="238" t="s">
        <v>19</v>
      </c>
      <c r="D233" s="239">
        <f t="shared" si="72"/>
        <v>0</v>
      </c>
      <c r="E233" s="238" t="s">
        <v>798</v>
      </c>
      <c r="F233" s="250"/>
      <c r="G233" s="250"/>
      <c r="H233" s="250"/>
      <c r="I233" s="250"/>
      <c r="J233" s="250"/>
      <c r="K233" s="250"/>
      <c r="L233" s="250"/>
      <c r="M233" s="250"/>
      <c r="N233" s="250"/>
      <c r="O233" s="250"/>
      <c r="P233" s="250"/>
      <c r="Q233" s="250"/>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21" t="s">
        <v>774</v>
      </c>
      <c r="C3" s="221" t="s">
        <v>2412</v>
      </c>
      <c r="D3" s="221" t="s">
        <v>2414</v>
      </c>
    </row>
    <row r="4" spans="2:4">
      <c r="B4" t="s">
        <v>1844</v>
      </c>
      <c r="C4" t="s">
        <v>2413</v>
      </c>
      <c r="D4" t="s">
        <v>2423</v>
      </c>
    </row>
    <row r="5" spans="2:4">
      <c r="B5" t="s">
        <v>936</v>
      </c>
      <c r="C5" t="s">
        <v>2424</v>
      </c>
      <c r="D5" t="s">
        <v>2415</v>
      </c>
    </row>
    <row r="6" spans="2:4">
      <c r="B6" s="222" t="s">
        <v>1417</v>
      </c>
      <c r="C6" t="s">
        <v>2425</v>
      </c>
      <c r="D6" t="s">
        <v>2426</v>
      </c>
    </row>
    <row r="7" spans="2:4">
      <c r="B7" t="s">
        <v>796</v>
      </c>
      <c r="D7" t="s">
        <v>2427</v>
      </c>
    </row>
    <row r="8" spans="4:4">
      <c r="D8" t="s">
        <v>2428</v>
      </c>
    </row>
    <row r="9" spans="4:4">
      <c r="D9" t="s">
        <v>2429</v>
      </c>
    </row>
    <row r="10" spans="4:4">
      <c r="D10" t="s">
        <v>2430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80" t="s">
        <v>1646</v>
      </c>
      <c r="C2" s="180" t="s">
        <v>2431</v>
      </c>
      <c r="D2" s="181">
        <v>150</v>
      </c>
      <c r="E2" s="182"/>
    </row>
    <row r="3" ht="16.5" spans="2:5">
      <c r="B3" s="180" t="s">
        <v>1649</v>
      </c>
      <c r="C3" s="180" t="s">
        <v>2431</v>
      </c>
      <c r="D3" s="181">
        <v>610</v>
      </c>
      <c r="E3" s="182"/>
    </row>
    <row r="4" ht="16.5" spans="2:5">
      <c r="B4" s="180" t="s">
        <v>1652</v>
      </c>
      <c r="C4" s="180" t="s">
        <v>2431</v>
      </c>
      <c r="D4" s="181">
        <v>270</v>
      </c>
      <c r="E4" s="182"/>
    </row>
    <row r="5" ht="16.5" spans="2:5">
      <c r="B5" s="180" t="s">
        <v>1654</v>
      </c>
      <c r="C5" s="180" t="s">
        <v>2431</v>
      </c>
      <c r="D5" s="181">
        <v>600</v>
      </c>
      <c r="E5" s="182"/>
    </row>
    <row r="6" ht="16.5" spans="2:5">
      <c r="B6" s="180" t="s">
        <v>1656</v>
      </c>
      <c r="C6" s="180" t="s">
        <v>2431</v>
      </c>
      <c r="D6" s="181">
        <v>150</v>
      </c>
      <c r="E6" s="182"/>
    </row>
    <row r="7" ht="16.5" spans="2:5">
      <c r="B7" s="180" t="s">
        <v>1658</v>
      </c>
      <c r="C7" s="180" t="s">
        <v>2431</v>
      </c>
      <c r="D7" s="181">
        <v>380</v>
      </c>
      <c r="E7" s="182"/>
    </row>
    <row r="8" ht="16.5" spans="2:5">
      <c r="B8" s="180" t="s">
        <v>1660</v>
      </c>
      <c r="C8" s="180" t="s">
        <v>2431</v>
      </c>
      <c r="D8" s="181">
        <v>150</v>
      </c>
      <c r="E8" s="182"/>
    </row>
    <row r="9" ht="16.5" spans="2:5">
      <c r="B9" s="180" t="s">
        <v>1646</v>
      </c>
      <c r="C9" s="180" t="s">
        <v>2432</v>
      </c>
      <c r="D9" s="181">
        <v>250</v>
      </c>
      <c r="E9" s="182"/>
    </row>
    <row r="10" ht="16.5" spans="2:5">
      <c r="B10" s="180" t="s">
        <v>1649</v>
      </c>
      <c r="C10" s="180" t="s">
        <v>2432</v>
      </c>
      <c r="D10" s="181">
        <v>910</v>
      </c>
      <c r="E10" s="182"/>
    </row>
    <row r="11" ht="16.5" spans="2:5">
      <c r="B11" s="180" t="s">
        <v>1652</v>
      </c>
      <c r="C11" s="180" t="s">
        <v>2432</v>
      </c>
      <c r="D11" s="181">
        <v>260</v>
      </c>
      <c r="E11" s="182"/>
    </row>
    <row r="12" ht="16.5" spans="2:5">
      <c r="B12" s="180" t="s">
        <v>1654</v>
      </c>
      <c r="C12" s="180" t="s">
        <v>2432</v>
      </c>
      <c r="D12" s="181">
        <v>1012</v>
      </c>
      <c r="E12" s="182"/>
    </row>
    <row r="13" ht="16.5" spans="2:5">
      <c r="B13" s="180" t="s">
        <v>1656</v>
      </c>
      <c r="C13" s="180" t="s">
        <v>2432</v>
      </c>
      <c r="D13" s="181">
        <v>150</v>
      </c>
      <c r="E13" s="182"/>
    </row>
    <row r="14" ht="16.5" spans="2:5">
      <c r="B14" s="180" t="s">
        <v>1658</v>
      </c>
      <c r="C14" s="180" t="s">
        <v>2432</v>
      </c>
      <c r="D14" s="181">
        <v>380</v>
      </c>
      <c r="E14" s="182"/>
    </row>
    <row r="15" ht="16.5" spans="2:5">
      <c r="B15" s="180" t="s">
        <v>1660</v>
      </c>
      <c r="C15" s="180" t="s">
        <v>2432</v>
      </c>
      <c r="D15" s="181">
        <v>150</v>
      </c>
      <c r="E15" s="182"/>
    </row>
    <row r="16" ht="16.5" spans="2:5">
      <c r="B16" s="180" t="s">
        <v>1646</v>
      </c>
      <c r="C16" s="180" t="s">
        <v>2433</v>
      </c>
      <c r="D16" s="181">
        <v>250</v>
      </c>
      <c r="E16" s="182"/>
    </row>
    <row r="17" ht="16.5" spans="2:5">
      <c r="B17" s="180" t="s">
        <v>1649</v>
      </c>
      <c r="C17" s="180" t="s">
        <v>2433</v>
      </c>
      <c r="D17" s="181">
        <v>960</v>
      </c>
      <c r="E17" s="182"/>
    </row>
    <row r="18" ht="16.5" spans="2:5">
      <c r="B18" s="180" t="s">
        <v>1652</v>
      </c>
      <c r="C18" s="180" t="s">
        <v>2433</v>
      </c>
      <c r="D18" s="181">
        <v>260</v>
      </c>
      <c r="E18" s="182"/>
    </row>
    <row r="19" ht="16.5" spans="2:5">
      <c r="B19" s="180" t="s">
        <v>1654</v>
      </c>
      <c r="C19" s="180" t="s">
        <v>2433</v>
      </c>
      <c r="D19" s="181">
        <v>1012</v>
      </c>
      <c r="E19" s="182"/>
    </row>
    <row r="20" ht="16.5" spans="2:5">
      <c r="B20" s="180" t="s">
        <v>1656</v>
      </c>
      <c r="C20" s="180" t="s">
        <v>2433</v>
      </c>
      <c r="D20" s="181">
        <v>150</v>
      </c>
      <c r="E20" s="182"/>
    </row>
    <row r="21" ht="16.5" spans="2:5">
      <c r="B21" s="180" t="s">
        <v>1658</v>
      </c>
      <c r="C21" s="180" t="s">
        <v>2433</v>
      </c>
      <c r="D21" s="181">
        <v>380</v>
      </c>
      <c r="E21" s="182"/>
    </row>
    <row r="22" ht="16.5" spans="2:5">
      <c r="B22" s="180" t="s">
        <v>1660</v>
      </c>
      <c r="C22" s="180" t="s">
        <v>2433</v>
      </c>
      <c r="D22" s="181">
        <v>150</v>
      </c>
      <c r="E22" s="182"/>
    </row>
    <row r="26" ht="112.5" spans="2:131">
      <c r="B26" s="183" t="s">
        <v>2434</v>
      </c>
      <c r="C26" s="184" t="s">
        <v>2435</v>
      </c>
      <c r="D26" s="183" t="s">
        <v>2436</v>
      </c>
      <c r="E26" s="183"/>
      <c r="F26" s="185" t="s">
        <v>2413</v>
      </c>
      <c r="G26" s="185" t="s">
        <v>2413</v>
      </c>
      <c r="H26" s="185" t="s">
        <v>2413</v>
      </c>
      <c r="I26" s="185" t="s">
        <v>2413</v>
      </c>
      <c r="J26" s="185" t="s">
        <v>2413</v>
      </c>
      <c r="K26" s="185" t="s">
        <v>2413</v>
      </c>
      <c r="L26" s="185" t="s">
        <v>2413</v>
      </c>
      <c r="M26" s="185" t="s">
        <v>2413</v>
      </c>
      <c r="N26" s="185" t="s">
        <v>2413</v>
      </c>
      <c r="O26" s="185" t="s">
        <v>2413</v>
      </c>
      <c r="P26" s="185" t="s">
        <v>2413</v>
      </c>
      <c r="Q26" s="185" t="s">
        <v>2413</v>
      </c>
      <c r="R26" s="185" t="s">
        <v>2413</v>
      </c>
      <c r="S26" s="185" t="s">
        <v>2413</v>
      </c>
      <c r="T26" s="185" t="s">
        <v>2413</v>
      </c>
      <c r="U26" s="185" t="s">
        <v>2413</v>
      </c>
      <c r="V26" s="185" t="s">
        <v>2413</v>
      </c>
      <c r="W26" s="185" t="s">
        <v>2413</v>
      </c>
      <c r="X26" s="185" t="s">
        <v>2413</v>
      </c>
      <c r="Y26" s="185" t="s">
        <v>2413</v>
      </c>
      <c r="Z26" s="185" t="s">
        <v>2413</v>
      </c>
      <c r="AA26" s="185" t="s">
        <v>2424</v>
      </c>
      <c r="AB26" s="185" t="s">
        <v>2424</v>
      </c>
      <c r="AC26" s="185" t="s">
        <v>2424</v>
      </c>
      <c r="AD26" s="185" t="s">
        <v>2424</v>
      </c>
      <c r="AE26" s="185" t="s">
        <v>2424</v>
      </c>
      <c r="AF26" s="185" t="s">
        <v>2424</v>
      </c>
      <c r="AG26" s="185" t="s">
        <v>2424</v>
      </c>
      <c r="AH26" s="185" t="s">
        <v>2424</v>
      </c>
      <c r="AI26" s="185" t="s">
        <v>2424</v>
      </c>
      <c r="AJ26" s="185" t="s">
        <v>2424</v>
      </c>
      <c r="AK26" s="185" t="s">
        <v>2424</v>
      </c>
      <c r="AL26" s="185" t="s">
        <v>2424</v>
      </c>
      <c r="AM26" s="185" t="s">
        <v>2424</v>
      </c>
      <c r="AN26" s="185" t="s">
        <v>2424</v>
      </c>
      <c r="AO26" s="185" t="s">
        <v>2424</v>
      </c>
      <c r="AP26" s="185" t="s">
        <v>2424</v>
      </c>
      <c r="AQ26" s="185" t="s">
        <v>2424</v>
      </c>
      <c r="AR26" s="185" t="s">
        <v>2424</v>
      </c>
      <c r="AS26" s="185" t="s">
        <v>2424</v>
      </c>
      <c r="AT26" s="185" t="s">
        <v>2424</v>
      </c>
      <c r="AU26" s="185" t="s">
        <v>2424</v>
      </c>
      <c r="AV26" s="185" t="s">
        <v>2425</v>
      </c>
      <c r="AW26" s="185" t="s">
        <v>2425</v>
      </c>
      <c r="AX26" s="185" t="s">
        <v>2425</v>
      </c>
      <c r="AY26" s="185" t="s">
        <v>2425</v>
      </c>
      <c r="AZ26" s="185" t="s">
        <v>2425</v>
      </c>
      <c r="BA26" s="185" t="s">
        <v>2425</v>
      </c>
      <c r="BB26" s="185" t="s">
        <v>2425</v>
      </c>
      <c r="BC26" s="185" t="s">
        <v>2425</v>
      </c>
      <c r="BD26" s="185" t="s">
        <v>2425</v>
      </c>
      <c r="BE26" s="185" t="s">
        <v>2425</v>
      </c>
      <c r="BF26" s="185" t="s">
        <v>2425</v>
      </c>
      <c r="BG26" s="185" t="s">
        <v>2425</v>
      </c>
      <c r="BH26" s="185" t="s">
        <v>2425</v>
      </c>
      <c r="BI26" s="185" t="s">
        <v>2425</v>
      </c>
      <c r="BJ26" s="185" t="s">
        <v>2425</v>
      </c>
      <c r="BK26" s="185" t="s">
        <v>2425</v>
      </c>
      <c r="BL26" s="185" t="s">
        <v>2425</v>
      </c>
      <c r="BM26" s="185" t="s">
        <v>2425</v>
      </c>
      <c r="BN26" s="185" t="s">
        <v>2425</v>
      </c>
      <c r="BO26" s="185" t="s">
        <v>2425</v>
      </c>
      <c r="BP26" s="185" t="s">
        <v>2425</v>
      </c>
      <c r="BQ26" s="185" t="s">
        <v>2413</v>
      </c>
      <c r="BR26" s="185" t="s">
        <v>2413</v>
      </c>
      <c r="BS26" s="185" t="s">
        <v>2413</v>
      </c>
      <c r="BT26" s="185" t="s">
        <v>2413</v>
      </c>
      <c r="BU26" s="185" t="s">
        <v>2413</v>
      </c>
      <c r="BV26" s="185" t="s">
        <v>2413</v>
      </c>
      <c r="BW26" s="185" t="s">
        <v>2413</v>
      </c>
      <c r="BX26" s="185" t="s">
        <v>2413</v>
      </c>
      <c r="BY26" s="185" t="s">
        <v>2413</v>
      </c>
      <c r="BZ26" s="185" t="s">
        <v>2413</v>
      </c>
      <c r="CA26" s="185" t="s">
        <v>2413</v>
      </c>
      <c r="CB26" s="185" t="s">
        <v>2413</v>
      </c>
      <c r="CC26" s="185" t="s">
        <v>2413</v>
      </c>
      <c r="CD26" s="185" t="s">
        <v>2413</v>
      </c>
      <c r="CE26" s="185" t="s">
        <v>2413</v>
      </c>
      <c r="CF26" s="185" t="s">
        <v>2413</v>
      </c>
      <c r="CG26" s="185" t="s">
        <v>2413</v>
      </c>
      <c r="CH26" s="185" t="s">
        <v>2413</v>
      </c>
      <c r="CI26" s="185" t="s">
        <v>2413</v>
      </c>
      <c r="CJ26" s="185" t="s">
        <v>2413</v>
      </c>
      <c r="CK26" s="185" t="s">
        <v>2413</v>
      </c>
      <c r="CL26" s="185" t="s">
        <v>2424</v>
      </c>
      <c r="CM26" s="185" t="s">
        <v>2424</v>
      </c>
      <c r="CN26" s="185" t="s">
        <v>2424</v>
      </c>
      <c r="CO26" s="185" t="s">
        <v>2424</v>
      </c>
      <c r="CP26" s="185" t="s">
        <v>2424</v>
      </c>
      <c r="CQ26" s="185" t="s">
        <v>2424</v>
      </c>
      <c r="CR26" s="185" t="s">
        <v>2424</v>
      </c>
      <c r="CS26" s="185" t="s">
        <v>2424</v>
      </c>
      <c r="CT26" s="185" t="s">
        <v>2424</v>
      </c>
      <c r="CU26" s="185" t="s">
        <v>2424</v>
      </c>
      <c r="CV26" s="185" t="s">
        <v>2424</v>
      </c>
      <c r="CW26" s="185" t="s">
        <v>2424</v>
      </c>
      <c r="CX26" s="185" t="s">
        <v>2424</v>
      </c>
      <c r="CY26" s="185" t="s">
        <v>2424</v>
      </c>
      <c r="CZ26" s="185" t="s">
        <v>2424</v>
      </c>
      <c r="DA26" s="185" t="s">
        <v>2424</v>
      </c>
      <c r="DB26" s="185" t="s">
        <v>2424</v>
      </c>
      <c r="DC26" s="185" t="s">
        <v>2424</v>
      </c>
      <c r="DD26" s="185" t="s">
        <v>2424</v>
      </c>
      <c r="DE26" s="185" t="s">
        <v>2424</v>
      </c>
      <c r="DF26" s="185" t="s">
        <v>2424</v>
      </c>
      <c r="DG26" s="185" t="s">
        <v>2425</v>
      </c>
      <c r="DH26" s="185" t="s">
        <v>2425</v>
      </c>
      <c r="DI26" s="185" t="s">
        <v>2425</v>
      </c>
      <c r="DJ26" s="185" t="s">
        <v>2425</v>
      </c>
      <c r="DK26" s="185" t="s">
        <v>2425</v>
      </c>
      <c r="DL26" s="185" t="s">
        <v>2425</v>
      </c>
      <c r="DM26" s="185" t="s">
        <v>2425</v>
      </c>
      <c r="DN26" s="185" t="s">
        <v>2425</v>
      </c>
      <c r="DO26" s="185" t="s">
        <v>2425</v>
      </c>
      <c r="DP26" s="185" t="s">
        <v>2425</v>
      </c>
      <c r="DQ26" s="185" t="s">
        <v>2425</v>
      </c>
      <c r="DR26" s="185" t="s">
        <v>2425</v>
      </c>
      <c r="DS26" s="185" t="s">
        <v>2425</v>
      </c>
      <c r="DT26" s="185" t="s">
        <v>2425</v>
      </c>
      <c r="DU26" s="185" t="s">
        <v>2425</v>
      </c>
      <c r="DV26" s="185" t="s">
        <v>2425</v>
      </c>
      <c r="DW26" s="185" t="s">
        <v>2425</v>
      </c>
      <c r="DX26" s="185" t="s">
        <v>2425</v>
      </c>
      <c r="DY26" s="185" t="s">
        <v>2425</v>
      </c>
      <c r="DZ26" s="185" t="s">
        <v>2425</v>
      </c>
      <c r="EA26" s="185" t="s">
        <v>2425</v>
      </c>
    </row>
    <row r="27" ht="37.5" spans="2:131">
      <c r="B27" s="183"/>
      <c r="C27" s="186"/>
      <c r="D27" s="183"/>
      <c r="E27" s="183"/>
      <c r="F27" s="185" t="s">
        <v>2437</v>
      </c>
      <c r="G27" s="185" t="s">
        <v>2437</v>
      </c>
      <c r="H27" s="185" t="s">
        <v>2437</v>
      </c>
      <c r="I27" s="185" t="s">
        <v>2437</v>
      </c>
      <c r="J27" s="185" t="s">
        <v>2437</v>
      </c>
      <c r="K27" s="185" t="s">
        <v>2437</v>
      </c>
      <c r="L27" s="185" t="s">
        <v>2437</v>
      </c>
      <c r="M27" s="185" t="s">
        <v>2438</v>
      </c>
      <c r="N27" s="185" t="s">
        <v>2438</v>
      </c>
      <c r="O27" s="185" t="s">
        <v>2438</v>
      </c>
      <c r="P27" s="185" t="s">
        <v>2438</v>
      </c>
      <c r="Q27" s="185" t="s">
        <v>2438</v>
      </c>
      <c r="R27" s="185" t="s">
        <v>2438</v>
      </c>
      <c r="S27" s="185" t="s">
        <v>2438</v>
      </c>
      <c r="T27" s="185" t="s">
        <v>2439</v>
      </c>
      <c r="U27" s="185" t="s">
        <v>2439</v>
      </c>
      <c r="V27" s="185" t="s">
        <v>2439</v>
      </c>
      <c r="W27" s="185" t="s">
        <v>2439</v>
      </c>
      <c r="X27" s="185" t="s">
        <v>2439</v>
      </c>
      <c r="Y27" s="185" t="s">
        <v>2439</v>
      </c>
      <c r="Z27" s="185" t="s">
        <v>2439</v>
      </c>
      <c r="AA27" s="185" t="s">
        <v>2437</v>
      </c>
      <c r="AB27" s="185" t="s">
        <v>2437</v>
      </c>
      <c r="AC27" s="185" t="s">
        <v>2437</v>
      </c>
      <c r="AD27" s="185" t="s">
        <v>2437</v>
      </c>
      <c r="AE27" s="185" t="s">
        <v>2437</v>
      </c>
      <c r="AF27" s="185" t="s">
        <v>2437</v>
      </c>
      <c r="AG27" s="185" t="s">
        <v>2437</v>
      </c>
      <c r="AH27" s="185" t="s">
        <v>2438</v>
      </c>
      <c r="AI27" s="185" t="s">
        <v>2438</v>
      </c>
      <c r="AJ27" s="185" t="s">
        <v>2438</v>
      </c>
      <c r="AK27" s="185" t="s">
        <v>2438</v>
      </c>
      <c r="AL27" s="185" t="s">
        <v>2438</v>
      </c>
      <c r="AM27" s="185" t="s">
        <v>2438</v>
      </c>
      <c r="AN27" s="185" t="s">
        <v>2438</v>
      </c>
      <c r="AO27" s="185" t="s">
        <v>2439</v>
      </c>
      <c r="AP27" s="185" t="s">
        <v>2439</v>
      </c>
      <c r="AQ27" s="185" t="s">
        <v>2439</v>
      </c>
      <c r="AR27" s="185" t="s">
        <v>2439</v>
      </c>
      <c r="AS27" s="185" t="s">
        <v>2439</v>
      </c>
      <c r="AT27" s="185" t="s">
        <v>2439</v>
      </c>
      <c r="AU27" s="185" t="s">
        <v>2439</v>
      </c>
      <c r="AV27" s="185" t="s">
        <v>2437</v>
      </c>
      <c r="AW27" s="185" t="s">
        <v>2437</v>
      </c>
      <c r="AX27" s="185" t="s">
        <v>2437</v>
      </c>
      <c r="AY27" s="185" t="s">
        <v>2437</v>
      </c>
      <c r="AZ27" s="185" t="s">
        <v>2437</v>
      </c>
      <c r="BA27" s="185" t="s">
        <v>2437</v>
      </c>
      <c r="BB27" s="185" t="s">
        <v>2437</v>
      </c>
      <c r="BC27" s="185" t="s">
        <v>2438</v>
      </c>
      <c r="BD27" s="185" t="s">
        <v>2438</v>
      </c>
      <c r="BE27" s="185" t="s">
        <v>2438</v>
      </c>
      <c r="BF27" s="185" t="s">
        <v>2438</v>
      </c>
      <c r="BG27" s="185" t="s">
        <v>2438</v>
      </c>
      <c r="BH27" s="185" t="s">
        <v>2438</v>
      </c>
      <c r="BI27" s="185" t="s">
        <v>2438</v>
      </c>
      <c r="BJ27" s="185" t="s">
        <v>2439</v>
      </c>
      <c r="BK27" s="185" t="s">
        <v>2439</v>
      </c>
      <c r="BL27" s="185" t="s">
        <v>2439</v>
      </c>
      <c r="BM27" s="185" t="s">
        <v>2439</v>
      </c>
      <c r="BN27" s="185" t="s">
        <v>2439</v>
      </c>
      <c r="BO27" s="185" t="s">
        <v>2439</v>
      </c>
      <c r="BP27" s="185" t="s">
        <v>2439</v>
      </c>
      <c r="BQ27" s="185" t="s">
        <v>2437</v>
      </c>
      <c r="BR27" s="185" t="s">
        <v>2437</v>
      </c>
      <c r="BS27" s="185" t="s">
        <v>2437</v>
      </c>
      <c r="BT27" s="185" t="s">
        <v>2437</v>
      </c>
      <c r="BU27" s="185" t="s">
        <v>2437</v>
      </c>
      <c r="BV27" s="185" t="s">
        <v>2437</v>
      </c>
      <c r="BW27" s="185" t="s">
        <v>2437</v>
      </c>
      <c r="BX27" s="185" t="s">
        <v>2438</v>
      </c>
      <c r="BY27" s="185" t="s">
        <v>2438</v>
      </c>
      <c r="BZ27" s="185" t="s">
        <v>2438</v>
      </c>
      <c r="CA27" s="185" t="s">
        <v>2438</v>
      </c>
      <c r="CB27" s="185" t="s">
        <v>2438</v>
      </c>
      <c r="CC27" s="185" t="s">
        <v>2438</v>
      </c>
      <c r="CD27" s="185" t="s">
        <v>2438</v>
      </c>
      <c r="CE27" s="185" t="s">
        <v>2439</v>
      </c>
      <c r="CF27" s="185" t="s">
        <v>2439</v>
      </c>
      <c r="CG27" s="185" t="s">
        <v>2439</v>
      </c>
      <c r="CH27" s="185" t="s">
        <v>2439</v>
      </c>
      <c r="CI27" s="185" t="s">
        <v>2439</v>
      </c>
      <c r="CJ27" s="185" t="s">
        <v>2439</v>
      </c>
      <c r="CK27" s="185" t="s">
        <v>2439</v>
      </c>
      <c r="CL27" s="185" t="s">
        <v>2437</v>
      </c>
      <c r="CM27" s="185" t="s">
        <v>2437</v>
      </c>
      <c r="CN27" s="185" t="s">
        <v>2437</v>
      </c>
      <c r="CO27" s="185" t="s">
        <v>2437</v>
      </c>
      <c r="CP27" s="185" t="s">
        <v>2437</v>
      </c>
      <c r="CQ27" s="185" t="s">
        <v>2437</v>
      </c>
      <c r="CR27" s="185" t="s">
        <v>2437</v>
      </c>
      <c r="CS27" s="185" t="s">
        <v>2438</v>
      </c>
      <c r="CT27" s="185" t="s">
        <v>2438</v>
      </c>
      <c r="CU27" s="185" t="s">
        <v>2438</v>
      </c>
      <c r="CV27" s="185" t="s">
        <v>2438</v>
      </c>
      <c r="CW27" s="185" t="s">
        <v>2438</v>
      </c>
      <c r="CX27" s="185" t="s">
        <v>2438</v>
      </c>
      <c r="CY27" s="185" t="s">
        <v>2438</v>
      </c>
      <c r="CZ27" s="185" t="s">
        <v>2439</v>
      </c>
      <c r="DA27" s="185" t="s">
        <v>2439</v>
      </c>
      <c r="DB27" s="185" t="s">
        <v>2439</v>
      </c>
      <c r="DC27" s="185" t="s">
        <v>2439</v>
      </c>
      <c r="DD27" s="185" t="s">
        <v>2439</v>
      </c>
      <c r="DE27" s="185" t="s">
        <v>2439</v>
      </c>
      <c r="DF27" s="185" t="s">
        <v>2439</v>
      </c>
      <c r="DG27" s="185" t="s">
        <v>2437</v>
      </c>
      <c r="DH27" s="185" t="s">
        <v>2437</v>
      </c>
      <c r="DI27" s="185" t="s">
        <v>2437</v>
      </c>
      <c r="DJ27" s="185" t="s">
        <v>2437</v>
      </c>
      <c r="DK27" s="185" t="s">
        <v>2437</v>
      </c>
      <c r="DL27" s="185" t="s">
        <v>2437</v>
      </c>
      <c r="DM27" s="185" t="s">
        <v>2437</v>
      </c>
      <c r="DN27" s="185" t="s">
        <v>2438</v>
      </c>
      <c r="DO27" s="185" t="s">
        <v>2438</v>
      </c>
      <c r="DP27" s="185" t="s">
        <v>2438</v>
      </c>
      <c r="DQ27" s="185" t="s">
        <v>2438</v>
      </c>
      <c r="DR27" s="185" t="s">
        <v>2438</v>
      </c>
      <c r="DS27" s="185" t="s">
        <v>2438</v>
      </c>
      <c r="DT27" s="185" t="s">
        <v>2438</v>
      </c>
      <c r="DU27" s="185" t="s">
        <v>2439</v>
      </c>
      <c r="DV27" s="185" t="s">
        <v>2439</v>
      </c>
      <c r="DW27" s="185" t="s">
        <v>2439</v>
      </c>
      <c r="DX27" s="185" t="s">
        <v>2439</v>
      </c>
      <c r="DY27" s="185" t="s">
        <v>2439</v>
      </c>
      <c r="DZ27" s="185" t="s">
        <v>2439</v>
      </c>
      <c r="EA27" s="185" t="s">
        <v>2439</v>
      </c>
    </row>
    <row r="28" ht="40.5" spans="2:131">
      <c r="B28" s="183"/>
      <c r="C28" s="187"/>
      <c r="D28" s="183"/>
      <c r="E28" s="183"/>
      <c r="F28" s="185" t="s">
        <v>2423</v>
      </c>
      <c r="G28" s="188" t="s">
        <v>2415</v>
      </c>
      <c r="H28" s="188" t="s">
        <v>2426</v>
      </c>
      <c r="I28" s="188" t="s">
        <v>2427</v>
      </c>
      <c r="J28" s="188" t="s">
        <v>2428</v>
      </c>
      <c r="K28" s="188" t="s">
        <v>2429</v>
      </c>
      <c r="L28" s="209" t="s">
        <v>2430</v>
      </c>
      <c r="M28" s="185" t="s">
        <v>2423</v>
      </c>
      <c r="N28" s="188" t="s">
        <v>2415</v>
      </c>
      <c r="O28" s="188" t="s">
        <v>2426</v>
      </c>
      <c r="P28" s="210" t="s">
        <v>2427</v>
      </c>
      <c r="Q28" s="210" t="s">
        <v>2428</v>
      </c>
      <c r="R28" s="210" t="s">
        <v>2429</v>
      </c>
      <c r="S28" s="209" t="s">
        <v>2430</v>
      </c>
      <c r="T28" s="214" t="s">
        <v>2423</v>
      </c>
      <c r="U28" s="210" t="s">
        <v>2415</v>
      </c>
      <c r="V28" s="210" t="s">
        <v>2426</v>
      </c>
      <c r="W28" s="210" t="s">
        <v>2427</v>
      </c>
      <c r="X28" s="210" t="s">
        <v>2428</v>
      </c>
      <c r="Y28" s="210" t="s">
        <v>2429</v>
      </c>
      <c r="Z28" s="209" t="s">
        <v>2430</v>
      </c>
      <c r="AA28" s="215" t="s">
        <v>2423</v>
      </c>
      <c r="AB28" s="210" t="s">
        <v>2415</v>
      </c>
      <c r="AC28" s="210" t="s">
        <v>2426</v>
      </c>
      <c r="AD28" s="210" t="s">
        <v>2427</v>
      </c>
      <c r="AE28" s="210" t="s">
        <v>2428</v>
      </c>
      <c r="AF28" s="210" t="s">
        <v>2429</v>
      </c>
      <c r="AG28" s="209" t="s">
        <v>2430</v>
      </c>
      <c r="AH28" s="215" t="s">
        <v>2423</v>
      </c>
      <c r="AI28" s="210" t="s">
        <v>2415</v>
      </c>
      <c r="AJ28" s="210" t="s">
        <v>2426</v>
      </c>
      <c r="AK28" s="210" t="s">
        <v>2427</v>
      </c>
      <c r="AL28" s="210" t="s">
        <v>2428</v>
      </c>
      <c r="AM28" s="210" t="s">
        <v>2429</v>
      </c>
      <c r="AN28" s="209" t="s">
        <v>2430</v>
      </c>
      <c r="AO28" s="215" t="s">
        <v>2423</v>
      </c>
      <c r="AP28" s="210" t="s">
        <v>2415</v>
      </c>
      <c r="AQ28" s="210" t="s">
        <v>2426</v>
      </c>
      <c r="AR28" s="210" t="s">
        <v>2427</v>
      </c>
      <c r="AS28" s="210" t="s">
        <v>2428</v>
      </c>
      <c r="AT28" s="210" t="s">
        <v>2429</v>
      </c>
      <c r="AU28" s="209" t="s">
        <v>2430</v>
      </c>
      <c r="AV28" s="214" t="s">
        <v>2423</v>
      </c>
      <c r="AW28" s="209" t="s">
        <v>2415</v>
      </c>
      <c r="AX28" s="209" t="s">
        <v>2426</v>
      </c>
      <c r="AY28" s="209" t="s">
        <v>2427</v>
      </c>
      <c r="AZ28" s="209" t="s">
        <v>2428</v>
      </c>
      <c r="BA28" s="209" t="s">
        <v>2429</v>
      </c>
      <c r="BB28" s="209" t="s">
        <v>2430</v>
      </c>
      <c r="BC28" s="214" t="s">
        <v>2423</v>
      </c>
      <c r="BD28" s="209" t="s">
        <v>2415</v>
      </c>
      <c r="BE28" s="209" t="s">
        <v>2426</v>
      </c>
      <c r="BF28" s="209" t="s">
        <v>2427</v>
      </c>
      <c r="BG28" s="217" t="s">
        <v>2428</v>
      </c>
      <c r="BH28" s="217" t="s">
        <v>2429</v>
      </c>
      <c r="BI28" s="217" t="s">
        <v>2430</v>
      </c>
      <c r="BJ28" s="185" t="s">
        <v>2423</v>
      </c>
      <c r="BK28" s="217" t="s">
        <v>2415</v>
      </c>
      <c r="BL28" s="217" t="s">
        <v>2426</v>
      </c>
      <c r="BM28" s="217" t="s">
        <v>2427</v>
      </c>
      <c r="BN28" s="217" t="s">
        <v>2428</v>
      </c>
      <c r="BO28" s="217" t="s">
        <v>2429</v>
      </c>
      <c r="BP28" s="217" t="s">
        <v>2430</v>
      </c>
      <c r="BQ28" s="185" t="s">
        <v>2423</v>
      </c>
      <c r="BR28" s="188" t="s">
        <v>2415</v>
      </c>
      <c r="BS28" s="188" t="s">
        <v>2426</v>
      </c>
      <c r="BT28" s="188" t="s">
        <v>2427</v>
      </c>
      <c r="BU28" s="188" t="s">
        <v>2428</v>
      </c>
      <c r="BV28" s="188" t="s">
        <v>2429</v>
      </c>
      <c r="BW28" s="209" t="s">
        <v>2430</v>
      </c>
      <c r="BX28" s="185" t="s">
        <v>2423</v>
      </c>
      <c r="BY28" s="188" t="s">
        <v>2415</v>
      </c>
      <c r="BZ28" s="188" t="s">
        <v>2426</v>
      </c>
      <c r="CA28" s="210" t="s">
        <v>2427</v>
      </c>
      <c r="CB28" s="210" t="s">
        <v>2428</v>
      </c>
      <c r="CC28" s="210" t="s">
        <v>2429</v>
      </c>
      <c r="CD28" s="209" t="s">
        <v>2430</v>
      </c>
      <c r="CE28" s="214" t="s">
        <v>2423</v>
      </c>
      <c r="CF28" s="210" t="s">
        <v>2415</v>
      </c>
      <c r="CG28" s="210" t="s">
        <v>2426</v>
      </c>
      <c r="CH28" s="210" t="s">
        <v>2427</v>
      </c>
      <c r="CI28" s="210" t="s">
        <v>2428</v>
      </c>
      <c r="CJ28" s="210" t="s">
        <v>2429</v>
      </c>
      <c r="CK28" s="209" t="s">
        <v>2430</v>
      </c>
      <c r="CL28" s="215" t="s">
        <v>2423</v>
      </c>
      <c r="CM28" s="210" t="s">
        <v>2415</v>
      </c>
      <c r="CN28" s="210" t="s">
        <v>2426</v>
      </c>
      <c r="CO28" s="210" t="s">
        <v>2427</v>
      </c>
      <c r="CP28" s="210" t="s">
        <v>2428</v>
      </c>
      <c r="CQ28" s="210" t="s">
        <v>2429</v>
      </c>
      <c r="CR28" s="209" t="s">
        <v>2430</v>
      </c>
      <c r="CS28" s="215" t="s">
        <v>2423</v>
      </c>
      <c r="CT28" s="210" t="s">
        <v>2415</v>
      </c>
      <c r="CU28" s="210" t="s">
        <v>2426</v>
      </c>
      <c r="CV28" s="210" t="s">
        <v>2427</v>
      </c>
      <c r="CW28" s="210" t="s">
        <v>2428</v>
      </c>
      <c r="CX28" s="210" t="s">
        <v>2429</v>
      </c>
      <c r="CY28" s="209" t="s">
        <v>2430</v>
      </c>
      <c r="CZ28" s="215" t="s">
        <v>2423</v>
      </c>
      <c r="DA28" s="210" t="s">
        <v>2415</v>
      </c>
      <c r="DB28" s="210" t="s">
        <v>2426</v>
      </c>
      <c r="DC28" s="210" t="s">
        <v>2427</v>
      </c>
      <c r="DD28" s="210" t="s">
        <v>2428</v>
      </c>
      <c r="DE28" s="210" t="s">
        <v>2429</v>
      </c>
      <c r="DF28" s="209" t="s">
        <v>2430</v>
      </c>
      <c r="DG28" s="214" t="s">
        <v>2423</v>
      </c>
      <c r="DH28" s="209" t="s">
        <v>2415</v>
      </c>
      <c r="DI28" s="209" t="s">
        <v>2426</v>
      </c>
      <c r="DJ28" s="209" t="s">
        <v>2427</v>
      </c>
      <c r="DK28" s="209" t="s">
        <v>2428</v>
      </c>
      <c r="DL28" s="209" t="s">
        <v>2429</v>
      </c>
      <c r="DM28" s="209" t="s">
        <v>2430</v>
      </c>
      <c r="DN28" s="214" t="s">
        <v>2423</v>
      </c>
      <c r="DO28" s="209" t="s">
        <v>2415</v>
      </c>
      <c r="DP28" s="209" t="s">
        <v>2426</v>
      </c>
      <c r="DQ28" s="209" t="s">
        <v>2427</v>
      </c>
      <c r="DR28" s="217" t="s">
        <v>2428</v>
      </c>
      <c r="DS28" s="217" t="s">
        <v>2429</v>
      </c>
      <c r="DT28" s="217" t="s">
        <v>2430</v>
      </c>
      <c r="DU28" s="185" t="s">
        <v>2423</v>
      </c>
      <c r="DV28" s="217" t="s">
        <v>2415</v>
      </c>
      <c r="DW28" s="217" t="s">
        <v>2426</v>
      </c>
      <c r="DX28" s="217" t="s">
        <v>2427</v>
      </c>
      <c r="DY28" s="217" t="s">
        <v>2428</v>
      </c>
      <c r="DZ28" s="217" t="s">
        <v>2429</v>
      </c>
      <c r="EA28" s="217" t="s">
        <v>2430</v>
      </c>
    </row>
    <row r="29" ht="20.25" spans="2:131">
      <c r="B29" s="184"/>
      <c r="C29" s="186"/>
      <c r="D29" s="183"/>
      <c r="E29" s="183"/>
      <c r="F29" s="185" t="s">
        <v>2440</v>
      </c>
      <c r="G29" s="185" t="s">
        <v>2440</v>
      </c>
      <c r="H29" s="185" t="s">
        <v>2440</v>
      </c>
      <c r="I29" s="185" t="s">
        <v>2440</v>
      </c>
      <c r="J29" s="185" t="s">
        <v>2440</v>
      </c>
      <c r="K29" s="185" t="s">
        <v>2440</v>
      </c>
      <c r="L29" s="185" t="s">
        <v>2440</v>
      </c>
      <c r="M29" s="185" t="s">
        <v>2440</v>
      </c>
      <c r="N29" s="185" t="s">
        <v>2440</v>
      </c>
      <c r="O29" s="185" t="s">
        <v>2440</v>
      </c>
      <c r="P29" s="185" t="s">
        <v>2440</v>
      </c>
      <c r="Q29" s="185" t="s">
        <v>2440</v>
      </c>
      <c r="R29" s="185" t="s">
        <v>2440</v>
      </c>
      <c r="S29" s="185" t="s">
        <v>2440</v>
      </c>
      <c r="T29" s="185" t="s">
        <v>2440</v>
      </c>
      <c r="U29" s="185" t="s">
        <v>2440</v>
      </c>
      <c r="V29" s="185" t="s">
        <v>2440</v>
      </c>
      <c r="W29" s="185" t="s">
        <v>2440</v>
      </c>
      <c r="X29" s="185" t="s">
        <v>2440</v>
      </c>
      <c r="Y29" s="185" t="s">
        <v>2440</v>
      </c>
      <c r="Z29" s="185" t="s">
        <v>2440</v>
      </c>
      <c r="AA29" s="185" t="s">
        <v>2440</v>
      </c>
      <c r="AB29" s="185" t="s">
        <v>2440</v>
      </c>
      <c r="AC29" s="185" t="s">
        <v>2440</v>
      </c>
      <c r="AD29" s="185" t="s">
        <v>2440</v>
      </c>
      <c r="AE29" s="185" t="s">
        <v>2440</v>
      </c>
      <c r="AF29" s="185" t="s">
        <v>2440</v>
      </c>
      <c r="AG29" s="185" t="s">
        <v>2440</v>
      </c>
      <c r="AH29" s="185" t="s">
        <v>2440</v>
      </c>
      <c r="AI29" s="185" t="s">
        <v>2440</v>
      </c>
      <c r="AJ29" s="185" t="s">
        <v>2440</v>
      </c>
      <c r="AK29" s="185" t="s">
        <v>2440</v>
      </c>
      <c r="AL29" s="185" t="s">
        <v>2440</v>
      </c>
      <c r="AM29" s="185" t="s">
        <v>2440</v>
      </c>
      <c r="AN29" s="185" t="s">
        <v>2440</v>
      </c>
      <c r="AO29" s="185" t="s">
        <v>2440</v>
      </c>
      <c r="AP29" s="185" t="s">
        <v>2440</v>
      </c>
      <c r="AQ29" s="185" t="s">
        <v>2440</v>
      </c>
      <c r="AR29" s="185" t="s">
        <v>2440</v>
      </c>
      <c r="AS29" s="185" t="s">
        <v>2440</v>
      </c>
      <c r="AT29" s="185" t="s">
        <v>2440</v>
      </c>
      <c r="AU29" s="185" t="s">
        <v>2440</v>
      </c>
      <c r="AV29" s="185" t="s">
        <v>2440</v>
      </c>
      <c r="AW29" s="185" t="s">
        <v>2440</v>
      </c>
      <c r="AX29" s="185" t="s">
        <v>2440</v>
      </c>
      <c r="AY29" s="185" t="s">
        <v>2440</v>
      </c>
      <c r="AZ29" s="185" t="s">
        <v>2440</v>
      </c>
      <c r="BA29" s="185" t="s">
        <v>2440</v>
      </c>
      <c r="BB29" s="185" t="s">
        <v>2440</v>
      </c>
      <c r="BC29" s="185" t="s">
        <v>2440</v>
      </c>
      <c r="BD29" s="185" t="s">
        <v>2440</v>
      </c>
      <c r="BE29" s="185" t="s">
        <v>2440</v>
      </c>
      <c r="BF29" s="185" t="s">
        <v>2440</v>
      </c>
      <c r="BG29" s="185" t="s">
        <v>2440</v>
      </c>
      <c r="BH29" s="185" t="s">
        <v>2440</v>
      </c>
      <c r="BI29" s="185" t="s">
        <v>2440</v>
      </c>
      <c r="BJ29" s="185" t="s">
        <v>2440</v>
      </c>
      <c r="BK29" s="185" t="s">
        <v>2440</v>
      </c>
      <c r="BL29" s="185" t="s">
        <v>2440</v>
      </c>
      <c r="BM29" s="185" t="s">
        <v>2440</v>
      </c>
      <c r="BN29" s="185" t="s">
        <v>2440</v>
      </c>
      <c r="BO29" s="185" t="s">
        <v>2440</v>
      </c>
      <c r="BP29" s="185" t="s">
        <v>2440</v>
      </c>
      <c r="BQ29" s="185" t="s">
        <v>2404</v>
      </c>
      <c r="BR29" s="185" t="s">
        <v>2404</v>
      </c>
      <c r="BS29" s="185" t="s">
        <v>2404</v>
      </c>
      <c r="BT29" s="185" t="s">
        <v>2404</v>
      </c>
      <c r="BU29" s="185" t="s">
        <v>2404</v>
      </c>
      <c r="BV29" s="185" t="s">
        <v>2404</v>
      </c>
      <c r="BW29" s="185" t="s">
        <v>2404</v>
      </c>
      <c r="BX29" s="185" t="s">
        <v>2404</v>
      </c>
      <c r="BY29" s="185" t="s">
        <v>2404</v>
      </c>
      <c r="BZ29" s="185" t="s">
        <v>2404</v>
      </c>
      <c r="CA29" s="185" t="s">
        <v>2404</v>
      </c>
      <c r="CB29" s="185" t="s">
        <v>2404</v>
      </c>
      <c r="CC29" s="185" t="s">
        <v>2404</v>
      </c>
      <c r="CD29" s="185" t="s">
        <v>2404</v>
      </c>
      <c r="CE29" s="185" t="s">
        <v>2404</v>
      </c>
      <c r="CF29" s="185" t="s">
        <v>2404</v>
      </c>
      <c r="CG29" s="185" t="s">
        <v>2404</v>
      </c>
      <c r="CH29" s="185" t="s">
        <v>2404</v>
      </c>
      <c r="CI29" s="185" t="s">
        <v>2404</v>
      </c>
      <c r="CJ29" s="185" t="s">
        <v>2404</v>
      </c>
      <c r="CK29" s="185" t="s">
        <v>2404</v>
      </c>
      <c r="CL29" s="185" t="s">
        <v>2404</v>
      </c>
      <c r="CM29" s="185" t="s">
        <v>2404</v>
      </c>
      <c r="CN29" s="185" t="s">
        <v>2404</v>
      </c>
      <c r="CO29" s="185" t="s">
        <v>2404</v>
      </c>
      <c r="CP29" s="185" t="s">
        <v>2404</v>
      </c>
      <c r="CQ29" s="185" t="s">
        <v>2404</v>
      </c>
      <c r="CR29" s="185" t="s">
        <v>2404</v>
      </c>
      <c r="CS29" s="185" t="s">
        <v>2404</v>
      </c>
      <c r="CT29" s="185" t="s">
        <v>2404</v>
      </c>
      <c r="CU29" s="185" t="s">
        <v>2404</v>
      </c>
      <c r="CV29" s="185" t="s">
        <v>2404</v>
      </c>
      <c r="CW29" s="185" t="s">
        <v>2404</v>
      </c>
      <c r="CX29" s="185" t="s">
        <v>2404</v>
      </c>
      <c r="CY29" s="185" t="s">
        <v>2404</v>
      </c>
      <c r="CZ29" s="185" t="s">
        <v>2404</v>
      </c>
      <c r="DA29" s="185" t="s">
        <v>2404</v>
      </c>
      <c r="DB29" s="185" t="s">
        <v>2404</v>
      </c>
      <c r="DC29" s="185" t="s">
        <v>2404</v>
      </c>
      <c r="DD29" s="185" t="s">
        <v>2404</v>
      </c>
      <c r="DE29" s="185" t="s">
        <v>2404</v>
      </c>
      <c r="DF29" s="185" t="s">
        <v>2404</v>
      </c>
      <c r="DG29" s="185" t="s">
        <v>2404</v>
      </c>
      <c r="DH29" s="185" t="s">
        <v>2404</v>
      </c>
      <c r="DI29" s="185" t="s">
        <v>2404</v>
      </c>
      <c r="DJ29" s="185" t="s">
        <v>2404</v>
      </c>
      <c r="DK29" s="185" t="s">
        <v>2404</v>
      </c>
      <c r="DL29" s="185" t="s">
        <v>2404</v>
      </c>
      <c r="DM29" s="185" t="s">
        <v>2404</v>
      </c>
      <c r="DN29" s="185" t="s">
        <v>2404</v>
      </c>
      <c r="DO29" s="185" t="s">
        <v>2404</v>
      </c>
      <c r="DP29" s="185" t="s">
        <v>2404</v>
      </c>
      <c r="DQ29" s="185" t="s">
        <v>2404</v>
      </c>
      <c r="DR29" s="185" t="s">
        <v>2404</v>
      </c>
      <c r="DS29" s="185" t="s">
        <v>2404</v>
      </c>
      <c r="DT29" s="185" t="s">
        <v>2404</v>
      </c>
      <c r="DU29" s="185" t="s">
        <v>2404</v>
      </c>
      <c r="DV29" s="185" t="s">
        <v>2404</v>
      </c>
      <c r="DW29" s="185" t="s">
        <v>2404</v>
      </c>
      <c r="DX29" s="185" t="s">
        <v>2404</v>
      </c>
      <c r="DY29" s="185" t="s">
        <v>2404</v>
      </c>
      <c r="DZ29" s="185" t="s">
        <v>2404</v>
      </c>
      <c r="EA29" s="185" t="s">
        <v>2404</v>
      </c>
    </row>
    <row r="30" ht="24" spans="2:131">
      <c r="B30" s="189" t="s">
        <v>2440</v>
      </c>
      <c r="C30" s="190" t="s">
        <v>2441</v>
      </c>
      <c r="D30" s="191" t="s">
        <v>2442</v>
      </c>
      <c r="E30" s="191" t="s">
        <v>1141</v>
      </c>
      <c r="F30" s="192">
        <v>300</v>
      </c>
      <c r="G30" s="192">
        <v>320</v>
      </c>
      <c r="H30" s="192">
        <v>310</v>
      </c>
      <c r="I30" s="211">
        <v>320</v>
      </c>
      <c r="J30" s="192">
        <v>310</v>
      </c>
      <c r="K30" s="192">
        <v>320</v>
      </c>
      <c r="L30" s="212">
        <v>300</v>
      </c>
      <c r="M30" s="199">
        <v>270</v>
      </c>
      <c r="N30" s="199">
        <v>310</v>
      </c>
      <c r="O30" s="199">
        <v>305</v>
      </c>
      <c r="P30" s="213">
        <v>310</v>
      </c>
      <c r="Q30" s="192">
        <v>290</v>
      </c>
      <c r="R30" s="192">
        <v>310</v>
      </c>
      <c r="S30" s="212">
        <v>290</v>
      </c>
      <c r="T30" s="192">
        <v>260</v>
      </c>
      <c r="U30" s="192">
        <v>300</v>
      </c>
      <c r="V30" s="192">
        <v>300</v>
      </c>
      <c r="W30" s="213">
        <v>300</v>
      </c>
      <c r="X30" s="192">
        <v>280</v>
      </c>
      <c r="Y30" s="192">
        <v>300</v>
      </c>
      <c r="Z30" s="212">
        <v>280</v>
      </c>
      <c r="AA30" s="192">
        <v>495.02</v>
      </c>
      <c r="AB30" s="192">
        <v>570</v>
      </c>
      <c r="AC30" s="192">
        <v>530</v>
      </c>
      <c r="AD30" s="192">
        <v>1050</v>
      </c>
      <c r="AE30" s="192">
        <v>525</v>
      </c>
      <c r="AF30" s="192">
        <v>570</v>
      </c>
      <c r="AG30" s="212">
        <v>567.63</v>
      </c>
      <c r="AH30" s="192">
        <v>428.24</v>
      </c>
      <c r="AI30" s="192">
        <v>542</v>
      </c>
      <c r="AJ30" s="192">
        <v>520</v>
      </c>
      <c r="AK30" s="192">
        <v>950</v>
      </c>
      <c r="AL30" s="192">
        <v>495</v>
      </c>
      <c r="AM30" s="192">
        <v>510</v>
      </c>
      <c r="AN30" s="212">
        <v>535.5</v>
      </c>
      <c r="AO30" s="192">
        <v>384.78</v>
      </c>
      <c r="AP30" s="192">
        <v>500</v>
      </c>
      <c r="AQ30" s="192">
        <v>510</v>
      </c>
      <c r="AR30" s="192">
        <v>875</v>
      </c>
      <c r="AS30" s="192">
        <v>465</v>
      </c>
      <c r="AT30" s="192">
        <v>480</v>
      </c>
      <c r="AU30" s="212">
        <v>503.37</v>
      </c>
      <c r="AV30" s="192">
        <v>555</v>
      </c>
      <c r="AW30" s="192">
        <v>634</v>
      </c>
      <c r="AX30" s="192">
        <v>640</v>
      </c>
      <c r="AY30" s="192">
        <v>1575</v>
      </c>
      <c r="AZ30" s="192">
        <v>770</v>
      </c>
      <c r="BA30" s="192">
        <v>750</v>
      </c>
      <c r="BB30" s="212">
        <v>689</v>
      </c>
      <c r="BC30" s="192">
        <v>515.14</v>
      </c>
      <c r="BD30" s="192">
        <v>602</v>
      </c>
      <c r="BE30" s="192">
        <v>600</v>
      </c>
      <c r="BF30" s="192">
        <v>1425</v>
      </c>
      <c r="BG30" s="199">
        <v>660</v>
      </c>
      <c r="BH30" s="199">
        <v>670</v>
      </c>
      <c r="BI30" s="218">
        <v>650</v>
      </c>
      <c r="BJ30" s="199">
        <v>474.88</v>
      </c>
      <c r="BK30" s="199">
        <v>572</v>
      </c>
      <c r="BL30" s="199">
        <v>575</v>
      </c>
      <c r="BM30" s="199">
        <v>1312.5</v>
      </c>
      <c r="BN30" s="199">
        <v>620</v>
      </c>
      <c r="BO30" s="199">
        <v>630</v>
      </c>
      <c r="BP30" s="218">
        <v>611</v>
      </c>
      <c r="BQ30" s="219">
        <v>330</v>
      </c>
      <c r="BR30" s="199">
        <v>340</v>
      </c>
      <c r="BS30" s="199">
        <v>340</v>
      </c>
      <c r="BT30" s="220">
        <v>340</v>
      </c>
      <c r="BU30" s="199">
        <v>340</v>
      </c>
      <c r="BV30" s="199">
        <v>350</v>
      </c>
      <c r="BW30" s="212">
        <v>340</v>
      </c>
      <c r="BX30" s="199">
        <v>300</v>
      </c>
      <c r="BY30" s="199">
        <v>330</v>
      </c>
      <c r="BZ30" s="199">
        <v>330</v>
      </c>
      <c r="CA30" s="213">
        <v>330</v>
      </c>
      <c r="CB30" s="192">
        <v>320</v>
      </c>
      <c r="CC30" s="192">
        <v>340</v>
      </c>
      <c r="CD30" s="212">
        <v>330</v>
      </c>
      <c r="CE30" s="192">
        <v>285</v>
      </c>
      <c r="CF30" s="192">
        <v>320</v>
      </c>
      <c r="CG30" s="192">
        <v>320</v>
      </c>
      <c r="CH30" s="213">
        <v>320</v>
      </c>
      <c r="CI30" s="192">
        <v>310</v>
      </c>
      <c r="CJ30" s="192">
        <v>320</v>
      </c>
      <c r="CK30" s="212">
        <v>310</v>
      </c>
      <c r="CL30" s="192">
        <f t="shared" ref="CL30:CL40" si="0">AA30*1.2</f>
        <v>594.024</v>
      </c>
      <c r="CM30" s="192">
        <v>684</v>
      </c>
      <c r="CN30" s="192">
        <v>673.2</v>
      </c>
      <c r="CO30" s="192">
        <v>1312.5</v>
      </c>
      <c r="CP30" s="192">
        <v>738</v>
      </c>
      <c r="CQ30" s="192">
        <v>684</v>
      </c>
      <c r="CR30" s="212">
        <v>681.156</v>
      </c>
      <c r="CS30" s="192">
        <f t="shared" ref="CS30:CS40" si="1">AH30*1.2</f>
        <v>513.888</v>
      </c>
      <c r="CT30" s="192">
        <v>650</v>
      </c>
      <c r="CU30" s="192">
        <v>632.4</v>
      </c>
      <c r="CV30" s="192">
        <v>1187.5</v>
      </c>
      <c r="CW30" s="192">
        <v>630</v>
      </c>
      <c r="CX30" s="192">
        <v>608</v>
      </c>
      <c r="CY30" s="212">
        <v>642.6</v>
      </c>
      <c r="CZ30" s="192">
        <f t="shared" ref="CZ30:CZ32" si="2">AO30*1.2</f>
        <v>461.736</v>
      </c>
      <c r="DA30" s="192">
        <v>600</v>
      </c>
      <c r="DB30" s="192">
        <v>612</v>
      </c>
      <c r="DC30" s="192">
        <v>1093.75</v>
      </c>
      <c r="DD30" s="192">
        <v>600</v>
      </c>
      <c r="DE30" s="192">
        <v>512</v>
      </c>
      <c r="DF30" s="212">
        <v>604.044</v>
      </c>
      <c r="DG30" s="192">
        <f t="shared" ref="DG30:DG40" si="3">AV30*1.2</f>
        <v>666</v>
      </c>
      <c r="DH30" s="192">
        <v>720</v>
      </c>
      <c r="DI30" s="192">
        <v>768</v>
      </c>
      <c r="DJ30" s="192">
        <v>1968.75</v>
      </c>
      <c r="DK30" s="192">
        <v>984</v>
      </c>
      <c r="DL30" s="192">
        <v>900</v>
      </c>
      <c r="DM30" s="212">
        <v>801.36</v>
      </c>
      <c r="DN30" s="192">
        <f t="shared" ref="DN30:DN40" si="4">BC30*1.2</f>
        <v>618.168</v>
      </c>
      <c r="DO30" s="192">
        <v>680</v>
      </c>
      <c r="DP30" s="192">
        <v>720</v>
      </c>
      <c r="DQ30" s="192">
        <v>1781.25</v>
      </c>
      <c r="DR30" s="199">
        <v>840</v>
      </c>
      <c r="DS30" s="199">
        <v>800</v>
      </c>
      <c r="DT30" s="218">
        <v>756</v>
      </c>
      <c r="DU30" s="199">
        <f t="shared" ref="DU30:DU40" si="5">BJ30*1.2</f>
        <v>569.856</v>
      </c>
      <c r="DV30" s="199">
        <v>650</v>
      </c>
      <c r="DW30" s="199">
        <v>690</v>
      </c>
      <c r="DX30" s="199">
        <v>1640.625</v>
      </c>
      <c r="DY30" s="199">
        <v>800</v>
      </c>
      <c r="DZ30" s="199">
        <v>670</v>
      </c>
      <c r="EA30" s="218">
        <v>710.64</v>
      </c>
    </row>
    <row r="31" ht="24" spans="2:131">
      <c r="B31" s="189" t="s">
        <v>2440</v>
      </c>
      <c r="C31" s="193" t="s">
        <v>2441</v>
      </c>
      <c r="D31" s="191" t="s">
        <v>2443</v>
      </c>
      <c r="E31" s="191" t="s">
        <v>1146</v>
      </c>
      <c r="F31" s="192">
        <v>300</v>
      </c>
      <c r="G31" s="192">
        <v>340</v>
      </c>
      <c r="H31" s="192">
        <v>330</v>
      </c>
      <c r="I31" s="211">
        <v>340</v>
      </c>
      <c r="J31" s="192">
        <v>335</v>
      </c>
      <c r="K31" s="192">
        <v>330</v>
      </c>
      <c r="L31" s="212">
        <v>330</v>
      </c>
      <c r="M31" s="199">
        <v>270</v>
      </c>
      <c r="N31" s="199">
        <v>320</v>
      </c>
      <c r="O31" s="199">
        <v>315</v>
      </c>
      <c r="P31" s="211">
        <v>320</v>
      </c>
      <c r="Q31" s="192">
        <v>310</v>
      </c>
      <c r="R31" s="192">
        <v>320</v>
      </c>
      <c r="S31" s="212">
        <v>310</v>
      </c>
      <c r="T31" s="192">
        <v>260</v>
      </c>
      <c r="U31" s="192">
        <v>310</v>
      </c>
      <c r="V31" s="192">
        <v>305</v>
      </c>
      <c r="W31" s="213">
        <v>310</v>
      </c>
      <c r="X31" s="192">
        <v>300</v>
      </c>
      <c r="Y31" s="192">
        <v>310</v>
      </c>
      <c r="Z31" s="212">
        <v>300</v>
      </c>
      <c r="AA31" s="192">
        <v>590.42</v>
      </c>
      <c r="AB31" s="192">
        <v>645</v>
      </c>
      <c r="AC31" s="192">
        <v>590</v>
      </c>
      <c r="AD31" s="192">
        <v>1175</v>
      </c>
      <c r="AE31" s="192">
        <v>590</v>
      </c>
      <c r="AF31" s="192">
        <v>605</v>
      </c>
      <c r="AG31" s="212">
        <v>630.7</v>
      </c>
      <c r="AH31" s="192">
        <v>550.14</v>
      </c>
      <c r="AI31" s="192">
        <v>600</v>
      </c>
      <c r="AJ31" s="192">
        <v>545</v>
      </c>
      <c r="AK31" s="192">
        <v>1075</v>
      </c>
      <c r="AL31" s="192">
        <v>550</v>
      </c>
      <c r="AM31" s="192">
        <v>540</v>
      </c>
      <c r="AN31" s="212">
        <v>595</v>
      </c>
      <c r="AO31" s="192">
        <v>513.04</v>
      </c>
      <c r="AP31" s="192">
        <v>540</v>
      </c>
      <c r="AQ31" s="192">
        <v>520</v>
      </c>
      <c r="AR31" s="192">
        <v>1000</v>
      </c>
      <c r="AS31" s="192">
        <v>513</v>
      </c>
      <c r="AT31" s="192">
        <v>510</v>
      </c>
      <c r="AU31" s="212">
        <v>559.3</v>
      </c>
      <c r="AV31" s="192">
        <v>658</v>
      </c>
      <c r="AW31" s="192">
        <v>717</v>
      </c>
      <c r="AX31" s="192">
        <v>700</v>
      </c>
      <c r="AY31" s="192">
        <v>1762.5</v>
      </c>
      <c r="AZ31" s="192">
        <v>780</v>
      </c>
      <c r="BA31" s="192">
        <v>798</v>
      </c>
      <c r="BB31" s="212">
        <v>742</v>
      </c>
      <c r="BC31" s="192">
        <v>610</v>
      </c>
      <c r="BD31" s="192">
        <v>681</v>
      </c>
      <c r="BE31" s="192">
        <v>660</v>
      </c>
      <c r="BF31" s="192">
        <v>1612.5</v>
      </c>
      <c r="BG31" s="199">
        <v>722</v>
      </c>
      <c r="BH31" s="192">
        <v>715</v>
      </c>
      <c r="BI31" s="212">
        <v>700</v>
      </c>
      <c r="BJ31" s="199">
        <v>580</v>
      </c>
      <c r="BK31" s="199">
        <v>647</v>
      </c>
      <c r="BL31" s="199">
        <v>620</v>
      </c>
      <c r="BM31" s="199">
        <v>1500</v>
      </c>
      <c r="BN31" s="199">
        <v>685</v>
      </c>
      <c r="BO31" s="199">
        <v>670</v>
      </c>
      <c r="BP31" s="218">
        <v>658</v>
      </c>
      <c r="BQ31" s="199">
        <v>330</v>
      </c>
      <c r="BR31" s="199">
        <v>360</v>
      </c>
      <c r="BS31" s="199">
        <v>360</v>
      </c>
      <c r="BT31" s="220">
        <v>370</v>
      </c>
      <c r="BU31" s="199">
        <v>370</v>
      </c>
      <c r="BV31" s="199">
        <v>360</v>
      </c>
      <c r="BW31" s="212">
        <v>370</v>
      </c>
      <c r="BX31" s="199">
        <v>300</v>
      </c>
      <c r="BY31" s="199">
        <v>345</v>
      </c>
      <c r="BZ31" s="199">
        <v>345</v>
      </c>
      <c r="CA31" s="213">
        <v>345</v>
      </c>
      <c r="CB31" s="192">
        <v>340</v>
      </c>
      <c r="CC31" s="192">
        <v>355</v>
      </c>
      <c r="CD31" s="212">
        <v>345</v>
      </c>
      <c r="CE31" s="192">
        <v>285</v>
      </c>
      <c r="CF31" s="192">
        <v>335</v>
      </c>
      <c r="CG31" s="192">
        <v>340</v>
      </c>
      <c r="CH31" s="213">
        <v>340</v>
      </c>
      <c r="CI31" s="192">
        <v>330</v>
      </c>
      <c r="CJ31" s="192">
        <v>340</v>
      </c>
      <c r="CK31" s="212">
        <v>340</v>
      </c>
      <c r="CL31" s="192">
        <f t="shared" si="0"/>
        <v>708.504</v>
      </c>
      <c r="CM31" s="192">
        <v>774</v>
      </c>
      <c r="CN31" s="192">
        <v>734.4</v>
      </c>
      <c r="CO31" s="192">
        <v>1468.75</v>
      </c>
      <c r="CP31" s="192">
        <v>810</v>
      </c>
      <c r="CQ31" s="192">
        <v>726</v>
      </c>
      <c r="CR31" s="212">
        <v>756.84</v>
      </c>
      <c r="CS31" s="192">
        <f t="shared" si="1"/>
        <v>660.168</v>
      </c>
      <c r="CT31" s="192">
        <v>720</v>
      </c>
      <c r="CU31" s="192">
        <v>673.2</v>
      </c>
      <c r="CV31" s="192">
        <v>1343.75</v>
      </c>
      <c r="CW31" s="192">
        <v>747</v>
      </c>
      <c r="CX31" s="192">
        <v>648</v>
      </c>
      <c r="CY31" s="212">
        <v>714</v>
      </c>
      <c r="CZ31" s="192">
        <f t="shared" si="2"/>
        <v>615.648</v>
      </c>
      <c r="DA31" s="192">
        <v>648</v>
      </c>
      <c r="DB31" s="192">
        <v>632.4</v>
      </c>
      <c r="DC31" s="192">
        <v>1250</v>
      </c>
      <c r="DD31" s="192">
        <v>715</v>
      </c>
      <c r="DE31" s="192">
        <v>612</v>
      </c>
      <c r="DF31" s="212">
        <v>671.16</v>
      </c>
      <c r="DG31" s="192">
        <f t="shared" si="3"/>
        <v>789.6</v>
      </c>
      <c r="DH31" s="192">
        <v>860</v>
      </c>
      <c r="DI31" s="192">
        <v>840</v>
      </c>
      <c r="DJ31" s="192">
        <v>2203.125</v>
      </c>
      <c r="DK31" s="192">
        <v>1080</v>
      </c>
      <c r="DL31" s="192">
        <v>957.6</v>
      </c>
      <c r="DM31" s="212">
        <v>890.4</v>
      </c>
      <c r="DN31" s="192">
        <f t="shared" si="4"/>
        <v>732</v>
      </c>
      <c r="DO31" s="192">
        <v>752</v>
      </c>
      <c r="DP31" s="192">
        <v>792</v>
      </c>
      <c r="DQ31" s="192">
        <v>2015.625</v>
      </c>
      <c r="DR31" s="199">
        <v>996</v>
      </c>
      <c r="DS31" s="199">
        <v>858</v>
      </c>
      <c r="DT31" s="218">
        <v>840</v>
      </c>
      <c r="DU31" s="199">
        <f t="shared" si="5"/>
        <v>696</v>
      </c>
      <c r="DV31" s="199">
        <v>720</v>
      </c>
      <c r="DW31" s="199">
        <v>744</v>
      </c>
      <c r="DX31" s="199">
        <v>1875</v>
      </c>
      <c r="DY31" s="199">
        <v>953</v>
      </c>
      <c r="DZ31" s="199">
        <v>804</v>
      </c>
      <c r="EA31" s="218">
        <v>789.6</v>
      </c>
    </row>
    <row r="32" ht="24" spans="2:131">
      <c r="B32" s="189" t="s">
        <v>2440</v>
      </c>
      <c r="C32" s="193" t="s">
        <v>2441</v>
      </c>
      <c r="D32" s="191" t="s">
        <v>2444</v>
      </c>
      <c r="E32" s="191" t="s">
        <v>1148</v>
      </c>
      <c r="F32" s="192">
        <v>350</v>
      </c>
      <c r="G32" s="192">
        <v>360</v>
      </c>
      <c r="H32" s="192">
        <v>360</v>
      </c>
      <c r="I32" s="211">
        <v>375</v>
      </c>
      <c r="J32" s="192">
        <v>375</v>
      </c>
      <c r="K32" s="192">
        <v>370</v>
      </c>
      <c r="L32" s="212">
        <v>370</v>
      </c>
      <c r="M32" s="199">
        <v>300</v>
      </c>
      <c r="N32" s="199">
        <v>340</v>
      </c>
      <c r="O32" s="199">
        <v>345</v>
      </c>
      <c r="P32" s="213">
        <v>345</v>
      </c>
      <c r="Q32" s="192">
        <v>340</v>
      </c>
      <c r="R32" s="192">
        <v>340</v>
      </c>
      <c r="S32" s="212">
        <v>340</v>
      </c>
      <c r="T32" s="192">
        <v>290</v>
      </c>
      <c r="U32" s="192">
        <v>330</v>
      </c>
      <c r="V32" s="192">
        <v>330</v>
      </c>
      <c r="W32" s="213">
        <v>330</v>
      </c>
      <c r="X32" s="192">
        <v>330</v>
      </c>
      <c r="Y32" s="192">
        <v>320</v>
      </c>
      <c r="Z32" s="212">
        <v>330</v>
      </c>
      <c r="AA32" s="192">
        <v>729.28</v>
      </c>
      <c r="AB32" s="192">
        <v>729.28</v>
      </c>
      <c r="AC32" s="192">
        <v>729.28</v>
      </c>
      <c r="AD32" s="192">
        <v>1325</v>
      </c>
      <c r="AE32" s="192">
        <v>729</v>
      </c>
      <c r="AF32" s="192">
        <v>670</v>
      </c>
      <c r="AG32" s="212">
        <v>684.76</v>
      </c>
      <c r="AH32" s="192">
        <v>634.94</v>
      </c>
      <c r="AI32" s="192">
        <v>634.94</v>
      </c>
      <c r="AJ32" s="192">
        <v>634.94</v>
      </c>
      <c r="AK32" s="192">
        <v>1225</v>
      </c>
      <c r="AL32" s="192">
        <v>635</v>
      </c>
      <c r="AM32" s="192">
        <v>570</v>
      </c>
      <c r="AN32" s="212">
        <v>646</v>
      </c>
      <c r="AO32" s="192">
        <v>566.04</v>
      </c>
      <c r="AP32" s="192">
        <v>566.04</v>
      </c>
      <c r="AQ32" s="192">
        <v>566.04</v>
      </c>
      <c r="AR32" s="192">
        <v>1150</v>
      </c>
      <c r="AS32" s="192">
        <v>610</v>
      </c>
      <c r="AT32" s="192">
        <v>540</v>
      </c>
      <c r="AU32" s="212">
        <v>607.24</v>
      </c>
      <c r="AV32" s="192">
        <v>809</v>
      </c>
      <c r="AW32" s="192">
        <v>809</v>
      </c>
      <c r="AX32" s="192">
        <v>809</v>
      </c>
      <c r="AY32" s="192">
        <v>1987.5</v>
      </c>
      <c r="AZ32" s="192">
        <v>908</v>
      </c>
      <c r="BA32" s="192">
        <v>850</v>
      </c>
      <c r="BB32" s="212">
        <v>805.6</v>
      </c>
      <c r="BC32" s="192">
        <v>746</v>
      </c>
      <c r="BD32" s="192">
        <v>746</v>
      </c>
      <c r="BE32" s="192">
        <v>746</v>
      </c>
      <c r="BF32" s="192">
        <v>1837.5</v>
      </c>
      <c r="BG32" s="199">
        <v>825</v>
      </c>
      <c r="BH32" s="192">
        <v>735</v>
      </c>
      <c r="BI32" s="212">
        <v>760</v>
      </c>
      <c r="BJ32" s="199">
        <v>705.96</v>
      </c>
      <c r="BK32" s="199">
        <v>705.96</v>
      </c>
      <c r="BL32" s="199">
        <v>705.96</v>
      </c>
      <c r="BM32" s="199">
        <v>1725</v>
      </c>
      <c r="BN32" s="199">
        <v>790</v>
      </c>
      <c r="BO32" s="199">
        <v>705.96</v>
      </c>
      <c r="BP32" s="218">
        <v>714.4</v>
      </c>
      <c r="BQ32" s="199">
        <v>380</v>
      </c>
      <c r="BR32" s="199">
        <v>390</v>
      </c>
      <c r="BS32" s="199">
        <v>395</v>
      </c>
      <c r="BT32" s="220">
        <v>415</v>
      </c>
      <c r="BU32" s="199">
        <v>415</v>
      </c>
      <c r="BV32" s="199">
        <v>410</v>
      </c>
      <c r="BW32" s="212">
        <v>395</v>
      </c>
      <c r="BX32" s="199">
        <v>350</v>
      </c>
      <c r="BY32" s="199">
        <v>370</v>
      </c>
      <c r="BZ32" s="199">
        <v>380</v>
      </c>
      <c r="CA32" s="213">
        <v>380</v>
      </c>
      <c r="CB32" s="192">
        <v>375</v>
      </c>
      <c r="CC32" s="192">
        <v>375</v>
      </c>
      <c r="CD32" s="212">
        <v>380</v>
      </c>
      <c r="CE32" s="192">
        <v>335</v>
      </c>
      <c r="CF32" s="192">
        <v>360</v>
      </c>
      <c r="CG32" s="192">
        <v>365</v>
      </c>
      <c r="CH32" s="213">
        <v>365</v>
      </c>
      <c r="CI32" s="192">
        <v>365</v>
      </c>
      <c r="CJ32" s="192">
        <v>355</v>
      </c>
      <c r="CK32" s="212">
        <v>370</v>
      </c>
      <c r="CL32" s="192">
        <v>835</v>
      </c>
      <c r="CM32" s="192">
        <v>835</v>
      </c>
      <c r="CN32" s="192">
        <v>835</v>
      </c>
      <c r="CO32" s="192">
        <v>1656.25</v>
      </c>
      <c r="CP32" s="192">
        <v>967</v>
      </c>
      <c r="CQ32" s="192">
        <v>835</v>
      </c>
      <c r="CR32" s="212">
        <v>821.712</v>
      </c>
      <c r="CS32" s="192">
        <f t="shared" si="1"/>
        <v>761.928</v>
      </c>
      <c r="CT32" s="192">
        <v>761.928</v>
      </c>
      <c r="CU32" s="192">
        <v>761.928</v>
      </c>
      <c r="CV32" s="192">
        <v>1531.25</v>
      </c>
      <c r="CW32" s="192">
        <v>882</v>
      </c>
      <c r="CX32" s="192">
        <v>761.928</v>
      </c>
      <c r="CY32" s="212">
        <v>775.2</v>
      </c>
      <c r="CZ32" s="192">
        <f t="shared" si="2"/>
        <v>679.248</v>
      </c>
      <c r="DA32" s="192">
        <v>679.248</v>
      </c>
      <c r="DB32" s="192">
        <v>679.248</v>
      </c>
      <c r="DC32" s="192">
        <v>1437.5</v>
      </c>
      <c r="DD32" s="192">
        <v>792</v>
      </c>
      <c r="DE32" s="192">
        <v>679.248</v>
      </c>
      <c r="DF32" s="212">
        <v>728.688</v>
      </c>
      <c r="DG32" s="192">
        <f t="shared" si="3"/>
        <v>970.8</v>
      </c>
      <c r="DH32" s="192">
        <v>970.8</v>
      </c>
      <c r="DI32" s="192">
        <v>970.8</v>
      </c>
      <c r="DJ32" s="192">
        <v>2484.375</v>
      </c>
      <c r="DK32" s="192">
        <v>1289</v>
      </c>
      <c r="DL32" s="192">
        <v>1020</v>
      </c>
      <c r="DM32" s="212">
        <v>966.72</v>
      </c>
      <c r="DN32" s="192">
        <f t="shared" si="4"/>
        <v>895.2</v>
      </c>
      <c r="DO32" s="192">
        <v>895.2</v>
      </c>
      <c r="DP32" s="192">
        <v>895.2</v>
      </c>
      <c r="DQ32" s="192">
        <v>2296.875</v>
      </c>
      <c r="DR32" s="199">
        <v>1176</v>
      </c>
      <c r="DS32" s="199">
        <v>895.2</v>
      </c>
      <c r="DT32" s="218">
        <v>912</v>
      </c>
      <c r="DU32" s="199">
        <f t="shared" si="5"/>
        <v>847.152</v>
      </c>
      <c r="DV32" s="199">
        <v>847.152</v>
      </c>
      <c r="DW32" s="199">
        <v>847.152</v>
      </c>
      <c r="DX32" s="199">
        <v>2156.25</v>
      </c>
      <c r="DY32" s="199">
        <v>1056</v>
      </c>
      <c r="DZ32" s="199">
        <v>847.152</v>
      </c>
      <c r="EA32" s="218">
        <v>857.28</v>
      </c>
    </row>
    <row r="33" ht="24" spans="2:131">
      <c r="B33" s="189" t="s">
        <v>2440</v>
      </c>
      <c r="C33" s="193" t="s">
        <v>2441</v>
      </c>
      <c r="D33" s="194" t="s">
        <v>2445</v>
      </c>
      <c r="E33" s="194" t="s">
        <v>1150</v>
      </c>
      <c r="F33" s="192">
        <v>400</v>
      </c>
      <c r="G33" s="192">
        <v>410</v>
      </c>
      <c r="H33" s="192">
        <v>400</v>
      </c>
      <c r="I33" s="211">
        <v>410</v>
      </c>
      <c r="J33" s="192">
        <v>410</v>
      </c>
      <c r="K33" s="192">
        <v>400</v>
      </c>
      <c r="L33" s="212">
        <v>410</v>
      </c>
      <c r="M33" s="192">
        <v>350</v>
      </c>
      <c r="N33" s="192">
        <v>370</v>
      </c>
      <c r="O33" s="192">
        <v>385</v>
      </c>
      <c r="P33" s="213">
        <v>385</v>
      </c>
      <c r="Q33" s="192">
        <v>380</v>
      </c>
      <c r="R33" s="192">
        <v>370</v>
      </c>
      <c r="S33" s="212">
        <v>380</v>
      </c>
      <c r="T33" s="192">
        <v>340</v>
      </c>
      <c r="U33" s="192">
        <v>350</v>
      </c>
      <c r="V33" s="192">
        <v>370</v>
      </c>
      <c r="W33" s="213">
        <v>370</v>
      </c>
      <c r="X33" s="192">
        <v>370</v>
      </c>
      <c r="Y33" s="192">
        <v>350</v>
      </c>
      <c r="Z33" s="212">
        <v>370</v>
      </c>
      <c r="AA33" s="192">
        <v>761.08</v>
      </c>
      <c r="AB33" s="192">
        <v>761.08</v>
      </c>
      <c r="AC33" s="192">
        <v>761.08</v>
      </c>
      <c r="AD33" s="192">
        <v>1500</v>
      </c>
      <c r="AE33" s="192">
        <v>795</v>
      </c>
      <c r="AF33" s="192">
        <v>750</v>
      </c>
      <c r="AG33" s="212">
        <v>774.86</v>
      </c>
      <c r="AH33" s="192">
        <v>732.46</v>
      </c>
      <c r="AI33" s="192">
        <v>732.46</v>
      </c>
      <c r="AJ33" s="192">
        <v>732.46</v>
      </c>
      <c r="AK33" s="192">
        <v>1400</v>
      </c>
      <c r="AL33" s="192">
        <v>750</v>
      </c>
      <c r="AM33" s="192">
        <v>650</v>
      </c>
      <c r="AN33" s="212">
        <v>731</v>
      </c>
      <c r="AO33" s="192">
        <v>707.02</v>
      </c>
      <c r="AP33" s="192">
        <v>707.02</v>
      </c>
      <c r="AQ33" s="192">
        <v>707.02</v>
      </c>
      <c r="AR33" s="192">
        <v>1275</v>
      </c>
      <c r="AS33" s="192">
        <v>707</v>
      </c>
      <c r="AT33" s="192">
        <v>570</v>
      </c>
      <c r="AU33" s="212">
        <v>687.14</v>
      </c>
      <c r="AV33" s="192">
        <v>958</v>
      </c>
      <c r="AW33" s="192">
        <v>958</v>
      </c>
      <c r="AX33" s="192">
        <v>958</v>
      </c>
      <c r="AY33" s="192">
        <v>2250</v>
      </c>
      <c r="AZ33" s="192">
        <v>1052</v>
      </c>
      <c r="BA33" s="192">
        <v>958</v>
      </c>
      <c r="BB33" s="212">
        <v>911.6</v>
      </c>
      <c r="BC33" s="192">
        <v>844.82</v>
      </c>
      <c r="BD33" s="192">
        <v>844.82</v>
      </c>
      <c r="BE33" s="192">
        <v>844.82</v>
      </c>
      <c r="BF33" s="192">
        <v>2100</v>
      </c>
      <c r="BG33" s="192">
        <v>1002</v>
      </c>
      <c r="BH33" s="192">
        <v>840</v>
      </c>
      <c r="BI33" s="212">
        <v>860</v>
      </c>
      <c r="BJ33" s="192">
        <v>813.02</v>
      </c>
      <c r="BK33" s="192">
        <v>813.02</v>
      </c>
      <c r="BL33" s="192">
        <v>813.02</v>
      </c>
      <c r="BM33" s="192">
        <v>1912.5</v>
      </c>
      <c r="BN33" s="192">
        <v>925</v>
      </c>
      <c r="BO33" s="192">
        <v>735</v>
      </c>
      <c r="BP33" s="212">
        <v>808.4</v>
      </c>
      <c r="BQ33" s="199">
        <v>440</v>
      </c>
      <c r="BR33" s="199">
        <v>440</v>
      </c>
      <c r="BS33" s="199">
        <v>440</v>
      </c>
      <c r="BT33" s="220">
        <v>455</v>
      </c>
      <c r="BU33" s="199">
        <v>455</v>
      </c>
      <c r="BV33" s="199">
        <v>440</v>
      </c>
      <c r="BW33" s="212">
        <v>455</v>
      </c>
      <c r="BX33" s="199">
        <v>410</v>
      </c>
      <c r="BY33" s="199">
        <v>410</v>
      </c>
      <c r="BZ33" s="199">
        <v>425</v>
      </c>
      <c r="CA33" s="213">
        <v>425</v>
      </c>
      <c r="CB33" s="192">
        <v>420</v>
      </c>
      <c r="CC33" s="192">
        <v>410</v>
      </c>
      <c r="CD33" s="212">
        <v>425</v>
      </c>
      <c r="CE33" s="192">
        <v>395</v>
      </c>
      <c r="CF33" s="192">
        <v>400</v>
      </c>
      <c r="CG33" s="192">
        <v>405</v>
      </c>
      <c r="CH33" s="213">
        <v>410</v>
      </c>
      <c r="CI33" s="192">
        <v>410</v>
      </c>
      <c r="CJ33" s="192">
        <v>385</v>
      </c>
      <c r="CK33" s="212">
        <v>410</v>
      </c>
      <c r="CL33" s="192">
        <f t="shared" si="0"/>
        <v>913.296</v>
      </c>
      <c r="CM33" s="192">
        <v>913.296</v>
      </c>
      <c r="CN33" s="192">
        <v>913.296</v>
      </c>
      <c r="CO33" s="192">
        <v>1875</v>
      </c>
      <c r="CP33" s="192">
        <v>1161</v>
      </c>
      <c r="CQ33" s="192">
        <v>913.296</v>
      </c>
      <c r="CR33" s="212">
        <v>929.832</v>
      </c>
      <c r="CS33" s="192">
        <f t="shared" si="1"/>
        <v>878.952</v>
      </c>
      <c r="CT33" s="192">
        <v>878.952</v>
      </c>
      <c r="CU33" s="192">
        <v>878.952</v>
      </c>
      <c r="CV33" s="192">
        <v>1750</v>
      </c>
      <c r="CW33" s="192">
        <v>1012</v>
      </c>
      <c r="CX33" s="192">
        <v>878.952</v>
      </c>
      <c r="CY33" s="212">
        <v>877.2</v>
      </c>
      <c r="CZ33" s="192">
        <v>825</v>
      </c>
      <c r="DA33" s="192">
        <v>825</v>
      </c>
      <c r="DB33" s="192">
        <v>825</v>
      </c>
      <c r="DC33" s="192">
        <v>1593.75</v>
      </c>
      <c r="DD33" s="192">
        <v>922</v>
      </c>
      <c r="DE33" s="192">
        <v>825</v>
      </c>
      <c r="DF33" s="212">
        <v>824.568</v>
      </c>
      <c r="DG33" s="192">
        <f t="shared" si="3"/>
        <v>1149.6</v>
      </c>
      <c r="DH33" s="192">
        <v>1149.6</v>
      </c>
      <c r="DI33" s="192">
        <v>1149.6</v>
      </c>
      <c r="DJ33" s="192">
        <v>2812.5</v>
      </c>
      <c r="DK33" s="192">
        <v>1548</v>
      </c>
      <c r="DL33" s="192">
        <v>1149.6</v>
      </c>
      <c r="DM33" s="212">
        <v>1093.92</v>
      </c>
      <c r="DN33" s="192">
        <f t="shared" si="4"/>
        <v>1013.784</v>
      </c>
      <c r="DO33" s="192">
        <v>1013.784</v>
      </c>
      <c r="DP33" s="192">
        <v>1013.784</v>
      </c>
      <c r="DQ33" s="192">
        <v>2625</v>
      </c>
      <c r="DR33" s="199">
        <v>1349</v>
      </c>
      <c r="DS33" s="199">
        <v>1013.784</v>
      </c>
      <c r="DT33" s="218">
        <v>1032</v>
      </c>
      <c r="DU33" s="199">
        <f t="shared" si="5"/>
        <v>975.624</v>
      </c>
      <c r="DV33" s="199">
        <v>975.624</v>
      </c>
      <c r="DW33" s="199">
        <v>975.624</v>
      </c>
      <c r="DX33" s="199">
        <v>2390.625</v>
      </c>
      <c r="DY33" s="199">
        <v>1229</v>
      </c>
      <c r="DZ33" s="199">
        <v>975.624</v>
      </c>
      <c r="EA33" s="218">
        <v>970.08</v>
      </c>
    </row>
    <row r="34" ht="24" spans="2:131">
      <c r="B34" s="189" t="s">
        <v>2440</v>
      </c>
      <c r="C34" s="193" t="s">
        <v>2441</v>
      </c>
      <c r="D34" s="191" t="s">
        <v>2446</v>
      </c>
      <c r="E34" s="191" t="s">
        <v>1152</v>
      </c>
      <c r="F34" s="192">
        <v>520</v>
      </c>
      <c r="G34" s="192">
        <v>520</v>
      </c>
      <c r="H34" s="192">
        <v>550</v>
      </c>
      <c r="I34" s="192">
        <v>760</v>
      </c>
      <c r="J34" s="192">
        <v>620</v>
      </c>
      <c r="K34" s="192">
        <v>520</v>
      </c>
      <c r="L34" s="212">
        <v>561.8</v>
      </c>
      <c r="M34" s="199">
        <v>468</v>
      </c>
      <c r="N34" s="199">
        <v>468</v>
      </c>
      <c r="O34" s="199">
        <v>520</v>
      </c>
      <c r="P34" s="192">
        <v>710</v>
      </c>
      <c r="Q34" s="192">
        <v>580</v>
      </c>
      <c r="R34" s="192">
        <v>468</v>
      </c>
      <c r="S34" s="212">
        <v>530</v>
      </c>
      <c r="T34" s="192">
        <v>421.2</v>
      </c>
      <c r="U34" s="192">
        <v>421.2</v>
      </c>
      <c r="V34" s="192">
        <v>460</v>
      </c>
      <c r="W34" s="192">
        <v>660</v>
      </c>
      <c r="X34" s="192">
        <v>550</v>
      </c>
      <c r="Y34" s="192">
        <v>421.2</v>
      </c>
      <c r="Z34" s="212">
        <v>498.2</v>
      </c>
      <c r="AA34" s="192">
        <v>980</v>
      </c>
      <c r="AB34" s="192">
        <v>980</v>
      </c>
      <c r="AC34" s="192">
        <v>980</v>
      </c>
      <c r="AD34" s="192">
        <v>2280</v>
      </c>
      <c r="AE34" s="192">
        <v>980</v>
      </c>
      <c r="AF34" s="192">
        <v>820</v>
      </c>
      <c r="AG34" s="212">
        <v>955.06</v>
      </c>
      <c r="AH34" s="192">
        <v>930</v>
      </c>
      <c r="AI34" s="192">
        <v>930</v>
      </c>
      <c r="AJ34" s="192">
        <v>930</v>
      </c>
      <c r="AK34" s="216">
        <v>2130</v>
      </c>
      <c r="AL34" s="192">
        <v>930</v>
      </c>
      <c r="AM34" s="192">
        <v>750</v>
      </c>
      <c r="AN34" s="212">
        <v>901</v>
      </c>
      <c r="AO34" s="192">
        <v>880</v>
      </c>
      <c r="AP34" s="216">
        <v>880</v>
      </c>
      <c r="AQ34" s="216">
        <v>880</v>
      </c>
      <c r="AR34" s="216">
        <v>1980</v>
      </c>
      <c r="AS34" s="216">
        <v>870</v>
      </c>
      <c r="AT34" s="216">
        <v>675</v>
      </c>
      <c r="AU34" s="212">
        <v>846.94</v>
      </c>
      <c r="AV34" s="216">
        <v>1128.92666666667</v>
      </c>
      <c r="AW34" s="192">
        <v>1128.92666666667</v>
      </c>
      <c r="AX34" s="192">
        <v>1128.92666666667</v>
      </c>
      <c r="AY34" s="192">
        <v>3420</v>
      </c>
      <c r="AZ34" s="192">
        <v>1245</v>
      </c>
      <c r="BA34" s="192">
        <v>1090</v>
      </c>
      <c r="BB34" s="212">
        <v>1123.6</v>
      </c>
      <c r="BC34" s="192">
        <v>1069</v>
      </c>
      <c r="BD34" s="192">
        <v>1069</v>
      </c>
      <c r="BE34" s="192">
        <v>1069</v>
      </c>
      <c r="BF34" s="192">
        <v>3195</v>
      </c>
      <c r="BG34" s="199">
        <v>1165</v>
      </c>
      <c r="BH34" s="192">
        <v>1008</v>
      </c>
      <c r="BI34" s="212">
        <v>1060</v>
      </c>
      <c r="BJ34" s="199">
        <v>909</v>
      </c>
      <c r="BK34" s="199">
        <v>909</v>
      </c>
      <c r="BL34" s="199">
        <v>909</v>
      </c>
      <c r="BM34" s="199">
        <v>2970</v>
      </c>
      <c r="BN34" s="199">
        <v>1108</v>
      </c>
      <c r="BO34" s="199">
        <v>882</v>
      </c>
      <c r="BP34" s="218">
        <v>996.4</v>
      </c>
      <c r="BQ34" s="199">
        <v>624</v>
      </c>
      <c r="BR34" s="199">
        <v>624</v>
      </c>
      <c r="BS34" s="199">
        <v>696</v>
      </c>
      <c r="BT34" s="199">
        <v>950</v>
      </c>
      <c r="BU34" s="199">
        <v>852</v>
      </c>
      <c r="BV34" s="199">
        <v>700</v>
      </c>
      <c r="BW34" s="212">
        <v>674.16</v>
      </c>
      <c r="BX34" s="199">
        <f t="shared" ref="BX34:BX40" si="6">M34*1.2</f>
        <v>561.6</v>
      </c>
      <c r="BY34" s="199">
        <v>561.6</v>
      </c>
      <c r="BZ34" s="199">
        <v>660</v>
      </c>
      <c r="CA34" s="192">
        <v>887.5</v>
      </c>
      <c r="CB34" s="192">
        <v>780</v>
      </c>
      <c r="CC34" s="192">
        <v>675</v>
      </c>
      <c r="CD34" s="212">
        <v>636</v>
      </c>
      <c r="CE34" s="192">
        <f t="shared" ref="CE34:CE36" si="7">T34*1.2</f>
        <v>505.44</v>
      </c>
      <c r="CF34" s="192">
        <v>505.44</v>
      </c>
      <c r="CG34" s="192">
        <v>600</v>
      </c>
      <c r="CH34" s="192">
        <v>825</v>
      </c>
      <c r="CI34" s="192">
        <v>696</v>
      </c>
      <c r="CJ34" s="192">
        <v>585</v>
      </c>
      <c r="CK34" s="212">
        <v>597.84</v>
      </c>
      <c r="CL34" s="192">
        <f t="shared" si="0"/>
        <v>1176</v>
      </c>
      <c r="CM34" s="192">
        <v>1176</v>
      </c>
      <c r="CN34" s="192">
        <v>1176</v>
      </c>
      <c r="CO34" s="192">
        <v>2850</v>
      </c>
      <c r="CP34" s="192">
        <v>1278</v>
      </c>
      <c r="CQ34" s="192">
        <v>1176</v>
      </c>
      <c r="CR34" s="212">
        <v>1146.072</v>
      </c>
      <c r="CS34" s="192">
        <f t="shared" si="1"/>
        <v>1116</v>
      </c>
      <c r="CT34" s="192">
        <v>1116</v>
      </c>
      <c r="CU34" s="192">
        <v>1116</v>
      </c>
      <c r="CV34" s="192">
        <v>2662.5</v>
      </c>
      <c r="CW34" s="192">
        <v>1170</v>
      </c>
      <c r="CX34" s="192">
        <v>1116</v>
      </c>
      <c r="CY34" s="212">
        <v>1081.2</v>
      </c>
      <c r="CZ34" s="192">
        <f t="shared" ref="CZ34:CZ36" si="8">AO34*1.2</f>
        <v>1056</v>
      </c>
      <c r="DA34" s="192">
        <v>1056</v>
      </c>
      <c r="DB34" s="192">
        <v>1056</v>
      </c>
      <c r="DC34" s="192">
        <v>2475</v>
      </c>
      <c r="DD34" s="192">
        <v>1044</v>
      </c>
      <c r="DE34" s="192">
        <v>1040</v>
      </c>
      <c r="DF34" s="212">
        <v>1016.328</v>
      </c>
      <c r="DG34" s="192">
        <f t="shared" si="3"/>
        <v>1354.712</v>
      </c>
      <c r="DH34" s="192">
        <v>1354.712</v>
      </c>
      <c r="DI34" s="192">
        <v>1354.712</v>
      </c>
      <c r="DJ34" s="192">
        <v>4275</v>
      </c>
      <c r="DK34" s="192">
        <v>1704</v>
      </c>
      <c r="DL34" s="192">
        <v>1354.712</v>
      </c>
      <c r="DM34" s="212">
        <v>1348.32</v>
      </c>
      <c r="DN34" s="192">
        <f t="shared" si="4"/>
        <v>1282.8</v>
      </c>
      <c r="DO34" s="192">
        <v>1282.8</v>
      </c>
      <c r="DP34" s="192">
        <v>1282.8</v>
      </c>
      <c r="DQ34" s="192">
        <v>3993.75</v>
      </c>
      <c r="DR34" s="199">
        <v>1560</v>
      </c>
      <c r="DS34" s="199">
        <v>1282.8</v>
      </c>
      <c r="DT34" s="218">
        <v>1272</v>
      </c>
      <c r="DU34" s="199">
        <f t="shared" si="5"/>
        <v>1090.8</v>
      </c>
      <c r="DV34" s="199">
        <v>1090.8</v>
      </c>
      <c r="DW34" s="199">
        <v>1090.8</v>
      </c>
      <c r="DX34" s="199">
        <v>3712.5</v>
      </c>
      <c r="DY34" s="199">
        <v>1392</v>
      </c>
      <c r="DZ34" s="199">
        <v>1090.8</v>
      </c>
      <c r="EA34" s="218">
        <v>1195.68</v>
      </c>
    </row>
    <row r="35" ht="24" spans="2:131">
      <c r="B35" s="189" t="s">
        <v>2440</v>
      </c>
      <c r="C35" s="195" t="s">
        <v>2447</v>
      </c>
      <c r="D35" s="191" t="s">
        <v>2448</v>
      </c>
      <c r="E35" s="191" t="s">
        <v>1154</v>
      </c>
      <c r="F35" s="192">
        <v>650</v>
      </c>
      <c r="G35" s="192">
        <v>650</v>
      </c>
      <c r="H35" s="192">
        <v>650</v>
      </c>
      <c r="I35" s="192">
        <v>650</v>
      </c>
      <c r="J35" s="192">
        <v>715</v>
      </c>
      <c r="K35" s="192">
        <v>650</v>
      </c>
      <c r="L35" s="212">
        <v>636</v>
      </c>
      <c r="M35" s="199">
        <v>610</v>
      </c>
      <c r="N35" s="199">
        <v>610</v>
      </c>
      <c r="O35" s="199">
        <v>610</v>
      </c>
      <c r="P35" s="192">
        <v>610</v>
      </c>
      <c r="Q35" s="192">
        <v>600</v>
      </c>
      <c r="R35" s="192">
        <v>580</v>
      </c>
      <c r="S35" s="212">
        <v>600</v>
      </c>
      <c r="T35" s="192">
        <v>560</v>
      </c>
      <c r="U35" s="192">
        <v>560</v>
      </c>
      <c r="V35" s="192">
        <v>560</v>
      </c>
      <c r="W35" s="192">
        <v>560</v>
      </c>
      <c r="X35" s="192">
        <v>580</v>
      </c>
      <c r="Y35" s="192">
        <v>525</v>
      </c>
      <c r="Z35" s="212">
        <v>564</v>
      </c>
      <c r="AA35" s="192">
        <v>1014.08</v>
      </c>
      <c r="AB35" s="192">
        <v>1014.08</v>
      </c>
      <c r="AC35" s="192">
        <v>1014.08</v>
      </c>
      <c r="AD35" s="192">
        <v>1950</v>
      </c>
      <c r="AE35" s="192">
        <v>1075</v>
      </c>
      <c r="AF35" s="192">
        <v>1014.08</v>
      </c>
      <c r="AG35" s="212">
        <v>1000.11</v>
      </c>
      <c r="AH35" s="192">
        <v>986.52</v>
      </c>
      <c r="AI35" s="192">
        <v>986.52</v>
      </c>
      <c r="AJ35" s="192">
        <v>986.52</v>
      </c>
      <c r="AK35" s="192">
        <v>1830</v>
      </c>
      <c r="AL35" s="192">
        <v>900</v>
      </c>
      <c r="AM35" s="192">
        <v>925</v>
      </c>
      <c r="AN35" s="212">
        <v>943.5</v>
      </c>
      <c r="AO35" s="192">
        <v>913.68</v>
      </c>
      <c r="AP35" s="192">
        <v>913.68</v>
      </c>
      <c r="AQ35" s="192">
        <v>913.68</v>
      </c>
      <c r="AR35" s="192">
        <v>1680</v>
      </c>
      <c r="AS35" s="192">
        <v>870</v>
      </c>
      <c r="AT35" s="192">
        <v>840</v>
      </c>
      <c r="AU35" s="212">
        <v>886.89</v>
      </c>
      <c r="AV35" s="192">
        <v>1262</v>
      </c>
      <c r="AW35" s="192">
        <v>1262</v>
      </c>
      <c r="AX35" s="192">
        <v>1262</v>
      </c>
      <c r="AY35" s="192">
        <v>2925</v>
      </c>
      <c r="AZ35" s="192">
        <v>1432</v>
      </c>
      <c r="BA35" s="192">
        <v>1262</v>
      </c>
      <c r="BB35" s="212">
        <v>1176.6</v>
      </c>
      <c r="BC35" s="192">
        <v>1136</v>
      </c>
      <c r="BD35" s="192">
        <v>1136</v>
      </c>
      <c r="BE35" s="192">
        <v>1136</v>
      </c>
      <c r="BF35" s="192">
        <v>2745</v>
      </c>
      <c r="BG35" s="199">
        <v>1200</v>
      </c>
      <c r="BH35" s="192">
        <v>1136</v>
      </c>
      <c r="BI35" s="212">
        <v>1110</v>
      </c>
      <c r="BJ35" s="199">
        <v>1073</v>
      </c>
      <c r="BK35" s="199">
        <v>1073</v>
      </c>
      <c r="BL35" s="199">
        <v>1073</v>
      </c>
      <c r="BM35" s="199">
        <v>2520</v>
      </c>
      <c r="BN35" s="199">
        <v>1160</v>
      </c>
      <c r="BO35" s="199">
        <v>1073</v>
      </c>
      <c r="BP35" s="218">
        <v>1043.4</v>
      </c>
      <c r="BQ35" s="199">
        <f t="shared" ref="BQ35:BQ40" si="9">F35*1.2</f>
        <v>780</v>
      </c>
      <c r="BR35" s="199">
        <v>780</v>
      </c>
      <c r="BS35" s="199">
        <v>780</v>
      </c>
      <c r="BT35" s="199">
        <v>812.5</v>
      </c>
      <c r="BU35" s="199">
        <v>1098</v>
      </c>
      <c r="BV35" s="199">
        <v>780</v>
      </c>
      <c r="BW35" s="212">
        <v>763.2</v>
      </c>
      <c r="BX35" s="199">
        <f t="shared" si="6"/>
        <v>732</v>
      </c>
      <c r="BY35" s="199">
        <v>732</v>
      </c>
      <c r="BZ35" s="199">
        <v>732</v>
      </c>
      <c r="CA35" s="192">
        <v>762.5</v>
      </c>
      <c r="CB35" s="192">
        <v>780</v>
      </c>
      <c r="CC35" s="192">
        <v>700</v>
      </c>
      <c r="CD35" s="212">
        <v>720</v>
      </c>
      <c r="CE35" s="192">
        <f t="shared" si="7"/>
        <v>672</v>
      </c>
      <c r="CF35" s="192">
        <v>672</v>
      </c>
      <c r="CG35" s="192">
        <v>672</v>
      </c>
      <c r="CH35" s="192">
        <v>700</v>
      </c>
      <c r="CI35" s="192">
        <v>754</v>
      </c>
      <c r="CJ35" s="192">
        <v>600</v>
      </c>
      <c r="CK35" s="212">
        <v>676.8</v>
      </c>
      <c r="CL35" s="192">
        <f t="shared" si="0"/>
        <v>1216.896</v>
      </c>
      <c r="CM35" s="192">
        <v>1216.896</v>
      </c>
      <c r="CN35" s="192">
        <v>1216.896</v>
      </c>
      <c r="CO35" s="192">
        <v>2437.5</v>
      </c>
      <c r="CP35" s="192">
        <v>1404</v>
      </c>
      <c r="CQ35" s="192">
        <v>987</v>
      </c>
      <c r="CR35" s="212">
        <v>1200.132</v>
      </c>
      <c r="CS35" s="192">
        <f t="shared" si="1"/>
        <v>1183.824</v>
      </c>
      <c r="CT35" s="192">
        <v>1183.824</v>
      </c>
      <c r="CU35" s="192">
        <v>1183.824</v>
      </c>
      <c r="CV35" s="192">
        <v>2287.5</v>
      </c>
      <c r="CW35" s="192">
        <v>1170</v>
      </c>
      <c r="CX35" s="192">
        <v>892</v>
      </c>
      <c r="CY35" s="212">
        <v>1132.2</v>
      </c>
      <c r="CZ35" s="192">
        <f t="shared" si="8"/>
        <v>1096.416</v>
      </c>
      <c r="DA35" s="192">
        <v>1096.416</v>
      </c>
      <c r="DB35" s="192">
        <v>1096.416</v>
      </c>
      <c r="DC35" s="192">
        <v>2100</v>
      </c>
      <c r="DD35" s="192">
        <v>1131</v>
      </c>
      <c r="DE35" s="192">
        <v>837</v>
      </c>
      <c r="DF35" s="212">
        <v>1064.268</v>
      </c>
      <c r="DG35" s="192">
        <f t="shared" si="3"/>
        <v>1514.4</v>
      </c>
      <c r="DH35" s="192">
        <v>1514.4</v>
      </c>
      <c r="DI35" s="192">
        <v>1514.4</v>
      </c>
      <c r="DJ35" s="192">
        <v>3656.25</v>
      </c>
      <c r="DK35" s="192">
        <v>1872</v>
      </c>
      <c r="DL35" s="192">
        <v>1514.4</v>
      </c>
      <c r="DM35" s="212">
        <v>1411.92</v>
      </c>
      <c r="DN35" s="192">
        <f t="shared" si="4"/>
        <v>1363.2</v>
      </c>
      <c r="DO35" s="192">
        <v>1363.2</v>
      </c>
      <c r="DP35" s="192">
        <v>1363.2</v>
      </c>
      <c r="DQ35" s="192">
        <v>3431.25</v>
      </c>
      <c r="DR35" s="199">
        <v>1560</v>
      </c>
      <c r="DS35" s="199">
        <v>1363.2</v>
      </c>
      <c r="DT35" s="218">
        <v>1332</v>
      </c>
      <c r="DU35" s="199">
        <f t="shared" si="5"/>
        <v>1287.6</v>
      </c>
      <c r="DV35" s="199">
        <v>1287.6</v>
      </c>
      <c r="DW35" s="199">
        <v>1287.6</v>
      </c>
      <c r="DX35" s="199">
        <v>3150</v>
      </c>
      <c r="DY35" s="199">
        <v>1508</v>
      </c>
      <c r="DZ35" s="199">
        <v>1250</v>
      </c>
      <c r="EA35" s="218">
        <v>1252.08</v>
      </c>
    </row>
    <row r="36" ht="24" spans="2:131">
      <c r="B36" s="189" t="s">
        <v>2440</v>
      </c>
      <c r="C36" s="195" t="s">
        <v>2447</v>
      </c>
      <c r="D36" s="191" t="s">
        <v>2446</v>
      </c>
      <c r="E36" s="191" t="s">
        <v>1156</v>
      </c>
      <c r="F36" s="192">
        <v>760</v>
      </c>
      <c r="G36" s="192">
        <v>760</v>
      </c>
      <c r="H36" s="192">
        <v>760</v>
      </c>
      <c r="I36" s="192">
        <v>760</v>
      </c>
      <c r="J36" s="192">
        <v>805</v>
      </c>
      <c r="K36" s="192">
        <v>720</v>
      </c>
      <c r="L36" s="212">
        <v>773.8</v>
      </c>
      <c r="M36" s="199">
        <v>710</v>
      </c>
      <c r="N36" s="199">
        <v>710</v>
      </c>
      <c r="O36" s="199">
        <v>710</v>
      </c>
      <c r="P36" s="192">
        <v>710</v>
      </c>
      <c r="Q36" s="192">
        <v>710</v>
      </c>
      <c r="R36" s="192">
        <v>615</v>
      </c>
      <c r="S36" s="212">
        <v>730</v>
      </c>
      <c r="T36" s="192">
        <v>631.8</v>
      </c>
      <c r="U36" s="192">
        <v>631.8</v>
      </c>
      <c r="V36" s="192">
        <v>631.8</v>
      </c>
      <c r="W36" s="192">
        <v>660</v>
      </c>
      <c r="X36" s="192">
        <v>675</v>
      </c>
      <c r="Y36" s="192">
        <v>574</v>
      </c>
      <c r="Z36" s="212">
        <v>686.2</v>
      </c>
      <c r="AA36" s="192">
        <v>1248</v>
      </c>
      <c r="AB36" s="192">
        <v>1248</v>
      </c>
      <c r="AC36" s="192">
        <v>1248</v>
      </c>
      <c r="AD36" s="192">
        <v>2280</v>
      </c>
      <c r="AE36" s="192">
        <v>1215</v>
      </c>
      <c r="AF36" s="192">
        <v>1152</v>
      </c>
      <c r="AG36" s="212">
        <v>1216.8005</v>
      </c>
      <c r="AH36" s="192">
        <v>1123.2</v>
      </c>
      <c r="AI36" s="192">
        <v>1123.2</v>
      </c>
      <c r="AJ36" s="192">
        <v>1123.2</v>
      </c>
      <c r="AK36" s="192">
        <v>2130</v>
      </c>
      <c r="AL36" s="192">
        <v>1068</v>
      </c>
      <c r="AM36" s="192">
        <v>980</v>
      </c>
      <c r="AN36" s="212">
        <v>1147.925</v>
      </c>
      <c r="AO36" s="192">
        <v>1010.88</v>
      </c>
      <c r="AP36" s="192">
        <v>1010.88</v>
      </c>
      <c r="AQ36" s="192">
        <v>1010.88</v>
      </c>
      <c r="AR36" s="192">
        <v>1980</v>
      </c>
      <c r="AS36" s="192">
        <v>1011</v>
      </c>
      <c r="AT36" s="192">
        <v>918.4</v>
      </c>
      <c r="AU36" s="212">
        <v>1079.0495</v>
      </c>
      <c r="AV36" s="192">
        <v>1515</v>
      </c>
      <c r="AW36" s="192">
        <v>1515</v>
      </c>
      <c r="AX36" s="192">
        <v>1515</v>
      </c>
      <c r="AY36" s="192">
        <v>3420</v>
      </c>
      <c r="AZ36" s="192">
        <v>1611</v>
      </c>
      <c r="BA36" s="192">
        <v>1510</v>
      </c>
      <c r="BB36" s="212">
        <v>1431.53</v>
      </c>
      <c r="BC36" s="192">
        <v>1364</v>
      </c>
      <c r="BD36" s="192">
        <v>1364</v>
      </c>
      <c r="BE36" s="192">
        <v>1364</v>
      </c>
      <c r="BF36" s="192">
        <v>3195</v>
      </c>
      <c r="BG36" s="199">
        <v>1425</v>
      </c>
      <c r="BH36" s="192">
        <v>1290</v>
      </c>
      <c r="BI36" s="212">
        <v>1350.5</v>
      </c>
      <c r="BJ36" s="199">
        <v>1288</v>
      </c>
      <c r="BK36" s="199">
        <v>1288</v>
      </c>
      <c r="BL36" s="199">
        <v>1288</v>
      </c>
      <c r="BM36" s="199">
        <v>2970</v>
      </c>
      <c r="BN36" s="199">
        <v>1350</v>
      </c>
      <c r="BO36" s="199">
        <v>1200</v>
      </c>
      <c r="BP36" s="218">
        <v>1269.47</v>
      </c>
      <c r="BQ36" s="199">
        <f t="shared" si="9"/>
        <v>912</v>
      </c>
      <c r="BR36" s="199">
        <v>912</v>
      </c>
      <c r="BS36" s="199">
        <v>912</v>
      </c>
      <c r="BT36" s="199">
        <v>950</v>
      </c>
      <c r="BU36" s="199">
        <v>1225</v>
      </c>
      <c r="BV36" s="199">
        <v>912</v>
      </c>
      <c r="BW36" s="212">
        <v>928.56</v>
      </c>
      <c r="BX36" s="199">
        <v>842.4</v>
      </c>
      <c r="BY36" s="199">
        <v>842.4</v>
      </c>
      <c r="BZ36" s="199">
        <v>852</v>
      </c>
      <c r="CA36" s="192">
        <v>887.5</v>
      </c>
      <c r="CB36" s="192">
        <v>926</v>
      </c>
      <c r="CC36" s="192">
        <v>750</v>
      </c>
      <c r="CD36" s="212">
        <v>876</v>
      </c>
      <c r="CE36" s="192">
        <f t="shared" si="7"/>
        <v>758.16</v>
      </c>
      <c r="CF36" s="192">
        <v>758.16</v>
      </c>
      <c r="CG36" s="192">
        <v>758.16</v>
      </c>
      <c r="CH36" s="192">
        <v>825</v>
      </c>
      <c r="CI36" s="192">
        <v>878</v>
      </c>
      <c r="CJ36" s="192">
        <v>650</v>
      </c>
      <c r="CK36" s="212">
        <v>823.44</v>
      </c>
      <c r="CL36" s="192">
        <f t="shared" si="0"/>
        <v>1497.6</v>
      </c>
      <c r="CM36" s="192">
        <v>1497.6</v>
      </c>
      <c r="CN36" s="192">
        <v>1497.6</v>
      </c>
      <c r="CO36" s="192">
        <v>2850</v>
      </c>
      <c r="CP36" s="192">
        <v>1580</v>
      </c>
      <c r="CQ36" s="192">
        <v>1256</v>
      </c>
      <c r="CR36" s="212">
        <v>1460.1606</v>
      </c>
      <c r="CS36" s="192">
        <f t="shared" si="1"/>
        <v>1347.84</v>
      </c>
      <c r="CT36" s="192">
        <v>1347.84</v>
      </c>
      <c r="CU36" s="192">
        <v>1347.84</v>
      </c>
      <c r="CV36" s="192">
        <v>2662.5</v>
      </c>
      <c r="CW36" s="192">
        <v>1388</v>
      </c>
      <c r="CX36" s="192">
        <v>1126</v>
      </c>
      <c r="CY36" s="212">
        <v>1377.51</v>
      </c>
      <c r="CZ36" s="192">
        <f t="shared" si="8"/>
        <v>1213.056</v>
      </c>
      <c r="DA36" s="192">
        <v>1213.056</v>
      </c>
      <c r="DB36" s="192">
        <v>1213.056</v>
      </c>
      <c r="DC36" s="192">
        <v>2475</v>
      </c>
      <c r="DD36" s="192">
        <v>1362</v>
      </c>
      <c r="DE36" s="192">
        <v>1041</v>
      </c>
      <c r="DF36" s="212">
        <v>1294.8594</v>
      </c>
      <c r="DG36" s="192">
        <f t="shared" si="3"/>
        <v>1818</v>
      </c>
      <c r="DH36" s="192">
        <v>1818</v>
      </c>
      <c r="DI36" s="192">
        <v>1818</v>
      </c>
      <c r="DJ36" s="192">
        <v>4275</v>
      </c>
      <c r="DK36" s="192">
        <v>2106</v>
      </c>
      <c r="DL36" s="192">
        <v>1818</v>
      </c>
      <c r="DM36" s="212">
        <v>1717.836</v>
      </c>
      <c r="DN36" s="192">
        <f t="shared" si="4"/>
        <v>1636.8</v>
      </c>
      <c r="DO36" s="192">
        <v>1636.8</v>
      </c>
      <c r="DP36" s="192">
        <v>1636.8</v>
      </c>
      <c r="DQ36" s="192">
        <v>3993.75</v>
      </c>
      <c r="DR36" s="199">
        <v>1852</v>
      </c>
      <c r="DS36" s="199">
        <v>1636.8</v>
      </c>
      <c r="DT36" s="218">
        <v>1620.6</v>
      </c>
      <c r="DU36" s="199">
        <f t="shared" si="5"/>
        <v>1545.6</v>
      </c>
      <c r="DV36" s="199">
        <v>1545.6</v>
      </c>
      <c r="DW36" s="199">
        <v>1545.6</v>
      </c>
      <c r="DX36" s="199">
        <v>3712.5</v>
      </c>
      <c r="DY36" s="199">
        <v>1755</v>
      </c>
      <c r="DZ36" s="199">
        <v>1350</v>
      </c>
      <c r="EA36" s="218">
        <v>1523.364</v>
      </c>
    </row>
    <row r="37" ht="24" spans="2:131">
      <c r="B37" s="189" t="s">
        <v>2440</v>
      </c>
      <c r="C37" s="195" t="s">
        <v>2447</v>
      </c>
      <c r="D37" s="191" t="s">
        <v>2449</v>
      </c>
      <c r="E37" s="191" t="s">
        <v>1158</v>
      </c>
      <c r="F37" s="192">
        <v>880</v>
      </c>
      <c r="G37" s="192">
        <v>880</v>
      </c>
      <c r="H37" s="192">
        <v>880</v>
      </c>
      <c r="I37" s="192">
        <v>880</v>
      </c>
      <c r="J37" s="192">
        <v>915</v>
      </c>
      <c r="K37" s="192">
        <v>850</v>
      </c>
      <c r="L37" s="212">
        <v>911.6</v>
      </c>
      <c r="M37" s="199">
        <v>830</v>
      </c>
      <c r="N37" s="199">
        <v>830</v>
      </c>
      <c r="O37" s="199">
        <v>830</v>
      </c>
      <c r="P37" s="192">
        <v>830</v>
      </c>
      <c r="Q37" s="192">
        <v>880</v>
      </c>
      <c r="R37" s="192">
        <v>700</v>
      </c>
      <c r="S37" s="212">
        <v>860</v>
      </c>
      <c r="T37" s="192">
        <v>780</v>
      </c>
      <c r="U37" s="192">
        <v>780</v>
      </c>
      <c r="V37" s="192">
        <v>780</v>
      </c>
      <c r="W37" s="192">
        <v>780</v>
      </c>
      <c r="X37" s="192">
        <v>780</v>
      </c>
      <c r="Y37" s="192">
        <v>665</v>
      </c>
      <c r="Z37" s="212">
        <v>808.4</v>
      </c>
      <c r="AA37" s="192">
        <v>1426.42</v>
      </c>
      <c r="AB37" s="192">
        <v>1426.42</v>
      </c>
      <c r="AC37" s="192">
        <v>1426.42</v>
      </c>
      <c r="AD37" s="192">
        <v>2640</v>
      </c>
      <c r="AE37" s="192">
        <v>1373</v>
      </c>
      <c r="AF37" s="192">
        <v>1350</v>
      </c>
      <c r="AG37" s="212">
        <v>1433.491</v>
      </c>
      <c r="AH37" s="192">
        <v>1362.82</v>
      </c>
      <c r="AI37" s="192">
        <v>1362.82</v>
      </c>
      <c r="AJ37" s="192">
        <v>1362.82</v>
      </c>
      <c r="AK37" s="192">
        <v>2490</v>
      </c>
      <c r="AL37" s="192">
        <v>1324.5</v>
      </c>
      <c r="AM37" s="192">
        <v>1120</v>
      </c>
      <c r="AN37" s="212">
        <v>1352.35</v>
      </c>
      <c r="AO37" s="192">
        <v>1304.52</v>
      </c>
      <c r="AP37" s="192">
        <v>1304.52</v>
      </c>
      <c r="AQ37" s="192">
        <v>1304.52</v>
      </c>
      <c r="AR37" s="192">
        <v>2340</v>
      </c>
      <c r="AS37" s="192">
        <v>1188</v>
      </c>
      <c r="AT37" s="192">
        <v>1065</v>
      </c>
      <c r="AU37" s="212">
        <v>1271.209</v>
      </c>
      <c r="AV37" s="192">
        <v>1782</v>
      </c>
      <c r="AW37" s="192">
        <v>1782</v>
      </c>
      <c r="AX37" s="192">
        <v>1782</v>
      </c>
      <c r="AY37" s="192">
        <v>3960</v>
      </c>
      <c r="AZ37" s="192">
        <v>1830</v>
      </c>
      <c r="BA37" s="192">
        <v>1700</v>
      </c>
      <c r="BB37" s="212">
        <v>1686.46</v>
      </c>
      <c r="BC37" s="192">
        <v>1604</v>
      </c>
      <c r="BD37" s="192">
        <v>1604</v>
      </c>
      <c r="BE37" s="192">
        <v>1604</v>
      </c>
      <c r="BF37" s="192">
        <v>3735</v>
      </c>
      <c r="BG37" s="199">
        <v>1766</v>
      </c>
      <c r="BH37" s="192">
        <v>1450</v>
      </c>
      <c r="BI37" s="212">
        <v>1591</v>
      </c>
      <c r="BJ37" s="199">
        <v>1515</v>
      </c>
      <c r="BK37" s="199">
        <v>1515</v>
      </c>
      <c r="BL37" s="199">
        <v>1515</v>
      </c>
      <c r="BM37" s="199">
        <v>3510</v>
      </c>
      <c r="BN37" s="199">
        <v>1563</v>
      </c>
      <c r="BO37" s="199">
        <v>1350</v>
      </c>
      <c r="BP37" s="218">
        <v>1495.54</v>
      </c>
      <c r="BQ37" s="199">
        <v>1030</v>
      </c>
      <c r="BR37" s="199">
        <v>1030</v>
      </c>
      <c r="BS37" s="199">
        <v>1056</v>
      </c>
      <c r="BT37" s="199">
        <v>1100</v>
      </c>
      <c r="BU37" s="199">
        <v>1460</v>
      </c>
      <c r="BV37" s="199">
        <v>1030</v>
      </c>
      <c r="BW37" s="212">
        <v>1093.92</v>
      </c>
      <c r="BX37" s="199">
        <v>930</v>
      </c>
      <c r="BY37" s="199">
        <v>930</v>
      </c>
      <c r="BZ37" s="199">
        <v>996</v>
      </c>
      <c r="CA37" s="192">
        <v>1037.5</v>
      </c>
      <c r="CB37" s="192">
        <v>1148</v>
      </c>
      <c r="CC37" s="192">
        <v>840</v>
      </c>
      <c r="CD37" s="212">
        <v>1032</v>
      </c>
      <c r="CE37" s="192">
        <v>830</v>
      </c>
      <c r="CF37" s="192">
        <v>830</v>
      </c>
      <c r="CG37" s="192">
        <v>936</v>
      </c>
      <c r="CH37" s="192">
        <v>975</v>
      </c>
      <c r="CI37" s="192">
        <v>1030</v>
      </c>
      <c r="CJ37" s="192">
        <v>800</v>
      </c>
      <c r="CK37" s="212">
        <v>970.08</v>
      </c>
      <c r="CL37" s="192">
        <f t="shared" si="0"/>
        <v>1711.704</v>
      </c>
      <c r="CM37" s="192">
        <v>1711.704</v>
      </c>
      <c r="CN37" s="192">
        <v>1711.704</v>
      </c>
      <c r="CO37" s="192">
        <v>3300</v>
      </c>
      <c r="CP37" s="192">
        <v>1787</v>
      </c>
      <c r="CQ37" s="192">
        <v>1443</v>
      </c>
      <c r="CR37" s="212">
        <v>1720.1892</v>
      </c>
      <c r="CS37" s="192">
        <f t="shared" si="1"/>
        <v>1635.384</v>
      </c>
      <c r="CT37" s="192">
        <v>1635.384</v>
      </c>
      <c r="CU37" s="192">
        <v>1635.384</v>
      </c>
      <c r="CV37" s="192">
        <v>3112.5</v>
      </c>
      <c r="CW37" s="192">
        <v>1722</v>
      </c>
      <c r="CX37" s="192">
        <v>1369</v>
      </c>
      <c r="CY37" s="212">
        <v>1622.82</v>
      </c>
      <c r="CZ37" s="192">
        <v>1540</v>
      </c>
      <c r="DA37" s="192">
        <v>1540</v>
      </c>
      <c r="DB37" s="192">
        <v>1565.424</v>
      </c>
      <c r="DC37" s="192">
        <v>2925</v>
      </c>
      <c r="DD37" s="192">
        <v>1545</v>
      </c>
      <c r="DE37" s="192">
        <v>1201</v>
      </c>
      <c r="DF37" s="212">
        <v>1525.4508</v>
      </c>
      <c r="DG37" s="192">
        <f t="shared" si="3"/>
        <v>2138.4</v>
      </c>
      <c r="DH37" s="192">
        <v>2138.4</v>
      </c>
      <c r="DI37" s="192">
        <v>2138.4</v>
      </c>
      <c r="DJ37" s="192">
        <v>4950</v>
      </c>
      <c r="DK37" s="192">
        <v>2379</v>
      </c>
      <c r="DL37" s="192">
        <v>1950</v>
      </c>
      <c r="DM37" s="212">
        <v>2023.752</v>
      </c>
      <c r="DN37" s="192">
        <f t="shared" si="4"/>
        <v>1924.8</v>
      </c>
      <c r="DO37" s="192">
        <v>1924.8</v>
      </c>
      <c r="DP37" s="192">
        <v>1924.8</v>
      </c>
      <c r="DQ37" s="192">
        <v>4668.75</v>
      </c>
      <c r="DR37" s="199">
        <v>2296</v>
      </c>
      <c r="DS37" s="199">
        <v>1765</v>
      </c>
      <c r="DT37" s="218">
        <v>1909.2</v>
      </c>
      <c r="DU37" s="199">
        <f t="shared" si="5"/>
        <v>1818</v>
      </c>
      <c r="DV37" s="199">
        <v>1818</v>
      </c>
      <c r="DW37" s="199">
        <v>1818</v>
      </c>
      <c r="DX37" s="199">
        <v>4387.5</v>
      </c>
      <c r="DY37" s="199">
        <v>2059</v>
      </c>
      <c r="DZ37" s="199">
        <v>1680</v>
      </c>
      <c r="EA37" s="218">
        <v>1794.648</v>
      </c>
    </row>
    <row r="38" ht="24" spans="2:131">
      <c r="B38" s="189" t="s">
        <v>2440</v>
      </c>
      <c r="C38" s="195" t="s">
        <v>2450</v>
      </c>
      <c r="D38" s="191" t="s">
        <v>2448</v>
      </c>
      <c r="E38" s="191" t="s">
        <v>1160</v>
      </c>
      <c r="F38" s="192">
        <v>690</v>
      </c>
      <c r="G38" s="192">
        <v>790</v>
      </c>
      <c r="H38" s="192">
        <v>690</v>
      </c>
      <c r="I38" s="192">
        <v>690</v>
      </c>
      <c r="J38" s="192">
        <v>750</v>
      </c>
      <c r="K38" s="192">
        <v>2304</v>
      </c>
      <c r="L38" s="212">
        <v>784.4</v>
      </c>
      <c r="M38" s="199">
        <v>650</v>
      </c>
      <c r="N38" s="199">
        <v>750</v>
      </c>
      <c r="O38" s="199">
        <v>650</v>
      </c>
      <c r="P38" s="192">
        <v>650</v>
      </c>
      <c r="Q38" s="192">
        <v>630</v>
      </c>
      <c r="R38" s="192">
        <v>2160</v>
      </c>
      <c r="S38" s="212">
        <v>740</v>
      </c>
      <c r="T38" s="192">
        <v>610</v>
      </c>
      <c r="U38" s="192">
        <v>710</v>
      </c>
      <c r="V38" s="192">
        <v>610</v>
      </c>
      <c r="W38" s="192">
        <v>610</v>
      </c>
      <c r="X38" s="192">
        <v>605</v>
      </c>
      <c r="Y38" s="192">
        <v>1512</v>
      </c>
      <c r="Z38" s="212">
        <v>695.6</v>
      </c>
      <c r="AA38" s="192">
        <v>1356.8</v>
      </c>
      <c r="AB38" s="192">
        <v>1356.8</v>
      </c>
      <c r="AC38" s="192">
        <v>1356.8</v>
      </c>
      <c r="AD38" s="192">
        <v>2070</v>
      </c>
      <c r="AE38" s="192">
        <v>1125</v>
      </c>
      <c r="AF38" s="192">
        <v>3816</v>
      </c>
      <c r="AG38" s="212">
        <v>1400.154</v>
      </c>
      <c r="AH38" s="192">
        <v>1219</v>
      </c>
      <c r="AI38" s="192">
        <v>1219</v>
      </c>
      <c r="AJ38" s="192">
        <v>1219</v>
      </c>
      <c r="AK38" s="192">
        <v>1950</v>
      </c>
      <c r="AL38" s="192">
        <v>945</v>
      </c>
      <c r="AM38" s="192">
        <v>3456</v>
      </c>
      <c r="AN38" s="212">
        <v>1320.9</v>
      </c>
      <c r="AO38" s="192">
        <v>1060</v>
      </c>
      <c r="AP38" s="192">
        <v>1060</v>
      </c>
      <c r="AQ38" s="192">
        <v>1060</v>
      </c>
      <c r="AR38" s="192">
        <v>1830</v>
      </c>
      <c r="AS38" s="192">
        <v>907.5</v>
      </c>
      <c r="AT38" s="192">
        <v>3456</v>
      </c>
      <c r="AU38" s="212">
        <v>1241.646</v>
      </c>
      <c r="AV38" s="192">
        <v>1648</v>
      </c>
      <c r="AW38" s="192">
        <v>1648</v>
      </c>
      <c r="AX38" s="192">
        <v>1648</v>
      </c>
      <c r="AY38" s="192">
        <v>4140</v>
      </c>
      <c r="AZ38" s="192">
        <v>1500</v>
      </c>
      <c r="BA38" s="192">
        <v>4392</v>
      </c>
      <c r="BB38" s="212">
        <v>1647.24</v>
      </c>
      <c r="BC38" s="192">
        <v>1584</v>
      </c>
      <c r="BD38" s="192">
        <v>1584</v>
      </c>
      <c r="BE38" s="192">
        <v>1584</v>
      </c>
      <c r="BF38" s="192">
        <v>3900</v>
      </c>
      <c r="BG38" s="199">
        <v>1260</v>
      </c>
      <c r="BH38" s="199">
        <v>4104</v>
      </c>
      <c r="BI38" s="218">
        <v>1554</v>
      </c>
      <c r="BJ38" s="199">
        <v>1464</v>
      </c>
      <c r="BK38" s="199">
        <v>1464</v>
      </c>
      <c r="BL38" s="199">
        <v>1464</v>
      </c>
      <c r="BM38" s="199">
        <v>3660</v>
      </c>
      <c r="BN38" s="199">
        <v>1210</v>
      </c>
      <c r="BO38" s="199">
        <v>3456</v>
      </c>
      <c r="BP38" s="218">
        <v>1460.76</v>
      </c>
      <c r="BQ38" s="199">
        <f t="shared" si="9"/>
        <v>828</v>
      </c>
      <c r="BR38" s="199">
        <v>948</v>
      </c>
      <c r="BS38" s="199">
        <v>828</v>
      </c>
      <c r="BT38" s="199">
        <v>862.5</v>
      </c>
      <c r="BU38" s="199">
        <v>1207.8</v>
      </c>
      <c r="BV38" s="199">
        <v>2304</v>
      </c>
      <c r="BW38" s="212">
        <v>941.28</v>
      </c>
      <c r="BX38" s="199">
        <f t="shared" si="6"/>
        <v>780</v>
      </c>
      <c r="BY38" s="199">
        <v>900</v>
      </c>
      <c r="BZ38" s="199">
        <v>780</v>
      </c>
      <c r="CA38" s="192">
        <v>812.5</v>
      </c>
      <c r="CB38" s="192">
        <v>819</v>
      </c>
      <c r="CC38" s="192">
        <v>2160</v>
      </c>
      <c r="CD38" s="212">
        <v>888</v>
      </c>
      <c r="CE38" s="192">
        <f t="shared" ref="CE38:CE40" si="10">T38*1.2</f>
        <v>732</v>
      </c>
      <c r="CF38" s="192">
        <v>852</v>
      </c>
      <c r="CG38" s="192">
        <v>732</v>
      </c>
      <c r="CH38" s="192">
        <v>762.5</v>
      </c>
      <c r="CI38" s="192">
        <v>787</v>
      </c>
      <c r="CJ38" s="192">
        <v>1512</v>
      </c>
      <c r="CK38" s="212">
        <v>834.72</v>
      </c>
      <c r="CL38" s="192">
        <f t="shared" si="0"/>
        <v>1628.16</v>
      </c>
      <c r="CM38" s="192">
        <v>1628.16</v>
      </c>
      <c r="CN38" s="192">
        <v>1628.16</v>
      </c>
      <c r="CO38" s="192">
        <v>2587.5</v>
      </c>
      <c r="CP38" s="192">
        <v>1465</v>
      </c>
      <c r="CQ38" s="192">
        <v>3816</v>
      </c>
      <c r="CR38" s="212">
        <v>1680.1848</v>
      </c>
      <c r="CS38" s="192">
        <f t="shared" si="1"/>
        <v>1462.8</v>
      </c>
      <c r="CT38" s="192">
        <v>1462.8</v>
      </c>
      <c r="CU38" s="192">
        <v>1462.8</v>
      </c>
      <c r="CV38" s="192">
        <v>2437.5</v>
      </c>
      <c r="CW38" s="192">
        <v>1129</v>
      </c>
      <c r="CX38" s="192">
        <v>3456</v>
      </c>
      <c r="CY38" s="212">
        <v>1585.08</v>
      </c>
      <c r="CZ38" s="192">
        <f t="shared" ref="CZ38:CZ40" si="11">AO38*1.2</f>
        <v>1272</v>
      </c>
      <c r="DA38" s="192">
        <v>1272</v>
      </c>
      <c r="DB38" s="192">
        <v>1272</v>
      </c>
      <c r="DC38" s="192">
        <v>2287.5</v>
      </c>
      <c r="DD38" s="192">
        <v>1180</v>
      </c>
      <c r="DE38" s="192">
        <v>3456</v>
      </c>
      <c r="DF38" s="212">
        <v>1489.9752</v>
      </c>
      <c r="DG38" s="192">
        <f t="shared" si="3"/>
        <v>1977.6</v>
      </c>
      <c r="DH38" s="192">
        <v>1977.6</v>
      </c>
      <c r="DI38" s="192">
        <v>1977.6</v>
      </c>
      <c r="DJ38" s="192">
        <v>5175</v>
      </c>
      <c r="DK38" s="192">
        <v>1950</v>
      </c>
      <c r="DL38" s="192">
        <v>4392</v>
      </c>
      <c r="DM38" s="212">
        <v>1976.688</v>
      </c>
      <c r="DN38" s="192">
        <f t="shared" si="4"/>
        <v>1900.8</v>
      </c>
      <c r="DO38" s="192">
        <v>1900.8</v>
      </c>
      <c r="DP38" s="192">
        <v>1900.8</v>
      </c>
      <c r="DQ38" s="192">
        <v>4875</v>
      </c>
      <c r="DR38" s="199">
        <v>1738</v>
      </c>
      <c r="DS38" s="199">
        <v>4104</v>
      </c>
      <c r="DT38" s="218">
        <v>1864.8</v>
      </c>
      <c r="DU38" s="199">
        <f t="shared" si="5"/>
        <v>1756.8</v>
      </c>
      <c r="DV38" s="199">
        <v>1756.8</v>
      </c>
      <c r="DW38" s="199">
        <v>1756.8</v>
      </c>
      <c r="DX38" s="199">
        <v>4575</v>
      </c>
      <c r="DY38" s="199">
        <v>1603</v>
      </c>
      <c r="DZ38" s="199">
        <v>3456</v>
      </c>
      <c r="EA38" s="218">
        <v>1752.912</v>
      </c>
    </row>
    <row r="39" ht="24" spans="2:131">
      <c r="B39" s="189" t="s">
        <v>2440</v>
      </c>
      <c r="C39" s="195" t="s">
        <v>2450</v>
      </c>
      <c r="D39" s="191" t="s">
        <v>2446</v>
      </c>
      <c r="E39" s="191" t="s">
        <v>1162</v>
      </c>
      <c r="F39" s="192">
        <v>810</v>
      </c>
      <c r="G39" s="192">
        <v>840</v>
      </c>
      <c r="H39" s="192">
        <v>810</v>
      </c>
      <c r="I39" s="192">
        <v>810</v>
      </c>
      <c r="J39" s="192">
        <v>920</v>
      </c>
      <c r="K39" s="192">
        <v>2736</v>
      </c>
      <c r="L39" s="212">
        <v>901</v>
      </c>
      <c r="M39" s="199">
        <v>760</v>
      </c>
      <c r="N39" s="199">
        <v>790</v>
      </c>
      <c r="O39" s="199">
        <v>760</v>
      </c>
      <c r="P39" s="192">
        <v>760</v>
      </c>
      <c r="Q39" s="192">
        <v>788</v>
      </c>
      <c r="R39" s="192">
        <v>2304</v>
      </c>
      <c r="S39" s="212">
        <v>850</v>
      </c>
      <c r="T39" s="192">
        <v>710</v>
      </c>
      <c r="U39" s="192">
        <v>750</v>
      </c>
      <c r="V39" s="192">
        <v>710</v>
      </c>
      <c r="W39" s="192">
        <v>710</v>
      </c>
      <c r="X39" s="192">
        <v>745</v>
      </c>
      <c r="Y39" s="192">
        <v>1600</v>
      </c>
      <c r="Z39" s="212">
        <v>799</v>
      </c>
      <c r="AA39" s="192">
        <v>1511.56</v>
      </c>
      <c r="AB39" s="192">
        <v>1511.56</v>
      </c>
      <c r="AC39" s="192">
        <v>1511.56</v>
      </c>
      <c r="AD39" s="192">
        <v>2430</v>
      </c>
      <c r="AE39" s="192">
        <v>1350</v>
      </c>
      <c r="AF39" s="192">
        <v>4320</v>
      </c>
      <c r="AG39" s="212">
        <v>1608.285</v>
      </c>
      <c r="AH39" s="192">
        <v>1340.9</v>
      </c>
      <c r="AI39" s="192">
        <v>1340.9</v>
      </c>
      <c r="AJ39" s="192">
        <v>1340.9</v>
      </c>
      <c r="AK39" s="192">
        <v>2280</v>
      </c>
      <c r="AL39" s="192">
        <v>1182</v>
      </c>
      <c r="AM39" s="192">
        <v>3888</v>
      </c>
      <c r="AN39" s="212">
        <v>1517.25</v>
      </c>
      <c r="AO39" s="192">
        <v>1154.34</v>
      </c>
      <c r="AP39" s="192">
        <v>1154.34</v>
      </c>
      <c r="AQ39" s="192">
        <v>1154.34</v>
      </c>
      <c r="AR39" s="192">
        <v>2130</v>
      </c>
      <c r="AS39" s="192">
        <v>1117.5</v>
      </c>
      <c r="AT39" s="192">
        <v>3600</v>
      </c>
      <c r="AU39" s="212">
        <v>1426.215</v>
      </c>
      <c r="AV39" s="192">
        <v>1775</v>
      </c>
      <c r="AW39" s="192">
        <v>1775</v>
      </c>
      <c r="AX39" s="192">
        <v>1775</v>
      </c>
      <c r="AY39" s="192">
        <v>4860</v>
      </c>
      <c r="AZ39" s="192">
        <v>1775</v>
      </c>
      <c r="BA39" s="192">
        <v>5184</v>
      </c>
      <c r="BB39" s="212">
        <v>1892.1</v>
      </c>
      <c r="BC39" s="192">
        <v>1614</v>
      </c>
      <c r="BD39" s="192">
        <v>1614</v>
      </c>
      <c r="BE39" s="192">
        <v>1614</v>
      </c>
      <c r="BF39" s="192">
        <v>4560</v>
      </c>
      <c r="BG39" s="199">
        <v>1576</v>
      </c>
      <c r="BH39" s="199">
        <v>4464</v>
      </c>
      <c r="BI39" s="218">
        <v>1785</v>
      </c>
      <c r="BJ39" s="199">
        <v>1585</v>
      </c>
      <c r="BK39" s="199">
        <v>1585</v>
      </c>
      <c r="BL39" s="199">
        <v>1585</v>
      </c>
      <c r="BM39" s="199">
        <v>4260</v>
      </c>
      <c r="BN39" s="199">
        <v>1490</v>
      </c>
      <c r="BO39" s="199">
        <v>3960</v>
      </c>
      <c r="BP39" s="218">
        <v>1677.9</v>
      </c>
      <c r="BQ39" s="199">
        <f t="shared" si="9"/>
        <v>972</v>
      </c>
      <c r="BR39" s="199">
        <v>1008</v>
      </c>
      <c r="BS39" s="199">
        <v>972</v>
      </c>
      <c r="BT39" s="199">
        <v>1012.5</v>
      </c>
      <c r="BU39" s="199">
        <v>1347.5</v>
      </c>
      <c r="BV39" s="199">
        <v>2736</v>
      </c>
      <c r="BW39" s="212">
        <v>1081.2</v>
      </c>
      <c r="BX39" s="199">
        <f t="shared" si="6"/>
        <v>912</v>
      </c>
      <c r="BY39" s="199">
        <v>948</v>
      </c>
      <c r="BZ39" s="199">
        <v>912</v>
      </c>
      <c r="CA39" s="192">
        <v>950</v>
      </c>
      <c r="CB39" s="192">
        <v>1024</v>
      </c>
      <c r="CC39" s="192">
        <v>2304</v>
      </c>
      <c r="CD39" s="212">
        <v>1020</v>
      </c>
      <c r="CE39" s="192">
        <f t="shared" si="10"/>
        <v>852</v>
      </c>
      <c r="CF39" s="192">
        <v>900</v>
      </c>
      <c r="CG39" s="192">
        <v>852</v>
      </c>
      <c r="CH39" s="192">
        <v>887.5</v>
      </c>
      <c r="CI39" s="192">
        <v>969</v>
      </c>
      <c r="CJ39" s="192">
        <v>1600</v>
      </c>
      <c r="CK39" s="212">
        <v>958.8</v>
      </c>
      <c r="CL39" s="192">
        <f t="shared" si="0"/>
        <v>1813.872</v>
      </c>
      <c r="CM39" s="192">
        <v>1813.872</v>
      </c>
      <c r="CN39" s="192">
        <v>1813.872</v>
      </c>
      <c r="CO39" s="192">
        <v>3037.5</v>
      </c>
      <c r="CP39" s="192">
        <v>1794</v>
      </c>
      <c r="CQ39" s="192">
        <v>4320</v>
      </c>
      <c r="CR39" s="212">
        <v>1929.942</v>
      </c>
      <c r="CS39" s="192">
        <f t="shared" si="1"/>
        <v>1609.08</v>
      </c>
      <c r="CT39" s="192">
        <v>1609.08</v>
      </c>
      <c r="CU39" s="192">
        <v>1609.08</v>
      </c>
      <c r="CV39" s="192">
        <v>2850</v>
      </c>
      <c r="CW39" s="192">
        <v>1537</v>
      </c>
      <c r="CX39" s="192">
        <v>3888</v>
      </c>
      <c r="CY39" s="212">
        <v>1820.7</v>
      </c>
      <c r="CZ39" s="192">
        <f t="shared" si="11"/>
        <v>1385.208</v>
      </c>
      <c r="DA39" s="192">
        <v>1385.208</v>
      </c>
      <c r="DB39" s="192">
        <v>1385.208</v>
      </c>
      <c r="DC39" s="192">
        <v>2662.5</v>
      </c>
      <c r="DD39" s="192">
        <v>1454</v>
      </c>
      <c r="DE39" s="192">
        <v>3600</v>
      </c>
      <c r="DF39" s="212">
        <v>1711.458</v>
      </c>
      <c r="DG39" s="192">
        <f t="shared" si="3"/>
        <v>2130</v>
      </c>
      <c r="DH39" s="192">
        <v>2130</v>
      </c>
      <c r="DI39" s="192">
        <v>2130</v>
      </c>
      <c r="DJ39" s="192">
        <v>6075</v>
      </c>
      <c r="DK39" s="192">
        <v>2392</v>
      </c>
      <c r="DL39" s="192">
        <v>5184</v>
      </c>
      <c r="DM39" s="212">
        <v>2270.52</v>
      </c>
      <c r="DN39" s="192">
        <f t="shared" si="4"/>
        <v>1936.8</v>
      </c>
      <c r="DO39" s="192">
        <v>1936.8</v>
      </c>
      <c r="DP39" s="192">
        <v>1936.8</v>
      </c>
      <c r="DQ39" s="192">
        <v>5700</v>
      </c>
      <c r="DR39" s="199">
        <v>2049</v>
      </c>
      <c r="DS39" s="199">
        <v>4464</v>
      </c>
      <c r="DT39" s="218">
        <v>2142</v>
      </c>
      <c r="DU39" s="199">
        <f t="shared" si="5"/>
        <v>1902</v>
      </c>
      <c r="DV39" s="199">
        <v>1902</v>
      </c>
      <c r="DW39" s="199">
        <v>1902</v>
      </c>
      <c r="DX39" s="199">
        <v>5325</v>
      </c>
      <c r="DY39" s="199">
        <v>1938</v>
      </c>
      <c r="DZ39" s="199">
        <v>3960</v>
      </c>
      <c r="EA39" s="218">
        <v>2013.48</v>
      </c>
    </row>
    <row r="40" ht="24" spans="2:131">
      <c r="B40" s="189" t="s">
        <v>2440</v>
      </c>
      <c r="C40" s="195" t="s">
        <v>2450</v>
      </c>
      <c r="D40" s="191" t="s">
        <v>2449</v>
      </c>
      <c r="E40" s="191" t="s">
        <v>1164</v>
      </c>
      <c r="F40" s="192">
        <v>960</v>
      </c>
      <c r="G40" s="192">
        <v>960</v>
      </c>
      <c r="H40" s="192">
        <v>960</v>
      </c>
      <c r="I40" s="192">
        <v>960</v>
      </c>
      <c r="J40" s="192">
        <v>1135</v>
      </c>
      <c r="K40" s="192">
        <v>3456</v>
      </c>
      <c r="L40" s="212">
        <v>1007</v>
      </c>
      <c r="M40" s="199">
        <v>890</v>
      </c>
      <c r="N40" s="199">
        <v>890</v>
      </c>
      <c r="O40" s="199">
        <v>890</v>
      </c>
      <c r="P40" s="192">
        <v>890</v>
      </c>
      <c r="Q40" s="192">
        <v>962</v>
      </c>
      <c r="R40" s="192">
        <v>2736</v>
      </c>
      <c r="S40" s="212">
        <v>950</v>
      </c>
      <c r="T40" s="192">
        <v>840</v>
      </c>
      <c r="U40" s="192">
        <v>840</v>
      </c>
      <c r="V40" s="192">
        <v>840</v>
      </c>
      <c r="W40" s="192">
        <v>840</v>
      </c>
      <c r="X40" s="192">
        <v>937</v>
      </c>
      <c r="Y40" s="192">
        <v>2304</v>
      </c>
      <c r="Z40" s="212">
        <v>893</v>
      </c>
      <c r="AA40" s="192">
        <v>1736</v>
      </c>
      <c r="AB40" s="192">
        <v>1736</v>
      </c>
      <c r="AC40" s="192">
        <v>1736</v>
      </c>
      <c r="AD40" s="192">
        <v>2880</v>
      </c>
      <c r="AE40" s="192">
        <v>1703</v>
      </c>
      <c r="AF40" s="192">
        <v>4968</v>
      </c>
      <c r="AG40" s="212">
        <v>1797.495</v>
      </c>
      <c r="AH40" s="192">
        <v>1540.9</v>
      </c>
      <c r="AI40" s="192">
        <v>1540.9</v>
      </c>
      <c r="AJ40" s="192">
        <v>1540.9</v>
      </c>
      <c r="AK40" s="192">
        <v>2670</v>
      </c>
      <c r="AL40" s="192">
        <v>1443</v>
      </c>
      <c r="AM40" s="192">
        <v>4608</v>
      </c>
      <c r="AN40" s="212">
        <v>1695.75</v>
      </c>
      <c r="AO40" s="192">
        <v>1354.34</v>
      </c>
      <c r="AP40" s="192">
        <v>1354.34</v>
      </c>
      <c r="AQ40" s="192">
        <v>1354.34</v>
      </c>
      <c r="AR40" s="192">
        <v>2520</v>
      </c>
      <c r="AS40" s="192">
        <v>1354</v>
      </c>
      <c r="AT40" s="192">
        <v>3960</v>
      </c>
      <c r="AU40" s="212">
        <v>1594.005</v>
      </c>
      <c r="AV40" s="192">
        <v>2325</v>
      </c>
      <c r="AW40" s="192">
        <v>2325</v>
      </c>
      <c r="AX40" s="192">
        <v>2325</v>
      </c>
      <c r="AY40" s="192">
        <v>5760</v>
      </c>
      <c r="AZ40" s="192">
        <v>2270</v>
      </c>
      <c r="BA40" s="192">
        <v>6480</v>
      </c>
      <c r="BB40" s="212">
        <v>2114.7</v>
      </c>
      <c r="BC40" s="192">
        <v>2114</v>
      </c>
      <c r="BD40" s="192">
        <v>2114</v>
      </c>
      <c r="BE40" s="192">
        <v>2114</v>
      </c>
      <c r="BF40" s="192">
        <v>5340</v>
      </c>
      <c r="BG40" s="199">
        <v>1924</v>
      </c>
      <c r="BH40" s="199">
        <v>5184</v>
      </c>
      <c r="BI40" s="218">
        <v>1995</v>
      </c>
      <c r="BJ40" s="199">
        <v>2085</v>
      </c>
      <c r="BK40" s="199">
        <v>2085</v>
      </c>
      <c r="BL40" s="199">
        <v>2085</v>
      </c>
      <c r="BM40" s="199">
        <v>5040</v>
      </c>
      <c r="BN40" s="199">
        <v>1874</v>
      </c>
      <c r="BO40" s="199">
        <v>4680</v>
      </c>
      <c r="BP40" s="218">
        <v>1875.3</v>
      </c>
      <c r="BQ40" s="199">
        <f t="shared" si="9"/>
        <v>1152</v>
      </c>
      <c r="BR40" s="199">
        <v>1152</v>
      </c>
      <c r="BS40" s="199">
        <v>1152</v>
      </c>
      <c r="BT40" s="199">
        <v>1200</v>
      </c>
      <c r="BU40" s="199">
        <v>1606</v>
      </c>
      <c r="BV40" s="199">
        <v>3456</v>
      </c>
      <c r="BW40" s="212">
        <v>1208.4</v>
      </c>
      <c r="BX40" s="199">
        <f t="shared" si="6"/>
        <v>1068</v>
      </c>
      <c r="BY40" s="199">
        <v>1068</v>
      </c>
      <c r="BZ40" s="199">
        <v>1068</v>
      </c>
      <c r="CA40" s="192">
        <v>1112.5</v>
      </c>
      <c r="CB40" s="192">
        <v>1251</v>
      </c>
      <c r="CC40" s="192">
        <v>2736</v>
      </c>
      <c r="CD40" s="212">
        <v>1140</v>
      </c>
      <c r="CE40" s="192">
        <f t="shared" si="10"/>
        <v>1008</v>
      </c>
      <c r="CF40" s="192">
        <v>1008</v>
      </c>
      <c r="CG40" s="192">
        <v>1008</v>
      </c>
      <c r="CH40" s="192">
        <v>1050</v>
      </c>
      <c r="CI40" s="192">
        <v>1219</v>
      </c>
      <c r="CJ40" s="192">
        <v>2304</v>
      </c>
      <c r="CK40" s="212">
        <v>1071.6</v>
      </c>
      <c r="CL40" s="192">
        <f t="shared" si="0"/>
        <v>2083.2</v>
      </c>
      <c r="CM40" s="192">
        <v>2083.2</v>
      </c>
      <c r="CN40" s="192">
        <v>2083.2</v>
      </c>
      <c r="CO40" s="192">
        <v>3600</v>
      </c>
      <c r="CP40" s="192">
        <v>2217</v>
      </c>
      <c r="CQ40" s="192">
        <v>4968</v>
      </c>
      <c r="CR40" s="212">
        <v>2156.994</v>
      </c>
      <c r="CS40" s="192">
        <f t="shared" si="1"/>
        <v>1849.08</v>
      </c>
      <c r="CT40" s="192">
        <v>1849.08</v>
      </c>
      <c r="CU40" s="192">
        <v>1849.08</v>
      </c>
      <c r="CV40" s="192">
        <v>3337.5</v>
      </c>
      <c r="CW40" s="192">
        <v>1877</v>
      </c>
      <c r="CX40" s="192">
        <v>4608</v>
      </c>
      <c r="CY40" s="212">
        <v>2034.9</v>
      </c>
      <c r="CZ40" s="192">
        <f t="shared" si="11"/>
        <v>1625.208</v>
      </c>
      <c r="DA40" s="192">
        <v>1625.208</v>
      </c>
      <c r="DB40" s="192">
        <v>1625.208</v>
      </c>
      <c r="DC40" s="192">
        <v>3150</v>
      </c>
      <c r="DD40" s="192">
        <v>1829</v>
      </c>
      <c r="DE40" s="192">
        <v>3960</v>
      </c>
      <c r="DF40" s="212">
        <v>1912.806</v>
      </c>
      <c r="DG40" s="192">
        <f t="shared" si="3"/>
        <v>2790</v>
      </c>
      <c r="DH40" s="192">
        <v>2790</v>
      </c>
      <c r="DI40" s="192">
        <v>2790</v>
      </c>
      <c r="DJ40" s="192">
        <v>7200</v>
      </c>
      <c r="DK40" s="192">
        <v>2956</v>
      </c>
      <c r="DL40" s="192">
        <v>6480</v>
      </c>
      <c r="DM40" s="212">
        <v>2537.64</v>
      </c>
      <c r="DN40" s="192">
        <f t="shared" si="4"/>
        <v>2536.8</v>
      </c>
      <c r="DO40" s="192">
        <v>2536.8</v>
      </c>
      <c r="DP40" s="192">
        <v>2536.8</v>
      </c>
      <c r="DQ40" s="192">
        <v>6675</v>
      </c>
      <c r="DR40" s="199">
        <v>2537</v>
      </c>
      <c r="DS40" s="199">
        <v>5184</v>
      </c>
      <c r="DT40" s="218">
        <v>2394</v>
      </c>
      <c r="DU40" s="199">
        <f t="shared" si="5"/>
        <v>2502</v>
      </c>
      <c r="DV40" s="199">
        <v>2502</v>
      </c>
      <c r="DW40" s="199">
        <v>2502</v>
      </c>
      <c r="DX40" s="199">
        <v>6300</v>
      </c>
      <c r="DY40" s="199">
        <v>2502</v>
      </c>
      <c r="DZ40" s="199">
        <v>4680</v>
      </c>
      <c r="EA40" s="218">
        <v>2250.36</v>
      </c>
    </row>
    <row r="41" ht="36" spans="2:68">
      <c r="B41" s="196" t="s">
        <v>2451</v>
      </c>
      <c r="C41" s="197" t="s">
        <v>2452</v>
      </c>
      <c r="D41" s="198" t="s">
        <v>2452</v>
      </c>
      <c r="E41" s="198" t="s">
        <v>1166</v>
      </c>
      <c r="F41" s="199">
        <v>390</v>
      </c>
      <c r="G41" s="199">
        <v>390</v>
      </c>
      <c r="H41" s="199">
        <v>390</v>
      </c>
      <c r="I41" s="199">
        <v>640</v>
      </c>
      <c r="J41" s="199">
        <v>550</v>
      </c>
      <c r="K41" s="199">
        <v>400</v>
      </c>
      <c r="L41" s="212">
        <v>424</v>
      </c>
      <c r="M41" s="199">
        <v>370</v>
      </c>
      <c r="N41" s="199">
        <v>370</v>
      </c>
      <c r="O41" s="199">
        <v>370</v>
      </c>
      <c r="P41" s="192">
        <v>600</v>
      </c>
      <c r="Q41" s="192">
        <v>500</v>
      </c>
      <c r="R41" s="192">
        <v>340</v>
      </c>
      <c r="S41" s="212">
        <v>400</v>
      </c>
      <c r="T41" s="192">
        <v>335</v>
      </c>
      <c r="U41" s="192">
        <v>340</v>
      </c>
      <c r="V41" s="192">
        <v>335</v>
      </c>
      <c r="W41" s="192">
        <v>550</v>
      </c>
      <c r="X41" s="192">
        <v>450</v>
      </c>
      <c r="Y41" s="192">
        <v>320</v>
      </c>
      <c r="Z41" s="212">
        <v>376</v>
      </c>
      <c r="AA41" s="192">
        <v>548</v>
      </c>
      <c r="AB41" s="192">
        <v>640</v>
      </c>
      <c r="AC41" s="192">
        <v>548</v>
      </c>
      <c r="AD41" s="192">
        <v>1280</v>
      </c>
      <c r="AE41" s="192">
        <v>825</v>
      </c>
      <c r="AF41" s="192">
        <v>548</v>
      </c>
      <c r="AG41" s="212">
        <v>648.72</v>
      </c>
      <c r="AH41" s="192">
        <v>515</v>
      </c>
      <c r="AI41" s="192">
        <v>620</v>
      </c>
      <c r="AJ41" s="192">
        <v>515</v>
      </c>
      <c r="AK41" s="192">
        <v>1200</v>
      </c>
      <c r="AL41" s="192">
        <v>750</v>
      </c>
      <c r="AM41" s="192">
        <v>515</v>
      </c>
      <c r="AN41" s="212">
        <v>612</v>
      </c>
      <c r="AO41" s="192">
        <v>498</v>
      </c>
      <c r="AP41" s="192">
        <v>600</v>
      </c>
      <c r="AQ41" s="192">
        <v>498</v>
      </c>
      <c r="AR41" s="192">
        <v>1100</v>
      </c>
      <c r="AS41" s="192">
        <v>675</v>
      </c>
      <c r="AT41" s="192">
        <v>498</v>
      </c>
      <c r="AU41" s="212">
        <v>575.28</v>
      </c>
      <c r="AV41" s="192">
        <v>682</v>
      </c>
      <c r="AW41" s="192">
        <v>790</v>
      </c>
      <c r="AX41" s="192">
        <v>682</v>
      </c>
      <c r="AY41" s="192">
        <v>1920</v>
      </c>
      <c r="AZ41" s="192">
        <v>1102</v>
      </c>
      <c r="BA41" s="192">
        <v>682</v>
      </c>
      <c r="BB41" s="212">
        <v>763.2</v>
      </c>
      <c r="BC41" s="192">
        <v>658</v>
      </c>
      <c r="BD41" s="192">
        <v>745</v>
      </c>
      <c r="BE41" s="192">
        <v>658</v>
      </c>
      <c r="BF41" s="192">
        <v>1800</v>
      </c>
      <c r="BG41" s="199">
        <v>1005</v>
      </c>
      <c r="BH41" s="199">
        <v>658</v>
      </c>
      <c r="BI41" s="218">
        <v>720</v>
      </c>
      <c r="BJ41" s="199">
        <v>645</v>
      </c>
      <c r="BK41" s="199">
        <v>690</v>
      </c>
      <c r="BL41" s="199">
        <v>645</v>
      </c>
      <c r="BM41" s="199">
        <v>1650</v>
      </c>
      <c r="BN41" s="199">
        <v>908</v>
      </c>
      <c r="BO41" s="199">
        <v>645</v>
      </c>
      <c r="BP41" s="218">
        <v>676.8</v>
      </c>
    </row>
    <row r="42" ht="36" spans="2:68">
      <c r="B42" s="200" t="s">
        <v>2451</v>
      </c>
      <c r="C42" s="201" t="s">
        <v>2453</v>
      </c>
      <c r="D42" s="202" t="s">
        <v>2453</v>
      </c>
      <c r="E42" s="202" t="s">
        <v>1168</v>
      </c>
      <c r="F42" s="199">
        <v>420</v>
      </c>
      <c r="G42" s="199">
        <v>420</v>
      </c>
      <c r="H42" s="199">
        <v>420</v>
      </c>
      <c r="I42" s="199">
        <v>690</v>
      </c>
      <c r="J42" s="199">
        <v>650</v>
      </c>
      <c r="K42" s="199">
        <v>420</v>
      </c>
      <c r="L42" s="212">
        <v>530</v>
      </c>
      <c r="M42" s="199">
        <v>390</v>
      </c>
      <c r="N42" s="199">
        <v>390</v>
      </c>
      <c r="O42" s="199">
        <v>390</v>
      </c>
      <c r="P42" s="192">
        <v>650</v>
      </c>
      <c r="Q42" s="192">
        <v>600</v>
      </c>
      <c r="R42" s="192">
        <v>390</v>
      </c>
      <c r="S42" s="212">
        <v>500</v>
      </c>
      <c r="T42" s="192">
        <v>370</v>
      </c>
      <c r="U42" s="192">
        <v>370</v>
      </c>
      <c r="V42" s="192">
        <v>370</v>
      </c>
      <c r="W42" s="192">
        <v>600</v>
      </c>
      <c r="X42" s="192">
        <v>550</v>
      </c>
      <c r="Y42" s="192">
        <v>360</v>
      </c>
      <c r="Z42" s="212">
        <v>470</v>
      </c>
      <c r="AA42" s="192">
        <v>688</v>
      </c>
      <c r="AB42" s="192">
        <v>688</v>
      </c>
      <c r="AC42" s="192">
        <v>688</v>
      </c>
      <c r="AD42" s="192">
        <v>1380</v>
      </c>
      <c r="AE42" s="192">
        <v>975</v>
      </c>
      <c r="AF42" s="192">
        <v>688</v>
      </c>
      <c r="AG42" s="212">
        <v>765.85</v>
      </c>
      <c r="AH42" s="192">
        <v>656</v>
      </c>
      <c r="AI42" s="192">
        <v>656</v>
      </c>
      <c r="AJ42" s="192">
        <v>656</v>
      </c>
      <c r="AK42" s="192">
        <v>1300</v>
      </c>
      <c r="AL42" s="192">
        <v>900</v>
      </c>
      <c r="AM42" s="192">
        <v>640</v>
      </c>
      <c r="AN42" s="212">
        <v>722.5</v>
      </c>
      <c r="AO42" s="192">
        <v>638</v>
      </c>
      <c r="AP42" s="192">
        <v>638</v>
      </c>
      <c r="AQ42" s="192">
        <v>638</v>
      </c>
      <c r="AR42" s="192">
        <v>1200</v>
      </c>
      <c r="AS42" s="192">
        <v>825</v>
      </c>
      <c r="AT42" s="192">
        <v>575</v>
      </c>
      <c r="AU42" s="212">
        <v>679.15</v>
      </c>
      <c r="AV42" s="192">
        <v>817</v>
      </c>
      <c r="AW42" s="192">
        <v>817</v>
      </c>
      <c r="AX42" s="192">
        <v>817</v>
      </c>
      <c r="AY42" s="192">
        <v>2070</v>
      </c>
      <c r="AZ42" s="192">
        <v>1301</v>
      </c>
      <c r="BA42" s="192">
        <v>817</v>
      </c>
      <c r="BB42" s="212">
        <v>901</v>
      </c>
      <c r="BC42" s="192">
        <v>795</v>
      </c>
      <c r="BD42" s="192">
        <v>795</v>
      </c>
      <c r="BE42" s="192">
        <v>795</v>
      </c>
      <c r="BF42" s="192">
        <v>1950</v>
      </c>
      <c r="BG42" s="199">
        <v>1207</v>
      </c>
      <c r="BH42" s="199">
        <v>795</v>
      </c>
      <c r="BI42" s="218">
        <v>850</v>
      </c>
      <c r="BJ42" s="199">
        <v>782</v>
      </c>
      <c r="BK42" s="199">
        <v>782</v>
      </c>
      <c r="BL42" s="199">
        <v>782</v>
      </c>
      <c r="BM42" s="199">
        <v>1800</v>
      </c>
      <c r="BN42" s="199">
        <v>1108</v>
      </c>
      <c r="BO42" s="199">
        <v>750</v>
      </c>
      <c r="BP42" s="218">
        <v>799</v>
      </c>
    </row>
    <row r="45" ht="21.75" spans="2:5">
      <c r="B45" s="203" t="s">
        <v>2454</v>
      </c>
      <c r="C45" s="203"/>
      <c r="D45" s="203"/>
      <c r="E45" s="203"/>
    </row>
    <row r="46" ht="17.25" spans="2:3">
      <c r="B46" s="204" t="s">
        <v>2386</v>
      </c>
      <c r="C46" s="204" t="s">
        <v>2455</v>
      </c>
    </row>
    <row r="47" ht="17.25" spans="2:3">
      <c r="B47" s="205" t="s">
        <v>2456</v>
      </c>
      <c r="C47" s="205" t="s">
        <v>2437</v>
      </c>
    </row>
    <row r="48" ht="17.25" spans="2:3">
      <c r="B48" s="205" t="s">
        <v>2457</v>
      </c>
      <c r="C48" s="205" t="s">
        <v>2437</v>
      </c>
    </row>
    <row r="49" ht="17.25" spans="2:3">
      <c r="B49" s="205" t="s">
        <v>2387</v>
      </c>
      <c r="C49" s="205" t="s">
        <v>2437</v>
      </c>
    </row>
    <row r="50" ht="17.25" spans="2:3">
      <c r="B50" s="205" t="s">
        <v>2458</v>
      </c>
      <c r="C50" s="205" t="s">
        <v>2437</v>
      </c>
    </row>
    <row r="51" ht="17.25" spans="2:3">
      <c r="B51" s="206" t="s">
        <v>2459</v>
      </c>
      <c r="C51" s="206" t="s">
        <v>2438</v>
      </c>
    </row>
    <row r="52" ht="17.25" spans="2:3">
      <c r="B52" s="207" t="s">
        <v>2460</v>
      </c>
      <c r="C52" s="206" t="s">
        <v>2438</v>
      </c>
    </row>
    <row r="53" ht="17.25" spans="2:3">
      <c r="B53" s="206" t="s">
        <v>2461</v>
      </c>
      <c r="C53" s="206" t="s">
        <v>2438</v>
      </c>
    </row>
    <row r="54" ht="17.25" spans="2:3">
      <c r="B54" s="206" t="s">
        <v>2462</v>
      </c>
      <c r="C54" s="206" t="s">
        <v>2438</v>
      </c>
    </row>
    <row r="55" ht="17.25" spans="2:3">
      <c r="B55" s="206" t="s">
        <v>2463</v>
      </c>
      <c r="C55" s="206" t="s">
        <v>2438</v>
      </c>
    </row>
    <row r="56" ht="17.25" spans="2:3">
      <c r="B56" s="206" t="s">
        <v>2464</v>
      </c>
      <c r="C56" s="206" t="s">
        <v>2438</v>
      </c>
    </row>
    <row r="57" ht="17.25" spans="2:3">
      <c r="B57" s="207" t="s">
        <v>2465</v>
      </c>
      <c r="C57" s="206" t="s">
        <v>2438</v>
      </c>
    </row>
    <row r="58" ht="17.25" spans="2:3">
      <c r="B58" s="206" t="s">
        <v>2466</v>
      </c>
      <c r="C58" s="206" t="s">
        <v>2438</v>
      </c>
    </row>
    <row r="59" ht="17.25" spans="2:3">
      <c r="B59" s="206" t="s">
        <v>2467</v>
      </c>
      <c r="C59" s="206" t="s">
        <v>2438</v>
      </c>
    </row>
    <row r="60" ht="17.25" spans="2:3">
      <c r="B60" s="206" t="s">
        <v>2468</v>
      </c>
      <c r="C60" s="206" t="s">
        <v>2438</v>
      </c>
    </row>
    <row r="61" ht="17.25" spans="2:3">
      <c r="B61" s="206" t="s">
        <v>2469</v>
      </c>
      <c r="C61" s="206" t="s">
        <v>2438</v>
      </c>
    </row>
    <row r="62" ht="17.25" spans="2:3">
      <c r="B62" s="208" t="s">
        <v>2470</v>
      </c>
      <c r="C62" s="208" t="s">
        <v>2439</v>
      </c>
    </row>
    <row r="63" ht="17.25" spans="2:3">
      <c r="B63" s="206" t="s">
        <v>2471</v>
      </c>
      <c r="C63" s="206" t="s">
        <v>2438</v>
      </c>
    </row>
    <row r="64" ht="17.25" spans="2:3">
      <c r="B64" s="206" t="s">
        <v>2472</v>
      </c>
      <c r="C64" s="206" t="s">
        <v>2438</v>
      </c>
    </row>
    <row r="65" ht="17.25" spans="2:3">
      <c r="B65" s="206" t="s">
        <v>2473</v>
      </c>
      <c r="C65" s="206" t="s">
        <v>2438</v>
      </c>
    </row>
    <row r="66" ht="17.25" spans="2:3">
      <c r="B66" s="207" t="s">
        <v>2474</v>
      </c>
      <c r="C66" s="206" t="s">
        <v>2438</v>
      </c>
    </row>
    <row r="67" ht="17.25" spans="2:3">
      <c r="B67" s="206" t="s">
        <v>2475</v>
      </c>
      <c r="C67" s="206" t="s">
        <v>2438</v>
      </c>
    </row>
    <row r="68" ht="17.25" spans="2:3">
      <c r="B68" s="208" t="s">
        <v>2476</v>
      </c>
      <c r="C68" s="208" t="s">
        <v>2439</v>
      </c>
    </row>
    <row r="69" ht="17.25" spans="2:3">
      <c r="B69" s="206" t="s">
        <v>2477</v>
      </c>
      <c r="C69" s="206" t="s">
        <v>2438</v>
      </c>
    </row>
    <row r="70" ht="17.25" spans="2:3">
      <c r="B70" s="206" t="s">
        <v>2478</v>
      </c>
      <c r="C70" s="206" t="s">
        <v>2438</v>
      </c>
    </row>
    <row r="71" ht="17.25" spans="2:3">
      <c r="B71" s="206" t="s">
        <v>2479</v>
      </c>
      <c r="C71" s="206" t="s">
        <v>2438</v>
      </c>
    </row>
    <row r="72" ht="17.25" spans="2:3">
      <c r="B72" s="208" t="s">
        <v>2480</v>
      </c>
      <c r="C72" s="208" t="s">
        <v>2439</v>
      </c>
    </row>
    <row r="73" ht="17.25" spans="2:3">
      <c r="B73" s="208" t="s">
        <v>2481</v>
      </c>
      <c r="C73" s="208" t="s">
        <v>2439</v>
      </c>
    </row>
    <row r="74" ht="17.25" spans="2:3">
      <c r="B74" s="206" t="s">
        <v>2482</v>
      </c>
      <c r="C74" s="206" t="s">
        <v>2438</v>
      </c>
    </row>
    <row r="75" ht="17.25" spans="2:3">
      <c r="B75" s="206" t="s">
        <v>2483</v>
      </c>
      <c r="C75" s="206" t="s">
        <v>2438</v>
      </c>
    </row>
    <row r="76" ht="17.25" spans="2:3">
      <c r="B76" s="208" t="s">
        <v>2484</v>
      </c>
      <c r="C76" s="208" t="s">
        <v>2439</v>
      </c>
    </row>
    <row r="77" ht="17.25" spans="2:3">
      <c r="B77" s="206" t="s">
        <v>2485</v>
      </c>
      <c r="C77" s="206" t="s">
        <v>2438</v>
      </c>
    </row>
    <row r="78" ht="17.25" spans="2:3">
      <c r="B78" s="206" t="s">
        <v>2486</v>
      </c>
      <c r="C78" s="206" t="s">
        <v>2438</v>
      </c>
    </row>
    <row r="79" ht="17.25" spans="2:3">
      <c r="B79" s="208" t="s">
        <v>2487</v>
      </c>
      <c r="C79" s="208" t="s">
        <v>2439</v>
      </c>
    </row>
    <row r="80" ht="17.25" spans="2:3">
      <c r="B80" s="206" t="s">
        <v>2488</v>
      </c>
      <c r="C80" s="206" t="s">
        <v>2438</v>
      </c>
    </row>
    <row r="81" ht="17.25" spans="2:3">
      <c r="B81" s="206" t="s">
        <v>2489</v>
      </c>
      <c r="C81" s="206" t="s">
        <v>2438</v>
      </c>
    </row>
    <row r="82" ht="17.25" spans="2:3">
      <c r="B82" s="208" t="s">
        <v>2490</v>
      </c>
      <c r="C82" s="208" t="s">
        <v>2439</v>
      </c>
    </row>
    <row r="83" ht="17.25" spans="2:3">
      <c r="B83" s="208" t="s">
        <v>2491</v>
      </c>
      <c r="C83" s="208" t="s">
        <v>2439</v>
      </c>
    </row>
    <row r="84" ht="17.25" spans="2:3">
      <c r="B84" s="206" t="s">
        <v>2492</v>
      </c>
      <c r="C84" s="206" t="s">
        <v>2438</v>
      </c>
    </row>
    <row r="85" ht="17.25" spans="2:3">
      <c r="B85" s="208" t="s">
        <v>2493</v>
      </c>
      <c r="C85" s="208" t="s">
        <v>2439</v>
      </c>
    </row>
    <row r="86" ht="17.25" spans="2:3">
      <c r="B86" s="208" t="s">
        <v>2494</v>
      </c>
      <c r="C86" s="208" t="s">
        <v>2439</v>
      </c>
    </row>
    <row r="87" ht="17.25" spans="2:3">
      <c r="B87" s="206" t="s">
        <v>2495</v>
      </c>
      <c r="C87" s="206" t="s">
        <v>2438</v>
      </c>
    </row>
    <row r="88" ht="17.25" spans="2:3">
      <c r="B88" s="208" t="s">
        <v>2496</v>
      </c>
      <c r="C88" s="208" t="s">
        <v>2439</v>
      </c>
    </row>
    <row r="89" ht="17.25" spans="2:3">
      <c r="B89" s="208" t="s">
        <v>2497</v>
      </c>
      <c r="C89" s="208" t="s">
        <v>2439</v>
      </c>
    </row>
    <row r="90" ht="17.25" spans="2:3">
      <c r="B90" s="208" t="s">
        <v>2498</v>
      </c>
      <c r="C90" s="208" t="s">
        <v>2439</v>
      </c>
    </row>
    <row r="91" ht="17.25" spans="2:3">
      <c r="B91" s="208" t="s">
        <v>2499</v>
      </c>
      <c r="C91" s="208" t="s">
        <v>2439</v>
      </c>
    </row>
    <row r="92" ht="17.25" spans="2:3">
      <c r="B92" s="208" t="s">
        <v>2500</v>
      </c>
      <c r="C92" s="208" t="s">
        <v>2439</v>
      </c>
    </row>
    <row r="93" ht="17.25" spans="2:3">
      <c r="B93" s="206" t="s">
        <v>2501</v>
      </c>
      <c r="C93" s="206" t="s">
        <v>2438</v>
      </c>
    </row>
    <row r="94" ht="17.25" spans="2:3">
      <c r="B94" s="208" t="s">
        <v>2502</v>
      </c>
      <c r="C94" s="208" t="s">
        <v>2439</v>
      </c>
    </row>
    <row r="95" ht="17.25" spans="2:3">
      <c r="B95" s="208" t="s">
        <v>2503</v>
      </c>
      <c r="C95" s="208" t="s">
        <v>2439</v>
      </c>
    </row>
    <row r="96" ht="17.25" spans="2:3">
      <c r="B96" s="208" t="s">
        <v>2504</v>
      </c>
      <c r="C96" s="208" t="s">
        <v>2439</v>
      </c>
    </row>
    <row r="97" ht="17.25" spans="2:3">
      <c r="B97" s="208" t="s">
        <v>2505</v>
      </c>
      <c r="C97" s="208" t="s">
        <v>2439</v>
      </c>
    </row>
    <row r="98" ht="17.25" spans="2:3">
      <c r="B98" s="208" t="s">
        <v>2506</v>
      </c>
      <c r="C98" s="208" t="s">
        <v>2439</v>
      </c>
    </row>
    <row r="99" ht="17.25" spans="2:3">
      <c r="B99" s="206" t="s">
        <v>2507</v>
      </c>
      <c r="C99" s="206" t="s">
        <v>2438</v>
      </c>
    </row>
    <row r="100" ht="17.25" spans="2:3">
      <c r="B100" s="208" t="s">
        <v>2508</v>
      </c>
      <c r="C100" s="208" t="s">
        <v>2439</v>
      </c>
    </row>
    <row r="101" ht="17.25" spans="2:3">
      <c r="B101" s="208" t="s">
        <v>2509</v>
      </c>
      <c r="C101" s="208" t="s">
        <v>2439</v>
      </c>
    </row>
    <row r="102" ht="17.25" spans="2:3">
      <c r="B102" s="208" t="s">
        <v>2510</v>
      </c>
      <c r="C102" s="208" t="s">
        <v>2439</v>
      </c>
    </row>
    <row r="103" ht="17.25" spans="2:3">
      <c r="B103" s="208" t="s">
        <v>2511</v>
      </c>
      <c r="C103" s="208" t="s">
        <v>2439</v>
      </c>
    </row>
    <row r="104" ht="17.25" spans="2:3">
      <c r="B104" s="206" t="s">
        <v>2512</v>
      </c>
      <c r="C104" s="206" t="s">
        <v>2438</v>
      </c>
    </row>
    <row r="105" ht="17.25" spans="2:3">
      <c r="B105" s="208" t="s">
        <v>2513</v>
      </c>
      <c r="C105" s="208" t="s">
        <v>2439</v>
      </c>
    </row>
    <row r="106" ht="17.25" spans="2:3">
      <c r="B106" s="208" t="s">
        <v>2514</v>
      </c>
      <c r="C106" s="208" t="s">
        <v>2439</v>
      </c>
    </row>
    <row r="107" ht="17.25" spans="2:3">
      <c r="B107" s="206" t="s">
        <v>2515</v>
      </c>
      <c r="C107" s="206" t="s">
        <v>2438</v>
      </c>
    </row>
    <row r="108" ht="17.25" spans="2:3">
      <c r="B108" s="208" t="s">
        <v>2516</v>
      </c>
      <c r="C108" s="208" t="s">
        <v>2439</v>
      </c>
    </row>
    <row r="109" ht="17.25" spans="2:3">
      <c r="B109" s="208" t="s">
        <v>2517</v>
      </c>
      <c r="C109" s="208" t="s">
        <v>2439</v>
      </c>
    </row>
    <row r="110" ht="17.25" spans="2:3">
      <c r="B110" s="208" t="s">
        <v>2518</v>
      </c>
      <c r="C110" s="208" t="s">
        <v>2439</v>
      </c>
    </row>
    <row r="111" ht="17.25" spans="2:3">
      <c r="B111" s="208" t="s">
        <v>2519</v>
      </c>
      <c r="C111" s="208" t="s">
        <v>2439</v>
      </c>
    </row>
    <row r="112" ht="17.25" spans="2:3">
      <c r="B112" s="208" t="s">
        <v>2520</v>
      </c>
      <c r="C112" s="208" t="s">
        <v>2439</v>
      </c>
    </row>
    <row r="113" ht="17.25" spans="2:3">
      <c r="B113" s="206" t="s">
        <v>2478</v>
      </c>
      <c r="C113" s="206" t="s">
        <v>2438</v>
      </c>
    </row>
    <row r="114" ht="17.25" spans="2:3">
      <c r="B114" s="208" t="s">
        <v>2521</v>
      </c>
      <c r="C114" s="208" t="s">
        <v>2439</v>
      </c>
    </row>
    <row r="115" ht="17.25" spans="2:3">
      <c r="B115" s="208" t="s">
        <v>2522</v>
      </c>
      <c r="C115" s="208" t="s">
        <v>2439</v>
      </c>
    </row>
    <row r="116" ht="17.25" spans="2:3">
      <c r="B116" s="208" t="s">
        <v>2523</v>
      </c>
      <c r="C116" s="208" t="s">
        <v>2439</v>
      </c>
    </row>
    <row r="117" ht="17.25" spans="2:3">
      <c r="B117" s="208" t="s">
        <v>2524</v>
      </c>
      <c r="C117" s="208" t="s">
        <v>2439</v>
      </c>
    </row>
    <row r="118" ht="17.25" spans="2:3">
      <c r="B118" s="208" t="s">
        <v>2525</v>
      </c>
      <c r="C118" s="208" t="s">
        <v>2439</v>
      </c>
    </row>
    <row r="119" ht="17.25" spans="2:3">
      <c r="B119" s="208" t="s">
        <v>2526</v>
      </c>
      <c r="C119" s="208" t="s">
        <v>2439</v>
      </c>
    </row>
    <row r="120" ht="17.25" spans="2:3">
      <c r="B120" s="208" t="s">
        <v>2527</v>
      </c>
      <c r="C120" s="208" t="s">
        <v>2439</v>
      </c>
    </row>
    <row r="121" ht="17.25" spans="2:3">
      <c r="B121" s="208" t="s">
        <v>2528</v>
      </c>
      <c r="C121" s="208" t="s">
        <v>2439</v>
      </c>
    </row>
    <row r="122" ht="17.25" spans="2:3">
      <c r="B122" s="208" t="s">
        <v>2529</v>
      </c>
      <c r="C122" s="208" t="s">
        <v>2439</v>
      </c>
    </row>
    <row r="123" ht="17.25" spans="2:3">
      <c r="B123" s="208" t="s">
        <v>2530</v>
      </c>
      <c r="C123" s="208" t="s">
        <v>2439</v>
      </c>
    </row>
    <row r="124" ht="17.25" spans="2:3">
      <c r="B124" s="208" t="s">
        <v>2531</v>
      </c>
      <c r="C124" s="208" t="s">
        <v>2439</v>
      </c>
    </row>
    <row r="125" ht="17.25" spans="2:3">
      <c r="B125" s="208" t="s">
        <v>2532</v>
      </c>
      <c r="C125" s="208" t="s">
        <v>2439</v>
      </c>
    </row>
    <row r="126" ht="17.25" spans="2:3">
      <c r="B126" s="208" t="s">
        <v>2533</v>
      </c>
      <c r="C126" s="208" t="s">
        <v>2439</v>
      </c>
    </row>
    <row r="127" ht="17.25" spans="2:3">
      <c r="B127" s="208" t="s">
        <v>2534</v>
      </c>
      <c r="C127" s="208" t="s">
        <v>2439</v>
      </c>
    </row>
    <row r="128" ht="17.25" spans="2:3">
      <c r="B128" s="208" t="s">
        <v>2535</v>
      </c>
      <c r="C128" s="208" t="s">
        <v>2439</v>
      </c>
    </row>
    <row r="129" ht="17.25" spans="2:3">
      <c r="B129" s="208" t="s">
        <v>2536</v>
      </c>
      <c r="C129" s="208" t="s">
        <v>2439</v>
      </c>
    </row>
    <row r="130" ht="17.25" spans="2:3">
      <c r="B130" s="208" t="s">
        <v>2537</v>
      </c>
      <c r="C130" s="208" t="s">
        <v>2439</v>
      </c>
    </row>
    <row r="131" ht="17.25" spans="2:3">
      <c r="B131" s="208" t="s">
        <v>2538</v>
      </c>
      <c r="C131" s="208" t="s">
        <v>2439</v>
      </c>
    </row>
    <row r="132" ht="17.25" spans="2:3">
      <c r="B132" s="208" t="s">
        <v>2539</v>
      </c>
      <c r="C132" s="208" t="s">
        <v>2439</v>
      </c>
    </row>
    <row r="133" ht="17.25" spans="2:3">
      <c r="B133" s="208" t="s">
        <v>2540</v>
      </c>
      <c r="C133" s="208" t="s">
        <v>2439</v>
      </c>
    </row>
    <row r="134" ht="17.25" spans="2:3">
      <c r="B134" s="208" t="s">
        <v>2541</v>
      </c>
      <c r="C134" s="208" t="s">
        <v>2439</v>
      </c>
    </row>
    <row r="135" ht="17.25" spans="2:3">
      <c r="B135" s="208" t="s">
        <v>2542</v>
      </c>
      <c r="C135" s="208" t="s">
        <v>2439</v>
      </c>
    </row>
    <row r="136" ht="17.25" spans="2:3">
      <c r="B136" s="208" t="s">
        <v>2543</v>
      </c>
      <c r="C136" s="208" t="s">
        <v>2439</v>
      </c>
    </row>
    <row r="137" ht="17.25" spans="2:3">
      <c r="B137" s="208" t="s">
        <v>2544</v>
      </c>
      <c r="C137" s="208" t="s">
        <v>2439</v>
      </c>
    </row>
    <row r="138" ht="17.25" spans="2:3">
      <c r="B138" s="208" t="s">
        <v>2545</v>
      </c>
      <c r="C138" s="208" t="s">
        <v>2439</v>
      </c>
    </row>
    <row r="139" ht="17.25" spans="2:3">
      <c r="B139" s="208" t="s">
        <v>2546</v>
      </c>
      <c r="C139" s="208" t="s">
        <v>2439</v>
      </c>
    </row>
    <row r="140" ht="17.25" spans="2:3">
      <c r="B140" s="208" t="s">
        <v>2547</v>
      </c>
      <c r="C140" s="208" t="s">
        <v>2439</v>
      </c>
    </row>
    <row r="141" ht="17.25" spans="2:3">
      <c r="B141" s="208" t="s">
        <v>2548</v>
      </c>
      <c r="C141" s="208" t="s">
        <v>2439</v>
      </c>
    </row>
    <row r="142" ht="17.25" spans="2:3">
      <c r="B142" s="208" t="s">
        <v>2549</v>
      </c>
      <c r="C142" s="208" t="s">
        <v>2439</v>
      </c>
    </row>
    <row r="143" ht="17.25" spans="2:3">
      <c r="B143" s="208" t="s">
        <v>2550</v>
      </c>
      <c r="C143" s="208" t="s">
        <v>2439</v>
      </c>
    </row>
    <row r="144" ht="17.25" spans="2:3">
      <c r="B144" s="208" t="s">
        <v>2551</v>
      </c>
      <c r="C144" s="208" t="s">
        <v>2439</v>
      </c>
    </row>
    <row r="145" ht="17.25" spans="2:3">
      <c r="B145" s="208" t="s">
        <v>2552</v>
      </c>
      <c r="C145" s="208" t="s">
        <v>2439</v>
      </c>
    </row>
    <row r="146" ht="17.25" spans="2:3">
      <c r="B146" s="208" t="s">
        <v>2553</v>
      </c>
      <c r="C146" s="208" t="s">
        <v>2439</v>
      </c>
    </row>
    <row r="147" ht="17.25" spans="2:3">
      <c r="B147" s="208" t="s">
        <v>2554</v>
      </c>
      <c r="C147" s="208" t="s">
        <v>2439</v>
      </c>
    </row>
    <row r="148" ht="17.25" spans="2:3">
      <c r="B148" s="208" t="s">
        <v>2555</v>
      </c>
      <c r="C148" s="208" t="s">
        <v>2439</v>
      </c>
    </row>
    <row r="149" ht="17.25" spans="2:3">
      <c r="B149" s="208" t="s">
        <v>2556</v>
      </c>
      <c r="C149" s="208" t="s">
        <v>2439</v>
      </c>
    </row>
    <row r="150" ht="17.25" spans="2:3">
      <c r="B150" s="208" t="s">
        <v>2557</v>
      </c>
      <c r="C150" s="208" t="s">
        <v>2439</v>
      </c>
    </row>
    <row r="151" ht="17.25" spans="2:3">
      <c r="B151" s="208" t="s">
        <v>2558</v>
      </c>
      <c r="C151" s="208" t="s">
        <v>2439</v>
      </c>
    </row>
    <row r="152" ht="17.25" spans="2:3">
      <c r="B152" s="208" t="s">
        <v>2559</v>
      </c>
      <c r="C152" s="208" t="s">
        <v>2439</v>
      </c>
    </row>
    <row r="153" ht="17.25" spans="2:3">
      <c r="B153" s="208" t="s">
        <v>2560</v>
      </c>
      <c r="C153" s="208" t="s">
        <v>2439</v>
      </c>
    </row>
    <row r="154" ht="17.25" spans="2:3">
      <c r="B154" s="208" t="s">
        <v>2561</v>
      </c>
      <c r="C154" s="208" t="s">
        <v>2439</v>
      </c>
    </row>
    <row r="155" ht="17.25" spans="2:3">
      <c r="B155" s="208" t="s">
        <v>2562</v>
      </c>
      <c r="C155" s="208" t="s">
        <v>2439</v>
      </c>
    </row>
    <row r="156" ht="17.25" spans="2:3">
      <c r="B156" s="208" t="s">
        <v>2563</v>
      </c>
      <c r="C156" s="208" t="s">
        <v>2439</v>
      </c>
    </row>
    <row r="157" ht="17.25" spans="2:3">
      <c r="B157" s="208" t="s">
        <v>2564</v>
      </c>
      <c r="C157" s="208" t="s">
        <v>2439</v>
      </c>
    </row>
    <row r="158" ht="17.25" spans="2:3">
      <c r="B158" s="208" t="s">
        <v>2565</v>
      </c>
      <c r="C158" s="208" t="s">
        <v>2439</v>
      </c>
    </row>
    <row r="159" ht="17.25" spans="2:3">
      <c r="B159" s="208" t="s">
        <v>2566</v>
      </c>
      <c r="C159" s="208" t="s">
        <v>2439</v>
      </c>
    </row>
    <row r="160" ht="17.25" spans="2:3">
      <c r="B160" s="208" t="s">
        <v>2567</v>
      </c>
      <c r="C160" s="208" t="s">
        <v>2439</v>
      </c>
    </row>
    <row r="161" ht="17.25" spans="2:3">
      <c r="B161" s="208" t="s">
        <v>2568</v>
      </c>
      <c r="C161" s="208" t="s">
        <v>2439</v>
      </c>
    </row>
    <row r="162" ht="17.25" spans="2:3">
      <c r="B162" s="208" t="s">
        <v>2569</v>
      </c>
      <c r="C162" s="208" t="s">
        <v>2439</v>
      </c>
    </row>
    <row r="163" ht="17.25" spans="2:3">
      <c r="B163" s="208" t="s">
        <v>2570</v>
      </c>
      <c r="C163" s="208" t="s">
        <v>2439</v>
      </c>
    </row>
    <row r="164" ht="17.25" spans="2:3">
      <c r="B164" s="208" t="s">
        <v>2571</v>
      </c>
      <c r="C164" s="208" t="s">
        <v>2439</v>
      </c>
    </row>
    <row r="165" ht="17.25" spans="2:3">
      <c r="B165" s="208" t="s">
        <v>2572</v>
      </c>
      <c r="C165" s="208" t="s">
        <v>2439</v>
      </c>
    </row>
    <row r="166" ht="17.25" spans="2:3">
      <c r="B166" s="208" t="s">
        <v>2573</v>
      </c>
      <c r="C166" s="208" t="s">
        <v>2439</v>
      </c>
    </row>
    <row r="167" ht="17.25" spans="2:3">
      <c r="B167" s="208" t="s">
        <v>2574</v>
      </c>
      <c r="C167" s="208" t="s">
        <v>2439</v>
      </c>
    </row>
    <row r="168" ht="17.25" spans="2:3">
      <c r="B168" s="208" t="s">
        <v>2575</v>
      </c>
      <c r="C168" s="208" t="s">
        <v>2439</v>
      </c>
    </row>
    <row r="169" ht="17.25" spans="2:3">
      <c r="B169" s="208" t="s">
        <v>2576</v>
      </c>
      <c r="C169" s="208" t="s">
        <v>2439</v>
      </c>
    </row>
    <row r="170" ht="17.25" spans="2:3">
      <c r="B170" s="208" t="s">
        <v>2577</v>
      </c>
      <c r="C170" s="208" t="s">
        <v>2439</v>
      </c>
    </row>
    <row r="171" ht="17.25" spans="2:3">
      <c r="B171" s="208" t="s">
        <v>2578</v>
      </c>
      <c r="C171" s="208" t="s">
        <v>2439</v>
      </c>
    </row>
    <row r="172" ht="17.25" spans="2:3">
      <c r="B172" s="208" t="s">
        <v>2579</v>
      </c>
      <c r="C172" s="208" t="s">
        <v>2439</v>
      </c>
    </row>
    <row r="173" ht="17.25" spans="2:3">
      <c r="B173" s="208" t="s">
        <v>2580</v>
      </c>
      <c r="C173" s="208" t="s">
        <v>2439</v>
      </c>
    </row>
    <row r="174" ht="17.25" spans="2:3">
      <c r="B174" s="208" t="s">
        <v>2581</v>
      </c>
      <c r="C174" s="208" t="s">
        <v>2439</v>
      </c>
    </row>
    <row r="175" ht="17.25" spans="2:3">
      <c r="B175" s="208" t="s">
        <v>2582</v>
      </c>
      <c r="C175" s="208" t="s">
        <v>2439</v>
      </c>
    </row>
    <row r="176" ht="17.25" spans="2:3">
      <c r="B176" s="208" t="s">
        <v>2583</v>
      </c>
      <c r="C176" s="208" t="s">
        <v>2439</v>
      </c>
    </row>
    <row r="177" ht="17.25" spans="2:3">
      <c r="B177" s="206" t="s">
        <v>2584</v>
      </c>
      <c r="C177" s="206" t="s">
        <v>2438</v>
      </c>
    </row>
    <row r="178" ht="17.25" spans="2:3">
      <c r="B178" s="208" t="s">
        <v>2585</v>
      </c>
      <c r="C178" s="208" t="s">
        <v>2439</v>
      </c>
    </row>
    <row r="179" ht="17.25" spans="2:3">
      <c r="B179" s="208" t="s">
        <v>2586</v>
      </c>
      <c r="C179" s="208" t="s">
        <v>2439</v>
      </c>
    </row>
    <row r="180" ht="17.25" spans="2:3">
      <c r="B180" s="208" t="s">
        <v>2587</v>
      </c>
      <c r="C180" s="208" t="s">
        <v>2439</v>
      </c>
    </row>
    <row r="181" ht="17.25" spans="2:3">
      <c r="B181" s="208" t="s">
        <v>2588</v>
      </c>
      <c r="C181" s="208" t="s">
        <v>2439</v>
      </c>
    </row>
    <row r="182" ht="17.25" spans="2:3">
      <c r="B182" s="206" t="s">
        <v>2589</v>
      </c>
      <c r="C182" s="206" t="s">
        <v>2438</v>
      </c>
    </row>
    <row r="183" ht="17.25" spans="2:3">
      <c r="B183" s="208" t="s">
        <v>2590</v>
      </c>
      <c r="C183" s="208" t="s">
        <v>2439</v>
      </c>
    </row>
    <row r="184" ht="17.25" spans="2:3">
      <c r="B184" s="208" t="s">
        <v>2591</v>
      </c>
      <c r="C184" s="208" t="s">
        <v>2439</v>
      </c>
    </row>
    <row r="185" ht="17.25" spans="2:3">
      <c r="B185" s="208" t="s">
        <v>2592</v>
      </c>
      <c r="C185" s="208" t="s">
        <v>2439</v>
      </c>
    </row>
    <row r="186" ht="17.25" spans="2:3">
      <c r="B186" s="208" t="s">
        <v>2593</v>
      </c>
      <c r="C186" s="208" t="s">
        <v>2439</v>
      </c>
    </row>
    <row r="187" ht="17.25" spans="2:3">
      <c r="B187" s="208" t="s">
        <v>2594</v>
      </c>
      <c r="C187" s="208" t="s">
        <v>2439</v>
      </c>
    </row>
    <row r="188" ht="17.25" spans="2:3">
      <c r="B188" s="208" t="s">
        <v>2595</v>
      </c>
      <c r="C188" s="208" t="s">
        <v>2439</v>
      </c>
    </row>
    <row r="189" ht="17.25" spans="2:3">
      <c r="B189" s="208" t="s">
        <v>2596</v>
      </c>
      <c r="C189" s="208" t="s">
        <v>2439</v>
      </c>
    </row>
    <row r="190" ht="17.25" spans="2:3">
      <c r="B190" s="208" t="s">
        <v>2597</v>
      </c>
      <c r="C190" s="208" t="s">
        <v>2439</v>
      </c>
    </row>
    <row r="191" ht="17.25" spans="2:3">
      <c r="B191" s="208" t="s">
        <v>2598</v>
      </c>
      <c r="C191" s="208" t="s">
        <v>2439</v>
      </c>
    </row>
    <row r="192" ht="17.25" spans="2:3">
      <c r="B192" s="208" t="s">
        <v>2599</v>
      </c>
      <c r="C192" s="208" t="s">
        <v>2439</v>
      </c>
    </row>
    <row r="193" ht="17.25" spans="2:3">
      <c r="B193" s="208" t="s">
        <v>2600</v>
      </c>
      <c r="C193" s="208" t="s">
        <v>2439</v>
      </c>
    </row>
    <row r="194" ht="17.25" spans="2:3">
      <c r="B194" s="208" t="s">
        <v>2601</v>
      </c>
      <c r="C194" s="208" t="s">
        <v>2439</v>
      </c>
    </row>
    <row r="195" ht="17.25" spans="2:3">
      <c r="B195" s="208" t="s">
        <v>2602</v>
      </c>
      <c r="C195" s="208" t="s">
        <v>2439</v>
      </c>
    </row>
    <row r="196" ht="17.25" spans="2:3">
      <c r="B196" s="208" t="s">
        <v>2603</v>
      </c>
      <c r="C196" s="208" t="s">
        <v>2439</v>
      </c>
    </row>
    <row r="197" ht="17.25" spans="2:3">
      <c r="B197" s="208" t="s">
        <v>2604</v>
      </c>
      <c r="C197" s="208" t="s">
        <v>2439</v>
      </c>
    </row>
    <row r="198" ht="17.25" spans="2:3">
      <c r="B198" s="208" t="s">
        <v>2605</v>
      </c>
      <c r="C198" s="208" t="s">
        <v>2439</v>
      </c>
    </row>
    <row r="199" ht="17.25" spans="2:3">
      <c r="B199" s="208" t="s">
        <v>2606</v>
      </c>
      <c r="C199" s="208" t="s">
        <v>2439</v>
      </c>
    </row>
    <row r="200" ht="17.25" spans="2:3">
      <c r="B200" s="208" t="s">
        <v>2607</v>
      </c>
      <c r="C200" s="208" t="s">
        <v>2439</v>
      </c>
    </row>
    <row r="201" ht="17.25" spans="2:3">
      <c r="B201" s="208" t="s">
        <v>2608</v>
      </c>
      <c r="C201" s="208" t="s">
        <v>2439</v>
      </c>
    </row>
    <row r="202" ht="17.25" spans="2:3">
      <c r="B202" s="208" t="s">
        <v>2609</v>
      </c>
      <c r="C202" s="208" t="s">
        <v>2439</v>
      </c>
    </row>
    <row r="203" ht="17.25" spans="2:3">
      <c r="B203" s="208" t="s">
        <v>2610</v>
      </c>
      <c r="C203" s="208" t="s">
        <v>2439</v>
      </c>
    </row>
    <row r="204" ht="17.25" spans="2:3">
      <c r="B204" s="208" t="s">
        <v>2611</v>
      </c>
      <c r="C204" s="208" t="s">
        <v>2439</v>
      </c>
    </row>
    <row r="205" ht="17.25" spans="2:3">
      <c r="B205" s="208" t="s">
        <v>2612</v>
      </c>
      <c r="C205" s="208" t="s">
        <v>2439</v>
      </c>
    </row>
    <row r="206" ht="17.25" spans="2:3">
      <c r="B206" s="208" t="s">
        <v>2613</v>
      </c>
      <c r="C206" s="208" t="s">
        <v>2439</v>
      </c>
    </row>
    <row r="207" ht="17.25" spans="2:3">
      <c r="B207" s="208" t="s">
        <v>2614</v>
      </c>
      <c r="C207" s="208" t="s">
        <v>2439</v>
      </c>
    </row>
    <row r="208" ht="17.25" spans="2:3">
      <c r="B208" s="208" t="s">
        <v>2615</v>
      </c>
      <c r="C208" s="208" t="s">
        <v>2439</v>
      </c>
    </row>
    <row r="209" ht="17.25" spans="2:3">
      <c r="B209" s="208" t="s">
        <v>2616</v>
      </c>
      <c r="C209" s="208" t="s">
        <v>2439</v>
      </c>
    </row>
    <row r="210" ht="17.25" spans="2:3">
      <c r="B210" s="208" t="s">
        <v>2617</v>
      </c>
      <c r="C210" s="208" t="s">
        <v>2439</v>
      </c>
    </row>
    <row r="211" ht="17.25" spans="2:3">
      <c r="B211" s="208" t="s">
        <v>2618</v>
      </c>
      <c r="C211" s="208" t="s">
        <v>2439</v>
      </c>
    </row>
    <row r="212" ht="17.25" spans="2:3">
      <c r="B212" s="208" t="s">
        <v>2619</v>
      </c>
      <c r="C212" s="208" t="s">
        <v>2439</v>
      </c>
    </row>
    <row r="213" ht="17.25" spans="2:3">
      <c r="B213" s="208" t="s">
        <v>2620</v>
      </c>
      <c r="C213" s="208" t="s">
        <v>2439</v>
      </c>
    </row>
    <row r="214" ht="17.25" spans="2:3">
      <c r="B214" s="208" t="s">
        <v>2621</v>
      </c>
      <c r="C214" s="208" t="s">
        <v>2439</v>
      </c>
    </row>
    <row r="215" ht="17.25" spans="2:3">
      <c r="B215" s="208" t="s">
        <v>2622</v>
      </c>
      <c r="C215" s="208" t="s">
        <v>2439</v>
      </c>
    </row>
    <row r="216" ht="17.25" spans="2:3">
      <c r="B216" s="208" t="s">
        <v>2623</v>
      </c>
      <c r="C216" s="208" t="s">
        <v>2439</v>
      </c>
    </row>
    <row r="217" ht="17.25" spans="2:3">
      <c r="B217" s="208" t="s">
        <v>2624</v>
      </c>
      <c r="C217" s="208" t="s">
        <v>2439</v>
      </c>
    </row>
    <row r="218" ht="17.25" spans="2:3">
      <c r="B218" s="208" t="s">
        <v>2625</v>
      </c>
      <c r="C218" s="208" t="s">
        <v>2439</v>
      </c>
    </row>
    <row r="219" ht="17.25" spans="2:3">
      <c r="B219" s="208" t="s">
        <v>2626</v>
      </c>
      <c r="C219" s="208" t="s">
        <v>2439</v>
      </c>
    </row>
    <row r="220" ht="17.25" spans="2:3">
      <c r="B220" s="208" t="s">
        <v>2627</v>
      </c>
      <c r="C220" s="208" t="s">
        <v>2439</v>
      </c>
    </row>
    <row r="221" ht="17.25" spans="2:3">
      <c r="B221" s="208" t="s">
        <v>2628</v>
      </c>
      <c r="C221" s="208" t="s">
        <v>2439</v>
      </c>
    </row>
    <row r="222" ht="17.25" spans="2:3">
      <c r="B222" s="208" t="s">
        <v>2629</v>
      </c>
      <c r="C222" s="208" t="s">
        <v>2439</v>
      </c>
    </row>
    <row r="223" ht="17.25" spans="2:3">
      <c r="B223" s="208" t="s">
        <v>2630</v>
      </c>
      <c r="C223" s="208" t="s">
        <v>2439</v>
      </c>
    </row>
    <row r="224" ht="17.25" spans="2:3">
      <c r="B224" s="208" t="s">
        <v>2631</v>
      </c>
      <c r="C224" s="208" t="s">
        <v>2439</v>
      </c>
    </row>
    <row r="225" ht="17.25" spans="2:3">
      <c r="B225" s="208" t="s">
        <v>2632</v>
      </c>
      <c r="C225" s="208" t="s">
        <v>2439</v>
      </c>
    </row>
    <row r="226" ht="17.25" spans="2:3">
      <c r="B226" s="208" t="s">
        <v>2633</v>
      </c>
      <c r="C226" s="208" t="s">
        <v>2439</v>
      </c>
    </row>
    <row r="227" ht="17.25" spans="2:3">
      <c r="B227" s="208" t="s">
        <v>2634</v>
      </c>
      <c r="C227" s="208" t="s">
        <v>2439</v>
      </c>
    </row>
    <row r="228" ht="17.25" spans="2:3">
      <c r="B228" s="208" t="s">
        <v>2635</v>
      </c>
      <c r="C228" s="208" t="s">
        <v>2439</v>
      </c>
    </row>
    <row r="229" ht="17.25" spans="2:3">
      <c r="B229" s="208" t="s">
        <v>2636</v>
      </c>
      <c r="C229" s="208" t="s">
        <v>2439</v>
      </c>
    </row>
    <row r="230" ht="17.25" spans="2:3">
      <c r="B230" s="208" t="s">
        <v>2637</v>
      </c>
      <c r="C230" s="208" t="s">
        <v>2439</v>
      </c>
    </row>
    <row r="231" ht="17.25" spans="2:3">
      <c r="B231" s="208" t="s">
        <v>2638</v>
      </c>
      <c r="C231" s="208" t="s">
        <v>2439</v>
      </c>
    </row>
    <row r="232" ht="17.25" spans="2:3">
      <c r="B232" s="208" t="s">
        <v>2639</v>
      </c>
      <c r="C232" s="208" t="s">
        <v>2439</v>
      </c>
    </row>
    <row r="233" ht="17.25" spans="2:3">
      <c r="B233" s="208" t="s">
        <v>2640</v>
      </c>
      <c r="C233" s="208" t="s">
        <v>2439</v>
      </c>
    </row>
    <row r="234" ht="17.25" spans="2:3">
      <c r="B234" s="208" t="s">
        <v>2641</v>
      </c>
      <c r="C234" s="208" t="s">
        <v>2439</v>
      </c>
    </row>
    <row r="235" ht="17.25" spans="2:3">
      <c r="B235" s="208" t="s">
        <v>2642</v>
      </c>
      <c r="C235" s="208" t="s">
        <v>2439</v>
      </c>
    </row>
    <row r="236" ht="17.25" spans="2:3">
      <c r="B236" s="208" t="s">
        <v>2643</v>
      </c>
      <c r="C236" s="208" t="s">
        <v>2439</v>
      </c>
    </row>
    <row r="237" ht="17.25" spans="2:3">
      <c r="B237" s="208" t="s">
        <v>2644</v>
      </c>
      <c r="C237" s="208" t="s">
        <v>2439</v>
      </c>
    </row>
    <row r="238" ht="17.25" spans="2:3">
      <c r="B238" s="208" t="s">
        <v>2645</v>
      </c>
      <c r="C238" s="208" t="s">
        <v>2439</v>
      </c>
    </row>
    <row r="239" ht="17.25" spans="2:3">
      <c r="B239" s="208" t="s">
        <v>2646</v>
      </c>
      <c r="C239" s="208" t="s">
        <v>2439</v>
      </c>
    </row>
    <row r="240" ht="17.25" spans="2:3">
      <c r="B240" s="208" t="s">
        <v>2647</v>
      </c>
      <c r="C240" s="208" t="s">
        <v>2439</v>
      </c>
    </row>
    <row r="241" ht="17.25" spans="2:3">
      <c r="B241" s="208" t="s">
        <v>2648</v>
      </c>
      <c r="C241" s="208" t="s">
        <v>2439</v>
      </c>
    </row>
    <row r="242" ht="17.25" spans="2:3">
      <c r="B242" s="208" t="s">
        <v>2649</v>
      </c>
      <c r="C242" s="208" t="s">
        <v>2439</v>
      </c>
    </row>
    <row r="243" ht="17.25" spans="2:3">
      <c r="B243" s="208" t="s">
        <v>2650</v>
      </c>
      <c r="C243" s="208" t="s">
        <v>2439</v>
      </c>
    </row>
    <row r="244" ht="17.25" spans="2:3">
      <c r="B244" s="208" t="s">
        <v>2651</v>
      </c>
      <c r="C244" s="208" t="s">
        <v>2439</v>
      </c>
    </row>
    <row r="245" ht="17.25" spans="2:3">
      <c r="B245" s="208" t="s">
        <v>2652</v>
      </c>
      <c r="C245" s="208" t="s">
        <v>2439</v>
      </c>
    </row>
    <row r="246" ht="17.25" spans="2:3">
      <c r="B246" s="208" t="s">
        <v>2653</v>
      </c>
      <c r="C246" s="208" t="s">
        <v>2439</v>
      </c>
    </row>
    <row r="247" ht="17.25" spans="2:3">
      <c r="B247" s="208" t="s">
        <v>2654</v>
      </c>
      <c r="C247" s="208" t="s">
        <v>2439</v>
      </c>
    </row>
    <row r="248" ht="17.25" spans="2:3">
      <c r="B248" s="208" t="s">
        <v>2655</v>
      </c>
      <c r="C248" s="208" t="s">
        <v>2439</v>
      </c>
    </row>
    <row r="249" ht="17.25" spans="2:3">
      <c r="B249" s="208" t="s">
        <v>2656</v>
      </c>
      <c r="C249" s="208" t="s">
        <v>2439</v>
      </c>
    </row>
    <row r="250" ht="17.25" spans="2:3">
      <c r="B250" s="208" t="s">
        <v>2657</v>
      </c>
      <c r="C250" s="208" t="s">
        <v>2439</v>
      </c>
    </row>
    <row r="251" ht="17.25" spans="2:3">
      <c r="B251" s="208" t="s">
        <v>2658</v>
      </c>
      <c r="C251" s="208" t="s">
        <v>2439</v>
      </c>
    </row>
    <row r="252" ht="17.25" spans="2:3">
      <c r="B252" s="208" t="s">
        <v>2659</v>
      </c>
      <c r="C252" s="208" t="s">
        <v>2439</v>
      </c>
    </row>
    <row r="253" ht="17.25" spans="2:3">
      <c r="B253" s="208" t="s">
        <v>2660</v>
      </c>
      <c r="C253" s="208" t="s">
        <v>2439</v>
      </c>
    </row>
    <row r="254" ht="17.25" spans="2:3">
      <c r="B254" s="208" t="s">
        <v>2661</v>
      </c>
      <c r="C254" s="208" t="s">
        <v>2439</v>
      </c>
    </row>
    <row r="255" ht="17.25" spans="2:3">
      <c r="B255" s="208" t="s">
        <v>2662</v>
      </c>
      <c r="C255" s="208" t="s">
        <v>2439</v>
      </c>
    </row>
    <row r="256" ht="17.25" spans="2:3">
      <c r="B256" s="208" t="s">
        <v>2663</v>
      </c>
      <c r="C256" s="208" t="s">
        <v>2439</v>
      </c>
    </row>
    <row r="257" ht="17.25" spans="2:3">
      <c r="B257" s="208" t="s">
        <v>2664</v>
      </c>
      <c r="C257" s="208" t="s">
        <v>2439</v>
      </c>
    </row>
    <row r="258" ht="17.25" spans="2:3">
      <c r="B258" s="208" t="s">
        <v>2665</v>
      </c>
      <c r="C258" s="208" t="s">
        <v>2439</v>
      </c>
    </row>
    <row r="259" ht="17.25" spans="2:3">
      <c r="B259" s="208" t="s">
        <v>2666</v>
      </c>
      <c r="C259" s="208" t="s">
        <v>2439</v>
      </c>
    </row>
    <row r="260" ht="17.25" spans="2:3">
      <c r="B260" s="208" t="s">
        <v>2667</v>
      </c>
      <c r="C260" s="208" t="s">
        <v>2439</v>
      </c>
    </row>
    <row r="261" ht="17.25" spans="2:3">
      <c r="B261" s="208" t="s">
        <v>2668</v>
      </c>
      <c r="C261" s="208" t="s">
        <v>2439</v>
      </c>
    </row>
    <row r="262" ht="17.25" spans="2:3">
      <c r="B262" s="208" t="s">
        <v>2669</v>
      </c>
      <c r="C262" s="208" t="s">
        <v>2439</v>
      </c>
    </row>
    <row r="263" ht="17.25" spans="2:3">
      <c r="B263" s="208" t="s">
        <v>2670</v>
      </c>
      <c r="C263" s="208" t="s">
        <v>2439</v>
      </c>
    </row>
    <row r="264" ht="17.25" spans="2:3">
      <c r="B264" s="208" t="s">
        <v>2671</v>
      </c>
      <c r="C264" s="208" t="s">
        <v>2439</v>
      </c>
    </row>
    <row r="265" ht="17.25" spans="2:3">
      <c r="B265" s="208" t="s">
        <v>2672</v>
      </c>
      <c r="C265" s="208" t="s">
        <v>2439</v>
      </c>
    </row>
    <row r="266" ht="17.25" spans="2:3">
      <c r="B266" s="208" t="s">
        <v>2673</v>
      </c>
      <c r="C266" s="208" t="s">
        <v>2439</v>
      </c>
    </row>
    <row r="267" ht="17.25" spans="2:3">
      <c r="B267" s="208" t="s">
        <v>2674</v>
      </c>
      <c r="C267" s="208" t="s">
        <v>2439</v>
      </c>
    </row>
    <row r="268" ht="17.25" spans="2:3">
      <c r="B268" s="208" t="s">
        <v>2675</v>
      </c>
      <c r="C268" s="208" t="s">
        <v>2439</v>
      </c>
    </row>
    <row r="269" ht="17.25" spans="2:3">
      <c r="B269" s="208" t="s">
        <v>2676</v>
      </c>
      <c r="C269" s="208" t="s">
        <v>2439</v>
      </c>
    </row>
    <row r="270" ht="17.25" spans="2:3">
      <c r="B270" s="208" t="s">
        <v>2677</v>
      </c>
      <c r="C270" s="208" t="s">
        <v>2439</v>
      </c>
    </row>
    <row r="271" ht="17.25" spans="2:3">
      <c r="B271" s="208" t="s">
        <v>2678</v>
      </c>
      <c r="C271" s="208" t="s">
        <v>2439</v>
      </c>
    </row>
    <row r="272" ht="17.25" spans="2:3">
      <c r="B272" s="208" t="s">
        <v>2679</v>
      </c>
      <c r="C272" s="208" t="s">
        <v>2439</v>
      </c>
    </row>
    <row r="273" ht="17.25" spans="2:3">
      <c r="B273" s="208" t="s">
        <v>2680</v>
      </c>
      <c r="C273" s="208" t="s">
        <v>2439</v>
      </c>
    </row>
    <row r="274" ht="17.25" spans="2:3">
      <c r="B274" s="208" t="s">
        <v>2681</v>
      </c>
      <c r="C274" s="208" t="s">
        <v>2439</v>
      </c>
    </row>
    <row r="275" ht="17.25" spans="2:3">
      <c r="B275" s="208" t="s">
        <v>2682</v>
      </c>
      <c r="C275" s="208" t="s">
        <v>2439</v>
      </c>
    </row>
    <row r="276" ht="17.25" spans="2:3">
      <c r="B276" s="208" t="s">
        <v>2683</v>
      </c>
      <c r="C276" s="208" t="s">
        <v>2439</v>
      </c>
    </row>
    <row r="277" ht="17.25" spans="2:3">
      <c r="B277" s="208" t="s">
        <v>2684</v>
      </c>
      <c r="C277" s="208" t="s">
        <v>2439</v>
      </c>
    </row>
    <row r="278" ht="17.25" spans="2:3">
      <c r="B278" s="208" t="s">
        <v>2685</v>
      </c>
      <c r="C278" s="208" t="s">
        <v>2439</v>
      </c>
    </row>
    <row r="279" ht="17.25" spans="2:3">
      <c r="B279" s="208" t="s">
        <v>2686</v>
      </c>
      <c r="C279" s="208" t="s">
        <v>2439</v>
      </c>
    </row>
    <row r="280" ht="17.25" spans="2:3">
      <c r="B280" s="208" t="s">
        <v>2687</v>
      </c>
      <c r="C280" s="208" t="s">
        <v>2439</v>
      </c>
    </row>
    <row r="281" ht="17.25" spans="2:3">
      <c r="B281" s="208" t="s">
        <v>2688</v>
      </c>
      <c r="C281" s="208" t="s">
        <v>2439</v>
      </c>
    </row>
    <row r="282" ht="17.25" spans="2:3">
      <c r="B282" s="208" t="s">
        <v>2689</v>
      </c>
      <c r="C282" s="208" t="s">
        <v>2439</v>
      </c>
    </row>
    <row r="283" ht="17.25" spans="2:3">
      <c r="B283" s="208" t="s">
        <v>2690</v>
      </c>
      <c r="C283" s="208" t="s">
        <v>2439</v>
      </c>
    </row>
    <row r="284" ht="17.25" spans="2:3">
      <c r="B284" s="208" t="s">
        <v>2691</v>
      </c>
      <c r="C284" s="208" t="s">
        <v>2439</v>
      </c>
    </row>
    <row r="285" ht="17.25" spans="2:3">
      <c r="B285" s="208" t="s">
        <v>2692</v>
      </c>
      <c r="C285" s="208" t="s">
        <v>2439</v>
      </c>
    </row>
    <row r="286" ht="17.25" spans="2:3">
      <c r="B286" s="208" t="s">
        <v>2693</v>
      </c>
      <c r="C286" s="208" t="s">
        <v>2439</v>
      </c>
    </row>
    <row r="287" ht="17.25" spans="2:3">
      <c r="B287" s="208" t="s">
        <v>2694</v>
      </c>
      <c r="C287" s="208" t="s">
        <v>2439</v>
      </c>
    </row>
    <row r="288" ht="17.25" spans="2:3">
      <c r="B288" s="208" t="s">
        <v>2695</v>
      </c>
      <c r="C288" s="208" t="s">
        <v>2439</v>
      </c>
    </row>
    <row r="289" ht="17.25" spans="2:3">
      <c r="B289" s="208" t="s">
        <v>2696</v>
      </c>
      <c r="C289" s="208" t="s">
        <v>2439</v>
      </c>
    </row>
    <row r="290" ht="17.25" spans="2:3">
      <c r="B290" s="208" t="s">
        <v>2697</v>
      </c>
      <c r="C290" s="208" t="s">
        <v>2439</v>
      </c>
    </row>
    <row r="291" ht="17.25" spans="2:3">
      <c r="B291" s="208" t="s">
        <v>2698</v>
      </c>
      <c r="C291" s="208" t="s">
        <v>2439</v>
      </c>
    </row>
    <row r="292" ht="17.25" spans="2:3">
      <c r="B292" s="208" t="s">
        <v>2699</v>
      </c>
      <c r="C292" s="208" t="s">
        <v>2439</v>
      </c>
    </row>
    <row r="293" ht="17.25" spans="2:3">
      <c r="B293" s="208" t="s">
        <v>2700</v>
      </c>
      <c r="C293" s="208" t="s">
        <v>2439</v>
      </c>
    </row>
    <row r="294" ht="17.25" spans="2:3">
      <c r="B294" s="208" t="s">
        <v>2701</v>
      </c>
      <c r="C294" s="208" t="s">
        <v>2439</v>
      </c>
    </row>
    <row r="295" ht="17.25" spans="2:3">
      <c r="B295" s="208" t="s">
        <v>2702</v>
      </c>
      <c r="C295" s="208" t="s">
        <v>2439</v>
      </c>
    </row>
    <row r="296" ht="17.25" spans="2:3">
      <c r="B296" s="208" t="s">
        <v>2703</v>
      </c>
      <c r="C296" s="208" t="s">
        <v>2439</v>
      </c>
    </row>
    <row r="297" ht="17.25" spans="2:3">
      <c r="B297" s="208" t="s">
        <v>2704</v>
      </c>
      <c r="C297" s="208" t="s">
        <v>2439</v>
      </c>
    </row>
    <row r="298" ht="17.25" spans="2:3">
      <c r="B298" s="208" t="s">
        <v>2705</v>
      </c>
      <c r="C298" s="208" t="s">
        <v>2439</v>
      </c>
    </row>
    <row r="299" ht="17.25" spans="2:3">
      <c r="B299" s="208" t="s">
        <v>2706</v>
      </c>
      <c r="C299" s="208" t="s">
        <v>2439</v>
      </c>
    </row>
    <row r="300" ht="17.25" spans="2:3">
      <c r="B300" s="208" t="s">
        <v>2707</v>
      </c>
      <c r="C300" s="208" t="s">
        <v>2439</v>
      </c>
    </row>
    <row r="301" ht="17.25" spans="2:3">
      <c r="B301" s="208" t="s">
        <v>2708</v>
      </c>
      <c r="C301" s="208" t="s">
        <v>2439</v>
      </c>
    </row>
    <row r="302" ht="17.25" spans="2:3">
      <c r="B302" s="208" t="s">
        <v>2709</v>
      </c>
      <c r="C302" s="208" t="s">
        <v>2439</v>
      </c>
    </row>
    <row r="303" ht="17.25" spans="2:3">
      <c r="B303" s="208" t="s">
        <v>2710</v>
      </c>
      <c r="C303" s="208" t="s">
        <v>2439</v>
      </c>
    </row>
    <row r="304" ht="17.25" spans="2:3">
      <c r="B304" s="208" t="s">
        <v>2711</v>
      </c>
      <c r="C304" s="208" t="s">
        <v>2439</v>
      </c>
    </row>
    <row r="305" ht="17.25" spans="2:3">
      <c r="B305" s="208" t="s">
        <v>2712</v>
      </c>
      <c r="C305" s="208" t="s">
        <v>2439</v>
      </c>
    </row>
    <row r="306" ht="17.25" spans="2:3">
      <c r="B306" s="208" t="s">
        <v>2713</v>
      </c>
      <c r="C306" s="208" t="s">
        <v>2439</v>
      </c>
    </row>
    <row r="307" ht="17.25" spans="2:3">
      <c r="B307" s="208" t="s">
        <v>2714</v>
      </c>
      <c r="C307" s="208" t="s">
        <v>2439</v>
      </c>
    </row>
    <row r="308" ht="17.25" spans="2:3">
      <c r="B308" s="208" t="s">
        <v>2715</v>
      </c>
      <c r="C308" s="208" t="s">
        <v>2439</v>
      </c>
    </row>
    <row r="309" ht="17.25" spans="2:3">
      <c r="B309" s="208" t="s">
        <v>2716</v>
      </c>
      <c r="C309" s="208" t="s">
        <v>2439</v>
      </c>
    </row>
    <row r="310" ht="17.25" spans="2:3">
      <c r="B310" s="208" t="s">
        <v>2717</v>
      </c>
      <c r="C310" s="208" t="s">
        <v>2439</v>
      </c>
    </row>
    <row r="311" ht="17.25" spans="2:3">
      <c r="B311" s="208" t="s">
        <v>2718</v>
      </c>
      <c r="C311" s="208" t="s">
        <v>2439</v>
      </c>
    </row>
    <row r="312" ht="17.25" spans="2:3">
      <c r="B312" s="208" t="s">
        <v>2719</v>
      </c>
      <c r="C312" s="208" t="s">
        <v>2439</v>
      </c>
    </row>
    <row r="313" ht="17.25" spans="2:3">
      <c r="B313" s="208" t="s">
        <v>2720</v>
      </c>
      <c r="C313" s="208" t="s">
        <v>2439</v>
      </c>
    </row>
    <row r="314" ht="17.25" spans="2:3">
      <c r="B314" s="208" t="s">
        <v>2721</v>
      </c>
      <c r="C314" s="208" t="s">
        <v>2439</v>
      </c>
    </row>
    <row r="315" ht="17.25" spans="2:3">
      <c r="B315" s="208" t="s">
        <v>2722</v>
      </c>
      <c r="C315" s="208" t="s">
        <v>2439</v>
      </c>
    </row>
    <row r="316" ht="17.25" spans="2:3">
      <c r="B316" s="208" t="s">
        <v>2723</v>
      </c>
      <c r="C316" s="208" t="s">
        <v>2439</v>
      </c>
    </row>
    <row r="317" ht="17.25" spans="2:3">
      <c r="B317" s="208" t="s">
        <v>2724</v>
      </c>
      <c r="C317" s="208" t="s">
        <v>2439</v>
      </c>
    </row>
    <row r="318" ht="17.25" spans="2:3">
      <c r="B318" s="208" t="s">
        <v>2725</v>
      </c>
      <c r="C318" s="208" t="s">
        <v>2439</v>
      </c>
    </row>
    <row r="319" ht="17.25" spans="2:3">
      <c r="B319" s="208" t="s">
        <v>2726</v>
      </c>
      <c r="C319" s="208" t="s">
        <v>2439</v>
      </c>
    </row>
    <row r="320" ht="17.25" spans="2:3">
      <c r="B320" s="208" t="s">
        <v>2727</v>
      </c>
      <c r="C320" s="208" t="s">
        <v>2439</v>
      </c>
    </row>
    <row r="321" ht="17.25" spans="2:3">
      <c r="B321" s="208" t="s">
        <v>2728</v>
      </c>
      <c r="C321" s="208" t="s">
        <v>2439</v>
      </c>
    </row>
    <row r="322" ht="17.25" spans="2:3">
      <c r="B322" s="208" t="s">
        <v>2729</v>
      </c>
      <c r="C322" s="208" t="s">
        <v>2439</v>
      </c>
    </row>
    <row r="323" ht="17.25" spans="2:3">
      <c r="B323" s="208" t="s">
        <v>2730</v>
      </c>
      <c r="C323" s="208" t="s">
        <v>2439</v>
      </c>
    </row>
    <row r="324" ht="17.25" spans="2:3">
      <c r="B324" s="208" t="s">
        <v>2731</v>
      </c>
      <c r="C324" s="208" t="s">
        <v>2439</v>
      </c>
    </row>
    <row r="325" ht="17.25" spans="2:3">
      <c r="B325" s="208" t="s">
        <v>2732</v>
      </c>
      <c r="C325" s="208" t="s">
        <v>2439</v>
      </c>
    </row>
    <row r="326" ht="17.25" spans="2:3">
      <c r="B326" s="208" t="s">
        <v>2733</v>
      </c>
      <c r="C326" s="208" t="s">
        <v>2439</v>
      </c>
    </row>
    <row r="327" ht="17.25" spans="2:3">
      <c r="B327" s="208" t="s">
        <v>2734</v>
      </c>
      <c r="C327" s="208" t="s">
        <v>2439</v>
      </c>
    </row>
    <row r="328" ht="17.25" spans="2:3">
      <c r="B328" s="208" t="s">
        <v>2735</v>
      </c>
      <c r="C328" s="208" t="s">
        <v>2439</v>
      </c>
    </row>
    <row r="329" ht="17.25" spans="2:3">
      <c r="B329" s="208" t="s">
        <v>2736</v>
      </c>
      <c r="C329" s="208" t="s">
        <v>2439</v>
      </c>
    </row>
    <row r="330" ht="17.25" spans="2:3">
      <c r="B330" s="208" t="s">
        <v>2737</v>
      </c>
      <c r="C330" s="208" t="s">
        <v>2439</v>
      </c>
    </row>
    <row r="331" ht="17.25" spans="2:3">
      <c r="B331" s="208" t="s">
        <v>2738</v>
      </c>
      <c r="C331" s="208" t="s">
        <v>2439</v>
      </c>
    </row>
    <row r="332" ht="17.25" spans="2:3">
      <c r="B332" s="208" t="s">
        <v>2739</v>
      </c>
      <c r="C332" s="208" t="s">
        <v>2439</v>
      </c>
    </row>
    <row r="333" ht="17.25" spans="2:3">
      <c r="B333" s="208" t="s">
        <v>2740</v>
      </c>
      <c r="C333" s="208" t="s">
        <v>2439</v>
      </c>
    </row>
    <row r="334" ht="17.25" spans="2:3">
      <c r="B334" s="208" t="s">
        <v>2741</v>
      </c>
      <c r="C334" s="208" t="s">
        <v>2439</v>
      </c>
    </row>
    <row r="335" ht="17.25" spans="2:3">
      <c r="B335" s="208" t="s">
        <v>2742</v>
      </c>
      <c r="C335" s="208" t="s">
        <v>2439</v>
      </c>
    </row>
    <row r="336" ht="17.25" spans="2:3">
      <c r="B336" s="208" t="s">
        <v>2743</v>
      </c>
      <c r="C336" s="208" t="s">
        <v>2439</v>
      </c>
    </row>
    <row r="337" ht="17.25" spans="2:3">
      <c r="B337" s="208" t="s">
        <v>2744</v>
      </c>
      <c r="C337" s="208" t="s">
        <v>2439</v>
      </c>
    </row>
    <row r="338" ht="17.25" spans="2:3">
      <c r="B338" s="208" t="s">
        <v>2745</v>
      </c>
      <c r="C338" s="208" t="s">
        <v>2439</v>
      </c>
    </row>
    <row r="339" ht="17.25" spans="2:3">
      <c r="B339" s="208" t="s">
        <v>2746</v>
      </c>
      <c r="C339" s="208" t="s">
        <v>2439</v>
      </c>
    </row>
    <row r="340" ht="17.25" spans="2:3">
      <c r="B340" s="208" t="s">
        <v>2747</v>
      </c>
      <c r="C340" s="208" t="s">
        <v>2439</v>
      </c>
    </row>
    <row r="341" ht="17.25" spans="2:3">
      <c r="B341" s="208" t="s">
        <v>2748</v>
      </c>
      <c r="C341" s="208" t="s">
        <v>2439</v>
      </c>
    </row>
    <row r="342" ht="17.25" spans="2:3">
      <c r="B342" s="208" t="s">
        <v>2749</v>
      </c>
      <c r="C342" s="208" t="s">
        <v>2439</v>
      </c>
    </row>
    <row r="343" ht="17.25" spans="2:3">
      <c r="B343" s="208" t="s">
        <v>2750</v>
      </c>
      <c r="C343" s="208" t="s">
        <v>2439</v>
      </c>
    </row>
    <row r="344" ht="17.25" spans="2:3">
      <c r="B344" s="208" t="s">
        <v>2751</v>
      </c>
      <c r="C344" s="208" t="s">
        <v>2439</v>
      </c>
    </row>
    <row r="345" ht="17.25" spans="2:3">
      <c r="B345" s="208" t="s">
        <v>2752</v>
      </c>
      <c r="C345" s="208" t="s">
        <v>2439</v>
      </c>
    </row>
    <row r="346" ht="17.25" spans="2:3">
      <c r="B346" s="208" t="s">
        <v>2753</v>
      </c>
      <c r="C346" s="208" t="s">
        <v>2439</v>
      </c>
    </row>
    <row r="347" ht="17.25" spans="2:3">
      <c r="B347" s="208" t="s">
        <v>2754</v>
      </c>
      <c r="C347" s="208" t="s">
        <v>2439</v>
      </c>
    </row>
    <row r="348" ht="17.25" spans="2:3">
      <c r="B348" s="208" t="s">
        <v>2755</v>
      </c>
      <c r="C348" s="208" t="s">
        <v>2439</v>
      </c>
    </row>
    <row r="349" ht="17.25" spans="2:3">
      <c r="B349" s="208" t="s">
        <v>2756</v>
      </c>
      <c r="C349" s="208" t="s">
        <v>2439</v>
      </c>
    </row>
    <row r="350" ht="17.25" spans="2:3">
      <c r="B350" s="208" t="s">
        <v>2757</v>
      </c>
      <c r="C350" s="208" t="s">
        <v>2439</v>
      </c>
    </row>
    <row r="351" ht="17.25" spans="2:3">
      <c r="B351" s="208" t="s">
        <v>2758</v>
      </c>
      <c r="C351" s="208" t="s">
        <v>2439</v>
      </c>
    </row>
    <row r="352" ht="17.25" spans="2:3">
      <c r="B352" s="208" t="s">
        <v>2759</v>
      </c>
      <c r="C352" s="208" t="s">
        <v>2439</v>
      </c>
    </row>
    <row r="353" ht="17.25" spans="2:3">
      <c r="B353" s="208" t="s">
        <v>2760</v>
      </c>
      <c r="C353" s="208" t="s">
        <v>2439</v>
      </c>
    </row>
    <row r="354" ht="17.25" spans="2:3">
      <c r="B354" s="208" t="s">
        <v>2761</v>
      </c>
      <c r="C354" s="208" t="s">
        <v>2439</v>
      </c>
    </row>
    <row r="355" ht="17.25" spans="2:3">
      <c r="B355" s="208" t="s">
        <v>2762</v>
      </c>
      <c r="C355" s="208" t="s">
        <v>2439</v>
      </c>
    </row>
    <row r="356" ht="17.25" spans="2:3">
      <c r="B356" s="208" t="s">
        <v>2763</v>
      </c>
      <c r="C356" s="208" t="s">
        <v>2439</v>
      </c>
    </row>
    <row r="357" ht="17.25" spans="2:3">
      <c r="B357" s="208" t="s">
        <v>2764</v>
      </c>
      <c r="C357" s="208" t="s">
        <v>2439</v>
      </c>
    </row>
    <row r="358" ht="17.25" spans="2:3">
      <c r="B358" s="208" t="s">
        <v>2765</v>
      </c>
      <c r="C358" s="208" t="s">
        <v>2439</v>
      </c>
    </row>
    <row r="359" ht="17.25" spans="2:3">
      <c r="B359" s="208" t="s">
        <v>2766</v>
      </c>
      <c r="C359" s="208" t="s">
        <v>2439</v>
      </c>
    </row>
    <row r="360" ht="17.25" spans="2:3">
      <c r="B360" s="208" t="s">
        <v>2767</v>
      </c>
      <c r="C360" s="208" t="s">
        <v>2439</v>
      </c>
    </row>
    <row r="361" ht="17.25" spans="2:3">
      <c r="B361" s="208" t="s">
        <v>2768</v>
      </c>
      <c r="C361" s="208" t="s">
        <v>2439</v>
      </c>
    </row>
    <row r="362" ht="17.25" spans="2:3">
      <c r="B362" s="208" t="s">
        <v>2769</v>
      </c>
      <c r="C362" s="208" t="s">
        <v>2439</v>
      </c>
    </row>
    <row r="363" ht="17.25" spans="2:3">
      <c r="B363" s="208" t="s">
        <v>2770</v>
      </c>
      <c r="C363" s="208" t="s">
        <v>2439</v>
      </c>
    </row>
    <row r="364" ht="17.25" spans="2:3">
      <c r="B364" s="208" t="s">
        <v>2771</v>
      </c>
      <c r="C364" s="208" t="s">
        <v>2439</v>
      </c>
    </row>
    <row r="365" ht="17.25" spans="2:3">
      <c r="B365" s="208" t="s">
        <v>2772</v>
      </c>
      <c r="C365" s="208" t="s">
        <v>2439</v>
      </c>
    </row>
    <row r="366" ht="17.25" spans="2:3">
      <c r="B366" s="208" t="s">
        <v>2773</v>
      </c>
      <c r="C366" s="208" t="s">
        <v>2439</v>
      </c>
    </row>
    <row r="367" ht="17.25" spans="2:3">
      <c r="B367" s="208" t="s">
        <v>2774</v>
      </c>
      <c r="C367" s="208" t="s">
        <v>2439</v>
      </c>
    </row>
    <row r="368" ht="17.25" spans="2:3">
      <c r="B368" s="208" t="s">
        <v>2775</v>
      </c>
      <c r="C368" s="208" t="s">
        <v>2439</v>
      </c>
    </row>
    <row r="369" ht="17.25" spans="2:3">
      <c r="B369" s="208" t="s">
        <v>2776</v>
      </c>
      <c r="C369" s="208" t="s">
        <v>2439</v>
      </c>
    </row>
    <row r="370" ht="17.25" spans="2:3">
      <c r="B370" s="208" t="s">
        <v>2777</v>
      </c>
      <c r="C370" s="208" t="s">
        <v>2439</v>
      </c>
    </row>
    <row r="371" ht="17.25" spans="2:3">
      <c r="B371" s="208" t="s">
        <v>2778</v>
      </c>
      <c r="C371" s="208" t="s">
        <v>2439</v>
      </c>
    </row>
    <row r="372" ht="17.25" spans="2:3">
      <c r="B372" s="208" t="s">
        <v>2779</v>
      </c>
      <c r="C372" s="208" t="s">
        <v>2439</v>
      </c>
    </row>
    <row r="373" ht="17.25" spans="2:3">
      <c r="B373" s="208" t="s">
        <v>2780</v>
      </c>
      <c r="C373" s="208" t="s">
        <v>2439</v>
      </c>
    </row>
    <row r="374" ht="17.25" spans="2:3">
      <c r="B374" s="208" t="s">
        <v>2781</v>
      </c>
      <c r="C374" s="208" t="s">
        <v>2439</v>
      </c>
    </row>
    <row r="375" ht="17.25" spans="2:3">
      <c r="B375" s="208" t="s">
        <v>2782</v>
      </c>
      <c r="C375" s="208" t="s">
        <v>2439</v>
      </c>
    </row>
    <row r="376" ht="17.25" spans="2:3">
      <c r="B376" s="208" t="s">
        <v>2783</v>
      </c>
      <c r="C376" s="208" t="s">
        <v>2439</v>
      </c>
    </row>
    <row r="377" ht="17.25" spans="2:3">
      <c r="B377" s="208" t="s">
        <v>2784</v>
      </c>
      <c r="C377" s="208" t="s">
        <v>2439</v>
      </c>
    </row>
    <row r="378" ht="17.25" spans="2:3">
      <c r="B378" s="208" t="s">
        <v>2785</v>
      </c>
      <c r="C378" s="208" t="s">
        <v>2439</v>
      </c>
    </row>
    <row r="379" ht="17.25" spans="2:3">
      <c r="B379" s="208" t="s">
        <v>2786</v>
      </c>
      <c r="C379" s="208" t="s">
        <v>2439</v>
      </c>
    </row>
    <row r="380" ht="17.25" spans="2:3">
      <c r="B380" s="208" t="s">
        <v>2787</v>
      </c>
      <c r="C380" s="208" t="s">
        <v>2439</v>
      </c>
    </row>
    <row r="381" ht="17.25" spans="2:3">
      <c r="B381" s="208" t="s">
        <v>2788</v>
      </c>
      <c r="C381" s="208" t="s">
        <v>2439</v>
      </c>
    </row>
    <row r="382" ht="17.25" spans="2:3">
      <c r="B382" s="208" t="s">
        <v>2789</v>
      </c>
      <c r="C382" s="208" t="s">
        <v>2439</v>
      </c>
    </row>
    <row r="383" ht="17.25" spans="2:3">
      <c r="B383" s="208" t="s">
        <v>2790</v>
      </c>
      <c r="C383" s="208" t="s">
        <v>2439</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F339" activePane="bottomRight" state="frozen"/>
      <selection/>
      <selection pane="topRight"/>
      <selection pane="bottomLeft"/>
      <selection pane="bottomRight" activeCell="L439" sqref="L439"/>
    </sheetView>
  </sheetViews>
  <sheetFormatPr defaultColWidth="8.75833333333333" defaultRowHeight="16.5"/>
  <cols>
    <col min="1" max="1" width="8.75833333333333" style="93"/>
    <col min="2" max="2" width="10.5" style="94" customWidth="1"/>
    <col min="3" max="3" width="12.875" style="94" customWidth="1"/>
    <col min="4" max="4" width="18.125" style="89" customWidth="1"/>
    <col min="5" max="5" width="18.125" style="89" customWidth="1" outlineLevel="1"/>
    <col min="6" max="6" width="22.2583333333333" style="95" customWidth="1" outlineLevel="1"/>
    <col min="7" max="7" width="16.375" style="95" customWidth="1" outlineLevel="1"/>
    <col min="8" max="8" width="15.125" style="96" customWidth="1"/>
    <col min="9" max="10" width="13.5" style="97" customWidth="1"/>
    <col min="11" max="11" width="12.375" style="97" customWidth="1" outlineLevel="1"/>
    <col min="12" max="12" width="12.375" style="95" customWidth="1" outlineLevel="1"/>
    <col min="13" max="13" width="47.5" style="95" customWidth="1" outlineLevel="1"/>
    <col min="14" max="14" width="12.375" style="97" customWidth="1" outlineLevel="1"/>
    <col min="15" max="15" width="40" style="95" customWidth="1" outlineLevel="1"/>
    <col min="16" max="22" width="12.375" style="97" customWidth="1" outlineLevel="1"/>
    <col min="23" max="23" width="61.375" style="97" customWidth="1" outlineLevel="1"/>
    <col min="24" max="24" width="13.5" style="97" customWidth="1"/>
    <col min="25" max="26" width="13.5" style="97" customWidth="1" outlineLevel="1"/>
    <col min="27" max="27" width="13.5" style="97" customWidth="1"/>
    <col min="28" max="29" width="13.5" style="97" customWidth="1" outlineLevel="1"/>
    <col min="30" max="30" width="13.5" style="97" customWidth="1"/>
    <col min="31" max="32" width="13.5" style="97" customWidth="1" outlineLevel="1"/>
    <col min="33" max="33" width="13.5" style="97" customWidth="1"/>
    <col min="34" max="35" width="13.5" style="97" customWidth="1" outlineLevel="1"/>
    <col min="36" max="36" width="13.5" style="97" customWidth="1"/>
    <col min="37" max="38" width="13.5" style="97" customWidth="1" outlineLevel="1"/>
    <col min="39" max="39" width="13.5" style="97" customWidth="1"/>
    <col min="40" max="41" width="13.5" style="97" customWidth="1" outlineLevel="1"/>
    <col min="42" max="42" width="13.5" style="97" customWidth="1"/>
    <col min="43" max="44" width="13.5" style="97" customWidth="1" outlineLevel="1"/>
    <col min="45" max="45" width="13.5" style="97" customWidth="1"/>
    <col min="46" max="47" width="13.5" style="97" customWidth="1" outlineLevel="1"/>
    <col min="48" max="48" width="13.5" style="97" customWidth="1"/>
    <col min="49" max="50" width="13.5" style="97" customWidth="1" outlineLevel="1"/>
    <col min="51" max="51" width="13.5" style="97" customWidth="1"/>
    <col min="52" max="53" width="13.5" style="97" customWidth="1" outlineLevel="1"/>
    <col min="54" max="54" width="13.5" style="97" customWidth="1"/>
    <col min="55" max="56" width="13.5" style="97" customWidth="1" outlineLevel="1"/>
    <col min="57" max="57" width="13.5" style="97" customWidth="1"/>
    <col min="58" max="59" width="13.5" style="97" customWidth="1" outlineLevel="1"/>
    <col min="60" max="60" width="13.5" style="97" customWidth="1"/>
    <col min="61" max="62" width="13.5" style="97" customWidth="1" outlineLevel="1"/>
    <col min="63" max="63" width="13.5" style="97" customWidth="1"/>
    <col min="64" max="65" width="13.5" style="97" customWidth="1" outlineLevel="1"/>
    <col min="66" max="66" width="13.5" style="97" customWidth="1"/>
    <col min="67" max="68" width="13.5" style="97" customWidth="1" outlineLevel="1"/>
    <col min="69" max="69" width="13.5" style="97" customWidth="1"/>
    <col min="70" max="71" width="13.5" style="97" customWidth="1" outlineLevel="1"/>
    <col min="72" max="72" width="13.5" style="97" customWidth="1"/>
    <col min="73" max="74" width="13.5" style="97" customWidth="1" outlineLevel="1"/>
    <col min="75" max="75" width="13.5" style="97" customWidth="1"/>
    <col min="76" max="77" width="13.5" style="97" customWidth="1" outlineLevel="1"/>
    <col min="78" max="78" width="13.5" style="97" customWidth="1"/>
    <col min="79" max="80" width="13.5" style="97" customWidth="1" outlineLevel="1"/>
    <col min="81" max="81" width="13.5" style="97" customWidth="1"/>
    <col min="82" max="83" width="13.5" style="97" customWidth="1" outlineLevel="1"/>
    <col min="84" max="84" width="13.5" style="97" customWidth="1"/>
    <col min="85" max="86" width="13.5" style="97" customWidth="1" outlineLevel="1"/>
    <col min="87" max="87" width="13.5" style="97" customWidth="1"/>
    <col min="88" max="89" width="13.5" style="97" customWidth="1" outlineLevel="1"/>
    <col min="90" max="90" width="13.5" style="97" customWidth="1"/>
    <col min="91" max="92" width="13.5" style="97" customWidth="1" outlineLevel="1"/>
    <col min="93" max="93" width="13.5" style="97" customWidth="1"/>
    <col min="94" max="95" width="13.5" style="97" customWidth="1" outlineLevel="1"/>
    <col min="96" max="16384" width="8.75833333333333" style="93"/>
  </cols>
  <sheetData>
    <row r="1" s="87" customFormat="1" ht="23.1" customHeight="1" spans="1:95">
      <c r="A1" s="98" t="s">
        <v>755</v>
      </c>
      <c r="B1" s="99" t="s">
        <v>2791</v>
      </c>
      <c r="C1" s="100" t="s">
        <v>757</v>
      </c>
      <c r="D1" s="100"/>
      <c r="E1" s="100"/>
      <c r="F1" s="100"/>
      <c r="G1" s="101"/>
      <c r="H1" s="102" t="s">
        <v>2792</v>
      </c>
      <c r="I1" s="141" t="s">
        <v>2793</v>
      </c>
      <c r="J1" s="142" t="s">
        <v>2794</v>
      </c>
      <c r="K1" s="143" t="s">
        <v>2795</v>
      </c>
      <c r="L1" s="144"/>
      <c r="M1" s="144"/>
      <c r="N1" s="143"/>
      <c r="O1" s="144"/>
      <c r="P1" s="143"/>
      <c r="Q1" s="143"/>
      <c r="R1" s="143"/>
      <c r="S1" s="143"/>
      <c r="T1" s="143"/>
      <c r="U1" s="143"/>
      <c r="V1" s="143"/>
      <c r="W1" s="143"/>
      <c r="X1" s="162" t="s">
        <v>719</v>
      </c>
      <c r="Y1" s="165"/>
      <c r="Z1" s="166"/>
      <c r="AA1" s="162" t="s">
        <v>719</v>
      </c>
      <c r="AB1" s="165"/>
      <c r="AC1" s="166"/>
      <c r="AD1" s="162" t="s">
        <v>719</v>
      </c>
      <c r="AE1" s="165"/>
      <c r="AF1" s="166"/>
      <c r="AG1" s="162" t="s">
        <v>719</v>
      </c>
      <c r="AH1" s="165"/>
      <c r="AI1" s="166"/>
      <c r="AJ1" s="162" t="s">
        <v>719</v>
      </c>
      <c r="AK1" s="165"/>
      <c r="AL1" s="166"/>
      <c r="AM1" s="162" t="s">
        <v>719</v>
      </c>
      <c r="AN1" s="165"/>
      <c r="AO1" s="166"/>
      <c r="AP1" s="162" t="s">
        <v>719</v>
      </c>
      <c r="AQ1" s="165"/>
      <c r="AR1" s="166"/>
      <c r="AS1" s="162" t="s">
        <v>719</v>
      </c>
      <c r="AT1" s="165"/>
      <c r="AU1" s="166"/>
      <c r="AV1" s="162" t="s">
        <v>719</v>
      </c>
      <c r="AW1" s="165"/>
      <c r="AX1" s="166"/>
      <c r="AY1" s="162" t="s">
        <v>719</v>
      </c>
      <c r="AZ1" s="165"/>
      <c r="BA1" s="166"/>
      <c r="BB1" s="162" t="s">
        <v>719</v>
      </c>
      <c r="BC1" s="165"/>
      <c r="BD1" s="166"/>
      <c r="BE1" s="162" t="s">
        <v>719</v>
      </c>
      <c r="BF1" s="165"/>
      <c r="BG1" s="166"/>
      <c r="BH1" s="169" t="s">
        <v>2796</v>
      </c>
      <c r="BI1" s="170"/>
      <c r="BJ1" s="171"/>
      <c r="BK1" s="169" t="s">
        <v>2796</v>
      </c>
      <c r="BL1" s="170"/>
      <c r="BM1" s="171"/>
      <c r="BN1" s="169" t="s">
        <v>2796</v>
      </c>
      <c r="BO1" s="170"/>
      <c r="BP1" s="171"/>
      <c r="BQ1" s="169" t="s">
        <v>2796</v>
      </c>
      <c r="BR1" s="170"/>
      <c r="BS1" s="171"/>
      <c r="BT1" s="169" t="s">
        <v>2796</v>
      </c>
      <c r="BU1" s="170"/>
      <c r="BV1" s="171"/>
      <c r="BW1" s="169" t="s">
        <v>2796</v>
      </c>
      <c r="BX1" s="170"/>
      <c r="BY1" s="171"/>
      <c r="BZ1" s="169" t="s">
        <v>2796</v>
      </c>
      <c r="CA1" s="170"/>
      <c r="CB1" s="171"/>
      <c r="CC1" s="169" t="s">
        <v>2796</v>
      </c>
      <c r="CD1" s="170"/>
      <c r="CE1" s="171"/>
      <c r="CF1" s="169" t="s">
        <v>2796</v>
      </c>
      <c r="CG1" s="170"/>
      <c r="CH1" s="171"/>
      <c r="CI1" s="169" t="s">
        <v>2796</v>
      </c>
      <c r="CJ1" s="170"/>
      <c r="CK1" s="171"/>
      <c r="CL1" s="169" t="s">
        <v>2796</v>
      </c>
      <c r="CM1" s="170"/>
      <c r="CN1" s="171"/>
      <c r="CO1" s="169" t="s">
        <v>2796</v>
      </c>
      <c r="CP1" s="170"/>
      <c r="CQ1" s="171"/>
    </row>
    <row r="2" s="87" customFormat="1" ht="23.1" customHeight="1" spans="1:95">
      <c r="A2" s="103"/>
      <c r="B2" s="104"/>
      <c r="C2" s="100"/>
      <c r="D2" s="100"/>
      <c r="E2" s="100"/>
      <c r="F2" s="100"/>
      <c r="G2" s="101"/>
      <c r="H2" s="105"/>
      <c r="I2" s="141"/>
      <c r="J2" s="145"/>
      <c r="K2" s="146"/>
      <c r="L2" s="147"/>
      <c r="M2" s="147"/>
      <c r="N2" s="146"/>
      <c r="O2" s="147"/>
      <c r="P2" s="146"/>
      <c r="Q2" s="146"/>
      <c r="R2" s="146"/>
      <c r="S2" s="146"/>
      <c r="T2" s="146"/>
      <c r="U2" s="146"/>
      <c r="V2" s="146"/>
      <c r="W2" s="146"/>
      <c r="X2" s="162" t="s">
        <v>759</v>
      </c>
      <c r="Y2" s="165"/>
      <c r="Z2" s="166"/>
      <c r="AA2" s="162" t="s">
        <v>760</v>
      </c>
      <c r="AB2" s="165"/>
      <c r="AC2" s="166"/>
      <c r="AD2" s="162" t="s">
        <v>761</v>
      </c>
      <c r="AE2" s="165"/>
      <c r="AF2" s="166"/>
      <c r="AG2" s="162" t="s">
        <v>762</v>
      </c>
      <c r="AH2" s="165"/>
      <c r="AI2" s="166"/>
      <c r="AJ2" s="162" t="s">
        <v>763</v>
      </c>
      <c r="AK2" s="165"/>
      <c r="AL2" s="166"/>
      <c r="AM2" s="162" t="s">
        <v>764</v>
      </c>
      <c r="AN2" s="165"/>
      <c r="AO2" s="166"/>
      <c r="AP2" s="162" t="s">
        <v>765</v>
      </c>
      <c r="AQ2" s="165"/>
      <c r="AR2" s="166"/>
      <c r="AS2" s="162" t="s">
        <v>766</v>
      </c>
      <c r="AT2" s="165"/>
      <c r="AU2" s="166"/>
      <c r="AV2" s="162" t="s">
        <v>767</v>
      </c>
      <c r="AW2" s="165"/>
      <c r="AX2" s="166"/>
      <c r="AY2" s="162" t="s">
        <v>768</v>
      </c>
      <c r="AZ2" s="165"/>
      <c r="BA2" s="166"/>
      <c r="BB2" s="162" t="s">
        <v>769</v>
      </c>
      <c r="BC2" s="165"/>
      <c r="BD2" s="166"/>
      <c r="BE2" s="162" t="s">
        <v>770</v>
      </c>
      <c r="BF2" s="165"/>
      <c r="BG2" s="166"/>
      <c r="BH2" s="169" t="s">
        <v>759</v>
      </c>
      <c r="BI2" s="170"/>
      <c r="BJ2" s="171"/>
      <c r="BK2" s="169" t="s">
        <v>760</v>
      </c>
      <c r="BL2" s="170"/>
      <c r="BM2" s="171"/>
      <c r="BN2" s="169" t="s">
        <v>761</v>
      </c>
      <c r="BO2" s="170"/>
      <c r="BP2" s="171"/>
      <c r="BQ2" s="169" t="s">
        <v>762</v>
      </c>
      <c r="BR2" s="170"/>
      <c r="BS2" s="171"/>
      <c r="BT2" s="169" t="s">
        <v>763</v>
      </c>
      <c r="BU2" s="170"/>
      <c r="BV2" s="171"/>
      <c r="BW2" s="169" t="s">
        <v>764</v>
      </c>
      <c r="BX2" s="170"/>
      <c r="BY2" s="171"/>
      <c r="BZ2" s="169" t="s">
        <v>765</v>
      </c>
      <c r="CA2" s="170"/>
      <c r="CB2" s="171"/>
      <c r="CC2" s="169" t="s">
        <v>766</v>
      </c>
      <c r="CD2" s="170"/>
      <c r="CE2" s="171"/>
      <c r="CF2" s="169" t="s">
        <v>767</v>
      </c>
      <c r="CG2" s="170"/>
      <c r="CH2" s="171"/>
      <c r="CI2" s="169" t="s">
        <v>768</v>
      </c>
      <c r="CJ2" s="170"/>
      <c r="CK2" s="171"/>
      <c r="CL2" s="169" t="s">
        <v>769</v>
      </c>
      <c r="CM2" s="170"/>
      <c r="CN2" s="171"/>
      <c r="CO2" s="169" t="s">
        <v>770</v>
      </c>
      <c r="CP2" s="170"/>
      <c r="CQ2" s="171"/>
    </row>
    <row r="3" s="87" customFormat="1" ht="42.95" customHeight="1" spans="1:95">
      <c r="A3" s="106"/>
      <c r="B3" s="107"/>
      <c r="C3" s="108" t="s">
        <v>771</v>
      </c>
      <c r="D3" s="100" t="s">
        <v>3</v>
      </c>
      <c r="E3" s="100" t="s">
        <v>772</v>
      </c>
      <c r="F3" s="100" t="s">
        <v>773</v>
      </c>
      <c r="G3" s="100" t="s">
        <v>774</v>
      </c>
      <c r="I3" s="141"/>
      <c r="J3" s="148"/>
      <c r="K3" s="149" t="s">
        <v>2797</v>
      </c>
      <c r="L3" s="149" t="s">
        <v>2798</v>
      </c>
      <c r="M3" s="149" t="s">
        <v>2799</v>
      </c>
      <c r="N3" s="150" t="s">
        <v>2800</v>
      </c>
      <c r="O3" s="149" t="s">
        <v>2801</v>
      </c>
      <c r="P3" s="150" t="s">
        <v>2802</v>
      </c>
      <c r="Q3" s="149" t="s">
        <v>2803</v>
      </c>
      <c r="R3" s="149" t="s">
        <v>2804</v>
      </c>
      <c r="S3" s="149" t="s">
        <v>2805</v>
      </c>
      <c r="T3" s="150" t="s">
        <v>2806</v>
      </c>
      <c r="U3" s="149" t="s">
        <v>2807</v>
      </c>
      <c r="V3" s="149" t="s">
        <v>2808</v>
      </c>
      <c r="W3" s="150" t="s">
        <v>2809</v>
      </c>
      <c r="X3" s="87" t="s">
        <v>2810</v>
      </c>
      <c r="Y3" s="141" t="s">
        <v>2811</v>
      </c>
      <c r="Z3" s="148" t="s">
        <v>2812</v>
      </c>
      <c r="AA3" s="87" t="s">
        <v>2810</v>
      </c>
      <c r="AB3" s="141" t="s">
        <v>2811</v>
      </c>
      <c r="AC3" s="148" t="s">
        <v>2812</v>
      </c>
      <c r="AD3" s="87" t="s">
        <v>2810</v>
      </c>
      <c r="AE3" s="141" t="s">
        <v>2811</v>
      </c>
      <c r="AF3" s="148" t="s">
        <v>2812</v>
      </c>
      <c r="AG3" s="87" t="s">
        <v>2810</v>
      </c>
      <c r="AH3" s="141" t="s">
        <v>2811</v>
      </c>
      <c r="AI3" s="148" t="s">
        <v>2812</v>
      </c>
      <c r="AJ3" s="87" t="s">
        <v>2810</v>
      </c>
      <c r="AK3" s="141" t="s">
        <v>2811</v>
      </c>
      <c r="AL3" s="148" t="s">
        <v>2812</v>
      </c>
      <c r="AM3" s="87" t="s">
        <v>2810</v>
      </c>
      <c r="AN3" s="141" t="s">
        <v>2811</v>
      </c>
      <c r="AO3" s="148" t="s">
        <v>2812</v>
      </c>
      <c r="AP3" s="87" t="s">
        <v>2810</v>
      </c>
      <c r="AQ3" s="141" t="s">
        <v>2811</v>
      </c>
      <c r="AR3" s="148" t="s">
        <v>2812</v>
      </c>
      <c r="AS3" s="87" t="s">
        <v>2810</v>
      </c>
      <c r="AT3" s="141" t="s">
        <v>2811</v>
      </c>
      <c r="AU3" s="148" t="s">
        <v>2812</v>
      </c>
      <c r="AV3" s="87" t="s">
        <v>2810</v>
      </c>
      <c r="AW3" s="141" t="s">
        <v>2811</v>
      </c>
      <c r="AX3" s="148" t="s">
        <v>2812</v>
      </c>
      <c r="AY3" s="87" t="s">
        <v>2810</v>
      </c>
      <c r="AZ3" s="141" t="s">
        <v>2811</v>
      </c>
      <c r="BA3" s="148" t="s">
        <v>2812</v>
      </c>
      <c r="BB3" s="87" t="s">
        <v>2810</v>
      </c>
      <c r="BC3" s="141" t="s">
        <v>2811</v>
      </c>
      <c r="BD3" s="148" t="s">
        <v>2812</v>
      </c>
      <c r="BE3" s="87" t="s">
        <v>2810</v>
      </c>
      <c r="BF3" s="141" t="s">
        <v>2811</v>
      </c>
      <c r="BG3" s="148" t="s">
        <v>2812</v>
      </c>
      <c r="BH3" s="87" t="s">
        <v>2810</v>
      </c>
      <c r="BI3" s="141" t="s">
        <v>2811</v>
      </c>
      <c r="BJ3" s="148" t="s">
        <v>2812</v>
      </c>
      <c r="BK3" s="87" t="s">
        <v>2810</v>
      </c>
      <c r="BL3" s="141" t="s">
        <v>2811</v>
      </c>
      <c r="BM3" s="148" t="s">
        <v>2812</v>
      </c>
      <c r="BN3" s="87" t="s">
        <v>2810</v>
      </c>
      <c r="BO3" s="141" t="s">
        <v>2811</v>
      </c>
      <c r="BP3" s="148" t="s">
        <v>2812</v>
      </c>
      <c r="BQ3" s="87" t="s">
        <v>2810</v>
      </c>
      <c r="BR3" s="141" t="s">
        <v>2811</v>
      </c>
      <c r="BS3" s="148" t="s">
        <v>2812</v>
      </c>
      <c r="BT3" s="87" t="s">
        <v>2810</v>
      </c>
      <c r="BU3" s="141" t="s">
        <v>2811</v>
      </c>
      <c r="BV3" s="148" t="s">
        <v>2812</v>
      </c>
      <c r="BW3" s="87" t="s">
        <v>2810</v>
      </c>
      <c r="BX3" s="141" t="s">
        <v>2811</v>
      </c>
      <c r="BY3" s="148" t="s">
        <v>2812</v>
      </c>
      <c r="BZ3" s="87" t="s">
        <v>2810</v>
      </c>
      <c r="CA3" s="141" t="s">
        <v>2811</v>
      </c>
      <c r="CB3" s="148" t="s">
        <v>2812</v>
      </c>
      <c r="CC3" s="87" t="s">
        <v>2810</v>
      </c>
      <c r="CD3" s="141" t="s">
        <v>2811</v>
      </c>
      <c r="CE3" s="148" t="s">
        <v>2812</v>
      </c>
      <c r="CF3" s="87" t="s">
        <v>2810</v>
      </c>
      <c r="CG3" s="141" t="s">
        <v>2811</v>
      </c>
      <c r="CH3" s="148" t="s">
        <v>2812</v>
      </c>
      <c r="CI3" s="87" t="s">
        <v>2810</v>
      </c>
      <c r="CJ3" s="141" t="s">
        <v>2811</v>
      </c>
      <c r="CK3" s="148" t="s">
        <v>2812</v>
      </c>
      <c r="CL3" s="87" t="s">
        <v>2810</v>
      </c>
      <c r="CM3" s="141" t="s">
        <v>2811</v>
      </c>
      <c r="CN3" s="148" t="s">
        <v>2812</v>
      </c>
      <c r="CO3" s="87" t="s">
        <v>2810</v>
      </c>
      <c r="CP3" s="141" t="s">
        <v>2811</v>
      </c>
      <c r="CQ3" s="148" t="s">
        <v>2812</v>
      </c>
    </row>
    <row r="4" s="88" customFormat="1" ht="33.95" customHeight="1" spans="2:95">
      <c r="B4" s="109" t="s">
        <v>787</v>
      </c>
      <c r="C4" s="110">
        <v>1</v>
      </c>
      <c r="D4" s="88" t="s">
        <v>788</v>
      </c>
      <c r="E4" s="88" t="s">
        <v>789</v>
      </c>
      <c r="F4" s="111"/>
      <c r="G4" s="112"/>
      <c r="H4" s="113">
        <f>X4+AA4+AD4+AG4+AJ4+AM4+AP4+AS4+AV4+AY4+BB4+BE4</f>
        <v>28963623.6364696</v>
      </c>
      <c r="I4" s="113">
        <f t="shared" ref="I4:J4" si="0">Y4+AB4+AE4+AH4+AK4+AN4+AQ4+AT4+AW4+AZ4+BC4+BF4</f>
        <v>16615895.3096745</v>
      </c>
      <c r="J4" s="113">
        <f t="shared" si="0"/>
        <v>12347728.3267951</v>
      </c>
      <c r="K4" s="113"/>
      <c r="L4" s="151"/>
      <c r="M4" s="151"/>
      <c r="N4" s="113"/>
      <c r="O4" s="151"/>
      <c r="P4" s="113"/>
      <c r="Q4" s="113"/>
      <c r="R4" s="113"/>
      <c r="S4" s="113"/>
      <c r="T4" s="113"/>
      <c r="U4" s="113"/>
      <c r="V4" s="113"/>
      <c r="W4" s="113"/>
      <c r="X4" s="113">
        <f t="shared" ref="X4:BC4" si="1">X5+X508+X536+X597+X603+X616</f>
        <v>6144639.50971389</v>
      </c>
      <c r="Y4" s="113">
        <f t="shared" si="1"/>
        <v>5796909.69439516</v>
      </c>
      <c r="Z4" s="113">
        <f t="shared" si="1"/>
        <v>347729.815318727</v>
      </c>
      <c r="AA4" s="113">
        <f t="shared" si="1"/>
        <v>2074453.10243234</v>
      </c>
      <c r="AB4" s="113">
        <f t="shared" si="1"/>
        <v>1573414.21918394</v>
      </c>
      <c r="AC4" s="113">
        <f t="shared" si="1"/>
        <v>501038.883248402</v>
      </c>
      <c r="AD4" s="113">
        <f t="shared" si="1"/>
        <v>2074453.10243234</v>
      </c>
      <c r="AE4" s="113">
        <f t="shared" si="1"/>
        <v>1411864.57162053</v>
      </c>
      <c r="AF4" s="113">
        <f t="shared" si="1"/>
        <v>662588.530811814</v>
      </c>
      <c r="AG4" s="113">
        <f t="shared" si="1"/>
        <v>2074453.10243234</v>
      </c>
      <c r="AH4" s="113">
        <f t="shared" si="1"/>
        <v>876991.405624707</v>
      </c>
      <c r="AI4" s="113">
        <f t="shared" si="1"/>
        <v>1197461.69680763</v>
      </c>
      <c r="AJ4" s="113">
        <f t="shared" si="1"/>
        <v>2074453.10243234</v>
      </c>
      <c r="AK4" s="113">
        <f t="shared" si="1"/>
        <v>823295.342617785</v>
      </c>
      <c r="AL4" s="113">
        <f t="shared" si="1"/>
        <v>1251157.75981456</v>
      </c>
      <c r="AM4" s="113">
        <f t="shared" si="1"/>
        <v>2074453.10243234</v>
      </c>
      <c r="AN4" s="113">
        <f t="shared" si="1"/>
        <v>829402.808850747</v>
      </c>
      <c r="AO4" s="113">
        <f t="shared" si="1"/>
        <v>1245050.29358159</v>
      </c>
      <c r="AP4" s="113">
        <f t="shared" si="1"/>
        <v>2074453.10243234</v>
      </c>
      <c r="AQ4" s="113">
        <f t="shared" si="1"/>
        <v>839514.48199215</v>
      </c>
      <c r="AR4" s="113">
        <f t="shared" si="1"/>
        <v>1234938.62044019</v>
      </c>
      <c r="AS4" s="113">
        <f t="shared" si="1"/>
        <v>2074453.10243234</v>
      </c>
      <c r="AT4" s="113">
        <f t="shared" si="1"/>
        <v>854074.614405171</v>
      </c>
      <c r="AU4" s="113">
        <f t="shared" si="1"/>
        <v>1220378.48802717</v>
      </c>
      <c r="AV4" s="113">
        <f t="shared" si="1"/>
        <v>2074453.10243234</v>
      </c>
      <c r="AW4" s="113">
        <f t="shared" si="1"/>
        <v>899643.90959706</v>
      </c>
      <c r="AX4" s="113">
        <f t="shared" si="1"/>
        <v>1174809.19283528</v>
      </c>
      <c r="AY4" s="113">
        <f t="shared" si="1"/>
        <v>2074453.10243234</v>
      </c>
      <c r="AZ4" s="113">
        <f t="shared" si="1"/>
        <v>890584.232138439</v>
      </c>
      <c r="BA4" s="113">
        <f t="shared" si="1"/>
        <v>1183868.8702939</v>
      </c>
      <c r="BB4" s="113">
        <f t="shared" si="1"/>
        <v>2074453.10243234</v>
      </c>
      <c r="BC4" s="113">
        <f t="shared" si="1"/>
        <v>928773.550535018</v>
      </c>
      <c r="BD4" s="113">
        <f t="shared" ref="BD4:CI4" si="2">BD5+BD508+BD536+BD597+BD603+BD616</f>
        <v>1145679.55189732</v>
      </c>
      <c r="BE4" s="113">
        <f t="shared" si="2"/>
        <v>2074453.10243234</v>
      </c>
      <c r="BF4" s="113">
        <f t="shared" si="2"/>
        <v>891426.478713782</v>
      </c>
      <c r="BG4" s="113">
        <f t="shared" si="2"/>
        <v>1183026.62371856</v>
      </c>
      <c r="BH4" s="113">
        <f t="shared" si="2"/>
        <v>6144639.50971389</v>
      </c>
      <c r="BI4" s="113">
        <f t="shared" si="2"/>
        <v>6090514.06700634</v>
      </c>
      <c r="BJ4" s="113">
        <f t="shared" si="2"/>
        <v>54125.4427075529</v>
      </c>
      <c r="BK4" s="113">
        <f t="shared" si="2"/>
        <v>2074453.10243234</v>
      </c>
      <c r="BL4" s="113">
        <f t="shared" si="2"/>
        <v>2025565.60579326</v>
      </c>
      <c r="BM4" s="113">
        <f t="shared" si="2"/>
        <v>48887.49663908</v>
      </c>
      <c r="BN4" s="113">
        <f t="shared" si="2"/>
        <v>2074453.10243234</v>
      </c>
      <c r="BO4" s="113">
        <f t="shared" si="2"/>
        <v>2020327.65972479</v>
      </c>
      <c r="BP4" s="113">
        <f t="shared" si="2"/>
        <v>54125.4427075529</v>
      </c>
      <c r="BQ4" s="113">
        <f t="shared" si="2"/>
        <v>2074453.10243234</v>
      </c>
      <c r="BR4" s="113">
        <f t="shared" si="2"/>
        <v>2038444.21696646</v>
      </c>
      <c r="BS4" s="113">
        <f t="shared" si="2"/>
        <v>36008.8854658764</v>
      </c>
      <c r="BT4" s="113">
        <f t="shared" si="2"/>
        <v>2074453.10243234</v>
      </c>
      <c r="BU4" s="113">
        <f t="shared" si="2"/>
        <v>2064342.56081427</v>
      </c>
      <c r="BV4" s="113">
        <f t="shared" si="2"/>
        <v>10110.54161807</v>
      </c>
      <c r="BW4" s="113">
        <f t="shared" si="2"/>
        <v>2074453.10243234</v>
      </c>
      <c r="BX4" s="113">
        <f t="shared" si="2"/>
        <v>2064668.70731808</v>
      </c>
      <c r="BY4" s="113">
        <f t="shared" si="2"/>
        <v>9784.39511426131</v>
      </c>
      <c r="BZ4" s="113">
        <f t="shared" si="2"/>
        <v>2074453.10243234</v>
      </c>
      <c r="CA4" s="113">
        <f t="shared" si="2"/>
        <v>2066480.04930742</v>
      </c>
      <c r="CB4" s="113">
        <f t="shared" si="2"/>
        <v>7973.05312491933</v>
      </c>
      <c r="CC4" s="113">
        <f t="shared" si="2"/>
        <v>2074453.10243234</v>
      </c>
      <c r="CD4" s="113">
        <f t="shared" si="2"/>
        <v>2067007.0745129</v>
      </c>
      <c r="CE4" s="113">
        <f t="shared" si="2"/>
        <v>7446.02791943988</v>
      </c>
      <c r="CF4" s="113">
        <f t="shared" si="2"/>
        <v>2074453.10243234</v>
      </c>
      <c r="CG4" s="113">
        <f t="shared" si="2"/>
        <v>2067247.26896191</v>
      </c>
      <c r="CH4" s="113">
        <f t="shared" si="2"/>
        <v>7205.83347042569</v>
      </c>
      <c r="CI4" s="113">
        <f t="shared" si="2"/>
        <v>2074453.10243234</v>
      </c>
      <c r="CJ4" s="113">
        <f t="shared" ref="CJ4:CQ4" si="3">CJ5+CJ508+CJ536+CJ597+CJ603+CJ616</f>
        <v>2067007.0745129</v>
      </c>
      <c r="CK4" s="113">
        <f t="shared" si="3"/>
        <v>7446.02791943988</v>
      </c>
      <c r="CL4" s="113">
        <f t="shared" si="3"/>
        <v>2074453.10243234</v>
      </c>
      <c r="CM4" s="113">
        <f t="shared" si="3"/>
        <v>2067247.26896191</v>
      </c>
      <c r="CN4" s="113">
        <f t="shared" si="3"/>
        <v>7205.83347042569</v>
      </c>
      <c r="CO4" s="113">
        <f t="shared" si="3"/>
        <v>2074453.10243234</v>
      </c>
      <c r="CP4" s="113">
        <f t="shared" si="3"/>
        <v>2067007.0745129</v>
      </c>
      <c r="CQ4" s="113">
        <f t="shared" si="3"/>
        <v>7446.02791943988</v>
      </c>
    </row>
    <row r="5" s="89" customFormat="1" ht="24" customHeight="1" spans="1:95">
      <c r="A5" s="114"/>
      <c r="B5" s="115" t="s">
        <v>787</v>
      </c>
      <c r="C5" s="116">
        <v>1.1</v>
      </c>
      <c r="D5" s="114" t="s">
        <v>214</v>
      </c>
      <c r="E5" s="115"/>
      <c r="F5" s="115"/>
      <c r="G5" s="114"/>
      <c r="H5" s="117">
        <f t="shared" ref="H5:I8" si="4">X5+AA5+AD5+AG5+AJ5+AM5+AP5+AS5+AV5+AY5+BB5+BE5</f>
        <v>24892714.8530734</v>
      </c>
      <c r="I5" s="117">
        <f t="shared" si="4"/>
        <v>13114385.8362783</v>
      </c>
      <c r="J5" s="117">
        <f t="shared" ref="J5:J68" si="5">Z5+AC5+AF5+AI5+AL5+AO5+AR5+AU5+AX5+BA5+BD5+BG5</f>
        <v>11778329.0167951</v>
      </c>
      <c r="K5" s="117"/>
      <c r="L5" s="152"/>
      <c r="M5" s="152"/>
      <c r="N5" s="117"/>
      <c r="O5" s="152"/>
      <c r="P5" s="117"/>
      <c r="Q5" s="117"/>
      <c r="R5" s="117"/>
      <c r="S5" s="117"/>
      <c r="T5" s="117"/>
      <c r="U5" s="117"/>
      <c r="V5" s="117"/>
      <c r="W5" s="117"/>
      <c r="X5" s="117">
        <f>VLOOKUP($C5,'1 预算编制表单'!$C:$BJ,27,FALSE)</f>
        <v>2900522.20326735</v>
      </c>
      <c r="Y5" s="117">
        <f t="shared" ref="Y5:BG5" si="6">Y6+Y177+Y428</f>
        <v>2827440.95794863</v>
      </c>
      <c r="Z5" s="117">
        <f t="shared" si="6"/>
        <v>73081.2453187266</v>
      </c>
      <c r="AA5" s="117">
        <f>VLOOKUP($C5,'1 预算编制表单'!$C:$BJ,30,FALSE)</f>
        <v>1999290.24089146</v>
      </c>
      <c r="AB5" s="117">
        <f t="shared" si="6"/>
        <v>1617136.77764306</v>
      </c>
      <c r="AC5" s="117">
        <f t="shared" si="6"/>
        <v>382153.463248402</v>
      </c>
      <c r="AD5" s="117">
        <f>VLOOKUP($C5,'1 预算编制表单'!$C:$BJ,33,FALSE)</f>
        <v>1999290.24089146</v>
      </c>
      <c r="AE5" s="117">
        <f t="shared" si="6"/>
        <v>1441558.95007965</v>
      </c>
      <c r="AF5" s="117">
        <f t="shared" si="6"/>
        <v>557731.290811813</v>
      </c>
      <c r="AG5" s="117">
        <f>VLOOKUP($C5,'1 预算编制表单'!$C:$BJ,36,FALSE)</f>
        <v>1999290.24089146</v>
      </c>
      <c r="AH5" s="117">
        <f t="shared" si="6"/>
        <v>826510.044083827</v>
      </c>
      <c r="AI5" s="117">
        <f t="shared" si="6"/>
        <v>1172780.19680763</v>
      </c>
      <c r="AJ5" s="117">
        <f>VLOOKUP($C5,'1 预算编制表单'!$C:$BJ,39,FALSE)</f>
        <v>1999290.24089146</v>
      </c>
      <c r="AK5" s="117">
        <f t="shared" si="6"/>
        <v>764296.561076904</v>
      </c>
      <c r="AL5" s="117">
        <f t="shared" si="6"/>
        <v>1234993.67981456</v>
      </c>
      <c r="AM5" s="117">
        <f>VLOOKUP($C5,'1 预算编制表单'!$C:$BJ,42,FALSE)</f>
        <v>1999290.24089146</v>
      </c>
      <c r="AN5" s="117">
        <f t="shared" si="6"/>
        <v>784402.447309866</v>
      </c>
      <c r="AO5" s="117">
        <f t="shared" si="6"/>
        <v>1214887.79358159</v>
      </c>
      <c r="AP5" s="117">
        <f>VLOOKUP($C5,'1 预算编制表单'!$C:$BJ,45,FALSE)</f>
        <v>1999290.24089146</v>
      </c>
      <c r="AQ5" s="117">
        <f t="shared" si="6"/>
        <v>764351.620451269</v>
      </c>
      <c r="AR5" s="117">
        <f t="shared" si="6"/>
        <v>1234938.62044019</v>
      </c>
      <c r="AS5" s="117">
        <f>VLOOKUP($C5,'1 预算编制表单'!$C:$BJ,48,FALSE)</f>
        <v>1999290.24089146</v>
      </c>
      <c r="AT5" s="117">
        <f t="shared" si="6"/>
        <v>778911.752864291</v>
      </c>
      <c r="AU5" s="117">
        <f t="shared" si="6"/>
        <v>1220378.48802717</v>
      </c>
      <c r="AV5" s="117">
        <f>VLOOKUP($C5,'1 预算编制表单'!$C:$BJ,51,FALSE)</f>
        <v>1999290.24089146</v>
      </c>
      <c r="AW5" s="117">
        <f t="shared" si="6"/>
        <v>824481.04805618</v>
      </c>
      <c r="AX5" s="117">
        <f t="shared" si="6"/>
        <v>1174809.19283528</v>
      </c>
      <c r="AY5" s="117">
        <f>VLOOKUP($C5,'1 预算编制表单'!$C:$BJ,54,FALSE)</f>
        <v>1999290.24089146</v>
      </c>
      <c r="AZ5" s="117">
        <f t="shared" si="6"/>
        <v>815421.370597559</v>
      </c>
      <c r="BA5" s="117">
        <f t="shared" si="6"/>
        <v>1183868.8702939</v>
      </c>
      <c r="BB5" s="117">
        <f>VLOOKUP($C5,'1 预算编制表单'!$C:$BJ,57,FALSE)</f>
        <v>1999290.24089146</v>
      </c>
      <c r="BC5" s="117">
        <f t="shared" si="6"/>
        <v>853610.688994138</v>
      </c>
      <c r="BD5" s="117">
        <f t="shared" si="6"/>
        <v>1145679.55189732</v>
      </c>
      <c r="BE5" s="117">
        <f>VLOOKUP($C5,'1 预算编制表单'!$C:$BJ,60,FALSE)</f>
        <v>1999290.24089146</v>
      </c>
      <c r="BF5" s="117">
        <f t="shared" si="6"/>
        <v>816263.617172901</v>
      </c>
      <c r="BG5" s="117">
        <f t="shared" si="6"/>
        <v>1183026.62371856</v>
      </c>
      <c r="BH5" s="117">
        <f>VLOOKUP($C5,'1 预算编制表单'!$C:$BJ,27,FALSE)</f>
        <v>2900522.20326735</v>
      </c>
      <c r="BI5" s="117">
        <f t="shared" ref="BI5:BM5" si="7">BI6+BI177+BI428</f>
        <v>2846396.7605598</v>
      </c>
      <c r="BJ5" s="117">
        <f t="shared" si="7"/>
        <v>54125.4427075529</v>
      </c>
      <c r="BK5" s="117">
        <f>VLOOKUP($C5,'1 预算编制表单'!$C:$BJ,30,FALSE)</f>
        <v>1999290.24089146</v>
      </c>
      <c r="BL5" s="117">
        <f t="shared" si="7"/>
        <v>1950402.74425238</v>
      </c>
      <c r="BM5" s="117">
        <f t="shared" si="7"/>
        <v>48887.49663908</v>
      </c>
      <c r="BN5" s="117">
        <f>VLOOKUP($C5,'1 预算编制表单'!$C:$BJ,33,FALSE)</f>
        <v>1999290.24089146</v>
      </c>
      <c r="BO5" s="117">
        <f t="shared" ref="BO5:BS5" si="8">BO6+BO177+BO428</f>
        <v>1945164.79818391</v>
      </c>
      <c r="BP5" s="117">
        <f t="shared" si="8"/>
        <v>54125.4427075529</v>
      </c>
      <c r="BQ5" s="117">
        <f>VLOOKUP($C5,'1 预算编制表单'!$C:$BJ,36,FALSE)</f>
        <v>1999290.24089146</v>
      </c>
      <c r="BR5" s="117">
        <f t="shared" si="8"/>
        <v>1963281.35542558</v>
      </c>
      <c r="BS5" s="117">
        <f t="shared" si="8"/>
        <v>36008.8854658764</v>
      </c>
      <c r="BT5" s="117">
        <f>VLOOKUP($C5,'1 预算编制表单'!$C:$BJ,39,FALSE)</f>
        <v>1999290.24089146</v>
      </c>
      <c r="BU5" s="117">
        <f t="shared" ref="BU5:BY5" si="9">BU6+BU177+BU428</f>
        <v>1989179.69927339</v>
      </c>
      <c r="BV5" s="117">
        <f t="shared" si="9"/>
        <v>10110.54161807</v>
      </c>
      <c r="BW5" s="117">
        <f>VLOOKUP($C5,'1 预算编制表单'!$C:$BJ,42,FALSE)</f>
        <v>1999290.24089146</v>
      </c>
      <c r="BX5" s="117">
        <f t="shared" si="9"/>
        <v>1989505.8457772</v>
      </c>
      <c r="BY5" s="117">
        <f t="shared" si="9"/>
        <v>9784.39511426131</v>
      </c>
      <c r="BZ5" s="117">
        <f>VLOOKUP($C5,'1 预算编制表单'!$C:$BJ,45,FALSE)</f>
        <v>1999290.24089146</v>
      </c>
      <c r="CA5" s="117">
        <f t="shared" ref="CA5:CE5" si="10">CA6+CA177+CA428</f>
        <v>1991317.18776654</v>
      </c>
      <c r="CB5" s="117">
        <f t="shared" si="10"/>
        <v>7973.05312491933</v>
      </c>
      <c r="CC5" s="117">
        <f>VLOOKUP($C5,'1 预算编制表单'!$C:$BJ,48,FALSE)</f>
        <v>1999290.24089146</v>
      </c>
      <c r="CD5" s="117">
        <f t="shared" si="10"/>
        <v>1991844.21297202</v>
      </c>
      <c r="CE5" s="117">
        <f t="shared" si="10"/>
        <v>7446.02791943988</v>
      </c>
      <c r="CF5" s="117">
        <f>VLOOKUP($C5,'1 预算编制表单'!$C:$BJ,51,FALSE)</f>
        <v>1999290.24089146</v>
      </c>
      <c r="CG5" s="117">
        <f t="shared" ref="CG5:CK5" si="11">CG6+CG177+CG428</f>
        <v>1992084.40742103</v>
      </c>
      <c r="CH5" s="117">
        <f t="shared" si="11"/>
        <v>7205.83347042569</v>
      </c>
      <c r="CI5" s="117">
        <f>VLOOKUP($C5,'1 预算编制表单'!$C:$BJ,54,FALSE)</f>
        <v>1999290.24089146</v>
      </c>
      <c r="CJ5" s="117">
        <f t="shared" si="11"/>
        <v>1991844.21297202</v>
      </c>
      <c r="CK5" s="117">
        <f t="shared" si="11"/>
        <v>7446.02791943988</v>
      </c>
      <c r="CL5" s="117">
        <f>VLOOKUP($C5,'1 预算编制表单'!$C:$BJ,57,FALSE)</f>
        <v>1999290.24089146</v>
      </c>
      <c r="CM5" s="117">
        <f t="shared" ref="CM5:CQ5" si="12">CM6+CM177+CM428</f>
        <v>1992084.40742103</v>
      </c>
      <c r="CN5" s="117">
        <f t="shared" si="12"/>
        <v>7205.83347042569</v>
      </c>
      <c r="CO5" s="117">
        <f>VLOOKUP($C5,'1 预算编制表单'!$C:$BJ,60,FALSE)</f>
        <v>1999290.24089146</v>
      </c>
      <c r="CP5" s="117">
        <f t="shared" si="12"/>
        <v>1991844.21297202</v>
      </c>
      <c r="CQ5" s="117">
        <f t="shared" si="12"/>
        <v>7446.02791943988</v>
      </c>
    </row>
    <row r="6" s="89" customFormat="1" ht="24" customHeight="1" outlineLevel="1" spans="1:95">
      <c r="A6" s="14">
        <f>IF(C6&lt;&gt;"",ROW(),"")</f>
        <v>6</v>
      </c>
      <c r="B6" s="118" t="s">
        <v>787</v>
      </c>
      <c r="C6" s="119" t="s">
        <v>218</v>
      </c>
      <c r="D6" s="14" t="s">
        <v>219</v>
      </c>
      <c r="E6" s="118"/>
      <c r="F6" s="118"/>
      <c r="G6" s="118"/>
      <c r="H6" s="120">
        <f t="shared" si="4"/>
        <v>24424880.1901314</v>
      </c>
      <c r="I6" s="120">
        <f t="shared" si="4"/>
        <v>19546392.4136876</v>
      </c>
      <c r="J6" s="120">
        <f t="shared" si="5"/>
        <v>4878487.77644387</v>
      </c>
      <c r="K6" s="120"/>
      <c r="L6" s="153"/>
      <c r="M6" s="153"/>
      <c r="N6" s="120"/>
      <c r="O6" s="153"/>
      <c r="P6" s="120"/>
      <c r="Q6" s="120"/>
      <c r="R6" s="120"/>
      <c r="S6" s="120"/>
      <c r="T6" s="120"/>
      <c r="U6" s="120"/>
      <c r="V6" s="120"/>
      <c r="W6" s="120"/>
      <c r="X6" s="120">
        <f>VLOOKUP($C6,'1 预算编制表单'!$C:$BJ,27,FALSE)</f>
        <v>2714501.57334429</v>
      </c>
      <c r="Y6" s="120">
        <f>X6-Z6</f>
        <v>2708949.33453832</v>
      </c>
      <c r="Z6" s="120">
        <f>Z7+Z26+Z45+Z70+Z95+Z114+Z139+Z158</f>
        <v>5552.23880597015</v>
      </c>
      <c r="AA6" s="120">
        <f>VLOOKUP($C6,'1 预算编制表单'!$C:$BJ,30,FALSE)</f>
        <v>1973670.78334429</v>
      </c>
      <c r="AB6" s="120">
        <f>AA6-AC6</f>
        <v>1968655.85797116</v>
      </c>
      <c r="AC6" s="120">
        <f>AC7+AC26+AC45+AC70+AC95+AC114+AC139+AC158</f>
        <v>5014.92537313433</v>
      </c>
      <c r="AD6" s="120">
        <f>VLOOKUP($C6,'1 预算编制表单'!$C:$BJ,33,FALSE)</f>
        <v>1973670.78334429</v>
      </c>
      <c r="AE6" s="120">
        <f>AD6-AF6</f>
        <v>1968118.54453832</v>
      </c>
      <c r="AF6" s="120">
        <f>AF7+AF26+AF45+AF70+AF95+AF114+AF139+AF158</f>
        <v>5552.23880597015</v>
      </c>
      <c r="AG6" s="120">
        <f>VLOOKUP($C6,'1 预算编制表单'!$C:$BJ,36,FALSE)</f>
        <v>1973670.78334429</v>
      </c>
      <c r="AH6" s="120">
        <f>AG6-AI6</f>
        <v>1438443.62292898</v>
      </c>
      <c r="AI6" s="120">
        <f>AI7+AI26+AI45+AI70+AI95+AI114+AI139+AI158</f>
        <v>535227.160415314</v>
      </c>
      <c r="AJ6" s="120">
        <f>VLOOKUP($C6,'1 预算编制表单'!$C:$BJ,39,FALSE)</f>
        <v>1973670.78334429</v>
      </c>
      <c r="AK6" s="120">
        <f>AJ6-AL6</f>
        <v>1426154.95638777</v>
      </c>
      <c r="AL6" s="120">
        <f>AL7+AL26+AL45+AL70+AL95+AL114+AL139+AL158</f>
        <v>547515.826956522</v>
      </c>
      <c r="AM6" s="120">
        <f>VLOOKUP($C6,'1 预算编制表单'!$C:$BJ,42,FALSE)</f>
        <v>1973670.78334429</v>
      </c>
      <c r="AN6" s="120">
        <f>AM6-AO6</f>
        <v>1443816.75725733</v>
      </c>
      <c r="AO6" s="120">
        <f>AO7+AO26+AO45+AO70+AO95+AO114+AO139+AO158</f>
        <v>529854.026086956</v>
      </c>
      <c r="AP6" s="120">
        <f>VLOOKUP($C6,'1 预算编制表单'!$C:$BJ,45,FALSE)</f>
        <v>1973670.78334429</v>
      </c>
      <c r="AQ6" s="120">
        <f>AP6-AR6</f>
        <v>1426154.95638777</v>
      </c>
      <c r="AR6" s="120">
        <f>AR7+AR26+AR45+AR70+AR95+AR114+AR139+AR158</f>
        <v>547515.826956522</v>
      </c>
      <c r="AS6" s="120">
        <f>VLOOKUP($C6,'1 预算编制表单'!$C:$BJ,48,FALSE)</f>
        <v>1973670.78334429</v>
      </c>
      <c r="AT6" s="120">
        <f>AS6-AU6</f>
        <v>1426154.95638777</v>
      </c>
      <c r="AU6" s="120">
        <f>AU7+AU26+AU45+AU70+AU95+AU114+AU139+AU158</f>
        <v>547515.826956522</v>
      </c>
      <c r="AV6" s="120">
        <f>VLOOKUP($C6,'1 预算编制表单'!$C:$BJ,51,FALSE)</f>
        <v>1973670.78334429</v>
      </c>
      <c r="AW6" s="120">
        <f>AV6-AX6</f>
        <v>1443816.75725733</v>
      </c>
      <c r="AX6" s="120">
        <f>AX7+AX26+AX45+AX70+AX95+AX114+AX139+AX158</f>
        <v>529854.026086956</v>
      </c>
      <c r="AY6" s="120">
        <f>VLOOKUP($C6,'1 预算编制表单'!$C:$BJ,54,FALSE)</f>
        <v>1973670.78334429</v>
      </c>
      <c r="AZ6" s="120">
        <f>AY6-BA6</f>
        <v>1426154.95638777</v>
      </c>
      <c r="BA6" s="120">
        <f>BA7+BA26+BA45+BA70+BA95+BA114+BA139+BA158</f>
        <v>547515.826956522</v>
      </c>
      <c r="BB6" s="120">
        <f>VLOOKUP($C6,'1 预算编制表单'!$C:$BJ,57,FALSE)</f>
        <v>1973670.78334429</v>
      </c>
      <c r="BC6" s="120">
        <f>BB6-BD6</f>
        <v>1443816.75725733</v>
      </c>
      <c r="BD6" s="120">
        <f>BD7+BD26+BD45+BD70+BD95+BD114+BD139+BD158</f>
        <v>529854.026086956</v>
      </c>
      <c r="BE6" s="120">
        <f>VLOOKUP($C6,'1 预算编制表单'!$C:$BJ,60,FALSE)</f>
        <v>1973670.78334429</v>
      </c>
      <c r="BF6" s="120">
        <f>BE6-BG6</f>
        <v>1426154.95638777</v>
      </c>
      <c r="BG6" s="120">
        <f>BG7+BG26+BG45+BG70+BG95+BG114+BG139+BG158</f>
        <v>547515.826956522</v>
      </c>
      <c r="BH6" s="120">
        <f>VLOOKUP($C6,'1 预算编制表单'!$C:$BJ,27,FALSE)</f>
        <v>2714501.57334429</v>
      </c>
      <c r="BI6" s="120">
        <f t="shared" ref="BI6:BI8" si="13">BH6-BJ6</f>
        <v>2714501.57334429</v>
      </c>
      <c r="BJ6" s="120">
        <f>BJ7+BJ26+BJ45+BJ70+BJ95+BJ114+BJ139+BJ158</f>
        <v>0</v>
      </c>
      <c r="BK6" s="120">
        <f>VLOOKUP($C6,'1 预算编制表单'!$C:$BJ,30,FALSE)</f>
        <v>1973670.78334429</v>
      </c>
      <c r="BL6" s="120">
        <f t="shared" ref="BL6:BL8" si="14">BK6-BM6</f>
        <v>1973670.78334429</v>
      </c>
      <c r="BM6" s="120">
        <f>BM7+BM26+BM45+BM70+BM95+BM114+BM139+BM158</f>
        <v>0</v>
      </c>
      <c r="BN6" s="120">
        <f>VLOOKUP($C6,'1 预算编制表单'!$C:$BJ,33,FALSE)</f>
        <v>1973670.78334429</v>
      </c>
      <c r="BO6" s="120">
        <f t="shared" ref="BO6:BO8" si="15">BN6-BP6</f>
        <v>1973670.78334429</v>
      </c>
      <c r="BP6" s="120">
        <f>BP7+BP26+BP45+BP70+BP95+BP114+BP139+BP158</f>
        <v>0</v>
      </c>
      <c r="BQ6" s="120">
        <f>VLOOKUP($C6,'1 预算编制表单'!$C:$BJ,36,FALSE)</f>
        <v>1973670.78334429</v>
      </c>
      <c r="BR6" s="120">
        <f t="shared" ref="BR6:BR8" si="16">BQ6-BS6</f>
        <v>1973670.78334429</v>
      </c>
      <c r="BS6" s="120">
        <f>BS7+BS26+BS45+BS70+BS95+BS114+BS139+BS158</f>
        <v>0</v>
      </c>
      <c r="BT6" s="120">
        <f>VLOOKUP($C6,'1 预算编制表单'!$C:$BJ,39,FALSE)</f>
        <v>1973670.78334429</v>
      </c>
      <c r="BU6" s="120">
        <f t="shared" ref="BU6:BU8" si="17">BT6-BV6</f>
        <v>1973670.78334429</v>
      </c>
      <c r="BV6" s="120">
        <f>BV7+BV26+BV45+BV70+BV95+BV114+BV139+BV158</f>
        <v>0</v>
      </c>
      <c r="BW6" s="120">
        <f>VLOOKUP($C6,'1 预算编制表单'!$C:$BJ,42,FALSE)</f>
        <v>1973670.78334429</v>
      </c>
      <c r="BX6" s="120">
        <f t="shared" ref="BX6:BX8" si="18">BW6-BY6</f>
        <v>1973670.78334429</v>
      </c>
      <c r="BY6" s="120">
        <f>BY7+BY26+BY45+BY70+BY95+BY114+BY139+BY158</f>
        <v>0</v>
      </c>
      <c r="BZ6" s="120">
        <f>VLOOKUP($C6,'1 预算编制表单'!$C:$BJ,45,FALSE)</f>
        <v>1973670.78334429</v>
      </c>
      <c r="CA6" s="120">
        <f t="shared" ref="CA6:CA8" si="19">BZ6-CB6</f>
        <v>1973670.78334429</v>
      </c>
      <c r="CB6" s="120">
        <f>CB7+CB26+CB45+CB70+CB95+CB114+CB139+CB158</f>
        <v>0</v>
      </c>
      <c r="CC6" s="120">
        <f>VLOOKUP($C6,'1 预算编制表单'!$C:$BJ,48,FALSE)</f>
        <v>1973670.78334429</v>
      </c>
      <c r="CD6" s="120">
        <f t="shared" ref="CD6:CD8" si="20">CC6-CE6</f>
        <v>1973670.78334429</v>
      </c>
      <c r="CE6" s="120">
        <f>CE7+CE26+CE45+CE70+CE95+CE114+CE139+CE158</f>
        <v>0</v>
      </c>
      <c r="CF6" s="120">
        <f>VLOOKUP($C6,'1 预算编制表单'!$C:$BJ,51,FALSE)</f>
        <v>1973670.78334429</v>
      </c>
      <c r="CG6" s="120">
        <f t="shared" ref="CG6:CG8" si="21">CF6-CH6</f>
        <v>1973670.78334429</v>
      </c>
      <c r="CH6" s="120">
        <f>CH7+CH26+CH45+CH70+CH95+CH114+CH139+CH158</f>
        <v>0</v>
      </c>
      <c r="CI6" s="120">
        <f>VLOOKUP($C6,'1 预算编制表单'!$C:$BJ,54,FALSE)</f>
        <v>1973670.78334429</v>
      </c>
      <c r="CJ6" s="120">
        <f t="shared" ref="CJ6:CJ8" si="22">CI6-CK6</f>
        <v>1973670.78334429</v>
      </c>
      <c r="CK6" s="120">
        <f>CK7+CK26+CK45+CK70+CK95+CK114+CK139+CK158</f>
        <v>0</v>
      </c>
      <c r="CL6" s="120">
        <f>VLOOKUP($C6,'1 预算编制表单'!$C:$BJ,57,FALSE)</f>
        <v>1973670.78334429</v>
      </c>
      <c r="CM6" s="120">
        <f t="shared" ref="CM6:CM8" si="23">CL6-CN6</f>
        <v>1973670.78334429</v>
      </c>
      <c r="CN6" s="120">
        <f>CN7+CN26+CN45+CN70+CN95+CN114+CN139+CN158</f>
        <v>0</v>
      </c>
      <c r="CO6" s="120">
        <f>VLOOKUP($C6,'1 预算编制表单'!$C:$BJ,60,FALSE)</f>
        <v>1973670.78334429</v>
      </c>
      <c r="CP6" s="120">
        <f t="shared" ref="CP6:CP8" si="24">CO6-CQ6</f>
        <v>1973670.78334429</v>
      </c>
      <c r="CQ6" s="120">
        <f>CQ7+CQ26+CQ45+CQ70+CQ95+CQ114+CQ139+CQ158</f>
        <v>0</v>
      </c>
    </row>
    <row r="7" s="89" customFormat="1" ht="24" customHeight="1" outlineLevel="2" spans="1:95">
      <c r="A7" s="43"/>
      <c r="B7" s="121" t="s">
        <v>787</v>
      </c>
      <c r="C7" s="122" t="s">
        <v>790</v>
      </c>
      <c r="D7" s="43" t="s">
        <v>791</v>
      </c>
      <c r="E7" s="121"/>
      <c r="F7" s="121"/>
      <c r="G7" s="121"/>
      <c r="H7" s="123">
        <f t="shared" si="4"/>
        <v>14260511.5857918</v>
      </c>
      <c r="I7" s="123">
        <f t="shared" si="4"/>
        <v>14260511.5857918</v>
      </c>
      <c r="J7" s="123">
        <f t="shared" si="5"/>
        <v>0</v>
      </c>
      <c r="K7" s="123"/>
      <c r="L7" s="154"/>
      <c r="M7" s="154"/>
      <c r="N7" s="123"/>
      <c r="O7" s="154"/>
      <c r="P7" s="123"/>
      <c r="Q7" s="123"/>
      <c r="R7" s="123"/>
      <c r="S7" s="123"/>
      <c r="T7" s="123"/>
      <c r="U7" s="123"/>
      <c r="V7" s="123"/>
      <c r="W7" s="123"/>
      <c r="X7" s="123">
        <f>VLOOKUP($C7,'1 预算编制表单'!$C:$BJ,27,FALSE)</f>
        <v>1188375.96548265</v>
      </c>
      <c r="Y7" s="123">
        <f>X7-Z7</f>
        <v>1188375.96548265</v>
      </c>
      <c r="Z7" s="123">
        <f>Z8+Z14+Z20</f>
        <v>0</v>
      </c>
      <c r="AA7" s="123">
        <f>VLOOKUP($C7,'1 预算编制表单'!$C:$BJ,30,FALSE)</f>
        <v>1188375.96548265</v>
      </c>
      <c r="AB7" s="123">
        <f>AA7-AC7</f>
        <v>1188375.96548265</v>
      </c>
      <c r="AC7" s="123">
        <f>AC8+AC14+AC20</f>
        <v>0</v>
      </c>
      <c r="AD7" s="123">
        <f>VLOOKUP($C7,'1 预算编制表单'!$C:$BJ,33,FALSE)</f>
        <v>1188375.96548265</v>
      </c>
      <c r="AE7" s="123">
        <f>AD7-AF7</f>
        <v>1188375.96548265</v>
      </c>
      <c r="AF7" s="123">
        <f>AF8+AF14+AF20</f>
        <v>0</v>
      </c>
      <c r="AG7" s="123">
        <f>VLOOKUP($C7,'1 预算编制表单'!$C:$BJ,36,FALSE)</f>
        <v>1188375.96548265</v>
      </c>
      <c r="AH7" s="123">
        <f>AG7-AI7</f>
        <v>1188375.96548265</v>
      </c>
      <c r="AI7" s="123">
        <f>AI8+AI14+AI20</f>
        <v>0</v>
      </c>
      <c r="AJ7" s="123">
        <f>VLOOKUP($C7,'1 预算编制表单'!$C:$BJ,39,FALSE)</f>
        <v>1188375.96548265</v>
      </c>
      <c r="AK7" s="123">
        <f>AJ7-AL7</f>
        <v>1188375.96548265</v>
      </c>
      <c r="AL7" s="123">
        <f>AL8+AL14+AL20</f>
        <v>0</v>
      </c>
      <c r="AM7" s="123">
        <f>VLOOKUP($C7,'1 预算编制表单'!$C:$BJ,42,FALSE)</f>
        <v>1188375.96548265</v>
      </c>
      <c r="AN7" s="123">
        <f>AM7-AO7</f>
        <v>1188375.96548265</v>
      </c>
      <c r="AO7" s="123">
        <f>AO8+AO14+AO20</f>
        <v>0</v>
      </c>
      <c r="AP7" s="123">
        <f>VLOOKUP($C7,'1 预算编制表单'!$C:$BJ,45,FALSE)</f>
        <v>1188375.96548265</v>
      </c>
      <c r="AQ7" s="123">
        <f>AP7-AR7</f>
        <v>1188375.96548265</v>
      </c>
      <c r="AR7" s="123">
        <f>AR8+AR14+AR20</f>
        <v>0</v>
      </c>
      <c r="AS7" s="123">
        <f>VLOOKUP($C7,'1 预算编制表单'!$C:$BJ,48,FALSE)</f>
        <v>1188375.96548265</v>
      </c>
      <c r="AT7" s="123">
        <f>AS7-AU7</f>
        <v>1188375.96548265</v>
      </c>
      <c r="AU7" s="123">
        <f>AU8+AU14+AU20</f>
        <v>0</v>
      </c>
      <c r="AV7" s="123">
        <f>VLOOKUP($C7,'1 预算编制表单'!$C:$BJ,51,FALSE)</f>
        <v>1188375.96548265</v>
      </c>
      <c r="AW7" s="123">
        <f>AV7-AX7</f>
        <v>1188375.96548265</v>
      </c>
      <c r="AX7" s="123">
        <f>AX8+AX14+AX20</f>
        <v>0</v>
      </c>
      <c r="AY7" s="123">
        <f>VLOOKUP($C7,'1 预算编制表单'!$C:$BJ,54,FALSE)</f>
        <v>1188375.96548265</v>
      </c>
      <c r="AZ7" s="123">
        <f>AY7-BA7</f>
        <v>1188375.96548265</v>
      </c>
      <c r="BA7" s="123">
        <f>BA8+BA14+BA20</f>
        <v>0</v>
      </c>
      <c r="BB7" s="123">
        <f>VLOOKUP($C7,'1 预算编制表单'!$C:$BJ,57,FALSE)</f>
        <v>1188375.96548265</v>
      </c>
      <c r="BC7" s="123">
        <f>BB7-BD7</f>
        <v>1188375.96548265</v>
      </c>
      <c r="BD7" s="123">
        <f>BD8+BD14+BD20</f>
        <v>0</v>
      </c>
      <c r="BE7" s="123">
        <f>VLOOKUP($C7,'1 预算编制表单'!$C:$BJ,60,FALSE)</f>
        <v>1188375.96548265</v>
      </c>
      <c r="BF7" s="123">
        <f>BE7-BG7</f>
        <v>1188375.96548265</v>
      </c>
      <c r="BG7" s="123">
        <f>BG8+BG14+BG20</f>
        <v>0</v>
      </c>
      <c r="BH7" s="123">
        <f>VLOOKUP($C7,'1 预算编制表单'!$C:$BJ,27,FALSE)</f>
        <v>1188375.96548265</v>
      </c>
      <c r="BI7" s="123">
        <f t="shared" si="13"/>
        <v>1188375.96548265</v>
      </c>
      <c r="BJ7" s="123">
        <f>BJ8+BJ14+BJ20</f>
        <v>0</v>
      </c>
      <c r="BK7" s="123">
        <f>VLOOKUP($C7,'1 预算编制表单'!$C:$BJ,30,FALSE)</f>
        <v>1188375.96548265</v>
      </c>
      <c r="BL7" s="123">
        <f t="shared" si="14"/>
        <v>1188375.96548265</v>
      </c>
      <c r="BM7" s="123">
        <f>BM8+BM14+BM20</f>
        <v>0</v>
      </c>
      <c r="BN7" s="123">
        <f>VLOOKUP($C7,'1 预算编制表单'!$C:$BJ,33,FALSE)</f>
        <v>1188375.96548265</v>
      </c>
      <c r="BO7" s="123">
        <f t="shared" si="15"/>
        <v>1188375.96548265</v>
      </c>
      <c r="BP7" s="123">
        <f>BP8+BP14+BP20</f>
        <v>0</v>
      </c>
      <c r="BQ7" s="123">
        <f>VLOOKUP($C7,'1 预算编制表单'!$C:$BJ,36,FALSE)</f>
        <v>1188375.96548265</v>
      </c>
      <c r="BR7" s="123">
        <f t="shared" si="16"/>
        <v>1188375.96548265</v>
      </c>
      <c r="BS7" s="123">
        <f>BS8+BS14+BS20</f>
        <v>0</v>
      </c>
      <c r="BT7" s="123">
        <f>VLOOKUP($C7,'1 预算编制表单'!$C:$BJ,39,FALSE)</f>
        <v>1188375.96548265</v>
      </c>
      <c r="BU7" s="123">
        <f t="shared" si="17"/>
        <v>1188375.96548265</v>
      </c>
      <c r="BV7" s="123">
        <f>BV8+BV14+BV20</f>
        <v>0</v>
      </c>
      <c r="BW7" s="123">
        <f>VLOOKUP($C7,'1 预算编制表单'!$C:$BJ,42,FALSE)</f>
        <v>1188375.96548265</v>
      </c>
      <c r="BX7" s="123">
        <f t="shared" si="18"/>
        <v>1188375.96548265</v>
      </c>
      <c r="BY7" s="123">
        <f>BY8+BY14+BY20</f>
        <v>0</v>
      </c>
      <c r="BZ7" s="123">
        <f>VLOOKUP($C7,'1 预算编制表单'!$C:$BJ,45,FALSE)</f>
        <v>1188375.96548265</v>
      </c>
      <c r="CA7" s="123">
        <f t="shared" si="19"/>
        <v>1188375.96548265</v>
      </c>
      <c r="CB7" s="123">
        <f>CB8+CB14+CB20</f>
        <v>0</v>
      </c>
      <c r="CC7" s="123">
        <f>VLOOKUP($C7,'1 预算编制表单'!$C:$BJ,48,FALSE)</f>
        <v>1188375.96548265</v>
      </c>
      <c r="CD7" s="123">
        <f t="shared" si="20"/>
        <v>1188375.96548265</v>
      </c>
      <c r="CE7" s="123">
        <f>CE8+CE14+CE20</f>
        <v>0</v>
      </c>
      <c r="CF7" s="123">
        <f>VLOOKUP($C7,'1 预算编制表单'!$C:$BJ,51,FALSE)</f>
        <v>1188375.96548265</v>
      </c>
      <c r="CG7" s="123">
        <f t="shared" si="21"/>
        <v>1188375.96548265</v>
      </c>
      <c r="CH7" s="123">
        <f>CH8+CH14+CH20</f>
        <v>0</v>
      </c>
      <c r="CI7" s="123">
        <f>VLOOKUP($C7,'1 预算编制表单'!$C:$BJ,54,FALSE)</f>
        <v>1188375.96548265</v>
      </c>
      <c r="CJ7" s="123">
        <f t="shared" si="22"/>
        <v>1188375.96548265</v>
      </c>
      <c r="CK7" s="123">
        <f>CK8+CK14+CK20</f>
        <v>0</v>
      </c>
      <c r="CL7" s="123">
        <f>VLOOKUP($C7,'1 预算编制表单'!$C:$BJ,57,FALSE)</f>
        <v>1188375.96548265</v>
      </c>
      <c r="CM7" s="123">
        <f t="shared" si="23"/>
        <v>1188375.96548265</v>
      </c>
      <c r="CN7" s="123">
        <f>CN8+CN14+CN20</f>
        <v>0</v>
      </c>
      <c r="CO7" s="123">
        <f>VLOOKUP($C7,'1 预算编制表单'!$C:$BJ,60,FALSE)</f>
        <v>1188375.96548265</v>
      </c>
      <c r="CP7" s="123">
        <f t="shared" si="24"/>
        <v>1188375.96548265</v>
      </c>
      <c r="CQ7" s="123">
        <f>CQ8+CQ14+CQ20</f>
        <v>0</v>
      </c>
    </row>
    <row r="8" s="89" customFormat="1" ht="24" customHeight="1" outlineLevel="3" spans="1:95">
      <c r="A8" s="124"/>
      <c r="B8" s="125" t="s">
        <v>792</v>
      </c>
      <c r="C8" s="126" t="s">
        <v>108</v>
      </c>
      <c r="D8" s="124" t="s">
        <v>109</v>
      </c>
      <c r="E8" s="125"/>
      <c r="F8" s="125"/>
      <c r="G8" s="125"/>
      <c r="H8" s="127">
        <f t="shared" si="4"/>
        <v>14260511.5857918</v>
      </c>
      <c r="I8" s="127">
        <f t="shared" si="4"/>
        <v>14260511.5857918</v>
      </c>
      <c r="J8" s="127">
        <f t="shared" si="5"/>
        <v>0</v>
      </c>
      <c r="K8" s="127"/>
      <c r="L8" s="155"/>
      <c r="M8" s="155"/>
      <c r="N8" s="127"/>
      <c r="O8" s="155"/>
      <c r="P8" s="127"/>
      <c r="Q8" s="127"/>
      <c r="R8" s="127"/>
      <c r="S8" s="127"/>
      <c r="T8" s="127"/>
      <c r="U8" s="127"/>
      <c r="V8" s="127"/>
      <c r="W8" s="127"/>
      <c r="X8" s="127">
        <f>VLOOKUP($C8,'1 预算编制表单'!$C:$BJ,27,FALSE)</f>
        <v>1188375.96548265</v>
      </c>
      <c r="Y8" s="127">
        <f>X8-Z8</f>
        <v>1188375.96548265</v>
      </c>
      <c r="Z8" s="127">
        <f>SUM(Z9:Z13)</f>
        <v>0</v>
      </c>
      <c r="AA8" s="127">
        <f>VLOOKUP($C8,'1 预算编制表单'!$C:$BJ,30,FALSE)</f>
        <v>1188375.96548265</v>
      </c>
      <c r="AB8" s="127">
        <f>AA8-AC8</f>
        <v>1188375.96548265</v>
      </c>
      <c r="AC8" s="127">
        <f>SUM(AC9:AC13)</f>
        <v>0</v>
      </c>
      <c r="AD8" s="127">
        <f>VLOOKUP($C8,'1 预算编制表单'!$C:$BJ,33,FALSE)</f>
        <v>1188375.96548265</v>
      </c>
      <c r="AE8" s="127">
        <f>AD8-AF8</f>
        <v>1188375.96548265</v>
      </c>
      <c r="AF8" s="127">
        <f>SUM(AF9:AF13)</f>
        <v>0</v>
      </c>
      <c r="AG8" s="127">
        <f>VLOOKUP($C8,'1 预算编制表单'!$C:$BJ,36,FALSE)</f>
        <v>1188375.96548265</v>
      </c>
      <c r="AH8" s="127">
        <f>AG8-AI8</f>
        <v>1188375.96548265</v>
      </c>
      <c r="AI8" s="127">
        <f>SUM(AI9:AI13)</f>
        <v>0</v>
      </c>
      <c r="AJ8" s="127">
        <f>VLOOKUP($C8,'1 预算编制表单'!$C:$BJ,39,FALSE)</f>
        <v>1188375.96548265</v>
      </c>
      <c r="AK8" s="127">
        <f>AJ8-AL8</f>
        <v>1188375.96548265</v>
      </c>
      <c r="AL8" s="127">
        <f>SUM(AL9:AL13)</f>
        <v>0</v>
      </c>
      <c r="AM8" s="127">
        <f>VLOOKUP($C8,'1 预算编制表单'!$C:$BJ,42,FALSE)</f>
        <v>1188375.96548265</v>
      </c>
      <c r="AN8" s="127">
        <f>AM8-AO8</f>
        <v>1188375.96548265</v>
      </c>
      <c r="AO8" s="127">
        <f>SUM(AO9:AO13)</f>
        <v>0</v>
      </c>
      <c r="AP8" s="127">
        <f>VLOOKUP($C8,'1 预算编制表单'!$C:$BJ,45,FALSE)</f>
        <v>1188375.96548265</v>
      </c>
      <c r="AQ8" s="127">
        <f>AP8-AR8</f>
        <v>1188375.96548265</v>
      </c>
      <c r="AR8" s="127">
        <f>SUM(AR9:AR13)</f>
        <v>0</v>
      </c>
      <c r="AS8" s="127">
        <f>VLOOKUP($C8,'1 预算编制表单'!$C:$BJ,48,FALSE)</f>
        <v>1188375.96548265</v>
      </c>
      <c r="AT8" s="127">
        <f>AS8-AU8</f>
        <v>1188375.96548265</v>
      </c>
      <c r="AU8" s="127">
        <f>SUM(AU9:AU13)</f>
        <v>0</v>
      </c>
      <c r="AV8" s="127">
        <f>VLOOKUP($C8,'1 预算编制表单'!$C:$BJ,51,FALSE)</f>
        <v>1188375.96548265</v>
      </c>
      <c r="AW8" s="127">
        <f>AV8-AX8</f>
        <v>1188375.96548265</v>
      </c>
      <c r="AX8" s="127">
        <f>SUM(AX9:AX13)</f>
        <v>0</v>
      </c>
      <c r="AY8" s="127">
        <f>VLOOKUP($C8,'1 预算编制表单'!$C:$BJ,54,FALSE)</f>
        <v>1188375.96548265</v>
      </c>
      <c r="AZ8" s="127">
        <f>AY8-BA8</f>
        <v>1188375.96548265</v>
      </c>
      <c r="BA8" s="127">
        <f>SUM(BA9:BA13)</f>
        <v>0</v>
      </c>
      <c r="BB8" s="127">
        <f>VLOOKUP($C8,'1 预算编制表单'!$C:$BJ,57,FALSE)</f>
        <v>1188375.96548265</v>
      </c>
      <c r="BC8" s="127">
        <f>BB8-BD8</f>
        <v>1188375.96548265</v>
      </c>
      <c r="BD8" s="127">
        <f>SUM(BD9:BD13)</f>
        <v>0</v>
      </c>
      <c r="BE8" s="127">
        <f>VLOOKUP($C8,'1 预算编制表单'!$C:$BJ,60,FALSE)</f>
        <v>1188375.96548265</v>
      </c>
      <c r="BF8" s="127">
        <f>BE8-BG8</f>
        <v>1188375.96548265</v>
      </c>
      <c r="BG8" s="127">
        <f>SUM(BG9:BG13)</f>
        <v>0</v>
      </c>
      <c r="BH8" s="127">
        <f>VLOOKUP($C8,'1 预算编制表单'!$C:$BJ,27,FALSE)</f>
        <v>1188375.96548265</v>
      </c>
      <c r="BI8" s="127">
        <f t="shared" si="13"/>
        <v>1188375.96548265</v>
      </c>
      <c r="BJ8" s="127">
        <f>SUM(BJ9:BJ13)</f>
        <v>0</v>
      </c>
      <c r="BK8" s="127">
        <f>VLOOKUP($C8,'1 预算编制表单'!$C:$BJ,30,FALSE)</f>
        <v>1188375.96548265</v>
      </c>
      <c r="BL8" s="127">
        <f t="shared" si="14"/>
        <v>1188375.96548265</v>
      </c>
      <c r="BM8" s="127">
        <f>SUM(BM9:BM13)</f>
        <v>0</v>
      </c>
      <c r="BN8" s="127">
        <f>VLOOKUP($C8,'1 预算编制表单'!$C:$BJ,33,FALSE)</f>
        <v>1188375.96548265</v>
      </c>
      <c r="BO8" s="127">
        <f t="shared" si="15"/>
        <v>1188375.96548265</v>
      </c>
      <c r="BP8" s="127">
        <f>SUM(BP9:BP13)</f>
        <v>0</v>
      </c>
      <c r="BQ8" s="127">
        <f>VLOOKUP($C8,'1 预算编制表单'!$C:$BJ,36,FALSE)</f>
        <v>1188375.96548265</v>
      </c>
      <c r="BR8" s="127">
        <f t="shared" si="16"/>
        <v>1188375.96548265</v>
      </c>
      <c r="BS8" s="127">
        <f>SUM(BS9:BS13)</f>
        <v>0</v>
      </c>
      <c r="BT8" s="127">
        <f>VLOOKUP($C8,'1 预算编制表单'!$C:$BJ,39,FALSE)</f>
        <v>1188375.96548265</v>
      </c>
      <c r="BU8" s="127">
        <f t="shared" si="17"/>
        <v>1188375.96548265</v>
      </c>
      <c r="BV8" s="127">
        <f>SUM(BV9:BV13)</f>
        <v>0</v>
      </c>
      <c r="BW8" s="127">
        <f>VLOOKUP($C8,'1 预算编制表单'!$C:$BJ,42,FALSE)</f>
        <v>1188375.96548265</v>
      </c>
      <c r="BX8" s="127">
        <f t="shared" si="18"/>
        <v>1188375.96548265</v>
      </c>
      <c r="BY8" s="127">
        <f>SUM(BY9:BY13)</f>
        <v>0</v>
      </c>
      <c r="BZ8" s="127">
        <f>VLOOKUP($C8,'1 预算编制表单'!$C:$BJ,45,FALSE)</f>
        <v>1188375.96548265</v>
      </c>
      <c r="CA8" s="127">
        <f t="shared" si="19"/>
        <v>1188375.96548265</v>
      </c>
      <c r="CB8" s="127">
        <f>SUM(CB9:CB13)</f>
        <v>0</v>
      </c>
      <c r="CC8" s="127">
        <f>VLOOKUP($C8,'1 预算编制表单'!$C:$BJ,48,FALSE)</f>
        <v>1188375.96548265</v>
      </c>
      <c r="CD8" s="127">
        <f t="shared" si="20"/>
        <v>1188375.96548265</v>
      </c>
      <c r="CE8" s="127">
        <f>SUM(CE9:CE13)</f>
        <v>0</v>
      </c>
      <c r="CF8" s="127">
        <f>VLOOKUP($C8,'1 预算编制表单'!$C:$BJ,51,FALSE)</f>
        <v>1188375.96548265</v>
      </c>
      <c r="CG8" s="127">
        <f t="shared" si="21"/>
        <v>1188375.96548265</v>
      </c>
      <c r="CH8" s="127">
        <f>SUM(CH9:CH13)</f>
        <v>0</v>
      </c>
      <c r="CI8" s="127">
        <f>VLOOKUP($C8,'1 预算编制表单'!$C:$BJ,54,FALSE)</f>
        <v>1188375.96548265</v>
      </c>
      <c r="CJ8" s="127">
        <f t="shared" si="22"/>
        <v>1188375.96548265</v>
      </c>
      <c r="CK8" s="127">
        <f>SUM(CK9:CK13)</f>
        <v>0</v>
      </c>
      <c r="CL8" s="127">
        <f>VLOOKUP($C8,'1 预算编制表单'!$C:$BJ,57,FALSE)</f>
        <v>1188375.96548265</v>
      </c>
      <c r="CM8" s="127">
        <f t="shared" si="23"/>
        <v>1188375.96548265</v>
      </c>
      <c r="CN8" s="127">
        <f>SUM(CN9:CN13)</f>
        <v>0</v>
      </c>
      <c r="CO8" s="127">
        <f>VLOOKUP($C8,'1 预算编制表单'!$C:$BJ,60,FALSE)</f>
        <v>1188375.96548265</v>
      </c>
      <c r="CP8" s="127">
        <f t="shared" si="24"/>
        <v>1188375.96548265</v>
      </c>
      <c r="CQ8" s="127">
        <f>SUM(CQ9:CQ13)</f>
        <v>0</v>
      </c>
    </row>
    <row r="9" s="89" customFormat="1" ht="24" customHeight="1" outlineLevel="4" spans="1:95">
      <c r="A9" s="128"/>
      <c r="B9" s="129"/>
      <c r="C9" s="130"/>
      <c r="D9" s="128"/>
      <c r="E9" s="129"/>
      <c r="F9" s="129"/>
      <c r="G9" s="129"/>
      <c r="H9" s="131"/>
      <c r="I9" s="131"/>
      <c r="J9" s="131">
        <f t="shared" si="5"/>
        <v>0</v>
      </c>
      <c r="K9" s="131">
        <v>1</v>
      </c>
      <c r="L9" s="156"/>
      <c r="M9" s="157">
        <f>IFERROR(VLOOKUP($L9,'2-2 引出数据_合同数据仓库'!$B$5:$BP$200,3,FALSE),0)</f>
        <v>0</v>
      </c>
      <c r="N9" s="131"/>
      <c r="O9" s="157">
        <f>IFERROR(VLOOKUP((LEFT(VLOOKUP($L9,'2-2 引出数据_合同数据仓库'!$B$5:$BP$200,64,FALSE),15)&amp;(RIGHT(VLOOKUP($L9,'2-2 引出数据_合同数据仓库'!$B$5:$BP$200,64,FALSE),4)+1)),'2-2 引出数据_合同数据仓库'!$B$5:$BP$200,3,FALSE),0)</f>
        <v>0</v>
      </c>
      <c r="P9" s="131"/>
      <c r="Q9" s="131">
        <f>IFERROR(VLOOKUP($L9,'2-2 引出数据_合同数据仓库'!$B$5:$BP$200,28,FALSE),0)</f>
        <v>0</v>
      </c>
      <c r="R9" s="131">
        <f>IFERROR(VLOOKUP($L9,'2-2 引出数据_合同数据仓库'!$B$5:$BP$200,29,FALSE),0)</f>
        <v>0</v>
      </c>
      <c r="S9" s="131">
        <f>IFERROR(VLOOKUP($L9,'2-2 引出数据_合同数据仓库'!$B$5:$BP$200,4,FALSE),0)</f>
        <v>0</v>
      </c>
      <c r="T9" s="131"/>
      <c r="U9" s="131">
        <f>IFERROR(VLOOKUP($L9,'2-2 引出数据_合同数据仓库'!$B$5:$BP$200,15,FALSE),0)</f>
        <v>0</v>
      </c>
      <c r="V9" s="131">
        <f t="shared" ref="V9:V12" si="25">U9/(S9-R9+1)*365</f>
        <v>0</v>
      </c>
      <c r="W9" s="131"/>
      <c r="X9" s="163">
        <v>45658</v>
      </c>
      <c r="Y9" s="163">
        <f t="shared" ref="Y9:Y12" si="26">X9+30</f>
        <v>45688</v>
      </c>
      <c r="Z9" s="167">
        <f t="shared" ref="Z9:Z12" si="27">IFERROR(IF(($R9-Y9)&gt;=0,0,IF(($S9-X9)&lt;0,0,IF(AND(($S9-Y9)&gt;0,(X9-$R9)&gt;0),$V9/365*(Y9-X9+1),IF(AND(($S9-Y9)&lt;=0,(X9-$R9)&gt;0),$V9/365*($S9-X9+1),$V9/365*(Y9-$R9+1))))),0)</f>
        <v>0</v>
      </c>
      <c r="AA9" s="163">
        <f t="shared" ref="AA9:AA12" si="28">Y9+1</f>
        <v>45689</v>
      </c>
      <c r="AB9" s="163">
        <f t="shared" ref="AB9:AB12" si="29">AA9+27</f>
        <v>45716</v>
      </c>
      <c r="AC9" s="167">
        <f t="shared" ref="AC9:AC12" si="30">IFERROR(IF(($R9-AB9)&gt;=0,0,IF(($S9-AA9)&lt;0,0,IF(AND(($S9-AB9)&gt;0,(AA9-$R9)&gt;0),$V9/365*(AB9-AA9+1),IF(AND(($S9-AB9)&lt;=0,(AA9-$R9)&gt;0),$V9/365*($S9-AA9+1),$V9/365*(AB9-$R9+1))))),0)</f>
        <v>0</v>
      </c>
      <c r="AD9" s="163">
        <f t="shared" ref="AD9:AD12" si="31">AB9+1</f>
        <v>45717</v>
      </c>
      <c r="AE9" s="163">
        <f t="shared" ref="AE9:AE12" si="32">AD9+30</f>
        <v>45747</v>
      </c>
      <c r="AF9" s="167">
        <f t="shared" ref="AF9:AF12" si="33">IFERROR(IF(($R9-AE9)&gt;=0,0,IF(($S9-AD9)&lt;0,0,IF(AND(($S9-AE9)&gt;0,(AD9-$R9)&gt;0),$V9/365*(AE9-AD9+1),IF(AND(($S9-AE9)&lt;=0,(AD9-$R9)&gt;0),$V9/365*($S9-AD9+1),$V9/365*(AE9-$R9+1))))),0)</f>
        <v>0</v>
      </c>
      <c r="AG9" s="163">
        <f t="shared" ref="AG9:AG12" si="34">AE9+1</f>
        <v>45748</v>
      </c>
      <c r="AH9" s="163">
        <f t="shared" ref="AH9:AH12" si="35">AG9+29</f>
        <v>45777</v>
      </c>
      <c r="AI9" s="167">
        <f t="shared" ref="AI9:AI12" si="36">IFERROR(IF(($R9-AH9)&gt;=0,0,IF(($S9-AG9)&lt;0,0,IF(AND(($S9-AH9)&gt;0,(AG9-$R9)&gt;0),$V9/365*(AH9-AG9+1),IF(AND(($S9-AH9)&lt;=0,(AG9-$R9)&gt;0),$V9/365*($S9-AG9+1),$V9/365*(AH9-$R9+1))))),0)</f>
        <v>0</v>
      </c>
      <c r="AJ9" s="163">
        <f t="shared" ref="AJ9:AJ12" si="37">AH9+1</f>
        <v>45778</v>
      </c>
      <c r="AK9" s="163">
        <f t="shared" ref="AK9:AK12" si="38">AJ9+30</f>
        <v>45808</v>
      </c>
      <c r="AL9" s="167">
        <f t="shared" ref="AL9:AL12" si="39">IFERROR(IF(($R9-AK9)&gt;=0,0,IF(($S9-AJ9)&lt;0,0,IF(AND(($S9-AK9)&gt;0,(AJ9-$R9)&gt;0),$V9/365*(AK9-AJ9+1),IF(AND(($S9-AK9)&lt;=0,(AJ9-$R9)&gt;0),$V9/365*($S9-AJ9+1),$V9/365*(AK9-$R9+1))))),0)</f>
        <v>0</v>
      </c>
      <c r="AM9" s="163">
        <f t="shared" ref="AM9:AM12" si="40">AK9+1</f>
        <v>45809</v>
      </c>
      <c r="AN9" s="163">
        <f t="shared" ref="AN9:AN12" si="41">AM9+29</f>
        <v>45838</v>
      </c>
      <c r="AO9" s="167">
        <f t="shared" ref="AO9:AO12" si="42">IFERROR(IF(($R9-AN9)&gt;=0,0,IF(($S9-AM9)&lt;0,0,IF(AND(($S9-AN9)&gt;0,(AM9-$R9)&gt;0),$V9/365*(AN9-AM9+1),IF(AND(($S9-AN9)&lt;=0,(AM9-$R9)&gt;0),$V9/365*($S9-AM9+1),$V9/365*(AN9-$R9+1))))),0)</f>
        <v>0</v>
      </c>
      <c r="AP9" s="163">
        <f t="shared" ref="AP9:AP12" si="43">AN9+1</f>
        <v>45839</v>
      </c>
      <c r="AQ9" s="163">
        <f t="shared" ref="AQ9:AQ12" si="44">AP9+30</f>
        <v>45869</v>
      </c>
      <c r="AR9" s="167">
        <f t="shared" ref="AR9:AR12" si="45">IFERROR(IF(($R9-AQ9)&gt;=0,0,IF(($S9-AP9)&lt;0,0,IF(AND(($S9-AQ9)&gt;0,(AP9-$R9)&gt;0),$V9/365*(AQ9-AP9+1),IF(AND(($S9-AQ9)&lt;=0,(AP9-$R9)&gt;0),$V9/365*($S9-AP9+1),$V9/365*(AQ9-$R9+1))))),0)</f>
        <v>0</v>
      </c>
      <c r="AS9" s="163">
        <f t="shared" ref="AS9:AS12" si="46">AQ9+1</f>
        <v>45870</v>
      </c>
      <c r="AT9" s="163">
        <f t="shared" ref="AT9:AT12" si="47">AS9+30</f>
        <v>45900</v>
      </c>
      <c r="AU9" s="167">
        <f t="shared" ref="AU9:AU12" si="48">IFERROR(IF(($R9-AT9)&gt;=0,0,IF(($S9-AS9)&lt;0,0,IF(AND(($S9-AT9)&gt;0,(AS9-$R9)&gt;0),$V9/365*(AT9-AS9+1),IF(AND(($S9-AT9)&lt;=0,(AS9-$R9)&gt;0),$V9/365*($S9-AS9+1),$V9/365*(AT9-$R9+1))))),0)</f>
        <v>0</v>
      </c>
      <c r="AV9" s="163">
        <f t="shared" ref="AV9:AV12" si="49">AT9+1</f>
        <v>45901</v>
      </c>
      <c r="AW9" s="163">
        <f t="shared" ref="AW9:AW12" si="50">AV9+29</f>
        <v>45930</v>
      </c>
      <c r="AX9" s="167">
        <f t="shared" ref="AX9:AX12" si="51">IFERROR(IF(($R9-AW9)&gt;=0,0,IF(($S9-AV9)&lt;0,0,IF(AND(($S9-AW9)&gt;0,(AV9-$R9)&gt;0),$V9/365*(AW9-AV9+1),IF(AND(($S9-AW9)&lt;=0,(AV9-$R9)&gt;0),$V9/365*($S9-AV9+1),$V9/365*(AW9-$R9+1))))),0)</f>
        <v>0</v>
      </c>
      <c r="AY9" s="163">
        <f t="shared" ref="AY9:AY12" si="52">AW9+1</f>
        <v>45931</v>
      </c>
      <c r="AZ9" s="163">
        <f t="shared" ref="AZ9:AZ12" si="53">AY9+30</f>
        <v>45961</v>
      </c>
      <c r="BA9" s="167">
        <f t="shared" ref="BA9:BA12" si="54">IFERROR(IF(($R9-AZ9)&gt;=0,0,IF(($S9-AY9)&lt;0,0,IF(AND(($S9-AZ9)&gt;0,(AY9-$R9)&gt;0),$V9/365*(AZ9-AY9+1),IF(AND(($S9-AZ9)&lt;=0,(AY9-$R9)&gt;0),$V9/365*($S9-AY9+1),$V9/365*(AZ9-$R9+1))))),0)</f>
        <v>0</v>
      </c>
      <c r="BB9" s="163">
        <f t="shared" ref="BB9:BB12" si="55">AZ9+1</f>
        <v>45962</v>
      </c>
      <c r="BC9" s="163">
        <f t="shared" ref="BC9:BC12" si="56">BB9+29</f>
        <v>45991</v>
      </c>
      <c r="BD9" s="167">
        <f t="shared" ref="BD9:BD12" si="57">IFERROR(IF(($R9-BC9)&gt;=0,0,IF(($S9-BB9)&lt;0,0,IF(AND(($S9-BC9)&gt;0,(BB9-$R9)&gt;0),$V9/365*(BC9-BB9+1),IF(AND(($S9-BC9)&lt;=0,(BB9-$R9)&gt;0),$V9/365*($S9-BB9+1),$V9/365*(BC9-$R9+1))))),0)</f>
        <v>0</v>
      </c>
      <c r="BE9" s="163">
        <f t="shared" ref="BE9:BE12" si="58">BC9+1</f>
        <v>45992</v>
      </c>
      <c r="BF9" s="163">
        <f t="shared" ref="BF9:BF12" si="59">BE9+30</f>
        <v>46022</v>
      </c>
      <c r="BG9" s="167">
        <f t="shared" ref="BG9:BG12" si="60">IFERROR(IF(($R9-BF9)&gt;=0,0,IF(($S9-BE9)&lt;0,0,IF(AND(($S9-BF9)&gt;0,(BE9-$R9)&gt;0),$V9/365*(BF9-BE9+1),IF(AND(($S9-BF9)&lt;=0,(BE9-$R9)&gt;0),$V9/365*($S9-BE9+1),$V9/365*(BF9-$R9+1))))),0)</f>
        <v>0</v>
      </c>
      <c r="BH9" s="163">
        <v>46023</v>
      </c>
      <c r="BI9" s="163">
        <f t="shared" ref="BI9:BI12" si="61">BH9+30</f>
        <v>46053</v>
      </c>
      <c r="BJ9" s="167">
        <f t="shared" ref="BJ9:BJ12" si="62">IFERROR(IF(($R9-BI9)&gt;=0,0,IF(($S9-BH9)&lt;0,0,IF(AND(($S9-BI9)&gt;0,(BH9-$R9)&gt;0),$V9/365*(BI9-BH9+1),IF(AND(($S9-BI9)&lt;=0,(BH9-$R9)&gt;0),$V9/365*($S9-BH9+1),$V9/365*(BI9-$R9+1))))),0)</f>
        <v>0</v>
      </c>
      <c r="BK9" s="163">
        <f t="shared" ref="BK9:BK12" si="63">BI9+1</f>
        <v>46054</v>
      </c>
      <c r="BL9" s="163">
        <f t="shared" ref="BL9:BL12" si="64">BK9+27</f>
        <v>46081</v>
      </c>
      <c r="BM9" s="167">
        <f t="shared" ref="BM9:BM12" si="65">IFERROR(IF(($R9-BL9)&gt;=0,0,IF(($S9-BK9)&lt;0,0,IF(AND(($S9-BL9)&gt;0,(BK9-$R9)&gt;0),$V9/365*(BL9-BK9+1),IF(AND(($S9-BL9)&lt;=0,(BK9-$R9)&gt;0),$V9/365*($S9-BK9+1),$V9/365*(BL9-$R9+1))))),0)</f>
        <v>0</v>
      </c>
      <c r="BN9" s="163">
        <f t="shared" ref="BN9:BN12" si="66">BL9+1</f>
        <v>46082</v>
      </c>
      <c r="BO9" s="163">
        <f t="shared" ref="BO9:BO12" si="67">BN9+30</f>
        <v>46112</v>
      </c>
      <c r="BP9" s="167">
        <f t="shared" ref="BP9:BP12" si="68">IFERROR(IF(($R9-BO9)&gt;=0,0,IF(($S9-BN9)&lt;0,0,IF(AND(($S9-BO9)&gt;0,(BN9-$R9)&gt;0),$V9/365*(BO9-BN9+1),IF(AND(($S9-BO9)&lt;=0,(BN9-$R9)&gt;0),$V9/365*($S9-BN9+1),$V9/365*(BO9-$R9+1))))),0)</f>
        <v>0</v>
      </c>
      <c r="BQ9" s="163">
        <f t="shared" ref="BQ9:BQ12" si="69">BO9+1</f>
        <v>46113</v>
      </c>
      <c r="BR9" s="163">
        <f t="shared" ref="BR9:BR12" si="70">BQ9+29</f>
        <v>46142</v>
      </c>
      <c r="BS9" s="167">
        <f t="shared" ref="BS9:BS12" si="71">IFERROR(IF(($R9-BR9)&gt;=0,0,IF(($S9-BQ9)&lt;0,0,IF(AND(($S9-BR9)&gt;0,(BQ9-$R9)&gt;0),$V9/365*(BR9-BQ9+1),IF(AND(($S9-BR9)&lt;=0,(BQ9-$R9)&gt;0),$V9/365*($S9-BQ9+1),$V9/365*(BR9-$R9+1))))),0)</f>
        <v>0</v>
      </c>
      <c r="BT9" s="163">
        <f t="shared" ref="BT9:BT12" si="72">BR9+1</f>
        <v>46143</v>
      </c>
      <c r="BU9" s="163">
        <f t="shared" ref="BU9:BU12" si="73">BT9+30</f>
        <v>46173</v>
      </c>
      <c r="BV9" s="167">
        <f t="shared" ref="BV9:BV12" si="74">IFERROR(IF(($R9-BU9)&gt;=0,0,IF(($S9-BT9)&lt;0,0,IF(AND(($S9-BU9)&gt;0,(BT9-$R9)&gt;0),$V9/365*(BU9-BT9+1),IF(AND(($S9-BU9)&lt;=0,(BT9-$R9)&gt;0),$V9/365*($S9-BT9+1),$V9/365*(BU9-$R9+1))))),0)</f>
        <v>0</v>
      </c>
      <c r="BW9" s="163">
        <f t="shared" ref="BW9:BW12" si="75">BU9+1</f>
        <v>46174</v>
      </c>
      <c r="BX9" s="163">
        <f t="shared" ref="BX9:BX12" si="76">BW9+29</f>
        <v>46203</v>
      </c>
      <c r="BY9" s="167">
        <f t="shared" ref="BY9:BY12" si="77">IFERROR(IF(($R9-BX9)&gt;=0,0,IF(($S9-BW9)&lt;0,0,IF(AND(($S9-BX9)&gt;0,(BW9-$R9)&gt;0),$V9/365*(BX9-BW9+1),IF(AND(($S9-BX9)&lt;=0,(BW9-$R9)&gt;0),$V9/365*($S9-BW9+1),$V9/365*(BX9-$R9+1))))),0)</f>
        <v>0</v>
      </c>
      <c r="BZ9" s="163">
        <f t="shared" ref="BZ9:BZ12" si="78">BX9+1</f>
        <v>46204</v>
      </c>
      <c r="CA9" s="163">
        <f t="shared" ref="CA9:CA12" si="79">BZ9+30</f>
        <v>46234</v>
      </c>
      <c r="CB9" s="167">
        <f t="shared" ref="CB9:CB12" si="80">IFERROR(IF(($R9-CA9)&gt;=0,0,IF(($S9-BZ9)&lt;0,0,IF(AND(($S9-CA9)&gt;0,(BZ9-$R9)&gt;0),$V9/365*(CA9-BZ9+1),IF(AND(($S9-CA9)&lt;=0,(BZ9-$R9)&gt;0),$V9/365*($S9-BZ9+1),$V9/365*(CA9-$R9+1))))),0)</f>
        <v>0</v>
      </c>
      <c r="CC9" s="163">
        <f t="shared" ref="CC9:CC12" si="81">CA9+1</f>
        <v>46235</v>
      </c>
      <c r="CD9" s="163">
        <f t="shared" ref="CD9:CD12" si="82">CC9+30</f>
        <v>46265</v>
      </c>
      <c r="CE9" s="167">
        <f t="shared" ref="CE9:CE12" si="83">IFERROR(IF(($R9-CD9)&gt;=0,0,IF(($S9-CC9)&lt;0,0,IF(AND(($S9-CD9)&gt;0,(CC9-$R9)&gt;0),$V9/365*(CD9-CC9+1),IF(AND(($S9-CD9)&lt;=0,(CC9-$R9)&gt;0),$V9/365*($S9-CC9+1),$V9/365*(CD9-$R9+1))))),0)</f>
        <v>0</v>
      </c>
      <c r="CF9" s="163">
        <f t="shared" ref="CF9:CF12" si="84">CD9+1</f>
        <v>46266</v>
      </c>
      <c r="CG9" s="163">
        <f t="shared" ref="CG9:CG12" si="85">CF9+29</f>
        <v>46295</v>
      </c>
      <c r="CH9" s="167">
        <f t="shared" ref="CH9:CH12" si="86">IFERROR(IF(($R9-CG9)&gt;=0,0,IF(($S9-CF9)&lt;0,0,IF(AND(($S9-CG9)&gt;0,(CF9-$R9)&gt;0),$V9/365*(CG9-CF9+1),IF(AND(($S9-CG9)&lt;=0,(CF9-$R9)&gt;0),$V9/365*($S9-CF9+1),$V9/365*(CG9-$R9+1))))),0)</f>
        <v>0</v>
      </c>
      <c r="CI9" s="163">
        <f t="shared" ref="CI9:CI12" si="87">CG9+1</f>
        <v>46296</v>
      </c>
      <c r="CJ9" s="163">
        <f t="shared" ref="CJ9:CJ12" si="88">CI9+30</f>
        <v>46326</v>
      </c>
      <c r="CK9" s="167">
        <f t="shared" ref="CK9:CK12" si="89">IFERROR(IF(($R9-CJ9)&gt;=0,0,IF(($S9-CI9)&lt;0,0,IF(AND(($S9-CJ9)&gt;0,(CI9-$R9)&gt;0),$V9/365*(CJ9-CI9+1),IF(AND(($S9-CJ9)&lt;=0,(CI9-$R9)&gt;0),$V9/365*($S9-CI9+1),$V9/365*(CJ9-$R9+1))))),0)</f>
        <v>0</v>
      </c>
      <c r="CL9" s="163">
        <f t="shared" ref="CL9:CL12" si="90">CJ9+1</f>
        <v>46327</v>
      </c>
      <c r="CM9" s="163">
        <f t="shared" ref="CM9:CM12" si="91">CL9+29</f>
        <v>46356</v>
      </c>
      <c r="CN9" s="167">
        <f t="shared" ref="CN9:CN12" si="92">IFERROR(IF(($R9-CM9)&gt;=0,0,IF(($S9-CL9)&lt;0,0,IF(AND(($S9-CM9)&gt;0,(CL9-$R9)&gt;0),$V9/365*(CM9-CL9+1),IF(AND(($S9-CM9)&lt;=0,(CL9-$R9)&gt;0),$V9/365*($S9-CL9+1),$V9/365*(CM9-$R9+1))))),0)</f>
        <v>0</v>
      </c>
      <c r="CO9" s="163">
        <f t="shared" ref="CO9:CO12" si="93">CM9+1</f>
        <v>46357</v>
      </c>
      <c r="CP9" s="163">
        <f t="shared" ref="CP9:CP12" si="94">CO9+30</f>
        <v>46387</v>
      </c>
      <c r="CQ9" s="167">
        <f t="shared" ref="CQ9:CQ12" si="95">IFERROR(IF(($R9-CP9)&gt;=0,0,IF(($S9-CO9)&lt;0,0,IF(AND(($S9-CP9)&gt;0,(CO9-$R9)&gt;0),$V9/365*(CP9-CO9+1),IF(AND(($S9-CP9)&lt;=0,(CO9-$R9)&gt;0),$V9/365*($S9-CO9+1),$V9/365*(CP9-$R9+1))))),0)</f>
        <v>0</v>
      </c>
    </row>
    <row r="10" s="89" customFormat="1" ht="24" customHeight="1" outlineLevel="4" spans="1:95">
      <c r="A10" s="128"/>
      <c r="B10" s="129"/>
      <c r="C10" s="130"/>
      <c r="D10" s="128"/>
      <c r="E10" s="129"/>
      <c r="F10" s="129"/>
      <c r="G10" s="129"/>
      <c r="H10" s="131"/>
      <c r="I10" s="131"/>
      <c r="J10" s="131">
        <f t="shared" si="5"/>
        <v>0</v>
      </c>
      <c r="K10" s="131">
        <f>K9+1</f>
        <v>2</v>
      </c>
      <c r="L10" s="156"/>
      <c r="M10" s="157">
        <f>IFERROR(VLOOKUP($L10,'2-2 引出数据_合同数据仓库'!$B$5:$BP$200,3,FALSE),0)</f>
        <v>0</v>
      </c>
      <c r="N10" s="131"/>
      <c r="O10" s="157">
        <f>IFERROR(VLOOKUP((LEFT(VLOOKUP($L10,'2-2 引出数据_合同数据仓库'!$B$5:$BP$200,64,FALSE),15)&amp;(RIGHT(VLOOKUP($L10,'2-2 引出数据_合同数据仓库'!$B$5:$BP$200,64,FALSE),4)+1)),'2-2 引出数据_合同数据仓库'!$B$5:$BP$200,3,FALSE),0)</f>
        <v>0</v>
      </c>
      <c r="P10" s="131"/>
      <c r="Q10" s="131">
        <f>IFERROR(VLOOKUP($L10,'2-2 引出数据_合同数据仓库'!$B$5:$BP$200,28,FALSE),0)</f>
        <v>0</v>
      </c>
      <c r="R10" s="131">
        <f>IFERROR(VLOOKUP($L10,'2-2 引出数据_合同数据仓库'!$B$5:$BP$200,29,FALSE),0)</f>
        <v>0</v>
      </c>
      <c r="S10" s="131">
        <f>IFERROR(VLOOKUP($L10,'2-2 引出数据_合同数据仓库'!$B$5:$BP$200,4,FALSE),0)</f>
        <v>0</v>
      </c>
      <c r="T10" s="131"/>
      <c r="U10" s="131">
        <f>IFERROR(VLOOKUP($L10,'2-2 引出数据_合同数据仓库'!$B$5:$BP$200,15,FALSE),0)</f>
        <v>0</v>
      </c>
      <c r="V10" s="131">
        <f t="shared" si="25"/>
        <v>0</v>
      </c>
      <c r="W10" s="131"/>
      <c r="X10" s="163">
        <v>45658</v>
      </c>
      <c r="Y10" s="163">
        <f t="shared" si="26"/>
        <v>45688</v>
      </c>
      <c r="Z10" s="167">
        <f t="shared" si="27"/>
        <v>0</v>
      </c>
      <c r="AA10" s="163">
        <f t="shared" si="28"/>
        <v>45689</v>
      </c>
      <c r="AB10" s="163">
        <f t="shared" si="29"/>
        <v>45716</v>
      </c>
      <c r="AC10" s="167">
        <f t="shared" si="30"/>
        <v>0</v>
      </c>
      <c r="AD10" s="163">
        <f t="shared" si="31"/>
        <v>45717</v>
      </c>
      <c r="AE10" s="163">
        <f t="shared" si="32"/>
        <v>45747</v>
      </c>
      <c r="AF10" s="167">
        <f t="shared" si="33"/>
        <v>0</v>
      </c>
      <c r="AG10" s="163">
        <f t="shared" si="34"/>
        <v>45748</v>
      </c>
      <c r="AH10" s="163">
        <f t="shared" si="35"/>
        <v>45777</v>
      </c>
      <c r="AI10" s="167">
        <f t="shared" si="36"/>
        <v>0</v>
      </c>
      <c r="AJ10" s="163">
        <f t="shared" si="37"/>
        <v>45778</v>
      </c>
      <c r="AK10" s="163">
        <f t="shared" si="38"/>
        <v>45808</v>
      </c>
      <c r="AL10" s="167">
        <f t="shared" si="39"/>
        <v>0</v>
      </c>
      <c r="AM10" s="163">
        <f t="shared" si="40"/>
        <v>45809</v>
      </c>
      <c r="AN10" s="163">
        <f t="shared" si="41"/>
        <v>45838</v>
      </c>
      <c r="AO10" s="167">
        <f t="shared" si="42"/>
        <v>0</v>
      </c>
      <c r="AP10" s="163">
        <f t="shared" si="43"/>
        <v>45839</v>
      </c>
      <c r="AQ10" s="163">
        <f t="shared" si="44"/>
        <v>45869</v>
      </c>
      <c r="AR10" s="167">
        <f t="shared" si="45"/>
        <v>0</v>
      </c>
      <c r="AS10" s="163">
        <f t="shared" si="46"/>
        <v>45870</v>
      </c>
      <c r="AT10" s="163">
        <f t="shared" si="47"/>
        <v>45900</v>
      </c>
      <c r="AU10" s="167">
        <f t="shared" si="48"/>
        <v>0</v>
      </c>
      <c r="AV10" s="163">
        <f t="shared" si="49"/>
        <v>45901</v>
      </c>
      <c r="AW10" s="163">
        <f t="shared" si="50"/>
        <v>45930</v>
      </c>
      <c r="AX10" s="167">
        <f t="shared" si="51"/>
        <v>0</v>
      </c>
      <c r="AY10" s="163">
        <f t="shared" si="52"/>
        <v>45931</v>
      </c>
      <c r="AZ10" s="163">
        <f t="shared" si="53"/>
        <v>45961</v>
      </c>
      <c r="BA10" s="167">
        <f t="shared" si="54"/>
        <v>0</v>
      </c>
      <c r="BB10" s="163">
        <f t="shared" si="55"/>
        <v>45962</v>
      </c>
      <c r="BC10" s="163">
        <f t="shared" si="56"/>
        <v>45991</v>
      </c>
      <c r="BD10" s="167">
        <f t="shared" si="57"/>
        <v>0</v>
      </c>
      <c r="BE10" s="163">
        <f t="shared" si="58"/>
        <v>45992</v>
      </c>
      <c r="BF10" s="163">
        <f t="shared" si="59"/>
        <v>46022</v>
      </c>
      <c r="BG10" s="167">
        <f t="shared" si="60"/>
        <v>0</v>
      </c>
      <c r="BH10" s="163">
        <v>46023</v>
      </c>
      <c r="BI10" s="163">
        <f t="shared" si="61"/>
        <v>46053</v>
      </c>
      <c r="BJ10" s="167">
        <f t="shared" si="62"/>
        <v>0</v>
      </c>
      <c r="BK10" s="163">
        <f t="shared" si="63"/>
        <v>46054</v>
      </c>
      <c r="BL10" s="163">
        <f t="shared" si="64"/>
        <v>46081</v>
      </c>
      <c r="BM10" s="167">
        <f t="shared" si="65"/>
        <v>0</v>
      </c>
      <c r="BN10" s="163">
        <f t="shared" si="66"/>
        <v>46082</v>
      </c>
      <c r="BO10" s="163">
        <f t="shared" si="67"/>
        <v>46112</v>
      </c>
      <c r="BP10" s="167">
        <f t="shared" si="68"/>
        <v>0</v>
      </c>
      <c r="BQ10" s="163">
        <f t="shared" si="69"/>
        <v>46113</v>
      </c>
      <c r="BR10" s="163">
        <f t="shared" si="70"/>
        <v>46142</v>
      </c>
      <c r="BS10" s="167">
        <f t="shared" si="71"/>
        <v>0</v>
      </c>
      <c r="BT10" s="163">
        <f t="shared" si="72"/>
        <v>46143</v>
      </c>
      <c r="BU10" s="163">
        <f t="shared" si="73"/>
        <v>46173</v>
      </c>
      <c r="BV10" s="167">
        <f t="shared" si="74"/>
        <v>0</v>
      </c>
      <c r="BW10" s="163">
        <f t="shared" si="75"/>
        <v>46174</v>
      </c>
      <c r="BX10" s="163">
        <f t="shared" si="76"/>
        <v>46203</v>
      </c>
      <c r="BY10" s="167">
        <f t="shared" si="77"/>
        <v>0</v>
      </c>
      <c r="BZ10" s="163">
        <f t="shared" si="78"/>
        <v>46204</v>
      </c>
      <c r="CA10" s="163">
        <f t="shared" si="79"/>
        <v>46234</v>
      </c>
      <c r="CB10" s="167">
        <f t="shared" si="80"/>
        <v>0</v>
      </c>
      <c r="CC10" s="163">
        <f t="shared" si="81"/>
        <v>46235</v>
      </c>
      <c r="CD10" s="163">
        <f t="shared" si="82"/>
        <v>46265</v>
      </c>
      <c r="CE10" s="167">
        <f t="shared" si="83"/>
        <v>0</v>
      </c>
      <c r="CF10" s="163">
        <f t="shared" si="84"/>
        <v>46266</v>
      </c>
      <c r="CG10" s="163">
        <f t="shared" si="85"/>
        <v>46295</v>
      </c>
      <c r="CH10" s="167">
        <f t="shared" si="86"/>
        <v>0</v>
      </c>
      <c r="CI10" s="163">
        <f t="shared" si="87"/>
        <v>46296</v>
      </c>
      <c r="CJ10" s="163">
        <f t="shared" si="88"/>
        <v>46326</v>
      </c>
      <c r="CK10" s="167">
        <f t="shared" si="89"/>
        <v>0</v>
      </c>
      <c r="CL10" s="163">
        <f t="shared" si="90"/>
        <v>46327</v>
      </c>
      <c r="CM10" s="163">
        <f t="shared" si="91"/>
        <v>46356</v>
      </c>
      <c r="CN10" s="167">
        <f t="shared" si="92"/>
        <v>0</v>
      </c>
      <c r="CO10" s="163">
        <f t="shared" si="93"/>
        <v>46357</v>
      </c>
      <c r="CP10" s="163">
        <f t="shared" si="94"/>
        <v>46387</v>
      </c>
      <c r="CQ10" s="167">
        <f t="shared" si="95"/>
        <v>0</v>
      </c>
    </row>
    <row r="11" s="89" customFormat="1" ht="24" customHeight="1" outlineLevel="4" spans="1:95">
      <c r="A11" s="128"/>
      <c r="B11" s="129"/>
      <c r="C11" s="130"/>
      <c r="D11" s="128"/>
      <c r="E11" s="129"/>
      <c r="F11" s="129"/>
      <c r="G11" s="129"/>
      <c r="H11" s="131"/>
      <c r="I11" s="131"/>
      <c r="J11" s="131">
        <f t="shared" si="5"/>
        <v>0</v>
      </c>
      <c r="K11" s="131">
        <f t="shared" ref="K11:K18" si="96">K10+1</f>
        <v>3</v>
      </c>
      <c r="L11" s="156"/>
      <c r="M11" s="157">
        <f>IFERROR(VLOOKUP($L11,'2-2 引出数据_合同数据仓库'!$B$5:$BP$200,3,FALSE),0)</f>
        <v>0</v>
      </c>
      <c r="N11" s="131"/>
      <c r="O11" s="157">
        <f>IFERROR(VLOOKUP((LEFT(VLOOKUP($L11,'2-2 引出数据_合同数据仓库'!$B$5:$BP$200,64,FALSE),15)&amp;(RIGHT(VLOOKUP($L11,'2-2 引出数据_合同数据仓库'!$B$5:$BP$200,64,FALSE),4)+1)),'2-2 引出数据_合同数据仓库'!$B$5:$BP$200,3,FALSE),0)</f>
        <v>0</v>
      </c>
      <c r="P11" s="131"/>
      <c r="Q11" s="131">
        <f>IFERROR(VLOOKUP($L11,'2-2 引出数据_合同数据仓库'!$B$5:$BP$200,28,FALSE),0)</f>
        <v>0</v>
      </c>
      <c r="R11" s="131">
        <f>IFERROR(VLOOKUP($L11,'2-2 引出数据_合同数据仓库'!$B$5:$BP$200,29,FALSE),0)</f>
        <v>0</v>
      </c>
      <c r="S11" s="131">
        <f>IFERROR(VLOOKUP($L11,'2-2 引出数据_合同数据仓库'!$B$5:$BP$200,4,FALSE),0)</f>
        <v>0</v>
      </c>
      <c r="T11" s="131"/>
      <c r="U11" s="131">
        <f>IFERROR(VLOOKUP($L11,'2-2 引出数据_合同数据仓库'!$B$5:$BP$200,15,FALSE),0)</f>
        <v>0</v>
      </c>
      <c r="V11" s="131">
        <f t="shared" si="25"/>
        <v>0</v>
      </c>
      <c r="W11" s="131"/>
      <c r="X11" s="163">
        <v>45658</v>
      </c>
      <c r="Y11" s="163">
        <f t="shared" si="26"/>
        <v>45688</v>
      </c>
      <c r="Z11" s="167">
        <f t="shared" si="27"/>
        <v>0</v>
      </c>
      <c r="AA11" s="163">
        <f t="shared" si="28"/>
        <v>45689</v>
      </c>
      <c r="AB11" s="163">
        <f t="shared" si="29"/>
        <v>45716</v>
      </c>
      <c r="AC11" s="167">
        <f t="shared" si="30"/>
        <v>0</v>
      </c>
      <c r="AD11" s="163">
        <f t="shared" si="31"/>
        <v>45717</v>
      </c>
      <c r="AE11" s="163">
        <f t="shared" si="32"/>
        <v>45747</v>
      </c>
      <c r="AF11" s="167">
        <f t="shared" si="33"/>
        <v>0</v>
      </c>
      <c r="AG11" s="163">
        <f t="shared" si="34"/>
        <v>45748</v>
      </c>
      <c r="AH11" s="163">
        <f t="shared" si="35"/>
        <v>45777</v>
      </c>
      <c r="AI11" s="167">
        <f t="shared" si="36"/>
        <v>0</v>
      </c>
      <c r="AJ11" s="163">
        <f t="shared" si="37"/>
        <v>45778</v>
      </c>
      <c r="AK11" s="163">
        <f t="shared" si="38"/>
        <v>45808</v>
      </c>
      <c r="AL11" s="167">
        <f t="shared" si="39"/>
        <v>0</v>
      </c>
      <c r="AM11" s="163">
        <f t="shared" si="40"/>
        <v>45809</v>
      </c>
      <c r="AN11" s="163">
        <f t="shared" si="41"/>
        <v>45838</v>
      </c>
      <c r="AO11" s="167">
        <f t="shared" si="42"/>
        <v>0</v>
      </c>
      <c r="AP11" s="163">
        <f t="shared" si="43"/>
        <v>45839</v>
      </c>
      <c r="AQ11" s="163">
        <f t="shared" si="44"/>
        <v>45869</v>
      </c>
      <c r="AR11" s="167">
        <f t="shared" si="45"/>
        <v>0</v>
      </c>
      <c r="AS11" s="163">
        <f t="shared" si="46"/>
        <v>45870</v>
      </c>
      <c r="AT11" s="163">
        <f t="shared" si="47"/>
        <v>45900</v>
      </c>
      <c r="AU11" s="167">
        <f t="shared" si="48"/>
        <v>0</v>
      </c>
      <c r="AV11" s="163">
        <f t="shared" si="49"/>
        <v>45901</v>
      </c>
      <c r="AW11" s="163">
        <f t="shared" si="50"/>
        <v>45930</v>
      </c>
      <c r="AX11" s="167">
        <f t="shared" si="51"/>
        <v>0</v>
      </c>
      <c r="AY11" s="163">
        <f t="shared" si="52"/>
        <v>45931</v>
      </c>
      <c r="AZ11" s="163">
        <f t="shared" si="53"/>
        <v>45961</v>
      </c>
      <c r="BA11" s="167">
        <f t="shared" si="54"/>
        <v>0</v>
      </c>
      <c r="BB11" s="163">
        <f t="shared" si="55"/>
        <v>45962</v>
      </c>
      <c r="BC11" s="163">
        <f t="shared" si="56"/>
        <v>45991</v>
      </c>
      <c r="BD11" s="167">
        <f t="shared" si="57"/>
        <v>0</v>
      </c>
      <c r="BE11" s="163">
        <f t="shared" si="58"/>
        <v>45992</v>
      </c>
      <c r="BF11" s="163">
        <f t="shared" si="59"/>
        <v>46022</v>
      </c>
      <c r="BG11" s="167">
        <f t="shared" si="60"/>
        <v>0</v>
      </c>
      <c r="BH11" s="163">
        <v>46023</v>
      </c>
      <c r="BI11" s="163">
        <f t="shared" si="61"/>
        <v>46053</v>
      </c>
      <c r="BJ11" s="167">
        <f t="shared" si="62"/>
        <v>0</v>
      </c>
      <c r="BK11" s="163">
        <f t="shared" si="63"/>
        <v>46054</v>
      </c>
      <c r="BL11" s="163">
        <f t="shared" si="64"/>
        <v>46081</v>
      </c>
      <c r="BM11" s="167">
        <f t="shared" si="65"/>
        <v>0</v>
      </c>
      <c r="BN11" s="163">
        <f t="shared" si="66"/>
        <v>46082</v>
      </c>
      <c r="BO11" s="163">
        <f t="shared" si="67"/>
        <v>46112</v>
      </c>
      <c r="BP11" s="167">
        <f t="shared" si="68"/>
        <v>0</v>
      </c>
      <c r="BQ11" s="163">
        <f t="shared" si="69"/>
        <v>46113</v>
      </c>
      <c r="BR11" s="163">
        <f t="shared" si="70"/>
        <v>46142</v>
      </c>
      <c r="BS11" s="167">
        <f t="shared" si="71"/>
        <v>0</v>
      </c>
      <c r="BT11" s="163">
        <f t="shared" si="72"/>
        <v>46143</v>
      </c>
      <c r="BU11" s="163">
        <f t="shared" si="73"/>
        <v>46173</v>
      </c>
      <c r="BV11" s="167">
        <f t="shared" si="74"/>
        <v>0</v>
      </c>
      <c r="BW11" s="163">
        <f t="shared" si="75"/>
        <v>46174</v>
      </c>
      <c r="BX11" s="163">
        <f t="shared" si="76"/>
        <v>46203</v>
      </c>
      <c r="BY11" s="167">
        <f t="shared" si="77"/>
        <v>0</v>
      </c>
      <c r="BZ11" s="163">
        <f t="shared" si="78"/>
        <v>46204</v>
      </c>
      <c r="CA11" s="163">
        <f t="shared" si="79"/>
        <v>46234</v>
      </c>
      <c r="CB11" s="167">
        <f t="shared" si="80"/>
        <v>0</v>
      </c>
      <c r="CC11" s="163">
        <f t="shared" si="81"/>
        <v>46235</v>
      </c>
      <c r="CD11" s="163">
        <f t="shared" si="82"/>
        <v>46265</v>
      </c>
      <c r="CE11" s="167">
        <f t="shared" si="83"/>
        <v>0</v>
      </c>
      <c r="CF11" s="163">
        <f t="shared" si="84"/>
        <v>46266</v>
      </c>
      <c r="CG11" s="163">
        <f t="shared" si="85"/>
        <v>46295</v>
      </c>
      <c r="CH11" s="167">
        <f t="shared" si="86"/>
        <v>0</v>
      </c>
      <c r="CI11" s="163">
        <f t="shared" si="87"/>
        <v>46296</v>
      </c>
      <c r="CJ11" s="163">
        <f t="shared" si="88"/>
        <v>46326</v>
      </c>
      <c r="CK11" s="167">
        <f t="shared" si="89"/>
        <v>0</v>
      </c>
      <c r="CL11" s="163">
        <f t="shared" si="90"/>
        <v>46327</v>
      </c>
      <c r="CM11" s="163">
        <f t="shared" si="91"/>
        <v>46356</v>
      </c>
      <c r="CN11" s="167">
        <f t="shared" si="92"/>
        <v>0</v>
      </c>
      <c r="CO11" s="163">
        <f t="shared" si="93"/>
        <v>46357</v>
      </c>
      <c r="CP11" s="163">
        <f t="shared" si="94"/>
        <v>46387</v>
      </c>
      <c r="CQ11" s="167">
        <f t="shared" si="95"/>
        <v>0</v>
      </c>
    </row>
    <row r="12" s="89" customFormat="1" ht="24" customHeight="1" outlineLevel="4" spans="1:95">
      <c r="A12" s="128"/>
      <c r="B12" s="129"/>
      <c r="C12" s="130"/>
      <c r="D12" s="128"/>
      <c r="E12" s="129"/>
      <c r="F12" s="129"/>
      <c r="G12" s="129"/>
      <c r="H12" s="131"/>
      <c r="I12" s="131"/>
      <c r="J12" s="131">
        <f t="shared" si="5"/>
        <v>0</v>
      </c>
      <c r="K12" s="131">
        <f t="shared" si="96"/>
        <v>4</v>
      </c>
      <c r="L12" s="156"/>
      <c r="M12" s="157">
        <f>IFERROR(VLOOKUP($L12,'2-2 引出数据_合同数据仓库'!$B$5:$BP$200,3,FALSE),0)</f>
        <v>0</v>
      </c>
      <c r="N12" s="131"/>
      <c r="O12" s="157">
        <f>IFERROR(VLOOKUP((LEFT(VLOOKUP($L12,'2-2 引出数据_合同数据仓库'!$B$5:$BP$200,64,FALSE),15)&amp;(RIGHT(VLOOKUP($L12,'2-2 引出数据_合同数据仓库'!$B$5:$BP$200,64,FALSE),4)+1)),'2-2 引出数据_合同数据仓库'!$B$5:$BP$200,3,FALSE),0)</f>
        <v>0</v>
      </c>
      <c r="P12" s="131"/>
      <c r="Q12" s="131">
        <f>IFERROR(VLOOKUP($L12,'2-2 引出数据_合同数据仓库'!$B$5:$BP$200,28,FALSE),0)</f>
        <v>0</v>
      </c>
      <c r="R12" s="131">
        <f>IFERROR(VLOOKUP($L12,'2-2 引出数据_合同数据仓库'!$B$5:$BP$200,29,FALSE),0)</f>
        <v>0</v>
      </c>
      <c r="S12" s="131">
        <f>IFERROR(VLOOKUP($L12,'2-2 引出数据_合同数据仓库'!$B$5:$BP$200,4,FALSE),0)</f>
        <v>0</v>
      </c>
      <c r="T12" s="131"/>
      <c r="U12" s="131">
        <f>IFERROR(VLOOKUP($L12,'2-2 引出数据_合同数据仓库'!$B$5:$BP$200,15,FALSE),0)</f>
        <v>0</v>
      </c>
      <c r="V12" s="131">
        <f t="shared" si="25"/>
        <v>0</v>
      </c>
      <c r="W12" s="131"/>
      <c r="X12" s="163">
        <v>45658</v>
      </c>
      <c r="Y12" s="163">
        <f t="shared" si="26"/>
        <v>45688</v>
      </c>
      <c r="Z12" s="167">
        <f t="shared" si="27"/>
        <v>0</v>
      </c>
      <c r="AA12" s="163">
        <f t="shared" si="28"/>
        <v>45689</v>
      </c>
      <c r="AB12" s="163">
        <f t="shared" si="29"/>
        <v>45716</v>
      </c>
      <c r="AC12" s="167">
        <f t="shared" si="30"/>
        <v>0</v>
      </c>
      <c r="AD12" s="163">
        <f t="shared" si="31"/>
        <v>45717</v>
      </c>
      <c r="AE12" s="163">
        <f t="shared" si="32"/>
        <v>45747</v>
      </c>
      <c r="AF12" s="167">
        <f t="shared" si="33"/>
        <v>0</v>
      </c>
      <c r="AG12" s="163">
        <f t="shared" si="34"/>
        <v>45748</v>
      </c>
      <c r="AH12" s="163">
        <f t="shared" si="35"/>
        <v>45777</v>
      </c>
      <c r="AI12" s="167">
        <f t="shared" si="36"/>
        <v>0</v>
      </c>
      <c r="AJ12" s="163">
        <f t="shared" si="37"/>
        <v>45778</v>
      </c>
      <c r="AK12" s="163">
        <f t="shared" si="38"/>
        <v>45808</v>
      </c>
      <c r="AL12" s="167">
        <f t="shared" si="39"/>
        <v>0</v>
      </c>
      <c r="AM12" s="163">
        <f t="shared" si="40"/>
        <v>45809</v>
      </c>
      <c r="AN12" s="163">
        <f t="shared" si="41"/>
        <v>45838</v>
      </c>
      <c r="AO12" s="167">
        <f t="shared" si="42"/>
        <v>0</v>
      </c>
      <c r="AP12" s="163">
        <f t="shared" si="43"/>
        <v>45839</v>
      </c>
      <c r="AQ12" s="163">
        <f t="shared" si="44"/>
        <v>45869</v>
      </c>
      <c r="AR12" s="167">
        <f t="shared" si="45"/>
        <v>0</v>
      </c>
      <c r="AS12" s="163">
        <f t="shared" si="46"/>
        <v>45870</v>
      </c>
      <c r="AT12" s="163">
        <f t="shared" si="47"/>
        <v>45900</v>
      </c>
      <c r="AU12" s="167">
        <f t="shared" si="48"/>
        <v>0</v>
      </c>
      <c r="AV12" s="163">
        <f t="shared" si="49"/>
        <v>45901</v>
      </c>
      <c r="AW12" s="163">
        <f t="shared" si="50"/>
        <v>45930</v>
      </c>
      <c r="AX12" s="167">
        <f t="shared" si="51"/>
        <v>0</v>
      </c>
      <c r="AY12" s="163">
        <f t="shared" si="52"/>
        <v>45931</v>
      </c>
      <c r="AZ12" s="163">
        <f t="shared" si="53"/>
        <v>45961</v>
      </c>
      <c r="BA12" s="167">
        <f t="shared" si="54"/>
        <v>0</v>
      </c>
      <c r="BB12" s="163">
        <f t="shared" si="55"/>
        <v>45962</v>
      </c>
      <c r="BC12" s="163">
        <f t="shared" si="56"/>
        <v>45991</v>
      </c>
      <c r="BD12" s="167">
        <f t="shared" si="57"/>
        <v>0</v>
      </c>
      <c r="BE12" s="163">
        <f t="shared" si="58"/>
        <v>45992</v>
      </c>
      <c r="BF12" s="163">
        <f t="shared" si="59"/>
        <v>46022</v>
      </c>
      <c r="BG12" s="167">
        <f t="shared" si="60"/>
        <v>0</v>
      </c>
      <c r="BH12" s="163">
        <v>46023</v>
      </c>
      <c r="BI12" s="163">
        <f t="shared" si="61"/>
        <v>46053</v>
      </c>
      <c r="BJ12" s="167">
        <f t="shared" si="62"/>
        <v>0</v>
      </c>
      <c r="BK12" s="163">
        <f t="shared" si="63"/>
        <v>46054</v>
      </c>
      <c r="BL12" s="163">
        <f t="shared" si="64"/>
        <v>46081</v>
      </c>
      <c r="BM12" s="167">
        <f t="shared" si="65"/>
        <v>0</v>
      </c>
      <c r="BN12" s="163">
        <f t="shared" si="66"/>
        <v>46082</v>
      </c>
      <c r="BO12" s="163">
        <f t="shared" si="67"/>
        <v>46112</v>
      </c>
      <c r="BP12" s="167">
        <f t="shared" si="68"/>
        <v>0</v>
      </c>
      <c r="BQ12" s="163">
        <f t="shared" si="69"/>
        <v>46113</v>
      </c>
      <c r="BR12" s="163">
        <f t="shared" si="70"/>
        <v>46142</v>
      </c>
      <c r="BS12" s="167">
        <f t="shared" si="71"/>
        <v>0</v>
      </c>
      <c r="BT12" s="163">
        <f t="shared" si="72"/>
        <v>46143</v>
      </c>
      <c r="BU12" s="163">
        <f t="shared" si="73"/>
        <v>46173</v>
      </c>
      <c r="BV12" s="167">
        <f t="shared" si="74"/>
        <v>0</v>
      </c>
      <c r="BW12" s="163">
        <f t="shared" si="75"/>
        <v>46174</v>
      </c>
      <c r="BX12" s="163">
        <f t="shared" si="76"/>
        <v>46203</v>
      </c>
      <c r="BY12" s="167">
        <f t="shared" si="77"/>
        <v>0</v>
      </c>
      <c r="BZ12" s="163">
        <f t="shared" si="78"/>
        <v>46204</v>
      </c>
      <c r="CA12" s="163">
        <f t="shared" si="79"/>
        <v>46234</v>
      </c>
      <c r="CB12" s="167">
        <f t="shared" si="80"/>
        <v>0</v>
      </c>
      <c r="CC12" s="163">
        <f t="shared" si="81"/>
        <v>46235</v>
      </c>
      <c r="CD12" s="163">
        <f t="shared" si="82"/>
        <v>46265</v>
      </c>
      <c r="CE12" s="167">
        <f t="shared" si="83"/>
        <v>0</v>
      </c>
      <c r="CF12" s="163">
        <f t="shared" si="84"/>
        <v>46266</v>
      </c>
      <c r="CG12" s="163">
        <f t="shared" si="85"/>
        <v>46295</v>
      </c>
      <c r="CH12" s="167">
        <f t="shared" si="86"/>
        <v>0</v>
      </c>
      <c r="CI12" s="163">
        <f t="shared" si="87"/>
        <v>46296</v>
      </c>
      <c r="CJ12" s="163">
        <f t="shared" si="88"/>
        <v>46326</v>
      </c>
      <c r="CK12" s="167">
        <f t="shared" si="89"/>
        <v>0</v>
      </c>
      <c r="CL12" s="163">
        <f t="shared" si="90"/>
        <v>46327</v>
      </c>
      <c r="CM12" s="163">
        <f t="shared" si="91"/>
        <v>46356</v>
      </c>
      <c r="CN12" s="167">
        <f t="shared" si="92"/>
        <v>0</v>
      </c>
      <c r="CO12" s="163">
        <f t="shared" si="93"/>
        <v>46357</v>
      </c>
      <c r="CP12" s="163">
        <f t="shared" si="94"/>
        <v>46387</v>
      </c>
      <c r="CQ12" s="167">
        <f t="shared" si="95"/>
        <v>0</v>
      </c>
    </row>
    <row r="13" s="89" customFormat="1" ht="24" customHeight="1" outlineLevel="4" spans="1:95">
      <c r="A13" s="132" t="s">
        <v>2813</v>
      </c>
      <c r="B13" s="133"/>
      <c r="C13" s="133"/>
      <c r="D13" s="133"/>
      <c r="E13" s="133"/>
      <c r="F13" s="133"/>
      <c r="G13" s="134"/>
      <c r="H13" s="135"/>
      <c r="I13" s="135"/>
      <c r="J13" s="135"/>
      <c r="K13" s="135"/>
      <c r="L13" s="158"/>
      <c r="M13" s="158"/>
      <c r="N13" s="135"/>
      <c r="O13" s="158"/>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c r="CL13" s="135"/>
      <c r="CM13" s="135"/>
      <c r="CN13" s="135"/>
      <c r="CO13" s="135"/>
      <c r="CP13" s="135"/>
      <c r="CQ13" s="135"/>
    </row>
    <row r="14" s="89" customFormat="1" ht="24" customHeight="1" outlineLevel="3" collapsed="1" spans="1:95">
      <c r="A14" s="124"/>
      <c r="B14" s="125" t="s">
        <v>792</v>
      </c>
      <c r="C14" s="126" t="s">
        <v>67</v>
      </c>
      <c r="D14" s="124" t="s">
        <v>68</v>
      </c>
      <c r="E14" s="125"/>
      <c r="F14" s="125"/>
      <c r="G14" s="125"/>
      <c r="H14" s="127">
        <f>X14+AA14+AD14+AG14+AJ14+AM14+AP14+AS14+AV14+AY14+BB14+BE14</f>
        <v>0</v>
      </c>
      <c r="I14" s="127">
        <f>Y14+AB14+AE14+AH14+AK14+AN14+AQ14+AT14+AW14+AZ14+BC14+BF14</f>
        <v>0</v>
      </c>
      <c r="J14" s="127">
        <f t="shared" si="5"/>
        <v>0</v>
      </c>
      <c r="K14" s="127"/>
      <c r="L14" s="155"/>
      <c r="M14" s="155"/>
      <c r="N14" s="127"/>
      <c r="O14" s="155"/>
      <c r="P14" s="127"/>
      <c r="Q14" s="127"/>
      <c r="R14" s="127"/>
      <c r="S14" s="127"/>
      <c r="T14" s="127"/>
      <c r="U14" s="127"/>
      <c r="V14" s="127"/>
      <c r="W14" s="127"/>
      <c r="X14" s="127">
        <f>VLOOKUP($C14,'1 预算编制表单'!$C:$BJ,27,FALSE)</f>
        <v>0</v>
      </c>
      <c r="Y14" s="127">
        <f>X14-Z14</f>
        <v>0</v>
      </c>
      <c r="Z14" s="127">
        <f>SUM(Z15:Z19)</f>
        <v>0</v>
      </c>
      <c r="AA14" s="127">
        <f>VLOOKUP($C14,'1 预算编制表单'!$C:$BJ,30,FALSE)</f>
        <v>0</v>
      </c>
      <c r="AB14" s="127">
        <f>AA14-AC14</f>
        <v>0</v>
      </c>
      <c r="AC14" s="127">
        <f>SUM(AC15:AC19)</f>
        <v>0</v>
      </c>
      <c r="AD14" s="127">
        <f>VLOOKUP($C14,'1 预算编制表单'!$C:$BJ,33,FALSE)</f>
        <v>0</v>
      </c>
      <c r="AE14" s="127">
        <f>AD14-AF14</f>
        <v>0</v>
      </c>
      <c r="AF14" s="127">
        <f>SUM(AF15:AF19)</f>
        <v>0</v>
      </c>
      <c r="AG14" s="127">
        <f>VLOOKUP($C14,'1 预算编制表单'!$C:$BJ,36,FALSE)</f>
        <v>0</v>
      </c>
      <c r="AH14" s="127">
        <f>AG14-AI14</f>
        <v>0</v>
      </c>
      <c r="AI14" s="127">
        <f>SUM(AI15:AI19)</f>
        <v>0</v>
      </c>
      <c r="AJ14" s="127">
        <f>VLOOKUP($C14,'1 预算编制表单'!$C:$BJ,39,FALSE)</f>
        <v>0</v>
      </c>
      <c r="AK14" s="127">
        <f>AJ14-AL14</f>
        <v>0</v>
      </c>
      <c r="AL14" s="127">
        <f>SUM(AL15:AL19)</f>
        <v>0</v>
      </c>
      <c r="AM14" s="127">
        <f>VLOOKUP($C14,'1 预算编制表单'!$C:$BJ,42,FALSE)</f>
        <v>0</v>
      </c>
      <c r="AN14" s="127">
        <f>AM14-AO14</f>
        <v>0</v>
      </c>
      <c r="AO14" s="127">
        <f>SUM(AO15:AO19)</f>
        <v>0</v>
      </c>
      <c r="AP14" s="127">
        <f>VLOOKUP($C14,'1 预算编制表单'!$C:$BJ,45,FALSE)</f>
        <v>0</v>
      </c>
      <c r="AQ14" s="127">
        <f>AP14-AR14</f>
        <v>0</v>
      </c>
      <c r="AR14" s="127">
        <f>SUM(AR15:AR19)</f>
        <v>0</v>
      </c>
      <c r="AS14" s="127">
        <f>VLOOKUP($C14,'1 预算编制表单'!$C:$BJ,48,FALSE)</f>
        <v>0</v>
      </c>
      <c r="AT14" s="127">
        <f>AS14-AU14</f>
        <v>0</v>
      </c>
      <c r="AU14" s="127">
        <f>SUM(AU15:AU19)</f>
        <v>0</v>
      </c>
      <c r="AV14" s="127">
        <f>VLOOKUP($C14,'1 预算编制表单'!$C:$BJ,51,FALSE)</f>
        <v>0</v>
      </c>
      <c r="AW14" s="127">
        <f>AV14-AX14</f>
        <v>0</v>
      </c>
      <c r="AX14" s="127">
        <f>SUM(AX15:AX19)</f>
        <v>0</v>
      </c>
      <c r="AY14" s="127">
        <f>VLOOKUP($C14,'1 预算编制表单'!$C:$BJ,54,FALSE)</f>
        <v>0</v>
      </c>
      <c r="AZ14" s="127">
        <f>AY14-BA14</f>
        <v>0</v>
      </c>
      <c r="BA14" s="127">
        <f>SUM(BA15:BA19)</f>
        <v>0</v>
      </c>
      <c r="BB14" s="127">
        <f>VLOOKUP($C14,'1 预算编制表单'!$C:$BJ,57,FALSE)</f>
        <v>0</v>
      </c>
      <c r="BC14" s="127">
        <f>BB14-BD14</f>
        <v>0</v>
      </c>
      <c r="BD14" s="127">
        <f>SUM(BD15:BD19)</f>
        <v>0</v>
      </c>
      <c r="BE14" s="127">
        <f>VLOOKUP($C14,'1 预算编制表单'!$C:$BJ,60,FALSE)</f>
        <v>0</v>
      </c>
      <c r="BF14" s="127">
        <f>BE14-BG14</f>
        <v>0</v>
      </c>
      <c r="BG14" s="127">
        <f>SUM(BG15:BG19)</f>
        <v>0</v>
      </c>
      <c r="BH14" s="127">
        <f>VLOOKUP($C14,'1 预算编制表单'!$C:$BJ,27,FALSE)</f>
        <v>0</v>
      </c>
      <c r="BI14" s="127">
        <f>BH14-BJ14</f>
        <v>0</v>
      </c>
      <c r="BJ14" s="127">
        <f>SUM(BJ15:BJ19)</f>
        <v>0</v>
      </c>
      <c r="BK14" s="127">
        <f>VLOOKUP($C14,'1 预算编制表单'!$C:$BJ,30,FALSE)</f>
        <v>0</v>
      </c>
      <c r="BL14" s="127">
        <f>BK14-BM14</f>
        <v>0</v>
      </c>
      <c r="BM14" s="127">
        <f>SUM(BM15:BM19)</f>
        <v>0</v>
      </c>
      <c r="BN14" s="127">
        <f>VLOOKUP($C14,'1 预算编制表单'!$C:$BJ,33,FALSE)</f>
        <v>0</v>
      </c>
      <c r="BO14" s="127">
        <f>BN14-BP14</f>
        <v>0</v>
      </c>
      <c r="BP14" s="127">
        <f>SUM(BP15:BP19)</f>
        <v>0</v>
      </c>
      <c r="BQ14" s="127">
        <f>VLOOKUP($C14,'1 预算编制表单'!$C:$BJ,36,FALSE)</f>
        <v>0</v>
      </c>
      <c r="BR14" s="127">
        <f>BQ14-BS14</f>
        <v>0</v>
      </c>
      <c r="BS14" s="127">
        <f>SUM(BS15:BS19)</f>
        <v>0</v>
      </c>
      <c r="BT14" s="127">
        <f>VLOOKUP($C14,'1 预算编制表单'!$C:$BJ,39,FALSE)</f>
        <v>0</v>
      </c>
      <c r="BU14" s="127">
        <f>BT14-BV14</f>
        <v>0</v>
      </c>
      <c r="BV14" s="127">
        <f>SUM(BV15:BV19)</f>
        <v>0</v>
      </c>
      <c r="BW14" s="127">
        <f>VLOOKUP($C14,'1 预算编制表单'!$C:$BJ,42,FALSE)</f>
        <v>0</v>
      </c>
      <c r="BX14" s="127">
        <f>BW14-BY14</f>
        <v>0</v>
      </c>
      <c r="BY14" s="127">
        <f>SUM(BY15:BY19)</f>
        <v>0</v>
      </c>
      <c r="BZ14" s="127">
        <f>VLOOKUP($C14,'1 预算编制表单'!$C:$BJ,45,FALSE)</f>
        <v>0</v>
      </c>
      <c r="CA14" s="127">
        <f>BZ14-CB14</f>
        <v>0</v>
      </c>
      <c r="CB14" s="127">
        <f>SUM(CB15:CB19)</f>
        <v>0</v>
      </c>
      <c r="CC14" s="127">
        <f>VLOOKUP($C14,'1 预算编制表单'!$C:$BJ,48,FALSE)</f>
        <v>0</v>
      </c>
      <c r="CD14" s="127">
        <f>CC14-CE14</f>
        <v>0</v>
      </c>
      <c r="CE14" s="127">
        <f>SUM(CE15:CE19)</f>
        <v>0</v>
      </c>
      <c r="CF14" s="127">
        <f>VLOOKUP($C14,'1 预算编制表单'!$C:$BJ,51,FALSE)</f>
        <v>0</v>
      </c>
      <c r="CG14" s="127">
        <f>CF14-CH14</f>
        <v>0</v>
      </c>
      <c r="CH14" s="127">
        <f>SUM(CH15:CH19)</f>
        <v>0</v>
      </c>
      <c r="CI14" s="127">
        <f>VLOOKUP($C14,'1 预算编制表单'!$C:$BJ,54,FALSE)</f>
        <v>0</v>
      </c>
      <c r="CJ14" s="127">
        <f>CI14-CK14</f>
        <v>0</v>
      </c>
      <c r="CK14" s="127">
        <f>SUM(CK15:CK19)</f>
        <v>0</v>
      </c>
      <c r="CL14" s="127">
        <f>VLOOKUP($C14,'1 预算编制表单'!$C:$BJ,57,FALSE)</f>
        <v>0</v>
      </c>
      <c r="CM14" s="127">
        <f>CL14-CN14</f>
        <v>0</v>
      </c>
      <c r="CN14" s="127">
        <f>SUM(CN15:CN19)</f>
        <v>0</v>
      </c>
      <c r="CO14" s="127">
        <f>VLOOKUP($C14,'1 预算编制表单'!$C:$BJ,60,FALSE)</f>
        <v>0</v>
      </c>
      <c r="CP14" s="127">
        <f>CO14-CQ14</f>
        <v>0</v>
      </c>
      <c r="CQ14" s="127">
        <f>SUM(CQ15:CQ19)</f>
        <v>0</v>
      </c>
    </row>
    <row r="15" s="89" customFormat="1" ht="24" hidden="1" customHeight="1" outlineLevel="4" spans="1:95">
      <c r="A15" s="128"/>
      <c r="B15" s="129"/>
      <c r="C15" s="130" t="s">
        <v>112</v>
      </c>
      <c r="D15" s="136" t="s">
        <v>2814</v>
      </c>
      <c r="E15" s="129"/>
      <c r="F15" s="129"/>
      <c r="G15" s="129"/>
      <c r="H15" s="131"/>
      <c r="I15" s="131"/>
      <c r="J15" s="131">
        <f t="shared" si="5"/>
        <v>0</v>
      </c>
      <c r="K15" s="159">
        <v>1</v>
      </c>
      <c r="L15" s="160"/>
      <c r="M15" s="160"/>
      <c r="N15" s="131"/>
      <c r="O15" s="157"/>
      <c r="P15" s="131"/>
      <c r="Q15" s="131"/>
      <c r="R15" s="131"/>
      <c r="S15" s="131"/>
      <c r="T15" s="131"/>
      <c r="U15" s="131"/>
      <c r="V15" s="131"/>
      <c r="W15" s="131"/>
      <c r="X15" s="163"/>
      <c r="Y15" s="163"/>
      <c r="Z15" s="159">
        <f>报销单计算表!B20</f>
        <v>0</v>
      </c>
      <c r="AA15" s="163"/>
      <c r="AB15" s="163"/>
      <c r="AC15" s="159">
        <f>报销单计算表!C20</f>
        <v>0</v>
      </c>
      <c r="AD15" s="163"/>
      <c r="AE15" s="163"/>
      <c r="AF15" s="159">
        <f>报销单计算表!D20</f>
        <v>0</v>
      </c>
      <c r="AG15" s="163"/>
      <c r="AH15" s="168"/>
      <c r="AI15" s="159">
        <f>报销单计算表!E20</f>
        <v>0</v>
      </c>
      <c r="AJ15" s="168"/>
      <c r="AK15" s="168"/>
      <c r="AL15" s="159">
        <f>报销单计算表!F20</f>
        <v>0</v>
      </c>
      <c r="AM15" s="168"/>
      <c r="AN15" s="168"/>
      <c r="AO15" s="159">
        <f>报销单计算表!G20</f>
        <v>0</v>
      </c>
      <c r="AP15" s="168"/>
      <c r="AQ15" s="168"/>
      <c r="AR15" s="159">
        <f>报销单计算表!H20</f>
        <v>0</v>
      </c>
      <c r="AS15" s="168"/>
      <c r="AT15" s="168"/>
      <c r="AU15" s="159">
        <f>报销单计算表!I20</f>
        <v>0</v>
      </c>
      <c r="AV15" s="168"/>
      <c r="AW15" s="168"/>
      <c r="AX15" s="159">
        <f>报销单计算表!J20</f>
        <v>0</v>
      </c>
      <c r="AY15" s="163"/>
      <c r="AZ15" s="168"/>
      <c r="BA15" s="159">
        <f>报销单计算表!K20</f>
        <v>0</v>
      </c>
      <c r="BB15" s="168"/>
      <c r="BC15" s="168"/>
      <c r="BD15" s="159">
        <f>报销单计算表!L20</f>
        <v>0</v>
      </c>
      <c r="BE15" s="168"/>
      <c r="BF15" s="168"/>
      <c r="BG15" s="159">
        <f>报销单计算表!M20</f>
        <v>0</v>
      </c>
      <c r="BH15" s="163">
        <v>46023</v>
      </c>
      <c r="BI15" s="163">
        <v>46053</v>
      </c>
      <c r="BJ15" s="172">
        <v>0</v>
      </c>
      <c r="BK15" s="163">
        <v>46054</v>
      </c>
      <c r="BL15" s="163">
        <v>46081</v>
      </c>
      <c r="BM15" s="172">
        <v>0</v>
      </c>
      <c r="BN15" s="163">
        <v>46082</v>
      </c>
      <c r="BO15" s="163">
        <v>46112</v>
      </c>
      <c r="BP15" s="172">
        <v>0</v>
      </c>
      <c r="BQ15" s="163">
        <v>46113</v>
      </c>
      <c r="BR15" s="163">
        <v>46142</v>
      </c>
      <c r="BS15" s="172">
        <v>0</v>
      </c>
      <c r="BT15" s="163">
        <v>46143</v>
      </c>
      <c r="BU15" s="163">
        <v>46173</v>
      </c>
      <c r="BV15" s="172">
        <v>0</v>
      </c>
      <c r="BW15" s="163">
        <v>46174</v>
      </c>
      <c r="BX15" s="163">
        <v>46203</v>
      </c>
      <c r="BY15" s="172">
        <v>0</v>
      </c>
      <c r="BZ15" s="163">
        <v>46204</v>
      </c>
      <c r="CA15" s="163">
        <v>46234</v>
      </c>
      <c r="CB15" s="172">
        <v>0</v>
      </c>
      <c r="CC15" s="163">
        <v>46235</v>
      </c>
      <c r="CD15" s="163">
        <v>46265</v>
      </c>
      <c r="CE15" s="172">
        <v>0</v>
      </c>
      <c r="CF15" s="163">
        <v>46266</v>
      </c>
      <c r="CG15" s="163">
        <v>46295</v>
      </c>
      <c r="CH15" s="172">
        <v>0</v>
      </c>
      <c r="CI15" s="163">
        <v>46296</v>
      </c>
      <c r="CJ15" s="163">
        <v>46326</v>
      </c>
      <c r="CK15" s="172">
        <v>0</v>
      </c>
      <c r="CL15" s="163">
        <v>46327</v>
      </c>
      <c r="CM15" s="163">
        <v>46356</v>
      </c>
      <c r="CN15" s="172">
        <v>0</v>
      </c>
      <c r="CO15" s="163">
        <v>46357</v>
      </c>
      <c r="CP15" s="163">
        <v>46387</v>
      </c>
      <c r="CQ15" s="172">
        <v>0</v>
      </c>
    </row>
    <row r="16" s="89" customFormat="1" ht="24" hidden="1" customHeight="1" outlineLevel="4" spans="1:95">
      <c r="A16" s="128"/>
      <c r="B16" s="129"/>
      <c r="C16" s="130"/>
      <c r="D16" s="128"/>
      <c r="E16" s="129"/>
      <c r="F16" s="129"/>
      <c r="G16" s="129"/>
      <c r="H16" s="131"/>
      <c r="I16" s="131"/>
      <c r="J16" s="131">
        <f t="shared" si="5"/>
        <v>0</v>
      </c>
      <c r="K16" s="131">
        <f t="shared" si="96"/>
        <v>2</v>
      </c>
      <c r="L16" s="156"/>
      <c r="M16" s="157">
        <f>IFERROR(VLOOKUP($L16,'2-2 引出数据_合同数据仓库'!$B$5:$BP$200,3,FALSE),0)</f>
        <v>0</v>
      </c>
      <c r="N16" s="131"/>
      <c r="O16" s="157">
        <f>IFERROR(VLOOKUP((LEFT(VLOOKUP($L16,'2-2 引出数据_合同数据仓库'!$B$5:$BP$200,64,FALSE),15)&amp;(RIGHT(VLOOKUP($L16,'2-2 引出数据_合同数据仓库'!$B$5:$BP$200,64,FALSE),4)+1)),'2-2 引出数据_合同数据仓库'!$B$5:$BP$200,3,FALSE),0)</f>
        <v>0</v>
      </c>
      <c r="P16" s="131"/>
      <c r="Q16" s="131">
        <f>IFERROR(VLOOKUP($L16,'2-2 引出数据_合同数据仓库'!$B$5:$BP$200,28,FALSE),0)</f>
        <v>0</v>
      </c>
      <c r="R16" s="131">
        <f>IFERROR(VLOOKUP($L16,'2-2 引出数据_合同数据仓库'!$B$5:$BP$200,29,FALSE),0)</f>
        <v>0</v>
      </c>
      <c r="S16" s="131">
        <f>IFERROR(VLOOKUP($L16,'2-2 引出数据_合同数据仓库'!$B$5:$BP$200,4,FALSE),0)</f>
        <v>0</v>
      </c>
      <c r="T16" s="131"/>
      <c r="U16" s="131">
        <f>IFERROR(VLOOKUP($L16,'2-2 引出数据_合同数据仓库'!$B$5:$BP$200,15,FALSE),0)</f>
        <v>0</v>
      </c>
      <c r="V16" s="131">
        <f t="shared" ref="V16:V18" si="97">U16/(S16-R16+1)*365</f>
        <v>0</v>
      </c>
      <c r="W16" s="131"/>
      <c r="X16" s="163">
        <v>45658</v>
      </c>
      <c r="Y16" s="163">
        <f t="shared" ref="Y16:Y18" si="98">X16+30</f>
        <v>45688</v>
      </c>
      <c r="Z16" s="167">
        <f t="shared" ref="Z16:Z18" si="99">IFERROR(IF(($R16-Y16)&gt;=0,0,IF(($S16-X16)&lt;0,0,IF(AND(($S16-Y16)&gt;0,(X16-$R16)&gt;0),$V16/365*(Y16-X16+1),IF(AND(($S16-Y16)&lt;=0,(X16-$R16)&gt;0),$V16/365*($S16-X16+1),$V16/365*(Y16-$R16+1))))),0)</f>
        <v>0</v>
      </c>
      <c r="AA16" s="163">
        <f t="shared" ref="AA16:AA18" si="100">Y16+1</f>
        <v>45689</v>
      </c>
      <c r="AB16" s="163">
        <f t="shared" ref="AB16:AB18" si="101">AA16+27</f>
        <v>45716</v>
      </c>
      <c r="AC16" s="167">
        <f t="shared" ref="AC16:AC18" si="102">IFERROR(IF(($R16-AB16)&gt;=0,0,IF(($S16-AA16)&lt;0,0,IF(AND(($S16-AB16)&gt;0,(AA16-$R16)&gt;0),$V16/365*(AB16-AA16+1),IF(AND(($S16-AB16)&lt;=0,(AA16-$R16)&gt;0),$V16/365*($S16-AA16+1),$V16/365*(AB16-$R16+1))))),0)</f>
        <v>0</v>
      </c>
      <c r="AD16" s="163">
        <f t="shared" ref="AD16:AD18" si="103">AB16+1</f>
        <v>45717</v>
      </c>
      <c r="AE16" s="163">
        <f t="shared" ref="AE16:AE18" si="104">AD16+30</f>
        <v>45747</v>
      </c>
      <c r="AF16" s="167">
        <f t="shared" ref="AF16:AF18" si="105">IFERROR(IF(($R16-AE16)&gt;=0,0,IF(($S16-AD16)&lt;0,0,IF(AND(($S16-AE16)&gt;0,(AD16-$R16)&gt;0),$V16/365*(AE16-AD16+1),IF(AND(($S16-AE16)&lt;=0,(AD16-$R16)&gt;0),$V16/365*($S16-AD16+1),$V16/365*(AE16-$R16+1))))),0)</f>
        <v>0</v>
      </c>
      <c r="AG16" s="163">
        <f t="shared" ref="AG16:AG18" si="106">AE16+1</f>
        <v>45748</v>
      </c>
      <c r="AH16" s="163">
        <f t="shared" ref="AH16:AH18" si="107">AG16+29</f>
        <v>45777</v>
      </c>
      <c r="AI16" s="167">
        <f t="shared" ref="AI16:AI18" si="108">IFERROR(IF(($R16-AH16)&gt;=0,0,IF(($S16-AG16)&lt;0,0,IF(AND(($S16-AH16)&gt;0,(AG16-$R16)&gt;0),$V16/365*(AH16-AG16+1),IF(AND(($S16-AH16)&lt;=0,(AG16-$R16)&gt;0),$V16/365*($S16-AG16+1),$V16/365*(AH16-$R16+1))))),0)</f>
        <v>0</v>
      </c>
      <c r="AJ16" s="163">
        <f t="shared" ref="AJ16:AJ18" si="109">AH16+1</f>
        <v>45778</v>
      </c>
      <c r="AK16" s="163">
        <f t="shared" ref="AK16:AK18" si="110">AJ16+30</f>
        <v>45808</v>
      </c>
      <c r="AL16" s="167">
        <f t="shared" ref="AL16:AL18" si="111">IFERROR(IF(($R16-AK16)&gt;=0,0,IF(($S16-AJ16)&lt;0,0,IF(AND(($S16-AK16)&gt;0,(AJ16-$R16)&gt;0),$V16/365*(AK16-AJ16+1),IF(AND(($S16-AK16)&lt;=0,(AJ16-$R16)&gt;0),$V16/365*($S16-AJ16+1),$V16/365*(AK16-$R16+1))))),0)</f>
        <v>0</v>
      </c>
      <c r="AM16" s="163">
        <f t="shared" ref="AM16:AM18" si="112">AK16+1</f>
        <v>45809</v>
      </c>
      <c r="AN16" s="163">
        <f t="shared" ref="AN16:AN18" si="113">AM16+29</f>
        <v>45838</v>
      </c>
      <c r="AO16" s="167">
        <f t="shared" ref="AO16:AO18" si="114">IFERROR(IF(($R16-AN16)&gt;=0,0,IF(($S16-AM16)&lt;0,0,IF(AND(($S16-AN16)&gt;0,(AM16-$R16)&gt;0),$V16/365*(AN16-AM16+1),IF(AND(($S16-AN16)&lt;=0,(AM16-$R16)&gt;0),$V16/365*($S16-AM16+1),$V16/365*(AN16-$R16+1))))),0)</f>
        <v>0</v>
      </c>
      <c r="AP16" s="163">
        <f t="shared" ref="AP16:AP18" si="115">AN16+1</f>
        <v>45839</v>
      </c>
      <c r="AQ16" s="163">
        <f t="shared" ref="AQ16:AQ18" si="116">AP16+30</f>
        <v>45869</v>
      </c>
      <c r="AR16" s="167">
        <f t="shared" ref="AR16:AR18" si="117">IFERROR(IF(($R16-AQ16)&gt;=0,0,IF(($S16-AP16)&lt;0,0,IF(AND(($S16-AQ16)&gt;0,(AP16-$R16)&gt;0),$V16/365*(AQ16-AP16+1),IF(AND(($S16-AQ16)&lt;=0,(AP16-$R16)&gt;0),$V16/365*($S16-AP16+1),$V16/365*(AQ16-$R16+1))))),0)</f>
        <v>0</v>
      </c>
      <c r="AS16" s="163">
        <f t="shared" ref="AS16:AS18" si="118">AQ16+1</f>
        <v>45870</v>
      </c>
      <c r="AT16" s="163">
        <f t="shared" ref="AT16:AT18" si="119">AS16+30</f>
        <v>45900</v>
      </c>
      <c r="AU16" s="167">
        <f t="shared" ref="AU16:AU18" si="120">IFERROR(IF(($R16-AT16)&gt;=0,0,IF(($S16-AS16)&lt;0,0,IF(AND(($S16-AT16)&gt;0,(AS16-$R16)&gt;0),$V16/365*(AT16-AS16+1),IF(AND(($S16-AT16)&lt;=0,(AS16-$R16)&gt;0),$V16/365*($S16-AS16+1),$V16/365*(AT16-$R16+1))))),0)</f>
        <v>0</v>
      </c>
      <c r="AV16" s="163">
        <f t="shared" ref="AV16:AV18" si="121">AT16+1</f>
        <v>45901</v>
      </c>
      <c r="AW16" s="163">
        <f t="shared" ref="AW16:AW18" si="122">AV16+29</f>
        <v>45930</v>
      </c>
      <c r="AX16" s="167">
        <f t="shared" ref="AX16:AX18" si="123">IFERROR(IF(($R16-AW16)&gt;=0,0,IF(($S16-AV16)&lt;0,0,IF(AND(($S16-AW16)&gt;0,(AV16-$R16)&gt;0),$V16/365*(AW16-AV16+1),IF(AND(($S16-AW16)&lt;=0,(AV16-$R16)&gt;0),$V16/365*($S16-AV16+1),$V16/365*(AW16-$R16+1))))),0)</f>
        <v>0</v>
      </c>
      <c r="AY16" s="163">
        <f t="shared" ref="AY16:AY18" si="124">AW16+1</f>
        <v>45931</v>
      </c>
      <c r="AZ16" s="163">
        <f t="shared" ref="AZ16:AZ18" si="125">AY16+30</f>
        <v>45961</v>
      </c>
      <c r="BA16" s="167">
        <f t="shared" ref="BA16:BA18" si="126">IFERROR(IF(($R16-AZ16)&gt;=0,0,IF(($S16-AY16)&lt;0,0,IF(AND(($S16-AZ16)&gt;0,(AY16-$R16)&gt;0),$V16/365*(AZ16-AY16+1),IF(AND(($S16-AZ16)&lt;=0,(AY16-$R16)&gt;0),$V16/365*($S16-AY16+1),$V16/365*(AZ16-$R16+1))))),0)</f>
        <v>0</v>
      </c>
      <c r="BB16" s="163">
        <f t="shared" ref="BB16:BB18" si="127">AZ16+1</f>
        <v>45962</v>
      </c>
      <c r="BC16" s="163">
        <f t="shared" ref="BC16:BC18" si="128">BB16+29</f>
        <v>45991</v>
      </c>
      <c r="BD16" s="167">
        <f t="shared" ref="BD16:BD18" si="129">IFERROR(IF(($R16-BC16)&gt;=0,0,IF(($S16-BB16)&lt;0,0,IF(AND(($S16-BC16)&gt;0,(BB16-$R16)&gt;0),$V16/365*(BC16-BB16+1),IF(AND(($S16-BC16)&lt;=0,(BB16-$R16)&gt;0),$V16/365*($S16-BB16+1),$V16/365*(BC16-$R16+1))))),0)</f>
        <v>0</v>
      </c>
      <c r="BE16" s="163">
        <f t="shared" ref="BE16:BE18" si="130">BC16+1</f>
        <v>45992</v>
      </c>
      <c r="BF16" s="163">
        <f t="shared" ref="BF16:BF18" si="131">BE16+30</f>
        <v>46022</v>
      </c>
      <c r="BG16" s="167">
        <f t="shared" ref="BG16:BG18" si="132">IFERROR(IF(($R16-BF16)&gt;=0,0,IF(($S16-BE16)&lt;0,0,IF(AND(($S16-BF16)&gt;0,(BE16-$R16)&gt;0),$V16/365*(BF16-BE16+1),IF(AND(($S16-BF16)&lt;=0,(BE16-$R16)&gt;0),$V16/365*($S16-BE16+1),$V16/365*(BF16-$R16+1))))),0)</f>
        <v>0</v>
      </c>
      <c r="BH16" s="163">
        <v>46023</v>
      </c>
      <c r="BI16" s="163">
        <f t="shared" ref="BI16:BI18" si="133">BH16+30</f>
        <v>46053</v>
      </c>
      <c r="BJ16" s="167">
        <f t="shared" ref="BJ16:BJ18" si="134">IFERROR(IF(($R16-BI16)&gt;=0,0,IF(($S16-BH16)&lt;0,0,IF(AND(($S16-BI16)&gt;0,(BH16-$R16)&gt;0),$V16/365*(BI16-BH16+1),IF(AND(($S16-BI16)&lt;=0,(BH16-$R16)&gt;0),$V16/365*($S16-BH16+1),$V16/365*(BI16-$R16+1))))),0)</f>
        <v>0</v>
      </c>
      <c r="BK16" s="163">
        <f t="shared" ref="BK16:BK18" si="135">BI16+1</f>
        <v>46054</v>
      </c>
      <c r="BL16" s="163">
        <f t="shared" ref="BL16:BL18" si="136">BK16+27</f>
        <v>46081</v>
      </c>
      <c r="BM16" s="167">
        <f t="shared" ref="BM16:BM18" si="137">IFERROR(IF(($R16-BL16)&gt;=0,0,IF(($S16-BK16)&lt;0,0,IF(AND(($S16-BL16)&gt;0,(BK16-$R16)&gt;0),$V16/365*(BL16-BK16+1),IF(AND(($S16-BL16)&lt;=0,(BK16-$R16)&gt;0),$V16/365*($S16-BK16+1),$V16/365*(BL16-$R16+1))))),0)</f>
        <v>0</v>
      </c>
      <c r="BN16" s="163">
        <f t="shared" ref="BN16:BN18" si="138">BL16+1</f>
        <v>46082</v>
      </c>
      <c r="BO16" s="163">
        <f t="shared" ref="BO16:BO18" si="139">BN16+30</f>
        <v>46112</v>
      </c>
      <c r="BP16" s="167">
        <f t="shared" ref="BP16:BP18" si="140">IFERROR(IF(($R16-BO16)&gt;=0,0,IF(($S16-BN16)&lt;0,0,IF(AND(($S16-BO16)&gt;0,(BN16-$R16)&gt;0),$V16/365*(BO16-BN16+1),IF(AND(($S16-BO16)&lt;=0,(BN16-$R16)&gt;0),$V16/365*($S16-BN16+1),$V16/365*(BO16-$R16+1))))),0)</f>
        <v>0</v>
      </c>
      <c r="BQ16" s="163">
        <f t="shared" ref="BQ16:BQ18" si="141">BO16+1</f>
        <v>46113</v>
      </c>
      <c r="BR16" s="163">
        <f t="shared" ref="BR16:BR18" si="142">BQ16+29</f>
        <v>46142</v>
      </c>
      <c r="BS16" s="167">
        <f t="shared" ref="BS16:BS18" si="143">IFERROR(IF(($R16-BR16)&gt;=0,0,IF(($S16-BQ16)&lt;0,0,IF(AND(($S16-BR16)&gt;0,(BQ16-$R16)&gt;0),$V16/365*(BR16-BQ16+1),IF(AND(($S16-BR16)&lt;=0,(BQ16-$R16)&gt;0),$V16/365*($S16-BQ16+1),$V16/365*(BR16-$R16+1))))),0)</f>
        <v>0</v>
      </c>
      <c r="BT16" s="163">
        <f t="shared" ref="BT16:BT18" si="144">BR16+1</f>
        <v>46143</v>
      </c>
      <c r="BU16" s="163">
        <f t="shared" ref="BU16:BU18" si="145">BT16+30</f>
        <v>46173</v>
      </c>
      <c r="BV16" s="167">
        <f t="shared" ref="BV16:BV18" si="146">IFERROR(IF(($R16-BU16)&gt;=0,0,IF(($S16-BT16)&lt;0,0,IF(AND(($S16-BU16)&gt;0,(BT16-$R16)&gt;0),$V16/365*(BU16-BT16+1),IF(AND(($S16-BU16)&lt;=0,(BT16-$R16)&gt;0),$V16/365*($S16-BT16+1),$V16/365*(BU16-$R16+1))))),0)</f>
        <v>0</v>
      </c>
      <c r="BW16" s="163">
        <f t="shared" ref="BW16:BW18" si="147">BU16+1</f>
        <v>46174</v>
      </c>
      <c r="BX16" s="163">
        <f t="shared" ref="BX16:BX18" si="148">BW16+29</f>
        <v>46203</v>
      </c>
      <c r="BY16" s="167">
        <f t="shared" ref="BY16:BY18" si="149">IFERROR(IF(($R16-BX16)&gt;=0,0,IF(($S16-BW16)&lt;0,0,IF(AND(($S16-BX16)&gt;0,(BW16-$R16)&gt;0),$V16/365*(BX16-BW16+1),IF(AND(($S16-BX16)&lt;=0,(BW16-$R16)&gt;0),$V16/365*($S16-BW16+1),$V16/365*(BX16-$R16+1))))),0)</f>
        <v>0</v>
      </c>
      <c r="BZ16" s="163">
        <f t="shared" ref="BZ16:BZ18" si="150">BX16+1</f>
        <v>46204</v>
      </c>
      <c r="CA16" s="163">
        <f t="shared" ref="CA16:CA18" si="151">BZ16+30</f>
        <v>46234</v>
      </c>
      <c r="CB16" s="167">
        <f t="shared" ref="CB16:CB18" si="152">IFERROR(IF(($R16-CA16)&gt;=0,0,IF(($S16-BZ16)&lt;0,0,IF(AND(($S16-CA16)&gt;0,(BZ16-$R16)&gt;0),$V16/365*(CA16-BZ16+1),IF(AND(($S16-CA16)&lt;=0,(BZ16-$R16)&gt;0),$V16/365*($S16-BZ16+1),$V16/365*(CA16-$R16+1))))),0)</f>
        <v>0</v>
      </c>
      <c r="CC16" s="163">
        <f t="shared" ref="CC16:CC18" si="153">CA16+1</f>
        <v>46235</v>
      </c>
      <c r="CD16" s="163">
        <f t="shared" ref="CD16:CD18" si="154">CC16+30</f>
        <v>46265</v>
      </c>
      <c r="CE16" s="167">
        <f t="shared" ref="CE16:CE18" si="155">IFERROR(IF(($R16-CD16)&gt;=0,0,IF(($S16-CC16)&lt;0,0,IF(AND(($S16-CD16)&gt;0,(CC16-$R16)&gt;0),$V16/365*(CD16-CC16+1),IF(AND(($S16-CD16)&lt;=0,(CC16-$R16)&gt;0),$V16/365*($S16-CC16+1),$V16/365*(CD16-$R16+1))))),0)</f>
        <v>0</v>
      </c>
      <c r="CF16" s="163">
        <f t="shared" ref="CF16:CF18" si="156">CD16+1</f>
        <v>46266</v>
      </c>
      <c r="CG16" s="163">
        <f t="shared" ref="CG16:CG18" si="157">CF16+29</f>
        <v>46295</v>
      </c>
      <c r="CH16" s="167">
        <f t="shared" ref="CH16:CH18" si="158">IFERROR(IF(($R16-CG16)&gt;=0,0,IF(($S16-CF16)&lt;0,0,IF(AND(($S16-CG16)&gt;0,(CF16-$R16)&gt;0),$V16/365*(CG16-CF16+1),IF(AND(($S16-CG16)&lt;=0,(CF16-$R16)&gt;0),$V16/365*($S16-CF16+1),$V16/365*(CG16-$R16+1))))),0)</f>
        <v>0</v>
      </c>
      <c r="CI16" s="163">
        <f t="shared" ref="CI16:CI18" si="159">CG16+1</f>
        <v>46296</v>
      </c>
      <c r="CJ16" s="163">
        <f t="shared" ref="CJ16:CJ18" si="160">CI16+30</f>
        <v>46326</v>
      </c>
      <c r="CK16" s="167">
        <f t="shared" ref="CK16:CK18" si="161">IFERROR(IF(($R16-CJ16)&gt;=0,0,IF(($S16-CI16)&lt;0,0,IF(AND(($S16-CJ16)&gt;0,(CI16-$R16)&gt;0),$V16/365*(CJ16-CI16+1),IF(AND(($S16-CJ16)&lt;=0,(CI16-$R16)&gt;0),$V16/365*($S16-CI16+1),$V16/365*(CJ16-$R16+1))))),0)</f>
        <v>0</v>
      </c>
      <c r="CL16" s="163">
        <f t="shared" ref="CL16:CL18" si="162">CJ16+1</f>
        <v>46327</v>
      </c>
      <c r="CM16" s="163">
        <f t="shared" ref="CM16:CM18" si="163">CL16+29</f>
        <v>46356</v>
      </c>
      <c r="CN16" s="167">
        <f t="shared" ref="CN16:CN18" si="164">IFERROR(IF(($R16-CM16)&gt;=0,0,IF(($S16-CL16)&lt;0,0,IF(AND(($S16-CM16)&gt;0,(CL16-$R16)&gt;0),$V16/365*(CM16-CL16+1),IF(AND(($S16-CM16)&lt;=0,(CL16-$R16)&gt;0),$V16/365*($S16-CL16+1),$V16/365*(CM16-$R16+1))))),0)</f>
        <v>0</v>
      </c>
      <c r="CO16" s="163">
        <f t="shared" ref="CO16:CO18" si="165">CM16+1</f>
        <v>46357</v>
      </c>
      <c r="CP16" s="163">
        <f t="shared" ref="CP16:CP18" si="166">CO16+30</f>
        <v>46387</v>
      </c>
      <c r="CQ16" s="167">
        <f t="shared" ref="CQ16:CQ18" si="167">IFERROR(IF(($R16-CP16)&gt;=0,0,IF(($S16-CO16)&lt;0,0,IF(AND(($S16-CP16)&gt;0,(CO16-$R16)&gt;0),$V16/365*(CP16-CO16+1),IF(AND(($S16-CP16)&lt;=0,(CO16-$R16)&gt;0),$V16/365*($S16-CO16+1),$V16/365*(CP16-$R16+1))))),0)</f>
        <v>0</v>
      </c>
    </row>
    <row r="17" s="89" customFormat="1" ht="24" hidden="1" customHeight="1" outlineLevel="4" spans="1:95">
      <c r="A17" s="128"/>
      <c r="B17" s="129"/>
      <c r="C17" s="130"/>
      <c r="D17" s="128"/>
      <c r="E17" s="129"/>
      <c r="F17" s="129"/>
      <c r="G17" s="129"/>
      <c r="H17" s="131"/>
      <c r="I17" s="131"/>
      <c r="J17" s="131">
        <f t="shared" si="5"/>
        <v>0</v>
      </c>
      <c r="K17" s="131">
        <f t="shared" si="96"/>
        <v>3</v>
      </c>
      <c r="L17" s="156"/>
      <c r="M17" s="157">
        <f>IFERROR(VLOOKUP($L17,'2-2 引出数据_合同数据仓库'!$B$5:$BP$200,3,FALSE),0)</f>
        <v>0</v>
      </c>
      <c r="N17" s="131"/>
      <c r="O17" s="157">
        <f>IFERROR(VLOOKUP((LEFT(VLOOKUP($L17,'2-2 引出数据_合同数据仓库'!$B$5:$BP$200,64,FALSE),15)&amp;(RIGHT(VLOOKUP($L17,'2-2 引出数据_合同数据仓库'!$B$5:$BP$200,64,FALSE),4)+1)),'2-2 引出数据_合同数据仓库'!$B$5:$BP$200,3,FALSE),0)</f>
        <v>0</v>
      </c>
      <c r="P17" s="131"/>
      <c r="Q17" s="131">
        <f>IFERROR(VLOOKUP($L17,'2-2 引出数据_合同数据仓库'!$B$5:$BP$200,28,FALSE),0)</f>
        <v>0</v>
      </c>
      <c r="R17" s="131">
        <f>IFERROR(VLOOKUP($L17,'2-2 引出数据_合同数据仓库'!$B$5:$BP$200,29,FALSE),0)</f>
        <v>0</v>
      </c>
      <c r="S17" s="131">
        <f>IFERROR(VLOOKUP($L17,'2-2 引出数据_合同数据仓库'!$B$5:$BP$200,4,FALSE),0)</f>
        <v>0</v>
      </c>
      <c r="T17" s="131"/>
      <c r="U17" s="131">
        <f>IFERROR(VLOOKUP($L17,'2-2 引出数据_合同数据仓库'!$B$5:$BP$200,15,FALSE),0)</f>
        <v>0</v>
      </c>
      <c r="V17" s="131">
        <f t="shared" si="97"/>
        <v>0</v>
      </c>
      <c r="W17" s="131"/>
      <c r="X17" s="163">
        <v>45658</v>
      </c>
      <c r="Y17" s="163">
        <f t="shared" si="98"/>
        <v>45688</v>
      </c>
      <c r="Z17" s="167">
        <f t="shared" si="99"/>
        <v>0</v>
      </c>
      <c r="AA17" s="163">
        <f t="shared" si="100"/>
        <v>45689</v>
      </c>
      <c r="AB17" s="163">
        <f t="shared" si="101"/>
        <v>45716</v>
      </c>
      <c r="AC17" s="167">
        <f t="shared" si="102"/>
        <v>0</v>
      </c>
      <c r="AD17" s="163">
        <f t="shared" si="103"/>
        <v>45717</v>
      </c>
      <c r="AE17" s="163">
        <f t="shared" si="104"/>
        <v>45747</v>
      </c>
      <c r="AF17" s="167">
        <f t="shared" si="105"/>
        <v>0</v>
      </c>
      <c r="AG17" s="163">
        <f t="shared" si="106"/>
        <v>45748</v>
      </c>
      <c r="AH17" s="163">
        <f t="shared" si="107"/>
        <v>45777</v>
      </c>
      <c r="AI17" s="167">
        <f t="shared" si="108"/>
        <v>0</v>
      </c>
      <c r="AJ17" s="163">
        <f t="shared" si="109"/>
        <v>45778</v>
      </c>
      <c r="AK17" s="163">
        <f t="shared" si="110"/>
        <v>45808</v>
      </c>
      <c r="AL17" s="167">
        <f t="shared" si="111"/>
        <v>0</v>
      </c>
      <c r="AM17" s="163">
        <f t="shared" si="112"/>
        <v>45809</v>
      </c>
      <c r="AN17" s="163">
        <f t="shared" si="113"/>
        <v>45838</v>
      </c>
      <c r="AO17" s="167">
        <f t="shared" si="114"/>
        <v>0</v>
      </c>
      <c r="AP17" s="163">
        <f t="shared" si="115"/>
        <v>45839</v>
      </c>
      <c r="AQ17" s="163">
        <f t="shared" si="116"/>
        <v>45869</v>
      </c>
      <c r="AR17" s="167">
        <f t="shared" si="117"/>
        <v>0</v>
      </c>
      <c r="AS17" s="163">
        <f t="shared" si="118"/>
        <v>45870</v>
      </c>
      <c r="AT17" s="163">
        <f t="shared" si="119"/>
        <v>45900</v>
      </c>
      <c r="AU17" s="167">
        <f t="shared" si="120"/>
        <v>0</v>
      </c>
      <c r="AV17" s="163">
        <f t="shared" si="121"/>
        <v>45901</v>
      </c>
      <c r="AW17" s="163">
        <f t="shared" si="122"/>
        <v>45930</v>
      </c>
      <c r="AX17" s="167">
        <f t="shared" si="123"/>
        <v>0</v>
      </c>
      <c r="AY17" s="163">
        <f t="shared" si="124"/>
        <v>45931</v>
      </c>
      <c r="AZ17" s="163">
        <f t="shared" si="125"/>
        <v>45961</v>
      </c>
      <c r="BA17" s="167">
        <f t="shared" si="126"/>
        <v>0</v>
      </c>
      <c r="BB17" s="163">
        <f t="shared" si="127"/>
        <v>45962</v>
      </c>
      <c r="BC17" s="163">
        <f t="shared" si="128"/>
        <v>45991</v>
      </c>
      <c r="BD17" s="167">
        <f t="shared" si="129"/>
        <v>0</v>
      </c>
      <c r="BE17" s="163">
        <f t="shared" si="130"/>
        <v>45992</v>
      </c>
      <c r="BF17" s="163">
        <f t="shared" si="131"/>
        <v>46022</v>
      </c>
      <c r="BG17" s="167">
        <f t="shared" si="132"/>
        <v>0</v>
      </c>
      <c r="BH17" s="163">
        <v>46023</v>
      </c>
      <c r="BI17" s="163">
        <f t="shared" si="133"/>
        <v>46053</v>
      </c>
      <c r="BJ17" s="167">
        <f t="shared" si="134"/>
        <v>0</v>
      </c>
      <c r="BK17" s="163">
        <f t="shared" si="135"/>
        <v>46054</v>
      </c>
      <c r="BL17" s="163">
        <f t="shared" si="136"/>
        <v>46081</v>
      </c>
      <c r="BM17" s="167">
        <f t="shared" si="137"/>
        <v>0</v>
      </c>
      <c r="BN17" s="163">
        <f t="shared" si="138"/>
        <v>46082</v>
      </c>
      <c r="BO17" s="163">
        <f t="shared" si="139"/>
        <v>46112</v>
      </c>
      <c r="BP17" s="167">
        <f t="shared" si="140"/>
        <v>0</v>
      </c>
      <c r="BQ17" s="163">
        <f t="shared" si="141"/>
        <v>46113</v>
      </c>
      <c r="BR17" s="163">
        <f t="shared" si="142"/>
        <v>46142</v>
      </c>
      <c r="BS17" s="167">
        <f t="shared" si="143"/>
        <v>0</v>
      </c>
      <c r="BT17" s="163">
        <f t="shared" si="144"/>
        <v>46143</v>
      </c>
      <c r="BU17" s="163">
        <f t="shared" si="145"/>
        <v>46173</v>
      </c>
      <c r="BV17" s="167">
        <f t="shared" si="146"/>
        <v>0</v>
      </c>
      <c r="BW17" s="163">
        <f t="shared" si="147"/>
        <v>46174</v>
      </c>
      <c r="BX17" s="163">
        <f t="shared" si="148"/>
        <v>46203</v>
      </c>
      <c r="BY17" s="167">
        <f t="shared" si="149"/>
        <v>0</v>
      </c>
      <c r="BZ17" s="163">
        <f t="shared" si="150"/>
        <v>46204</v>
      </c>
      <c r="CA17" s="163">
        <f t="shared" si="151"/>
        <v>46234</v>
      </c>
      <c r="CB17" s="167">
        <f t="shared" si="152"/>
        <v>0</v>
      </c>
      <c r="CC17" s="163">
        <f t="shared" si="153"/>
        <v>46235</v>
      </c>
      <c r="CD17" s="163">
        <f t="shared" si="154"/>
        <v>46265</v>
      </c>
      <c r="CE17" s="167">
        <f t="shared" si="155"/>
        <v>0</v>
      </c>
      <c r="CF17" s="163">
        <f t="shared" si="156"/>
        <v>46266</v>
      </c>
      <c r="CG17" s="163">
        <f t="shared" si="157"/>
        <v>46295</v>
      </c>
      <c r="CH17" s="167">
        <f t="shared" si="158"/>
        <v>0</v>
      </c>
      <c r="CI17" s="163">
        <f t="shared" si="159"/>
        <v>46296</v>
      </c>
      <c r="CJ17" s="163">
        <f t="shared" si="160"/>
        <v>46326</v>
      </c>
      <c r="CK17" s="167">
        <f t="shared" si="161"/>
        <v>0</v>
      </c>
      <c r="CL17" s="163">
        <f t="shared" si="162"/>
        <v>46327</v>
      </c>
      <c r="CM17" s="163">
        <f t="shared" si="163"/>
        <v>46356</v>
      </c>
      <c r="CN17" s="167">
        <f t="shared" si="164"/>
        <v>0</v>
      </c>
      <c r="CO17" s="163">
        <f t="shared" si="165"/>
        <v>46357</v>
      </c>
      <c r="CP17" s="163">
        <f t="shared" si="166"/>
        <v>46387</v>
      </c>
      <c r="CQ17" s="167">
        <f t="shared" si="167"/>
        <v>0</v>
      </c>
    </row>
    <row r="18" s="89" customFormat="1" ht="24" hidden="1" customHeight="1" outlineLevel="4" spans="1:95">
      <c r="A18" s="128"/>
      <c r="B18" s="129"/>
      <c r="C18" s="130"/>
      <c r="D18" s="128"/>
      <c r="E18" s="129"/>
      <c r="F18" s="129"/>
      <c r="G18" s="129"/>
      <c r="H18" s="131"/>
      <c r="I18" s="131"/>
      <c r="J18" s="131">
        <f t="shared" si="5"/>
        <v>0</v>
      </c>
      <c r="K18" s="131">
        <f t="shared" si="96"/>
        <v>4</v>
      </c>
      <c r="L18" s="156"/>
      <c r="M18" s="157">
        <f>IFERROR(VLOOKUP($L18,'2-2 引出数据_合同数据仓库'!$B$5:$BP$200,3,FALSE),0)</f>
        <v>0</v>
      </c>
      <c r="N18" s="131"/>
      <c r="O18" s="157">
        <f>IFERROR(VLOOKUP((LEFT(VLOOKUP($L18,'2-2 引出数据_合同数据仓库'!$B$5:$BP$200,64,FALSE),15)&amp;(RIGHT(VLOOKUP($L18,'2-2 引出数据_合同数据仓库'!$B$5:$BP$200,64,FALSE),4)+1)),'2-2 引出数据_合同数据仓库'!$B$5:$BP$200,3,FALSE),0)</f>
        <v>0</v>
      </c>
      <c r="P18" s="131"/>
      <c r="Q18" s="131">
        <f>IFERROR(VLOOKUP($L18,'2-2 引出数据_合同数据仓库'!$B$5:$BP$200,28,FALSE),0)</f>
        <v>0</v>
      </c>
      <c r="R18" s="131">
        <f>IFERROR(VLOOKUP($L18,'2-2 引出数据_合同数据仓库'!$B$5:$BP$200,29,FALSE),0)</f>
        <v>0</v>
      </c>
      <c r="S18" s="131">
        <f>IFERROR(VLOOKUP($L18,'2-2 引出数据_合同数据仓库'!$B$5:$BP$200,4,FALSE),0)</f>
        <v>0</v>
      </c>
      <c r="T18" s="131"/>
      <c r="U18" s="131">
        <f>IFERROR(VLOOKUP($L18,'2-2 引出数据_合同数据仓库'!$B$5:$BP$200,15,FALSE),0)</f>
        <v>0</v>
      </c>
      <c r="V18" s="131">
        <f t="shared" si="97"/>
        <v>0</v>
      </c>
      <c r="W18" s="131"/>
      <c r="X18" s="163">
        <v>45658</v>
      </c>
      <c r="Y18" s="163">
        <f t="shared" si="98"/>
        <v>45688</v>
      </c>
      <c r="Z18" s="167">
        <f t="shared" si="99"/>
        <v>0</v>
      </c>
      <c r="AA18" s="163">
        <f t="shared" si="100"/>
        <v>45689</v>
      </c>
      <c r="AB18" s="163">
        <f t="shared" si="101"/>
        <v>45716</v>
      </c>
      <c r="AC18" s="167">
        <f t="shared" si="102"/>
        <v>0</v>
      </c>
      <c r="AD18" s="163">
        <f t="shared" si="103"/>
        <v>45717</v>
      </c>
      <c r="AE18" s="163">
        <f t="shared" si="104"/>
        <v>45747</v>
      </c>
      <c r="AF18" s="167">
        <f t="shared" si="105"/>
        <v>0</v>
      </c>
      <c r="AG18" s="163">
        <f t="shared" si="106"/>
        <v>45748</v>
      </c>
      <c r="AH18" s="163">
        <f t="shared" si="107"/>
        <v>45777</v>
      </c>
      <c r="AI18" s="167">
        <f t="shared" si="108"/>
        <v>0</v>
      </c>
      <c r="AJ18" s="163">
        <f t="shared" si="109"/>
        <v>45778</v>
      </c>
      <c r="AK18" s="163">
        <f t="shared" si="110"/>
        <v>45808</v>
      </c>
      <c r="AL18" s="167">
        <f t="shared" si="111"/>
        <v>0</v>
      </c>
      <c r="AM18" s="163">
        <f t="shared" si="112"/>
        <v>45809</v>
      </c>
      <c r="AN18" s="163">
        <f t="shared" si="113"/>
        <v>45838</v>
      </c>
      <c r="AO18" s="167">
        <f t="shared" si="114"/>
        <v>0</v>
      </c>
      <c r="AP18" s="163">
        <f t="shared" si="115"/>
        <v>45839</v>
      </c>
      <c r="AQ18" s="163">
        <f t="shared" si="116"/>
        <v>45869</v>
      </c>
      <c r="AR18" s="167">
        <f t="shared" si="117"/>
        <v>0</v>
      </c>
      <c r="AS18" s="163">
        <f t="shared" si="118"/>
        <v>45870</v>
      </c>
      <c r="AT18" s="163">
        <f t="shared" si="119"/>
        <v>45900</v>
      </c>
      <c r="AU18" s="167">
        <f t="shared" si="120"/>
        <v>0</v>
      </c>
      <c r="AV18" s="163">
        <f t="shared" si="121"/>
        <v>45901</v>
      </c>
      <c r="AW18" s="163">
        <f t="shared" si="122"/>
        <v>45930</v>
      </c>
      <c r="AX18" s="167">
        <f t="shared" si="123"/>
        <v>0</v>
      </c>
      <c r="AY18" s="163">
        <f t="shared" si="124"/>
        <v>45931</v>
      </c>
      <c r="AZ18" s="163">
        <f t="shared" si="125"/>
        <v>45961</v>
      </c>
      <c r="BA18" s="167">
        <f t="shared" si="126"/>
        <v>0</v>
      </c>
      <c r="BB18" s="163">
        <f t="shared" si="127"/>
        <v>45962</v>
      </c>
      <c r="BC18" s="163">
        <f t="shared" si="128"/>
        <v>45991</v>
      </c>
      <c r="BD18" s="167">
        <f t="shared" si="129"/>
        <v>0</v>
      </c>
      <c r="BE18" s="163">
        <f t="shared" si="130"/>
        <v>45992</v>
      </c>
      <c r="BF18" s="163">
        <f t="shared" si="131"/>
        <v>46022</v>
      </c>
      <c r="BG18" s="167">
        <f t="shared" si="132"/>
        <v>0</v>
      </c>
      <c r="BH18" s="163">
        <v>46023</v>
      </c>
      <c r="BI18" s="163">
        <f t="shared" si="133"/>
        <v>46053</v>
      </c>
      <c r="BJ18" s="167">
        <f t="shared" si="134"/>
        <v>0</v>
      </c>
      <c r="BK18" s="163">
        <f t="shared" si="135"/>
        <v>46054</v>
      </c>
      <c r="BL18" s="163">
        <f t="shared" si="136"/>
        <v>46081</v>
      </c>
      <c r="BM18" s="167">
        <f t="shared" si="137"/>
        <v>0</v>
      </c>
      <c r="BN18" s="163">
        <f t="shared" si="138"/>
        <v>46082</v>
      </c>
      <c r="BO18" s="163">
        <f t="shared" si="139"/>
        <v>46112</v>
      </c>
      <c r="BP18" s="167">
        <f t="shared" si="140"/>
        <v>0</v>
      </c>
      <c r="BQ18" s="163">
        <f t="shared" si="141"/>
        <v>46113</v>
      </c>
      <c r="BR18" s="163">
        <f t="shared" si="142"/>
        <v>46142</v>
      </c>
      <c r="BS18" s="167">
        <f t="shared" si="143"/>
        <v>0</v>
      </c>
      <c r="BT18" s="163">
        <f t="shared" si="144"/>
        <v>46143</v>
      </c>
      <c r="BU18" s="163">
        <f t="shared" si="145"/>
        <v>46173</v>
      </c>
      <c r="BV18" s="167">
        <f t="shared" si="146"/>
        <v>0</v>
      </c>
      <c r="BW18" s="163">
        <f t="shared" si="147"/>
        <v>46174</v>
      </c>
      <c r="BX18" s="163">
        <f t="shared" si="148"/>
        <v>46203</v>
      </c>
      <c r="BY18" s="167">
        <f t="shared" si="149"/>
        <v>0</v>
      </c>
      <c r="BZ18" s="163">
        <f t="shared" si="150"/>
        <v>46204</v>
      </c>
      <c r="CA18" s="163">
        <f t="shared" si="151"/>
        <v>46234</v>
      </c>
      <c r="CB18" s="167">
        <f t="shared" si="152"/>
        <v>0</v>
      </c>
      <c r="CC18" s="163">
        <f t="shared" si="153"/>
        <v>46235</v>
      </c>
      <c r="CD18" s="163">
        <f t="shared" si="154"/>
        <v>46265</v>
      </c>
      <c r="CE18" s="167">
        <f t="shared" si="155"/>
        <v>0</v>
      </c>
      <c r="CF18" s="163">
        <f t="shared" si="156"/>
        <v>46266</v>
      </c>
      <c r="CG18" s="163">
        <f t="shared" si="157"/>
        <v>46295</v>
      </c>
      <c r="CH18" s="167">
        <f t="shared" si="158"/>
        <v>0</v>
      </c>
      <c r="CI18" s="163">
        <f t="shared" si="159"/>
        <v>46296</v>
      </c>
      <c r="CJ18" s="163">
        <f t="shared" si="160"/>
        <v>46326</v>
      </c>
      <c r="CK18" s="167">
        <f t="shared" si="161"/>
        <v>0</v>
      </c>
      <c r="CL18" s="163">
        <f t="shared" si="162"/>
        <v>46327</v>
      </c>
      <c r="CM18" s="163">
        <f t="shared" si="163"/>
        <v>46356</v>
      </c>
      <c r="CN18" s="167">
        <f t="shared" si="164"/>
        <v>0</v>
      </c>
      <c r="CO18" s="163">
        <f t="shared" si="165"/>
        <v>46357</v>
      </c>
      <c r="CP18" s="163">
        <f t="shared" si="166"/>
        <v>46387</v>
      </c>
      <c r="CQ18" s="167">
        <f t="shared" si="167"/>
        <v>0</v>
      </c>
    </row>
    <row r="19" s="89" customFormat="1" ht="24" hidden="1" customHeight="1" outlineLevel="4" spans="1:95">
      <c r="A19" s="132" t="s">
        <v>2813</v>
      </c>
      <c r="B19" s="133"/>
      <c r="C19" s="133"/>
      <c r="D19" s="133"/>
      <c r="E19" s="133"/>
      <c r="F19" s="133"/>
      <c r="G19" s="134"/>
      <c r="H19" s="135"/>
      <c r="I19" s="135"/>
      <c r="J19" s="135"/>
      <c r="K19" s="135"/>
      <c r="L19" s="158"/>
      <c r="M19" s="158"/>
      <c r="N19" s="135"/>
      <c r="O19" s="158"/>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5"/>
      <c r="CK19" s="135"/>
      <c r="CL19" s="135"/>
      <c r="CM19" s="135"/>
      <c r="CN19" s="135"/>
      <c r="CO19" s="135"/>
      <c r="CP19" s="135"/>
      <c r="CQ19" s="135"/>
    </row>
    <row r="20" s="89" customFormat="1" ht="24" customHeight="1" outlineLevel="3" collapsed="1" spans="1:95">
      <c r="A20" s="124"/>
      <c r="B20" s="125" t="s">
        <v>792</v>
      </c>
      <c r="C20" s="126" t="s">
        <v>18</v>
      </c>
      <c r="D20" s="124" t="s">
        <v>19</v>
      </c>
      <c r="E20" s="125"/>
      <c r="F20" s="125"/>
      <c r="G20" s="125"/>
      <c r="H20" s="127">
        <f>X20+AA20+AD20+AG20+AJ20+AM20+AP20+AS20+AV20+AY20+BB20+BE20</f>
        <v>0</v>
      </c>
      <c r="I20" s="127">
        <f>Y20+AB20+AE20+AH20+AK20+AN20+AQ20+AT20+AW20+AZ20+BC20+BF20</f>
        <v>0</v>
      </c>
      <c r="J20" s="127">
        <f t="shared" si="5"/>
        <v>0</v>
      </c>
      <c r="K20" s="127"/>
      <c r="L20" s="155"/>
      <c r="M20" s="155"/>
      <c r="N20" s="127"/>
      <c r="O20" s="155"/>
      <c r="P20" s="127"/>
      <c r="Q20" s="127"/>
      <c r="R20" s="127"/>
      <c r="S20" s="127"/>
      <c r="T20" s="127"/>
      <c r="U20" s="127"/>
      <c r="V20" s="127"/>
      <c r="W20" s="127"/>
      <c r="X20" s="127">
        <f>VLOOKUP($C20,'1 预算编制表单'!$C:$BJ,27,FALSE)</f>
        <v>0</v>
      </c>
      <c r="Y20" s="127">
        <f>X20-Z20</f>
        <v>0</v>
      </c>
      <c r="Z20" s="127">
        <f>SUM(Z21:Z25)</f>
        <v>0</v>
      </c>
      <c r="AA20" s="127">
        <f>VLOOKUP($C20,'1 预算编制表单'!$C:$BJ,30,FALSE)</f>
        <v>0</v>
      </c>
      <c r="AB20" s="127">
        <f>AA20-AC20</f>
        <v>0</v>
      </c>
      <c r="AC20" s="127">
        <f>SUM(AC21:AC25)</f>
        <v>0</v>
      </c>
      <c r="AD20" s="127">
        <f>VLOOKUP($C20,'1 预算编制表单'!$C:$BJ,33,FALSE)</f>
        <v>0</v>
      </c>
      <c r="AE20" s="127">
        <f>AD20-AF20</f>
        <v>0</v>
      </c>
      <c r="AF20" s="127">
        <f>SUM(AF21:AF25)</f>
        <v>0</v>
      </c>
      <c r="AG20" s="127">
        <f>VLOOKUP($C20,'1 预算编制表单'!$C:$BJ,36,FALSE)</f>
        <v>0</v>
      </c>
      <c r="AH20" s="127">
        <f>AG20-AI20</f>
        <v>0</v>
      </c>
      <c r="AI20" s="127">
        <f>SUM(AI21:AI25)</f>
        <v>0</v>
      </c>
      <c r="AJ20" s="127">
        <f>VLOOKUP($C20,'1 预算编制表单'!$C:$BJ,39,FALSE)</f>
        <v>0</v>
      </c>
      <c r="AK20" s="127">
        <f>AJ20-AL20</f>
        <v>0</v>
      </c>
      <c r="AL20" s="127">
        <f>SUM(AL21:AL25)</f>
        <v>0</v>
      </c>
      <c r="AM20" s="127">
        <f>VLOOKUP($C20,'1 预算编制表单'!$C:$BJ,42,FALSE)</f>
        <v>0</v>
      </c>
      <c r="AN20" s="127">
        <f>AM20-AO20</f>
        <v>0</v>
      </c>
      <c r="AO20" s="127">
        <f>SUM(AO21:AO25)</f>
        <v>0</v>
      </c>
      <c r="AP20" s="127">
        <f>VLOOKUP($C20,'1 预算编制表单'!$C:$BJ,45,FALSE)</f>
        <v>0</v>
      </c>
      <c r="AQ20" s="127">
        <f>AP20-AR20</f>
        <v>0</v>
      </c>
      <c r="AR20" s="127">
        <f>SUM(AR21:AR25)</f>
        <v>0</v>
      </c>
      <c r="AS20" s="127">
        <f>VLOOKUP($C20,'1 预算编制表单'!$C:$BJ,48,FALSE)</f>
        <v>0</v>
      </c>
      <c r="AT20" s="127">
        <f>AS20-AU20</f>
        <v>0</v>
      </c>
      <c r="AU20" s="127">
        <f>SUM(AU21:AU25)</f>
        <v>0</v>
      </c>
      <c r="AV20" s="127">
        <f>VLOOKUP($C20,'1 预算编制表单'!$C:$BJ,51,FALSE)</f>
        <v>0</v>
      </c>
      <c r="AW20" s="127">
        <f>AV20-AX20</f>
        <v>0</v>
      </c>
      <c r="AX20" s="127">
        <f>SUM(AX21:AX25)</f>
        <v>0</v>
      </c>
      <c r="AY20" s="127">
        <f>VLOOKUP($C20,'1 预算编制表单'!$C:$BJ,54,FALSE)</f>
        <v>0</v>
      </c>
      <c r="AZ20" s="127">
        <f>AY20-BA20</f>
        <v>0</v>
      </c>
      <c r="BA20" s="127">
        <f>SUM(BA21:BA25)</f>
        <v>0</v>
      </c>
      <c r="BB20" s="127">
        <f>VLOOKUP($C20,'1 预算编制表单'!$C:$BJ,57,FALSE)</f>
        <v>0</v>
      </c>
      <c r="BC20" s="127">
        <f>BB20-BD20</f>
        <v>0</v>
      </c>
      <c r="BD20" s="127">
        <f>SUM(BD21:BD25)</f>
        <v>0</v>
      </c>
      <c r="BE20" s="127">
        <f>VLOOKUP($C20,'1 预算编制表单'!$C:$BJ,60,FALSE)</f>
        <v>0</v>
      </c>
      <c r="BF20" s="127">
        <f>BE20-BG20</f>
        <v>0</v>
      </c>
      <c r="BG20" s="127">
        <f>SUM(BG21:BG25)</f>
        <v>0</v>
      </c>
      <c r="BH20" s="127">
        <f>VLOOKUP($C20,'1 预算编制表单'!$C:$BJ,27,FALSE)</f>
        <v>0</v>
      </c>
      <c r="BI20" s="127">
        <f>BH20-BJ20</f>
        <v>0</v>
      </c>
      <c r="BJ20" s="127">
        <f>SUM(BJ21:BJ25)</f>
        <v>0</v>
      </c>
      <c r="BK20" s="127">
        <f>VLOOKUP($C20,'1 预算编制表单'!$C:$BJ,30,FALSE)</f>
        <v>0</v>
      </c>
      <c r="BL20" s="127">
        <f>BK20-BM20</f>
        <v>0</v>
      </c>
      <c r="BM20" s="127">
        <f>SUM(BM21:BM25)</f>
        <v>0</v>
      </c>
      <c r="BN20" s="127">
        <f>VLOOKUP($C20,'1 预算编制表单'!$C:$BJ,33,FALSE)</f>
        <v>0</v>
      </c>
      <c r="BO20" s="127">
        <f>BN20-BP20</f>
        <v>0</v>
      </c>
      <c r="BP20" s="127">
        <f>SUM(BP21:BP25)</f>
        <v>0</v>
      </c>
      <c r="BQ20" s="127">
        <f>VLOOKUP($C20,'1 预算编制表单'!$C:$BJ,36,FALSE)</f>
        <v>0</v>
      </c>
      <c r="BR20" s="127">
        <f>BQ20-BS20</f>
        <v>0</v>
      </c>
      <c r="BS20" s="127">
        <f>SUM(BS21:BS25)</f>
        <v>0</v>
      </c>
      <c r="BT20" s="127">
        <f>VLOOKUP($C20,'1 预算编制表单'!$C:$BJ,39,FALSE)</f>
        <v>0</v>
      </c>
      <c r="BU20" s="127">
        <f>BT20-BV20</f>
        <v>0</v>
      </c>
      <c r="BV20" s="127">
        <f>SUM(BV21:BV25)</f>
        <v>0</v>
      </c>
      <c r="BW20" s="127">
        <f>VLOOKUP($C20,'1 预算编制表单'!$C:$BJ,42,FALSE)</f>
        <v>0</v>
      </c>
      <c r="BX20" s="127">
        <f>BW20-BY20</f>
        <v>0</v>
      </c>
      <c r="BY20" s="127">
        <f>SUM(BY21:BY25)</f>
        <v>0</v>
      </c>
      <c r="BZ20" s="127">
        <f>VLOOKUP($C20,'1 预算编制表单'!$C:$BJ,45,FALSE)</f>
        <v>0</v>
      </c>
      <c r="CA20" s="127">
        <f>BZ20-CB20</f>
        <v>0</v>
      </c>
      <c r="CB20" s="127">
        <f>SUM(CB21:CB25)</f>
        <v>0</v>
      </c>
      <c r="CC20" s="127">
        <f>VLOOKUP($C20,'1 预算编制表单'!$C:$BJ,48,FALSE)</f>
        <v>0</v>
      </c>
      <c r="CD20" s="127">
        <f>CC20-CE20</f>
        <v>0</v>
      </c>
      <c r="CE20" s="127">
        <f>SUM(CE21:CE25)</f>
        <v>0</v>
      </c>
      <c r="CF20" s="127">
        <f>VLOOKUP($C20,'1 预算编制表单'!$C:$BJ,51,FALSE)</f>
        <v>0</v>
      </c>
      <c r="CG20" s="127">
        <f>CF20-CH20</f>
        <v>0</v>
      </c>
      <c r="CH20" s="127">
        <f>SUM(CH21:CH25)</f>
        <v>0</v>
      </c>
      <c r="CI20" s="127">
        <f>VLOOKUP($C20,'1 预算编制表单'!$C:$BJ,54,FALSE)</f>
        <v>0</v>
      </c>
      <c r="CJ20" s="127">
        <f>CI20-CK20</f>
        <v>0</v>
      </c>
      <c r="CK20" s="127">
        <f>SUM(CK21:CK25)</f>
        <v>0</v>
      </c>
      <c r="CL20" s="127">
        <f>VLOOKUP($C20,'1 预算编制表单'!$C:$BJ,57,FALSE)</f>
        <v>0</v>
      </c>
      <c r="CM20" s="127">
        <f>CL20-CN20</f>
        <v>0</v>
      </c>
      <c r="CN20" s="127">
        <f>SUM(CN21:CN25)</f>
        <v>0</v>
      </c>
      <c r="CO20" s="127">
        <f>VLOOKUP($C20,'1 预算编制表单'!$C:$BJ,60,FALSE)</f>
        <v>0</v>
      </c>
      <c r="CP20" s="127">
        <f>CO20-CQ20</f>
        <v>0</v>
      </c>
      <c r="CQ20" s="127">
        <f>SUM(CQ21:CQ25)</f>
        <v>0</v>
      </c>
    </row>
    <row r="21" s="89" customFormat="1" ht="24" hidden="1" customHeight="1" outlineLevel="4" spans="1:95">
      <c r="A21" s="128"/>
      <c r="B21" s="129"/>
      <c r="C21" s="130"/>
      <c r="D21" s="128"/>
      <c r="E21" s="129"/>
      <c r="F21" s="129"/>
      <c r="G21" s="129"/>
      <c r="H21" s="131"/>
      <c r="I21" s="131"/>
      <c r="J21" s="131">
        <f t="shared" si="5"/>
        <v>0</v>
      </c>
      <c r="K21" s="131">
        <v>1</v>
      </c>
      <c r="L21" s="156"/>
      <c r="M21" s="157">
        <f>IFERROR(VLOOKUP($L21,'2-2 引出数据_合同数据仓库'!$B$5:$BP$200,3,FALSE),0)</f>
        <v>0</v>
      </c>
      <c r="N21" s="131"/>
      <c r="O21" s="157">
        <f>IFERROR(VLOOKUP((LEFT(VLOOKUP($L21,'2-2 引出数据_合同数据仓库'!$B$5:$BP$200,64,FALSE),15)&amp;(RIGHT(VLOOKUP($L21,'2-2 引出数据_合同数据仓库'!$B$5:$BP$200,64,FALSE),4)+1)),'2-2 引出数据_合同数据仓库'!$B$5:$BP$200,3,FALSE),0)</f>
        <v>0</v>
      </c>
      <c r="P21" s="131"/>
      <c r="Q21" s="131">
        <f>IFERROR(VLOOKUP($L21,'2-2 引出数据_合同数据仓库'!$B$5:$BP$200,28,FALSE),0)</f>
        <v>0</v>
      </c>
      <c r="R21" s="131">
        <f>IFERROR(VLOOKUP($L21,'2-2 引出数据_合同数据仓库'!$B$5:$BP$200,29,FALSE),0)</f>
        <v>0</v>
      </c>
      <c r="S21" s="131">
        <f>IFERROR(VLOOKUP($L21,'2-2 引出数据_合同数据仓库'!$B$5:$BP$200,4,FALSE),0)</f>
        <v>0</v>
      </c>
      <c r="T21" s="131"/>
      <c r="U21" s="131">
        <f>IFERROR(VLOOKUP($L21,'2-2 引出数据_合同数据仓库'!$B$5:$BP$200,15,FALSE),0)</f>
        <v>0</v>
      </c>
      <c r="V21" s="131">
        <f t="shared" ref="V21:V24" si="168">U21/(S21-R21+1)*365</f>
        <v>0</v>
      </c>
      <c r="W21" s="131"/>
      <c r="X21" s="163">
        <v>45658</v>
      </c>
      <c r="Y21" s="163">
        <f t="shared" ref="Y21:Y24" si="169">X21+30</f>
        <v>45688</v>
      </c>
      <c r="Z21" s="167">
        <f t="shared" ref="Z21:Z24" si="170">IFERROR(IF(($R21-Y21)&gt;=0,0,IF(($S21-X21)&lt;0,0,IF(AND(($S21-Y21)&gt;0,(X21-$R21)&gt;0),$V21/365*(Y21-X21+1),IF(AND(($S21-Y21)&lt;=0,(X21-$R21)&gt;0),$V21/365*($S21-X21+1),$V21/365*(Y21-$R21+1))))),0)</f>
        <v>0</v>
      </c>
      <c r="AA21" s="163">
        <f t="shared" ref="AA21:AA24" si="171">Y21+1</f>
        <v>45689</v>
      </c>
      <c r="AB21" s="163">
        <f t="shared" ref="AB21:AB24" si="172">AA21+27</f>
        <v>45716</v>
      </c>
      <c r="AC21" s="167">
        <f t="shared" ref="AC21:AC24" si="173">IFERROR(IF(($R21-AB21)&gt;=0,0,IF(($S21-AA21)&lt;0,0,IF(AND(($S21-AB21)&gt;0,(AA21-$R21)&gt;0),$V21/365*(AB21-AA21+1),IF(AND(($S21-AB21)&lt;=0,(AA21-$R21)&gt;0),$V21/365*($S21-AA21+1),$V21/365*(AB21-$R21+1))))),0)</f>
        <v>0</v>
      </c>
      <c r="AD21" s="163">
        <f t="shared" ref="AD21:AD24" si="174">AB21+1</f>
        <v>45717</v>
      </c>
      <c r="AE21" s="163">
        <f t="shared" ref="AE21:AE24" si="175">AD21+30</f>
        <v>45747</v>
      </c>
      <c r="AF21" s="167">
        <f t="shared" ref="AF21:AF24" si="176">IFERROR(IF(($R21-AE21)&gt;=0,0,IF(($S21-AD21)&lt;0,0,IF(AND(($S21-AE21)&gt;0,(AD21-$R21)&gt;0),$V21/365*(AE21-AD21+1),IF(AND(($S21-AE21)&lt;=0,(AD21-$R21)&gt;0),$V21/365*($S21-AD21+1),$V21/365*(AE21-$R21+1))))),0)</f>
        <v>0</v>
      </c>
      <c r="AG21" s="163">
        <f t="shared" ref="AG21:AG24" si="177">AE21+1</f>
        <v>45748</v>
      </c>
      <c r="AH21" s="163">
        <f t="shared" ref="AH21:AH24" si="178">AG21+29</f>
        <v>45777</v>
      </c>
      <c r="AI21" s="167">
        <f t="shared" ref="AI21:AI24" si="179">IFERROR(IF(($R21-AH21)&gt;=0,0,IF(($S21-AG21)&lt;0,0,IF(AND(($S21-AH21)&gt;0,(AG21-$R21)&gt;0),$V21/365*(AH21-AG21+1),IF(AND(($S21-AH21)&lt;=0,(AG21-$R21)&gt;0),$V21/365*($S21-AG21+1),$V21/365*(AH21-$R21+1))))),0)</f>
        <v>0</v>
      </c>
      <c r="AJ21" s="163">
        <f t="shared" ref="AJ21:AJ24" si="180">AH21+1</f>
        <v>45778</v>
      </c>
      <c r="AK21" s="163">
        <f t="shared" ref="AK21:AK24" si="181">AJ21+30</f>
        <v>45808</v>
      </c>
      <c r="AL21" s="167">
        <f t="shared" ref="AL21:AL24" si="182">IFERROR(IF(($R21-AK21)&gt;=0,0,IF(($S21-AJ21)&lt;0,0,IF(AND(($S21-AK21)&gt;0,(AJ21-$R21)&gt;0),$V21/365*(AK21-AJ21+1),IF(AND(($S21-AK21)&lt;=0,(AJ21-$R21)&gt;0),$V21/365*($S21-AJ21+1),$V21/365*(AK21-$R21+1))))),0)</f>
        <v>0</v>
      </c>
      <c r="AM21" s="163">
        <f t="shared" ref="AM21:AM24" si="183">AK21+1</f>
        <v>45809</v>
      </c>
      <c r="AN21" s="163">
        <f t="shared" ref="AN21:AN24" si="184">AM21+29</f>
        <v>45838</v>
      </c>
      <c r="AO21" s="167">
        <f t="shared" ref="AO21:AO24" si="185">IFERROR(IF(($R21-AN21)&gt;=0,0,IF(($S21-AM21)&lt;0,0,IF(AND(($S21-AN21)&gt;0,(AM21-$R21)&gt;0),$V21/365*(AN21-AM21+1),IF(AND(($S21-AN21)&lt;=0,(AM21-$R21)&gt;0),$V21/365*($S21-AM21+1),$V21/365*(AN21-$R21+1))))),0)</f>
        <v>0</v>
      </c>
      <c r="AP21" s="163">
        <f t="shared" ref="AP21:AP24" si="186">AN21+1</f>
        <v>45839</v>
      </c>
      <c r="AQ21" s="163">
        <f t="shared" ref="AQ21:AQ24" si="187">AP21+30</f>
        <v>45869</v>
      </c>
      <c r="AR21" s="167">
        <f t="shared" ref="AR21:AR24" si="188">IFERROR(IF(($R21-AQ21)&gt;=0,0,IF(($S21-AP21)&lt;0,0,IF(AND(($S21-AQ21)&gt;0,(AP21-$R21)&gt;0),$V21/365*(AQ21-AP21+1),IF(AND(($S21-AQ21)&lt;=0,(AP21-$R21)&gt;0),$V21/365*($S21-AP21+1),$V21/365*(AQ21-$R21+1))))),0)</f>
        <v>0</v>
      </c>
      <c r="AS21" s="163">
        <f t="shared" ref="AS21:AS24" si="189">AQ21+1</f>
        <v>45870</v>
      </c>
      <c r="AT21" s="163">
        <f t="shared" ref="AT21:AT24" si="190">AS21+30</f>
        <v>45900</v>
      </c>
      <c r="AU21" s="167">
        <f t="shared" ref="AU21:AU24" si="191">IFERROR(IF(($R21-AT21)&gt;=0,0,IF(($S21-AS21)&lt;0,0,IF(AND(($S21-AT21)&gt;0,(AS21-$R21)&gt;0),$V21/365*(AT21-AS21+1),IF(AND(($S21-AT21)&lt;=0,(AS21-$R21)&gt;0),$V21/365*($S21-AS21+1),$V21/365*(AT21-$R21+1))))),0)</f>
        <v>0</v>
      </c>
      <c r="AV21" s="163">
        <f t="shared" ref="AV21:AV24" si="192">AT21+1</f>
        <v>45901</v>
      </c>
      <c r="AW21" s="163">
        <f t="shared" ref="AW21:AW24" si="193">AV21+29</f>
        <v>45930</v>
      </c>
      <c r="AX21" s="167">
        <f t="shared" ref="AX21:AX24" si="194">IFERROR(IF(($R21-AW21)&gt;=0,0,IF(($S21-AV21)&lt;0,0,IF(AND(($S21-AW21)&gt;0,(AV21-$R21)&gt;0),$V21/365*(AW21-AV21+1),IF(AND(($S21-AW21)&lt;=0,(AV21-$R21)&gt;0),$V21/365*($S21-AV21+1),$V21/365*(AW21-$R21+1))))),0)</f>
        <v>0</v>
      </c>
      <c r="AY21" s="163">
        <f t="shared" ref="AY21:AY24" si="195">AW21+1</f>
        <v>45931</v>
      </c>
      <c r="AZ21" s="163">
        <f t="shared" ref="AZ21:AZ24" si="196">AY21+30</f>
        <v>45961</v>
      </c>
      <c r="BA21" s="167">
        <f t="shared" ref="BA21:BA24" si="197">IFERROR(IF(($R21-AZ21)&gt;=0,0,IF(($S21-AY21)&lt;0,0,IF(AND(($S21-AZ21)&gt;0,(AY21-$R21)&gt;0),$V21/365*(AZ21-AY21+1),IF(AND(($S21-AZ21)&lt;=0,(AY21-$R21)&gt;0),$V21/365*($S21-AY21+1),$V21/365*(AZ21-$R21+1))))),0)</f>
        <v>0</v>
      </c>
      <c r="BB21" s="163">
        <f t="shared" ref="BB21:BB24" si="198">AZ21+1</f>
        <v>45962</v>
      </c>
      <c r="BC21" s="163">
        <f t="shared" ref="BC21:BC24" si="199">BB21+29</f>
        <v>45991</v>
      </c>
      <c r="BD21" s="167">
        <f t="shared" ref="BD21:BD24" si="200">IFERROR(IF(($R21-BC21)&gt;=0,0,IF(($S21-BB21)&lt;0,0,IF(AND(($S21-BC21)&gt;0,(BB21-$R21)&gt;0),$V21/365*(BC21-BB21+1),IF(AND(($S21-BC21)&lt;=0,(BB21-$R21)&gt;0),$V21/365*($S21-BB21+1),$V21/365*(BC21-$R21+1))))),0)</f>
        <v>0</v>
      </c>
      <c r="BE21" s="163">
        <f t="shared" ref="BE21:BE24" si="201">BC21+1</f>
        <v>45992</v>
      </c>
      <c r="BF21" s="163">
        <f t="shared" ref="BF21:BF24" si="202">BE21+30</f>
        <v>46022</v>
      </c>
      <c r="BG21" s="167">
        <f t="shared" ref="BG21:BG24" si="203">IFERROR(IF(($R21-BF21)&gt;=0,0,IF(($S21-BE21)&lt;0,0,IF(AND(($S21-BF21)&gt;0,(BE21-$R21)&gt;0),$V21/365*(BF21-BE21+1),IF(AND(($S21-BF21)&lt;=0,(BE21-$R21)&gt;0),$V21/365*($S21-BE21+1),$V21/365*(BF21-$R21+1))))),0)</f>
        <v>0</v>
      </c>
      <c r="BH21" s="163">
        <v>46023</v>
      </c>
      <c r="BI21" s="163">
        <f t="shared" ref="BI21:BI24" si="204">BH21+30</f>
        <v>46053</v>
      </c>
      <c r="BJ21" s="167">
        <f t="shared" ref="BJ21:BJ24" si="205">IFERROR(IF(($R21-BI21)&gt;=0,0,IF(($S21-BH21)&lt;0,0,IF(AND(($S21-BI21)&gt;0,(BH21-$R21)&gt;0),$V21/365*(BI21-BH21+1),IF(AND(($S21-BI21)&lt;=0,(BH21-$R21)&gt;0),$V21/365*($S21-BH21+1),$V21/365*(BI21-$R21+1))))),0)</f>
        <v>0</v>
      </c>
      <c r="BK21" s="163">
        <f t="shared" ref="BK21:BK24" si="206">BI21+1</f>
        <v>46054</v>
      </c>
      <c r="BL21" s="163">
        <f t="shared" ref="BL21:BL24" si="207">BK21+27</f>
        <v>46081</v>
      </c>
      <c r="BM21" s="167">
        <f t="shared" ref="BM21:BM24" si="208">IFERROR(IF(($R21-BL21)&gt;=0,0,IF(($S21-BK21)&lt;0,0,IF(AND(($S21-BL21)&gt;0,(BK21-$R21)&gt;0),$V21/365*(BL21-BK21+1),IF(AND(($S21-BL21)&lt;=0,(BK21-$R21)&gt;0),$V21/365*($S21-BK21+1),$V21/365*(BL21-$R21+1))))),0)</f>
        <v>0</v>
      </c>
      <c r="BN21" s="163">
        <f t="shared" ref="BN21:BN24" si="209">BL21+1</f>
        <v>46082</v>
      </c>
      <c r="BO21" s="163">
        <f t="shared" ref="BO21:BO24" si="210">BN21+30</f>
        <v>46112</v>
      </c>
      <c r="BP21" s="167">
        <f t="shared" ref="BP21:BP24" si="211">IFERROR(IF(($R21-BO21)&gt;=0,0,IF(($S21-BN21)&lt;0,0,IF(AND(($S21-BO21)&gt;0,(BN21-$R21)&gt;0),$V21/365*(BO21-BN21+1),IF(AND(($S21-BO21)&lt;=0,(BN21-$R21)&gt;0),$V21/365*($S21-BN21+1),$V21/365*(BO21-$R21+1))))),0)</f>
        <v>0</v>
      </c>
      <c r="BQ21" s="163">
        <f t="shared" ref="BQ21:BQ24" si="212">BO21+1</f>
        <v>46113</v>
      </c>
      <c r="BR21" s="163">
        <f t="shared" ref="BR21:BR24" si="213">BQ21+29</f>
        <v>46142</v>
      </c>
      <c r="BS21" s="167">
        <f t="shared" ref="BS21:BS24" si="214">IFERROR(IF(($R21-BR21)&gt;=0,0,IF(($S21-BQ21)&lt;0,0,IF(AND(($S21-BR21)&gt;0,(BQ21-$R21)&gt;0),$V21/365*(BR21-BQ21+1),IF(AND(($S21-BR21)&lt;=0,(BQ21-$R21)&gt;0),$V21/365*($S21-BQ21+1),$V21/365*(BR21-$R21+1))))),0)</f>
        <v>0</v>
      </c>
      <c r="BT21" s="163">
        <f t="shared" ref="BT21:BT24" si="215">BR21+1</f>
        <v>46143</v>
      </c>
      <c r="BU21" s="163">
        <f t="shared" ref="BU21:BU24" si="216">BT21+30</f>
        <v>46173</v>
      </c>
      <c r="BV21" s="167">
        <f t="shared" ref="BV21:BV24" si="217">IFERROR(IF(($R21-BU21)&gt;=0,0,IF(($S21-BT21)&lt;0,0,IF(AND(($S21-BU21)&gt;0,(BT21-$R21)&gt;0),$V21/365*(BU21-BT21+1),IF(AND(($S21-BU21)&lt;=0,(BT21-$R21)&gt;0),$V21/365*($S21-BT21+1),$V21/365*(BU21-$R21+1))))),0)</f>
        <v>0</v>
      </c>
      <c r="BW21" s="163">
        <f t="shared" ref="BW21:BW24" si="218">BU21+1</f>
        <v>46174</v>
      </c>
      <c r="BX21" s="163">
        <f t="shared" ref="BX21:BX24" si="219">BW21+29</f>
        <v>46203</v>
      </c>
      <c r="BY21" s="167">
        <f t="shared" ref="BY21:BY24" si="220">IFERROR(IF(($R21-BX21)&gt;=0,0,IF(($S21-BW21)&lt;0,0,IF(AND(($S21-BX21)&gt;0,(BW21-$R21)&gt;0),$V21/365*(BX21-BW21+1),IF(AND(($S21-BX21)&lt;=0,(BW21-$R21)&gt;0),$V21/365*($S21-BW21+1),$V21/365*(BX21-$R21+1))))),0)</f>
        <v>0</v>
      </c>
      <c r="BZ21" s="163">
        <f t="shared" ref="BZ21:BZ24" si="221">BX21+1</f>
        <v>46204</v>
      </c>
      <c r="CA21" s="163">
        <f t="shared" ref="CA21:CA24" si="222">BZ21+30</f>
        <v>46234</v>
      </c>
      <c r="CB21" s="167">
        <f t="shared" ref="CB21:CB24" si="223">IFERROR(IF(($R21-CA21)&gt;=0,0,IF(($S21-BZ21)&lt;0,0,IF(AND(($S21-CA21)&gt;0,(BZ21-$R21)&gt;0),$V21/365*(CA21-BZ21+1),IF(AND(($S21-CA21)&lt;=0,(BZ21-$R21)&gt;0),$V21/365*($S21-BZ21+1),$V21/365*(CA21-$R21+1))))),0)</f>
        <v>0</v>
      </c>
      <c r="CC21" s="163">
        <f t="shared" ref="CC21:CC24" si="224">CA21+1</f>
        <v>46235</v>
      </c>
      <c r="CD21" s="163">
        <f t="shared" ref="CD21:CD24" si="225">CC21+30</f>
        <v>46265</v>
      </c>
      <c r="CE21" s="167">
        <f t="shared" ref="CE21:CE24" si="226">IFERROR(IF(($R21-CD21)&gt;=0,0,IF(($S21-CC21)&lt;0,0,IF(AND(($S21-CD21)&gt;0,(CC21-$R21)&gt;0),$V21/365*(CD21-CC21+1),IF(AND(($S21-CD21)&lt;=0,(CC21-$R21)&gt;0),$V21/365*($S21-CC21+1),$V21/365*(CD21-$R21+1))))),0)</f>
        <v>0</v>
      </c>
      <c r="CF21" s="163">
        <f t="shared" ref="CF21:CF24" si="227">CD21+1</f>
        <v>46266</v>
      </c>
      <c r="CG21" s="163">
        <f t="shared" ref="CG21:CG24" si="228">CF21+29</f>
        <v>46295</v>
      </c>
      <c r="CH21" s="167">
        <f t="shared" ref="CH21:CH24" si="229">IFERROR(IF(($R21-CG21)&gt;=0,0,IF(($S21-CF21)&lt;0,0,IF(AND(($S21-CG21)&gt;0,(CF21-$R21)&gt;0),$V21/365*(CG21-CF21+1),IF(AND(($S21-CG21)&lt;=0,(CF21-$R21)&gt;0),$V21/365*($S21-CF21+1),$V21/365*(CG21-$R21+1))))),0)</f>
        <v>0</v>
      </c>
      <c r="CI21" s="163">
        <f t="shared" ref="CI21:CI24" si="230">CG21+1</f>
        <v>46296</v>
      </c>
      <c r="CJ21" s="163">
        <f t="shared" ref="CJ21:CJ24" si="231">CI21+30</f>
        <v>46326</v>
      </c>
      <c r="CK21" s="167">
        <f t="shared" ref="CK21:CK24" si="232">IFERROR(IF(($R21-CJ21)&gt;=0,0,IF(($S21-CI21)&lt;0,0,IF(AND(($S21-CJ21)&gt;0,(CI21-$R21)&gt;0),$V21/365*(CJ21-CI21+1),IF(AND(($S21-CJ21)&lt;=0,(CI21-$R21)&gt;0),$V21/365*($S21-CI21+1),$V21/365*(CJ21-$R21+1))))),0)</f>
        <v>0</v>
      </c>
      <c r="CL21" s="163">
        <f t="shared" ref="CL21:CL24" si="233">CJ21+1</f>
        <v>46327</v>
      </c>
      <c r="CM21" s="163">
        <f t="shared" ref="CM21:CM24" si="234">CL21+29</f>
        <v>46356</v>
      </c>
      <c r="CN21" s="167">
        <f t="shared" ref="CN21:CN24" si="235">IFERROR(IF(($R21-CM21)&gt;=0,0,IF(($S21-CL21)&lt;0,0,IF(AND(($S21-CM21)&gt;0,(CL21-$R21)&gt;0),$V21/365*(CM21-CL21+1),IF(AND(($S21-CM21)&lt;=0,(CL21-$R21)&gt;0),$V21/365*($S21-CL21+1),$V21/365*(CM21-$R21+1))))),0)</f>
        <v>0</v>
      </c>
      <c r="CO21" s="163">
        <f t="shared" ref="CO21:CO24" si="236">CM21+1</f>
        <v>46357</v>
      </c>
      <c r="CP21" s="163">
        <f t="shared" ref="CP21:CP24" si="237">CO21+30</f>
        <v>46387</v>
      </c>
      <c r="CQ21" s="167">
        <f t="shared" ref="CQ21:CQ24" si="238">IFERROR(IF(($R21-CP21)&gt;=0,0,IF(($S21-CO21)&lt;0,0,IF(AND(($S21-CP21)&gt;0,(CO21-$R21)&gt;0),$V21/365*(CP21-CO21+1),IF(AND(($S21-CP21)&lt;=0,(CO21-$R21)&gt;0),$V21/365*($S21-CO21+1),$V21/365*(CP21-$R21+1))))),0)</f>
        <v>0</v>
      </c>
    </row>
    <row r="22" s="89" customFormat="1" ht="24" hidden="1" customHeight="1" outlineLevel="4" spans="1:95">
      <c r="A22" s="128"/>
      <c r="B22" s="129"/>
      <c r="C22" s="130"/>
      <c r="D22" s="128"/>
      <c r="E22" s="129"/>
      <c r="F22" s="129"/>
      <c r="G22" s="129"/>
      <c r="H22" s="131"/>
      <c r="I22" s="131"/>
      <c r="J22" s="131">
        <f t="shared" si="5"/>
        <v>0</v>
      </c>
      <c r="K22" s="131">
        <f t="shared" ref="K22:K24" si="239">K21+1</f>
        <v>2</v>
      </c>
      <c r="L22" s="156"/>
      <c r="M22" s="157">
        <f>IFERROR(VLOOKUP($L22,'2-2 引出数据_合同数据仓库'!$B$5:$BP$200,3,FALSE),0)</f>
        <v>0</v>
      </c>
      <c r="N22" s="131"/>
      <c r="O22" s="157">
        <f>IFERROR(VLOOKUP((LEFT(VLOOKUP($L22,'2-2 引出数据_合同数据仓库'!$B$5:$BP$200,64,FALSE),15)&amp;(RIGHT(VLOOKUP($L22,'2-2 引出数据_合同数据仓库'!$B$5:$BP$200,64,FALSE),4)+1)),'2-2 引出数据_合同数据仓库'!$B$5:$BP$200,3,FALSE),0)</f>
        <v>0</v>
      </c>
      <c r="P22" s="131"/>
      <c r="Q22" s="131">
        <f>IFERROR(VLOOKUP($L22,'2-2 引出数据_合同数据仓库'!$B$5:$BP$200,28,FALSE),0)</f>
        <v>0</v>
      </c>
      <c r="R22" s="131">
        <f>IFERROR(VLOOKUP($L22,'2-2 引出数据_合同数据仓库'!$B$5:$BP$200,29,FALSE),0)</f>
        <v>0</v>
      </c>
      <c r="S22" s="131">
        <f>IFERROR(VLOOKUP($L22,'2-2 引出数据_合同数据仓库'!$B$5:$BP$200,4,FALSE),0)</f>
        <v>0</v>
      </c>
      <c r="T22" s="131"/>
      <c r="U22" s="131">
        <f>IFERROR(VLOOKUP($L22,'2-2 引出数据_合同数据仓库'!$B$5:$BP$200,15,FALSE),0)</f>
        <v>0</v>
      </c>
      <c r="V22" s="131">
        <f t="shared" si="168"/>
        <v>0</v>
      </c>
      <c r="W22" s="131"/>
      <c r="X22" s="163">
        <v>45658</v>
      </c>
      <c r="Y22" s="163">
        <f t="shared" si="169"/>
        <v>45688</v>
      </c>
      <c r="Z22" s="167">
        <f t="shared" si="170"/>
        <v>0</v>
      </c>
      <c r="AA22" s="163">
        <f t="shared" si="171"/>
        <v>45689</v>
      </c>
      <c r="AB22" s="163">
        <f t="shared" si="172"/>
        <v>45716</v>
      </c>
      <c r="AC22" s="167">
        <f t="shared" si="173"/>
        <v>0</v>
      </c>
      <c r="AD22" s="163">
        <f t="shared" si="174"/>
        <v>45717</v>
      </c>
      <c r="AE22" s="163">
        <f t="shared" si="175"/>
        <v>45747</v>
      </c>
      <c r="AF22" s="167">
        <f t="shared" si="176"/>
        <v>0</v>
      </c>
      <c r="AG22" s="163">
        <f t="shared" si="177"/>
        <v>45748</v>
      </c>
      <c r="AH22" s="163">
        <f t="shared" si="178"/>
        <v>45777</v>
      </c>
      <c r="AI22" s="167">
        <f t="shared" si="179"/>
        <v>0</v>
      </c>
      <c r="AJ22" s="163">
        <f t="shared" si="180"/>
        <v>45778</v>
      </c>
      <c r="AK22" s="163">
        <f t="shared" si="181"/>
        <v>45808</v>
      </c>
      <c r="AL22" s="167">
        <f t="shared" si="182"/>
        <v>0</v>
      </c>
      <c r="AM22" s="163">
        <f t="shared" si="183"/>
        <v>45809</v>
      </c>
      <c r="AN22" s="163">
        <f t="shared" si="184"/>
        <v>45838</v>
      </c>
      <c r="AO22" s="167">
        <f t="shared" si="185"/>
        <v>0</v>
      </c>
      <c r="AP22" s="163">
        <f t="shared" si="186"/>
        <v>45839</v>
      </c>
      <c r="AQ22" s="163">
        <f t="shared" si="187"/>
        <v>45869</v>
      </c>
      <c r="AR22" s="167">
        <f t="shared" si="188"/>
        <v>0</v>
      </c>
      <c r="AS22" s="163">
        <f t="shared" si="189"/>
        <v>45870</v>
      </c>
      <c r="AT22" s="163">
        <f t="shared" si="190"/>
        <v>45900</v>
      </c>
      <c r="AU22" s="167">
        <f t="shared" si="191"/>
        <v>0</v>
      </c>
      <c r="AV22" s="163">
        <f t="shared" si="192"/>
        <v>45901</v>
      </c>
      <c r="AW22" s="163">
        <f t="shared" si="193"/>
        <v>45930</v>
      </c>
      <c r="AX22" s="167">
        <f t="shared" si="194"/>
        <v>0</v>
      </c>
      <c r="AY22" s="163">
        <f t="shared" si="195"/>
        <v>45931</v>
      </c>
      <c r="AZ22" s="163">
        <f t="shared" si="196"/>
        <v>45961</v>
      </c>
      <c r="BA22" s="167">
        <f t="shared" si="197"/>
        <v>0</v>
      </c>
      <c r="BB22" s="163">
        <f t="shared" si="198"/>
        <v>45962</v>
      </c>
      <c r="BC22" s="163">
        <f t="shared" si="199"/>
        <v>45991</v>
      </c>
      <c r="BD22" s="167">
        <f t="shared" si="200"/>
        <v>0</v>
      </c>
      <c r="BE22" s="163">
        <f t="shared" si="201"/>
        <v>45992</v>
      </c>
      <c r="BF22" s="163">
        <f t="shared" si="202"/>
        <v>46022</v>
      </c>
      <c r="BG22" s="167">
        <f t="shared" si="203"/>
        <v>0</v>
      </c>
      <c r="BH22" s="163">
        <v>46023</v>
      </c>
      <c r="BI22" s="163">
        <f t="shared" si="204"/>
        <v>46053</v>
      </c>
      <c r="BJ22" s="167">
        <f t="shared" si="205"/>
        <v>0</v>
      </c>
      <c r="BK22" s="163">
        <f t="shared" si="206"/>
        <v>46054</v>
      </c>
      <c r="BL22" s="163">
        <f t="shared" si="207"/>
        <v>46081</v>
      </c>
      <c r="BM22" s="167">
        <f t="shared" si="208"/>
        <v>0</v>
      </c>
      <c r="BN22" s="163">
        <f t="shared" si="209"/>
        <v>46082</v>
      </c>
      <c r="BO22" s="163">
        <f t="shared" si="210"/>
        <v>46112</v>
      </c>
      <c r="BP22" s="167">
        <f t="shared" si="211"/>
        <v>0</v>
      </c>
      <c r="BQ22" s="163">
        <f t="shared" si="212"/>
        <v>46113</v>
      </c>
      <c r="BR22" s="163">
        <f t="shared" si="213"/>
        <v>46142</v>
      </c>
      <c r="BS22" s="167">
        <f t="shared" si="214"/>
        <v>0</v>
      </c>
      <c r="BT22" s="163">
        <f t="shared" si="215"/>
        <v>46143</v>
      </c>
      <c r="BU22" s="163">
        <f t="shared" si="216"/>
        <v>46173</v>
      </c>
      <c r="BV22" s="167">
        <f t="shared" si="217"/>
        <v>0</v>
      </c>
      <c r="BW22" s="163">
        <f t="shared" si="218"/>
        <v>46174</v>
      </c>
      <c r="BX22" s="163">
        <f t="shared" si="219"/>
        <v>46203</v>
      </c>
      <c r="BY22" s="167">
        <f t="shared" si="220"/>
        <v>0</v>
      </c>
      <c r="BZ22" s="163">
        <f t="shared" si="221"/>
        <v>46204</v>
      </c>
      <c r="CA22" s="163">
        <f t="shared" si="222"/>
        <v>46234</v>
      </c>
      <c r="CB22" s="167">
        <f t="shared" si="223"/>
        <v>0</v>
      </c>
      <c r="CC22" s="163">
        <f t="shared" si="224"/>
        <v>46235</v>
      </c>
      <c r="CD22" s="163">
        <f t="shared" si="225"/>
        <v>46265</v>
      </c>
      <c r="CE22" s="167">
        <f t="shared" si="226"/>
        <v>0</v>
      </c>
      <c r="CF22" s="163">
        <f t="shared" si="227"/>
        <v>46266</v>
      </c>
      <c r="CG22" s="163">
        <f t="shared" si="228"/>
        <v>46295</v>
      </c>
      <c r="CH22" s="167">
        <f t="shared" si="229"/>
        <v>0</v>
      </c>
      <c r="CI22" s="163">
        <f t="shared" si="230"/>
        <v>46296</v>
      </c>
      <c r="CJ22" s="163">
        <f t="shared" si="231"/>
        <v>46326</v>
      </c>
      <c r="CK22" s="167">
        <f t="shared" si="232"/>
        <v>0</v>
      </c>
      <c r="CL22" s="163">
        <f t="shared" si="233"/>
        <v>46327</v>
      </c>
      <c r="CM22" s="163">
        <f t="shared" si="234"/>
        <v>46356</v>
      </c>
      <c r="CN22" s="167">
        <f t="shared" si="235"/>
        <v>0</v>
      </c>
      <c r="CO22" s="163">
        <f t="shared" si="236"/>
        <v>46357</v>
      </c>
      <c r="CP22" s="163">
        <f t="shared" si="237"/>
        <v>46387</v>
      </c>
      <c r="CQ22" s="167">
        <f t="shared" si="238"/>
        <v>0</v>
      </c>
    </row>
    <row r="23" s="89" customFormat="1" ht="24" hidden="1" customHeight="1" outlineLevel="4" spans="1:95">
      <c r="A23" s="128"/>
      <c r="B23" s="129"/>
      <c r="C23" s="130"/>
      <c r="D23" s="128"/>
      <c r="E23" s="129"/>
      <c r="F23" s="129"/>
      <c r="G23" s="129"/>
      <c r="H23" s="131"/>
      <c r="I23" s="131"/>
      <c r="J23" s="131">
        <f t="shared" si="5"/>
        <v>0</v>
      </c>
      <c r="K23" s="131">
        <f t="shared" si="239"/>
        <v>3</v>
      </c>
      <c r="L23" s="156"/>
      <c r="M23" s="157">
        <f>IFERROR(VLOOKUP($L23,'2-2 引出数据_合同数据仓库'!$B$5:$BP$200,3,FALSE),0)</f>
        <v>0</v>
      </c>
      <c r="N23" s="131"/>
      <c r="O23" s="157">
        <f>IFERROR(VLOOKUP((LEFT(VLOOKUP($L23,'2-2 引出数据_合同数据仓库'!$B$5:$BP$200,64,FALSE),15)&amp;(RIGHT(VLOOKUP($L23,'2-2 引出数据_合同数据仓库'!$B$5:$BP$200,64,FALSE),4)+1)),'2-2 引出数据_合同数据仓库'!$B$5:$BP$200,3,FALSE),0)</f>
        <v>0</v>
      </c>
      <c r="P23" s="131"/>
      <c r="Q23" s="131">
        <f>IFERROR(VLOOKUP($L23,'2-2 引出数据_合同数据仓库'!$B$5:$BP$200,28,FALSE),0)</f>
        <v>0</v>
      </c>
      <c r="R23" s="131">
        <f>IFERROR(VLOOKUP($L23,'2-2 引出数据_合同数据仓库'!$B$5:$BP$200,29,FALSE),0)</f>
        <v>0</v>
      </c>
      <c r="S23" s="131">
        <f>IFERROR(VLOOKUP($L23,'2-2 引出数据_合同数据仓库'!$B$5:$BP$200,4,FALSE),0)</f>
        <v>0</v>
      </c>
      <c r="T23" s="131"/>
      <c r="U23" s="131">
        <f>IFERROR(VLOOKUP($L23,'2-2 引出数据_合同数据仓库'!$B$5:$BP$200,15,FALSE),0)</f>
        <v>0</v>
      </c>
      <c r="V23" s="131">
        <f t="shared" si="168"/>
        <v>0</v>
      </c>
      <c r="W23" s="131"/>
      <c r="X23" s="163">
        <v>45658</v>
      </c>
      <c r="Y23" s="163">
        <f t="shared" si="169"/>
        <v>45688</v>
      </c>
      <c r="Z23" s="167">
        <f t="shared" si="170"/>
        <v>0</v>
      </c>
      <c r="AA23" s="163">
        <f t="shared" si="171"/>
        <v>45689</v>
      </c>
      <c r="AB23" s="163">
        <f t="shared" si="172"/>
        <v>45716</v>
      </c>
      <c r="AC23" s="167">
        <f t="shared" si="173"/>
        <v>0</v>
      </c>
      <c r="AD23" s="163">
        <f t="shared" si="174"/>
        <v>45717</v>
      </c>
      <c r="AE23" s="163">
        <f t="shared" si="175"/>
        <v>45747</v>
      </c>
      <c r="AF23" s="167">
        <f t="shared" si="176"/>
        <v>0</v>
      </c>
      <c r="AG23" s="163">
        <f t="shared" si="177"/>
        <v>45748</v>
      </c>
      <c r="AH23" s="163">
        <f t="shared" si="178"/>
        <v>45777</v>
      </c>
      <c r="AI23" s="167">
        <f t="shared" si="179"/>
        <v>0</v>
      </c>
      <c r="AJ23" s="163">
        <f t="shared" si="180"/>
        <v>45778</v>
      </c>
      <c r="AK23" s="163">
        <f t="shared" si="181"/>
        <v>45808</v>
      </c>
      <c r="AL23" s="167">
        <f t="shared" si="182"/>
        <v>0</v>
      </c>
      <c r="AM23" s="163">
        <f t="shared" si="183"/>
        <v>45809</v>
      </c>
      <c r="AN23" s="163">
        <f t="shared" si="184"/>
        <v>45838</v>
      </c>
      <c r="AO23" s="167">
        <f t="shared" si="185"/>
        <v>0</v>
      </c>
      <c r="AP23" s="163">
        <f t="shared" si="186"/>
        <v>45839</v>
      </c>
      <c r="AQ23" s="163">
        <f t="shared" si="187"/>
        <v>45869</v>
      </c>
      <c r="AR23" s="167">
        <f t="shared" si="188"/>
        <v>0</v>
      </c>
      <c r="AS23" s="163">
        <f t="shared" si="189"/>
        <v>45870</v>
      </c>
      <c r="AT23" s="163">
        <f t="shared" si="190"/>
        <v>45900</v>
      </c>
      <c r="AU23" s="167">
        <f t="shared" si="191"/>
        <v>0</v>
      </c>
      <c r="AV23" s="163">
        <f t="shared" si="192"/>
        <v>45901</v>
      </c>
      <c r="AW23" s="163">
        <f t="shared" si="193"/>
        <v>45930</v>
      </c>
      <c r="AX23" s="167">
        <f t="shared" si="194"/>
        <v>0</v>
      </c>
      <c r="AY23" s="163">
        <f t="shared" si="195"/>
        <v>45931</v>
      </c>
      <c r="AZ23" s="163">
        <f t="shared" si="196"/>
        <v>45961</v>
      </c>
      <c r="BA23" s="167">
        <f t="shared" si="197"/>
        <v>0</v>
      </c>
      <c r="BB23" s="163">
        <f t="shared" si="198"/>
        <v>45962</v>
      </c>
      <c r="BC23" s="163">
        <f t="shared" si="199"/>
        <v>45991</v>
      </c>
      <c r="BD23" s="167">
        <f t="shared" si="200"/>
        <v>0</v>
      </c>
      <c r="BE23" s="163">
        <f t="shared" si="201"/>
        <v>45992</v>
      </c>
      <c r="BF23" s="163">
        <f t="shared" si="202"/>
        <v>46022</v>
      </c>
      <c r="BG23" s="167">
        <f t="shared" si="203"/>
        <v>0</v>
      </c>
      <c r="BH23" s="163">
        <v>46023</v>
      </c>
      <c r="BI23" s="163">
        <f t="shared" si="204"/>
        <v>46053</v>
      </c>
      <c r="BJ23" s="167">
        <f t="shared" si="205"/>
        <v>0</v>
      </c>
      <c r="BK23" s="163">
        <f t="shared" si="206"/>
        <v>46054</v>
      </c>
      <c r="BL23" s="163">
        <f t="shared" si="207"/>
        <v>46081</v>
      </c>
      <c r="BM23" s="167">
        <f t="shared" si="208"/>
        <v>0</v>
      </c>
      <c r="BN23" s="163">
        <f t="shared" si="209"/>
        <v>46082</v>
      </c>
      <c r="BO23" s="163">
        <f t="shared" si="210"/>
        <v>46112</v>
      </c>
      <c r="BP23" s="167">
        <f t="shared" si="211"/>
        <v>0</v>
      </c>
      <c r="BQ23" s="163">
        <f t="shared" si="212"/>
        <v>46113</v>
      </c>
      <c r="BR23" s="163">
        <f t="shared" si="213"/>
        <v>46142</v>
      </c>
      <c r="BS23" s="167">
        <f t="shared" si="214"/>
        <v>0</v>
      </c>
      <c r="BT23" s="163">
        <f t="shared" si="215"/>
        <v>46143</v>
      </c>
      <c r="BU23" s="163">
        <f t="shared" si="216"/>
        <v>46173</v>
      </c>
      <c r="BV23" s="167">
        <f t="shared" si="217"/>
        <v>0</v>
      </c>
      <c r="BW23" s="163">
        <f t="shared" si="218"/>
        <v>46174</v>
      </c>
      <c r="BX23" s="163">
        <f t="shared" si="219"/>
        <v>46203</v>
      </c>
      <c r="BY23" s="167">
        <f t="shared" si="220"/>
        <v>0</v>
      </c>
      <c r="BZ23" s="163">
        <f t="shared" si="221"/>
        <v>46204</v>
      </c>
      <c r="CA23" s="163">
        <f t="shared" si="222"/>
        <v>46234</v>
      </c>
      <c r="CB23" s="167">
        <f t="shared" si="223"/>
        <v>0</v>
      </c>
      <c r="CC23" s="163">
        <f t="shared" si="224"/>
        <v>46235</v>
      </c>
      <c r="CD23" s="163">
        <f t="shared" si="225"/>
        <v>46265</v>
      </c>
      <c r="CE23" s="167">
        <f t="shared" si="226"/>
        <v>0</v>
      </c>
      <c r="CF23" s="163">
        <f t="shared" si="227"/>
        <v>46266</v>
      </c>
      <c r="CG23" s="163">
        <f t="shared" si="228"/>
        <v>46295</v>
      </c>
      <c r="CH23" s="167">
        <f t="shared" si="229"/>
        <v>0</v>
      </c>
      <c r="CI23" s="163">
        <f t="shared" si="230"/>
        <v>46296</v>
      </c>
      <c r="CJ23" s="163">
        <f t="shared" si="231"/>
        <v>46326</v>
      </c>
      <c r="CK23" s="167">
        <f t="shared" si="232"/>
        <v>0</v>
      </c>
      <c r="CL23" s="163">
        <f t="shared" si="233"/>
        <v>46327</v>
      </c>
      <c r="CM23" s="163">
        <f t="shared" si="234"/>
        <v>46356</v>
      </c>
      <c r="CN23" s="167">
        <f t="shared" si="235"/>
        <v>0</v>
      </c>
      <c r="CO23" s="163">
        <f t="shared" si="236"/>
        <v>46357</v>
      </c>
      <c r="CP23" s="163">
        <f t="shared" si="237"/>
        <v>46387</v>
      </c>
      <c r="CQ23" s="167">
        <f t="shared" si="238"/>
        <v>0</v>
      </c>
    </row>
    <row r="24" s="89" customFormat="1" ht="24" hidden="1" customHeight="1" outlineLevel="4" spans="1:95">
      <c r="A24" s="128"/>
      <c r="B24" s="129"/>
      <c r="C24" s="130"/>
      <c r="D24" s="128"/>
      <c r="E24" s="129"/>
      <c r="F24" s="129"/>
      <c r="G24" s="129"/>
      <c r="H24" s="131"/>
      <c r="I24" s="131"/>
      <c r="J24" s="131">
        <f t="shared" si="5"/>
        <v>0</v>
      </c>
      <c r="K24" s="131">
        <f t="shared" si="239"/>
        <v>4</v>
      </c>
      <c r="L24" s="156"/>
      <c r="M24" s="157">
        <f>IFERROR(VLOOKUP($L24,'2-2 引出数据_合同数据仓库'!$B$5:$BP$200,3,FALSE),0)</f>
        <v>0</v>
      </c>
      <c r="N24" s="131"/>
      <c r="O24" s="157">
        <f>IFERROR(VLOOKUP((LEFT(VLOOKUP($L24,'2-2 引出数据_合同数据仓库'!$B$5:$BP$200,64,FALSE),15)&amp;(RIGHT(VLOOKUP($L24,'2-2 引出数据_合同数据仓库'!$B$5:$BP$200,64,FALSE),4)+1)),'2-2 引出数据_合同数据仓库'!$B$5:$BP$200,3,FALSE),0)</f>
        <v>0</v>
      </c>
      <c r="P24" s="131"/>
      <c r="Q24" s="131">
        <f>IFERROR(VLOOKUP($L24,'2-2 引出数据_合同数据仓库'!$B$5:$BP$200,28,FALSE),0)</f>
        <v>0</v>
      </c>
      <c r="R24" s="131">
        <f>IFERROR(VLOOKUP($L24,'2-2 引出数据_合同数据仓库'!$B$5:$BP$200,29,FALSE),0)</f>
        <v>0</v>
      </c>
      <c r="S24" s="131">
        <f>IFERROR(VLOOKUP($L24,'2-2 引出数据_合同数据仓库'!$B$5:$BP$200,4,FALSE),0)</f>
        <v>0</v>
      </c>
      <c r="T24" s="131"/>
      <c r="U24" s="131">
        <f>IFERROR(VLOOKUP($L24,'2-2 引出数据_合同数据仓库'!$B$5:$BP$200,15,FALSE),0)</f>
        <v>0</v>
      </c>
      <c r="V24" s="131">
        <f t="shared" si="168"/>
        <v>0</v>
      </c>
      <c r="W24" s="131"/>
      <c r="X24" s="163">
        <v>45658</v>
      </c>
      <c r="Y24" s="163">
        <f t="shared" si="169"/>
        <v>45688</v>
      </c>
      <c r="Z24" s="167">
        <f t="shared" si="170"/>
        <v>0</v>
      </c>
      <c r="AA24" s="163">
        <f t="shared" si="171"/>
        <v>45689</v>
      </c>
      <c r="AB24" s="163">
        <f t="shared" si="172"/>
        <v>45716</v>
      </c>
      <c r="AC24" s="167">
        <f t="shared" si="173"/>
        <v>0</v>
      </c>
      <c r="AD24" s="163">
        <f t="shared" si="174"/>
        <v>45717</v>
      </c>
      <c r="AE24" s="163">
        <f t="shared" si="175"/>
        <v>45747</v>
      </c>
      <c r="AF24" s="167">
        <f t="shared" si="176"/>
        <v>0</v>
      </c>
      <c r="AG24" s="163">
        <f t="shared" si="177"/>
        <v>45748</v>
      </c>
      <c r="AH24" s="163">
        <f t="shared" si="178"/>
        <v>45777</v>
      </c>
      <c r="AI24" s="167">
        <f t="shared" si="179"/>
        <v>0</v>
      </c>
      <c r="AJ24" s="163">
        <f t="shared" si="180"/>
        <v>45778</v>
      </c>
      <c r="AK24" s="163">
        <f t="shared" si="181"/>
        <v>45808</v>
      </c>
      <c r="AL24" s="167">
        <f t="shared" si="182"/>
        <v>0</v>
      </c>
      <c r="AM24" s="163">
        <f t="shared" si="183"/>
        <v>45809</v>
      </c>
      <c r="AN24" s="163">
        <f t="shared" si="184"/>
        <v>45838</v>
      </c>
      <c r="AO24" s="167">
        <f t="shared" si="185"/>
        <v>0</v>
      </c>
      <c r="AP24" s="163">
        <f t="shared" si="186"/>
        <v>45839</v>
      </c>
      <c r="AQ24" s="163">
        <f t="shared" si="187"/>
        <v>45869</v>
      </c>
      <c r="AR24" s="167">
        <f t="shared" si="188"/>
        <v>0</v>
      </c>
      <c r="AS24" s="163">
        <f t="shared" si="189"/>
        <v>45870</v>
      </c>
      <c r="AT24" s="163">
        <f t="shared" si="190"/>
        <v>45900</v>
      </c>
      <c r="AU24" s="167">
        <f t="shared" si="191"/>
        <v>0</v>
      </c>
      <c r="AV24" s="163">
        <f t="shared" si="192"/>
        <v>45901</v>
      </c>
      <c r="AW24" s="163">
        <f t="shared" si="193"/>
        <v>45930</v>
      </c>
      <c r="AX24" s="167">
        <f t="shared" si="194"/>
        <v>0</v>
      </c>
      <c r="AY24" s="163">
        <f t="shared" si="195"/>
        <v>45931</v>
      </c>
      <c r="AZ24" s="163">
        <f t="shared" si="196"/>
        <v>45961</v>
      </c>
      <c r="BA24" s="167">
        <f t="shared" si="197"/>
        <v>0</v>
      </c>
      <c r="BB24" s="163">
        <f t="shared" si="198"/>
        <v>45962</v>
      </c>
      <c r="BC24" s="163">
        <f t="shared" si="199"/>
        <v>45991</v>
      </c>
      <c r="BD24" s="167">
        <f t="shared" si="200"/>
        <v>0</v>
      </c>
      <c r="BE24" s="163">
        <f t="shared" si="201"/>
        <v>45992</v>
      </c>
      <c r="BF24" s="163">
        <f t="shared" si="202"/>
        <v>46022</v>
      </c>
      <c r="BG24" s="167">
        <f t="shared" si="203"/>
        <v>0</v>
      </c>
      <c r="BH24" s="163">
        <v>46023</v>
      </c>
      <c r="BI24" s="163">
        <f t="shared" si="204"/>
        <v>46053</v>
      </c>
      <c r="BJ24" s="167">
        <f t="shared" si="205"/>
        <v>0</v>
      </c>
      <c r="BK24" s="163">
        <f t="shared" si="206"/>
        <v>46054</v>
      </c>
      <c r="BL24" s="163">
        <f t="shared" si="207"/>
        <v>46081</v>
      </c>
      <c r="BM24" s="167">
        <f t="shared" si="208"/>
        <v>0</v>
      </c>
      <c r="BN24" s="163">
        <f t="shared" si="209"/>
        <v>46082</v>
      </c>
      <c r="BO24" s="163">
        <f t="shared" si="210"/>
        <v>46112</v>
      </c>
      <c r="BP24" s="167">
        <f t="shared" si="211"/>
        <v>0</v>
      </c>
      <c r="BQ24" s="163">
        <f t="shared" si="212"/>
        <v>46113</v>
      </c>
      <c r="BR24" s="163">
        <f t="shared" si="213"/>
        <v>46142</v>
      </c>
      <c r="BS24" s="167">
        <f t="shared" si="214"/>
        <v>0</v>
      </c>
      <c r="BT24" s="163">
        <f t="shared" si="215"/>
        <v>46143</v>
      </c>
      <c r="BU24" s="163">
        <f t="shared" si="216"/>
        <v>46173</v>
      </c>
      <c r="BV24" s="167">
        <f t="shared" si="217"/>
        <v>0</v>
      </c>
      <c r="BW24" s="163">
        <f t="shared" si="218"/>
        <v>46174</v>
      </c>
      <c r="BX24" s="163">
        <f t="shared" si="219"/>
        <v>46203</v>
      </c>
      <c r="BY24" s="167">
        <f t="shared" si="220"/>
        <v>0</v>
      </c>
      <c r="BZ24" s="163">
        <f t="shared" si="221"/>
        <v>46204</v>
      </c>
      <c r="CA24" s="163">
        <f t="shared" si="222"/>
        <v>46234</v>
      </c>
      <c r="CB24" s="167">
        <f t="shared" si="223"/>
        <v>0</v>
      </c>
      <c r="CC24" s="163">
        <f t="shared" si="224"/>
        <v>46235</v>
      </c>
      <c r="CD24" s="163">
        <f t="shared" si="225"/>
        <v>46265</v>
      </c>
      <c r="CE24" s="167">
        <f t="shared" si="226"/>
        <v>0</v>
      </c>
      <c r="CF24" s="163">
        <f t="shared" si="227"/>
        <v>46266</v>
      </c>
      <c r="CG24" s="163">
        <f t="shared" si="228"/>
        <v>46295</v>
      </c>
      <c r="CH24" s="167">
        <f t="shared" si="229"/>
        <v>0</v>
      </c>
      <c r="CI24" s="163">
        <f t="shared" si="230"/>
        <v>46296</v>
      </c>
      <c r="CJ24" s="163">
        <f t="shared" si="231"/>
        <v>46326</v>
      </c>
      <c r="CK24" s="167">
        <f t="shared" si="232"/>
        <v>0</v>
      </c>
      <c r="CL24" s="163">
        <f t="shared" si="233"/>
        <v>46327</v>
      </c>
      <c r="CM24" s="163">
        <f t="shared" si="234"/>
        <v>46356</v>
      </c>
      <c r="CN24" s="167">
        <f t="shared" si="235"/>
        <v>0</v>
      </c>
      <c r="CO24" s="163">
        <f t="shared" si="236"/>
        <v>46357</v>
      </c>
      <c r="CP24" s="163">
        <f t="shared" si="237"/>
        <v>46387</v>
      </c>
      <c r="CQ24" s="167">
        <f t="shared" si="238"/>
        <v>0</v>
      </c>
    </row>
    <row r="25" s="89" customFormat="1" ht="24" hidden="1" customHeight="1" outlineLevel="4" spans="1:95">
      <c r="A25" s="132" t="s">
        <v>2813</v>
      </c>
      <c r="B25" s="133"/>
      <c r="C25" s="133"/>
      <c r="D25" s="133"/>
      <c r="E25" s="133"/>
      <c r="F25" s="133"/>
      <c r="G25" s="134"/>
      <c r="H25" s="135"/>
      <c r="I25" s="135"/>
      <c r="J25" s="135"/>
      <c r="K25" s="135"/>
      <c r="L25" s="158"/>
      <c r="M25" s="158"/>
      <c r="N25" s="135"/>
      <c r="O25" s="158"/>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5"/>
      <c r="CK25" s="135"/>
      <c r="CL25" s="135"/>
      <c r="CM25" s="135"/>
      <c r="CN25" s="135"/>
      <c r="CO25" s="135"/>
      <c r="CP25" s="135"/>
      <c r="CQ25" s="135"/>
    </row>
    <row r="26" s="89" customFormat="1" ht="24" customHeight="1" outlineLevel="2" collapsed="1" spans="1:95">
      <c r="A26" s="43"/>
      <c r="B26" s="121" t="s">
        <v>787</v>
      </c>
      <c r="C26" s="122" t="s">
        <v>831</v>
      </c>
      <c r="D26" s="43" t="s">
        <v>832</v>
      </c>
      <c r="E26" s="121"/>
      <c r="F26" s="121"/>
      <c r="G26" s="121"/>
      <c r="H26" s="123">
        <f>X26+AA26+AD26+AG26+AJ26+AM26+AP26+AS26+AV26+AY26+BB26+BE26</f>
        <v>568218.79</v>
      </c>
      <c r="I26" s="123">
        <f>Y26+AB26+AE26+AH26+AK26+AN26+AQ26+AT26+AW26+AZ26+BC26+BF26</f>
        <v>546726.252686567</v>
      </c>
      <c r="J26" s="123">
        <f t="shared" si="5"/>
        <v>21492.5373134328</v>
      </c>
      <c r="K26" s="123"/>
      <c r="L26" s="154"/>
      <c r="M26" s="154"/>
      <c r="N26" s="123"/>
      <c r="O26" s="154"/>
      <c r="P26" s="123"/>
      <c r="Q26" s="123"/>
      <c r="R26" s="123"/>
      <c r="S26" s="123"/>
      <c r="T26" s="123"/>
      <c r="U26" s="123"/>
      <c r="V26" s="123"/>
      <c r="W26" s="123"/>
      <c r="X26" s="123">
        <f>VLOOKUP($C26,'1 预算编制表单'!$C:$BJ,27,FALSE)</f>
        <v>568218.79</v>
      </c>
      <c r="Y26" s="123">
        <f>X26-Z26</f>
        <v>562666.55119403</v>
      </c>
      <c r="Z26" s="123">
        <f>Z27+Z33+Z39</f>
        <v>5552.23880597015</v>
      </c>
      <c r="AA26" s="123">
        <f>VLOOKUP($C26,'1 预算编制表单'!$C:$BJ,30,FALSE)</f>
        <v>0</v>
      </c>
      <c r="AB26" s="123">
        <f>AA26-AC26</f>
        <v>-5014.92537313433</v>
      </c>
      <c r="AC26" s="123">
        <f>AC27+AC33+AC39</f>
        <v>5014.92537313433</v>
      </c>
      <c r="AD26" s="123">
        <f>VLOOKUP($C26,'1 预算编制表单'!$C:$BJ,33,FALSE)</f>
        <v>0</v>
      </c>
      <c r="AE26" s="123">
        <f>AD26-AF26</f>
        <v>-5552.23880597015</v>
      </c>
      <c r="AF26" s="123">
        <f>AF27+AF33+AF39</f>
        <v>5552.23880597015</v>
      </c>
      <c r="AG26" s="123">
        <f>VLOOKUP($C26,'1 预算编制表单'!$C:$BJ,36,FALSE)</f>
        <v>0</v>
      </c>
      <c r="AH26" s="123">
        <f>AG26-AI26</f>
        <v>-5373.13432835821</v>
      </c>
      <c r="AI26" s="123">
        <f>AI27+AI33+AI39</f>
        <v>5373.13432835821</v>
      </c>
      <c r="AJ26" s="123">
        <f>VLOOKUP($C26,'1 预算编制表单'!$C:$BJ,39,FALSE)</f>
        <v>0</v>
      </c>
      <c r="AK26" s="123">
        <f>AJ26-AL26</f>
        <v>0</v>
      </c>
      <c r="AL26" s="123">
        <f>AL27+AL33+AL39</f>
        <v>0</v>
      </c>
      <c r="AM26" s="123">
        <f>VLOOKUP($C26,'1 预算编制表单'!$C:$BJ,42,FALSE)</f>
        <v>0</v>
      </c>
      <c r="AN26" s="123">
        <f>AM26-AO26</f>
        <v>0</v>
      </c>
      <c r="AO26" s="123">
        <f>AO27+AO33+AO39</f>
        <v>0</v>
      </c>
      <c r="AP26" s="123">
        <f>VLOOKUP($C26,'1 预算编制表单'!$C:$BJ,45,FALSE)</f>
        <v>0</v>
      </c>
      <c r="AQ26" s="123">
        <f>AP26-AR26</f>
        <v>0</v>
      </c>
      <c r="AR26" s="123">
        <f>AR27+AR33+AR39</f>
        <v>0</v>
      </c>
      <c r="AS26" s="123">
        <f>VLOOKUP($C26,'1 预算编制表单'!$C:$BJ,48,FALSE)</f>
        <v>0</v>
      </c>
      <c r="AT26" s="123">
        <f>AS26-AU26</f>
        <v>0</v>
      </c>
      <c r="AU26" s="123">
        <f>AU27+AU33+AU39</f>
        <v>0</v>
      </c>
      <c r="AV26" s="123">
        <f>VLOOKUP($C26,'1 预算编制表单'!$C:$BJ,51,FALSE)</f>
        <v>0</v>
      </c>
      <c r="AW26" s="123">
        <f>AV26-AX26</f>
        <v>0</v>
      </c>
      <c r="AX26" s="123">
        <f>AX27+AX33+AX39</f>
        <v>0</v>
      </c>
      <c r="AY26" s="123">
        <f>VLOOKUP($C26,'1 预算编制表单'!$C:$BJ,54,FALSE)</f>
        <v>0</v>
      </c>
      <c r="AZ26" s="123">
        <f>AY26-BA26</f>
        <v>0</v>
      </c>
      <c r="BA26" s="123">
        <f>BA27+BA33+BA39</f>
        <v>0</v>
      </c>
      <c r="BB26" s="123">
        <f>VLOOKUP($C26,'1 预算编制表单'!$C:$BJ,57,FALSE)</f>
        <v>0</v>
      </c>
      <c r="BC26" s="123">
        <f>BB26-BD26</f>
        <v>0</v>
      </c>
      <c r="BD26" s="123">
        <f>BD27+BD33+BD39</f>
        <v>0</v>
      </c>
      <c r="BE26" s="123">
        <f>VLOOKUP($C26,'1 预算编制表单'!$C:$BJ,60,FALSE)</f>
        <v>0</v>
      </c>
      <c r="BF26" s="123">
        <f>BE26-BG26</f>
        <v>0</v>
      </c>
      <c r="BG26" s="123">
        <f>BG27+BG33+BG39</f>
        <v>0</v>
      </c>
      <c r="BH26" s="123">
        <f>VLOOKUP($C26,'1 预算编制表单'!$C:$BJ,27,FALSE)</f>
        <v>568218.79</v>
      </c>
      <c r="BI26" s="123">
        <f>BH26-BJ26</f>
        <v>568218.79</v>
      </c>
      <c r="BJ26" s="123">
        <f>BJ27+BJ33+BJ39</f>
        <v>0</v>
      </c>
      <c r="BK26" s="123">
        <f>VLOOKUP($C26,'1 预算编制表单'!$C:$BJ,30,FALSE)</f>
        <v>0</v>
      </c>
      <c r="BL26" s="123">
        <f>BK26-BM26</f>
        <v>0</v>
      </c>
      <c r="BM26" s="123">
        <f>BM27+BM33+BM39</f>
        <v>0</v>
      </c>
      <c r="BN26" s="123">
        <f>VLOOKUP($C26,'1 预算编制表单'!$C:$BJ,33,FALSE)</f>
        <v>0</v>
      </c>
      <c r="BO26" s="123">
        <f>BN26-BP26</f>
        <v>0</v>
      </c>
      <c r="BP26" s="123">
        <f>BP27+BP33+BP39</f>
        <v>0</v>
      </c>
      <c r="BQ26" s="123">
        <f>VLOOKUP($C26,'1 预算编制表单'!$C:$BJ,36,FALSE)</f>
        <v>0</v>
      </c>
      <c r="BR26" s="123">
        <f>BQ26-BS26</f>
        <v>0</v>
      </c>
      <c r="BS26" s="123">
        <f>BS27+BS33+BS39</f>
        <v>0</v>
      </c>
      <c r="BT26" s="123">
        <f>VLOOKUP($C26,'1 预算编制表单'!$C:$BJ,39,FALSE)</f>
        <v>0</v>
      </c>
      <c r="BU26" s="123">
        <f>BT26-BV26</f>
        <v>0</v>
      </c>
      <c r="BV26" s="123">
        <f>BV27+BV33+BV39</f>
        <v>0</v>
      </c>
      <c r="BW26" s="123">
        <f>VLOOKUP($C26,'1 预算编制表单'!$C:$BJ,42,FALSE)</f>
        <v>0</v>
      </c>
      <c r="BX26" s="123">
        <f>BW26-BY26</f>
        <v>0</v>
      </c>
      <c r="BY26" s="123">
        <f>BY27+BY33+BY39</f>
        <v>0</v>
      </c>
      <c r="BZ26" s="123">
        <f>VLOOKUP($C26,'1 预算编制表单'!$C:$BJ,45,FALSE)</f>
        <v>0</v>
      </c>
      <c r="CA26" s="123">
        <f>BZ26-CB26</f>
        <v>0</v>
      </c>
      <c r="CB26" s="123">
        <f>CB27+CB33+CB39</f>
        <v>0</v>
      </c>
      <c r="CC26" s="123">
        <f>VLOOKUP($C26,'1 预算编制表单'!$C:$BJ,48,FALSE)</f>
        <v>0</v>
      </c>
      <c r="CD26" s="123">
        <f>CC26-CE26</f>
        <v>0</v>
      </c>
      <c r="CE26" s="123">
        <f>CE27+CE33+CE39</f>
        <v>0</v>
      </c>
      <c r="CF26" s="123">
        <f>VLOOKUP($C26,'1 预算编制表单'!$C:$BJ,51,FALSE)</f>
        <v>0</v>
      </c>
      <c r="CG26" s="123">
        <f>CF26-CH26</f>
        <v>0</v>
      </c>
      <c r="CH26" s="123">
        <f>CH27+CH33+CH39</f>
        <v>0</v>
      </c>
      <c r="CI26" s="123">
        <f>VLOOKUP($C26,'1 预算编制表单'!$C:$BJ,54,FALSE)</f>
        <v>0</v>
      </c>
      <c r="CJ26" s="123">
        <f>CI26-CK26</f>
        <v>0</v>
      </c>
      <c r="CK26" s="123">
        <f>CK27+CK33+CK39</f>
        <v>0</v>
      </c>
      <c r="CL26" s="123">
        <f>VLOOKUP($C26,'1 预算编制表单'!$C:$BJ,57,FALSE)</f>
        <v>0</v>
      </c>
      <c r="CM26" s="123">
        <f>CL26-CN26</f>
        <v>0</v>
      </c>
      <c r="CN26" s="123">
        <f>CN27+CN33+CN39</f>
        <v>0</v>
      </c>
      <c r="CO26" s="123">
        <f>VLOOKUP($C26,'1 预算编制表单'!$C:$BJ,60,FALSE)</f>
        <v>0</v>
      </c>
      <c r="CP26" s="123">
        <f>CO26-CQ26</f>
        <v>0</v>
      </c>
      <c r="CQ26" s="123">
        <f>CQ27+CQ33+CQ39</f>
        <v>0</v>
      </c>
    </row>
    <row r="27" s="89" customFormat="1" ht="24" hidden="1" customHeight="1" outlineLevel="3" collapsed="1" spans="1:95">
      <c r="A27" s="124"/>
      <c r="B27" s="125" t="s">
        <v>792</v>
      </c>
      <c r="C27" s="126" t="s">
        <v>112</v>
      </c>
      <c r="D27" s="124" t="s">
        <v>109</v>
      </c>
      <c r="E27" s="125"/>
      <c r="F27" s="125"/>
      <c r="G27" s="125"/>
      <c r="H27" s="127">
        <f>X27+AA27+AD27+AG27+AJ27+AM27+AP27+AS27+AV27+AY27+BB27+BE27</f>
        <v>568218.79</v>
      </c>
      <c r="I27" s="127">
        <f>Y27+AB27+AE27+AH27+AK27+AN27+AQ27+AT27+AW27+AZ27+BC27+BF27</f>
        <v>546726.252686567</v>
      </c>
      <c r="J27" s="127">
        <f t="shared" si="5"/>
        <v>21492.5373134328</v>
      </c>
      <c r="K27" s="127"/>
      <c r="L27" s="155"/>
      <c r="M27" s="155"/>
      <c r="N27" s="127"/>
      <c r="O27" s="155"/>
      <c r="P27" s="127"/>
      <c r="Q27" s="127"/>
      <c r="R27" s="127"/>
      <c r="S27" s="127"/>
      <c r="T27" s="127"/>
      <c r="U27" s="127"/>
      <c r="V27" s="127"/>
      <c r="W27" s="127"/>
      <c r="X27" s="127">
        <f>VLOOKUP($C27,'1 预算编制表单'!$C:$BJ,27,FALSE)</f>
        <v>568218.79</v>
      </c>
      <c r="Y27" s="127">
        <f>X27-Z27</f>
        <v>562666.55119403</v>
      </c>
      <c r="Z27" s="127">
        <f>SUM(Z28:Z32)</f>
        <v>5552.23880597015</v>
      </c>
      <c r="AA27" s="127">
        <f>VLOOKUP($C27,'1 预算编制表单'!$C:$BJ,30,FALSE)</f>
        <v>0</v>
      </c>
      <c r="AB27" s="127">
        <f>AA27-AC27</f>
        <v>-5014.92537313433</v>
      </c>
      <c r="AC27" s="127">
        <f>SUM(AC28:AC32)</f>
        <v>5014.92537313433</v>
      </c>
      <c r="AD27" s="127">
        <f>VLOOKUP($C27,'1 预算编制表单'!$C:$BJ,33,FALSE)</f>
        <v>0</v>
      </c>
      <c r="AE27" s="127">
        <f>AD27-AF27</f>
        <v>-5552.23880597015</v>
      </c>
      <c r="AF27" s="127">
        <f>SUM(AF28:AF32)</f>
        <v>5552.23880597015</v>
      </c>
      <c r="AG27" s="127">
        <f>VLOOKUP($C27,'1 预算编制表单'!$C:$BJ,36,FALSE)</f>
        <v>0</v>
      </c>
      <c r="AH27" s="127">
        <f>AG27-AI27</f>
        <v>-5373.13432835821</v>
      </c>
      <c r="AI27" s="127">
        <f>SUM(AI28:AI32)</f>
        <v>5373.13432835821</v>
      </c>
      <c r="AJ27" s="127">
        <f>VLOOKUP($C27,'1 预算编制表单'!$C:$BJ,39,FALSE)</f>
        <v>0</v>
      </c>
      <c r="AK27" s="127">
        <f>AJ27-AL27</f>
        <v>0</v>
      </c>
      <c r="AL27" s="127">
        <f>SUM(AL28:AL32)</f>
        <v>0</v>
      </c>
      <c r="AM27" s="127">
        <f>VLOOKUP($C27,'1 预算编制表单'!$C:$BJ,42,FALSE)</f>
        <v>0</v>
      </c>
      <c r="AN27" s="127">
        <f>AM27-AO27</f>
        <v>0</v>
      </c>
      <c r="AO27" s="127">
        <f>SUM(AO28:AO32)</f>
        <v>0</v>
      </c>
      <c r="AP27" s="127">
        <f>VLOOKUP($C27,'1 预算编制表单'!$C:$BJ,45,FALSE)</f>
        <v>0</v>
      </c>
      <c r="AQ27" s="127">
        <f>AP27-AR27</f>
        <v>0</v>
      </c>
      <c r="AR27" s="127">
        <f>SUM(AR28:AR32)</f>
        <v>0</v>
      </c>
      <c r="AS27" s="127">
        <f>VLOOKUP($C27,'1 预算编制表单'!$C:$BJ,48,FALSE)</f>
        <v>0</v>
      </c>
      <c r="AT27" s="127">
        <f>AS27-AU27</f>
        <v>0</v>
      </c>
      <c r="AU27" s="127">
        <f>SUM(AU28:AU32)</f>
        <v>0</v>
      </c>
      <c r="AV27" s="127">
        <f>VLOOKUP($C27,'1 预算编制表单'!$C:$BJ,51,FALSE)</f>
        <v>0</v>
      </c>
      <c r="AW27" s="127">
        <f>AV27-AX27</f>
        <v>0</v>
      </c>
      <c r="AX27" s="127">
        <f>SUM(AX28:AX32)</f>
        <v>0</v>
      </c>
      <c r="AY27" s="127">
        <f>VLOOKUP($C27,'1 预算编制表单'!$C:$BJ,54,FALSE)</f>
        <v>0</v>
      </c>
      <c r="AZ27" s="127">
        <f>AY27-BA27</f>
        <v>0</v>
      </c>
      <c r="BA27" s="127">
        <f>SUM(BA28:BA32)</f>
        <v>0</v>
      </c>
      <c r="BB27" s="127">
        <f>VLOOKUP($C27,'1 预算编制表单'!$C:$BJ,57,FALSE)</f>
        <v>0</v>
      </c>
      <c r="BC27" s="127">
        <f>BB27-BD27</f>
        <v>0</v>
      </c>
      <c r="BD27" s="127">
        <f>SUM(BD28:BD32)</f>
        <v>0</v>
      </c>
      <c r="BE27" s="127">
        <f>VLOOKUP($C27,'1 预算编制表单'!$C:$BJ,60,FALSE)</f>
        <v>0</v>
      </c>
      <c r="BF27" s="127">
        <f>BE27-BG27</f>
        <v>0</v>
      </c>
      <c r="BG27" s="127">
        <f>SUM(BG28:BG32)</f>
        <v>0</v>
      </c>
      <c r="BH27" s="127">
        <f>VLOOKUP($C27,'1 预算编制表单'!$C:$BJ,27,FALSE)</f>
        <v>568218.79</v>
      </c>
      <c r="BI27" s="127">
        <f>BH27-BJ27</f>
        <v>568218.79</v>
      </c>
      <c r="BJ27" s="127">
        <f>SUM(BJ28:BJ32)</f>
        <v>0</v>
      </c>
      <c r="BK27" s="127">
        <f>VLOOKUP($C27,'1 预算编制表单'!$C:$BJ,30,FALSE)</f>
        <v>0</v>
      </c>
      <c r="BL27" s="127">
        <f>BK27-BM27</f>
        <v>0</v>
      </c>
      <c r="BM27" s="127">
        <f>SUM(BM28:BM32)</f>
        <v>0</v>
      </c>
      <c r="BN27" s="127">
        <f>VLOOKUP($C27,'1 预算编制表单'!$C:$BJ,33,FALSE)</f>
        <v>0</v>
      </c>
      <c r="BO27" s="127">
        <f>BN27-BP27</f>
        <v>0</v>
      </c>
      <c r="BP27" s="127">
        <f>SUM(BP28:BP32)</f>
        <v>0</v>
      </c>
      <c r="BQ27" s="127">
        <f>VLOOKUP($C27,'1 预算编制表单'!$C:$BJ,36,FALSE)</f>
        <v>0</v>
      </c>
      <c r="BR27" s="127">
        <f>BQ27-BS27</f>
        <v>0</v>
      </c>
      <c r="BS27" s="127">
        <f>SUM(BS28:BS32)</f>
        <v>0</v>
      </c>
      <c r="BT27" s="127">
        <f>VLOOKUP($C27,'1 预算编制表单'!$C:$BJ,39,FALSE)</f>
        <v>0</v>
      </c>
      <c r="BU27" s="127">
        <f>BT27-BV27</f>
        <v>0</v>
      </c>
      <c r="BV27" s="127">
        <f>SUM(BV28:BV32)</f>
        <v>0</v>
      </c>
      <c r="BW27" s="127">
        <f>VLOOKUP($C27,'1 预算编制表单'!$C:$BJ,42,FALSE)</f>
        <v>0</v>
      </c>
      <c r="BX27" s="127">
        <f>BW27-BY27</f>
        <v>0</v>
      </c>
      <c r="BY27" s="127">
        <f>SUM(BY28:BY32)</f>
        <v>0</v>
      </c>
      <c r="BZ27" s="127">
        <f>VLOOKUP($C27,'1 预算编制表单'!$C:$BJ,45,FALSE)</f>
        <v>0</v>
      </c>
      <c r="CA27" s="127">
        <f>BZ27-CB27</f>
        <v>0</v>
      </c>
      <c r="CB27" s="127">
        <f>SUM(CB28:CB32)</f>
        <v>0</v>
      </c>
      <c r="CC27" s="127">
        <f>VLOOKUP($C27,'1 预算编制表单'!$C:$BJ,48,FALSE)</f>
        <v>0</v>
      </c>
      <c r="CD27" s="127">
        <f>CC27-CE27</f>
        <v>0</v>
      </c>
      <c r="CE27" s="127">
        <f>SUM(CE28:CE32)</f>
        <v>0</v>
      </c>
      <c r="CF27" s="127">
        <f>VLOOKUP($C27,'1 预算编制表单'!$C:$BJ,51,FALSE)</f>
        <v>0</v>
      </c>
      <c r="CG27" s="127">
        <f>CF27-CH27</f>
        <v>0</v>
      </c>
      <c r="CH27" s="127">
        <f>SUM(CH28:CH32)</f>
        <v>0</v>
      </c>
      <c r="CI27" s="127">
        <f>VLOOKUP($C27,'1 预算编制表单'!$C:$BJ,54,FALSE)</f>
        <v>0</v>
      </c>
      <c r="CJ27" s="127">
        <f>CI27-CK27</f>
        <v>0</v>
      </c>
      <c r="CK27" s="127">
        <f>SUM(CK28:CK32)</f>
        <v>0</v>
      </c>
      <c r="CL27" s="127">
        <f>VLOOKUP($C27,'1 预算编制表单'!$C:$BJ,57,FALSE)</f>
        <v>0</v>
      </c>
      <c r="CM27" s="127">
        <f>CL27-CN27</f>
        <v>0</v>
      </c>
      <c r="CN27" s="127">
        <f>SUM(CN28:CN32)</f>
        <v>0</v>
      </c>
      <c r="CO27" s="127">
        <f>VLOOKUP($C27,'1 预算编制表单'!$C:$BJ,60,FALSE)</f>
        <v>0</v>
      </c>
      <c r="CP27" s="127">
        <f>CO27-CQ27</f>
        <v>0</v>
      </c>
      <c r="CQ27" s="127">
        <f>SUM(CQ28:CQ32)</f>
        <v>0</v>
      </c>
    </row>
    <row r="28" s="89" customFormat="1" ht="24" hidden="1" customHeight="1" outlineLevel="4" spans="1:95">
      <c r="A28" s="128"/>
      <c r="B28" s="129"/>
      <c r="C28" s="130"/>
      <c r="D28" s="128"/>
      <c r="E28" s="129"/>
      <c r="F28" s="129"/>
      <c r="G28" s="129"/>
      <c r="H28" s="131"/>
      <c r="I28" s="131"/>
      <c r="J28" s="131">
        <f t="shared" si="5"/>
        <v>21492.5373134328</v>
      </c>
      <c r="K28" s="131">
        <v>1</v>
      </c>
      <c r="L28" s="156" t="s">
        <v>2815</v>
      </c>
      <c r="M28" s="157" t="str">
        <f>IFERROR(VLOOKUP($L28,'2-2 引出数据_合同数据仓库'!$B$5:$BP$200,3,FALSE),0)</f>
        <v>深圳中海油大厦绿色物业专项资助申请 技术咨询服务合同</v>
      </c>
      <c r="N28" s="131"/>
      <c r="O28" s="157">
        <f>IFERROR(VLOOKUP((LEFT(VLOOKUP($L28,'2-2 引出数据_合同数据仓库'!$B$5:$BP$200,64,FALSE),15)&amp;(RIGHT(VLOOKUP($L28,'2-2 引出数据_合同数据仓库'!$B$5:$BP$200,64,FALSE),4)+1)),'2-2 引出数据_合同数据仓库'!$B$5:$BP$200,3,FALSE),0)</f>
        <v>0</v>
      </c>
      <c r="P28" s="131"/>
      <c r="Q28" s="131" t="str">
        <f>IFERROR(VLOOKUP($L28,'2-2 引出数据_合同数据仓库'!$B$5:$BP$200,28,FALSE),0)</f>
        <v>2023-07-01</v>
      </c>
      <c r="R28" s="131" t="str">
        <f>IFERROR(VLOOKUP($L28,'2-2 引出数据_合同数据仓库'!$B$5:$BP$200,29,FALSE),0)</f>
        <v>2023-07-01</v>
      </c>
      <c r="S28" s="131" t="str">
        <f>IFERROR(VLOOKUP($L28,'2-2 引出数据_合同数据仓库'!$B$5:$BP$200,4,FALSE),0)</f>
        <v>2025-04-30</v>
      </c>
      <c r="T28" s="131"/>
      <c r="U28" s="131">
        <f>IFERROR(VLOOKUP($L28,'2-2 引出数据_合同数据仓库'!$B$5:$BP$200,15,FALSE),0)</f>
        <v>120000</v>
      </c>
      <c r="V28" s="131">
        <f t="shared" ref="V28:V31" si="240">U28/(S28-R28+1)*365</f>
        <v>65373.1343283582</v>
      </c>
      <c r="W28" s="131"/>
      <c r="X28" s="163">
        <v>45658</v>
      </c>
      <c r="Y28" s="163">
        <f t="shared" ref="Y28:Y31" si="241">X28+30</f>
        <v>45688</v>
      </c>
      <c r="Z28" s="167">
        <f t="shared" ref="Z28:Z31" si="242">IFERROR(IF(($R28-Y28)&gt;=0,0,IF(($S28-X28)&lt;0,0,IF(AND(($S28-Y28)&gt;0,(X28-$R28)&gt;0),$V28/365*(Y28-X28+1),IF(AND(($S28-Y28)&lt;=0,(X28-$R28)&gt;0),$V28/365*($S28-X28+1),$V28/365*(Y28-$R28+1))))),0)</f>
        <v>5552.23880597015</v>
      </c>
      <c r="AA28" s="163">
        <f t="shared" ref="AA28:AA31" si="243">Y28+1</f>
        <v>45689</v>
      </c>
      <c r="AB28" s="163">
        <f t="shared" ref="AB28:AB31" si="244">AA28+27</f>
        <v>45716</v>
      </c>
      <c r="AC28" s="167">
        <f t="shared" ref="AC28:AC31" si="245">IFERROR(IF(($R28-AB28)&gt;=0,0,IF(($S28-AA28)&lt;0,0,IF(AND(($S28-AB28)&gt;0,(AA28-$R28)&gt;0),$V28/365*(AB28-AA28+1),IF(AND(($S28-AB28)&lt;=0,(AA28-$R28)&gt;0),$V28/365*($S28-AA28+1),$V28/365*(AB28-$R28+1))))),0)</f>
        <v>5014.92537313433</v>
      </c>
      <c r="AD28" s="163">
        <f t="shared" ref="AD28:AD31" si="246">AB28+1</f>
        <v>45717</v>
      </c>
      <c r="AE28" s="163">
        <f t="shared" ref="AE28:AE31" si="247">AD28+30</f>
        <v>45747</v>
      </c>
      <c r="AF28" s="167">
        <f t="shared" ref="AF28:AF31" si="248">IFERROR(IF(($R28-AE28)&gt;=0,0,IF(($S28-AD28)&lt;0,0,IF(AND(($S28-AE28)&gt;0,(AD28-$R28)&gt;0),$V28/365*(AE28-AD28+1),IF(AND(($S28-AE28)&lt;=0,(AD28-$R28)&gt;0),$V28/365*($S28-AD28+1),$V28/365*(AE28-$R28+1))))),0)</f>
        <v>5552.23880597015</v>
      </c>
      <c r="AG28" s="163">
        <f t="shared" ref="AG28:AG31" si="249">AE28+1</f>
        <v>45748</v>
      </c>
      <c r="AH28" s="163">
        <f t="shared" ref="AH28:AH31" si="250">AG28+29</f>
        <v>45777</v>
      </c>
      <c r="AI28" s="167">
        <f t="shared" ref="AI28:AI31" si="251">IFERROR(IF(($R28-AH28)&gt;=0,0,IF(($S28-AG28)&lt;0,0,IF(AND(($S28-AH28)&gt;0,(AG28-$R28)&gt;0),$V28/365*(AH28-AG28+1),IF(AND(($S28-AH28)&lt;=0,(AG28-$R28)&gt;0),$V28/365*($S28-AG28+1),$V28/365*(AH28-$R28+1))))),0)</f>
        <v>5373.13432835821</v>
      </c>
      <c r="AJ28" s="163">
        <f t="shared" ref="AJ28:AJ31" si="252">AH28+1</f>
        <v>45778</v>
      </c>
      <c r="AK28" s="163">
        <f t="shared" ref="AK28:AK31" si="253">AJ28+30</f>
        <v>45808</v>
      </c>
      <c r="AL28" s="167">
        <f t="shared" ref="AL28:AL31" si="254">IFERROR(IF(($R28-AK28)&gt;=0,0,IF(($S28-AJ28)&lt;0,0,IF(AND(($S28-AK28)&gt;0,(AJ28-$R28)&gt;0),$V28/365*(AK28-AJ28+1),IF(AND(($S28-AK28)&lt;=0,(AJ28-$R28)&gt;0),$V28/365*($S28-AJ28+1),$V28/365*(AK28-$R28+1))))),0)</f>
        <v>0</v>
      </c>
      <c r="AM28" s="163">
        <f t="shared" ref="AM28:AM31" si="255">AK28+1</f>
        <v>45809</v>
      </c>
      <c r="AN28" s="163">
        <f t="shared" ref="AN28:AN31" si="256">AM28+29</f>
        <v>45838</v>
      </c>
      <c r="AO28" s="167">
        <f t="shared" ref="AO28:AO31" si="257">IFERROR(IF(($R28-AN28)&gt;=0,0,IF(($S28-AM28)&lt;0,0,IF(AND(($S28-AN28)&gt;0,(AM28-$R28)&gt;0),$V28/365*(AN28-AM28+1),IF(AND(($S28-AN28)&lt;=0,(AM28-$R28)&gt;0),$V28/365*($S28-AM28+1),$V28/365*(AN28-$R28+1))))),0)</f>
        <v>0</v>
      </c>
      <c r="AP28" s="163">
        <f t="shared" ref="AP28:AP31" si="258">AN28+1</f>
        <v>45839</v>
      </c>
      <c r="AQ28" s="163">
        <f t="shared" ref="AQ28:AQ31" si="259">AP28+30</f>
        <v>45869</v>
      </c>
      <c r="AR28" s="167">
        <f t="shared" ref="AR28:AR31" si="260">IFERROR(IF(($R28-AQ28)&gt;=0,0,IF(($S28-AP28)&lt;0,0,IF(AND(($S28-AQ28)&gt;0,(AP28-$R28)&gt;0),$V28/365*(AQ28-AP28+1),IF(AND(($S28-AQ28)&lt;=0,(AP28-$R28)&gt;0),$V28/365*($S28-AP28+1),$V28/365*(AQ28-$R28+1))))),0)</f>
        <v>0</v>
      </c>
      <c r="AS28" s="163">
        <f t="shared" ref="AS28:AS31" si="261">AQ28+1</f>
        <v>45870</v>
      </c>
      <c r="AT28" s="163">
        <f t="shared" ref="AT28:AT31" si="262">AS28+30</f>
        <v>45900</v>
      </c>
      <c r="AU28" s="167">
        <f t="shared" ref="AU28:AU31" si="263">IFERROR(IF(($R28-AT28)&gt;=0,0,IF(($S28-AS28)&lt;0,0,IF(AND(($S28-AT28)&gt;0,(AS28-$R28)&gt;0),$V28/365*(AT28-AS28+1),IF(AND(($S28-AT28)&lt;=0,(AS28-$R28)&gt;0),$V28/365*($S28-AS28+1),$V28/365*(AT28-$R28+1))))),0)</f>
        <v>0</v>
      </c>
      <c r="AV28" s="163">
        <f t="shared" ref="AV28:AV31" si="264">AT28+1</f>
        <v>45901</v>
      </c>
      <c r="AW28" s="163">
        <f t="shared" ref="AW28:AW31" si="265">AV28+29</f>
        <v>45930</v>
      </c>
      <c r="AX28" s="167">
        <f t="shared" ref="AX28:AX31" si="266">IFERROR(IF(($R28-AW28)&gt;=0,0,IF(($S28-AV28)&lt;0,0,IF(AND(($S28-AW28)&gt;0,(AV28-$R28)&gt;0),$V28/365*(AW28-AV28+1),IF(AND(($S28-AW28)&lt;=0,(AV28-$R28)&gt;0),$V28/365*($S28-AV28+1),$V28/365*(AW28-$R28+1))))),0)</f>
        <v>0</v>
      </c>
      <c r="AY28" s="163">
        <f t="shared" ref="AY28:AY31" si="267">AW28+1</f>
        <v>45931</v>
      </c>
      <c r="AZ28" s="163">
        <f t="shared" ref="AZ28:AZ31" si="268">AY28+30</f>
        <v>45961</v>
      </c>
      <c r="BA28" s="167">
        <f t="shared" ref="BA28:BA31" si="269">IFERROR(IF(($R28-AZ28)&gt;=0,0,IF(($S28-AY28)&lt;0,0,IF(AND(($S28-AZ28)&gt;0,(AY28-$R28)&gt;0),$V28/365*(AZ28-AY28+1),IF(AND(($S28-AZ28)&lt;=0,(AY28-$R28)&gt;0),$V28/365*($S28-AY28+1),$V28/365*(AZ28-$R28+1))))),0)</f>
        <v>0</v>
      </c>
      <c r="BB28" s="163">
        <f t="shared" ref="BB28:BB31" si="270">AZ28+1</f>
        <v>45962</v>
      </c>
      <c r="BC28" s="163">
        <f t="shared" ref="BC28:BC31" si="271">BB28+29</f>
        <v>45991</v>
      </c>
      <c r="BD28" s="167">
        <f t="shared" ref="BD28:BD31" si="272">IFERROR(IF(($R28-BC28)&gt;=0,0,IF(($S28-BB28)&lt;0,0,IF(AND(($S28-BC28)&gt;0,(BB28-$R28)&gt;0),$V28/365*(BC28-BB28+1),IF(AND(($S28-BC28)&lt;=0,(BB28-$R28)&gt;0),$V28/365*($S28-BB28+1),$V28/365*(BC28-$R28+1))))),0)</f>
        <v>0</v>
      </c>
      <c r="BE28" s="163">
        <f t="shared" ref="BE28:BE31" si="273">BC28+1</f>
        <v>45992</v>
      </c>
      <c r="BF28" s="163">
        <f t="shared" ref="BF28:BF31" si="274">BE28+30</f>
        <v>46022</v>
      </c>
      <c r="BG28" s="167">
        <f t="shared" ref="BG28:BG31" si="275">IFERROR(IF(($R28-BF28)&gt;=0,0,IF(($S28-BE28)&lt;0,0,IF(AND(($S28-BF28)&gt;0,(BE28-$R28)&gt;0),$V28/365*(BF28-BE28+1),IF(AND(($S28-BF28)&lt;=0,(BE28-$R28)&gt;0),$V28/365*($S28-BE28+1),$V28/365*(BF28-$R28+1))))),0)</f>
        <v>0</v>
      </c>
      <c r="BH28" s="163">
        <v>46023</v>
      </c>
      <c r="BI28" s="163">
        <f t="shared" ref="BI28:BI31" si="276">BH28+30</f>
        <v>46053</v>
      </c>
      <c r="BJ28" s="167">
        <f t="shared" ref="BJ28:BJ31" si="277">IFERROR(IF(($R28-BI28)&gt;=0,0,IF(($S28-BH28)&lt;0,0,IF(AND(($S28-BI28)&gt;0,(BH28-$R28)&gt;0),$V28/365*(BI28-BH28+1),IF(AND(($S28-BI28)&lt;=0,(BH28-$R28)&gt;0),$V28/365*($S28-BH28+1),$V28/365*(BI28-$R28+1))))),0)</f>
        <v>0</v>
      </c>
      <c r="BK28" s="163">
        <f t="shared" ref="BK28:BK31" si="278">BI28+1</f>
        <v>46054</v>
      </c>
      <c r="BL28" s="163">
        <f t="shared" ref="BL28:BL31" si="279">BK28+27</f>
        <v>46081</v>
      </c>
      <c r="BM28" s="167">
        <f t="shared" ref="BM28:BM31" si="280">IFERROR(IF(($R28-BL28)&gt;=0,0,IF(($S28-BK28)&lt;0,0,IF(AND(($S28-BL28)&gt;0,(BK28-$R28)&gt;0),$V28/365*(BL28-BK28+1),IF(AND(($S28-BL28)&lt;=0,(BK28-$R28)&gt;0),$V28/365*($S28-BK28+1),$V28/365*(BL28-$R28+1))))),0)</f>
        <v>0</v>
      </c>
      <c r="BN28" s="163">
        <f t="shared" ref="BN28:BN31" si="281">BL28+1</f>
        <v>46082</v>
      </c>
      <c r="BO28" s="163">
        <f t="shared" ref="BO28:BO31" si="282">BN28+30</f>
        <v>46112</v>
      </c>
      <c r="BP28" s="167">
        <f t="shared" ref="BP28:BP31" si="283">IFERROR(IF(($R28-BO28)&gt;=0,0,IF(($S28-BN28)&lt;0,0,IF(AND(($S28-BO28)&gt;0,(BN28-$R28)&gt;0),$V28/365*(BO28-BN28+1),IF(AND(($S28-BO28)&lt;=0,(BN28-$R28)&gt;0),$V28/365*($S28-BN28+1),$V28/365*(BO28-$R28+1))))),0)</f>
        <v>0</v>
      </c>
      <c r="BQ28" s="163">
        <f t="shared" ref="BQ28:BQ31" si="284">BO28+1</f>
        <v>46113</v>
      </c>
      <c r="BR28" s="163">
        <f t="shared" ref="BR28:BR31" si="285">BQ28+29</f>
        <v>46142</v>
      </c>
      <c r="BS28" s="167">
        <f t="shared" ref="BS28:BS31" si="286">IFERROR(IF(($R28-BR28)&gt;=0,0,IF(($S28-BQ28)&lt;0,0,IF(AND(($S28-BR28)&gt;0,(BQ28-$R28)&gt;0),$V28/365*(BR28-BQ28+1),IF(AND(($S28-BR28)&lt;=0,(BQ28-$R28)&gt;0),$V28/365*($S28-BQ28+1),$V28/365*(BR28-$R28+1))))),0)</f>
        <v>0</v>
      </c>
      <c r="BT28" s="163">
        <f t="shared" ref="BT28:BT31" si="287">BR28+1</f>
        <v>46143</v>
      </c>
      <c r="BU28" s="163">
        <f t="shared" ref="BU28:BU31" si="288">BT28+30</f>
        <v>46173</v>
      </c>
      <c r="BV28" s="167">
        <f t="shared" ref="BV28:BV31" si="289">IFERROR(IF(($R28-BU28)&gt;=0,0,IF(($S28-BT28)&lt;0,0,IF(AND(($S28-BU28)&gt;0,(BT28-$R28)&gt;0),$V28/365*(BU28-BT28+1),IF(AND(($S28-BU28)&lt;=0,(BT28-$R28)&gt;0),$V28/365*($S28-BT28+1),$V28/365*(BU28-$R28+1))))),0)</f>
        <v>0</v>
      </c>
      <c r="BW28" s="163">
        <f t="shared" ref="BW28:BW31" si="290">BU28+1</f>
        <v>46174</v>
      </c>
      <c r="BX28" s="163">
        <f t="shared" ref="BX28:BX31" si="291">BW28+29</f>
        <v>46203</v>
      </c>
      <c r="BY28" s="167">
        <f t="shared" ref="BY28:BY31" si="292">IFERROR(IF(($R28-BX28)&gt;=0,0,IF(($S28-BW28)&lt;0,0,IF(AND(($S28-BX28)&gt;0,(BW28-$R28)&gt;0),$V28/365*(BX28-BW28+1),IF(AND(($S28-BX28)&lt;=0,(BW28-$R28)&gt;0),$V28/365*($S28-BW28+1),$V28/365*(BX28-$R28+1))))),0)</f>
        <v>0</v>
      </c>
      <c r="BZ28" s="163">
        <f t="shared" ref="BZ28:BZ31" si="293">BX28+1</f>
        <v>46204</v>
      </c>
      <c r="CA28" s="163">
        <f t="shared" ref="CA28:CA31" si="294">BZ28+30</f>
        <v>46234</v>
      </c>
      <c r="CB28" s="167">
        <f t="shared" ref="CB28:CB31" si="295">IFERROR(IF(($R28-CA28)&gt;=0,0,IF(($S28-BZ28)&lt;0,0,IF(AND(($S28-CA28)&gt;0,(BZ28-$R28)&gt;0),$V28/365*(CA28-BZ28+1),IF(AND(($S28-CA28)&lt;=0,(BZ28-$R28)&gt;0),$V28/365*($S28-BZ28+1),$V28/365*(CA28-$R28+1))))),0)</f>
        <v>0</v>
      </c>
      <c r="CC28" s="163">
        <f t="shared" ref="CC28:CC31" si="296">CA28+1</f>
        <v>46235</v>
      </c>
      <c r="CD28" s="163">
        <f t="shared" ref="CD28:CD31" si="297">CC28+30</f>
        <v>46265</v>
      </c>
      <c r="CE28" s="167">
        <f t="shared" ref="CE28:CE31" si="298">IFERROR(IF(($R28-CD28)&gt;=0,0,IF(($S28-CC28)&lt;0,0,IF(AND(($S28-CD28)&gt;0,(CC28-$R28)&gt;0),$V28/365*(CD28-CC28+1),IF(AND(($S28-CD28)&lt;=0,(CC28-$R28)&gt;0),$V28/365*($S28-CC28+1),$V28/365*(CD28-$R28+1))))),0)</f>
        <v>0</v>
      </c>
      <c r="CF28" s="163">
        <f t="shared" ref="CF28:CF31" si="299">CD28+1</f>
        <v>46266</v>
      </c>
      <c r="CG28" s="163">
        <f t="shared" ref="CG28:CG31" si="300">CF28+29</f>
        <v>46295</v>
      </c>
      <c r="CH28" s="167">
        <f t="shared" ref="CH28:CH31" si="301">IFERROR(IF(($R28-CG28)&gt;=0,0,IF(($S28-CF28)&lt;0,0,IF(AND(($S28-CG28)&gt;0,(CF28-$R28)&gt;0),$V28/365*(CG28-CF28+1),IF(AND(($S28-CG28)&lt;=0,(CF28-$R28)&gt;0),$V28/365*($S28-CF28+1),$V28/365*(CG28-$R28+1))))),0)</f>
        <v>0</v>
      </c>
      <c r="CI28" s="163">
        <f t="shared" ref="CI28:CI31" si="302">CG28+1</f>
        <v>46296</v>
      </c>
      <c r="CJ28" s="163">
        <f t="shared" ref="CJ28:CJ31" si="303">CI28+30</f>
        <v>46326</v>
      </c>
      <c r="CK28" s="167">
        <f t="shared" ref="CK28:CK31" si="304">IFERROR(IF(($R28-CJ28)&gt;=0,0,IF(($S28-CI28)&lt;0,0,IF(AND(($S28-CJ28)&gt;0,(CI28-$R28)&gt;0),$V28/365*(CJ28-CI28+1),IF(AND(($S28-CJ28)&lt;=0,(CI28-$R28)&gt;0),$V28/365*($S28-CI28+1),$V28/365*(CJ28-$R28+1))))),0)</f>
        <v>0</v>
      </c>
      <c r="CL28" s="163">
        <f t="shared" ref="CL28:CL31" si="305">CJ28+1</f>
        <v>46327</v>
      </c>
      <c r="CM28" s="163">
        <f t="shared" ref="CM28:CM31" si="306">CL28+29</f>
        <v>46356</v>
      </c>
      <c r="CN28" s="167">
        <f t="shared" ref="CN28:CN31" si="307">IFERROR(IF(($R28-CM28)&gt;=0,0,IF(($S28-CL28)&lt;0,0,IF(AND(($S28-CM28)&gt;0,(CL28-$R28)&gt;0),$V28/365*(CM28-CL28+1),IF(AND(($S28-CM28)&lt;=0,(CL28-$R28)&gt;0),$V28/365*($S28-CL28+1),$V28/365*(CM28-$R28+1))))),0)</f>
        <v>0</v>
      </c>
      <c r="CO28" s="163">
        <f t="shared" ref="CO28:CO31" si="308">CM28+1</f>
        <v>46357</v>
      </c>
      <c r="CP28" s="163">
        <f t="shared" ref="CP28:CP31" si="309">CO28+30</f>
        <v>46387</v>
      </c>
      <c r="CQ28" s="167">
        <f t="shared" ref="CQ28:CQ31" si="310">IFERROR(IF(($R28-CP28)&gt;=0,0,IF(($S28-CO28)&lt;0,0,IF(AND(($S28-CP28)&gt;0,(CO28-$R28)&gt;0),$V28/365*(CP28-CO28+1),IF(AND(($S28-CP28)&lt;=0,(CO28-$R28)&gt;0),$V28/365*($S28-CO28+1),$V28/365*(CP28-$R28+1))))),0)</f>
        <v>0</v>
      </c>
    </row>
    <row r="29" s="89" customFormat="1" ht="24" hidden="1" customHeight="1" outlineLevel="4" spans="1:95">
      <c r="A29" s="128"/>
      <c r="B29" s="129"/>
      <c r="C29" s="130"/>
      <c r="D29" s="128"/>
      <c r="E29" s="129"/>
      <c r="F29" s="129"/>
      <c r="G29" s="129"/>
      <c r="H29" s="131"/>
      <c r="I29" s="131"/>
      <c r="J29" s="131">
        <f t="shared" si="5"/>
        <v>0</v>
      </c>
      <c r="K29" s="131">
        <f t="shared" ref="K29:K31" si="311">K28+1</f>
        <v>2</v>
      </c>
      <c r="L29" s="156"/>
      <c r="M29" s="157">
        <f>IFERROR(VLOOKUP($L29,'2-2 引出数据_合同数据仓库'!$B$5:$BP$200,3,FALSE),0)</f>
        <v>0</v>
      </c>
      <c r="N29" s="131"/>
      <c r="O29" s="157">
        <f>IFERROR(VLOOKUP((LEFT(VLOOKUP($L29,'2-2 引出数据_合同数据仓库'!$B$5:$BP$200,64,FALSE),15)&amp;(RIGHT(VLOOKUP($L29,'2-2 引出数据_合同数据仓库'!$B$5:$BP$200,64,FALSE),4)+1)),'2-2 引出数据_合同数据仓库'!$B$5:$BP$200,3,FALSE),0)</f>
        <v>0</v>
      </c>
      <c r="P29" s="131"/>
      <c r="Q29" s="131">
        <f>IFERROR(VLOOKUP($L29,'2-2 引出数据_合同数据仓库'!$B$5:$BP$200,28,FALSE),0)</f>
        <v>0</v>
      </c>
      <c r="R29" s="131">
        <f>IFERROR(VLOOKUP($L29,'2-2 引出数据_合同数据仓库'!$B$5:$BP$200,29,FALSE),0)</f>
        <v>0</v>
      </c>
      <c r="S29" s="131">
        <f>IFERROR(VLOOKUP($L29,'2-2 引出数据_合同数据仓库'!$B$5:$BP$200,4,FALSE),0)</f>
        <v>0</v>
      </c>
      <c r="T29" s="131"/>
      <c r="U29" s="131">
        <f>IFERROR(VLOOKUP($L29,'2-2 引出数据_合同数据仓库'!$B$5:$BP$200,15,FALSE),0)</f>
        <v>0</v>
      </c>
      <c r="V29" s="131">
        <f t="shared" si="240"/>
        <v>0</v>
      </c>
      <c r="W29" s="131"/>
      <c r="X29" s="163">
        <v>45658</v>
      </c>
      <c r="Y29" s="163">
        <f t="shared" si="241"/>
        <v>45688</v>
      </c>
      <c r="Z29" s="167">
        <f t="shared" si="242"/>
        <v>0</v>
      </c>
      <c r="AA29" s="163">
        <f t="shared" si="243"/>
        <v>45689</v>
      </c>
      <c r="AB29" s="163">
        <f t="shared" si="244"/>
        <v>45716</v>
      </c>
      <c r="AC29" s="167">
        <f t="shared" si="245"/>
        <v>0</v>
      </c>
      <c r="AD29" s="163">
        <f t="shared" si="246"/>
        <v>45717</v>
      </c>
      <c r="AE29" s="163">
        <f t="shared" si="247"/>
        <v>45747</v>
      </c>
      <c r="AF29" s="167">
        <f t="shared" si="248"/>
        <v>0</v>
      </c>
      <c r="AG29" s="163">
        <f t="shared" si="249"/>
        <v>45748</v>
      </c>
      <c r="AH29" s="163">
        <f t="shared" si="250"/>
        <v>45777</v>
      </c>
      <c r="AI29" s="167">
        <f t="shared" si="251"/>
        <v>0</v>
      </c>
      <c r="AJ29" s="163">
        <f t="shared" si="252"/>
        <v>45778</v>
      </c>
      <c r="AK29" s="163">
        <f t="shared" si="253"/>
        <v>45808</v>
      </c>
      <c r="AL29" s="167">
        <f t="shared" si="254"/>
        <v>0</v>
      </c>
      <c r="AM29" s="163">
        <f t="shared" si="255"/>
        <v>45809</v>
      </c>
      <c r="AN29" s="163">
        <f t="shared" si="256"/>
        <v>45838</v>
      </c>
      <c r="AO29" s="167">
        <f t="shared" si="257"/>
        <v>0</v>
      </c>
      <c r="AP29" s="163">
        <f t="shared" si="258"/>
        <v>45839</v>
      </c>
      <c r="AQ29" s="163">
        <f t="shared" si="259"/>
        <v>45869</v>
      </c>
      <c r="AR29" s="167">
        <f t="shared" si="260"/>
        <v>0</v>
      </c>
      <c r="AS29" s="163">
        <f t="shared" si="261"/>
        <v>45870</v>
      </c>
      <c r="AT29" s="163">
        <f t="shared" si="262"/>
        <v>45900</v>
      </c>
      <c r="AU29" s="167">
        <f t="shared" si="263"/>
        <v>0</v>
      </c>
      <c r="AV29" s="163">
        <f t="shared" si="264"/>
        <v>45901</v>
      </c>
      <c r="AW29" s="163">
        <f t="shared" si="265"/>
        <v>45930</v>
      </c>
      <c r="AX29" s="167">
        <f t="shared" si="266"/>
        <v>0</v>
      </c>
      <c r="AY29" s="163">
        <f t="shared" si="267"/>
        <v>45931</v>
      </c>
      <c r="AZ29" s="163">
        <f t="shared" si="268"/>
        <v>45961</v>
      </c>
      <c r="BA29" s="167">
        <f t="shared" si="269"/>
        <v>0</v>
      </c>
      <c r="BB29" s="163">
        <f t="shared" si="270"/>
        <v>45962</v>
      </c>
      <c r="BC29" s="163">
        <f t="shared" si="271"/>
        <v>45991</v>
      </c>
      <c r="BD29" s="167">
        <f t="shared" si="272"/>
        <v>0</v>
      </c>
      <c r="BE29" s="163">
        <f t="shared" si="273"/>
        <v>45992</v>
      </c>
      <c r="BF29" s="163">
        <f t="shared" si="274"/>
        <v>46022</v>
      </c>
      <c r="BG29" s="167">
        <f t="shared" si="275"/>
        <v>0</v>
      </c>
      <c r="BH29" s="163">
        <v>46023</v>
      </c>
      <c r="BI29" s="163">
        <f t="shared" si="276"/>
        <v>46053</v>
      </c>
      <c r="BJ29" s="167">
        <f t="shared" si="277"/>
        <v>0</v>
      </c>
      <c r="BK29" s="163">
        <f t="shared" si="278"/>
        <v>46054</v>
      </c>
      <c r="BL29" s="163">
        <f t="shared" si="279"/>
        <v>46081</v>
      </c>
      <c r="BM29" s="167">
        <f t="shared" si="280"/>
        <v>0</v>
      </c>
      <c r="BN29" s="163">
        <f t="shared" si="281"/>
        <v>46082</v>
      </c>
      <c r="BO29" s="163">
        <f t="shared" si="282"/>
        <v>46112</v>
      </c>
      <c r="BP29" s="167">
        <f t="shared" si="283"/>
        <v>0</v>
      </c>
      <c r="BQ29" s="163">
        <f t="shared" si="284"/>
        <v>46113</v>
      </c>
      <c r="BR29" s="163">
        <f t="shared" si="285"/>
        <v>46142</v>
      </c>
      <c r="BS29" s="167">
        <f t="shared" si="286"/>
        <v>0</v>
      </c>
      <c r="BT29" s="163">
        <f t="shared" si="287"/>
        <v>46143</v>
      </c>
      <c r="BU29" s="163">
        <f t="shared" si="288"/>
        <v>46173</v>
      </c>
      <c r="BV29" s="167">
        <f t="shared" si="289"/>
        <v>0</v>
      </c>
      <c r="BW29" s="163">
        <f t="shared" si="290"/>
        <v>46174</v>
      </c>
      <c r="BX29" s="163">
        <f t="shared" si="291"/>
        <v>46203</v>
      </c>
      <c r="BY29" s="167">
        <f t="shared" si="292"/>
        <v>0</v>
      </c>
      <c r="BZ29" s="163">
        <f t="shared" si="293"/>
        <v>46204</v>
      </c>
      <c r="CA29" s="163">
        <f t="shared" si="294"/>
        <v>46234</v>
      </c>
      <c r="CB29" s="167">
        <f t="shared" si="295"/>
        <v>0</v>
      </c>
      <c r="CC29" s="163">
        <f t="shared" si="296"/>
        <v>46235</v>
      </c>
      <c r="CD29" s="163">
        <f t="shared" si="297"/>
        <v>46265</v>
      </c>
      <c r="CE29" s="167">
        <f t="shared" si="298"/>
        <v>0</v>
      </c>
      <c r="CF29" s="163">
        <f t="shared" si="299"/>
        <v>46266</v>
      </c>
      <c r="CG29" s="163">
        <f t="shared" si="300"/>
        <v>46295</v>
      </c>
      <c r="CH29" s="167">
        <f t="shared" si="301"/>
        <v>0</v>
      </c>
      <c r="CI29" s="163">
        <f t="shared" si="302"/>
        <v>46296</v>
      </c>
      <c r="CJ29" s="163">
        <f t="shared" si="303"/>
        <v>46326</v>
      </c>
      <c r="CK29" s="167">
        <f t="shared" si="304"/>
        <v>0</v>
      </c>
      <c r="CL29" s="163">
        <f t="shared" si="305"/>
        <v>46327</v>
      </c>
      <c r="CM29" s="163">
        <f t="shared" si="306"/>
        <v>46356</v>
      </c>
      <c r="CN29" s="167">
        <f t="shared" si="307"/>
        <v>0</v>
      </c>
      <c r="CO29" s="163">
        <f t="shared" si="308"/>
        <v>46357</v>
      </c>
      <c r="CP29" s="163">
        <f t="shared" si="309"/>
        <v>46387</v>
      </c>
      <c r="CQ29" s="167">
        <f t="shared" si="310"/>
        <v>0</v>
      </c>
    </row>
    <row r="30" s="89" customFormat="1" ht="24" hidden="1" customHeight="1" outlineLevel="4" spans="1:95">
      <c r="A30" s="128"/>
      <c r="B30" s="129"/>
      <c r="C30" s="130"/>
      <c r="D30" s="128"/>
      <c r="E30" s="129"/>
      <c r="F30" s="129"/>
      <c r="G30" s="129"/>
      <c r="H30" s="131"/>
      <c r="I30" s="131"/>
      <c r="J30" s="131">
        <f t="shared" si="5"/>
        <v>0</v>
      </c>
      <c r="K30" s="131">
        <f t="shared" si="311"/>
        <v>3</v>
      </c>
      <c r="L30" s="156"/>
      <c r="M30" s="157">
        <f>IFERROR(VLOOKUP($L30,'2-2 引出数据_合同数据仓库'!$B$5:$BP$200,3,FALSE),0)</f>
        <v>0</v>
      </c>
      <c r="N30" s="131"/>
      <c r="O30" s="157">
        <f>IFERROR(VLOOKUP((LEFT(VLOOKUP($L30,'2-2 引出数据_合同数据仓库'!$B$5:$BP$200,64,FALSE),15)&amp;(RIGHT(VLOOKUP($L30,'2-2 引出数据_合同数据仓库'!$B$5:$BP$200,64,FALSE),4)+1)),'2-2 引出数据_合同数据仓库'!$B$5:$BP$200,3,FALSE),0)</f>
        <v>0</v>
      </c>
      <c r="P30" s="131"/>
      <c r="Q30" s="131">
        <f>IFERROR(VLOOKUP($L30,'2-2 引出数据_合同数据仓库'!$B$5:$BP$200,28,FALSE),0)</f>
        <v>0</v>
      </c>
      <c r="R30" s="131">
        <f>IFERROR(VLOOKUP($L30,'2-2 引出数据_合同数据仓库'!$B$5:$BP$200,29,FALSE),0)</f>
        <v>0</v>
      </c>
      <c r="S30" s="131">
        <f>IFERROR(VLOOKUP($L30,'2-2 引出数据_合同数据仓库'!$B$5:$BP$200,4,FALSE),0)</f>
        <v>0</v>
      </c>
      <c r="T30" s="131"/>
      <c r="U30" s="131">
        <f>IFERROR(VLOOKUP($L30,'2-2 引出数据_合同数据仓库'!$B$5:$BP$200,15,FALSE),0)</f>
        <v>0</v>
      </c>
      <c r="V30" s="131">
        <f t="shared" si="240"/>
        <v>0</v>
      </c>
      <c r="W30" s="131"/>
      <c r="X30" s="163">
        <v>45658</v>
      </c>
      <c r="Y30" s="163">
        <f t="shared" si="241"/>
        <v>45688</v>
      </c>
      <c r="Z30" s="167">
        <f t="shared" si="242"/>
        <v>0</v>
      </c>
      <c r="AA30" s="163">
        <f t="shared" si="243"/>
        <v>45689</v>
      </c>
      <c r="AB30" s="163">
        <f t="shared" si="244"/>
        <v>45716</v>
      </c>
      <c r="AC30" s="167">
        <f t="shared" si="245"/>
        <v>0</v>
      </c>
      <c r="AD30" s="163">
        <f t="shared" si="246"/>
        <v>45717</v>
      </c>
      <c r="AE30" s="163">
        <f t="shared" si="247"/>
        <v>45747</v>
      </c>
      <c r="AF30" s="167">
        <f t="shared" si="248"/>
        <v>0</v>
      </c>
      <c r="AG30" s="163">
        <f t="shared" si="249"/>
        <v>45748</v>
      </c>
      <c r="AH30" s="163">
        <f t="shared" si="250"/>
        <v>45777</v>
      </c>
      <c r="AI30" s="167">
        <f t="shared" si="251"/>
        <v>0</v>
      </c>
      <c r="AJ30" s="163">
        <f t="shared" si="252"/>
        <v>45778</v>
      </c>
      <c r="AK30" s="163">
        <f t="shared" si="253"/>
        <v>45808</v>
      </c>
      <c r="AL30" s="167">
        <f t="shared" si="254"/>
        <v>0</v>
      </c>
      <c r="AM30" s="163">
        <f t="shared" si="255"/>
        <v>45809</v>
      </c>
      <c r="AN30" s="163">
        <f t="shared" si="256"/>
        <v>45838</v>
      </c>
      <c r="AO30" s="167">
        <f t="shared" si="257"/>
        <v>0</v>
      </c>
      <c r="AP30" s="163">
        <f t="shared" si="258"/>
        <v>45839</v>
      </c>
      <c r="AQ30" s="163">
        <f t="shared" si="259"/>
        <v>45869</v>
      </c>
      <c r="AR30" s="167">
        <f t="shared" si="260"/>
        <v>0</v>
      </c>
      <c r="AS30" s="163">
        <f t="shared" si="261"/>
        <v>45870</v>
      </c>
      <c r="AT30" s="163">
        <f t="shared" si="262"/>
        <v>45900</v>
      </c>
      <c r="AU30" s="167">
        <f t="shared" si="263"/>
        <v>0</v>
      </c>
      <c r="AV30" s="163">
        <f t="shared" si="264"/>
        <v>45901</v>
      </c>
      <c r="AW30" s="163">
        <f t="shared" si="265"/>
        <v>45930</v>
      </c>
      <c r="AX30" s="167">
        <f t="shared" si="266"/>
        <v>0</v>
      </c>
      <c r="AY30" s="163">
        <f t="shared" si="267"/>
        <v>45931</v>
      </c>
      <c r="AZ30" s="163">
        <f t="shared" si="268"/>
        <v>45961</v>
      </c>
      <c r="BA30" s="167">
        <f t="shared" si="269"/>
        <v>0</v>
      </c>
      <c r="BB30" s="163">
        <f t="shared" si="270"/>
        <v>45962</v>
      </c>
      <c r="BC30" s="163">
        <f t="shared" si="271"/>
        <v>45991</v>
      </c>
      <c r="BD30" s="167">
        <f t="shared" si="272"/>
        <v>0</v>
      </c>
      <c r="BE30" s="163">
        <f t="shared" si="273"/>
        <v>45992</v>
      </c>
      <c r="BF30" s="163">
        <f t="shared" si="274"/>
        <v>46022</v>
      </c>
      <c r="BG30" s="167">
        <f t="shared" si="275"/>
        <v>0</v>
      </c>
      <c r="BH30" s="163">
        <v>46023</v>
      </c>
      <c r="BI30" s="163">
        <f t="shared" si="276"/>
        <v>46053</v>
      </c>
      <c r="BJ30" s="167">
        <f t="shared" si="277"/>
        <v>0</v>
      </c>
      <c r="BK30" s="163">
        <f t="shared" si="278"/>
        <v>46054</v>
      </c>
      <c r="BL30" s="163">
        <f t="shared" si="279"/>
        <v>46081</v>
      </c>
      <c r="BM30" s="167">
        <f t="shared" si="280"/>
        <v>0</v>
      </c>
      <c r="BN30" s="163">
        <f t="shared" si="281"/>
        <v>46082</v>
      </c>
      <c r="BO30" s="163">
        <f t="shared" si="282"/>
        <v>46112</v>
      </c>
      <c r="BP30" s="167">
        <f t="shared" si="283"/>
        <v>0</v>
      </c>
      <c r="BQ30" s="163">
        <f t="shared" si="284"/>
        <v>46113</v>
      </c>
      <c r="BR30" s="163">
        <f t="shared" si="285"/>
        <v>46142</v>
      </c>
      <c r="BS30" s="167">
        <f t="shared" si="286"/>
        <v>0</v>
      </c>
      <c r="BT30" s="163">
        <f t="shared" si="287"/>
        <v>46143</v>
      </c>
      <c r="BU30" s="163">
        <f t="shared" si="288"/>
        <v>46173</v>
      </c>
      <c r="BV30" s="167">
        <f t="shared" si="289"/>
        <v>0</v>
      </c>
      <c r="BW30" s="163">
        <f t="shared" si="290"/>
        <v>46174</v>
      </c>
      <c r="BX30" s="163">
        <f t="shared" si="291"/>
        <v>46203</v>
      </c>
      <c r="BY30" s="167">
        <f t="shared" si="292"/>
        <v>0</v>
      </c>
      <c r="BZ30" s="163">
        <f t="shared" si="293"/>
        <v>46204</v>
      </c>
      <c r="CA30" s="163">
        <f t="shared" si="294"/>
        <v>46234</v>
      </c>
      <c r="CB30" s="167">
        <f t="shared" si="295"/>
        <v>0</v>
      </c>
      <c r="CC30" s="163">
        <f t="shared" si="296"/>
        <v>46235</v>
      </c>
      <c r="CD30" s="163">
        <f t="shared" si="297"/>
        <v>46265</v>
      </c>
      <c r="CE30" s="167">
        <f t="shared" si="298"/>
        <v>0</v>
      </c>
      <c r="CF30" s="163">
        <f t="shared" si="299"/>
        <v>46266</v>
      </c>
      <c r="CG30" s="163">
        <f t="shared" si="300"/>
        <v>46295</v>
      </c>
      <c r="CH30" s="167">
        <f t="shared" si="301"/>
        <v>0</v>
      </c>
      <c r="CI30" s="163">
        <f t="shared" si="302"/>
        <v>46296</v>
      </c>
      <c r="CJ30" s="163">
        <f t="shared" si="303"/>
        <v>46326</v>
      </c>
      <c r="CK30" s="167">
        <f t="shared" si="304"/>
        <v>0</v>
      </c>
      <c r="CL30" s="163">
        <f t="shared" si="305"/>
        <v>46327</v>
      </c>
      <c r="CM30" s="163">
        <f t="shared" si="306"/>
        <v>46356</v>
      </c>
      <c r="CN30" s="167">
        <f t="shared" si="307"/>
        <v>0</v>
      </c>
      <c r="CO30" s="163">
        <f t="shared" si="308"/>
        <v>46357</v>
      </c>
      <c r="CP30" s="163">
        <f t="shared" si="309"/>
        <v>46387</v>
      </c>
      <c r="CQ30" s="167">
        <f t="shared" si="310"/>
        <v>0</v>
      </c>
    </row>
    <row r="31" s="89" customFormat="1" ht="24" hidden="1" customHeight="1" outlineLevel="4" spans="1:95">
      <c r="A31" s="128"/>
      <c r="B31" s="129"/>
      <c r="C31" s="130"/>
      <c r="D31" s="128"/>
      <c r="E31" s="129"/>
      <c r="F31" s="129"/>
      <c r="G31" s="129"/>
      <c r="H31" s="131"/>
      <c r="I31" s="131"/>
      <c r="J31" s="131">
        <f t="shared" si="5"/>
        <v>0</v>
      </c>
      <c r="K31" s="131">
        <f t="shared" si="311"/>
        <v>4</v>
      </c>
      <c r="L31" s="156"/>
      <c r="M31" s="157">
        <f>IFERROR(VLOOKUP($L31,'2-2 引出数据_合同数据仓库'!$B$5:$BP$200,3,FALSE),0)</f>
        <v>0</v>
      </c>
      <c r="N31" s="131"/>
      <c r="O31" s="157">
        <f>IFERROR(VLOOKUP((LEFT(VLOOKUP($L31,'2-2 引出数据_合同数据仓库'!$B$5:$BP$200,64,FALSE),15)&amp;(RIGHT(VLOOKUP($L31,'2-2 引出数据_合同数据仓库'!$B$5:$BP$200,64,FALSE),4)+1)),'2-2 引出数据_合同数据仓库'!$B$5:$BP$200,3,FALSE),0)</f>
        <v>0</v>
      </c>
      <c r="P31" s="131"/>
      <c r="Q31" s="131">
        <f>IFERROR(VLOOKUP($L31,'2-2 引出数据_合同数据仓库'!$B$5:$BP$200,28,FALSE),0)</f>
        <v>0</v>
      </c>
      <c r="R31" s="131">
        <f>IFERROR(VLOOKUP($L31,'2-2 引出数据_合同数据仓库'!$B$5:$BP$200,29,FALSE),0)</f>
        <v>0</v>
      </c>
      <c r="S31" s="131">
        <f>IFERROR(VLOOKUP($L31,'2-2 引出数据_合同数据仓库'!$B$5:$BP$200,4,FALSE),0)</f>
        <v>0</v>
      </c>
      <c r="T31" s="131"/>
      <c r="U31" s="131">
        <f>IFERROR(VLOOKUP($L31,'2-2 引出数据_合同数据仓库'!$B$5:$BP$200,15,FALSE),0)</f>
        <v>0</v>
      </c>
      <c r="V31" s="131">
        <f t="shared" si="240"/>
        <v>0</v>
      </c>
      <c r="W31" s="131"/>
      <c r="X31" s="163">
        <v>45658</v>
      </c>
      <c r="Y31" s="163">
        <f t="shared" si="241"/>
        <v>45688</v>
      </c>
      <c r="Z31" s="167">
        <f t="shared" si="242"/>
        <v>0</v>
      </c>
      <c r="AA31" s="163">
        <f t="shared" si="243"/>
        <v>45689</v>
      </c>
      <c r="AB31" s="163">
        <f t="shared" si="244"/>
        <v>45716</v>
      </c>
      <c r="AC31" s="167">
        <f t="shared" si="245"/>
        <v>0</v>
      </c>
      <c r="AD31" s="163">
        <f t="shared" si="246"/>
        <v>45717</v>
      </c>
      <c r="AE31" s="163">
        <f t="shared" si="247"/>
        <v>45747</v>
      </c>
      <c r="AF31" s="167">
        <f t="shared" si="248"/>
        <v>0</v>
      </c>
      <c r="AG31" s="163">
        <f t="shared" si="249"/>
        <v>45748</v>
      </c>
      <c r="AH31" s="163">
        <f t="shared" si="250"/>
        <v>45777</v>
      </c>
      <c r="AI31" s="167">
        <f t="shared" si="251"/>
        <v>0</v>
      </c>
      <c r="AJ31" s="163">
        <f t="shared" si="252"/>
        <v>45778</v>
      </c>
      <c r="AK31" s="163">
        <f t="shared" si="253"/>
        <v>45808</v>
      </c>
      <c r="AL31" s="167">
        <f t="shared" si="254"/>
        <v>0</v>
      </c>
      <c r="AM31" s="163">
        <f t="shared" si="255"/>
        <v>45809</v>
      </c>
      <c r="AN31" s="163">
        <f t="shared" si="256"/>
        <v>45838</v>
      </c>
      <c r="AO31" s="167">
        <f t="shared" si="257"/>
        <v>0</v>
      </c>
      <c r="AP31" s="163">
        <f t="shared" si="258"/>
        <v>45839</v>
      </c>
      <c r="AQ31" s="163">
        <f t="shared" si="259"/>
        <v>45869</v>
      </c>
      <c r="AR31" s="167">
        <f t="shared" si="260"/>
        <v>0</v>
      </c>
      <c r="AS31" s="163">
        <f t="shared" si="261"/>
        <v>45870</v>
      </c>
      <c r="AT31" s="163">
        <f t="shared" si="262"/>
        <v>45900</v>
      </c>
      <c r="AU31" s="167">
        <f t="shared" si="263"/>
        <v>0</v>
      </c>
      <c r="AV31" s="163">
        <f t="shared" si="264"/>
        <v>45901</v>
      </c>
      <c r="AW31" s="163">
        <f t="shared" si="265"/>
        <v>45930</v>
      </c>
      <c r="AX31" s="167">
        <f t="shared" si="266"/>
        <v>0</v>
      </c>
      <c r="AY31" s="163">
        <f t="shared" si="267"/>
        <v>45931</v>
      </c>
      <c r="AZ31" s="163">
        <f t="shared" si="268"/>
        <v>45961</v>
      </c>
      <c r="BA31" s="167">
        <f t="shared" si="269"/>
        <v>0</v>
      </c>
      <c r="BB31" s="163">
        <f t="shared" si="270"/>
        <v>45962</v>
      </c>
      <c r="BC31" s="163">
        <f t="shared" si="271"/>
        <v>45991</v>
      </c>
      <c r="BD31" s="167">
        <f t="shared" si="272"/>
        <v>0</v>
      </c>
      <c r="BE31" s="163">
        <f t="shared" si="273"/>
        <v>45992</v>
      </c>
      <c r="BF31" s="163">
        <f t="shared" si="274"/>
        <v>46022</v>
      </c>
      <c r="BG31" s="167">
        <f t="shared" si="275"/>
        <v>0</v>
      </c>
      <c r="BH31" s="163">
        <v>46023</v>
      </c>
      <c r="BI31" s="163">
        <f t="shared" si="276"/>
        <v>46053</v>
      </c>
      <c r="BJ31" s="167">
        <f t="shared" si="277"/>
        <v>0</v>
      </c>
      <c r="BK31" s="163">
        <f t="shared" si="278"/>
        <v>46054</v>
      </c>
      <c r="BL31" s="163">
        <f t="shared" si="279"/>
        <v>46081</v>
      </c>
      <c r="BM31" s="167">
        <f t="shared" si="280"/>
        <v>0</v>
      </c>
      <c r="BN31" s="163">
        <f t="shared" si="281"/>
        <v>46082</v>
      </c>
      <c r="BO31" s="163">
        <f t="shared" si="282"/>
        <v>46112</v>
      </c>
      <c r="BP31" s="167">
        <f t="shared" si="283"/>
        <v>0</v>
      </c>
      <c r="BQ31" s="163">
        <f t="shared" si="284"/>
        <v>46113</v>
      </c>
      <c r="BR31" s="163">
        <f t="shared" si="285"/>
        <v>46142</v>
      </c>
      <c r="BS31" s="167">
        <f t="shared" si="286"/>
        <v>0</v>
      </c>
      <c r="BT31" s="163">
        <f t="shared" si="287"/>
        <v>46143</v>
      </c>
      <c r="BU31" s="163">
        <f t="shared" si="288"/>
        <v>46173</v>
      </c>
      <c r="BV31" s="167">
        <f t="shared" si="289"/>
        <v>0</v>
      </c>
      <c r="BW31" s="163">
        <f t="shared" si="290"/>
        <v>46174</v>
      </c>
      <c r="BX31" s="163">
        <f t="shared" si="291"/>
        <v>46203</v>
      </c>
      <c r="BY31" s="167">
        <f t="shared" si="292"/>
        <v>0</v>
      </c>
      <c r="BZ31" s="163">
        <f t="shared" si="293"/>
        <v>46204</v>
      </c>
      <c r="CA31" s="163">
        <f t="shared" si="294"/>
        <v>46234</v>
      </c>
      <c r="CB31" s="167">
        <f t="shared" si="295"/>
        <v>0</v>
      </c>
      <c r="CC31" s="163">
        <f t="shared" si="296"/>
        <v>46235</v>
      </c>
      <c r="CD31" s="163">
        <f t="shared" si="297"/>
        <v>46265</v>
      </c>
      <c r="CE31" s="167">
        <f t="shared" si="298"/>
        <v>0</v>
      </c>
      <c r="CF31" s="163">
        <f t="shared" si="299"/>
        <v>46266</v>
      </c>
      <c r="CG31" s="163">
        <f t="shared" si="300"/>
        <v>46295</v>
      </c>
      <c r="CH31" s="167">
        <f t="shared" si="301"/>
        <v>0</v>
      </c>
      <c r="CI31" s="163">
        <f t="shared" si="302"/>
        <v>46296</v>
      </c>
      <c r="CJ31" s="163">
        <f t="shared" si="303"/>
        <v>46326</v>
      </c>
      <c r="CK31" s="167">
        <f t="shared" si="304"/>
        <v>0</v>
      </c>
      <c r="CL31" s="163">
        <f t="shared" si="305"/>
        <v>46327</v>
      </c>
      <c r="CM31" s="163">
        <f t="shared" si="306"/>
        <v>46356</v>
      </c>
      <c r="CN31" s="167">
        <f t="shared" si="307"/>
        <v>0</v>
      </c>
      <c r="CO31" s="163">
        <f t="shared" si="308"/>
        <v>46357</v>
      </c>
      <c r="CP31" s="163">
        <f t="shared" si="309"/>
        <v>46387</v>
      </c>
      <c r="CQ31" s="167">
        <f t="shared" si="310"/>
        <v>0</v>
      </c>
    </row>
    <row r="32" s="89" customFormat="1" ht="24" hidden="1" customHeight="1" outlineLevel="4" spans="1:95">
      <c r="A32" s="132" t="s">
        <v>2813</v>
      </c>
      <c r="B32" s="133"/>
      <c r="C32" s="133"/>
      <c r="D32" s="133"/>
      <c r="E32" s="133"/>
      <c r="F32" s="133"/>
      <c r="G32" s="134"/>
      <c r="H32" s="135"/>
      <c r="I32" s="135"/>
      <c r="J32" s="135"/>
      <c r="K32" s="135"/>
      <c r="L32" s="158"/>
      <c r="M32" s="158"/>
      <c r="N32" s="135"/>
      <c r="O32" s="158"/>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c r="CL32" s="135"/>
      <c r="CM32" s="135"/>
      <c r="CN32" s="135"/>
      <c r="CO32" s="135"/>
      <c r="CP32" s="135"/>
      <c r="CQ32" s="135"/>
    </row>
    <row r="33" s="89" customFormat="1" ht="24" hidden="1" customHeight="1" outlineLevel="3" collapsed="1" spans="1:95">
      <c r="A33" s="124"/>
      <c r="B33" s="125" t="s">
        <v>792</v>
      </c>
      <c r="C33" s="126" t="s">
        <v>69</v>
      </c>
      <c r="D33" s="124" t="s">
        <v>68</v>
      </c>
      <c r="E33" s="125"/>
      <c r="F33" s="125"/>
      <c r="G33" s="125"/>
      <c r="H33" s="127">
        <f>X33+AA33+AD33+AG33+AJ33+AM33+AP33+AS33+AV33+AY33+BB33+BE33</f>
        <v>0</v>
      </c>
      <c r="I33" s="127">
        <f>Y33+AB33+AE33+AH33+AK33+AN33+AQ33+AT33+AW33+AZ33+BC33+BF33</f>
        <v>0</v>
      </c>
      <c r="J33" s="127">
        <f t="shared" si="5"/>
        <v>0</v>
      </c>
      <c r="K33" s="127"/>
      <c r="L33" s="155"/>
      <c r="M33" s="155"/>
      <c r="N33" s="127"/>
      <c r="O33" s="155"/>
      <c r="P33" s="127"/>
      <c r="Q33" s="127"/>
      <c r="R33" s="127"/>
      <c r="S33" s="127"/>
      <c r="T33" s="127"/>
      <c r="U33" s="127"/>
      <c r="V33" s="127"/>
      <c r="W33" s="127"/>
      <c r="X33" s="127">
        <f>VLOOKUP($C33,'1 预算编制表单'!$C:$BJ,27,FALSE)</f>
        <v>0</v>
      </c>
      <c r="Y33" s="127">
        <f>X33-Z33</f>
        <v>0</v>
      </c>
      <c r="Z33" s="127">
        <f>SUM(Z34:Z38)</f>
        <v>0</v>
      </c>
      <c r="AA33" s="127">
        <f>VLOOKUP($C33,'1 预算编制表单'!$C:$BJ,30,FALSE)</f>
        <v>0</v>
      </c>
      <c r="AB33" s="127">
        <f>AA33-AC33</f>
        <v>0</v>
      </c>
      <c r="AC33" s="127">
        <f>SUM(AC34:AC38)</f>
        <v>0</v>
      </c>
      <c r="AD33" s="127">
        <f>VLOOKUP($C33,'1 预算编制表单'!$C:$BJ,33,FALSE)</f>
        <v>0</v>
      </c>
      <c r="AE33" s="127">
        <f>AD33-AF33</f>
        <v>0</v>
      </c>
      <c r="AF33" s="127">
        <f>SUM(AF34:AF38)</f>
        <v>0</v>
      </c>
      <c r="AG33" s="127">
        <f>VLOOKUP($C33,'1 预算编制表单'!$C:$BJ,36,FALSE)</f>
        <v>0</v>
      </c>
      <c r="AH33" s="127">
        <f>AG33-AI33</f>
        <v>0</v>
      </c>
      <c r="AI33" s="127">
        <f>SUM(AI34:AI38)</f>
        <v>0</v>
      </c>
      <c r="AJ33" s="127">
        <f>VLOOKUP($C33,'1 预算编制表单'!$C:$BJ,39,FALSE)</f>
        <v>0</v>
      </c>
      <c r="AK33" s="127">
        <f>AJ33-AL33</f>
        <v>0</v>
      </c>
      <c r="AL33" s="127">
        <f>SUM(AL34:AL38)</f>
        <v>0</v>
      </c>
      <c r="AM33" s="127">
        <f>VLOOKUP($C33,'1 预算编制表单'!$C:$BJ,42,FALSE)</f>
        <v>0</v>
      </c>
      <c r="AN33" s="127">
        <f>AM33-AO33</f>
        <v>0</v>
      </c>
      <c r="AO33" s="127">
        <f>SUM(AO34:AO38)</f>
        <v>0</v>
      </c>
      <c r="AP33" s="127">
        <f>VLOOKUP($C33,'1 预算编制表单'!$C:$BJ,45,FALSE)</f>
        <v>0</v>
      </c>
      <c r="AQ33" s="127">
        <f>AP33-AR33</f>
        <v>0</v>
      </c>
      <c r="AR33" s="127">
        <f>SUM(AR34:AR38)</f>
        <v>0</v>
      </c>
      <c r="AS33" s="127">
        <f>VLOOKUP($C33,'1 预算编制表单'!$C:$BJ,48,FALSE)</f>
        <v>0</v>
      </c>
      <c r="AT33" s="127">
        <f>AS33-AU33</f>
        <v>0</v>
      </c>
      <c r="AU33" s="127">
        <f>SUM(AU34:AU38)</f>
        <v>0</v>
      </c>
      <c r="AV33" s="127">
        <f>VLOOKUP($C33,'1 预算编制表单'!$C:$BJ,51,FALSE)</f>
        <v>0</v>
      </c>
      <c r="AW33" s="127">
        <f>AV33-AX33</f>
        <v>0</v>
      </c>
      <c r="AX33" s="127">
        <f>SUM(AX34:AX38)</f>
        <v>0</v>
      </c>
      <c r="AY33" s="127">
        <f>VLOOKUP($C33,'1 预算编制表单'!$C:$BJ,54,FALSE)</f>
        <v>0</v>
      </c>
      <c r="AZ33" s="127">
        <f>AY33-BA33</f>
        <v>0</v>
      </c>
      <c r="BA33" s="127">
        <f>SUM(BA34:BA38)</f>
        <v>0</v>
      </c>
      <c r="BB33" s="127">
        <f>VLOOKUP($C33,'1 预算编制表单'!$C:$BJ,57,FALSE)</f>
        <v>0</v>
      </c>
      <c r="BC33" s="127">
        <f>BB33-BD33</f>
        <v>0</v>
      </c>
      <c r="BD33" s="127">
        <f>SUM(BD34:BD38)</f>
        <v>0</v>
      </c>
      <c r="BE33" s="127">
        <f>VLOOKUP($C33,'1 预算编制表单'!$C:$BJ,60,FALSE)</f>
        <v>0</v>
      </c>
      <c r="BF33" s="127">
        <f>BE33-BG33</f>
        <v>0</v>
      </c>
      <c r="BG33" s="127">
        <f>SUM(BG34:BG38)</f>
        <v>0</v>
      </c>
      <c r="BH33" s="127">
        <f>VLOOKUP($C33,'1 预算编制表单'!$C:$BJ,27,FALSE)</f>
        <v>0</v>
      </c>
      <c r="BI33" s="127">
        <f>BH33-BJ33</f>
        <v>0</v>
      </c>
      <c r="BJ33" s="127">
        <f>SUM(BJ34:BJ38)</f>
        <v>0</v>
      </c>
      <c r="BK33" s="127">
        <f>VLOOKUP($C33,'1 预算编制表单'!$C:$BJ,30,FALSE)</f>
        <v>0</v>
      </c>
      <c r="BL33" s="127">
        <f>BK33-BM33</f>
        <v>0</v>
      </c>
      <c r="BM33" s="127">
        <f>SUM(BM34:BM38)</f>
        <v>0</v>
      </c>
      <c r="BN33" s="127">
        <f>VLOOKUP($C33,'1 预算编制表单'!$C:$BJ,33,FALSE)</f>
        <v>0</v>
      </c>
      <c r="BO33" s="127">
        <f>BN33-BP33</f>
        <v>0</v>
      </c>
      <c r="BP33" s="127">
        <f>SUM(BP34:BP38)</f>
        <v>0</v>
      </c>
      <c r="BQ33" s="127">
        <f>VLOOKUP($C33,'1 预算编制表单'!$C:$BJ,36,FALSE)</f>
        <v>0</v>
      </c>
      <c r="BR33" s="127">
        <f>BQ33-BS33</f>
        <v>0</v>
      </c>
      <c r="BS33" s="127">
        <f>SUM(BS34:BS38)</f>
        <v>0</v>
      </c>
      <c r="BT33" s="127">
        <f>VLOOKUP($C33,'1 预算编制表单'!$C:$BJ,39,FALSE)</f>
        <v>0</v>
      </c>
      <c r="BU33" s="127">
        <f>BT33-BV33</f>
        <v>0</v>
      </c>
      <c r="BV33" s="127">
        <f>SUM(BV34:BV38)</f>
        <v>0</v>
      </c>
      <c r="BW33" s="127">
        <f>VLOOKUP($C33,'1 预算编制表单'!$C:$BJ,42,FALSE)</f>
        <v>0</v>
      </c>
      <c r="BX33" s="127">
        <f>BW33-BY33</f>
        <v>0</v>
      </c>
      <c r="BY33" s="127">
        <f>SUM(BY34:BY38)</f>
        <v>0</v>
      </c>
      <c r="BZ33" s="127">
        <f>VLOOKUP($C33,'1 预算编制表单'!$C:$BJ,45,FALSE)</f>
        <v>0</v>
      </c>
      <c r="CA33" s="127">
        <f>BZ33-CB33</f>
        <v>0</v>
      </c>
      <c r="CB33" s="127">
        <f>SUM(CB34:CB38)</f>
        <v>0</v>
      </c>
      <c r="CC33" s="127">
        <f>VLOOKUP($C33,'1 预算编制表单'!$C:$BJ,48,FALSE)</f>
        <v>0</v>
      </c>
      <c r="CD33" s="127">
        <f>CC33-CE33</f>
        <v>0</v>
      </c>
      <c r="CE33" s="127">
        <f>SUM(CE34:CE38)</f>
        <v>0</v>
      </c>
      <c r="CF33" s="127">
        <f>VLOOKUP($C33,'1 预算编制表单'!$C:$BJ,51,FALSE)</f>
        <v>0</v>
      </c>
      <c r="CG33" s="127">
        <f>CF33-CH33</f>
        <v>0</v>
      </c>
      <c r="CH33" s="127">
        <f>SUM(CH34:CH38)</f>
        <v>0</v>
      </c>
      <c r="CI33" s="127">
        <f>VLOOKUP($C33,'1 预算编制表单'!$C:$BJ,54,FALSE)</f>
        <v>0</v>
      </c>
      <c r="CJ33" s="127">
        <f>CI33-CK33</f>
        <v>0</v>
      </c>
      <c r="CK33" s="127">
        <f>SUM(CK34:CK38)</f>
        <v>0</v>
      </c>
      <c r="CL33" s="127">
        <f>VLOOKUP($C33,'1 预算编制表单'!$C:$BJ,57,FALSE)</f>
        <v>0</v>
      </c>
      <c r="CM33" s="127">
        <f>CL33-CN33</f>
        <v>0</v>
      </c>
      <c r="CN33" s="127">
        <f>SUM(CN34:CN38)</f>
        <v>0</v>
      </c>
      <c r="CO33" s="127">
        <f>VLOOKUP($C33,'1 预算编制表单'!$C:$BJ,60,FALSE)</f>
        <v>0</v>
      </c>
      <c r="CP33" s="127">
        <f>CO33-CQ33</f>
        <v>0</v>
      </c>
      <c r="CQ33" s="127">
        <f>SUM(CQ34:CQ38)</f>
        <v>0</v>
      </c>
    </row>
    <row r="34" s="89" customFormat="1" ht="24" hidden="1" customHeight="1" outlineLevel="4" spans="1:95">
      <c r="A34" s="128"/>
      <c r="B34" s="129"/>
      <c r="C34" s="130" t="s">
        <v>855</v>
      </c>
      <c r="D34" s="137" t="s">
        <v>2814</v>
      </c>
      <c r="E34" s="129"/>
      <c r="F34" s="129"/>
      <c r="G34" s="129"/>
      <c r="H34" s="131"/>
      <c r="I34" s="131"/>
      <c r="J34" s="131">
        <f t="shared" si="5"/>
        <v>0</v>
      </c>
      <c r="K34" s="159"/>
      <c r="L34" s="160"/>
      <c r="M34" s="160"/>
      <c r="N34" s="131"/>
      <c r="O34" s="157"/>
      <c r="P34" s="131"/>
      <c r="Q34" s="131"/>
      <c r="R34" s="131"/>
      <c r="S34" s="131"/>
      <c r="T34" s="131"/>
      <c r="U34" s="131"/>
      <c r="V34" s="131"/>
      <c r="W34" s="131"/>
      <c r="X34" s="163"/>
      <c r="Y34" s="163"/>
      <c r="Z34" s="159">
        <f>报销单计算表!B21</f>
        <v>0</v>
      </c>
      <c r="AA34" s="163"/>
      <c r="AB34" s="163"/>
      <c r="AC34" s="159">
        <f>报销单计算表!C21</f>
        <v>0</v>
      </c>
      <c r="AD34" s="163"/>
      <c r="AE34" s="163"/>
      <c r="AF34" s="159">
        <f>报销单计算表!D21</f>
        <v>0</v>
      </c>
      <c r="AG34" s="163"/>
      <c r="AH34" s="168"/>
      <c r="AI34" s="159">
        <f>报销单计算表!E21</f>
        <v>0</v>
      </c>
      <c r="AJ34" s="168"/>
      <c r="AK34" s="168"/>
      <c r="AL34" s="159">
        <f>报销单计算表!F21</f>
        <v>0</v>
      </c>
      <c r="AM34" s="168"/>
      <c r="AN34" s="168"/>
      <c r="AO34" s="159">
        <f>报销单计算表!G21</f>
        <v>0</v>
      </c>
      <c r="AP34" s="168"/>
      <c r="AQ34" s="168"/>
      <c r="AR34" s="159">
        <f>报销单计算表!H21</f>
        <v>0</v>
      </c>
      <c r="AS34" s="168"/>
      <c r="AT34" s="168"/>
      <c r="AU34" s="159">
        <f>报销单计算表!I21</f>
        <v>0</v>
      </c>
      <c r="AV34" s="168"/>
      <c r="AW34" s="168"/>
      <c r="AX34" s="159">
        <f>报销单计算表!J21</f>
        <v>0</v>
      </c>
      <c r="AY34" s="163"/>
      <c r="AZ34" s="168"/>
      <c r="BA34" s="159">
        <f>报销单计算表!K21</f>
        <v>0</v>
      </c>
      <c r="BB34" s="168"/>
      <c r="BC34" s="168"/>
      <c r="BD34" s="159">
        <f>报销单计算表!L21</f>
        <v>0</v>
      </c>
      <c r="BE34" s="168"/>
      <c r="BF34" s="168"/>
      <c r="BG34" s="159">
        <f>报销单计算表!M21</f>
        <v>0</v>
      </c>
      <c r="BH34" s="163">
        <v>46023</v>
      </c>
      <c r="BI34" s="163">
        <f t="shared" ref="BI34" si="312">BH34+30</f>
        <v>46053</v>
      </c>
      <c r="BJ34" s="172">
        <f t="shared" ref="BJ34" si="313">IFERROR(IF(($R34-BI34)&gt;=0,0,IF(($S34-BH34)&lt;0,0,IF(AND(($S34-BI34)&gt;0,(BH34-$R34)&gt;0),$V34/365*(BI34-BH34+1),IF(AND(($S34-BI34)&lt;=0,(BH34-$R34)&gt;0),$V34/365*($S34-BH34+1),$V34/365*(BI34-$R34+1))))),0)</f>
        <v>0</v>
      </c>
      <c r="BK34" s="163">
        <f t="shared" ref="BK34" si="314">BI34+1</f>
        <v>46054</v>
      </c>
      <c r="BL34" s="163">
        <f t="shared" ref="BL34" si="315">BK34+27</f>
        <v>46081</v>
      </c>
      <c r="BM34" s="172">
        <f t="shared" ref="BM34" si="316">IFERROR(IF(($R34-BL34)&gt;=0,0,IF(($S34-BK34)&lt;0,0,IF(AND(($S34-BL34)&gt;0,(BK34-$R34)&gt;0),$V34/365*(BL34-BK34+1),IF(AND(($S34-BL34)&lt;=0,(BK34-$R34)&gt;0),$V34/365*($S34-BK34+1),$V34/365*(BL34-$R34+1))))),0)</f>
        <v>0</v>
      </c>
      <c r="BN34" s="163">
        <f t="shared" ref="BN34" si="317">BL34+1</f>
        <v>46082</v>
      </c>
      <c r="BO34" s="163">
        <f t="shared" ref="BO34" si="318">BN34+30</f>
        <v>46112</v>
      </c>
      <c r="BP34" s="172">
        <f t="shared" ref="BP34" si="319">IFERROR(IF(($R34-BO34)&gt;=0,0,IF(($S34-BN34)&lt;0,0,IF(AND(($S34-BO34)&gt;0,(BN34-$R34)&gt;0),$V34/365*(BO34-BN34+1),IF(AND(($S34-BO34)&lt;=0,(BN34-$R34)&gt;0),$V34/365*($S34-BN34+1),$V34/365*(BO34-$R34+1))))),0)</f>
        <v>0</v>
      </c>
      <c r="BQ34" s="163">
        <f t="shared" ref="BQ34" si="320">BO34+1</f>
        <v>46113</v>
      </c>
      <c r="BR34" s="163">
        <f t="shared" ref="BR34" si="321">BQ34+29</f>
        <v>46142</v>
      </c>
      <c r="BS34" s="172">
        <f t="shared" ref="BS34" si="322">IFERROR(IF(($R34-BR34)&gt;=0,0,IF(($S34-BQ34)&lt;0,0,IF(AND(($S34-BR34)&gt;0,(BQ34-$R34)&gt;0),$V34/365*(BR34-BQ34+1),IF(AND(($S34-BR34)&lt;=0,(BQ34-$R34)&gt;0),$V34/365*($S34-BQ34+1),$V34/365*(BR34-$R34+1))))),0)</f>
        <v>0</v>
      </c>
      <c r="BT34" s="163">
        <f t="shared" ref="BT34" si="323">BR34+1</f>
        <v>46143</v>
      </c>
      <c r="BU34" s="163">
        <f t="shared" ref="BU34" si="324">BT34+30</f>
        <v>46173</v>
      </c>
      <c r="BV34" s="172">
        <f t="shared" ref="BV34" si="325">IFERROR(IF(($R34-BU34)&gt;=0,0,IF(($S34-BT34)&lt;0,0,IF(AND(($S34-BU34)&gt;0,(BT34-$R34)&gt;0),$V34/365*(BU34-BT34+1),IF(AND(($S34-BU34)&lt;=0,(BT34-$R34)&gt;0),$V34/365*($S34-BT34+1),$V34/365*(BU34-$R34+1))))),0)</f>
        <v>0</v>
      </c>
      <c r="BW34" s="163">
        <f t="shared" ref="BW34" si="326">BU34+1</f>
        <v>46174</v>
      </c>
      <c r="BX34" s="163">
        <f t="shared" ref="BX34" si="327">BW34+29</f>
        <v>46203</v>
      </c>
      <c r="BY34" s="172">
        <f t="shared" ref="BY34" si="328">IFERROR(IF(($R34-BX34)&gt;=0,0,IF(($S34-BW34)&lt;0,0,IF(AND(($S34-BX34)&gt;0,(BW34-$R34)&gt;0),$V34/365*(BX34-BW34+1),IF(AND(($S34-BX34)&lt;=0,(BW34-$R34)&gt;0),$V34/365*($S34-BW34+1),$V34/365*(BX34-$R34+1))))),0)</f>
        <v>0</v>
      </c>
      <c r="BZ34" s="163">
        <f t="shared" ref="BZ34" si="329">BX34+1</f>
        <v>46204</v>
      </c>
      <c r="CA34" s="163">
        <f t="shared" ref="CA34" si="330">BZ34+30</f>
        <v>46234</v>
      </c>
      <c r="CB34" s="172">
        <f t="shared" ref="CB34" si="331">IFERROR(IF(($R34-CA34)&gt;=0,0,IF(($S34-BZ34)&lt;0,0,IF(AND(($S34-CA34)&gt;0,(BZ34-$R34)&gt;0),$V34/365*(CA34-BZ34+1),IF(AND(($S34-CA34)&lt;=0,(BZ34-$R34)&gt;0),$V34/365*($S34-BZ34+1),$V34/365*(CA34-$R34+1))))),0)</f>
        <v>0</v>
      </c>
      <c r="CC34" s="163">
        <f t="shared" ref="CC34" si="332">CA34+1</f>
        <v>46235</v>
      </c>
      <c r="CD34" s="163">
        <f t="shared" ref="CD34" si="333">CC34+30</f>
        <v>46265</v>
      </c>
      <c r="CE34" s="172">
        <f t="shared" ref="CE34" si="334">IFERROR(IF(($R34-CD34)&gt;=0,0,IF(($S34-CC34)&lt;0,0,IF(AND(($S34-CD34)&gt;0,(CC34-$R34)&gt;0),$V34/365*(CD34-CC34+1),IF(AND(($S34-CD34)&lt;=0,(CC34-$R34)&gt;0),$V34/365*($S34-CC34+1),$V34/365*(CD34-$R34+1))))),0)</f>
        <v>0</v>
      </c>
      <c r="CF34" s="163">
        <f t="shared" ref="CF34" si="335">CD34+1</f>
        <v>46266</v>
      </c>
      <c r="CG34" s="163">
        <f t="shared" ref="CG34" si="336">CF34+29</f>
        <v>46295</v>
      </c>
      <c r="CH34" s="172">
        <f t="shared" ref="CH34" si="337">IFERROR(IF(($R34-CG34)&gt;=0,0,IF(($S34-CF34)&lt;0,0,IF(AND(($S34-CG34)&gt;0,(CF34-$R34)&gt;0),$V34/365*(CG34-CF34+1),IF(AND(($S34-CG34)&lt;=0,(CF34-$R34)&gt;0),$V34/365*($S34-CF34+1),$V34/365*(CG34-$R34+1))))),0)</f>
        <v>0</v>
      </c>
      <c r="CI34" s="163">
        <f t="shared" ref="CI34" si="338">CG34+1</f>
        <v>46296</v>
      </c>
      <c r="CJ34" s="163">
        <f t="shared" ref="CJ34" si="339">CI34+30</f>
        <v>46326</v>
      </c>
      <c r="CK34" s="172">
        <f t="shared" ref="CK34" si="340">IFERROR(IF(($R34-CJ34)&gt;=0,0,IF(($S34-CI34)&lt;0,0,IF(AND(($S34-CJ34)&gt;0,(CI34-$R34)&gt;0),$V34/365*(CJ34-CI34+1),IF(AND(($S34-CJ34)&lt;=0,(CI34-$R34)&gt;0),$V34/365*($S34-CI34+1),$V34/365*(CJ34-$R34+1))))),0)</f>
        <v>0</v>
      </c>
      <c r="CL34" s="163">
        <f t="shared" ref="CL34" si="341">CJ34+1</f>
        <v>46327</v>
      </c>
      <c r="CM34" s="163">
        <f t="shared" ref="CM34" si="342">CL34+29</f>
        <v>46356</v>
      </c>
      <c r="CN34" s="172">
        <f t="shared" ref="CN34" si="343">IFERROR(IF(($R34-CM34)&gt;=0,0,IF(($S34-CL34)&lt;0,0,IF(AND(($S34-CM34)&gt;0,(CL34-$R34)&gt;0),$V34/365*(CM34-CL34+1),IF(AND(($S34-CM34)&lt;=0,(CL34-$R34)&gt;0),$V34/365*($S34-CL34+1),$V34/365*(CM34-$R34+1))))),0)</f>
        <v>0</v>
      </c>
      <c r="CO34" s="163">
        <f t="shared" ref="CO34" si="344">CM34+1</f>
        <v>46357</v>
      </c>
      <c r="CP34" s="163">
        <f t="shared" ref="CP34" si="345">CO34+30</f>
        <v>46387</v>
      </c>
      <c r="CQ34" s="172">
        <f t="shared" ref="CQ34" si="346">IFERROR(IF(($R34-CP34)&gt;=0,0,IF(($S34-CO34)&lt;0,0,IF(AND(($S34-CP34)&gt;0,(CO34-$R34)&gt;0),$V34/365*(CP34-CO34+1),IF(AND(($S34-CP34)&lt;=0,(CO34-$R34)&gt;0),$V34/365*($S34-CO34+1),$V34/365*(CP34-$R34+1))))),0)</f>
        <v>0</v>
      </c>
    </row>
    <row r="35" s="89" customFormat="1" ht="24" hidden="1" customHeight="1" outlineLevel="4" spans="1:95">
      <c r="A35" s="128"/>
      <c r="B35" s="129"/>
      <c r="C35" s="130"/>
      <c r="D35" s="128"/>
      <c r="E35" s="129"/>
      <c r="F35" s="129"/>
      <c r="G35" s="129"/>
      <c r="H35" s="131"/>
      <c r="I35" s="131"/>
      <c r="J35" s="131">
        <f t="shared" si="5"/>
        <v>0</v>
      </c>
      <c r="K35" s="131">
        <f t="shared" ref="K35:K37" si="347">K34+1</f>
        <v>1</v>
      </c>
      <c r="L35" s="156"/>
      <c r="M35" s="157">
        <f>IFERROR(VLOOKUP($L35,'2-2 引出数据_合同数据仓库'!$B$5:$BP$200,3,FALSE),0)</f>
        <v>0</v>
      </c>
      <c r="N35" s="131"/>
      <c r="O35" s="157">
        <f>IFERROR(VLOOKUP((LEFT(VLOOKUP($L35,'2-2 引出数据_合同数据仓库'!$B$5:$BP$200,64,FALSE),15)&amp;(RIGHT(VLOOKUP($L35,'2-2 引出数据_合同数据仓库'!$B$5:$BP$200,64,FALSE),4)+1)),'2-2 引出数据_合同数据仓库'!$B$5:$BP$200,3,FALSE),0)</f>
        <v>0</v>
      </c>
      <c r="P35" s="131"/>
      <c r="Q35" s="131">
        <f>IFERROR(VLOOKUP($L35,'2-2 引出数据_合同数据仓库'!$B$5:$BP$200,28,FALSE),0)</f>
        <v>0</v>
      </c>
      <c r="R35" s="131">
        <f>IFERROR(VLOOKUP($L35,'2-2 引出数据_合同数据仓库'!$B$5:$BP$200,29,FALSE),0)</f>
        <v>0</v>
      </c>
      <c r="S35" s="131">
        <f>IFERROR(VLOOKUP($L35,'2-2 引出数据_合同数据仓库'!$B$5:$BP$200,4,FALSE),0)</f>
        <v>0</v>
      </c>
      <c r="T35" s="131"/>
      <c r="U35" s="131">
        <f>IFERROR(VLOOKUP($L35,'2-2 引出数据_合同数据仓库'!$B$5:$BP$200,15,FALSE),0)</f>
        <v>0</v>
      </c>
      <c r="V35" s="131">
        <f t="shared" ref="V35:V37" si="348">U35/(S35-R35+1)*365</f>
        <v>0</v>
      </c>
      <c r="W35" s="131"/>
      <c r="X35" s="163">
        <v>45658</v>
      </c>
      <c r="Y35" s="163">
        <f t="shared" ref="Y35:Y37" si="349">X35+30</f>
        <v>45688</v>
      </c>
      <c r="Z35" s="167">
        <f t="shared" ref="Z35:Z37" si="350">IFERROR(IF(($R35-Y35)&gt;=0,0,IF(($S35-X35)&lt;0,0,IF(AND(($S35-Y35)&gt;0,(X35-$R35)&gt;0),$V35/365*(Y35-X35+1),IF(AND(($S35-Y35)&lt;=0,(X35-$R35)&gt;0),$V35/365*($S35-X35+1),$V35/365*(Y35-$R35+1))))),0)</f>
        <v>0</v>
      </c>
      <c r="AA35" s="163">
        <f t="shared" ref="AA35:AA37" si="351">Y35+1</f>
        <v>45689</v>
      </c>
      <c r="AB35" s="163">
        <f t="shared" ref="AB35:AB37" si="352">AA35+27</f>
        <v>45716</v>
      </c>
      <c r="AC35" s="167">
        <f t="shared" ref="AC35:AC37" si="353">IFERROR(IF(($R35-AB35)&gt;=0,0,IF(($S35-AA35)&lt;0,0,IF(AND(($S35-AB35)&gt;0,(AA35-$R35)&gt;0),$V35/365*(AB35-AA35+1),IF(AND(($S35-AB35)&lt;=0,(AA35-$R35)&gt;0),$V35/365*($S35-AA35+1),$V35/365*(AB35-$R35+1))))),0)</f>
        <v>0</v>
      </c>
      <c r="AD35" s="163">
        <f t="shared" ref="AD35:AD37" si="354">AB35+1</f>
        <v>45717</v>
      </c>
      <c r="AE35" s="163">
        <f t="shared" ref="AE35:AE37" si="355">AD35+30</f>
        <v>45747</v>
      </c>
      <c r="AF35" s="167">
        <f t="shared" ref="AF35:AF37" si="356">IFERROR(IF(($R35-AE35)&gt;=0,0,IF(($S35-AD35)&lt;0,0,IF(AND(($S35-AE35)&gt;0,(AD35-$R35)&gt;0),$V35/365*(AE35-AD35+1),IF(AND(($S35-AE35)&lt;=0,(AD35-$R35)&gt;0),$V35/365*($S35-AD35+1),$V35/365*(AE35-$R35+1))))),0)</f>
        <v>0</v>
      </c>
      <c r="AG35" s="163">
        <f t="shared" ref="AG35:AG37" si="357">AE35+1</f>
        <v>45748</v>
      </c>
      <c r="AH35" s="163">
        <f t="shared" ref="AH35:AH37" si="358">AG35+29</f>
        <v>45777</v>
      </c>
      <c r="AI35" s="167">
        <f t="shared" ref="AI35:AI37" si="359">IFERROR(IF(($R35-AH35)&gt;=0,0,IF(($S35-AG35)&lt;0,0,IF(AND(($S35-AH35)&gt;0,(AG35-$R35)&gt;0),$V35/365*(AH35-AG35+1),IF(AND(($S35-AH35)&lt;=0,(AG35-$R35)&gt;0),$V35/365*($S35-AG35+1),$V35/365*(AH35-$R35+1))))),0)</f>
        <v>0</v>
      </c>
      <c r="AJ35" s="163">
        <f t="shared" ref="AJ35:AJ37" si="360">AH35+1</f>
        <v>45778</v>
      </c>
      <c r="AK35" s="163">
        <f t="shared" ref="AK35:AK37" si="361">AJ35+30</f>
        <v>45808</v>
      </c>
      <c r="AL35" s="167">
        <f t="shared" ref="AL35:AL37" si="362">IFERROR(IF(($R35-AK35)&gt;=0,0,IF(($S35-AJ35)&lt;0,0,IF(AND(($S35-AK35)&gt;0,(AJ35-$R35)&gt;0),$V35/365*(AK35-AJ35+1),IF(AND(($S35-AK35)&lt;=0,(AJ35-$R35)&gt;0),$V35/365*($S35-AJ35+1),$V35/365*(AK35-$R35+1))))),0)</f>
        <v>0</v>
      </c>
      <c r="AM35" s="163">
        <f t="shared" ref="AM35:AM37" si="363">AK35+1</f>
        <v>45809</v>
      </c>
      <c r="AN35" s="163">
        <f t="shared" ref="AN35:AN37" si="364">AM35+29</f>
        <v>45838</v>
      </c>
      <c r="AO35" s="167">
        <f t="shared" ref="AO35:AO37" si="365">IFERROR(IF(($R35-AN35)&gt;=0,0,IF(($S35-AM35)&lt;0,0,IF(AND(($S35-AN35)&gt;0,(AM35-$R35)&gt;0),$V35/365*(AN35-AM35+1),IF(AND(($S35-AN35)&lt;=0,(AM35-$R35)&gt;0),$V35/365*($S35-AM35+1),$V35/365*(AN35-$R35+1))))),0)</f>
        <v>0</v>
      </c>
      <c r="AP35" s="163">
        <f t="shared" ref="AP35:AP37" si="366">AN35+1</f>
        <v>45839</v>
      </c>
      <c r="AQ35" s="163">
        <f t="shared" ref="AQ35:AQ37" si="367">AP35+30</f>
        <v>45869</v>
      </c>
      <c r="AR35" s="167">
        <f t="shared" ref="AR35:AR37" si="368">IFERROR(IF(($R35-AQ35)&gt;=0,0,IF(($S35-AP35)&lt;0,0,IF(AND(($S35-AQ35)&gt;0,(AP35-$R35)&gt;0),$V35/365*(AQ35-AP35+1),IF(AND(($S35-AQ35)&lt;=0,(AP35-$R35)&gt;0),$V35/365*($S35-AP35+1),$V35/365*(AQ35-$R35+1))))),0)</f>
        <v>0</v>
      </c>
      <c r="AS35" s="163">
        <f t="shared" ref="AS35:AS37" si="369">AQ35+1</f>
        <v>45870</v>
      </c>
      <c r="AT35" s="163">
        <f t="shared" ref="AT35:AT37" si="370">AS35+30</f>
        <v>45900</v>
      </c>
      <c r="AU35" s="167">
        <f t="shared" ref="AU35:AU37" si="371">IFERROR(IF(($R35-AT35)&gt;=0,0,IF(($S35-AS35)&lt;0,0,IF(AND(($S35-AT35)&gt;0,(AS35-$R35)&gt;0),$V35/365*(AT35-AS35+1),IF(AND(($S35-AT35)&lt;=0,(AS35-$R35)&gt;0),$V35/365*($S35-AS35+1),$V35/365*(AT35-$R35+1))))),0)</f>
        <v>0</v>
      </c>
      <c r="AV35" s="163">
        <f t="shared" ref="AV35:AV37" si="372">AT35+1</f>
        <v>45901</v>
      </c>
      <c r="AW35" s="163">
        <f t="shared" ref="AW35:AW37" si="373">AV35+29</f>
        <v>45930</v>
      </c>
      <c r="AX35" s="167">
        <f t="shared" ref="AX35:AX37" si="374">IFERROR(IF(($R35-AW35)&gt;=0,0,IF(($S35-AV35)&lt;0,0,IF(AND(($S35-AW35)&gt;0,(AV35-$R35)&gt;0),$V35/365*(AW35-AV35+1),IF(AND(($S35-AW35)&lt;=0,(AV35-$R35)&gt;0),$V35/365*($S35-AV35+1),$V35/365*(AW35-$R35+1))))),0)</f>
        <v>0</v>
      </c>
      <c r="AY35" s="163">
        <f t="shared" ref="AY35:AY37" si="375">AW35+1</f>
        <v>45931</v>
      </c>
      <c r="AZ35" s="163">
        <f t="shared" ref="AZ35:AZ37" si="376">AY35+30</f>
        <v>45961</v>
      </c>
      <c r="BA35" s="167">
        <f t="shared" ref="BA35:BA37" si="377">IFERROR(IF(($R35-AZ35)&gt;=0,0,IF(($S35-AY35)&lt;0,0,IF(AND(($S35-AZ35)&gt;0,(AY35-$R35)&gt;0),$V35/365*(AZ35-AY35+1),IF(AND(($S35-AZ35)&lt;=0,(AY35-$R35)&gt;0),$V35/365*($S35-AY35+1),$V35/365*(AZ35-$R35+1))))),0)</f>
        <v>0</v>
      </c>
      <c r="BB35" s="163">
        <f t="shared" ref="BB35:BB37" si="378">AZ35+1</f>
        <v>45962</v>
      </c>
      <c r="BC35" s="163">
        <f t="shared" ref="BC35:BC37" si="379">BB35+29</f>
        <v>45991</v>
      </c>
      <c r="BD35" s="167">
        <f t="shared" ref="BD35:BD37" si="380">IFERROR(IF(($R35-BC35)&gt;=0,0,IF(($S35-BB35)&lt;0,0,IF(AND(($S35-BC35)&gt;0,(BB35-$R35)&gt;0),$V35/365*(BC35-BB35+1),IF(AND(($S35-BC35)&lt;=0,(BB35-$R35)&gt;0),$V35/365*($S35-BB35+1),$V35/365*(BC35-$R35+1))))),0)</f>
        <v>0</v>
      </c>
      <c r="BE35" s="163">
        <f t="shared" ref="BE35:BE37" si="381">BC35+1</f>
        <v>45992</v>
      </c>
      <c r="BF35" s="163">
        <f t="shared" ref="BF35:BF37" si="382">BE35+30</f>
        <v>46022</v>
      </c>
      <c r="BG35" s="167">
        <f t="shared" ref="BG35:BG37" si="383">IFERROR(IF(($R35-BF35)&gt;=0,0,IF(($S35-BE35)&lt;0,0,IF(AND(($S35-BF35)&gt;0,(BE35-$R35)&gt;0),$V35/365*(BF35-BE35+1),IF(AND(($S35-BF35)&lt;=0,(BE35-$R35)&gt;0),$V35/365*($S35-BE35+1),$V35/365*(BF35-$R35+1))))),0)</f>
        <v>0</v>
      </c>
      <c r="BH35" s="163">
        <v>46023</v>
      </c>
      <c r="BI35" s="163">
        <f t="shared" ref="BI35:BI37" si="384">BH35+30</f>
        <v>46053</v>
      </c>
      <c r="BJ35" s="167">
        <f t="shared" ref="BJ35:BJ37" si="385">IFERROR(IF(($R35-BI35)&gt;=0,0,IF(($S35-BH35)&lt;0,0,IF(AND(($S35-BI35)&gt;0,(BH35-$R35)&gt;0),$V35/365*(BI35-BH35+1),IF(AND(($S35-BI35)&lt;=0,(BH35-$R35)&gt;0),$V35/365*($S35-BH35+1),$V35/365*(BI35-$R35+1))))),0)</f>
        <v>0</v>
      </c>
      <c r="BK35" s="163">
        <f t="shared" ref="BK35:BK37" si="386">BI35+1</f>
        <v>46054</v>
      </c>
      <c r="BL35" s="163">
        <f t="shared" ref="BL35:BL37" si="387">BK35+27</f>
        <v>46081</v>
      </c>
      <c r="BM35" s="167">
        <f t="shared" ref="BM35:BM37" si="388">IFERROR(IF(($R35-BL35)&gt;=0,0,IF(($S35-BK35)&lt;0,0,IF(AND(($S35-BL35)&gt;0,(BK35-$R35)&gt;0),$V35/365*(BL35-BK35+1),IF(AND(($S35-BL35)&lt;=0,(BK35-$R35)&gt;0),$V35/365*($S35-BK35+1),$V35/365*(BL35-$R35+1))))),0)</f>
        <v>0</v>
      </c>
      <c r="BN35" s="163">
        <f t="shared" ref="BN35:BN37" si="389">BL35+1</f>
        <v>46082</v>
      </c>
      <c r="BO35" s="163">
        <f t="shared" ref="BO35:BO37" si="390">BN35+30</f>
        <v>46112</v>
      </c>
      <c r="BP35" s="167">
        <f t="shared" ref="BP35:BP37" si="391">IFERROR(IF(($R35-BO35)&gt;=0,0,IF(($S35-BN35)&lt;0,0,IF(AND(($S35-BO35)&gt;0,(BN35-$R35)&gt;0),$V35/365*(BO35-BN35+1),IF(AND(($S35-BO35)&lt;=0,(BN35-$R35)&gt;0),$V35/365*($S35-BN35+1),$V35/365*(BO35-$R35+1))))),0)</f>
        <v>0</v>
      </c>
      <c r="BQ35" s="163">
        <f t="shared" ref="BQ35:BQ37" si="392">BO35+1</f>
        <v>46113</v>
      </c>
      <c r="BR35" s="163">
        <f t="shared" ref="BR35:BR37" si="393">BQ35+29</f>
        <v>46142</v>
      </c>
      <c r="BS35" s="167">
        <f t="shared" ref="BS35:BS37" si="394">IFERROR(IF(($R35-BR35)&gt;=0,0,IF(($S35-BQ35)&lt;0,0,IF(AND(($S35-BR35)&gt;0,(BQ35-$R35)&gt;0),$V35/365*(BR35-BQ35+1),IF(AND(($S35-BR35)&lt;=0,(BQ35-$R35)&gt;0),$V35/365*($S35-BQ35+1),$V35/365*(BR35-$R35+1))))),0)</f>
        <v>0</v>
      </c>
      <c r="BT35" s="163">
        <f t="shared" ref="BT35:BT37" si="395">BR35+1</f>
        <v>46143</v>
      </c>
      <c r="BU35" s="163">
        <f t="shared" ref="BU35:BU37" si="396">BT35+30</f>
        <v>46173</v>
      </c>
      <c r="BV35" s="167">
        <f t="shared" ref="BV35:BV37" si="397">IFERROR(IF(($R35-BU35)&gt;=0,0,IF(($S35-BT35)&lt;0,0,IF(AND(($S35-BU35)&gt;0,(BT35-$R35)&gt;0),$V35/365*(BU35-BT35+1),IF(AND(($S35-BU35)&lt;=0,(BT35-$R35)&gt;0),$V35/365*($S35-BT35+1),$V35/365*(BU35-$R35+1))))),0)</f>
        <v>0</v>
      </c>
      <c r="BW35" s="163">
        <f t="shared" ref="BW35:BW37" si="398">BU35+1</f>
        <v>46174</v>
      </c>
      <c r="BX35" s="163">
        <f t="shared" ref="BX35:BX37" si="399">BW35+29</f>
        <v>46203</v>
      </c>
      <c r="BY35" s="167">
        <f t="shared" ref="BY35:BY37" si="400">IFERROR(IF(($R35-BX35)&gt;=0,0,IF(($S35-BW35)&lt;0,0,IF(AND(($S35-BX35)&gt;0,(BW35-$R35)&gt;0),$V35/365*(BX35-BW35+1),IF(AND(($S35-BX35)&lt;=0,(BW35-$R35)&gt;0),$V35/365*($S35-BW35+1),$V35/365*(BX35-$R35+1))))),0)</f>
        <v>0</v>
      </c>
      <c r="BZ35" s="163">
        <f t="shared" ref="BZ35:BZ37" si="401">BX35+1</f>
        <v>46204</v>
      </c>
      <c r="CA35" s="163">
        <f t="shared" ref="CA35:CA37" si="402">BZ35+30</f>
        <v>46234</v>
      </c>
      <c r="CB35" s="167">
        <f t="shared" ref="CB35:CB37" si="403">IFERROR(IF(($R35-CA35)&gt;=0,0,IF(($S35-BZ35)&lt;0,0,IF(AND(($S35-CA35)&gt;0,(BZ35-$R35)&gt;0),$V35/365*(CA35-BZ35+1),IF(AND(($S35-CA35)&lt;=0,(BZ35-$R35)&gt;0),$V35/365*($S35-BZ35+1),$V35/365*(CA35-$R35+1))))),0)</f>
        <v>0</v>
      </c>
      <c r="CC35" s="163">
        <f t="shared" ref="CC35:CC37" si="404">CA35+1</f>
        <v>46235</v>
      </c>
      <c r="CD35" s="163">
        <f t="shared" ref="CD35:CD37" si="405">CC35+30</f>
        <v>46265</v>
      </c>
      <c r="CE35" s="167">
        <f t="shared" ref="CE35:CE37" si="406">IFERROR(IF(($R35-CD35)&gt;=0,0,IF(($S35-CC35)&lt;0,0,IF(AND(($S35-CD35)&gt;0,(CC35-$R35)&gt;0),$V35/365*(CD35-CC35+1),IF(AND(($S35-CD35)&lt;=0,(CC35-$R35)&gt;0),$V35/365*($S35-CC35+1),$V35/365*(CD35-$R35+1))))),0)</f>
        <v>0</v>
      </c>
      <c r="CF35" s="163">
        <f t="shared" ref="CF35:CF37" si="407">CD35+1</f>
        <v>46266</v>
      </c>
      <c r="CG35" s="163">
        <f t="shared" ref="CG35:CG37" si="408">CF35+29</f>
        <v>46295</v>
      </c>
      <c r="CH35" s="167">
        <f t="shared" ref="CH35:CH37" si="409">IFERROR(IF(($R35-CG35)&gt;=0,0,IF(($S35-CF35)&lt;0,0,IF(AND(($S35-CG35)&gt;0,(CF35-$R35)&gt;0),$V35/365*(CG35-CF35+1),IF(AND(($S35-CG35)&lt;=0,(CF35-$R35)&gt;0),$V35/365*($S35-CF35+1),$V35/365*(CG35-$R35+1))))),0)</f>
        <v>0</v>
      </c>
      <c r="CI35" s="163">
        <f t="shared" ref="CI35:CI37" si="410">CG35+1</f>
        <v>46296</v>
      </c>
      <c r="CJ35" s="163">
        <f t="shared" ref="CJ35:CJ37" si="411">CI35+30</f>
        <v>46326</v>
      </c>
      <c r="CK35" s="167">
        <f t="shared" ref="CK35:CK37" si="412">IFERROR(IF(($R35-CJ35)&gt;=0,0,IF(($S35-CI35)&lt;0,0,IF(AND(($S35-CJ35)&gt;0,(CI35-$R35)&gt;0),$V35/365*(CJ35-CI35+1),IF(AND(($S35-CJ35)&lt;=0,(CI35-$R35)&gt;0),$V35/365*($S35-CI35+1),$V35/365*(CJ35-$R35+1))))),0)</f>
        <v>0</v>
      </c>
      <c r="CL35" s="163">
        <f t="shared" ref="CL35:CL37" si="413">CJ35+1</f>
        <v>46327</v>
      </c>
      <c r="CM35" s="163">
        <f t="shared" ref="CM35:CM37" si="414">CL35+29</f>
        <v>46356</v>
      </c>
      <c r="CN35" s="167">
        <f t="shared" ref="CN35:CN37" si="415">IFERROR(IF(($R35-CM35)&gt;=0,0,IF(($S35-CL35)&lt;0,0,IF(AND(($S35-CM35)&gt;0,(CL35-$R35)&gt;0),$V35/365*(CM35-CL35+1),IF(AND(($S35-CM35)&lt;=0,(CL35-$R35)&gt;0),$V35/365*($S35-CL35+1),$V35/365*(CM35-$R35+1))))),0)</f>
        <v>0</v>
      </c>
      <c r="CO35" s="163">
        <f t="shared" ref="CO35:CO37" si="416">CM35+1</f>
        <v>46357</v>
      </c>
      <c r="CP35" s="163">
        <f t="shared" ref="CP35:CP37" si="417">CO35+30</f>
        <v>46387</v>
      </c>
      <c r="CQ35" s="167">
        <f t="shared" ref="CQ35:CQ37" si="418">IFERROR(IF(($R35-CP35)&gt;=0,0,IF(($S35-CO35)&lt;0,0,IF(AND(($S35-CP35)&gt;0,(CO35-$R35)&gt;0),$V35/365*(CP35-CO35+1),IF(AND(($S35-CP35)&lt;=0,(CO35-$R35)&gt;0),$V35/365*($S35-CO35+1),$V35/365*(CP35-$R35+1))))),0)</f>
        <v>0</v>
      </c>
    </row>
    <row r="36" s="89" customFormat="1" ht="24" hidden="1" customHeight="1" outlineLevel="4" spans="1:95">
      <c r="A36" s="128"/>
      <c r="B36" s="129"/>
      <c r="C36" s="130"/>
      <c r="D36" s="128"/>
      <c r="E36" s="129"/>
      <c r="F36" s="129"/>
      <c r="G36" s="129"/>
      <c r="H36" s="131"/>
      <c r="I36" s="131"/>
      <c r="J36" s="131">
        <f t="shared" si="5"/>
        <v>0</v>
      </c>
      <c r="K36" s="131">
        <f t="shared" si="347"/>
        <v>2</v>
      </c>
      <c r="L36" s="156"/>
      <c r="M36" s="157">
        <f>IFERROR(VLOOKUP($L36,'2-2 引出数据_合同数据仓库'!$B$5:$BP$200,3,FALSE),0)</f>
        <v>0</v>
      </c>
      <c r="N36" s="131"/>
      <c r="O36" s="157">
        <f>IFERROR(VLOOKUP((LEFT(VLOOKUP($L36,'2-2 引出数据_合同数据仓库'!$B$5:$BP$200,64,FALSE),15)&amp;(RIGHT(VLOOKUP($L36,'2-2 引出数据_合同数据仓库'!$B$5:$BP$200,64,FALSE),4)+1)),'2-2 引出数据_合同数据仓库'!$B$5:$BP$200,3,FALSE),0)</f>
        <v>0</v>
      </c>
      <c r="P36" s="131"/>
      <c r="Q36" s="131">
        <f>IFERROR(VLOOKUP($L36,'2-2 引出数据_合同数据仓库'!$B$5:$BP$200,28,FALSE),0)</f>
        <v>0</v>
      </c>
      <c r="R36" s="131">
        <f>IFERROR(VLOOKUP($L36,'2-2 引出数据_合同数据仓库'!$B$5:$BP$200,29,FALSE),0)</f>
        <v>0</v>
      </c>
      <c r="S36" s="131">
        <f>IFERROR(VLOOKUP($L36,'2-2 引出数据_合同数据仓库'!$B$5:$BP$200,4,FALSE),0)</f>
        <v>0</v>
      </c>
      <c r="T36" s="131"/>
      <c r="U36" s="131">
        <f>IFERROR(VLOOKUP($L36,'2-2 引出数据_合同数据仓库'!$B$5:$BP$200,15,FALSE),0)</f>
        <v>0</v>
      </c>
      <c r="V36" s="131">
        <f t="shared" si="348"/>
        <v>0</v>
      </c>
      <c r="W36" s="131"/>
      <c r="X36" s="163">
        <v>45658</v>
      </c>
      <c r="Y36" s="163">
        <f t="shared" si="349"/>
        <v>45688</v>
      </c>
      <c r="Z36" s="167">
        <f t="shared" si="350"/>
        <v>0</v>
      </c>
      <c r="AA36" s="163">
        <f t="shared" si="351"/>
        <v>45689</v>
      </c>
      <c r="AB36" s="163">
        <f t="shared" si="352"/>
        <v>45716</v>
      </c>
      <c r="AC36" s="167">
        <f t="shared" si="353"/>
        <v>0</v>
      </c>
      <c r="AD36" s="163">
        <f t="shared" si="354"/>
        <v>45717</v>
      </c>
      <c r="AE36" s="163">
        <f t="shared" si="355"/>
        <v>45747</v>
      </c>
      <c r="AF36" s="167">
        <f t="shared" si="356"/>
        <v>0</v>
      </c>
      <c r="AG36" s="163">
        <f t="shared" si="357"/>
        <v>45748</v>
      </c>
      <c r="AH36" s="163">
        <f t="shared" si="358"/>
        <v>45777</v>
      </c>
      <c r="AI36" s="167">
        <f t="shared" si="359"/>
        <v>0</v>
      </c>
      <c r="AJ36" s="163">
        <f t="shared" si="360"/>
        <v>45778</v>
      </c>
      <c r="AK36" s="163">
        <f t="shared" si="361"/>
        <v>45808</v>
      </c>
      <c r="AL36" s="167">
        <f t="shared" si="362"/>
        <v>0</v>
      </c>
      <c r="AM36" s="163">
        <f t="shared" si="363"/>
        <v>45809</v>
      </c>
      <c r="AN36" s="163">
        <f t="shared" si="364"/>
        <v>45838</v>
      </c>
      <c r="AO36" s="167">
        <f t="shared" si="365"/>
        <v>0</v>
      </c>
      <c r="AP36" s="163">
        <f t="shared" si="366"/>
        <v>45839</v>
      </c>
      <c r="AQ36" s="163">
        <f t="shared" si="367"/>
        <v>45869</v>
      </c>
      <c r="AR36" s="167">
        <f t="shared" si="368"/>
        <v>0</v>
      </c>
      <c r="AS36" s="163">
        <f t="shared" si="369"/>
        <v>45870</v>
      </c>
      <c r="AT36" s="163">
        <f t="shared" si="370"/>
        <v>45900</v>
      </c>
      <c r="AU36" s="167">
        <f t="shared" si="371"/>
        <v>0</v>
      </c>
      <c r="AV36" s="163">
        <f t="shared" si="372"/>
        <v>45901</v>
      </c>
      <c r="AW36" s="163">
        <f t="shared" si="373"/>
        <v>45930</v>
      </c>
      <c r="AX36" s="167">
        <f t="shared" si="374"/>
        <v>0</v>
      </c>
      <c r="AY36" s="163">
        <f t="shared" si="375"/>
        <v>45931</v>
      </c>
      <c r="AZ36" s="163">
        <f t="shared" si="376"/>
        <v>45961</v>
      </c>
      <c r="BA36" s="167">
        <f t="shared" si="377"/>
        <v>0</v>
      </c>
      <c r="BB36" s="163">
        <f t="shared" si="378"/>
        <v>45962</v>
      </c>
      <c r="BC36" s="163">
        <f t="shared" si="379"/>
        <v>45991</v>
      </c>
      <c r="BD36" s="167">
        <f t="shared" si="380"/>
        <v>0</v>
      </c>
      <c r="BE36" s="163">
        <f t="shared" si="381"/>
        <v>45992</v>
      </c>
      <c r="BF36" s="163">
        <f t="shared" si="382"/>
        <v>46022</v>
      </c>
      <c r="BG36" s="167">
        <f t="shared" si="383"/>
        <v>0</v>
      </c>
      <c r="BH36" s="163">
        <v>46023</v>
      </c>
      <c r="BI36" s="163">
        <f t="shared" si="384"/>
        <v>46053</v>
      </c>
      <c r="BJ36" s="167">
        <f t="shared" si="385"/>
        <v>0</v>
      </c>
      <c r="BK36" s="163">
        <f t="shared" si="386"/>
        <v>46054</v>
      </c>
      <c r="BL36" s="163">
        <f t="shared" si="387"/>
        <v>46081</v>
      </c>
      <c r="BM36" s="167">
        <f t="shared" si="388"/>
        <v>0</v>
      </c>
      <c r="BN36" s="163">
        <f t="shared" si="389"/>
        <v>46082</v>
      </c>
      <c r="BO36" s="163">
        <f t="shared" si="390"/>
        <v>46112</v>
      </c>
      <c r="BP36" s="167">
        <f t="shared" si="391"/>
        <v>0</v>
      </c>
      <c r="BQ36" s="163">
        <f t="shared" si="392"/>
        <v>46113</v>
      </c>
      <c r="BR36" s="163">
        <f t="shared" si="393"/>
        <v>46142</v>
      </c>
      <c r="BS36" s="167">
        <f t="shared" si="394"/>
        <v>0</v>
      </c>
      <c r="BT36" s="163">
        <f t="shared" si="395"/>
        <v>46143</v>
      </c>
      <c r="BU36" s="163">
        <f t="shared" si="396"/>
        <v>46173</v>
      </c>
      <c r="BV36" s="167">
        <f t="shared" si="397"/>
        <v>0</v>
      </c>
      <c r="BW36" s="163">
        <f t="shared" si="398"/>
        <v>46174</v>
      </c>
      <c r="BX36" s="163">
        <f t="shared" si="399"/>
        <v>46203</v>
      </c>
      <c r="BY36" s="167">
        <f t="shared" si="400"/>
        <v>0</v>
      </c>
      <c r="BZ36" s="163">
        <f t="shared" si="401"/>
        <v>46204</v>
      </c>
      <c r="CA36" s="163">
        <f t="shared" si="402"/>
        <v>46234</v>
      </c>
      <c r="CB36" s="167">
        <f t="shared" si="403"/>
        <v>0</v>
      </c>
      <c r="CC36" s="163">
        <f t="shared" si="404"/>
        <v>46235</v>
      </c>
      <c r="CD36" s="163">
        <f t="shared" si="405"/>
        <v>46265</v>
      </c>
      <c r="CE36" s="167">
        <f t="shared" si="406"/>
        <v>0</v>
      </c>
      <c r="CF36" s="163">
        <f t="shared" si="407"/>
        <v>46266</v>
      </c>
      <c r="CG36" s="163">
        <f t="shared" si="408"/>
        <v>46295</v>
      </c>
      <c r="CH36" s="167">
        <f t="shared" si="409"/>
        <v>0</v>
      </c>
      <c r="CI36" s="163">
        <f t="shared" si="410"/>
        <v>46296</v>
      </c>
      <c r="CJ36" s="163">
        <f t="shared" si="411"/>
        <v>46326</v>
      </c>
      <c r="CK36" s="167">
        <f t="shared" si="412"/>
        <v>0</v>
      </c>
      <c r="CL36" s="163">
        <f t="shared" si="413"/>
        <v>46327</v>
      </c>
      <c r="CM36" s="163">
        <f t="shared" si="414"/>
        <v>46356</v>
      </c>
      <c r="CN36" s="167">
        <f t="shared" si="415"/>
        <v>0</v>
      </c>
      <c r="CO36" s="163">
        <f t="shared" si="416"/>
        <v>46357</v>
      </c>
      <c r="CP36" s="163">
        <f t="shared" si="417"/>
        <v>46387</v>
      </c>
      <c r="CQ36" s="167">
        <f t="shared" si="418"/>
        <v>0</v>
      </c>
    </row>
    <row r="37" s="89" customFormat="1" ht="24" hidden="1" customHeight="1" outlineLevel="4" spans="1:95">
      <c r="A37" s="128"/>
      <c r="B37" s="129"/>
      <c r="C37" s="130"/>
      <c r="D37" s="128"/>
      <c r="E37" s="129"/>
      <c r="F37" s="129"/>
      <c r="G37" s="129"/>
      <c r="H37" s="131"/>
      <c r="I37" s="131"/>
      <c r="J37" s="131">
        <f t="shared" si="5"/>
        <v>0</v>
      </c>
      <c r="K37" s="131">
        <f t="shared" si="347"/>
        <v>3</v>
      </c>
      <c r="L37" s="156"/>
      <c r="M37" s="157">
        <f>IFERROR(VLOOKUP($L37,'2-2 引出数据_合同数据仓库'!$B$5:$BP$200,3,FALSE),0)</f>
        <v>0</v>
      </c>
      <c r="N37" s="131"/>
      <c r="O37" s="157">
        <f>IFERROR(VLOOKUP((LEFT(VLOOKUP($L37,'2-2 引出数据_合同数据仓库'!$B$5:$BP$200,64,FALSE),15)&amp;(RIGHT(VLOOKUP($L37,'2-2 引出数据_合同数据仓库'!$B$5:$BP$200,64,FALSE),4)+1)),'2-2 引出数据_合同数据仓库'!$B$5:$BP$200,3,FALSE),0)</f>
        <v>0</v>
      </c>
      <c r="P37" s="131"/>
      <c r="Q37" s="131">
        <f>IFERROR(VLOOKUP($L37,'2-2 引出数据_合同数据仓库'!$B$5:$BP$200,28,FALSE),0)</f>
        <v>0</v>
      </c>
      <c r="R37" s="131">
        <f>IFERROR(VLOOKUP($L37,'2-2 引出数据_合同数据仓库'!$B$5:$BP$200,29,FALSE),0)</f>
        <v>0</v>
      </c>
      <c r="S37" s="131">
        <f>IFERROR(VLOOKUP($L37,'2-2 引出数据_合同数据仓库'!$B$5:$BP$200,4,FALSE),0)</f>
        <v>0</v>
      </c>
      <c r="T37" s="131"/>
      <c r="U37" s="131">
        <f>IFERROR(VLOOKUP($L37,'2-2 引出数据_合同数据仓库'!$B$5:$BP$200,15,FALSE),0)</f>
        <v>0</v>
      </c>
      <c r="V37" s="131">
        <f t="shared" si="348"/>
        <v>0</v>
      </c>
      <c r="W37" s="131"/>
      <c r="X37" s="163">
        <v>45658</v>
      </c>
      <c r="Y37" s="163">
        <f t="shared" si="349"/>
        <v>45688</v>
      </c>
      <c r="Z37" s="167">
        <f t="shared" si="350"/>
        <v>0</v>
      </c>
      <c r="AA37" s="163">
        <f t="shared" si="351"/>
        <v>45689</v>
      </c>
      <c r="AB37" s="163">
        <f t="shared" si="352"/>
        <v>45716</v>
      </c>
      <c r="AC37" s="167">
        <f t="shared" si="353"/>
        <v>0</v>
      </c>
      <c r="AD37" s="163">
        <f t="shared" si="354"/>
        <v>45717</v>
      </c>
      <c r="AE37" s="163">
        <f t="shared" si="355"/>
        <v>45747</v>
      </c>
      <c r="AF37" s="167">
        <f t="shared" si="356"/>
        <v>0</v>
      </c>
      <c r="AG37" s="163">
        <f t="shared" si="357"/>
        <v>45748</v>
      </c>
      <c r="AH37" s="163">
        <f t="shared" si="358"/>
        <v>45777</v>
      </c>
      <c r="AI37" s="167">
        <f t="shared" si="359"/>
        <v>0</v>
      </c>
      <c r="AJ37" s="163">
        <f t="shared" si="360"/>
        <v>45778</v>
      </c>
      <c r="AK37" s="163">
        <f t="shared" si="361"/>
        <v>45808</v>
      </c>
      <c r="AL37" s="167">
        <f t="shared" si="362"/>
        <v>0</v>
      </c>
      <c r="AM37" s="163">
        <f t="shared" si="363"/>
        <v>45809</v>
      </c>
      <c r="AN37" s="163">
        <f t="shared" si="364"/>
        <v>45838</v>
      </c>
      <c r="AO37" s="167">
        <f t="shared" si="365"/>
        <v>0</v>
      </c>
      <c r="AP37" s="163">
        <f t="shared" si="366"/>
        <v>45839</v>
      </c>
      <c r="AQ37" s="163">
        <f t="shared" si="367"/>
        <v>45869</v>
      </c>
      <c r="AR37" s="167">
        <f t="shared" si="368"/>
        <v>0</v>
      </c>
      <c r="AS37" s="163">
        <f t="shared" si="369"/>
        <v>45870</v>
      </c>
      <c r="AT37" s="163">
        <f t="shared" si="370"/>
        <v>45900</v>
      </c>
      <c r="AU37" s="167">
        <f t="shared" si="371"/>
        <v>0</v>
      </c>
      <c r="AV37" s="163">
        <f t="shared" si="372"/>
        <v>45901</v>
      </c>
      <c r="AW37" s="163">
        <f t="shared" si="373"/>
        <v>45930</v>
      </c>
      <c r="AX37" s="167">
        <f t="shared" si="374"/>
        <v>0</v>
      </c>
      <c r="AY37" s="163">
        <f t="shared" si="375"/>
        <v>45931</v>
      </c>
      <c r="AZ37" s="163">
        <f t="shared" si="376"/>
        <v>45961</v>
      </c>
      <c r="BA37" s="167">
        <f t="shared" si="377"/>
        <v>0</v>
      </c>
      <c r="BB37" s="163">
        <f t="shared" si="378"/>
        <v>45962</v>
      </c>
      <c r="BC37" s="163">
        <f t="shared" si="379"/>
        <v>45991</v>
      </c>
      <c r="BD37" s="167">
        <f t="shared" si="380"/>
        <v>0</v>
      </c>
      <c r="BE37" s="163">
        <f t="shared" si="381"/>
        <v>45992</v>
      </c>
      <c r="BF37" s="163">
        <f t="shared" si="382"/>
        <v>46022</v>
      </c>
      <c r="BG37" s="167">
        <f t="shared" si="383"/>
        <v>0</v>
      </c>
      <c r="BH37" s="163">
        <v>46023</v>
      </c>
      <c r="BI37" s="163">
        <f t="shared" si="384"/>
        <v>46053</v>
      </c>
      <c r="BJ37" s="167">
        <f t="shared" si="385"/>
        <v>0</v>
      </c>
      <c r="BK37" s="163">
        <f t="shared" si="386"/>
        <v>46054</v>
      </c>
      <c r="BL37" s="163">
        <f t="shared" si="387"/>
        <v>46081</v>
      </c>
      <c r="BM37" s="167">
        <f t="shared" si="388"/>
        <v>0</v>
      </c>
      <c r="BN37" s="163">
        <f t="shared" si="389"/>
        <v>46082</v>
      </c>
      <c r="BO37" s="163">
        <f t="shared" si="390"/>
        <v>46112</v>
      </c>
      <c r="BP37" s="167">
        <f t="shared" si="391"/>
        <v>0</v>
      </c>
      <c r="BQ37" s="163">
        <f t="shared" si="392"/>
        <v>46113</v>
      </c>
      <c r="BR37" s="163">
        <f t="shared" si="393"/>
        <v>46142</v>
      </c>
      <c r="BS37" s="167">
        <f t="shared" si="394"/>
        <v>0</v>
      </c>
      <c r="BT37" s="163">
        <f t="shared" si="395"/>
        <v>46143</v>
      </c>
      <c r="BU37" s="163">
        <f t="shared" si="396"/>
        <v>46173</v>
      </c>
      <c r="BV37" s="167">
        <f t="shared" si="397"/>
        <v>0</v>
      </c>
      <c r="BW37" s="163">
        <f t="shared" si="398"/>
        <v>46174</v>
      </c>
      <c r="BX37" s="163">
        <f t="shared" si="399"/>
        <v>46203</v>
      </c>
      <c r="BY37" s="167">
        <f t="shared" si="400"/>
        <v>0</v>
      </c>
      <c r="BZ37" s="163">
        <f t="shared" si="401"/>
        <v>46204</v>
      </c>
      <c r="CA37" s="163">
        <f t="shared" si="402"/>
        <v>46234</v>
      </c>
      <c r="CB37" s="167">
        <f t="shared" si="403"/>
        <v>0</v>
      </c>
      <c r="CC37" s="163">
        <f t="shared" si="404"/>
        <v>46235</v>
      </c>
      <c r="CD37" s="163">
        <f t="shared" si="405"/>
        <v>46265</v>
      </c>
      <c r="CE37" s="167">
        <f t="shared" si="406"/>
        <v>0</v>
      </c>
      <c r="CF37" s="163">
        <f t="shared" si="407"/>
        <v>46266</v>
      </c>
      <c r="CG37" s="163">
        <f t="shared" si="408"/>
        <v>46295</v>
      </c>
      <c r="CH37" s="167">
        <f t="shared" si="409"/>
        <v>0</v>
      </c>
      <c r="CI37" s="163">
        <f t="shared" si="410"/>
        <v>46296</v>
      </c>
      <c r="CJ37" s="163">
        <f t="shared" si="411"/>
        <v>46326</v>
      </c>
      <c r="CK37" s="167">
        <f t="shared" si="412"/>
        <v>0</v>
      </c>
      <c r="CL37" s="163">
        <f t="shared" si="413"/>
        <v>46327</v>
      </c>
      <c r="CM37" s="163">
        <f t="shared" si="414"/>
        <v>46356</v>
      </c>
      <c r="CN37" s="167">
        <f t="shared" si="415"/>
        <v>0</v>
      </c>
      <c r="CO37" s="163">
        <f t="shared" si="416"/>
        <v>46357</v>
      </c>
      <c r="CP37" s="163">
        <f t="shared" si="417"/>
        <v>46387</v>
      </c>
      <c r="CQ37" s="167">
        <f t="shared" si="418"/>
        <v>0</v>
      </c>
    </row>
    <row r="38" s="89" customFormat="1" ht="24" hidden="1" customHeight="1" outlineLevel="4" spans="1:95">
      <c r="A38" s="132" t="s">
        <v>2813</v>
      </c>
      <c r="B38" s="133"/>
      <c r="C38" s="133"/>
      <c r="D38" s="133"/>
      <c r="E38" s="133"/>
      <c r="F38" s="133"/>
      <c r="G38" s="134"/>
      <c r="H38" s="135"/>
      <c r="I38" s="135"/>
      <c r="J38" s="135"/>
      <c r="K38" s="135"/>
      <c r="L38" s="158"/>
      <c r="M38" s="158"/>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row>
    <row r="39" s="89" customFormat="1" ht="24" hidden="1" customHeight="1" outlineLevel="3" collapsed="1" spans="1:95">
      <c r="A39" s="124"/>
      <c r="B39" s="125" t="s">
        <v>792</v>
      </c>
      <c r="C39" s="126" t="s">
        <v>864</v>
      </c>
      <c r="D39" s="124" t="s">
        <v>19</v>
      </c>
      <c r="E39" s="125"/>
      <c r="F39" s="125"/>
      <c r="G39" s="125"/>
      <c r="H39" s="127">
        <f>X39+AA39+AD39+AG39+AJ39+AM39+AP39+AS39+AV39+AY39+BB39+BE39</f>
        <v>0</v>
      </c>
      <c r="I39" s="127">
        <f>Y39+AB39+AE39+AH39+AK39+AN39+AQ39+AT39+AW39+AZ39+BC39+BF39</f>
        <v>0</v>
      </c>
      <c r="J39" s="127">
        <f t="shared" si="5"/>
        <v>0</v>
      </c>
      <c r="K39" s="127"/>
      <c r="L39" s="155"/>
      <c r="M39" s="155"/>
      <c r="N39" s="127"/>
      <c r="O39" s="127"/>
      <c r="P39" s="127"/>
      <c r="Q39" s="127"/>
      <c r="R39" s="127"/>
      <c r="S39" s="127"/>
      <c r="T39" s="127"/>
      <c r="U39" s="127"/>
      <c r="V39" s="127"/>
      <c r="W39" s="127"/>
      <c r="X39" s="127">
        <f>VLOOKUP($C39,'1 预算编制表单'!$C:$BJ,27,FALSE)</f>
        <v>0</v>
      </c>
      <c r="Y39" s="127">
        <f>X39-Z39</f>
        <v>0</v>
      </c>
      <c r="Z39" s="127">
        <f>SUM(Z40:Z44)</f>
        <v>0</v>
      </c>
      <c r="AA39" s="127">
        <f>VLOOKUP($C39,'1 预算编制表单'!$C:$BJ,30,FALSE)</f>
        <v>0</v>
      </c>
      <c r="AB39" s="127">
        <f>AA39-AC39</f>
        <v>0</v>
      </c>
      <c r="AC39" s="127">
        <f>SUM(AC40:AC44)</f>
        <v>0</v>
      </c>
      <c r="AD39" s="127">
        <f>VLOOKUP($C39,'1 预算编制表单'!$C:$BJ,33,FALSE)</f>
        <v>0</v>
      </c>
      <c r="AE39" s="127">
        <f>AD39-AF39</f>
        <v>0</v>
      </c>
      <c r="AF39" s="127">
        <f>SUM(AF40:AF44)</f>
        <v>0</v>
      </c>
      <c r="AG39" s="127">
        <f>VLOOKUP($C39,'1 预算编制表单'!$C:$BJ,36,FALSE)</f>
        <v>0</v>
      </c>
      <c r="AH39" s="127">
        <f>AG39-AI39</f>
        <v>0</v>
      </c>
      <c r="AI39" s="127">
        <f>SUM(AI40:AI44)</f>
        <v>0</v>
      </c>
      <c r="AJ39" s="127">
        <f>VLOOKUP($C39,'1 预算编制表单'!$C:$BJ,39,FALSE)</f>
        <v>0</v>
      </c>
      <c r="AK39" s="127">
        <f>AJ39-AL39</f>
        <v>0</v>
      </c>
      <c r="AL39" s="127">
        <f>SUM(AL40:AL44)</f>
        <v>0</v>
      </c>
      <c r="AM39" s="127">
        <f>VLOOKUP($C39,'1 预算编制表单'!$C:$BJ,42,FALSE)</f>
        <v>0</v>
      </c>
      <c r="AN39" s="127">
        <f>AM39-AO39</f>
        <v>0</v>
      </c>
      <c r="AO39" s="127">
        <f>SUM(AO40:AO44)</f>
        <v>0</v>
      </c>
      <c r="AP39" s="127">
        <f>VLOOKUP($C39,'1 预算编制表单'!$C:$BJ,45,FALSE)</f>
        <v>0</v>
      </c>
      <c r="AQ39" s="127">
        <f>AP39-AR39</f>
        <v>0</v>
      </c>
      <c r="AR39" s="127">
        <f>SUM(AR40:AR44)</f>
        <v>0</v>
      </c>
      <c r="AS39" s="127">
        <f>VLOOKUP($C39,'1 预算编制表单'!$C:$BJ,48,FALSE)</f>
        <v>0</v>
      </c>
      <c r="AT39" s="127">
        <f>AS39-AU39</f>
        <v>0</v>
      </c>
      <c r="AU39" s="127">
        <f>SUM(AU40:AU44)</f>
        <v>0</v>
      </c>
      <c r="AV39" s="127">
        <f>VLOOKUP($C39,'1 预算编制表单'!$C:$BJ,51,FALSE)</f>
        <v>0</v>
      </c>
      <c r="AW39" s="127">
        <f>AV39-AX39</f>
        <v>0</v>
      </c>
      <c r="AX39" s="127">
        <f>SUM(AX40:AX44)</f>
        <v>0</v>
      </c>
      <c r="AY39" s="127">
        <f>VLOOKUP($C39,'1 预算编制表单'!$C:$BJ,54,FALSE)</f>
        <v>0</v>
      </c>
      <c r="AZ39" s="127">
        <f>AY39-BA39</f>
        <v>0</v>
      </c>
      <c r="BA39" s="127">
        <f>SUM(BA40:BA44)</f>
        <v>0</v>
      </c>
      <c r="BB39" s="127">
        <f>VLOOKUP($C39,'1 预算编制表单'!$C:$BJ,57,FALSE)</f>
        <v>0</v>
      </c>
      <c r="BC39" s="127">
        <f>BB39-BD39</f>
        <v>0</v>
      </c>
      <c r="BD39" s="127">
        <f>SUM(BD40:BD44)</f>
        <v>0</v>
      </c>
      <c r="BE39" s="127">
        <f>VLOOKUP($C39,'1 预算编制表单'!$C:$BJ,60,FALSE)</f>
        <v>0</v>
      </c>
      <c r="BF39" s="127">
        <f>BE39-BG39</f>
        <v>0</v>
      </c>
      <c r="BG39" s="127">
        <f>SUM(BG40:BG44)</f>
        <v>0</v>
      </c>
      <c r="BH39" s="127">
        <f>VLOOKUP($C39,'1 预算编制表单'!$C:$BJ,27,FALSE)</f>
        <v>0</v>
      </c>
      <c r="BI39" s="127">
        <f>BH39-BJ39</f>
        <v>0</v>
      </c>
      <c r="BJ39" s="127">
        <f>SUM(BJ40:BJ44)</f>
        <v>0</v>
      </c>
      <c r="BK39" s="127">
        <f>VLOOKUP($C39,'1 预算编制表单'!$C:$BJ,30,FALSE)</f>
        <v>0</v>
      </c>
      <c r="BL39" s="127">
        <f>BK39-BM39</f>
        <v>0</v>
      </c>
      <c r="BM39" s="127">
        <f>SUM(BM40:BM44)</f>
        <v>0</v>
      </c>
      <c r="BN39" s="127">
        <f>VLOOKUP($C39,'1 预算编制表单'!$C:$BJ,33,FALSE)</f>
        <v>0</v>
      </c>
      <c r="BO39" s="127">
        <f>BN39-BP39</f>
        <v>0</v>
      </c>
      <c r="BP39" s="127">
        <f>SUM(BP40:BP44)</f>
        <v>0</v>
      </c>
      <c r="BQ39" s="127">
        <f>VLOOKUP($C39,'1 预算编制表单'!$C:$BJ,36,FALSE)</f>
        <v>0</v>
      </c>
      <c r="BR39" s="127">
        <f>BQ39-BS39</f>
        <v>0</v>
      </c>
      <c r="BS39" s="127">
        <f>SUM(BS40:BS44)</f>
        <v>0</v>
      </c>
      <c r="BT39" s="127">
        <f>VLOOKUP($C39,'1 预算编制表单'!$C:$BJ,39,FALSE)</f>
        <v>0</v>
      </c>
      <c r="BU39" s="127">
        <f>BT39-BV39</f>
        <v>0</v>
      </c>
      <c r="BV39" s="127">
        <f>SUM(BV40:BV44)</f>
        <v>0</v>
      </c>
      <c r="BW39" s="127">
        <f>VLOOKUP($C39,'1 预算编制表单'!$C:$BJ,42,FALSE)</f>
        <v>0</v>
      </c>
      <c r="BX39" s="127">
        <f>BW39-BY39</f>
        <v>0</v>
      </c>
      <c r="BY39" s="127">
        <f>SUM(BY40:BY44)</f>
        <v>0</v>
      </c>
      <c r="BZ39" s="127">
        <f>VLOOKUP($C39,'1 预算编制表单'!$C:$BJ,45,FALSE)</f>
        <v>0</v>
      </c>
      <c r="CA39" s="127">
        <f>BZ39-CB39</f>
        <v>0</v>
      </c>
      <c r="CB39" s="127">
        <f>SUM(CB40:CB44)</f>
        <v>0</v>
      </c>
      <c r="CC39" s="127">
        <f>VLOOKUP($C39,'1 预算编制表单'!$C:$BJ,48,FALSE)</f>
        <v>0</v>
      </c>
      <c r="CD39" s="127">
        <f>CC39-CE39</f>
        <v>0</v>
      </c>
      <c r="CE39" s="127">
        <f>SUM(CE40:CE44)</f>
        <v>0</v>
      </c>
      <c r="CF39" s="127">
        <f>VLOOKUP($C39,'1 预算编制表单'!$C:$BJ,51,FALSE)</f>
        <v>0</v>
      </c>
      <c r="CG39" s="127">
        <f>CF39-CH39</f>
        <v>0</v>
      </c>
      <c r="CH39" s="127">
        <f>SUM(CH40:CH44)</f>
        <v>0</v>
      </c>
      <c r="CI39" s="127">
        <f>VLOOKUP($C39,'1 预算编制表单'!$C:$BJ,54,FALSE)</f>
        <v>0</v>
      </c>
      <c r="CJ39" s="127">
        <f>CI39-CK39</f>
        <v>0</v>
      </c>
      <c r="CK39" s="127">
        <f>SUM(CK40:CK44)</f>
        <v>0</v>
      </c>
      <c r="CL39" s="127">
        <f>VLOOKUP($C39,'1 预算编制表单'!$C:$BJ,57,FALSE)</f>
        <v>0</v>
      </c>
      <c r="CM39" s="127">
        <f>CL39-CN39</f>
        <v>0</v>
      </c>
      <c r="CN39" s="127">
        <f>SUM(CN40:CN44)</f>
        <v>0</v>
      </c>
      <c r="CO39" s="127">
        <f>VLOOKUP($C39,'1 预算编制表单'!$C:$BJ,60,FALSE)</f>
        <v>0</v>
      </c>
      <c r="CP39" s="127">
        <f>CO39-CQ39</f>
        <v>0</v>
      </c>
      <c r="CQ39" s="127">
        <f>SUM(CQ40:CQ44)</f>
        <v>0</v>
      </c>
    </row>
    <row r="40" s="89" customFormat="1" ht="24" hidden="1" customHeight="1" outlineLevel="4" spans="1:95">
      <c r="A40" s="128"/>
      <c r="B40" s="129"/>
      <c r="C40" s="130"/>
      <c r="D40" s="128"/>
      <c r="E40" s="129"/>
      <c r="F40" s="129"/>
      <c r="G40" s="129"/>
      <c r="H40" s="131"/>
      <c r="I40" s="131"/>
      <c r="J40" s="131">
        <f t="shared" si="5"/>
        <v>0</v>
      </c>
      <c r="K40" s="131">
        <v>1</v>
      </c>
      <c r="L40" s="156"/>
      <c r="M40" s="157">
        <f>IFERROR(VLOOKUP($L40,'2-2 引出数据_合同数据仓库'!$B$5:$BP$200,3,FALSE),0)</f>
        <v>0</v>
      </c>
      <c r="N40" s="131"/>
      <c r="O40" s="157">
        <f>IFERROR(VLOOKUP((LEFT(VLOOKUP($L40,'2-2 引出数据_合同数据仓库'!$B$5:$BP$200,64,FALSE),15)&amp;(RIGHT(VLOOKUP($L40,'2-2 引出数据_合同数据仓库'!$B$5:$BP$200,64,FALSE),4)+1)),'2-2 引出数据_合同数据仓库'!$B$5:$BP$200,3,FALSE),0)</f>
        <v>0</v>
      </c>
      <c r="P40" s="131"/>
      <c r="Q40" s="131">
        <f>IFERROR(VLOOKUP($L40,'2-2 引出数据_合同数据仓库'!$B$5:$BP$200,28,FALSE),0)</f>
        <v>0</v>
      </c>
      <c r="R40" s="131">
        <f>IFERROR(VLOOKUP($L40,'2-2 引出数据_合同数据仓库'!$B$5:$BP$200,29,FALSE),0)</f>
        <v>0</v>
      </c>
      <c r="S40" s="131">
        <f>IFERROR(VLOOKUP($L40,'2-2 引出数据_合同数据仓库'!$B$5:$BP$200,4,FALSE),0)</f>
        <v>0</v>
      </c>
      <c r="T40" s="131"/>
      <c r="U40" s="131">
        <f>IFERROR(VLOOKUP($L40,'2-2 引出数据_合同数据仓库'!$B$5:$BP$200,15,FALSE),0)</f>
        <v>0</v>
      </c>
      <c r="V40" s="131">
        <f t="shared" ref="V40:V43" si="419">U40/(S40-R40+1)*365</f>
        <v>0</v>
      </c>
      <c r="W40" s="131"/>
      <c r="X40" s="163">
        <v>45658</v>
      </c>
      <c r="Y40" s="163">
        <f t="shared" ref="Y40:Y43" si="420">X40+30</f>
        <v>45688</v>
      </c>
      <c r="Z40" s="167">
        <f t="shared" ref="Z40:Z43" si="421">IFERROR(IF(($R40-Y40)&gt;=0,0,IF(($S40-X40)&lt;0,0,IF(AND(($S40-Y40)&gt;0,(X40-$R40)&gt;0),$V40/365*(Y40-X40+1),IF(AND(($S40-Y40)&lt;=0,(X40-$R40)&gt;0),$V40/365*($S40-X40+1),$V40/365*(Y40-$R40+1))))),0)</f>
        <v>0</v>
      </c>
      <c r="AA40" s="163">
        <f t="shared" ref="AA40:AA43" si="422">Y40+1</f>
        <v>45689</v>
      </c>
      <c r="AB40" s="163">
        <f t="shared" ref="AB40:AB43" si="423">AA40+27</f>
        <v>45716</v>
      </c>
      <c r="AC40" s="167">
        <f t="shared" ref="AC40:AC43" si="424">IFERROR(IF(($R40-AB40)&gt;=0,0,IF(($S40-AA40)&lt;0,0,IF(AND(($S40-AB40)&gt;0,(AA40-$R40)&gt;0),$V40/365*(AB40-AA40+1),IF(AND(($S40-AB40)&lt;=0,(AA40-$R40)&gt;0),$V40/365*($S40-AA40+1),$V40/365*(AB40-$R40+1))))),0)</f>
        <v>0</v>
      </c>
      <c r="AD40" s="163">
        <f t="shared" ref="AD40:AD43" si="425">AB40+1</f>
        <v>45717</v>
      </c>
      <c r="AE40" s="163">
        <f t="shared" ref="AE40:AE43" si="426">AD40+30</f>
        <v>45747</v>
      </c>
      <c r="AF40" s="167">
        <f t="shared" ref="AF40:AF43" si="427">IFERROR(IF(($R40-AE40)&gt;=0,0,IF(($S40-AD40)&lt;0,0,IF(AND(($S40-AE40)&gt;0,(AD40-$R40)&gt;0),$V40/365*(AE40-AD40+1),IF(AND(($S40-AE40)&lt;=0,(AD40-$R40)&gt;0),$V40/365*($S40-AD40+1),$V40/365*(AE40-$R40+1))))),0)</f>
        <v>0</v>
      </c>
      <c r="AG40" s="163">
        <f t="shared" ref="AG40:AG43" si="428">AE40+1</f>
        <v>45748</v>
      </c>
      <c r="AH40" s="163">
        <f t="shared" ref="AH40:AH43" si="429">AG40+29</f>
        <v>45777</v>
      </c>
      <c r="AI40" s="167">
        <f t="shared" ref="AI40:AI43" si="430">IFERROR(IF(($R40-AH40)&gt;=0,0,IF(($S40-AG40)&lt;0,0,IF(AND(($S40-AH40)&gt;0,(AG40-$R40)&gt;0),$V40/365*(AH40-AG40+1),IF(AND(($S40-AH40)&lt;=0,(AG40-$R40)&gt;0),$V40/365*($S40-AG40+1),$V40/365*(AH40-$R40+1))))),0)</f>
        <v>0</v>
      </c>
      <c r="AJ40" s="163">
        <f t="shared" ref="AJ40:AJ43" si="431">AH40+1</f>
        <v>45778</v>
      </c>
      <c r="AK40" s="163">
        <f t="shared" ref="AK40:AK43" si="432">AJ40+30</f>
        <v>45808</v>
      </c>
      <c r="AL40" s="167">
        <f t="shared" ref="AL40:AL43" si="433">IFERROR(IF(($R40-AK40)&gt;=0,0,IF(($S40-AJ40)&lt;0,0,IF(AND(($S40-AK40)&gt;0,(AJ40-$R40)&gt;0),$V40/365*(AK40-AJ40+1),IF(AND(($S40-AK40)&lt;=0,(AJ40-$R40)&gt;0),$V40/365*($S40-AJ40+1),$V40/365*(AK40-$R40+1))))),0)</f>
        <v>0</v>
      </c>
      <c r="AM40" s="163">
        <f t="shared" ref="AM40:AM43" si="434">AK40+1</f>
        <v>45809</v>
      </c>
      <c r="AN40" s="163">
        <f t="shared" ref="AN40:AN43" si="435">AM40+29</f>
        <v>45838</v>
      </c>
      <c r="AO40" s="167">
        <f t="shared" ref="AO40:AO43" si="436">IFERROR(IF(($R40-AN40)&gt;=0,0,IF(($S40-AM40)&lt;0,0,IF(AND(($S40-AN40)&gt;0,(AM40-$R40)&gt;0),$V40/365*(AN40-AM40+1),IF(AND(($S40-AN40)&lt;=0,(AM40-$R40)&gt;0),$V40/365*($S40-AM40+1),$V40/365*(AN40-$R40+1))))),0)</f>
        <v>0</v>
      </c>
      <c r="AP40" s="163">
        <f t="shared" ref="AP40:AP43" si="437">AN40+1</f>
        <v>45839</v>
      </c>
      <c r="AQ40" s="163">
        <f t="shared" ref="AQ40:AQ43" si="438">AP40+30</f>
        <v>45869</v>
      </c>
      <c r="AR40" s="167">
        <f t="shared" ref="AR40:AR43" si="439">IFERROR(IF(($R40-AQ40)&gt;=0,0,IF(($S40-AP40)&lt;0,0,IF(AND(($S40-AQ40)&gt;0,(AP40-$R40)&gt;0),$V40/365*(AQ40-AP40+1),IF(AND(($S40-AQ40)&lt;=0,(AP40-$R40)&gt;0),$V40/365*($S40-AP40+1),$V40/365*(AQ40-$R40+1))))),0)</f>
        <v>0</v>
      </c>
      <c r="AS40" s="163">
        <f t="shared" ref="AS40:AS43" si="440">AQ40+1</f>
        <v>45870</v>
      </c>
      <c r="AT40" s="163">
        <f t="shared" ref="AT40:AT43" si="441">AS40+30</f>
        <v>45900</v>
      </c>
      <c r="AU40" s="167">
        <f t="shared" ref="AU40:AU43" si="442">IFERROR(IF(($R40-AT40)&gt;=0,0,IF(($S40-AS40)&lt;0,0,IF(AND(($S40-AT40)&gt;0,(AS40-$R40)&gt;0),$V40/365*(AT40-AS40+1),IF(AND(($S40-AT40)&lt;=0,(AS40-$R40)&gt;0),$V40/365*($S40-AS40+1),$V40/365*(AT40-$R40+1))))),0)</f>
        <v>0</v>
      </c>
      <c r="AV40" s="163">
        <f t="shared" ref="AV40:AV43" si="443">AT40+1</f>
        <v>45901</v>
      </c>
      <c r="AW40" s="163">
        <f t="shared" ref="AW40:AW43" si="444">AV40+29</f>
        <v>45930</v>
      </c>
      <c r="AX40" s="167">
        <f t="shared" ref="AX40:AX43" si="445">IFERROR(IF(($R40-AW40)&gt;=0,0,IF(($S40-AV40)&lt;0,0,IF(AND(($S40-AW40)&gt;0,(AV40-$R40)&gt;0),$V40/365*(AW40-AV40+1),IF(AND(($S40-AW40)&lt;=0,(AV40-$R40)&gt;0),$V40/365*($S40-AV40+1),$V40/365*(AW40-$R40+1))))),0)</f>
        <v>0</v>
      </c>
      <c r="AY40" s="163">
        <f t="shared" ref="AY40:AY43" si="446">AW40+1</f>
        <v>45931</v>
      </c>
      <c r="AZ40" s="163">
        <f t="shared" ref="AZ40:AZ43" si="447">AY40+30</f>
        <v>45961</v>
      </c>
      <c r="BA40" s="167">
        <f t="shared" ref="BA40:BA43" si="448">IFERROR(IF(($R40-AZ40)&gt;=0,0,IF(($S40-AY40)&lt;0,0,IF(AND(($S40-AZ40)&gt;0,(AY40-$R40)&gt;0),$V40/365*(AZ40-AY40+1),IF(AND(($S40-AZ40)&lt;=0,(AY40-$R40)&gt;0),$V40/365*($S40-AY40+1),$V40/365*(AZ40-$R40+1))))),0)</f>
        <v>0</v>
      </c>
      <c r="BB40" s="163">
        <f t="shared" ref="BB40:BB43" si="449">AZ40+1</f>
        <v>45962</v>
      </c>
      <c r="BC40" s="163">
        <f t="shared" ref="BC40:BC43" si="450">BB40+29</f>
        <v>45991</v>
      </c>
      <c r="BD40" s="167">
        <f t="shared" ref="BD40:BD43" si="451">IFERROR(IF(($R40-BC40)&gt;=0,0,IF(($S40-BB40)&lt;0,0,IF(AND(($S40-BC40)&gt;0,(BB40-$R40)&gt;0),$V40/365*(BC40-BB40+1),IF(AND(($S40-BC40)&lt;=0,(BB40-$R40)&gt;0),$V40/365*($S40-BB40+1),$V40/365*(BC40-$R40+1))))),0)</f>
        <v>0</v>
      </c>
      <c r="BE40" s="163">
        <f t="shared" ref="BE40:BE43" si="452">BC40+1</f>
        <v>45992</v>
      </c>
      <c r="BF40" s="163">
        <f t="shared" ref="BF40:BF43" si="453">BE40+30</f>
        <v>46022</v>
      </c>
      <c r="BG40" s="167">
        <f t="shared" ref="BG40:BG43" si="454">IFERROR(IF(($R40-BF40)&gt;=0,0,IF(($S40-BE40)&lt;0,0,IF(AND(($S40-BF40)&gt;0,(BE40-$R40)&gt;0),$V40/365*(BF40-BE40+1),IF(AND(($S40-BF40)&lt;=0,(BE40-$R40)&gt;0),$V40/365*($S40-BE40+1),$V40/365*(BF40-$R40+1))))),0)</f>
        <v>0</v>
      </c>
      <c r="BH40" s="163">
        <v>46023</v>
      </c>
      <c r="BI40" s="163">
        <f t="shared" ref="BI40:BI43" si="455">BH40+30</f>
        <v>46053</v>
      </c>
      <c r="BJ40" s="167">
        <f t="shared" ref="BJ40:BJ43" si="456">IFERROR(IF(($R40-BI40)&gt;=0,0,IF(($S40-BH40)&lt;0,0,IF(AND(($S40-BI40)&gt;0,(BH40-$R40)&gt;0),$V40/365*(BI40-BH40+1),IF(AND(($S40-BI40)&lt;=0,(BH40-$R40)&gt;0),$V40/365*($S40-BH40+1),$V40/365*(BI40-$R40+1))))),0)</f>
        <v>0</v>
      </c>
      <c r="BK40" s="163">
        <f t="shared" ref="BK40:BK43" si="457">BI40+1</f>
        <v>46054</v>
      </c>
      <c r="BL40" s="163">
        <f t="shared" ref="BL40:BL43" si="458">BK40+27</f>
        <v>46081</v>
      </c>
      <c r="BM40" s="167">
        <f t="shared" ref="BM40:BM43" si="459">IFERROR(IF(($R40-BL40)&gt;=0,0,IF(($S40-BK40)&lt;0,0,IF(AND(($S40-BL40)&gt;0,(BK40-$R40)&gt;0),$V40/365*(BL40-BK40+1),IF(AND(($S40-BL40)&lt;=0,(BK40-$R40)&gt;0),$V40/365*($S40-BK40+1),$V40/365*(BL40-$R40+1))))),0)</f>
        <v>0</v>
      </c>
      <c r="BN40" s="163">
        <f t="shared" ref="BN40:BN43" si="460">BL40+1</f>
        <v>46082</v>
      </c>
      <c r="BO40" s="163">
        <f t="shared" ref="BO40:BO43" si="461">BN40+30</f>
        <v>46112</v>
      </c>
      <c r="BP40" s="167">
        <f t="shared" ref="BP40:BP43" si="462">IFERROR(IF(($R40-BO40)&gt;=0,0,IF(($S40-BN40)&lt;0,0,IF(AND(($S40-BO40)&gt;0,(BN40-$R40)&gt;0),$V40/365*(BO40-BN40+1),IF(AND(($S40-BO40)&lt;=0,(BN40-$R40)&gt;0),$V40/365*($S40-BN40+1),$V40/365*(BO40-$R40+1))))),0)</f>
        <v>0</v>
      </c>
      <c r="BQ40" s="163">
        <f t="shared" ref="BQ40:BQ43" si="463">BO40+1</f>
        <v>46113</v>
      </c>
      <c r="BR40" s="163">
        <f t="shared" ref="BR40:BR43" si="464">BQ40+29</f>
        <v>46142</v>
      </c>
      <c r="BS40" s="167">
        <f t="shared" ref="BS40:BS43" si="465">IFERROR(IF(($R40-BR40)&gt;=0,0,IF(($S40-BQ40)&lt;0,0,IF(AND(($S40-BR40)&gt;0,(BQ40-$R40)&gt;0),$V40/365*(BR40-BQ40+1),IF(AND(($S40-BR40)&lt;=0,(BQ40-$R40)&gt;0),$V40/365*($S40-BQ40+1),$V40/365*(BR40-$R40+1))))),0)</f>
        <v>0</v>
      </c>
      <c r="BT40" s="163">
        <f t="shared" ref="BT40:BT43" si="466">BR40+1</f>
        <v>46143</v>
      </c>
      <c r="BU40" s="163">
        <f t="shared" ref="BU40:BU43" si="467">BT40+30</f>
        <v>46173</v>
      </c>
      <c r="BV40" s="167">
        <f t="shared" ref="BV40:BV43" si="468">IFERROR(IF(($R40-BU40)&gt;=0,0,IF(($S40-BT40)&lt;0,0,IF(AND(($S40-BU40)&gt;0,(BT40-$R40)&gt;0),$V40/365*(BU40-BT40+1),IF(AND(($S40-BU40)&lt;=0,(BT40-$R40)&gt;0),$V40/365*($S40-BT40+1),$V40/365*(BU40-$R40+1))))),0)</f>
        <v>0</v>
      </c>
      <c r="BW40" s="163">
        <f t="shared" ref="BW40:BW43" si="469">BU40+1</f>
        <v>46174</v>
      </c>
      <c r="BX40" s="163">
        <f t="shared" ref="BX40:BX43" si="470">BW40+29</f>
        <v>46203</v>
      </c>
      <c r="BY40" s="167">
        <f t="shared" ref="BY40:BY43" si="471">IFERROR(IF(($R40-BX40)&gt;=0,0,IF(($S40-BW40)&lt;0,0,IF(AND(($S40-BX40)&gt;0,(BW40-$R40)&gt;0),$V40/365*(BX40-BW40+1),IF(AND(($S40-BX40)&lt;=0,(BW40-$R40)&gt;0),$V40/365*($S40-BW40+1),$V40/365*(BX40-$R40+1))))),0)</f>
        <v>0</v>
      </c>
      <c r="BZ40" s="163">
        <f t="shared" ref="BZ40:BZ43" si="472">BX40+1</f>
        <v>46204</v>
      </c>
      <c r="CA40" s="163">
        <f t="shared" ref="CA40:CA43" si="473">BZ40+30</f>
        <v>46234</v>
      </c>
      <c r="CB40" s="167">
        <f t="shared" ref="CB40:CB43" si="474">IFERROR(IF(($R40-CA40)&gt;=0,0,IF(($S40-BZ40)&lt;0,0,IF(AND(($S40-CA40)&gt;0,(BZ40-$R40)&gt;0),$V40/365*(CA40-BZ40+1),IF(AND(($S40-CA40)&lt;=0,(BZ40-$R40)&gt;0),$V40/365*($S40-BZ40+1),$V40/365*(CA40-$R40+1))))),0)</f>
        <v>0</v>
      </c>
      <c r="CC40" s="163">
        <f t="shared" ref="CC40:CC43" si="475">CA40+1</f>
        <v>46235</v>
      </c>
      <c r="CD40" s="163">
        <f t="shared" ref="CD40:CD43" si="476">CC40+30</f>
        <v>46265</v>
      </c>
      <c r="CE40" s="167">
        <f t="shared" ref="CE40:CE43" si="477">IFERROR(IF(($R40-CD40)&gt;=0,0,IF(($S40-CC40)&lt;0,0,IF(AND(($S40-CD40)&gt;0,(CC40-$R40)&gt;0),$V40/365*(CD40-CC40+1),IF(AND(($S40-CD40)&lt;=0,(CC40-$R40)&gt;0),$V40/365*($S40-CC40+1),$V40/365*(CD40-$R40+1))))),0)</f>
        <v>0</v>
      </c>
      <c r="CF40" s="163">
        <f t="shared" ref="CF40:CF43" si="478">CD40+1</f>
        <v>46266</v>
      </c>
      <c r="CG40" s="163">
        <f t="shared" ref="CG40:CG43" si="479">CF40+29</f>
        <v>46295</v>
      </c>
      <c r="CH40" s="167">
        <f t="shared" ref="CH40:CH43" si="480">IFERROR(IF(($R40-CG40)&gt;=0,0,IF(($S40-CF40)&lt;0,0,IF(AND(($S40-CG40)&gt;0,(CF40-$R40)&gt;0),$V40/365*(CG40-CF40+1),IF(AND(($S40-CG40)&lt;=0,(CF40-$R40)&gt;0),$V40/365*($S40-CF40+1),$V40/365*(CG40-$R40+1))))),0)</f>
        <v>0</v>
      </c>
      <c r="CI40" s="163">
        <f t="shared" ref="CI40:CI43" si="481">CG40+1</f>
        <v>46296</v>
      </c>
      <c r="CJ40" s="163">
        <f t="shared" ref="CJ40:CJ43" si="482">CI40+30</f>
        <v>46326</v>
      </c>
      <c r="CK40" s="167">
        <f t="shared" ref="CK40:CK43" si="483">IFERROR(IF(($R40-CJ40)&gt;=0,0,IF(($S40-CI40)&lt;0,0,IF(AND(($S40-CJ40)&gt;0,(CI40-$R40)&gt;0),$V40/365*(CJ40-CI40+1),IF(AND(($S40-CJ40)&lt;=0,(CI40-$R40)&gt;0),$V40/365*($S40-CI40+1),$V40/365*(CJ40-$R40+1))))),0)</f>
        <v>0</v>
      </c>
      <c r="CL40" s="163">
        <f t="shared" ref="CL40:CL43" si="484">CJ40+1</f>
        <v>46327</v>
      </c>
      <c r="CM40" s="163">
        <f t="shared" ref="CM40:CM43" si="485">CL40+29</f>
        <v>46356</v>
      </c>
      <c r="CN40" s="167">
        <f t="shared" ref="CN40:CN43" si="486">IFERROR(IF(($R40-CM40)&gt;=0,0,IF(($S40-CL40)&lt;0,0,IF(AND(($S40-CM40)&gt;0,(CL40-$R40)&gt;0),$V40/365*(CM40-CL40+1),IF(AND(($S40-CM40)&lt;=0,(CL40-$R40)&gt;0),$V40/365*($S40-CL40+1),$V40/365*(CM40-$R40+1))))),0)</f>
        <v>0</v>
      </c>
      <c r="CO40" s="163">
        <f t="shared" ref="CO40:CO43" si="487">CM40+1</f>
        <v>46357</v>
      </c>
      <c r="CP40" s="163">
        <f t="shared" ref="CP40:CP43" si="488">CO40+30</f>
        <v>46387</v>
      </c>
      <c r="CQ40" s="167">
        <f t="shared" ref="CQ40:CQ43" si="489">IFERROR(IF(($R40-CP40)&gt;=0,0,IF(($S40-CO40)&lt;0,0,IF(AND(($S40-CP40)&gt;0,(CO40-$R40)&gt;0),$V40/365*(CP40-CO40+1),IF(AND(($S40-CP40)&lt;=0,(CO40-$R40)&gt;0),$V40/365*($S40-CO40+1),$V40/365*(CP40-$R40+1))))),0)</f>
        <v>0</v>
      </c>
    </row>
    <row r="41" s="89" customFormat="1" ht="24" hidden="1" customHeight="1" outlineLevel="4" spans="1:95">
      <c r="A41" s="128"/>
      <c r="B41" s="129"/>
      <c r="C41" s="130"/>
      <c r="D41" s="128"/>
      <c r="E41" s="129"/>
      <c r="F41" s="129"/>
      <c r="G41" s="129"/>
      <c r="H41" s="131"/>
      <c r="I41" s="131"/>
      <c r="J41" s="131">
        <f t="shared" si="5"/>
        <v>0</v>
      </c>
      <c r="K41" s="131">
        <f t="shared" ref="K41:K43" si="490">K40+1</f>
        <v>2</v>
      </c>
      <c r="L41" s="156"/>
      <c r="M41" s="157">
        <f>IFERROR(VLOOKUP($L41,'2-2 引出数据_合同数据仓库'!$B$5:$BP$200,3,FALSE),0)</f>
        <v>0</v>
      </c>
      <c r="N41" s="131"/>
      <c r="O41" s="157">
        <f>IFERROR(VLOOKUP((LEFT(VLOOKUP($L41,'2-2 引出数据_合同数据仓库'!$B$5:$BP$200,64,FALSE),15)&amp;(RIGHT(VLOOKUP($L41,'2-2 引出数据_合同数据仓库'!$B$5:$BP$200,64,FALSE),4)+1)),'2-2 引出数据_合同数据仓库'!$B$5:$BP$200,3,FALSE),0)</f>
        <v>0</v>
      </c>
      <c r="P41" s="131"/>
      <c r="Q41" s="131">
        <f>IFERROR(VLOOKUP($L41,'2-2 引出数据_合同数据仓库'!$B$5:$BP$200,28,FALSE),0)</f>
        <v>0</v>
      </c>
      <c r="R41" s="131">
        <f>IFERROR(VLOOKUP($L41,'2-2 引出数据_合同数据仓库'!$B$5:$BP$200,29,FALSE),0)</f>
        <v>0</v>
      </c>
      <c r="S41" s="131">
        <f>IFERROR(VLOOKUP($L41,'2-2 引出数据_合同数据仓库'!$B$5:$BP$200,4,FALSE),0)</f>
        <v>0</v>
      </c>
      <c r="T41" s="131"/>
      <c r="U41" s="131">
        <f>IFERROR(VLOOKUP($L41,'2-2 引出数据_合同数据仓库'!$B$5:$BP$200,15,FALSE),0)</f>
        <v>0</v>
      </c>
      <c r="V41" s="131">
        <f t="shared" si="419"/>
        <v>0</v>
      </c>
      <c r="W41" s="131"/>
      <c r="X41" s="163">
        <v>45658</v>
      </c>
      <c r="Y41" s="163">
        <f t="shared" si="420"/>
        <v>45688</v>
      </c>
      <c r="Z41" s="167">
        <f t="shared" si="421"/>
        <v>0</v>
      </c>
      <c r="AA41" s="163">
        <f t="shared" si="422"/>
        <v>45689</v>
      </c>
      <c r="AB41" s="163">
        <f t="shared" si="423"/>
        <v>45716</v>
      </c>
      <c r="AC41" s="167">
        <f t="shared" si="424"/>
        <v>0</v>
      </c>
      <c r="AD41" s="163">
        <f t="shared" si="425"/>
        <v>45717</v>
      </c>
      <c r="AE41" s="163">
        <f t="shared" si="426"/>
        <v>45747</v>
      </c>
      <c r="AF41" s="167">
        <f t="shared" si="427"/>
        <v>0</v>
      </c>
      <c r="AG41" s="163">
        <f t="shared" si="428"/>
        <v>45748</v>
      </c>
      <c r="AH41" s="163">
        <f t="shared" si="429"/>
        <v>45777</v>
      </c>
      <c r="AI41" s="167">
        <f t="shared" si="430"/>
        <v>0</v>
      </c>
      <c r="AJ41" s="163">
        <f t="shared" si="431"/>
        <v>45778</v>
      </c>
      <c r="AK41" s="163">
        <f t="shared" si="432"/>
        <v>45808</v>
      </c>
      <c r="AL41" s="167">
        <f t="shared" si="433"/>
        <v>0</v>
      </c>
      <c r="AM41" s="163">
        <f t="shared" si="434"/>
        <v>45809</v>
      </c>
      <c r="AN41" s="163">
        <f t="shared" si="435"/>
        <v>45838</v>
      </c>
      <c r="AO41" s="167">
        <f t="shared" si="436"/>
        <v>0</v>
      </c>
      <c r="AP41" s="163">
        <f t="shared" si="437"/>
        <v>45839</v>
      </c>
      <c r="AQ41" s="163">
        <f t="shared" si="438"/>
        <v>45869</v>
      </c>
      <c r="AR41" s="167">
        <f t="shared" si="439"/>
        <v>0</v>
      </c>
      <c r="AS41" s="163">
        <f t="shared" si="440"/>
        <v>45870</v>
      </c>
      <c r="AT41" s="163">
        <f t="shared" si="441"/>
        <v>45900</v>
      </c>
      <c r="AU41" s="167">
        <f t="shared" si="442"/>
        <v>0</v>
      </c>
      <c r="AV41" s="163">
        <f t="shared" si="443"/>
        <v>45901</v>
      </c>
      <c r="AW41" s="163">
        <f t="shared" si="444"/>
        <v>45930</v>
      </c>
      <c r="AX41" s="167">
        <f t="shared" si="445"/>
        <v>0</v>
      </c>
      <c r="AY41" s="163">
        <f t="shared" si="446"/>
        <v>45931</v>
      </c>
      <c r="AZ41" s="163">
        <f t="shared" si="447"/>
        <v>45961</v>
      </c>
      <c r="BA41" s="167">
        <f t="shared" si="448"/>
        <v>0</v>
      </c>
      <c r="BB41" s="163">
        <f t="shared" si="449"/>
        <v>45962</v>
      </c>
      <c r="BC41" s="163">
        <f t="shared" si="450"/>
        <v>45991</v>
      </c>
      <c r="BD41" s="167">
        <f t="shared" si="451"/>
        <v>0</v>
      </c>
      <c r="BE41" s="163">
        <f t="shared" si="452"/>
        <v>45992</v>
      </c>
      <c r="BF41" s="163">
        <f t="shared" si="453"/>
        <v>46022</v>
      </c>
      <c r="BG41" s="167">
        <f t="shared" si="454"/>
        <v>0</v>
      </c>
      <c r="BH41" s="163">
        <v>46023</v>
      </c>
      <c r="BI41" s="163">
        <f t="shared" si="455"/>
        <v>46053</v>
      </c>
      <c r="BJ41" s="167">
        <f t="shared" si="456"/>
        <v>0</v>
      </c>
      <c r="BK41" s="163">
        <f t="shared" si="457"/>
        <v>46054</v>
      </c>
      <c r="BL41" s="163">
        <f t="shared" si="458"/>
        <v>46081</v>
      </c>
      <c r="BM41" s="167">
        <f t="shared" si="459"/>
        <v>0</v>
      </c>
      <c r="BN41" s="163">
        <f t="shared" si="460"/>
        <v>46082</v>
      </c>
      <c r="BO41" s="163">
        <f t="shared" si="461"/>
        <v>46112</v>
      </c>
      <c r="BP41" s="167">
        <f t="shared" si="462"/>
        <v>0</v>
      </c>
      <c r="BQ41" s="163">
        <f t="shared" si="463"/>
        <v>46113</v>
      </c>
      <c r="BR41" s="163">
        <f t="shared" si="464"/>
        <v>46142</v>
      </c>
      <c r="BS41" s="167">
        <f t="shared" si="465"/>
        <v>0</v>
      </c>
      <c r="BT41" s="163">
        <f t="shared" si="466"/>
        <v>46143</v>
      </c>
      <c r="BU41" s="163">
        <f t="shared" si="467"/>
        <v>46173</v>
      </c>
      <c r="BV41" s="167">
        <f t="shared" si="468"/>
        <v>0</v>
      </c>
      <c r="BW41" s="163">
        <f t="shared" si="469"/>
        <v>46174</v>
      </c>
      <c r="BX41" s="163">
        <f t="shared" si="470"/>
        <v>46203</v>
      </c>
      <c r="BY41" s="167">
        <f t="shared" si="471"/>
        <v>0</v>
      </c>
      <c r="BZ41" s="163">
        <f t="shared" si="472"/>
        <v>46204</v>
      </c>
      <c r="CA41" s="163">
        <f t="shared" si="473"/>
        <v>46234</v>
      </c>
      <c r="CB41" s="167">
        <f t="shared" si="474"/>
        <v>0</v>
      </c>
      <c r="CC41" s="163">
        <f t="shared" si="475"/>
        <v>46235</v>
      </c>
      <c r="CD41" s="163">
        <f t="shared" si="476"/>
        <v>46265</v>
      </c>
      <c r="CE41" s="167">
        <f t="shared" si="477"/>
        <v>0</v>
      </c>
      <c r="CF41" s="163">
        <f t="shared" si="478"/>
        <v>46266</v>
      </c>
      <c r="CG41" s="163">
        <f t="shared" si="479"/>
        <v>46295</v>
      </c>
      <c r="CH41" s="167">
        <f t="shared" si="480"/>
        <v>0</v>
      </c>
      <c r="CI41" s="163">
        <f t="shared" si="481"/>
        <v>46296</v>
      </c>
      <c r="CJ41" s="163">
        <f t="shared" si="482"/>
        <v>46326</v>
      </c>
      <c r="CK41" s="167">
        <f t="shared" si="483"/>
        <v>0</v>
      </c>
      <c r="CL41" s="163">
        <f t="shared" si="484"/>
        <v>46327</v>
      </c>
      <c r="CM41" s="163">
        <f t="shared" si="485"/>
        <v>46356</v>
      </c>
      <c r="CN41" s="167">
        <f t="shared" si="486"/>
        <v>0</v>
      </c>
      <c r="CO41" s="163">
        <f t="shared" si="487"/>
        <v>46357</v>
      </c>
      <c r="CP41" s="163">
        <f t="shared" si="488"/>
        <v>46387</v>
      </c>
      <c r="CQ41" s="167">
        <f t="shared" si="489"/>
        <v>0</v>
      </c>
    </row>
    <row r="42" s="89" customFormat="1" ht="24" hidden="1" customHeight="1" outlineLevel="4" spans="1:95">
      <c r="A42" s="128"/>
      <c r="B42" s="129"/>
      <c r="C42" s="130"/>
      <c r="D42" s="128"/>
      <c r="E42" s="129"/>
      <c r="F42" s="129"/>
      <c r="G42" s="129"/>
      <c r="H42" s="131"/>
      <c r="I42" s="131"/>
      <c r="J42" s="131">
        <f t="shared" si="5"/>
        <v>0</v>
      </c>
      <c r="K42" s="131">
        <f t="shared" si="490"/>
        <v>3</v>
      </c>
      <c r="L42" s="156"/>
      <c r="M42" s="157">
        <f>IFERROR(VLOOKUP($L42,'2-2 引出数据_合同数据仓库'!$B$5:$BP$200,3,FALSE),0)</f>
        <v>0</v>
      </c>
      <c r="N42" s="131"/>
      <c r="O42" s="157">
        <f>IFERROR(VLOOKUP((LEFT(VLOOKUP($L42,'2-2 引出数据_合同数据仓库'!$B$5:$BP$200,64,FALSE),15)&amp;(RIGHT(VLOOKUP($L42,'2-2 引出数据_合同数据仓库'!$B$5:$BP$200,64,FALSE),4)+1)),'2-2 引出数据_合同数据仓库'!$B$5:$BP$200,3,FALSE),0)</f>
        <v>0</v>
      </c>
      <c r="P42" s="131"/>
      <c r="Q42" s="131">
        <f>IFERROR(VLOOKUP($L42,'2-2 引出数据_合同数据仓库'!$B$5:$BP$200,28,FALSE),0)</f>
        <v>0</v>
      </c>
      <c r="R42" s="131">
        <f>IFERROR(VLOOKUP($L42,'2-2 引出数据_合同数据仓库'!$B$5:$BP$200,29,FALSE),0)</f>
        <v>0</v>
      </c>
      <c r="S42" s="131">
        <f>IFERROR(VLOOKUP($L42,'2-2 引出数据_合同数据仓库'!$B$5:$BP$200,4,FALSE),0)</f>
        <v>0</v>
      </c>
      <c r="T42" s="131"/>
      <c r="U42" s="131">
        <f>IFERROR(VLOOKUP($L42,'2-2 引出数据_合同数据仓库'!$B$5:$BP$200,15,FALSE),0)</f>
        <v>0</v>
      </c>
      <c r="V42" s="131">
        <f t="shared" si="419"/>
        <v>0</v>
      </c>
      <c r="W42" s="131"/>
      <c r="X42" s="163">
        <v>45658</v>
      </c>
      <c r="Y42" s="163">
        <f t="shared" si="420"/>
        <v>45688</v>
      </c>
      <c r="Z42" s="167">
        <f t="shared" si="421"/>
        <v>0</v>
      </c>
      <c r="AA42" s="163">
        <f t="shared" si="422"/>
        <v>45689</v>
      </c>
      <c r="AB42" s="163">
        <f t="shared" si="423"/>
        <v>45716</v>
      </c>
      <c r="AC42" s="167">
        <f t="shared" si="424"/>
        <v>0</v>
      </c>
      <c r="AD42" s="163">
        <f t="shared" si="425"/>
        <v>45717</v>
      </c>
      <c r="AE42" s="163">
        <f t="shared" si="426"/>
        <v>45747</v>
      </c>
      <c r="AF42" s="167">
        <f t="shared" si="427"/>
        <v>0</v>
      </c>
      <c r="AG42" s="163">
        <f t="shared" si="428"/>
        <v>45748</v>
      </c>
      <c r="AH42" s="163">
        <f t="shared" si="429"/>
        <v>45777</v>
      </c>
      <c r="AI42" s="167">
        <f t="shared" si="430"/>
        <v>0</v>
      </c>
      <c r="AJ42" s="163">
        <f t="shared" si="431"/>
        <v>45778</v>
      </c>
      <c r="AK42" s="163">
        <f t="shared" si="432"/>
        <v>45808</v>
      </c>
      <c r="AL42" s="167">
        <f t="shared" si="433"/>
        <v>0</v>
      </c>
      <c r="AM42" s="163">
        <f t="shared" si="434"/>
        <v>45809</v>
      </c>
      <c r="AN42" s="163">
        <f t="shared" si="435"/>
        <v>45838</v>
      </c>
      <c r="AO42" s="167">
        <f t="shared" si="436"/>
        <v>0</v>
      </c>
      <c r="AP42" s="163">
        <f t="shared" si="437"/>
        <v>45839</v>
      </c>
      <c r="AQ42" s="163">
        <f t="shared" si="438"/>
        <v>45869</v>
      </c>
      <c r="AR42" s="167">
        <f t="shared" si="439"/>
        <v>0</v>
      </c>
      <c r="AS42" s="163">
        <f t="shared" si="440"/>
        <v>45870</v>
      </c>
      <c r="AT42" s="163">
        <f t="shared" si="441"/>
        <v>45900</v>
      </c>
      <c r="AU42" s="167">
        <f t="shared" si="442"/>
        <v>0</v>
      </c>
      <c r="AV42" s="163">
        <f t="shared" si="443"/>
        <v>45901</v>
      </c>
      <c r="AW42" s="163">
        <f t="shared" si="444"/>
        <v>45930</v>
      </c>
      <c r="AX42" s="167">
        <f t="shared" si="445"/>
        <v>0</v>
      </c>
      <c r="AY42" s="163">
        <f t="shared" si="446"/>
        <v>45931</v>
      </c>
      <c r="AZ42" s="163">
        <f t="shared" si="447"/>
        <v>45961</v>
      </c>
      <c r="BA42" s="167">
        <f t="shared" si="448"/>
        <v>0</v>
      </c>
      <c r="BB42" s="163">
        <f t="shared" si="449"/>
        <v>45962</v>
      </c>
      <c r="BC42" s="163">
        <f t="shared" si="450"/>
        <v>45991</v>
      </c>
      <c r="BD42" s="167">
        <f t="shared" si="451"/>
        <v>0</v>
      </c>
      <c r="BE42" s="163">
        <f t="shared" si="452"/>
        <v>45992</v>
      </c>
      <c r="BF42" s="163">
        <f t="shared" si="453"/>
        <v>46022</v>
      </c>
      <c r="BG42" s="167">
        <f t="shared" si="454"/>
        <v>0</v>
      </c>
      <c r="BH42" s="163">
        <v>46023</v>
      </c>
      <c r="BI42" s="163">
        <f t="shared" si="455"/>
        <v>46053</v>
      </c>
      <c r="BJ42" s="167">
        <f t="shared" si="456"/>
        <v>0</v>
      </c>
      <c r="BK42" s="163">
        <f t="shared" si="457"/>
        <v>46054</v>
      </c>
      <c r="BL42" s="163">
        <f t="shared" si="458"/>
        <v>46081</v>
      </c>
      <c r="BM42" s="167">
        <f t="shared" si="459"/>
        <v>0</v>
      </c>
      <c r="BN42" s="163">
        <f t="shared" si="460"/>
        <v>46082</v>
      </c>
      <c r="BO42" s="163">
        <f t="shared" si="461"/>
        <v>46112</v>
      </c>
      <c r="BP42" s="167">
        <f t="shared" si="462"/>
        <v>0</v>
      </c>
      <c r="BQ42" s="163">
        <f t="shared" si="463"/>
        <v>46113</v>
      </c>
      <c r="BR42" s="163">
        <f t="shared" si="464"/>
        <v>46142</v>
      </c>
      <c r="BS42" s="167">
        <f t="shared" si="465"/>
        <v>0</v>
      </c>
      <c r="BT42" s="163">
        <f t="shared" si="466"/>
        <v>46143</v>
      </c>
      <c r="BU42" s="163">
        <f t="shared" si="467"/>
        <v>46173</v>
      </c>
      <c r="BV42" s="167">
        <f t="shared" si="468"/>
        <v>0</v>
      </c>
      <c r="BW42" s="163">
        <f t="shared" si="469"/>
        <v>46174</v>
      </c>
      <c r="BX42" s="163">
        <f t="shared" si="470"/>
        <v>46203</v>
      </c>
      <c r="BY42" s="167">
        <f t="shared" si="471"/>
        <v>0</v>
      </c>
      <c r="BZ42" s="163">
        <f t="shared" si="472"/>
        <v>46204</v>
      </c>
      <c r="CA42" s="163">
        <f t="shared" si="473"/>
        <v>46234</v>
      </c>
      <c r="CB42" s="167">
        <f t="shared" si="474"/>
        <v>0</v>
      </c>
      <c r="CC42" s="163">
        <f t="shared" si="475"/>
        <v>46235</v>
      </c>
      <c r="CD42" s="163">
        <f t="shared" si="476"/>
        <v>46265</v>
      </c>
      <c r="CE42" s="167">
        <f t="shared" si="477"/>
        <v>0</v>
      </c>
      <c r="CF42" s="163">
        <f t="shared" si="478"/>
        <v>46266</v>
      </c>
      <c r="CG42" s="163">
        <f t="shared" si="479"/>
        <v>46295</v>
      </c>
      <c r="CH42" s="167">
        <f t="shared" si="480"/>
        <v>0</v>
      </c>
      <c r="CI42" s="163">
        <f t="shared" si="481"/>
        <v>46296</v>
      </c>
      <c r="CJ42" s="163">
        <f t="shared" si="482"/>
        <v>46326</v>
      </c>
      <c r="CK42" s="167">
        <f t="shared" si="483"/>
        <v>0</v>
      </c>
      <c r="CL42" s="163">
        <f t="shared" si="484"/>
        <v>46327</v>
      </c>
      <c r="CM42" s="163">
        <f t="shared" si="485"/>
        <v>46356</v>
      </c>
      <c r="CN42" s="167">
        <f t="shared" si="486"/>
        <v>0</v>
      </c>
      <c r="CO42" s="163">
        <f t="shared" si="487"/>
        <v>46357</v>
      </c>
      <c r="CP42" s="163">
        <f t="shared" si="488"/>
        <v>46387</v>
      </c>
      <c r="CQ42" s="167">
        <f t="shared" si="489"/>
        <v>0</v>
      </c>
    </row>
    <row r="43" s="89" customFormat="1" ht="24" hidden="1" customHeight="1" outlineLevel="4" spans="1:95">
      <c r="A43" s="128"/>
      <c r="B43" s="129"/>
      <c r="C43" s="130"/>
      <c r="D43" s="128"/>
      <c r="E43" s="129"/>
      <c r="F43" s="129"/>
      <c r="G43" s="129"/>
      <c r="H43" s="131"/>
      <c r="I43" s="131"/>
      <c r="J43" s="131">
        <f t="shared" si="5"/>
        <v>0</v>
      </c>
      <c r="K43" s="131">
        <f t="shared" si="490"/>
        <v>4</v>
      </c>
      <c r="L43" s="156"/>
      <c r="M43" s="157">
        <f>IFERROR(VLOOKUP($L43,'2-2 引出数据_合同数据仓库'!$B$5:$BP$200,3,FALSE),0)</f>
        <v>0</v>
      </c>
      <c r="N43" s="131"/>
      <c r="O43" s="157">
        <f>IFERROR(VLOOKUP((LEFT(VLOOKUP($L43,'2-2 引出数据_合同数据仓库'!$B$5:$BP$200,64,FALSE),15)&amp;(RIGHT(VLOOKUP($L43,'2-2 引出数据_合同数据仓库'!$B$5:$BP$200,64,FALSE),4)+1)),'2-2 引出数据_合同数据仓库'!$B$5:$BP$200,3,FALSE),0)</f>
        <v>0</v>
      </c>
      <c r="P43" s="131"/>
      <c r="Q43" s="131">
        <f>IFERROR(VLOOKUP($L43,'2-2 引出数据_合同数据仓库'!$B$5:$BP$200,28,FALSE),0)</f>
        <v>0</v>
      </c>
      <c r="R43" s="131">
        <f>IFERROR(VLOOKUP($L43,'2-2 引出数据_合同数据仓库'!$B$5:$BP$200,29,FALSE),0)</f>
        <v>0</v>
      </c>
      <c r="S43" s="131">
        <f>IFERROR(VLOOKUP($L43,'2-2 引出数据_合同数据仓库'!$B$5:$BP$200,4,FALSE),0)</f>
        <v>0</v>
      </c>
      <c r="T43" s="131"/>
      <c r="U43" s="131">
        <f>IFERROR(VLOOKUP($L43,'2-2 引出数据_合同数据仓库'!$B$5:$BP$200,15,FALSE),0)</f>
        <v>0</v>
      </c>
      <c r="V43" s="131">
        <f t="shared" si="419"/>
        <v>0</v>
      </c>
      <c r="W43" s="131"/>
      <c r="X43" s="163">
        <v>45658</v>
      </c>
      <c r="Y43" s="163">
        <f t="shared" si="420"/>
        <v>45688</v>
      </c>
      <c r="Z43" s="167">
        <f t="shared" si="421"/>
        <v>0</v>
      </c>
      <c r="AA43" s="163">
        <f t="shared" si="422"/>
        <v>45689</v>
      </c>
      <c r="AB43" s="163">
        <f t="shared" si="423"/>
        <v>45716</v>
      </c>
      <c r="AC43" s="167">
        <f t="shared" si="424"/>
        <v>0</v>
      </c>
      <c r="AD43" s="163">
        <f t="shared" si="425"/>
        <v>45717</v>
      </c>
      <c r="AE43" s="163">
        <f t="shared" si="426"/>
        <v>45747</v>
      </c>
      <c r="AF43" s="167">
        <f t="shared" si="427"/>
        <v>0</v>
      </c>
      <c r="AG43" s="163">
        <f t="shared" si="428"/>
        <v>45748</v>
      </c>
      <c r="AH43" s="163">
        <f t="shared" si="429"/>
        <v>45777</v>
      </c>
      <c r="AI43" s="167">
        <f t="shared" si="430"/>
        <v>0</v>
      </c>
      <c r="AJ43" s="163">
        <f t="shared" si="431"/>
        <v>45778</v>
      </c>
      <c r="AK43" s="163">
        <f t="shared" si="432"/>
        <v>45808</v>
      </c>
      <c r="AL43" s="167">
        <f t="shared" si="433"/>
        <v>0</v>
      </c>
      <c r="AM43" s="163">
        <f t="shared" si="434"/>
        <v>45809</v>
      </c>
      <c r="AN43" s="163">
        <f t="shared" si="435"/>
        <v>45838</v>
      </c>
      <c r="AO43" s="167">
        <f t="shared" si="436"/>
        <v>0</v>
      </c>
      <c r="AP43" s="163">
        <f t="shared" si="437"/>
        <v>45839</v>
      </c>
      <c r="AQ43" s="163">
        <f t="shared" si="438"/>
        <v>45869</v>
      </c>
      <c r="AR43" s="167">
        <f t="shared" si="439"/>
        <v>0</v>
      </c>
      <c r="AS43" s="163">
        <f t="shared" si="440"/>
        <v>45870</v>
      </c>
      <c r="AT43" s="163">
        <f t="shared" si="441"/>
        <v>45900</v>
      </c>
      <c r="AU43" s="167">
        <f t="shared" si="442"/>
        <v>0</v>
      </c>
      <c r="AV43" s="163">
        <f t="shared" si="443"/>
        <v>45901</v>
      </c>
      <c r="AW43" s="163">
        <f t="shared" si="444"/>
        <v>45930</v>
      </c>
      <c r="AX43" s="167">
        <f t="shared" si="445"/>
        <v>0</v>
      </c>
      <c r="AY43" s="163">
        <f t="shared" si="446"/>
        <v>45931</v>
      </c>
      <c r="AZ43" s="163">
        <f t="shared" si="447"/>
        <v>45961</v>
      </c>
      <c r="BA43" s="167">
        <f t="shared" si="448"/>
        <v>0</v>
      </c>
      <c r="BB43" s="163">
        <f t="shared" si="449"/>
        <v>45962</v>
      </c>
      <c r="BC43" s="163">
        <f t="shared" si="450"/>
        <v>45991</v>
      </c>
      <c r="BD43" s="167">
        <f t="shared" si="451"/>
        <v>0</v>
      </c>
      <c r="BE43" s="163">
        <f t="shared" si="452"/>
        <v>45992</v>
      </c>
      <c r="BF43" s="163">
        <f t="shared" si="453"/>
        <v>46022</v>
      </c>
      <c r="BG43" s="167">
        <f t="shared" si="454"/>
        <v>0</v>
      </c>
      <c r="BH43" s="163">
        <v>46023</v>
      </c>
      <c r="BI43" s="163">
        <f t="shared" si="455"/>
        <v>46053</v>
      </c>
      <c r="BJ43" s="167">
        <f t="shared" si="456"/>
        <v>0</v>
      </c>
      <c r="BK43" s="163">
        <f t="shared" si="457"/>
        <v>46054</v>
      </c>
      <c r="BL43" s="163">
        <f t="shared" si="458"/>
        <v>46081</v>
      </c>
      <c r="BM43" s="167">
        <f t="shared" si="459"/>
        <v>0</v>
      </c>
      <c r="BN43" s="163">
        <f t="shared" si="460"/>
        <v>46082</v>
      </c>
      <c r="BO43" s="163">
        <f t="shared" si="461"/>
        <v>46112</v>
      </c>
      <c r="BP43" s="167">
        <f t="shared" si="462"/>
        <v>0</v>
      </c>
      <c r="BQ43" s="163">
        <f t="shared" si="463"/>
        <v>46113</v>
      </c>
      <c r="BR43" s="163">
        <f t="shared" si="464"/>
        <v>46142</v>
      </c>
      <c r="BS43" s="167">
        <f t="shared" si="465"/>
        <v>0</v>
      </c>
      <c r="BT43" s="163">
        <f t="shared" si="466"/>
        <v>46143</v>
      </c>
      <c r="BU43" s="163">
        <f t="shared" si="467"/>
        <v>46173</v>
      </c>
      <c r="BV43" s="167">
        <f t="shared" si="468"/>
        <v>0</v>
      </c>
      <c r="BW43" s="163">
        <f t="shared" si="469"/>
        <v>46174</v>
      </c>
      <c r="BX43" s="163">
        <f t="shared" si="470"/>
        <v>46203</v>
      </c>
      <c r="BY43" s="167">
        <f t="shared" si="471"/>
        <v>0</v>
      </c>
      <c r="BZ43" s="163">
        <f t="shared" si="472"/>
        <v>46204</v>
      </c>
      <c r="CA43" s="163">
        <f t="shared" si="473"/>
        <v>46234</v>
      </c>
      <c r="CB43" s="167">
        <f t="shared" si="474"/>
        <v>0</v>
      </c>
      <c r="CC43" s="163">
        <f t="shared" si="475"/>
        <v>46235</v>
      </c>
      <c r="CD43" s="163">
        <f t="shared" si="476"/>
        <v>46265</v>
      </c>
      <c r="CE43" s="167">
        <f t="shared" si="477"/>
        <v>0</v>
      </c>
      <c r="CF43" s="163">
        <f t="shared" si="478"/>
        <v>46266</v>
      </c>
      <c r="CG43" s="163">
        <f t="shared" si="479"/>
        <v>46295</v>
      </c>
      <c r="CH43" s="167">
        <f t="shared" si="480"/>
        <v>0</v>
      </c>
      <c r="CI43" s="163">
        <f t="shared" si="481"/>
        <v>46296</v>
      </c>
      <c r="CJ43" s="163">
        <f t="shared" si="482"/>
        <v>46326</v>
      </c>
      <c r="CK43" s="167">
        <f t="shared" si="483"/>
        <v>0</v>
      </c>
      <c r="CL43" s="163">
        <f t="shared" si="484"/>
        <v>46327</v>
      </c>
      <c r="CM43" s="163">
        <f t="shared" si="485"/>
        <v>46356</v>
      </c>
      <c r="CN43" s="167">
        <f t="shared" si="486"/>
        <v>0</v>
      </c>
      <c r="CO43" s="163">
        <f t="shared" si="487"/>
        <v>46357</v>
      </c>
      <c r="CP43" s="163">
        <f t="shared" si="488"/>
        <v>46387</v>
      </c>
      <c r="CQ43" s="167">
        <f t="shared" si="489"/>
        <v>0</v>
      </c>
    </row>
    <row r="44" s="89" customFormat="1" ht="24" hidden="1" customHeight="1" outlineLevel="4" spans="1:95">
      <c r="A44" s="132" t="s">
        <v>2813</v>
      </c>
      <c r="B44" s="133"/>
      <c r="C44" s="133"/>
      <c r="D44" s="133"/>
      <c r="E44" s="133"/>
      <c r="F44" s="133"/>
      <c r="G44" s="134"/>
      <c r="H44" s="135"/>
      <c r="I44" s="135"/>
      <c r="J44" s="135"/>
      <c r="K44" s="135"/>
      <c r="L44" s="158"/>
      <c r="M44" s="158"/>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c r="CL44" s="135"/>
      <c r="CM44" s="135"/>
      <c r="CN44" s="135"/>
      <c r="CO44" s="135"/>
      <c r="CP44" s="135"/>
      <c r="CQ44" s="135"/>
    </row>
    <row r="45" s="89" customFormat="1" ht="24" customHeight="1" outlineLevel="2" collapsed="1" spans="1:95">
      <c r="A45" s="43"/>
      <c r="B45" s="121" t="s">
        <v>787</v>
      </c>
      <c r="C45" s="122" t="s">
        <v>875</v>
      </c>
      <c r="D45" s="43" t="s">
        <v>876</v>
      </c>
      <c r="E45" s="121"/>
      <c r="F45" s="121"/>
      <c r="G45" s="121"/>
      <c r="H45" s="123">
        <f>X45+AA45+AD45+AG45+AJ45+AM45+AP45+AS45+AV45+AY45+BB45+BE45</f>
        <v>6881089.49433962</v>
      </c>
      <c r="I45" s="123">
        <f>Y45+AB45+AE45+AH45+AK45+AN45+AQ45+AT45+AW45+AZ45+BC45+BF45</f>
        <v>2024094.25520919</v>
      </c>
      <c r="J45" s="123">
        <f t="shared" si="5"/>
        <v>4856995.23913043</v>
      </c>
      <c r="K45" s="123"/>
      <c r="L45" s="154"/>
      <c r="M45" s="154"/>
      <c r="N45" s="123"/>
      <c r="O45" s="123"/>
      <c r="P45" s="123"/>
      <c r="Q45" s="123"/>
      <c r="R45" s="123"/>
      <c r="S45" s="123"/>
      <c r="T45" s="123"/>
      <c r="U45" s="123"/>
      <c r="V45" s="123"/>
      <c r="W45" s="123"/>
      <c r="X45" s="123">
        <f>VLOOKUP($C45,'1 预算编制表单'!$C:$BJ,27,FALSE)</f>
        <v>673168.457861635</v>
      </c>
      <c r="Y45" s="123">
        <f>X45-Z45</f>
        <v>673168.457861635</v>
      </c>
      <c r="Z45" s="123">
        <f>Z46+Z52+Z58+Z64</f>
        <v>0</v>
      </c>
      <c r="AA45" s="123">
        <f>VLOOKUP($C45,'1 预算编制表单'!$C:$BJ,30,FALSE)</f>
        <v>564356.457861635</v>
      </c>
      <c r="AB45" s="123">
        <f>AA45-AC45</f>
        <v>564356.457861635</v>
      </c>
      <c r="AC45" s="123">
        <f>AC46+AC52+AC58+AC64</f>
        <v>0</v>
      </c>
      <c r="AD45" s="123">
        <f>VLOOKUP($C45,'1 预算编制表单'!$C:$BJ,33,FALSE)</f>
        <v>564356.457861635</v>
      </c>
      <c r="AE45" s="123">
        <f>AD45-AF45</f>
        <v>564356.457861635</v>
      </c>
      <c r="AF45" s="123">
        <f>AF46+AF52+AF58+AF64</f>
        <v>0</v>
      </c>
      <c r="AG45" s="123">
        <f>VLOOKUP($C45,'1 预算编制表单'!$C:$BJ,36,FALSE)</f>
        <v>564356.457861635</v>
      </c>
      <c r="AH45" s="123">
        <f>AG45-AI45</f>
        <v>34502.431774679</v>
      </c>
      <c r="AI45" s="123">
        <f>AI46+AI52+AI58+AI64</f>
        <v>529854.026086956</v>
      </c>
      <c r="AJ45" s="123">
        <f>VLOOKUP($C45,'1 预算编制表单'!$C:$BJ,39,FALSE)</f>
        <v>564356.457861635</v>
      </c>
      <c r="AK45" s="123">
        <f>AJ45-AL45</f>
        <v>16840.6309051131</v>
      </c>
      <c r="AL45" s="123">
        <f>AL46+AL52+AL58+AL64</f>
        <v>547515.826956522</v>
      </c>
      <c r="AM45" s="123">
        <f>VLOOKUP($C45,'1 预算编制表单'!$C:$BJ,42,FALSE)</f>
        <v>564356.457861635</v>
      </c>
      <c r="AN45" s="123">
        <f>AM45-AO45</f>
        <v>34502.431774679</v>
      </c>
      <c r="AO45" s="123">
        <f>AO46+AO52+AO58+AO64</f>
        <v>529854.026086956</v>
      </c>
      <c r="AP45" s="123">
        <f>VLOOKUP($C45,'1 预算编制表单'!$C:$BJ,45,FALSE)</f>
        <v>564356.457861635</v>
      </c>
      <c r="AQ45" s="123">
        <f>AP45-AR45</f>
        <v>16840.6309051131</v>
      </c>
      <c r="AR45" s="123">
        <f>AR46+AR52+AR58+AR64</f>
        <v>547515.826956522</v>
      </c>
      <c r="AS45" s="123">
        <f>VLOOKUP($C45,'1 预算编制表单'!$C:$BJ,48,FALSE)</f>
        <v>564356.457861635</v>
      </c>
      <c r="AT45" s="123">
        <f>AS45-AU45</f>
        <v>16840.6309051131</v>
      </c>
      <c r="AU45" s="123">
        <f>AU46+AU52+AU58+AU64</f>
        <v>547515.826956522</v>
      </c>
      <c r="AV45" s="123">
        <f>VLOOKUP($C45,'1 预算编制表单'!$C:$BJ,51,FALSE)</f>
        <v>564356.457861635</v>
      </c>
      <c r="AW45" s="123">
        <f>AV45-AX45</f>
        <v>34502.431774679</v>
      </c>
      <c r="AX45" s="123">
        <f>AX46+AX52+AX58+AX64</f>
        <v>529854.026086956</v>
      </c>
      <c r="AY45" s="123">
        <f>VLOOKUP($C45,'1 预算编制表单'!$C:$BJ,54,FALSE)</f>
        <v>564356.457861635</v>
      </c>
      <c r="AZ45" s="123">
        <f>AY45-BA45</f>
        <v>16840.6309051131</v>
      </c>
      <c r="BA45" s="123">
        <f>BA46+BA52+BA58+BA64</f>
        <v>547515.826956522</v>
      </c>
      <c r="BB45" s="123">
        <f>VLOOKUP($C45,'1 预算编制表单'!$C:$BJ,57,FALSE)</f>
        <v>564356.457861635</v>
      </c>
      <c r="BC45" s="123">
        <f>BB45-BD45</f>
        <v>34502.431774679</v>
      </c>
      <c r="BD45" s="123">
        <f>BD46+BD52+BD58+BD64</f>
        <v>529854.026086956</v>
      </c>
      <c r="BE45" s="123">
        <f>VLOOKUP($C45,'1 预算编制表单'!$C:$BJ,60,FALSE)</f>
        <v>564356.457861635</v>
      </c>
      <c r="BF45" s="123">
        <f>BE45-BG45</f>
        <v>16840.6309051131</v>
      </c>
      <c r="BG45" s="123">
        <f>BG46+BG52+BG58+BG64</f>
        <v>547515.826956522</v>
      </c>
      <c r="BH45" s="123">
        <f>VLOOKUP($C45,'1 预算编制表单'!$C:$BJ,27,FALSE)</f>
        <v>673168.457861635</v>
      </c>
      <c r="BI45" s="123">
        <f>BH45-BJ45</f>
        <v>673168.457861635</v>
      </c>
      <c r="BJ45" s="123">
        <f>BJ46+BJ52+BJ58+BJ64</f>
        <v>0</v>
      </c>
      <c r="BK45" s="123">
        <f>VLOOKUP($C45,'1 预算编制表单'!$C:$BJ,30,FALSE)</f>
        <v>564356.457861635</v>
      </c>
      <c r="BL45" s="123">
        <f>BK45-BM45</f>
        <v>564356.457861635</v>
      </c>
      <c r="BM45" s="123">
        <f>BM46+BM52+BM58+BM64</f>
        <v>0</v>
      </c>
      <c r="BN45" s="123">
        <f>VLOOKUP($C45,'1 预算编制表单'!$C:$BJ,33,FALSE)</f>
        <v>564356.457861635</v>
      </c>
      <c r="BO45" s="123">
        <f>BN45-BP45</f>
        <v>564356.457861635</v>
      </c>
      <c r="BP45" s="123">
        <f>BP46+BP52+BP58+BP64</f>
        <v>0</v>
      </c>
      <c r="BQ45" s="123">
        <f>VLOOKUP($C45,'1 预算编制表单'!$C:$BJ,36,FALSE)</f>
        <v>564356.457861635</v>
      </c>
      <c r="BR45" s="123">
        <f>BQ45-BS45</f>
        <v>564356.457861635</v>
      </c>
      <c r="BS45" s="123">
        <f>BS46+BS52+BS58+BS64</f>
        <v>0</v>
      </c>
      <c r="BT45" s="123">
        <f>VLOOKUP($C45,'1 预算编制表单'!$C:$BJ,39,FALSE)</f>
        <v>564356.457861635</v>
      </c>
      <c r="BU45" s="123">
        <f>BT45-BV45</f>
        <v>564356.457861635</v>
      </c>
      <c r="BV45" s="123">
        <f>BV46+BV52+BV58+BV64</f>
        <v>0</v>
      </c>
      <c r="BW45" s="123">
        <f>VLOOKUP($C45,'1 预算编制表单'!$C:$BJ,42,FALSE)</f>
        <v>564356.457861635</v>
      </c>
      <c r="BX45" s="123">
        <f>BW45-BY45</f>
        <v>564356.457861635</v>
      </c>
      <c r="BY45" s="123">
        <f>BY46+BY52+BY58+BY64</f>
        <v>0</v>
      </c>
      <c r="BZ45" s="123">
        <f>VLOOKUP($C45,'1 预算编制表单'!$C:$BJ,45,FALSE)</f>
        <v>564356.457861635</v>
      </c>
      <c r="CA45" s="123">
        <f>BZ45-CB45</f>
        <v>564356.457861635</v>
      </c>
      <c r="CB45" s="123">
        <f>CB46+CB52+CB58+CB64</f>
        <v>0</v>
      </c>
      <c r="CC45" s="123">
        <f>VLOOKUP($C45,'1 预算编制表单'!$C:$BJ,48,FALSE)</f>
        <v>564356.457861635</v>
      </c>
      <c r="CD45" s="123">
        <f>CC45-CE45</f>
        <v>564356.457861635</v>
      </c>
      <c r="CE45" s="123">
        <f>CE46+CE52+CE58+CE64</f>
        <v>0</v>
      </c>
      <c r="CF45" s="123">
        <f>VLOOKUP($C45,'1 预算编制表单'!$C:$BJ,51,FALSE)</f>
        <v>564356.457861635</v>
      </c>
      <c r="CG45" s="123">
        <f>CF45-CH45</f>
        <v>564356.457861635</v>
      </c>
      <c r="CH45" s="123">
        <f>CH46+CH52+CH58+CH64</f>
        <v>0</v>
      </c>
      <c r="CI45" s="123">
        <f>VLOOKUP($C45,'1 预算编制表单'!$C:$BJ,54,FALSE)</f>
        <v>564356.457861635</v>
      </c>
      <c r="CJ45" s="123">
        <f>CI45-CK45</f>
        <v>564356.457861635</v>
      </c>
      <c r="CK45" s="123">
        <f>CK46+CK52+CK58+CK64</f>
        <v>0</v>
      </c>
      <c r="CL45" s="123">
        <f>VLOOKUP($C45,'1 预算编制表单'!$C:$BJ,57,FALSE)</f>
        <v>564356.457861635</v>
      </c>
      <c r="CM45" s="123">
        <f>CL45-CN45</f>
        <v>564356.457861635</v>
      </c>
      <c r="CN45" s="123">
        <f>CN46+CN52+CN58+CN64</f>
        <v>0</v>
      </c>
      <c r="CO45" s="123">
        <f>VLOOKUP($C45,'1 预算编制表单'!$C:$BJ,60,FALSE)</f>
        <v>564356.457861635</v>
      </c>
      <c r="CP45" s="123">
        <f>CO45-CQ45</f>
        <v>564356.457861635</v>
      </c>
      <c r="CQ45" s="123">
        <f>CQ46+CQ52+CQ58+CQ64</f>
        <v>0</v>
      </c>
    </row>
    <row r="46" s="89" customFormat="1" ht="24" hidden="1" customHeight="1" outlineLevel="3" collapsed="1" spans="1:95">
      <c r="A46" s="124"/>
      <c r="B46" s="125" t="s">
        <v>792</v>
      </c>
      <c r="C46" s="126" t="s">
        <v>115</v>
      </c>
      <c r="D46" s="124" t="s">
        <v>109</v>
      </c>
      <c r="E46" s="125"/>
      <c r="F46" s="125"/>
      <c r="G46" s="125"/>
      <c r="H46" s="127">
        <f>X46+AA46+AD46+AG46+AJ46+AM46+AP46+AS46+AV46+AY46+BB46+BE46</f>
        <v>1037780</v>
      </c>
      <c r="I46" s="127">
        <f>Y46+AB46+AE46+AH46+AK46+AN46+AQ46+AT46+AW46+AZ46+BC46+BF46</f>
        <v>1037780</v>
      </c>
      <c r="J46" s="127">
        <f t="shared" si="5"/>
        <v>0</v>
      </c>
      <c r="K46" s="127"/>
      <c r="L46" s="155"/>
      <c r="M46" s="155"/>
      <c r="N46" s="127"/>
      <c r="O46" s="127"/>
      <c r="P46" s="127"/>
      <c r="Q46" s="127"/>
      <c r="R46" s="127"/>
      <c r="S46" s="127"/>
      <c r="T46" s="127"/>
      <c r="U46" s="127"/>
      <c r="V46" s="127"/>
      <c r="W46" s="127"/>
      <c r="X46" s="127">
        <f>VLOOKUP($C46,'1 预算编制表单'!$C:$BJ,27,FALSE)</f>
        <v>186226</v>
      </c>
      <c r="Y46" s="127">
        <f>X46-Z46</f>
        <v>186226</v>
      </c>
      <c r="Z46" s="127">
        <f>SUM(Z47:Z51)</f>
        <v>0</v>
      </c>
      <c r="AA46" s="127">
        <f>VLOOKUP($C46,'1 预算编制表单'!$C:$BJ,30,FALSE)</f>
        <v>77414</v>
      </c>
      <c r="AB46" s="127">
        <f>AA46-AC46</f>
        <v>77414</v>
      </c>
      <c r="AC46" s="127">
        <f>SUM(AC47:AC51)</f>
        <v>0</v>
      </c>
      <c r="AD46" s="127">
        <f>VLOOKUP($C46,'1 预算编制表单'!$C:$BJ,33,FALSE)</f>
        <v>77414</v>
      </c>
      <c r="AE46" s="127">
        <f>AD46-AF46</f>
        <v>77414</v>
      </c>
      <c r="AF46" s="127">
        <f>SUM(AF47:AF51)</f>
        <v>0</v>
      </c>
      <c r="AG46" s="127">
        <f>VLOOKUP($C46,'1 预算编制表单'!$C:$BJ,36,FALSE)</f>
        <v>77414</v>
      </c>
      <c r="AH46" s="127">
        <f>AG46-AI46</f>
        <v>77414</v>
      </c>
      <c r="AI46" s="127">
        <f>SUM(AI47:AI51)</f>
        <v>0</v>
      </c>
      <c r="AJ46" s="127">
        <f>VLOOKUP($C46,'1 预算编制表单'!$C:$BJ,39,FALSE)</f>
        <v>77414</v>
      </c>
      <c r="AK46" s="127">
        <f>AJ46-AL46</f>
        <v>77414</v>
      </c>
      <c r="AL46" s="127">
        <f>SUM(AL47:AL51)</f>
        <v>0</v>
      </c>
      <c r="AM46" s="127">
        <f>VLOOKUP($C46,'1 预算编制表单'!$C:$BJ,42,FALSE)</f>
        <v>77414</v>
      </c>
      <c r="AN46" s="127">
        <f>AM46-AO46</f>
        <v>77414</v>
      </c>
      <c r="AO46" s="127">
        <f>SUM(AO47:AO51)</f>
        <v>0</v>
      </c>
      <c r="AP46" s="127">
        <f>VLOOKUP($C46,'1 预算编制表单'!$C:$BJ,45,FALSE)</f>
        <v>77414</v>
      </c>
      <c r="AQ46" s="127">
        <f>AP46-AR46</f>
        <v>77414</v>
      </c>
      <c r="AR46" s="127">
        <f>SUM(AR47:AR51)</f>
        <v>0</v>
      </c>
      <c r="AS46" s="127">
        <f>VLOOKUP($C46,'1 预算编制表单'!$C:$BJ,48,FALSE)</f>
        <v>77414</v>
      </c>
      <c r="AT46" s="127">
        <f>AS46-AU46</f>
        <v>77414</v>
      </c>
      <c r="AU46" s="127">
        <f>SUM(AU47:AU51)</f>
        <v>0</v>
      </c>
      <c r="AV46" s="127">
        <f>VLOOKUP($C46,'1 预算编制表单'!$C:$BJ,51,FALSE)</f>
        <v>77414</v>
      </c>
      <c r="AW46" s="127">
        <f>AV46-AX46</f>
        <v>77414</v>
      </c>
      <c r="AX46" s="127">
        <f>SUM(AX47:AX51)</f>
        <v>0</v>
      </c>
      <c r="AY46" s="127">
        <f>VLOOKUP($C46,'1 预算编制表单'!$C:$BJ,54,FALSE)</f>
        <v>77414</v>
      </c>
      <c r="AZ46" s="127">
        <f>AY46-BA46</f>
        <v>77414</v>
      </c>
      <c r="BA46" s="127">
        <f>SUM(BA47:BA51)</f>
        <v>0</v>
      </c>
      <c r="BB46" s="127">
        <f>VLOOKUP($C46,'1 预算编制表单'!$C:$BJ,57,FALSE)</f>
        <v>77414</v>
      </c>
      <c r="BC46" s="127">
        <f>BB46-BD46</f>
        <v>77414</v>
      </c>
      <c r="BD46" s="127">
        <f>SUM(BD47:BD51)</f>
        <v>0</v>
      </c>
      <c r="BE46" s="127">
        <f>VLOOKUP($C46,'1 预算编制表单'!$C:$BJ,60,FALSE)</f>
        <v>77414</v>
      </c>
      <c r="BF46" s="127">
        <f>BE46-BG46</f>
        <v>77414</v>
      </c>
      <c r="BG46" s="127">
        <f>SUM(BG47:BG51)</f>
        <v>0</v>
      </c>
      <c r="BH46" s="127">
        <f>VLOOKUP($C46,'1 预算编制表单'!$C:$BJ,27,FALSE)</f>
        <v>186226</v>
      </c>
      <c r="BI46" s="127">
        <f>BH46-BJ46</f>
        <v>186226</v>
      </c>
      <c r="BJ46" s="127">
        <f>SUM(BJ47:BJ51)</f>
        <v>0</v>
      </c>
      <c r="BK46" s="127">
        <f>VLOOKUP($C46,'1 预算编制表单'!$C:$BJ,30,FALSE)</f>
        <v>77414</v>
      </c>
      <c r="BL46" s="127">
        <f>BK46-BM46</f>
        <v>77414</v>
      </c>
      <c r="BM46" s="127">
        <f>SUM(BM47:BM51)</f>
        <v>0</v>
      </c>
      <c r="BN46" s="127">
        <f>VLOOKUP($C46,'1 预算编制表单'!$C:$BJ,33,FALSE)</f>
        <v>77414</v>
      </c>
      <c r="BO46" s="127">
        <f>BN46-BP46</f>
        <v>77414</v>
      </c>
      <c r="BP46" s="127">
        <f>SUM(BP47:BP51)</f>
        <v>0</v>
      </c>
      <c r="BQ46" s="127">
        <f>VLOOKUP($C46,'1 预算编制表单'!$C:$BJ,36,FALSE)</f>
        <v>77414</v>
      </c>
      <c r="BR46" s="127">
        <f>BQ46-BS46</f>
        <v>77414</v>
      </c>
      <c r="BS46" s="127">
        <f>SUM(BS47:BS51)</f>
        <v>0</v>
      </c>
      <c r="BT46" s="127">
        <f>VLOOKUP($C46,'1 预算编制表单'!$C:$BJ,39,FALSE)</f>
        <v>77414</v>
      </c>
      <c r="BU46" s="127">
        <f>BT46-BV46</f>
        <v>77414</v>
      </c>
      <c r="BV46" s="127">
        <f>SUM(BV47:BV51)</f>
        <v>0</v>
      </c>
      <c r="BW46" s="127">
        <f>VLOOKUP($C46,'1 预算编制表单'!$C:$BJ,42,FALSE)</f>
        <v>77414</v>
      </c>
      <c r="BX46" s="127">
        <f>BW46-BY46</f>
        <v>77414</v>
      </c>
      <c r="BY46" s="127">
        <f>SUM(BY47:BY51)</f>
        <v>0</v>
      </c>
      <c r="BZ46" s="127">
        <f>VLOOKUP($C46,'1 预算编制表单'!$C:$BJ,45,FALSE)</f>
        <v>77414</v>
      </c>
      <c r="CA46" s="127">
        <f>BZ46-CB46</f>
        <v>77414</v>
      </c>
      <c r="CB46" s="127">
        <f>SUM(CB47:CB51)</f>
        <v>0</v>
      </c>
      <c r="CC46" s="127">
        <f>VLOOKUP($C46,'1 预算编制表单'!$C:$BJ,48,FALSE)</f>
        <v>77414</v>
      </c>
      <c r="CD46" s="127">
        <f>CC46-CE46</f>
        <v>77414</v>
      </c>
      <c r="CE46" s="127">
        <f>SUM(CE47:CE51)</f>
        <v>0</v>
      </c>
      <c r="CF46" s="127">
        <f>VLOOKUP($C46,'1 预算编制表单'!$C:$BJ,51,FALSE)</f>
        <v>77414</v>
      </c>
      <c r="CG46" s="127">
        <f>CF46-CH46</f>
        <v>77414</v>
      </c>
      <c r="CH46" s="127">
        <f>SUM(CH47:CH51)</f>
        <v>0</v>
      </c>
      <c r="CI46" s="127">
        <f>VLOOKUP($C46,'1 预算编制表单'!$C:$BJ,54,FALSE)</f>
        <v>77414</v>
      </c>
      <c r="CJ46" s="127">
        <f>CI46-CK46</f>
        <v>77414</v>
      </c>
      <c r="CK46" s="127">
        <f>SUM(CK47:CK51)</f>
        <v>0</v>
      </c>
      <c r="CL46" s="127">
        <f>VLOOKUP($C46,'1 预算编制表单'!$C:$BJ,57,FALSE)</f>
        <v>77414</v>
      </c>
      <c r="CM46" s="127">
        <f>CL46-CN46</f>
        <v>77414</v>
      </c>
      <c r="CN46" s="127">
        <f>SUM(CN47:CN51)</f>
        <v>0</v>
      </c>
      <c r="CO46" s="127">
        <f>VLOOKUP($C46,'1 预算编制表单'!$C:$BJ,60,FALSE)</f>
        <v>77414</v>
      </c>
      <c r="CP46" s="127">
        <f>CO46-CQ46</f>
        <v>77414</v>
      </c>
      <c r="CQ46" s="127">
        <f>SUM(CQ47:CQ51)</f>
        <v>0</v>
      </c>
    </row>
    <row r="47" s="89" customFormat="1" ht="24" hidden="1" customHeight="1" outlineLevel="4" spans="1:95">
      <c r="A47" s="128"/>
      <c r="B47" s="129"/>
      <c r="C47" s="130"/>
      <c r="D47" s="128"/>
      <c r="E47" s="129"/>
      <c r="F47" s="129"/>
      <c r="G47" s="129"/>
      <c r="H47" s="131"/>
      <c r="I47" s="131"/>
      <c r="J47" s="131">
        <f t="shared" si="5"/>
        <v>0</v>
      </c>
      <c r="K47" s="131">
        <v>1</v>
      </c>
      <c r="L47" s="156"/>
      <c r="M47" s="157">
        <f>IFERROR(VLOOKUP($L47,'2-2 引出数据_合同数据仓库'!$B$5:$BP$200,3,FALSE),0)</f>
        <v>0</v>
      </c>
      <c r="N47" s="131"/>
      <c r="O47" s="157">
        <f>IFERROR(VLOOKUP((LEFT(VLOOKUP($L47,'2-2 引出数据_合同数据仓库'!$B$5:$BP$200,64,FALSE),15)&amp;(RIGHT(VLOOKUP($L47,'2-2 引出数据_合同数据仓库'!$B$5:$BP$200,64,FALSE),4)+1)),'2-2 引出数据_合同数据仓库'!$B$5:$BP$200,3,FALSE),0)</f>
        <v>0</v>
      </c>
      <c r="P47" s="131"/>
      <c r="Q47" s="131">
        <f>IFERROR(VLOOKUP($L47,'2-2 引出数据_合同数据仓库'!$B$5:$BP$200,28,FALSE),0)</f>
        <v>0</v>
      </c>
      <c r="R47" s="131">
        <f>IFERROR(VLOOKUP($L47,'2-2 引出数据_合同数据仓库'!$B$5:$BP$200,29,FALSE),0)</f>
        <v>0</v>
      </c>
      <c r="S47" s="131">
        <f>IFERROR(VLOOKUP($L47,'2-2 引出数据_合同数据仓库'!$B$5:$BP$200,4,FALSE),0)</f>
        <v>0</v>
      </c>
      <c r="T47" s="131"/>
      <c r="U47" s="131">
        <f>IFERROR(VLOOKUP($L47,'2-2 引出数据_合同数据仓库'!$B$5:$BP$200,15,FALSE),0)</f>
        <v>0</v>
      </c>
      <c r="V47" s="131">
        <f t="shared" ref="V47:V50" si="491">U47/(S47-R47+1)*365</f>
        <v>0</v>
      </c>
      <c r="W47" s="131"/>
      <c r="X47" s="163">
        <v>45658</v>
      </c>
      <c r="Y47" s="163">
        <f t="shared" ref="Y47:Y50" si="492">X47+30</f>
        <v>45688</v>
      </c>
      <c r="Z47" s="167">
        <f t="shared" ref="Z47:Z50" si="493">IFERROR(IF(($R47-Y47)&gt;=0,0,IF(($S47-X47)&lt;0,0,IF(AND(($S47-Y47)&gt;0,(X47-$R47)&gt;0),$V47/365*(Y47-X47+1),IF(AND(($S47-Y47)&lt;=0,(X47-$R47)&gt;0),$V47/365*($S47-X47+1),$V47/365*(Y47-$R47+1))))),0)</f>
        <v>0</v>
      </c>
      <c r="AA47" s="163">
        <f t="shared" ref="AA47:AA50" si="494">Y47+1</f>
        <v>45689</v>
      </c>
      <c r="AB47" s="163">
        <f t="shared" ref="AB47:AB50" si="495">AA47+27</f>
        <v>45716</v>
      </c>
      <c r="AC47" s="167">
        <f t="shared" ref="AC47:AC50" si="496">IFERROR(IF(($R47-AB47)&gt;=0,0,IF(($S47-AA47)&lt;0,0,IF(AND(($S47-AB47)&gt;0,(AA47-$R47)&gt;0),$V47/365*(AB47-AA47+1),IF(AND(($S47-AB47)&lt;=0,(AA47-$R47)&gt;0),$V47/365*($S47-AA47+1),$V47/365*(AB47-$R47+1))))),0)</f>
        <v>0</v>
      </c>
      <c r="AD47" s="163">
        <f t="shared" ref="AD47:AD50" si="497">AB47+1</f>
        <v>45717</v>
      </c>
      <c r="AE47" s="163">
        <f t="shared" ref="AE47:AE50" si="498">AD47+30</f>
        <v>45747</v>
      </c>
      <c r="AF47" s="167">
        <f t="shared" ref="AF47:AF50" si="499">IFERROR(IF(($R47-AE47)&gt;=0,0,IF(($S47-AD47)&lt;0,0,IF(AND(($S47-AE47)&gt;0,(AD47-$R47)&gt;0),$V47/365*(AE47-AD47+1),IF(AND(($S47-AE47)&lt;=0,(AD47-$R47)&gt;0),$V47/365*($S47-AD47+1),$V47/365*(AE47-$R47+1))))),0)</f>
        <v>0</v>
      </c>
      <c r="AG47" s="163">
        <f t="shared" ref="AG47:AG50" si="500">AE47+1</f>
        <v>45748</v>
      </c>
      <c r="AH47" s="163">
        <f t="shared" ref="AH47:AH50" si="501">AG47+29</f>
        <v>45777</v>
      </c>
      <c r="AI47" s="167">
        <f t="shared" ref="AI47:AI50" si="502">IFERROR(IF(($R47-AH47)&gt;=0,0,IF(($S47-AG47)&lt;0,0,IF(AND(($S47-AH47)&gt;0,(AG47-$R47)&gt;0),$V47/365*(AH47-AG47+1),IF(AND(($S47-AH47)&lt;=0,(AG47-$R47)&gt;0),$V47/365*($S47-AG47+1),$V47/365*(AH47-$R47+1))))),0)</f>
        <v>0</v>
      </c>
      <c r="AJ47" s="163">
        <f t="shared" ref="AJ47:AJ50" si="503">AH47+1</f>
        <v>45778</v>
      </c>
      <c r="AK47" s="163">
        <f t="shared" ref="AK47:AK50" si="504">AJ47+30</f>
        <v>45808</v>
      </c>
      <c r="AL47" s="167">
        <f t="shared" ref="AL47:AL50" si="505">IFERROR(IF(($R47-AK47)&gt;=0,0,IF(($S47-AJ47)&lt;0,0,IF(AND(($S47-AK47)&gt;0,(AJ47-$R47)&gt;0),$V47/365*(AK47-AJ47+1),IF(AND(($S47-AK47)&lt;=0,(AJ47-$R47)&gt;0),$V47/365*($S47-AJ47+1),$V47/365*(AK47-$R47+1))))),0)</f>
        <v>0</v>
      </c>
      <c r="AM47" s="163">
        <f t="shared" ref="AM47:AM50" si="506">AK47+1</f>
        <v>45809</v>
      </c>
      <c r="AN47" s="163">
        <f t="shared" ref="AN47:AN50" si="507">AM47+29</f>
        <v>45838</v>
      </c>
      <c r="AO47" s="167">
        <f t="shared" ref="AO47:AO50" si="508">IFERROR(IF(($R47-AN47)&gt;=0,0,IF(($S47-AM47)&lt;0,0,IF(AND(($S47-AN47)&gt;0,(AM47-$R47)&gt;0),$V47/365*(AN47-AM47+1),IF(AND(($S47-AN47)&lt;=0,(AM47-$R47)&gt;0),$V47/365*($S47-AM47+1),$V47/365*(AN47-$R47+1))))),0)</f>
        <v>0</v>
      </c>
      <c r="AP47" s="163">
        <f t="shared" ref="AP47:AP50" si="509">AN47+1</f>
        <v>45839</v>
      </c>
      <c r="AQ47" s="163">
        <f t="shared" ref="AQ47:AQ50" si="510">AP47+30</f>
        <v>45869</v>
      </c>
      <c r="AR47" s="167">
        <f t="shared" ref="AR47:AR50" si="511">IFERROR(IF(($R47-AQ47)&gt;=0,0,IF(($S47-AP47)&lt;0,0,IF(AND(($S47-AQ47)&gt;0,(AP47-$R47)&gt;0),$V47/365*(AQ47-AP47+1),IF(AND(($S47-AQ47)&lt;=0,(AP47-$R47)&gt;0),$V47/365*($S47-AP47+1),$V47/365*(AQ47-$R47+1))))),0)</f>
        <v>0</v>
      </c>
      <c r="AS47" s="163">
        <f t="shared" ref="AS47:AS50" si="512">AQ47+1</f>
        <v>45870</v>
      </c>
      <c r="AT47" s="163">
        <f t="shared" ref="AT47:AT50" si="513">AS47+30</f>
        <v>45900</v>
      </c>
      <c r="AU47" s="167">
        <f t="shared" ref="AU47:AU50" si="514">IFERROR(IF(($R47-AT47)&gt;=0,0,IF(($S47-AS47)&lt;0,0,IF(AND(($S47-AT47)&gt;0,(AS47-$R47)&gt;0),$V47/365*(AT47-AS47+1),IF(AND(($S47-AT47)&lt;=0,(AS47-$R47)&gt;0),$V47/365*($S47-AS47+1),$V47/365*(AT47-$R47+1))))),0)</f>
        <v>0</v>
      </c>
      <c r="AV47" s="163">
        <f t="shared" ref="AV47:AV50" si="515">AT47+1</f>
        <v>45901</v>
      </c>
      <c r="AW47" s="163">
        <f t="shared" ref="AW47:AW50" si="516">AV47+29</f>
        <v>45930</v>
      </c>
      <c r="AX47" s="167">
        <f t="shared" ref="AX47:AX50" si="517">IFERROR(IF(($R47-AW47)&gt;=0,0,IF(($S47-AV47)&lt;0,0,IF(AND(($S47-AW47)&gt;0,(AV47-$R47)&gt;0),$V47/365*(AW47-AV47+1),IF(AND(($S47-AW47)&lt;=0,(AV47-$R47)&gt;0),$V47/365*($S47-AV47+1),$V47/365*(AW47-$R47+1))))),0)</f>
        <v>0</v>
      </c>
      <c r="AY47" s="163">
        <f t="shared" ref="AY47:AY50" si="518">AW47+1</f>
        <v>45931</v>
      </c>
      <c r="AZ47" s="163">
        <f t="shared" ref="AZ47:AZ50" si="519">AY47+30</f>
        <v>45961</v>
      </c>
      <c r="BA47" s="167">
        <f t="shared" ref="BA47:BA50" si="520">IFERROR(IF(($R47-AZ47)&gt;=0,0,IF(($S47-AY47)&lt;0,0,IF(AND(($S47-AZ47)&gt;0,(AY47-$R47)&gt;0),$V47/365*(AZ47-AY47+1),IF(AND(($S47-AZ47)&lt;=0,(AY47-$R47)&gt;0),$V47/365*($S47-AY47+1),$V47/365*(AZ47-$R47+1))))),0)</f>
        <v>0</v>
      </c>
      <c r="BB47" s="163">
        <f t="shared" ref="BB47:BB50" si="521">AZ47+1</f>
        <v>45962</v>
      </c>
      <c r="BC47" s="163">
        <f t="shared" ref="BC47:BC50" si="522">BB47+29</f>
        <v>45991</v>
      </c>
      <c r="BD47" s="167">
        <f t="shared" ref="BD47:BD50" si="523">IFERROR(IF(($R47-BC47)&gt;=0,0,IF(($S47-BB47)&lt;0,0,IF(AND(($S47-BC47)&gt;0,(BB47-$R47)&gt;0),$V47/365*(BC47-BB47+1),IF(AND(($S47-BC47)&lt;=0,(BB47-$R47)&gt;0),$V47/365*($S47-BB47+1),$V47/365*(BC47-$R47+1))))),0)</f>
        <v>0</v>
      </c>
      <c r="BE47" s="163">
        <f t="shared" ref="BE47:BE50" si="524">BC47+1</f>
        <v>45992</v>
      </c>
      <c r="BF47" s="163">
        <f t="shared" ref="BF47:BF50" si="525">BE47+30</f>
        <v>46022</v>
      </c>
      <c r="BG47" s="167">
        <f t="shared" ref="BG47:BG50" si="526">IFERROR(IF(($R47-BF47)&gt;=0,0,IF(($S47-BE47)&lt;0,0,IF(AND(($S47-BF47)&gt;0,(BE47-$R47)&gt;0),$V47/365*(BF47-BE47+1),IF(AND(($S47-BF47)&lt;=0,(BE47-$R47)&gt;0),$V47/365*($S47-BE47+1),$V47/365*(BF47-$R47+1))))),0)</f>
        <v>0</v>
      </c>
      <c r="BH47" s="163">
        <v>46023</v>
      </c>
      <c r="BI47" s="163">
        <f t="shared" ref="BI47:BI50" si="527">BH47+30</f>
        <v>46053</v>
      </c>
      <c r="BJ47" s="167">
        <f t="shared" ref="BJ47:BJ50" si="528">IFERROR(IF(($R47-BI47)&gt;=0,0,IF(($S47-BH47)&lt;0,0,IF(AND(($S47-BI47)&gt;0,(BH47-$R47)&gt;0),$V47/365*(BI47-BH47+1),IF(AND(($S47-BI47)&lt;=0,(BH47-$R47)&gt;0),$V47/365*($S47-BH47+1),$V47/365*(BI47-$R47+1))))),0)</f>
        <v>0</v>
      </c>
      <c r="BK47" s="163">
        <f t="shared" ref="BK47:BK50" si="529">BI47+1</f>
        <v>46054</v>
      </c>
      <c r="BL47" s="163">
        <f t="shared" ref="BL47:BL50" si="530">BK47+27</f>
        <v>46081</v>
      </c>
      <c r="BM47" s="167">
        <f t="shared" ref="BM47:BM50" si="531">IFERROR(IF(($R47-BL47)&gt;=0,0,IF(($S47-BK47)&lt;0,0,IF(AND(($S47-BL47)&gt;0,(BK47-$R47)&gt;0),$V47/365*(BL47-BK47+1),IF(AND(($S47-BL47)&lt;=0,(BK47-$R47)&gt;0),$V47/365*($S47-BK47+1),$V47/365*(BL47-$R47+1))))),0)</f>
        <v>0</v>
      </c>
      <c r="BN47" s="163">
        <f t="shared" ref="BN47:BN50" si="532">BL47+1</f>
        <v>46082</v>
      </c>
      <c r="BO47" s="163">
        <f t="shared" ref="BO47:BO50" si="533">BN47+30</f>
        <v>46112</v>
      </c>
      <c r="BP47" s="167">
        <f t="shared" ref="BP47:BP50" si="534">IFERROR(IF(($R47-BO47)&gt;=0,0,IF(($S47-BN47)&lt;0,0,IF(AND(($S47-BO47)&gt;0,(BN47-$R47)&gt;0),$V47/365*(BO47-BN47+1),IF(AND(($S47-BO47)&lt;=0,(BN47-$R47)&gt;0),$V47/365*($S47-BN47+1),$V47/365*(BO47-$R47+1))))),0)</f>
        <v>0</v>
      </c>
      <c r="BQ47" s="163">
        <f t="shared" ref="BQ47:BQ50" si="535">BO47+1</f>
        <v>46113</v>
      </c>
      <c r="BR47" s="163">
        <f t="shared" ref="BR47:BR50" si="536">BQ47+29</f>
        <v>46142</v>
      </c>
      <c r="BS47" s="167">
        <f t="shared" ref="BS47:BS50" si="537">IFERROR(IF(($R47-BR47)&gt;=0,0,IF(($S47-BQ47)&lt;0,0,IF(AND(($S47-BR47)&gt;0,(BQ47-$R47)&gt;0),$V47/365*(BR47-BQ47+1),IF(AND(($S47-BR47)&lt;=0,(BQ47-$R47)&gt;0),$V47/365*($S47-BQ47+1),$V47/365*(BR47-$R47+1))))),0)</f>
        <v>0</v>
      </c>
      <c r="BT47" s="163">
        <f t="shared" ref="BT47:BT50" si="538">BR47+1</f>
        <v>46143</v>
      </c>
      <c r="BU47" s="163">
        <f t="shared" ref="BU47:BU50" si="539">BT47+30</f>
        <v>46173</v>
      </c>
      <c r="BV47" s="167">
        <f t="shared" ref="BV47:BV50" si="540">IFERROR(IF(($R47-BU47)&gt;=0,0,IF(($S47-BT47)&lt;0,0,IF(AND(($S47-BU47)&gt;0,(BT47-$R47)&gt;0),$V47/365*(BU47-BT47+1),IF(AND(($S47-BU47)&lt;=0,(BT47-$R47)&gt;0),$V47/365*($S47-BT47+1),$V47/365*(BU47-$R47+1))))),0)</f>
        <v>0</v>
      </c>
      <c r="BW47" s="163">
        <f t="shared" ref="BW47:BW50" si="541">BU47+1</f>
        <v>46174</v>
      </c>
      <c r="BX47" s="163">
        <f t="shared" ref="BX47:BX50" si="542">BW47+29</f>
        <v>46203</v>
      </c>
      <c r="BY47" s="167">
        <f t="shared" ref="BY47:BY50" si="543">IFERROR(IF(($R47-BX47)&gt;=0,0,IF(($S47-BW47)&lt;0,0,IF(AND(($S47-BX47)&gt;0,(BW47-$R47)&gt;0),$V47/365*(BX47-BW47+1),IF(AND(($S47-BX47)&lt;=0,(BW47-$R47)&gt;0),$V47/365*($S47-BW47+1),$V47/365*(BX47-$R47+1))))),0)</f>
        <v>0</v>
      </c>
      <c r="BZ47" s="163">
        <f t="shared" ref="BZ47:BZ50" si="544">BX47+1</f>
        <v>46204</v>
      </c>
      <c r="CA47" s="163">
        <f t="shared" ref="CA47:CA50" si="545">BZ47+30</f>
        <v>46234</v>
      </c>
      <c r="CB47" s="167">
        <f t="shared" ref="CB47:CB50" si="546">IFERROR(IF(($R47-CA47)&gt;=0,0,IF(($S47-BZ47)&lt;0,0,IF(AND(($S47-CA47)&gt;0,(BZ47-$R47)&gt;0),$V47/365*(CA47-BZ47+1),IF(AND(($S47-CA47)&lt;=0,(BZ47-$R47)&gt;0),$V47/365*($S47-BZ47+1),$V47/365*(CA47-$R47+1))))),0)</f>
        <v>0</v>
      </c>
      <c r="CC47" s="163">
        <f t="shared" ref="CC47:CC50" si="547">CA47+1</f>
        <v>46235</v>
      </c>
      <c r="CD47" s="163">
        <f t="shared" ref="CD47:CD50" si="548">CC47+30</f>
        <v>46265</v>
      </c>
      <c r="CE47" s="167">
        <f t="shared" ref="CE47:CE50" si="549">IFERROR(IF(($R47-CD47)&gt;=0,0,IF(($S47-CC47)&lt;0,0,IF(AND(($S47-CD47)&gt;0,(CC47-$R47)&gt;0),$V47/365*(CD47-CC47+1),IF(AND(($S47-CD47)&lt;=0,(CC47-$R47)&gt;0),$V47/365*($S47-CC47+1),$V47/365*(CD47-$R47+1))))),0)</f>
        <v>0</v>
      </c>
      <c r="CF47" s="163">
        <f t="shared" ref="CF47:CF50" si="550">CD47+1</f>
        <v>46266</v>
      </c>
      <c r="CG47" s="163">
        <f t="shared" ref="CG47:CG50" si="551">CF47+29</f>
        <v>46295</v>
      </c>
      <c r="CH47" s="167">
        <f t="shared" ref="CH47:CH50" si="552">IFERROR(IF(($R47-CG47)&gt;=0,0,IF(($S47-CF47)&lt;0,0,IF(AND(($S47-CG47)&gt;0,(CF47-$R47)&gt;0),$V47/365*(CG47-CF47+1),IF(AND(($S47-CG47)&lt;=0,(CF47-$R47)&gt;0),$V47/365*($S47-CF47+1),$V47/365*(CG47-$R47+1))))),0)</f>
        <v>0</v>
      </c>
      <c r="CI47" s="163">
        <f t="shared" ref="CI47:CI50" si="553">CG47+1</f>
        <v>46296</v>
      </c>
      <c r="CJ47" s="163">
        <f t="shared" ref="CJ47:CJ50" si="554">CI47+30</f>
        <v>46326</v>
      </c>
      <c r="CK47" s="167">
        <f t="shared" ref="CK47:CK50" si="555">IFERROR(IF(($R47-CJ47)&gt;=0,0,IF(($S47-CI47)&lt;0,0,IF(AND(($S47-CJ47)&gt;0,(CI47-$R47)&gt;0),$V47/365*(CJ47-CI47+1),IF(AND(($S47-CJ47)&lt;=0,(CI47-$R47)&gt;0),$V47/365*($S47-CI47+1),$V47/365*(CJ47-$R47+1))))),0)</f>
        <v>0</v>
      </c>
      <c r="CL47" s="163">
        <f t="shared" ref="CL47:CL50" si="556">CJ47+1</f>
        <v>46327</v>
      </c>
      <c r="CM47" s="163">
        <f t="shared" ref="CM47:CM50" si="557">CL47+29</f>
        <v>46356</v>
      </c>
      <c r="CN47" s="167">
        <f t="shared" ref="CN47:CN50" si="558">IFERROR(IF(($R47-CM47)&gt;=0,0,IF(($S47-CL47)&lt;0,0,IF(AND(($S47-CM47)&gt;0,(CL47-$R47)&gt;0),$V47/365*(CM47-CL47+1),IF(AND(($S47-CM47)&lt;=0,(CL47-$R47)&gt;0),$V47/365*($S47-CL47+1),$V47/365*(CM47-$R47+1))))),0)</f>
        <v>0</v>
      </c>
      <c r="CO47" s="163">
        <f t="shared" ref="CO47:CO50" si="559">CM47+1</f>
        <v>46357</v>
      </c>
      <c r="CP47" s="163">
        <f t="shared" ref="CP47:CP50" si="560">CO47+30</f>
        <v>46387</v>
      </c>
      <c r="CQ47" s="167">
        <f t="shared" ref="CQ47:CQ50" si="561">IFERROR(IF(($R47-CP47)&gt;=0,0,IF(($S47-CO47)&lt;0,0,IF(AND(($S47-CP47)&gt;0,(CO47-$R47)&gt;0),$V47/365*(CP47-CO47+1),IF(AND(($S47-CP47)&lt;=0,(CO47-$R47)&gt;0),$V47/365*($S47-CO47+1),$V47/365*(CP47-$R47+1))))),0)</f>
        <v>0</v>
      </c>
    </row>
    <row r="48" s="89" customFormat="1" ht="24" hidden="1" customHeight="1" outlineLevel="4" spans="1:95">
      <c r="A48" s="128"/>
      <c r="B48" s="129"/>
      <c r="C48" s="130"/>
      <c r="D48" s="128"/>
      <c r="E48" s="129"/>
      <c r="F48" s="129"/>
      <c r="G48" s="129"/>
      <c r="H48" s="131"/>
      <c r="I48" s="131"/>
      <c r="J48" s="131">
        <f t="shared" si="5"/>
        <v>0</v>
      </c>
      <c r="K48" s="131">
        <f t="shared" ref="K48:K50" si="562">K47+1</f>
        <v>2</v>
      </c>
      <c r="L48" s="156"/>
      <c r="M48" s="157">
        <f>IFERROR(VLOOKUP($L48,'2-2 引出数据_合同数据仓库'!$B$5:$BP$200,3,FALSE),0)</f>
        <v>0</v>
      </c>
      <c r="N48" s="131"/>
      <c r="O48" s="157">
        <f>IFERROR(VLOOKUP((LEFT(VLOOKUP($L48,'2-2 引出数据_合同数据仓库'!$B$5:$BP$200,64,FALSE),15)&amp;(RIGHT(VLOOKUP($L48,'2-2 引出数据_合同数据仓库'!$B$5:$BP$200,64,FALSE),4)+1)),'2-2 引出数据_合同数据仓库'!$B$5:$BP$200,3,FALSE),0)</f>
        <v>0</v>
      </c>
      <c r="P48" s="131"/>
      <c r="Q48" s="131">
        <f>IFERROR(VLOOKUP($L48,'2-2 引出数据_合同数据仓库'!$B$5:$BP$200,28,FALSE),0)</f>
        <v>0</v>
      </c>
      <c r="R48" s="131">
        <f>IFERROR(VLOOKUP($L48,'2-2 引出数据_合同数据仓库'!$B$5:$BP$200,29,FALSE),0)</f>
        <v>0</v>
      </c>
      <c r="S48" s="131">
        <f>IFERROR(VLOOKUP($L48,'2-2 引出数据_合同数据仓库'!$B$5:$BP$200,4,FALSE),0)</f>
        <v>0</v>
      </c>
      <c r="T48" s="131"/>
      <c r="U48" s="131">
        <f>IFERROR(VLOOKUP($L48,'2-2 引出数据_合同数据仓库'!$B$5:$BP$200,15,FALSE),0)</f>
        <v>0</v>
      </c>
      <c r="V48" s="131">
        <f t="shared" si="491"/>
        <v>0</v>
      </c>
      <c r="W48" s="131"/>
      <c r="X48" s="163">
        <v>45658</v>
      </c>
      <c r="Y48" s="163">
        <f t="shared" si="492"/>
        <v>45688</v>
      </c>
      <c r="Z48" s="167">
        <f t="shared" si="493"/>
        <v>0</v>
      </c>
      <c r="AA48" s="163">
        <f t="shared" si="494"/>
        <v>45689</v>
      </c>
      <c r="AB48" s="163">
        <f t="shared" si="495"/>
        <v>45716</v>
      </c>
      <c r="AC48" s="167">
        <f t="shared" si="496"/>
        <v>0</v>
      </c>
      <c r="AD48" s="163">
        <f t="shared" si="497"/>
        <v>45717</v>
      </c>
      <c r="AE48" s="163">
        <f t="shared" si="498"/>
        <v>45747</v>
      </c>
      <c r="AF48" s="167">
        <f t="shared" si="499"/>
        <v>0</v>
      </c>
      <c r="AG48" s="163">
        <f t="shared" si="500"/>
        <v>45748</v>
      </c>
      <c r="AH48" s="163">
        <f t="shared" si="501"/>
        <v>45777</v>
      </c>
      <c r="AI48" s="167">
        <f t="shared" si="502"/>
        <v>0</v>
      </c>
      <c r="AJ48" s="163">
        <f t="shared" si="503"/>
        <v>45778</v>
      </c>
      <c r="AK48" s="163">
        <f t="shared" si="504"/>
        <v>45808</v>
      </c>
      <c r="AL48" s="167">
        <f t="shared" si="505"/>
        <v>0</v>
      </c>
      <c r="AM48" s="163">
        <f t="shared" si="506"/>
        <v>45809</v>
      </c>
      <c r="AN48" s="163">
        <f t="shared" si="507"/>
        <v>45838</v>
      </c>
      <c r="AO48" s="167">
        <f t="shared" si="508"/>
        <v>0</v>
      </c>
      <c r="AP48" s="163">
        <f t="shared" si="509"/>
        <v>45839</v>
      </c>
      <c r="AQ48" s="163">
        <f t="shared" si="510"/>
        <v>45869</v>
      </c>
      <c r="AR48" s="167">
        <f t="shared" si="511"/>
        <v>0</v>
      </c>
      <c r="AS48" s="163">
        <f t="shared" si="512"/>
        <v>45870</v>
      </c>
      <c r="AT48" s="163">
        <f t="shared" si="513"/>
        <v>45900</v>
      </c>
      <c r="AU48" s="167">
        <f t="shared" si="514"/>
        <v>0</v>
      </c>
      <c r="AV48" s="163">
        <f t="shared" si="515"/>
        <v>45901</v>
      </c>
      <c r="AW48" s="163">
        <f t="shared" si="516"/>
        <v>45930</v>
      </c>
      <c r="AX48" s="167">
        <f t="shared" si="517"/>
        <v>0</v>
      </c>
      <c r="AY48" s="163">
        <f t="shared" si="518"/>
        <v>45931</v>
      </c>
      <c r="AZ48" s="163">
        <f t="shared" si="519"/>
        <v>45961</v>
      </c>
      <c r="BA48" s="167">
        <f t="shared" si="520"/>
        <v>0</v>
      </c>
      <c r="BB48" s="163">
        <f t="shared" si="521"/>
        <v>45962</v>
      </c>
      <c r="BC48" s="163">
        <f t="shared" si="522"/>
        <v>45991</v>
      </c>
      <c r="BD48" s="167">
        <f t="shared" si="523"/>
        <v>0</v>
      </c>
      <c r="BE48" s="163">
        <f t="shared" si="524"/>
        <v>45992</v>
      </c>
      <c r="BF48" s="163">
        <f t="shared" si="525"/>
        <v>46022</v>
      </c>
      <c r="BG48" s="167">
        <f t="shared" si="526"/>
        <v>0</v>
      </c>
      <c r="BH48" s="163">
        <v>46023</v>
      </c>
      <c r="BI48" s="163">
        <f t="shared" si="527"/>
        <v>46053</v>
      </c>
      <c r="BJ48" s="167">
        <f t="shared" si="528"/>
        <v>0</v>
      </c>
      <c r="BK48" s="163">
        <f t="shared" si="529"/>
        <v>46054</v>
      </c>
      <c r="BL48" s="163">
        <f t="shared" si="530"/>
        <v>46081</v>
      </c>
      <c r="BM48" s="167">
        <f t="shared" si="531"/>
        <v>0</v>
      </c>
      <c r="BN48" s="163">
        <f t="shared" si="532"/>
        <v>46082</v>
      </c>
      <c r="BO48" s="163">
        <f t="shared" si="533"/>
        <v>46112</v>
      </c>
      <c r="BP48" s="167">
        <f t="shared" si="534"/>
        <v>0</v>
      </c>
      <c r="BQ48" s="163">
        <f t="shared" si="535"/>
        <v>46113</v>
      </c>
      <c r="BR48" s="163">
        <f t="shared" si="536"/>
        <v>46142</v>
      </c>
      <c r="BS48" s="167">
        <f t="shared" si="537"/>
        <v>0</v>
      </c>
      <c r="BT48" s="163">
        <f t="shared" si="538"/>
        <v>46143</v>
      </c>
      <c r="BU48" s="163">
        <f t="shared" si="539"/>
        <v>46173</v>
      </c>
      <c r="BV48" s="167">
        <f t="shared" si="540"/>
        <v>0</v>
      </c>
      <c r="BW48" s="163">
        <f t="shared" si="541"/>
        <v>46174</v>
      </c>
      <c r="BX48" s="163">
        <f t="shared" si="542"/>
        <v>46203</v>
      </c>
      <c r="BY48" s="167">
        <f t="shared" si="543"/>
        <v>0</v>
      </c>
      <c r="BZ48" s="163">
        <f t="shared" si="544"/>
        <v>46204</v>
      </c>
      <c r="CA48" s="163">
        <f t="shared" si="545"/>
        <v>46234</v>
      </c>
      <c r="CB48" s="167">
        <f t="shared" si="546"/>
        <v>0</v>
      </c>
      <c r="CC48" s="163">
        <f t="shared" si="547"/>
        <v>46235</v>
      </c>
      <c r="CD48" s="163">
        <f t="shared" si="548"/>
        <v>46265</v>
      </c>
      <c r="CE48" s="167">
        <f t="shared" si="549"/>
        <v>0</v>
      </c>
      <c r="CF48" s="163">
        <f t="shared" si="550"/>
        <v>46266</v>
      </c>
      <c r="CG48" s="163">
        <f t="shared" si="551"/>
        <v>46295</v>
      </c>
      <c r="CH48" s="167">
        <f t="shared" si="552"/>
        <v>0</v>
      </c>
      <c r="CI48" s="163">
        <f t="shared" si="553"/>
        <v>46296</v>
      </c>
      <c r="CJ48" s="163">
        <f t="shared" si="554"/>
        <v>46326</v>
      </c>
      <c r="CK48" s="167">
        <f t="shared" si="555"/>
        <v>0</v>
      </c>
      <c r="CL48" s="163">
        <f t="shared" si="556"/>
        <v>46327</v>
      </c>
      <c r="CM48" s="163">
        <f t="shared" si="557"/>
        <v>46356</v>
      </c>
      <c r="CN48" s="167">
        <f t="shared" si="558"/>
        <v>0</v>
      </c>
      <c r="CO48" s="163">
        <f t="shared" si="559"/>
        <v>46357</v>
      </c>
      <c r="CP48" s="163">
        <f t="shared" si="560"/>
        <v>46387</v>
      </c>
      <c r="CQ48" s="167">
        <f t="shared" si="561"/>
        <v>0</v>
      </c>
    </row>
    <row r="49" s="89" customFormat="1" ht="24" hidden="1" customHeight="1" outlineLevel="4" spans="1:95">
      <c r="A49" s="128"/>
      <c r="B49" s="129"/>
      <c r="C49" s="130"/>
      <c r="D49" s="128"/>
      <c r="E49" s="129"/>
      <c r="F49" s="129"/>
      <c r="G49" s="129"/>
      <c r="H49" s="131"/>
      <c r="I49" s="131"/>
      <c r="J49" s="131">
        <f t="shared" si="5"/>
        <v>0</v>
      </c>
      <c r="K49" s="131">
        <f t="shared" si="562"/>
        <v>3</v>
      </c>
      <c r="L49" s="156"/>
      <c r="M49" s="157">
        <f>IFERROR(VLOOKUP($L49,'2-2 引出数据_合同数据仓库'!$B$5:$BP$200,3,FALSE),0)</f>
        <v>0</v>
      </c>
      <c r="N49" s="131"/>
      <c r="O49" s="157">
        <f>IFERROR(VLOOKUP((LEFT(VLOOKUP($L49,'2-2 引出数据_合同数据仓库'!$B$5:$BP$200,64,FALSE),15)&amp;(RIGHT(VLOOKUP($L49,'2-2 引出数据_合同数据仓库'!$B$5:$BP$200,64,FALSE),4)+1)),'2-2 引出数据_合同数据仓库'!$B$5:$BP$200,3,FALSE),0)</f>
        <v>0</v>
      </c>
      <c r="P49" s="131"/>
      <c r="Q49" s="131">
        <f>IFERROR(VLOOKUP($L49,'2-2 引出数据_合同数据仓库'!$B$5:$BP$200,28,FALSE),0)</f>
        <v>0</v>
      </c>
      <c r="R49" s="131">
        <f>IFERROR(VLOOKUP($L49,'2-2 引出数据_合同数据仓库'!$B$5:$BP$200,29,FALSE),0)</f>
        <v>0</v>
      </c>
      <c r="S49" s="131">
        <f>IFERROR(VLOOKUP($L49,'2-2 引出数据_合同数据仓库'!$B$5:$BP$200,4,FALSE),0)</f>
        <v>0</v>
      </c>
      <c r="T49" s="131"/>
      <c r="U49" s="131">
        <f>IFERROR(VLOOKUP($L49,'2-2 引出数据_合同数据仓库'!$B$5:$BP$200,15,FALSE),0)</f>
        <v>0</v>
      </c>
      <c r="V49" s="131">
        <f t="shared" si="491"/>
        <v>0</v>
      </c>
      <c r="W49" s="131"/>
      <c r="X49" s="163">
        <v>45658</v>
      </c>
      <c r="Y49" s="163">
        <f t="shared" si="492"/>
        <v>45688</v>
      </c>
      <c r="Z49" s="167">
        <f t="shared" si="493"/>
        <v>0</v>
      </c>
      <c r="AA49" s="163">
        <f t="shared" si="494"/>
        <v>45689</v>
      </c>
      <c r="AB49" s="163">
        <f t="shared" si="495"/>
        <v>45716</v>
      </c>
      <c r="AC49" s="167">
        <f t="shared" si="496"/>
        <v>0</v>
      </c>
      <c r="AD49" s="163">
        <f t="shared" si="497"/>
        <v>45717</v>
      </c>
      <c r="AE49" s="163">
        <f t="shared" si="498"/>
        <v>45747</v>
      </c>
      <c r="AF49" s="167">
        <f t="shared" si="499"/>
        <v>0</v>
      </c>
      <c r="AG49" s="163">
        <f t="shared" si="500"/>
        <v>45748</v>
      </c>
      <c r="AH49" s="163">
        <f t="shared" si="501"/>
        <v>45777</v>
      </c>
      <c r="AI49" s="167">
        <f t="shared" si="502"/>
        <v>0</v>
      </c>
      <c r="AJ49" s="163">
        <f t="shared" si="503"/>
        <v>45778</v>
      </c>
      <c r="AK49" s="163">
        <f t="shared" si="504"/>
        <v>45808</v>
      </c>
      <c r="AL49" s="167">
        <f t="shared" si="505"/>
        <v>0</v>
      </c>
      <c r="AM49" s="163">
        <f t="shared" si="506"/>
        <v>45809</v>
      </c>
      <c r="AN49" s="163">
        <f t="shared" si="507"/>
        <v>45838</v>
      </c>
      <c r="AO49" s="167">
        <f t="shared" si="508"/>
        <v>0</v>
      </c>
      <c r="AP49" s="163">
        <f t="shared" si="509"/>
        <v>45839</v>
      </c>
      <c r="AQ49" s="163">
        <f t="shared" si="510"/>
        <v>45869</v>
      </c>
      <c r="AR49" s="167">
        <f t="shared" si="511"/>
        <v>0</v>
      </c>
      <c r="AS49" s="163">
        <f t="shared" si="512"/>
        <v>45870</v>
      </c>
      <c r="AT49" s="163">
        <f t="shared" si="513"/>
        <v>45900</v>
      </c>
      <c r="AU49" s="167">
        <f t="shared" si="514"/>
        <v>0</v>
      </c>
      <c r="AV49" s="163">
        <f t="shared" si="515"/>
        <v>45901</v>
      </c>
      <c r="AW49" s="163">
        <f t="shared" si="516"/>
        <v>45930</v>
      </c>
      <c r="AX49" s="167">
        <f t="shared" si="517"/>
        <v>0</v>
      </c>
      <c r="AY49" s="163">
        <f t="shared" si="518"/>
        <v>45931</v>
      </c>
      <c r="AZ49" s="163">
        <f t="shared" si="519"/>
        <v>45961</v>
      </c>
      <c r="BA49" s="167">
        <f t="shared" si="520"/>
        <v>0</v>
      </c>
      <c r="BB49" s="163">
        <f t="shared" si="521"/>
        <v>45962</v>
      </c>
      <c r="BC49" s="163">
        <f t="shared" si="522"/>
        <v>45991</v>
      </c>
      <c r="BD49" s="167">
        <f t="shared" si="523"/>
        <v>0</v>
      </c>
      <c r="BE49" s="163">
        <f t="shared" si="524"/>
        <v>45992</v>
      </c>
      <c r="BF49" s="163">
        <f t="shared" si="525"/>
        <v>46022</v>
      </c>
      <c r="BG49" s="167">
        <f t="shared" si="526"/>
        <v>0</v>
      </c>
      <c r="BH49" s="163">
        <v>46023</v>
      </c>
      <c r="BI49" s="163">
        <f t="shared" si="527"/>
        <v>46053</v>
      </c>
      <c r="BJ49" s="167">
        <f t="shared" si="528"/>
        <v>0</v>
      </c>
      <c r="BK49" s="163">
        <f t="shared" si="529"/>
        <v>46054</v>
      </c>
      <c r="BL49" s="163">
        <f t="shared" si="530"/>
        <v>46081</v>
      </c>
      <c r="BM49" s="167">
        <f t="shared" si="531"/>
        <v>0</v>
      </c>
      <c r="BN49" s="163">
        <f t="shared" si="532"/>
        <v>46082</v>
      </c>
      <c r="BO49" s="163">
        <f t="shared" si="533"/>
        <v>46112</v>
      </c>
      <c r="BP49" s="167">
        <f t="shared" si="534"/>
        <v>0</v>
      </c>
      <c r="BQ49" s="163">
        <f t="shared" si="535"/>
        <v>46113</v>
      </c>
      <c r="BR49" s="163">
        <f t="shared" si="536"/>
        <v>46142</v>
      </c>
      <c r="BS49" s="167">
        <f t="shared" si="537"/>
        <v>0</v>
      </c>
      <c r="BT49" s="163">
        <f t="shared" si="538"/>
        <v>46143</v>
      </c>
      <c r="BU49" s="163">
        <f t="shared" si="539"/>
        <v>46173</v>
      </c>
      <c r="BV49" s="167">
        <f t="shared" si="540"/>
        <v>0</v>
      </c>
      <c r="BW49" s="163">
        <f t="shared" si="541"/>
        <v>46174</v>
      </c>
      <c r="BX49" s="163">
        <f t="shared" si="542"/>
        <v>46203</v>
      </c>
      <c r="BY49" s="167">
        <f t="shared" si="543"/>
        <v>0</v>
      </c>
      <c r="BZ49" s="163">
        <f t="shared" si="544"/>
        <v>46204</v>
      </c>
      <c r="CA49" s="163">
        <f t="shared" si="545"/>
        <v>46234</v>
      </c>
      <c r="CB49" s="167">
        <f t="shared" si="546"/>
        <v>0</v>
      </c>
      <c r="CC49" s="163">
        <f t="shared" si="547"/>
        <v>46235</v>
      </c>
      <c r="CD49" s="163">
        <f t="shared" si="548"/>
        <v>46265</v>
      </c>
      <c r="CE49" s="167">
        <f t="shared" si="549"/>
        <v>0</v>
      </c>
      <c r="CF49" s="163">
        <f t="shared" si="550"/>
        <v>46266</v>
      </c>
      <c r="CG49" s="163">
        <f t="shared" si="551"/>
        <v>46295</v>
      </c>
      <c r="CH49" s="167">
        <f t="shared" si="552"/>
        <v>0</v>
      </c>
      <c r="CI49" s="163">
        <f t="shared" si="553"/>
        <v>46296</v>
      </c>
      <c r="CJ49" s="163">
        <f t="shared" si="554"/>
        <v>46326</v>
      </c>
      <c r="CK49" s="167">
        <f t="shared" si="555"/>
        <v>0</v>
      </c>
      <c r="CL49" s="163">
        <f t="shared" si="556"/>
        <v>46327</v>
      </c>
      <c r="CM49" s="163">
        <f t="shared" si="557"/>
        <v>46356</v>
      </c>
      <c r="CN49" s="167">
        <f t="shared" si="558"/>
        <v>0</v>
      </c>
      <c r="CO49" s="163">
        <f t="shared" si="559"/>
        <v>46357</v>
      </c>
      <c r="CP49" s="163">
        <f t="shared" si="560"/>
        <v>46387</v>
      </c>
      <c r="CQ49" s="167">
        <f t="shared" si="561"/>
        <v>0</v>
      </c>
    </row>
    <row r="50" s="89" customFormat="1" ht="24" hidden="1" customHeight="1" outlineLevel="4" spans="1:95">
      <c r="A50" s="128"/>
      <c r="B50" s="129"/>
      <c r="C50" s="130"/>
      <c r="D50" s="128"/>
      <c r="E50" s="129"/>
      <c r="F50" s="129"/>
      <c r="G50" s="129"/>
      <c r="H50" s="131"/>
      <c r="I50" s="131"/>
      <c r="J50" s="131">
        <f t="shared" si="5"/>
        <v>0</v>
      </c>
      <c r="K50" s="131">
        <f t="shared" si="562"/>
        <v>4</v>
      </c>
      <c r="L50" s="156"/>
      <c r="M50" s="157">
        <f>IFERROR(VLOOKUP($L50,'2-2 引出数据_合同数据仓库'!$B$5:$BP$200,3,FALSE),0)</f>
        <v>0</v>
      </c>
      <c r="N50" s="131"/>
      <c r="O50" s="157">
        <f>IFERROR(VLOOKUP((LEFT(VLOOKUP($L50,'2-2 引出数据_合同数据仓库'!$B$5:$BP$200,64,FALSE),15)&amp;(RIGHT(VLOOKUP($L50,'2-2 引出数据_合同数据仓库'!$B$5:$BP$200,64,FALSE),4)+1)),'2-2 引出数据_合同数据仓库'!$B$5:$BP$200,3,FALSE),0)</f>
        <v>0</v>
      </c>
      <c r="P50" s="131"/>
      <c r="Q50" s="131">
        <f>IFERROR(VLOOKUP($L50,'2-2 引出数据_合同数据仓库'!$B$5:$BP$200,28,FALSE),0)</f>
        <v>0</v>
      </c>
      <c r="R50" s="131">
        <f>IFERROR(VLOOKUP($L50,'2-2 引出数据_合同数据仓库'!$B$5:$BP$200,29,FALSE),0)</f>
        <v>0</v>
      </c>
      <c r="S50" s="131">
        <f>IFERROR(VLOOKUP($L50,'2-2 引出数据_合同数据仓库'!$B$5:$BP$200,4,FALSE),0)</f>
        <v>0</v>
      </c>
      <c r="T50" s="131"/>
      <c r="U50" s="131">
        <f>IFERROR(VLOOKUP($L50,'2-2 引出数据_合同数据仓库'!$B$5:$BP$200,15,FALSE),0)</f>
        <v>0</v>
      </c>
      <c r="V50" s="131">
        <f t="shared" si="491"/>
        <v>0</v>
      </c>
      <c r="W50" s="131"/>
      <c r="X50" s="163">
        <v>45658</v>
      </c>
      <c r="Y50" s="163">
        <f t="shared" si="492"/>
        <v>45688</v>
      </c>
      <c r="Z50" s="167">
        <f t="shared" si="493"/>
        <v>0</v>
      </c>
      <c r="AA50" s="163">
        <f t="shared" si="494"/>
        <v>45689</v>
      </c>
      <c r="AB50" s="163">
        <f t="shared" si="495"/>
        <v>45716</v>
      </c>
      <c r="AC50" s="167">
        <f t="shared" si="496"/>
        <v>0</v>
      </c>
      <c r="AD50" s="163">
        <f t="shared" si="497"/>
        <v>45717</v>
      </c>
      <c r="AE50" s="163">
        <f t="shared" si="498"/>
        <v>45747</v>
      </c>
      <c r="AF50" s="167">
        <f t="shared" si="499"/>
        <v>0</v>
      </c>
      <c r="AG50" s="163">
        <f t="shared" si="500"/>
        <v>45748</v>
      </c>
      <c r="AH50" s="163">
        <f t="shared" si="501"/>
        <v>45777</v>
      </c>
      <c r="AI50" s="167">
        <f t="shared" si="502"/>
        <v>0</v>
      </c>
      <c r="AJ50" s="163">
        <f t="shared" si="503"/>
        <v>45778</v>
      </c>
      <c r="AK50" s="163">
        <f t="shared" si="504"/>
        <v>45808</v>
      </c>
      <c r="AL50" s="167">
        <f t="shared" si="505"/>
        <v>0</v>
      </c>
      <c r="AM50" s="163">
        <f t="shared" si="506"/>
        <v>45809</v>
      </c>
      <c r="AN50" s="163">
        <f t="shared" si="507"/>
        <v>45838</v>
      </c>
      <c r="AO50" s="167">
        <f t="shared" si="508"/>
        <v>0</v>
      </c>
      <c r="AP50" s="163">
        <f t="shared" si="509"/>
        <v>45839</v>
      </c>
      <c r="AQ50" s="163">
        <f t="shared" si="510"/>
        <v>45869</v>
      </c>
      <c r="AR50" s="167">
        <f t="shared" si="511"/>
        <v>0</v>
      </c>
      <c r="AS50" s="163">
        <f t="shared" si="512"/>
        <v>45870</v>
      </c>
      <c r="AT50" s="163">
        <f t="shared" si="513"/>
        <v>45900</v>
      </c>
      <c r="AU50" s="167">
        <f t="shared" si="514"/>
        <v>0</v>
      </c>
      <c r="AV50" s="163">
        <f t="shared" si="515"/>
        <v>45901</v>
      </c>
      <c r="AW50" s="163">
        <f t="shared" si="516"/>
        <v>45930</v>
      </c>
      <c r="AX50" s="167">
        <f t="shared" si="517"/>
        <v>0</v>
      </c>
      <c r="AY50" s="163">
        <f t="shared" si="518"/>
        <v>45931</v>
      </c>
      <c r="AZ50" s="163">
        <f t="shared" si="519"/>
        <v>45961</v>
      </c>
      <c r="BA50" s="167">
        <f t="shared" si="520"/>
        <v>0</v>
      </c>
      <c r="BB50" s="163">
        <f t="shared" si="521"/>
        <v>45962</v>
      </c>
      <c r="BC50" s="163">
        <f t="shared" si="522"/>
        <v>45991</v>
      </c>
      <c r="BD50" s="167">
        <f t="shared" si="523"/>
        <v>0</v>
      </c>
      <c r="BE50" s="163">
        <f t="shared" si="524"/>
        <v>45992</v>
      </c>
      <c r="BF50" s="163">
        <f t="shared" si="525"/>
        <v>46022</v>
      </c>
      <c r="BG50" s="167">
        <f t="shared" si="526"/>
        <v>0</v>
      </c>
      <c r="BH50" s="163">
        <v>46023</v>
      </c>
      <c r="BI50" s="163">
        <f t="shared" si="527"/>
        <v>46053</v>
      </c>
      <c r="BJ50" s="167">
        <f t="shared" si="528"/>
        <v>0</v>
      </c>
      <c r="BK50" s="163">
        <f t="shared" si="529"/>
        <v>46054</v>
      </c>
      <c r="BL50" s="163">
        <f t="shared" si="530"/>
        <v>46081</v>
      </c>
      <c r="BM50" s="167">
        <f t="shared" si="531"/>
        <v>0</v>
      </c>
      <c r="BN50" s="163">
        <f t="shared" si="532"/>
        <v>46082</v>
      </c>
      <c r="BO50" s="163">
        <f t="shared" si="533"/>
        <v>46112</v>
      </c>
      <c r="BP50" s="167">
        <f t="shared" si="534"/>
        <v>0</v>
      </c>
      <c r="BQ50" s="163">
        <f t="shared" si="535"/>
        <v>46113</v>
      </c>
      <c r="BR50" s="163">
        <f t="shared" si="536"/>
        <v>46142</v>
      </c>
      <c r="BS50" s="167">
        <f t="shared" si="537"/>
        <v>0</v>
      </c>
      <c r="BT50" s="163">
        <f t="shared" si="538"/>
        <v>46143</v>
      </c>
      <c r="BU50" s="163">
        <f t="shared" si="539"/>
        <v>46173</v>
      </c>
      <c r="BV50" s="167">
        <f t="shared" si="540"/>
        <v>0</v>
      </c>
      <c r="BW50" s="163">
        <f t="shared" si="541"/>
        <v>46174</v>
      </c>
      <c r="BX50" s="163">
        <f t="shared" si="542"/>
        <v>46203</v>
      </c>
      <c r="BY50" s="167">
        <f t="shared" si="543"/>
        <v>0</v>
      </c>
      <c r="BZ50" s="163">
        <f t="shared" si="544"/>
        <v>46204</v>
      </c>
      <c r="CA50" s="163">
        <f t="shared" si="545"/>
        <v>46234</v>
      </c>
      <c r="CB50" s="167">
        <f t="shared" si="546"/>
        <v>0</v>
      </c>
      <c r="CC50" s="163">
        <f t="shared" si="547"/>
        <v>46235</v>
      </c>
      <c r="CD50" s="163">
        <f t="shared" si="548"/>
        <v>46265</v>
      </c>
      <c r="CE50" s="167">
        <f t="shared" si="549"/>
        <v>0</v>
      </c>
      <c r="CF50" s="163">
        <f t="shared" si="550"/>
        <v>46266</v>
      </c>
      <c r="CG50" s="163">
        <f t="shared" si="551"/>
        <v>46295</v>
      </c>
      <c r="CH50" s="167">
        <f t="shared" si="552"/>
        <v>0</v>
      </c>
      <c r="CI50" s="163">
        <f t="shared" si="553"/>
        <v>46296</v>
      </c>
      <c r="CJ50" s="163">
        <f t="shared" si="554"/>
        <v>46326</v>
      </c>
      <c r="CK50" s="167">
        <f t="shared" si="555"/>
        <v>0</v>
      </c>
      <c r="CL50" s="163">
        <f t="shared" si="556"/>
        <v>46327</v>
      </c>
      <c r="CM50" s="163">
        <f t="shared" si="557"/>
        <v>46356</v>
      </c>
      <c r="CN50" s="167">
        <f t="shared" si="558"/>
        <v>0</v>
      </c>
      <c r="CO50" s="163">
        <f t="shared" si="559"/>
        <v>46357</v>
      </c>
      <c r="CP50" s="163">
        <f t="shared" si="560"/>
        <v>46387</v>
      </c>
      <c r="CQ50" s="167">
        <f t="shared" si="561"/>
        <v>0</v>
      </c>
    </row>
    <row r="51" s="89" customFormat="1" ht="24" hidden="1" customHeight="1" outlineLevel="4" spans="1:95">
      <c r="A51" s="132" t="s">
        <v>2813</v>
      </c>
      <c r="B51" s="133"/>
      <c r="C51" s="133"/>
      <c r="D51" s="133"/>
      <c r="E51" s="133"/>
      <c r="F51" s="133"/>
      <c r="G51" s="134"/>
      <c r="H51" s="135"/>
      <c r="I51" s="135"/>
      <c r="J51" s="135"/>
      <c r="K51" s="135"/>
      <c r="L51" s="158"/>
      <c r="M51" s="158"/>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row>
    <row r="52" ht="24" hidden="1" customHeight="1" outlineLevel="3" collapsed="1" spans="1:95">
      <c r="A52" s="124"/>
      <c r="B52" s="125" t="s">
        <v>792</v>
      </c>
      <c r="C52" s="126" t="s">
        <v>70</v>
      </c>
      <c r="D52" s="124" t="s">
        <v>68</v>
      </c>
      <c r="E52" s="125"/>
      <c r="F52" s="125"/>
      <c r="G52" s="125"/>
      <c r="H52" s="127">
        <f>X52+AA52+AD52+AG52+AJ52+AM52+AP52+AS52+AV52+AY52+BB52+BE52</f>
        <v>0</v>
      </c>
      <c r="I52" s="127">
        <f>Y52+AB52+AE52+AH52+AK52+AN52+AQ52+AT52+AW52+AZ52+BC52+BF52</f>
        <v>0</v>
      </c>
      <c r="J52" s="127">
        <f t="shared" si="5"/>
        <v>0</v>
      </c>
      <c r="K52" s="127"/>
      <c r="L52" s="155"/>
      <c r="M52" s="155"/>
      <c r="N52" s="127"/>
      <c r="O52" s="127"/>
      <c r="P52" s="127"/>
      <c r="Q52" s="127"/>
      <c r="R52" s="127"/>
      <c r="S52" s="127"/>
      <c r="T52" s="127"/>
      <c r="U52" s="127"/>
      <c r="V52" s="127"/>
      <c r="W52" s="127"/>
      <c r="X52" s="127">
        <f>VLOOKUP($C52,'1 预算编制表单'!$C:$BJ,27,FALSE)</f>
        <v>0</v>
      </c>
      <c r="Y52" s="127">
        <f>X52-Z52</f>
        <v>0</v>
      </c>
      <c r="Z52" s="127">
        <f>SUM(Z53:Z57)</f>
        <v>0</v>
      </c>
      <c r="AA52" s="127">
        <f>VLOOKUP($C52,'1 预算编制表单'!$C:$BJ,30,FALSE)</f>
        <v>0</v>
      </c>
      <c r="AB52" s="127">
        <f>AA52-AC52</f>
        <v>0</v>
      </c>
      <c r="AC52" s="127">
        <f>SUM(AC53:AC57)</f>
        <v>0</v>
      </c>
      <c r="AD52" s="127">
        <f>VLOOKUP($C52,'1 预算编制表单'!$C:$BJ,33,FALSE)</f>
        <v>0</v>
      </c>
      <c r="AE52" s="127">
        <f>AD52-AF52</f>
        <v>0</v>
      </c>
      <c r="AF52" s="127">
        <f>SUM(AF53:AF57)</f>
        <v>0</v>
      </c>
      <c r="AG52" s="127">
        <f>VLOOKUP($C52,'1 预算编制表单'!$C:$BJ,36,FALSE)</f>
        <v>0</v>
      </c>
      <c r="AH52" s="127">
        <f>AG52-AI52</f>
        <v>0</v>
      </c>
      <c r="AI52" s="127">
        <f>SUM(AI53:AI57)</f>
        <v>0</v>
      </c>
      <c r="AJ52" s="127">
        <f>VLOOKUP($C52,'1 预算编制表单'!$C:$BJ,39,FALSE)</f>
        <v>0</v>
      </c>
      <c r="AK52" s="127">
        <f>AJ52-AL52</f>
        <v>0</v>
      </c>
      <c r="AL52" s="127">
        <f>SUM(AL53:AL57)</f>
        <v>0</v>
      </c>
      <c r="AM52" s="127">
        <f>VLOOKUP($C52,'1 预算编制表单'!$C:$BJ,42,FALSE)</f>
        <v>0</v>
      </c>
      <c r="AN52" s="127">
        <f>AM52-AO52</f>
        <v>0</v>
      </c>
      <c r="AO52" s="127">
        <f>SUM(AO53:AO57)</f>
        <v>0</v>
      </c>
      <c r="AP52" s="127">
        <f>VLOOKUP($C52,'1 预算编制表单'!$C:$BJ,45,FALSE)</f>
        <v>0</v>
      </c>
      <c r="AQ52" s="127">
        <f>AP52-AR52</f>
        <v>0</v>
      </c>
      <c r="AR52" s="127">
        <f>SUM(AR53:AR57)</f>
        <v>0</v>
      </c>
      <c r="AS52" s="127">
        <f>VLOOKUP($C52,'1 预算编制表单'!$C:$BJ,48,FALSE)</f>
        <v>0</v>
      </c>
      <c r="AT52" s="127">
        <f>AS52-AU52</f>
        <v>0</v>
      </c>
      <c r="AU52" s="127">
        <f>SUM(AU53:AU57)</f>
        <v>0</v>
      </c>
      <c r="AV52" s="127">
        <f>VLOOKUP($C52,'1 预算编制表单'!$C:$BJ,51,FALSE)</f>
        <v>0</v>
      </c>
      <c r="AW52" s="127">
        <f>AV52-AX52</f>
        <v>0</v>
      </c>
      <c r="AX52" s="127">
        <f>SUM(AX53:AX57)</f>
        <v>0</v>
      </c>
      <c r="AY52" s="127">
        <f>VLOOKUP($C52,'1 预算编制表单'!$C:$BJ,54,FALSE)</f>
        <v>0</v>
      </c>
      <c r="AZ52" s="127">
        <f>AY52-BA52</f>
        <v>0</v>
      </c>
      <c r="BA52" s="127">
        <f>SUM(BA53:BA57)</f>
        <v>0</v>
      </c>
      <c r="BB52" s="127">
        <f>VLOOKUP($C52,'1 预算编制表单'!$C:$BJ,57,FALSE)</f>
        <v>0</v>
      </c>
      <c r="BC52" s="127">
        <f>BB52-BD52</f>
        <v>0</v>
      </c>
      <c r="BD52" s="127">
        <f>SUM(BD53:BD57)</f>
        <v>0</v>
      </c>
      <c r="BE52" s="127">
        <f>VLOOKUP($C52,'1 预算编制表单'!$C:$BJ,60,FALSE)</f>
        <v>0</v>
      </c>
      <c r="BF52" s="127">
        <f>BE52-BG52</f>
        <v>0</v>
      </c>
      <c r="BG52" s="127">
        <f>SUM(BG53:BG57)</f>
        <v>0</v>
      </c>
      <c r="BH52" s="127">
        <f>VLOOKUP($C52,'1 预算编制表单'!$C:$BJ,27,FALSE)</f>
        <v>0</v>
      </c>
      <c r="BI52" s="127">
        <f>BH52-BJ52</f>
        <v>0</v>
      </c>
      <c r="BJ52" s="127">
        <f>SUM(BJ53:BJ57)</f>
        <v>0</v>
      </c>
      <c r="BK52" s="127">
        <f>VLOOKUP($C52,'1 预算编制表单'!$C:$BJ,30,FALSE)</f>
        <v>0</v>
      </c>
      <c r="BL52" s="127">
        <f>BK52-BM52</f>
        <v>0</v>
      </c>
      <c r="BM52" s="127">
        <f>SUM(BM53:BM57)</f>
        <v>0</v>
      </c>
      <c r="BN52" s="127">
        <f>VLOOKUP($C52,'1 预算编制表单'!$C:$BJ,33,FALSE)</f>
        <v>0</v>
      </c>
      <c r="BO52" s="127">
        <f>BN52-BP52</f>
        <v>0</v>
      </c>
      <c r="BP52" s="127">
        <f>SUM(BP53:BP57)</f>
        <v>0</v>
      </c>
      <c r="BQ52" s="127">
        <f>VLOOKUP($C52,'1 预算编制表单'!$C:$BJ,36,FALSE)</f>
        <v>0</v>
      </c>
      <c r="BR52" s="127">
        <f>BQ52-BS52</f>
        <v>0</v>
      </c>
      <c r="BS52" s="127">
        <f>SUM(BS53:BS57)</f>
        <v>0</v>
      </c>
      <c r="BT52" s="127">
        <f>VLOOKUP($C52,'1 预算编制表单'!$C:$BJ,39,FALSE)</f>
        <v>0</v>
      </c>
      <c r="BU52" s="127">
        <f>BT52-BV52</f>
        <v>0</v>
      </c>
      <c r="BV52" s="127">
        <f>SUM(BV53:BV57)</f>
        <v>0</v>
      </c>
      <c r="BW52" s="127">
        <f>VLOOKUP($C52,'1 预算编制表单'!$C:$BJ,42,FALSE)</f>
        <v>0</v>
      </c>
      <c r="BX52" s="127">
        <f>BW52-BY52</f>
        <v>0</v>
      </c>
      <c r="BY52" s="127">
        <f>SUM(BY53:BY57)</f>
        <v>0</v>
      </c>
      <c r="BZ52" s="127">
        <f>VLOOKUP($C52,'1 预算编制表单'!$C:$BJ,45,FALSE)</f>
        <v>0</v>
      </c>
      <c r="CA52" s="127">
        <f>BZ52-CB52</f>
        <v>0</v>
      </c>
      <c r="CB52" s="127">
        <f>SUM(CB53:CB57)</f>
        <v>0</v>
      </c>
      <c r="CC52" s="127">
        <f>VLOOKUP($C52,'1 预算编制表单'!$C:$BJ,48,FALSE)</f>
        <v>0</v>
      </c>
      <c r="CD52" s="127">
        <f>CC52-CE52</f>
        <v>0</v>
      </c>
      <c r="CE52" s="127">
        <f>SUM(CE53:CE57)</f>
        <v>0</v>
      </c>
      <c r="CF52" s="127">
        <f>VLOOKUP($C52,'1 预算编制表单'!$C:$BJ,51,FALSE)</f>
        <v>0</v>
      </c>
      <c r="CG52" s="127">
        <f>CF52-CH52</f>
        <v>0</v>
      </c>
      <c r="CH52" s="127">
        <f>SUM(CH53:CH57)</f>
        <v>0</v>
      </c>
      <c r="CI52" s="127">
        <f>VLOOKUP($C52,'1 预算编制表单'!$C:$BJ,54,FALSE)</f>
        <v>0</v>
      </c>
      <c r="CJ52" s="127">
        <f>CI52-CK52</f>
        <v>0</v>
      </c>
      <c r="CK52" s="127">
        <f>SUM(CK53:CK57)</f>
        <v>0</v>
      </c>
      <c r="CL52" s="127">
        <f>VLOOKUP($C52,'1 预算编制表单'!$C:$BJ,57,FALSE)</f>
        <v>0</v>
      </c>
      <c r="CM52" s="127">
        <f>CL52-CN52</f>
        <v>0</v>
      </c>
      <c r="CN52" s="127">
        <f>SUM(CN53:CN57)</f>
        <v>0</v>
      </c>
      <c r="CO52" s="127">
        <f>VLOOKUP($C52,'1 预算编制表单'!$C:$BJ,60,FALSE)</f>
        <v>0</v>
      </c>
      <c r="CP52" s="127">
        <f>CO52-CQ52</f>
        <v>0</v>
      </c>
      <c r="CQ52" s="127">
        <f>SUM(CQ53:CQ57)</f>
        <v>0</v>
      </c>
    </row>
    <row r="53" s="90" customFormat="1" ht="24" hidden="1" customHeight="1" outlineLevel="4" spans="1:95">
      <c r="A53" s="137"/>
      <c r="B53" s="138"/>
      <c r="C53" s="139" t="s">
        <v>906</v>
      </c>
      <c r="D53" s="137" t="s">
        <v>2814</v>
      </c>
      <c r="E53" s="138"/>
      <c r="F53" s="138"/>
      <c r="G53" s="138"/>
      <c r="H53" s="140"/>
      <c r="I53" s="140"/>
      <c r="J53" s="140">
        <f t="shared" si="5"/>
        <v>0</v>
      </c>
      <c r="K53" s="140"/>
      <c r="L53" s="161"/>
      <c r="M53" s="161"/>
      <c r="N53" s="140"/>
      <c r="O53" s="161"/>
      <c r="P53" s="140"/>
      <c r="Q53" s="140"/>
      <c r="R53" s="140"/>
      <c r="S53" s="140"/>
      <c r="T53" s="140"/>
      <c r="U53" s="140"/>
      <c r="V53" s="140"/>
      <c r="W53" s="140"/>
      <c r="X53" s="164"/>
      <c r="Y53" s="164"/>
      <c r="Z53" s="140">
        <f>报销单计算表!B25</f>
        <v>0</v>
      </c>
      <c r="AA53" s="164"/>
      <c r="AB53" s="164"/>
      <c r="AC53" s="140">
        <f>报销单计算表!C25</f>
        <v>0</v>
      </c>
      <c r="AD53" s="164"/>
      <c r="AE53" s="164"/>
      <c r="AF53" s="140">
        <f>报销单计算表!D25</f>
        <v>0</v>
      </c>
      <c r="AG53" s="164"/>
      <c r="AH53" s="164"/>
      <c r="AI53" s="140">
        <f>报销单计算表!E25</f>
        <v>0</v>
      </c>
      <c r="AJ53" s="164"/>
      <c r="AK53" s="164"/>
      <c r="AL53" s="140">
        <f>报销单计算表!F25</f>
        <v>0</v>
      </c>
      <c r="AM53" s="164"/>
      <c r="AN53" s="164"/>
      <c r="AO53" s="140">
        <f>报销单计算表!G25</f>
        <v>0</v>
      </c>
      <c r="AP53" s="164"/>
      <c r="AQ53" s="164"/>
      <c r="AR53" s="140">
        <f>报销单计算表!H25</f>
        <v>0</v>
      </c>
      <c r="AS53" s="164"/>
      <c r="AT53" s="164"/>
      <c r="AU53" s="140">
        <f>报销单计算表!I25</f>
        <v>0</v>
      </c>
      <c r="AV53" s="164"/>
      <c r="AW53" s="164"/>
      <c r="AX53" s="140">
        <f>报销单计算表!J25</f>
        <v>0</v>
      </c>
      <c r="AY53" s="164"/>
      <c r="AZ53" s="164"/>
      <c r="BA53" s="140">
        <f>报销单计算表!K25</f>
        <v>0</v>
      </c>
      <c r="BB53" s="164"/>
      <c r="BC53" s="164"/>
      <c r="BD53" s="140">
        <f>报销单计算表!L25</f>
        <v>0</v>
      </c>
      <c r="BE53" s="164"/>
      <c r="BF53" s="164"/>
      <c r="BG53" s="140">
        <f>报销单计算表!M25</f>
        <v>0</v>
      </c>
      <c r="BH53" s="164">
        <v>46023</v>
      </c>
      <c r="BI53" s="164">
        <f t="shared" ref="BI53" si="563">BH53+30</f>
        <v>46053</v>
      </c>
      <c r="BJ53" s="140">
        <f t="shared" ref="BJ53" si="564">IFERROR(IF(($R53-BI53)&gt;=0,0,IF(($S53-BH53)&lt;0,0,IF(AND(($S53-BI53)&gt;0,(BH53-$R53)&gt;0),$V53/365*(BI53-BH53+1),IF(AND(($S53-BI53)&lt;=0,(BH53-$R53)&gt;0),$V53/365*($S53-BH53+1),$V53/365*(BI53-$R53+1))))),0)</f>
        <v>0</v>
      </c>
      <c r="BK53" s="164">
        <f t="shared" ref="BK53" si="565">BI53+1</f>
        <v>46054</v>
      </c>
      <c r="BL53" s="164">
        <f t="shared" ref="BL53" si="566">BK53+27</f>
        <v>46081</v>
      </c>
      <c r="BM53" s="140">
        <f t="shared" ref="BM53" si="567">IFERROR(IF(($R53-BL53)&gt;=0,0,IF(($S53-BK53)&lt;0,0,IF(AND(($S53-BL53)&gt;0,(BK53-$R53)&gt;0),$V53/365*(BL53-BK53+1),IF(AND(($S53-BL53)&lt;=0,(BK53-$R53)&gt;0),$V53/365*($S53-BK53+1),$V53/365*(BL53-$R53+1))))),0)</f>
        <v>0</v>
      </c>
      <c r="BN53" s="164">
        <f t="shared" ref="BN53" si="568">BL53+1</f>
        <v>46082</v>
      </c>
      <c r="BO53" s="164">
        <f t="shared" ref="BO53" si="569">BN53+30</f>
        <v>46112</v>
      </c>
      <c r="BP53" s="140">
        <f t="shared" ref="BP53" si="570">IFERROR(IF(($R53-BO53)&gt;=0,0,IF(($S53-BN53)&lt;0,0,IF(AND(($S53-BO53)&gt;0,(BN53-$R53)&gt;0),$V53/365*(BO53-BN53+1),IF(AND(($S53-BO53)&lt;=0,(BN53-$R53)&gt;0),$V53/365*($S53-BN53+1),$V53/365*(BO53-$R53+1))))),0)</f>
        <v>0</v>
      </c>
      <c r="BQ53" s="164">
        <f t="shared" ref="BQ53" si="571">BO53+1</f>
        <v>46113</v>
      </c>
      <c r="BR53" s="164">
        <f t="shared" ref="BR53" si="572">BQ53+29</f>
        <v>46142</v>
      </c>
      <c r="BS53" s="140">
        <f t="shared" ref="BS53" si="573">IFERROR(IF(($R53-BR53)&gt;=0,0,IF(($S53-BQ53)&lt;0,0,IF(AND(($S53-BR53)&gt;0,(BQ53-$R53)&gt;0),$V53/365*(BR53-BQ53+1),IF(AND(($S53-BR53)&lt;=0,(BQ53-$R53)&gt;0),$V53/365*($S53-BQ53+1),$V53/365*(BR53-$R53+1))))),0)</f>
        <v>0</v>
      </c>
      <c r="BT53" s="164">
        <f t="shared" ref="BT53" si="574">BR53+1</f>
        <v>46143</v>
      </c>
      <c r="BU53" s="164">
        <f t="shared" ref="BU53" si="575">BT53+30</f>
        <v>46173</v>
      </c>
      <c r="BV53" s="140">
        <f t="shared" ref="BV53" si="576">IFERROR(IF(($R53-BU53)&gt;=0,0,IF(($S53-BT53)&lt;0,0,IF(AND(($S53-BU53)&gt;0,(BT53-$R53)&gt;0),$V53/365*(BU53-BT53+1),IF(AND(($S53-BU53)&lt;=0,(BT53-$R53)&gt;0),$V53/365*($S53-BT53+1),$V53/365*(BU53-$R53+1))))),0)</f>
        <v>0</v>
      </c>
      <c r="BW53" s="164">
        <f t="shared" ref="BW53" si="577">BU53+1</f>
        <v>46174</v>
      </c>
      <c r="BX53" s="164">
        <f t="shared" ref="BX53" si="578">BW53+29</f>
        <v>46203</v>
      </c>
      <c r="BY53" s="140">
        <f t="shared" ref="BY53" si="579">IFERROR(IF(($R53-BX53)&gt;=0,0,IF(($S53-BW53)&lt;0,0,IF(AND(($S53-BX53)&gt;0,(BW53-$R53)&gt;0),$V53/365*(BX53-BW53+1),IF(AND(($S53-BX53)&lt;=0,(BW53-$R53)&gt;0),$V53/365*($S53-BW53+1),$V53/365*(BX53-$R53+1))))),0)</f>
        <v>0</v>
      </c>
      <c r="BZ53" s="164">
        <f t="shared" ref="BZ53" si="580">BX53+1</f>
        <v>46204</v>
      </c>
      <c r="CA53" s="164">
        <f t="shared" ref="CA53" si="581">BZ53+30</f>
        <v>46234</v>
      </c>
      <c r="CB53" s="140">
        <f t="shared" ref="CB53" si="582">IFERROR(IF(($R53-CA53)&gt;=0,0,IF(($S53-BZ53)&lt;0,0,IF(AND(($S53-CA53)&gt;0,(BZ53-$R53)&gt;0),$V53/365*(CA53-BZ53+1),IF(AND(($S53-CA53)&lt;=0,(BZ53-$R53)&gt;0),$V53/365*($S53-BZ53+1),$V53/365*(CA53-$R53+1))))),0)</f>
        <v>0</v>
      </c>
      <c r="CC53" s="164">
        <f t="shared" ref="CC53" si="583">CA53+1</f>
        <v>46235</v>
      </c>
      <c r="CD53" s="164">
        <f t="shared" ref="CD53" si="584">CC53+30</f>
        <v>46265</v>
      </c>
      <c r="CE53" s="140">
        <f t="shared" ref="CE53" si="585">IFERROR(IF(($R53-CD53)&gt;=0,0,IF(($S53-CC53)&lt;0,0,IF(AND(($S53-CD53)&gt;0,(CC53-$R53)&gt;0),$V53/365*(CD53-CC53+1),IF(AND(($S53-CD53)&lt;=0,(CC53-$R53)&gt;0),$V53/365*($S53-CC53+1),$V53/365*(CD53-$R53+1))))),0)</f>
        <v>0</v>
      </c>
      <c r="CF53" s="164">
        <f t="shared" ref="CF53" si="586">CD53+1</f>
        <v>46266</v>
      </c>
      <c r="CG53" s="164">
        <f t="shared" ref="CG53" si="587">CF53+29</f>
        <v>46295</v>
      </c>
      <c r="CH53" s="140">
        <f t="shared" ref="CH53" si="588">IFERROR(IF(($R53-CG53)&gt;=0,0,IF(($S53-CF53)&lt;0,0,IF(AND(($S53-CG53)&gt;0,(CF53-$R53)&gt;0),$V53/365*(CG53-CF53+1),IF(AND(($S53-CG53)&lt;=0,(CF53-$R53)&gt;0),$V53/365*($S53-CF53+1),$V53/365*(CG53-$R53+1))))),0)</f>
        <v>0</v>
      </c>
      <c r="CI53" s="164">
        <f t="shared" ref="CI53" si="589">CG53+1</f>
        <v>46296</v>
      </c>
      <c r="CJ53" s="164">
        <f t="shared" ref="CJ53" si="590">CI53+30</f>
        <v>46326</v>
      </c>
      <c r="CK53" s="140">
        <f t="shared" ref="CK53" si="591">IFERROR(IF(($R53-CJ53)&gt;=0,0,IF(($S53-CI53)&lt;0,0,IF(AND(($S53-CJ53)&gt;0,(CI53-$R53)&gt;0),$V53/365*(CJ53-CI53+1),IF(AND(($S53-CJ53)&lt;=0,(CI53-$R53)&gt;0),$V53/365*($S53-CI53+1),$V53/365*(CJ53-$R53+1))))),0)</f>
        <v>0</v>
      </c>
      <c r="CL53" s="164">
        <f t="shared" ref="CL53" si="592">CJ53+1</f>
        <v>46327</v>
      </c>
      <c r="CM53" s="164">
        <f t="shared" ref="CM53" si="593">CL53+29</f>
        <v>46356</v>
      </c>
      <c r="CN53" s="140">
        <f t="shared" ref="CN53" si="594">IFERROR(IF(($R53-CM53)&gt;=0,0,IF(($S53-CL53)&lt;0,0,IF(AND(($S53-CM53)&gt;0,(CL53-$R53)&gt;0),$V53/365*(CM53-CL53+1),IF(AND(($S53-CM53)&lt;=0,(CL53-$R53)&gt;0),$V53/365*($S53-CL53+1),$V53/365*(CM53-$R53+1))))),0)</f>
        <v>0</v>
      </c>
      <c r="CO53" s="164">
        <f t="shared" ref="CO53" si="595">CM53+1</f>
        <v>46357</v>
      </c>
      <c r="CP53" s="164">
        <f t="shared" ref="CP53" si="596">CO53+30</f>
        <v>46387</v>
      </c>
      <c r="CQ53" s="140">
        <f t="shared" ref="CQ53" si="597">IFERROR(IF(($R53-CP53)&gt;=0,0,IF(($S53-CO53)&lt;0,0,IF(AND(($S53-CP53)&gt;0,(CO53-$R53)&gt;0),$V53/365*(CP53-CO53+1),IF(AND(($S53-CP53)&lt;=0,(CO53-$R53)&gt;0),$V53/365*($S53-CO53+1),$V53/365*(CP53-$R53+1))))),0)</f>
        <v>0</v>
      </c>
    </row>
    <row r="54" s="89" customFormat="1" ht="24" hidden="1" customHeight="1" outlineLevel="4" spans="1:95">
      <c r="A54" s="128"/>
      <c r="B54" s="129"/>
      <c r="C54" s="130"/>
      <c r="D54" s="128"/>
      <c r="E54" s="129"/>
      <c r="F54" s="129"/>
      <c r="G54" s="129"/>
      <c r="H54" s="131"/>
      <c r="I54" s="131"/>
      <c r="J54" s="131">
        <f t="shared" si="5"/>
        <v>0</v>
      </c>
      <c r="K54" s="131">
        <f t="shared" ref="K54:K56" si="598">K53+1</f>
        <v>1</v>
      </c>
      <c r="L54" s="156"/>
      <c r="M54" s="157">
        <f>IFERROR(VLOOKUP($L54,'2-2 引出数据_合同数据仓库'!$B$5:$BP$200,3,FALSE),0)</f>
        <v>0</v>
      </c>
      <c r="N54" s="131"/>
      <c r="O54" s="157">
        <f>IFERROR(VLOOKUP((LEFT(VLOOKUP($L54,'2-2 引出数据_合同数据仓库'!$B$5:$BP$200,64,FALSE),15)&amp;(RIGHT(VLOOKUP($L54,'2-2 引出数据_合同数据仓库'!$B$5:$BP$200,64,FALSE),4)+1)),'2-2 引出数据_合同数据仓库'!$B$5:$BP$200,3,FALSE),0)</f>
        <v>0</v>
      </c>
      <c r="P54" s="131"/>
      <c r="Q54" s="131">
        <f>IFERROR(VLOOKUP($L54,'2-2 引出数据_合同数据仓库'!$B$5:$BP$200,28,FALSE),0)</f>
        <v>0</v>
      </c>
      <c r="R54" s="131">
        <f>IFERROR(VLOOKUP($L54,'2-2 引出数据_合同数据仓库'!$B$5:$BP$200,29,FALSE),0)</f>
        <v>0</v>
      </c>
      <c r="S54" s="131">
        <f>IFERROR(VLOOKUP($L54,'2-2 引出数据_合同数据仓库'!$B$5:$BP$200,4,FALSE),0)</f>
        <v>0</v>
      </c>
      <c r="T54" s="131"/>
      <c r="U54" s="131">
        <f>IFERROR(VLOOKUP($L54,'2-2 引出数据_合同数据仓库'!$B$5:$BP$200,15,FALSE),0)</f>
        <v>0</v>
      </c>
      <c r="V54" s="131">
        <f t="shared" ref="V54:V56" si="599">U54/(S54-R54+1)*365</f>
        <v>0</v>
      </c>
      <c r="W54" s="131"/>
      <c r="X54" s="163">
        <v>45658</v>
      </c>
      <c r="Y54" s="163">
        <f t="shared" ref="Y54:Y56" si="600">X54+30</f>
        <v>45688</v>
      </c>
      <c r="Z54" s="167">
        <f t="shared" ref="Z54:Z56" si="601">IFERROR(IF(($R54-Y54)&gt;=0,0,IF(($S54-X54)&lt;0,0,IF(AND(($S54-Y54)&gt;0,(X54-$R54)&gt;0),$V54/365*(Y54-X54+1),IF(AND(($S54-Y54)&lt;=0,(X54-$R54)&gt;0),$V54/365*($S54-X54+1),$V54/365*(Y54-$R54+1))))),0)</f>
        <v>0</v>
      </c>
      <c r="AA54" s="163">
        <f t="shared" ref="AA54:AA56" si="602">Y54+1</f>
        <v>45689</v>
      </c>
      <c r="AB54" s="163">
        <f t="shared" ref="AB54:AB56" si="603">AA54+27</f>
        <v>45716</v>
      </c>
      <c r="AC54" s="167">
        <f t="shared" ref="AC54:AC56" si="604">IFERROR(IF(($R54-AB54)&gt;=0,0,IF(($S54-AA54)&lt;0,0,IF(AND(($S54-AB54)&gt;0,(AA54-$R54)&gt;0),$V54/365*(AB54-AA54+1),IF(AND(($S54-AB54)&lt;=0,(AA54-$R54)&gt;0),$V54/365*($S54-AA54+1),$V54/365*(AB54-$R54+1))))),0)</f>
        <v>0</v>
      </c>
      <c r="AD54" s="163">
        <f t="shared" ref="AD54:AD56" si="605">AB54+1</f>
        <v>45717</v>
      </c>
      <c r="AE54" s="163">
        <f t="shared" ref="AE54:AE56" si="606">AD54+30</f>
        <v>45747</v>
      </c>
      <c r="AF54" s="167">
        <f t="shared" ref="AF54:AF56" si="607">IFERROR(IF(($R54-AE54)&gt;=0,0,IF(($S54-AD54)&lt;0,0,IF(AND(($S54-AE54)&gt;0,(AD54-$R54)&gt;0),$V54/365*(AE54-AD54+1),IF(AND(($S54-AE54)&lt;=0,(AD54-$R54)&gt;0),$V54/365*($S54-AD54+1),$V54/365*(AE54-$R54+1))))),0)</f>
        <v>0</v>
      </c>
      <c r="AG54" s="163">
        <f t="shared" ref="AG54:AG56" si="608">AE54+1</f>
        <v>45748</v>
      </c>
      <c r="AH54" s="163">
        <f t="shared" ref="AH54:AH56" si="609">AG54+29</f>
        <v>45777</v>
      </c>
      <c r="AI54" s="167">
        <f t="shared" ref="AI54:AI56" si="610">IFERROR(IF(($R54-AH54)&gt;=0,0,IF(($S54-AG54)&lt;0,0,IF(AND(($S54-AH54)&gt;0,(AG54-$R54)&gt;0),$V54/365*(AH54-AG54+1),IF(AND(($S54-AH54)&lt;=0,(AG54-$R54)&gt;0),$V54/365*($S54-AG54+1),$V54/365*(AH54-$R54+1))))),0)</f>
        <v>0</v>
      </c>
      <c r="AJ54" s="163">
        <f t="shared" ref="AJ54:AJ56" si="611">AH54+1</f>
        <v>45778</v>
      </c>
      <c r="AK54" s="163">
        <f t="shared" ref="AK54:AK56" si="612">AJ54+30</f>
        <v>45808</v>
      </c>
      <c r="AL54" s="167">
        <f t="shared" ref="AL54:AL56" si="613">IFERROR(IF(($R54-AK54)&gt;=0,0,IF(($S54-AJ54)&lt;0,0,IF(AND(($S54-AK54)&gt;0,(AJ54-$R54)&gt;0),$V54/365*(AK54-AJ54+1),IF(AND(($S54-AK54)&lt;=0,(AJ54-$R54)&gt;0),$V54/365*($S54-AJ54+1),$V54/365*(AK54-$R54+1))))),0)</f>
        <v>0</v>
      </c>
      <c r="AM54" s="163">
        <f t="shared" ref="AM54:AM56" si="614">AK54+1</f>
        <v>45809</v>
      </c>
      <c r="AN54" s="163">
        <f t="shared" ref="AN54:AN56" si="615">AM54+29</f>
        <v>45838</v>
      </c>
      <c r="AO54" s="167">
        <f t="shared" ref="AO54:AO56" si="616">IFERROR(IF(($R54-AN54)&gt;=0,0,IF(($S54-AM54)&lt;0,0,IF(AND(($S54-AN54)&gt;0,(AM54-$R54)&gt;0),$V54/365*(AN54-AM54+1),IF(AND(($S54-AN54)&lt;=0,(AM54-$R54)&gt;0),$V54/365*($S54-AM54+1),$V54/365*(AN54-$R54+1))))),0)</f>
        <v>0</v>
      </c>
      <c r="AP54" s="163">
        <f t="shared" ref="AP54:AP56" si="617">AN54+1</f>
        <v>45839</v>
      </c>
      <c r="AQ54" s="163">
        <f t="shared" ref="AQ54:AQ56" si="618">AP54+30</f>
        <v>45869</v>
      </c>
      <c r="AR54" s="167">
        <f t="shared" ref="AR54:AR56" si="619">IFERROR(IF(($R54-AQ54)&gt;=0,0,IF(($S54-AP54)&lt;0,0,IF(AND(($S54-AQ54)&gt;0,(AP54-$R54)&gt;0),$V54/365*(AQ54-AP54+1),IF(AND(($S54-AQ54)&lt;=0,(AP54-$R54)&gt;0),$V54/365*($S54-AP54+1),$V54/365*(AQ54-$R54+1))))),0)</f>
        <v>0</v>
      </c>
      <c r="AS54" s="163">
        <f t="shared" ref="AS54:AS56" si="620">AQ54+1</f>
        <v>45870</v>
      </c>
      <c r="AT54" s="163">
        <f t="shared" ref="AT54:AT56" si="621">AS54+30</f>
        <v>45900</v>
      </c>
      <c r="AU54" s="167">
        <f t="shared" ref="AU54:AU56" si="622">IFERROR(IF(($R54-AT54)&gt;=0,0,IF(($S54-AS54)&lt;0,0,IF(AND(($S54-AT54)&gt;0,(AS54-$R54)&gt;0),$V54/365*(AT54-AS54+1),IF(AND(($S54-AT54)&lt;=0,(AS54-$R54)&gt;0),$V54/365*($S54-AS54+1),$V54/365*(AT54-$R54+1))))),0)</f>
        <v>0</v>
      </c>
      <c r="AV54" s="163">
        <f t="shared" ref="AV54:AV56" si="623">AT54+1</f>
        <v>45901</v>
      </c>
      <c r="AW54" s="163">
        <f t="shared" ref="AW54:AW56" si="624">AV54+29</f>
        <v>45930</v>
      </c>
      <c r="AX54" s="167">
        <f t="shared" ref="AX54:AX56" si="625">IFERROR(IF(($R54-AW54)&gt;=0,0,IF(($S54-AV54)&lt;0,0,IF(AND(($S54-AW54)&gt;0,(AV54-$R54)&gt;0),$V54/365*(AW54-AV54+1),IF(AND(($S54-AW54)&lt;=0,(AV54-$R54)&gt;0),$V54/365*($S54-AV54+1),$V54/365*(AW54-$R54+1))))),0)</f>
        <v>0</v>
      </c>
      <c r="AY54" s="163">
        <f t="shared" ref="AY54:AY56" si="626">AW54+1</f>
        <v>45931</v>
      </c>
      <c r="AZ54" s="163">
        <f t="shared" ref="AZ54:AZ56" si="627">AY54+30</f>
        <v>45961</v>
      </c>
      <c r="BA54" s="167">
        <f t="shared" ref="BA54:BA56" si="628">IFERROR(IF(($R54-AZ54)&gt;=0,0,IF(($S54-AY54)&lt;0,0,IF(AND(($S54-AZ54)&gt;0,(AY54-$R54)&gt;0),$V54/365*(AZ54-AY54+1),IF(AND(($S54-AZ54)&lt;=0,(AY54-$R54)&gt;0),$V54/365*($S54-AY54+1),$V54/365*(AZ54-$R54+1))))),0)</f>
        <v>0</v>
      </c>
      <c r="BB54" s="163">
        <f t="shared" ref="BB54:BB56" si="629">AZ54+1</f>
        <v>45962</v>
      </c>
      <c r="BC54" s="163">
        <f t="shared" ref="BC54:BC56" si="630">BB54+29</f>
        <v>45991</v>
      </c>
      <c r="BD54" s="167">
        <f t="shared" ref="BD54:BD56" si="631">IFERROR(IF(($R54-BC54)&gt;=0,0,IF(($S54-BB54)&lt;0,0,IF(AND(($S54-BC54)&gt;0,(BB54-$R54)&gt;0),$V54/365*(BC54-BB54+1),IF(AND(($S54-BC54)&lt;=0,(BB54-$R54)&gt;0),$V54/365*($S54-BB54+1),$V54/365*(BC54-$R54+1))))),0)</f>
        <v>0</v>
      </c>
      <c r="BE54" s="163">
        <f t="shared" ref="BE54:BE56" si="632">BC54+1</f>
        <v>45992</v>
      </c>
      <c r="BF54" s="163">
        <f t="shared" ref="BF54:BF56" si="633">BE54+30</f>
        <v>46022</v>
      </c>
      <c r="BG54" s="167">
        <f t="shared" ref="BG54:BG56" si="634">IFERROR(IF(($R54-BF54)&gt;=0,0,IF(($S54-BE54)&lt;0,0,IF(AND(($S54-BF54)&gt;0,(BE54-$R54)&gt;0),$V54/365*(BF54-BE54+1),IF(AND(($S54-BF54)&lt;=0,(BE54-$R54)&gt;0),$V54/365*($S54-BE54+1),$V54/365*(BF54-$R54+1))))),0)</f>
        <v>0</v>
      </c>
      <c r="BH54" s="163">
        <v>46023</v>
      </c>
      <c r="BI54" s="163">
        <f t="shared" ref="BI54:BI56" si="635">BH54+30</f>
        <v>46053</v>
      </c>
      <c r="BJ54" s="167">
        <f t="shared" ref="BJ54:BJ56" si="636">IFERROR(IF(($R54-BI54)&gt;=0,0,IF(($S54-BH54)&lt;0,0,IF(AND(($S54-BI54)&gt;0,(BH54-$R54)&gt;0),$V54/365*(BI54-BH54+1),IF(AND(($S54-BI54)&lt;=0,(BH54-$R54)&gt;0),$V54/365*($S54-BH54+1),$V54/365*(BI54-$R54+1))))),0)</f>
        <v>0</v>
      </c>
      <c r="BK54" s="163">
        <f t="shared" ref="BK54:BK56" si="637">BI54+1</f>
        <v>46054</v>
      </c>
      <c r="BL54" s="163">
        <f t="shared" ref="BL54:BL56" si="638">BK54+27</f>
        <v>46081</v>
      </c>
      <c r="BM54" s="167">
        <f t="shared" ref="BM54:BM56" si="639">IFERROR(IF(($R54-BL54)&gt;=0,0,IF(($S54-BK54)&lt;0,0,IF(AND(($S54-BL54)&gt;0,(BK54-$R54)&gt;0),$V54/365*(BL54-BK54+1),IF(AND(($S54-BL54)&lt;=0,(BK54-$R54)&gt;0),$V54/365*($S54-BK54+1),$V54/365*(BL54-$R54+1))))),0)</f>
        <v>0</v>
      </c>
      <c r="BN54" s="163">
        <f t="shared" ref="BN54:BN56" si="640">BL54+1</f>
        <v>46082</v>
      </c>
      <c r="BO54" s="163">
        <f t="shared" ref="BO54:BO56" si="641">BN54+30</f>
        <v>46112</v>
      </c>
      <c r="BP54" s="167">
        <f t="shared" ref="BP54:BP56" si="642">IFERROR(IF(($R54-BO54)&gt;=0,0,IF(($S54-BN54)&lt;0,0,IF(AND(($S54-BO54)&gt;0,(BN54-$R54)&gt;0),$V54/365*(BO54-BN54+1),IF(AND(($S54-BO54)&lt;=0,(BN54-$R54)&gt;0),$V54/365*($S54-BN54+1),$V54/365*(BO54-$R54+1))))),0)</f>
        <v>0</v>
      </c>
      <c r="BQ54" s="163">
        <f t="shared" ref="BQ54:BQ56" si="643">BO54+1</f>
        <v>46113</v>
      </c>
      <c r="BR54" s="163">
        <f t="shared" ref="BR54:BR56" si="644">BQ54+29</f>
        <v>46142</v>
      </c>
      <c r="BS54" s="167">
        <f t="shared" ref="BS54:BS56" si="645">IFERROR(IF(($R54-BR54)&gt;=0,0,IF(($S54-BQ54)&lt;0,0,IF(AND(($S54-BR54)&gt;0,(BQ54-$R54)&gt;0),$V54/365*(BR54-BQ54+1),IF(AND(($S54-BR54)&lt;=0,(BQ54-$R54)&gt;0),$V54/365*($S54-BQ54+1),$V54/365*(BR54-$R54+1))))),0)</f>
        <v>0</v>
      </c>
      <c r="BT54" s="163">
        <f t="shared" ref="BT54:BT56" si="646">BR54+1</f>
        <v>46143</v>
      </c>
      <c r="BU54" s="163">
        <f t="shared" ref="BU54:BU56" si="647">BT54+30</f>
        <v>46173</v>
      </c>
      <c r="BV54" s="167">
        <f t="shared" ref="BV54:BV56" si="648">IFERROR(IF(($R54-BU54)&gt;=0,0,IF(($S54-BT54)&lt;0,0,IF(AND(($S54-BU54)&gt;0,(BT54-$R54)&gt;0),$V54/365*(BU54-BT54+1),IF(AND(($S54-BU54)&lt;=0,(BT54-$R54)&gt;0),$V54/365*($S54-BT54+1),$V54/365*(BU54-$R54+1))))),0)</f>
        <v>0</v>
      </c>
      <c r="BW54" s="163">
        <f t="shared" ref="BW54:BW56" si="649">BU54+1</f>
        <v>46174</v>
      </c>
      <c r="BX54" s="163">
        <f t="shared" ref="BX54:BX56" si="650">BW54+29</f>
        <v>46203</v>
      </c>
      <c r="BY54" s="167">
        <f t="shared" ref="BY54:BY56" si="651">IFERROR(IF(($R54-BX54)&gt;=0,0,IF(($S54-BW54)&lt;0,0,IF(AND(($S54-BX54)&gt;0,(BW54-$R54)&gt;0),$V54/365*(BX54-BW54+1),IF(AND(($S54-BX54)&lt;=0,(BW54-$R54)&gt;0),$V54/365*($S54-BW54+1),$V54/365*(BX54-$R54+1))))),0)</f>
        <v>0</v>
      </c>
      <c r="BZ54" s="163">
        <f t="shared" ref="BZ54:BZ56" si="652">BX54+1</f>
        <v>46204</v>
      </c>
      <c r="CA54" s="163">
        <f t="shared" ref="CA54:CA56" si="653">BZ54+30</f>
        <v>46234</v>
      </c>
      <c r="CB54" s="167">
        <f t="shared" ref="CB54:CB56" si="654">IFERROR(IF(($R54-CA54)&gt;=0,0,IF(($S54-BZ54)&lt;0,0,IF(AND(($S54-CA54)&gt;0,(BZ54-$R54)&gt;0),$V54/365*(CA54-BZ54+1),IF(AND(($S54-CA54)&lt;=0,(BZ54-$R54)&gt;0),$V54/365*($S54-BZ54+1),$V54/365*(CA54-$R54+1))))),0)</f>
        <v>0</v>
      </c>
      <c r="CC54" s="163">
        <f t="shared" ref="CC54:CC56" si="655">CA54+1</f>
        <v>46235</v>
      </c>
      <c r="CD54" s="163">
        <f t="shared" ref="CD54:CD56" si="656">CC54+30</f>
        <v>46265</v>
      </c>
      <c r="CE54" s="167">
        <f t="shared" ref="CE54:CE56" si="657">IFERROR(IF(($R54-CD54)&gt;=0,0,IF(($S54-CC54)&lt;0,0,IF(AND(($S54-CD54)&gt;0,(CC54-$R54)&gt;0),$V54/365*(CD54-CC54+1),IF(AND(($S54-CD54)&lt;=0,(CC54-$R54)&gt;0),$V54/365*($S54-CC54+1),$V54/365*(CD54-$R54+1))))),0)</f>
        <v>0</v>
      </c>
      <c r="CF54" s="163">
        <f t="shared" ref="CF54:CF56" si="658">CD54+1</f>
        <v>46266</v>
      </c>
      <c r="CG54" s="163">
        <f t="shared" ref="CG54:CG56" si="659">CF54+29</f>
        <v>46295</v>
      </c>
      <c r="CH54" s="167">
        <f t="shared" ref="CH54:CH56" si="660">IFERROR(IF(($R54-CG54)&gt;=0,0,IF(($S54-CF54)&lt;0,0,IF(AND(($S54-CG54)&gt;0,(CF54-$R54)&gt;0),$V54/365*(CG54-CF54+1),IF(AND(($S54-CG54)&lt;=0,(CF54-$R54)&gt;0),$V54/365*($S54-CF54+1),$V54/365*(CG54-$R54+1))))),0)</f>
        <v>0</v>
      </c>
      <c r="CI54" s="163">
        <f t="shared" ref="CI54:CI56" si="661">CG54+1</f>
        <v>46296</v>
      </c>
      <c r="CJ54" s="163">
        <f t="shared" ref="CJ54:CJ56" si="662">CI54+30</f>
        <v>46326</v>
      </c>
      <c r="CK54" s="167">
        <f t="shared" ref="CK54:CK56" si="663">IFERROR(IF(($R54-CJ54)&gt;=0,0,IF(($S54-CI54)&lt;0,0,IF(AND(($S54-CJ54)&gt;0,(CI54-$R54)&gt;0),$V54/365*(CJ54-CI54+1),IF(AND(($S54-CJ54)&lt;=0,(CI54-$R54)&gt;0),$V54/365*($S54-CI54+1),$V54/365*(CJ54-$R54+1))))),0)</f>
        <v>0</v>
      </c>
      <c r="CL54" s="163">
        <f t="shared" ref="CL54:CL56" si="664">CJ54+1</f>
        <v>46327</v>
      </c>
      <c r="CM54" s="163">
        <f t="shared" ref="CM54:CM56" si="665">CL54+29</f>
        <v>46356</v>
      </c>
      <c r="CN54" s="167">
        <f t="shared" ref="CN54:CN56" si="666">IFERROR(IF(($R54-CM54)&gt;=0,0,IF(($S54-CL54)&lt;0,0,IF(AND(($S54-CM54)&gt;0,(CL54-$R54)&gt;0),$V54/365*(CM54-CL54+1),IF(AND(($S54-CM54)&lt;=0,(CL54-$R54)&gt;0),$V54/365*($S54-CL54+1),$V54/365*(CM54-$R54+1))))),0)</f>
        <v>0</v>
      </c>
      <c r="CO54" s="163">
        <f t="shared" ref="CO54:CO56" si="667">CM54+1</f>
        <v>46357</v>
      </c>
      <c r="CP54" s="163">
        <f t="shared" ref="CP54:CP56" si="668">CO54+30</f>
        <v>46387</v>
      </c>
      <c r="CQ54" s="167">
        <f t="shared" ref="CQ54:CQ56" si="669">IFERROR(IF(($R54-CP54)&gt;=0,0,IF(($S54-CO54)&lt;0,0,IF(AND(($S54-CP54)&gt;0,(CO54-$R54)&gt;0),$V54/365*(CP54-CO54+1),IF(AND(($S54-CP54)&lt;=0,(CO54-$R54)&gt;0),$V54/365*($S54-CO54+1),$V54/365*(CP54-$R54+1))))),0)</f>
        <v>0</v>
      </c>
    </row>
    <row r="55" s="89" customFormat="1" ht="24" hidden="1" customHeight="1" outlineLevel="4" spans="1:95">
      <c r="A55" s="128"/>
      <c r="B55" s="129"/>
      <c r="C55" s="130"/>
      <c r="D55" s="128"/>
      <c r="E55" s="129"/>
      <c r="F55" s="129"/>
      <c r="G55" s="129"/>
      <c r="H55" s="131"/>
      <c r="I55" s="131"/>
      <c r="J55" s="131">
        <f t="shared" si="5"/>
        <v>0</v>
      </c>
      <c r="K55" s="131">
        <f t="shared" si="598"/>
        <v>2</v>
      </c>
      <c r="L55" s="156"/>
      <c r="M55" s="157">
        <f>IFERROR(VLOOKUP($L55,'2-2 引出数据_合同数据仓库'!$B$5:$BP$200,3,FALSE),0)</f>
        <v>0</v>
      </c>
      <c r="N55" s="131"/>
      <c r="O55" s="157">
        <f>IFERROR(VLOOKUP((LEFT(VLOOKUP($L55,'2-2 引出数据_合同数据仓库'!$B$5:$BP$200,64,FALSE),15)&amp;(RIGHT(VLOOKUP($L55,'2-2 引出数据_合同数据仓库'!$B$5:$BP$200,64,FALSE),4)+1)),'2-2 引出数据_合同数据仓库'!$B$5:$BP$200,3,FALSE),0)</f>
        <v>0</v>
      </c>
      <c r="P55" s="131"/>
      <c r="Q55" s="131">
        <f>IFERROR(VLOOKUP($L55,'2-2 引出数据_合同数据仓库'!$B$5:$BP$200,28,FALSE),0)</f>
        <v>0</v>
      </c>
      <c r="R55" s="131">
        <f>IFERROR(VLOOKUP($L55,'2-2 引出数据_合同数据仓库'!$B$5:$BP$200,29,FALSE),0)</f>
        <v>0</v>
      </c>
      <c r="S55" s="131">
        <f>IFERROR(VLOOKUP($L55,'2-2 引出数据_合同数据仓库'!$B$5:$BP$200,4,FALSE),0)</f>
        <v>0</v>
      </c>
      <c r="T55" s="131"/>
      <c r="U55" s="131">
        <f>IFERROR(VLOOKUP($L55,'2-2 引出数据_合同数据仓库'!$B$5:$BP$200,15,FALSE),0)</f>
        <v>0</v>
      </c>
      <c r="V55" s="131">
        <f t="shared" si="599"/>
        <v>0</v>
      </c>
      <c r="W55" s="131"/>
      <c r="X55" s="163">
        <v>45658</v>
      </c>
      <c r="Y55" s="163">
        <f t="shared" si="600"/>
        <v>45688</v>
      </c>
      <c r="Z55" s="167">
        <f t="shared" si="601"/>
        <v>0</v>
      </c>
      <c r="AA55" s="163">
        <f t="shared" si="602"/>
        <v>45689</v>
      </c>
      <c r="AB55" s="163">
        <f t="shared" si="603"/>
        <v>45716</v>
      </c>
      <c r="AC55" s="167">
        <f t="shared" si="604"/>
        <v>0</v>
      </c>
      <c r="AD55" s="163">
        <f t="shared" si="605"/>
        <v>45717</v>
      </c>
      <c r="AE55" s="163">
        <f t="shared" si="606"/>
        <v>45747</v>
      </c>
      <c r="AF55" s="167">
        <f t="shared" si="607"/>
        <v>0</v>
      </c>
      <c r="AG55" s="163">
        <f t="shared" si="608"/>
        <v>45748</v>
      </c>
      <c r="AH55" s="163">
        <f t="shared" si="609"/>
        <v>45777</v>
      </c>
      <c r="AI55" s="167">
        <f t="shared" si="610"/>
        <v>0</v>
      </c>
      <c r="AJ55" s="163">
        <f t="shared" si="611"/>
        <v>45778</v>
      </c>
      <c r="AK55" s="163">
        <f t="shared" si="612"/>
        <v>45808</v>
      </c>
      <c r="AL55" s="167">
        <f t="shared" si="613"/>
        <v>0</v>
      </c>
      <c r="AM55" s="163">
        <f t="shared" si="614"/>
        <v>45809</v>
      </c>
      <c r="AN55" s="163">
        <f t="shared" si="615"/>
        <v>45838</v>
      </c>
      <c r="AO55" s="167">
        <f t="shared" si="616"/>
        <v>0</v>
      </c>
      <c r="AP55" s="163">
        <f t="shared" si="617"/>
        <v>45839</v>
      </c>
      <c r="AQ55" s="163">
        <f t="shared" si="618"/>
        <v>45869</v>
      </c>
      <c r="AR55" s="167">
        <f t="shared" si="619"/>
        <v>0</v>
      </c>
      <c r="AS55" s="163">
        <f t="shared" si="620"/>
        <v>45870</v>
      </c>
      <c r="AT55" s="163">
        <f t="shared" si="621"/>
        <v>45900</v>
      </c>
      <c r="AU55" s="167">
        <f t="shared" si="622"/>
        <v>0</v>
      </c>
      <c r="AV55" s="163">
        <f t="shared" si="623"/>
        <v>45901</v>
      </c>
      <c r="AW55" s="163">
        <f t="shared" si="624"/>
        <v>45930</v>
      </c>
      <c r="AX55" s="167">
        <f t="shared" si="625"/>
        <v>0</v>
      </c>
      <c r="AY55" s="163">
        <f t="shared" si="626"/>
        <v>45931</v>
      </c>
      <c r="AZ55" s="163">
        <f t="shared" si="627"/>
        <v>45961</v>
      </c>
      <c r="BA55" s="167">
        <f t="shared" si="628"/>
        <v>0</v>
      </c>
      <c r="BB55" s="163">
        <f t="shared" si="629"/>
        <v>45962</v>
      </c>
      <c r="BC55" s="163">
        <f t="shared" si="630"/>
        <v>45991</v>
      </c>
      <c r="BD55" s="167">
        <f t="shared" si="631"/>
        <v>0</v>
      </c>
      <c r="BE55" s="163">
        <f t="shared" si="632"/>
        <v>45992</v>
      </c>
      <c r="BF55" s="163">
        <f t="shared" si="633"/>
        <v>46022</v>
      </c>
      <c r="BG55" s="167">
        <f t="shared" si="634"/>
        <v>0</v>
      </c>
      <c r="BH55" s="163">
        <v>46023</v>
      </c>
      <c r="BI55" s="163">
        <f t="shared" si="635"/>
        <v>46053</v>
      </c>
      <c r="BJ55" s="167">
        <f t="shared" si="636"/>
        <v>0</v>
      </c>
      <c r="BK55" s="163">
        <f t="shared" si="637"/>
        <v>46054</v>
      </c>
      <c r="BL55" s="163">
        <f t="shared" si="638"/>
        <v>46081</v>
      </c>
      <c r="BM55" s="167">
        <f t="shared" si="639"/>
        <v>0</v>
      </c>
      <c r="BN55" s="163">
        <f t="shared" si="640"/>
        <v>46082</v>
      </c>
      <c r="BO55" s="163">
        <f t="shared" si="641"/>
        <v>46112</v>
      </c>
      <c r="BP55" s="167">
        <f t="shared" si="642"/>
        <v>0</v>
      </c>
      <c r="BQ55" s="163">
        <f t="shared" si="643"/>
        <v>46113</v>
      </c>
      <c r="BR55" s="163">
        <f t="shared" si="644"/>
        <v>46142</v>
      </c>
      <c r="BS55" s="167">
        <f t="shared" si="645"/>
        <v>0</v>
      </c>
      <c r="BT55" s="163">
        <f t="shared" si="646"/>
        <v>46143</v>
      </c>
      <c r="BU55" s="163">
        <f t="shared" si="647"/>
        <v>46173</v>
      </c>
      <c r="BV55" s="167">
        <f t="shared" si="648"/>
        <v>0</v>
      </c>
      <c r="BW55" s="163">
        <f t="shared" si="649"/>
        <v>46174</v>
      </c>
      <c r="BX55" s="163">
        <f t="shared" si="650"/>
        <v>46203</v>
      </c>
      <c r="BY55" s="167">
        <f t="shared" si="651"/>
        <v>0</v>
      </c>
      <c r="BZ55" s="163">
        <f t="shared" si="652"/>
        <v>46204</v>
      </c>
      <c r="CA55" s="163">
        <f t="shared" si="653"/>
        <v>46234</v>
      </c>
      <c r="CB55" s="167">
        <f t="shared" si="654"/>
        <v>0</v>
      </c>
      <c r="CC55" s="163">
        <f t="shared" si="655"/>
        <v>46235</v>
      </c>
      <c r="CD55" s="163">
        <f t="shared" si="656"/>
        <v>46265</v>
      </c>
      <c r="CE55" s="167">
        <f t="shared" si="657"/>
        <v>0</v>
      </c>
      <c r="CF55" s="163">
        <f t="shared" si="658"/>
        <v>46266</v>
      </c>
      <c r="CG55" s="163">
        <f t="shared" si="659"/>
        <v>46295</v>
      </c>
      <c r="CH55" s="167">
        <f t="shared" si="660"/>
        <v>0</v>
      </c>
      <c r="CI55" s="163">
        <f t="shared" si="661"/>
        <v>46296</v>
      </c>
      <c r="CJ55" s="163">
        <f t="shared" si="662"/>
        <v>46326</v>
      </c>
      <c r="CK55" s="167">
        <f t="shared" si="663"/>
        <v>0</v>
      </c>
      <c r="CL55" s="163">
        <f t="shared" si="664"/>
        <v>46327</v>
      </c>
      <c r="CM55" s="163">
        <f t="shared" si="665"/>
        <v>46356</v>
      </c>
      <c r="CN55" s="167">
        <f t="shared" si="666"/>
        <v>0</v>
      </c>
      <c r="CO55" s="163">
        <f t="shared" si="667"/>
        <v>46357</v>
      </c>
      <c r="CP55" s="163">
        <f t="shared" si="668"/>
        <v>46387</v>
      </c>
      <c r="CQ55" s="167">
        <f t="shared" si="669"/>
        <v>0</v>
      </c>
    </row>
    <row r="56" s="89" customFormat="1" ht="24" hidden="1" customHeight="1" outlineLevel="4" spans="1:95">
      <c r="A56" s="128"/>
      <c r="B56" s="129"/>
      <c r="C56" s="130"/>
      <c r="D56" s="128"/>
      <c r="E56" s="129"/>
      <c r="F56" s="129"/>
      <c r="G56" s="129"/>
      <c r="H56" s="131"/>
      <c r="I56" s="131"/>
      <c r="J56" s="131">
        <f t="shared" si="5"/>
        <v>0</v>
      </c>
      <c r="K56" s="131">
        <f t="shared" si="598"/>
        <v>3</v>
      </c>
      <c r="L56" s="156"/>
      <c r="M56" s="157">
        <f>IFERROR(VLOOKUP($L56,'2-2 引出数据_合同数据仓库'!$B$5:$BP$200,3,FALSE),0)</f>
        <v>0</v>
      </c>
      <c r="N56" s="131"/>
      <c r="O56" s="157">
        <f>IFERROR(VLOOKUP((LEFT(VLOOKUP($L56,'2-2 引出数据_合同数据仓库'!$B$5:$BP$200,64,FALSE),15)&amp;(RIGHT(VLOOKUP($L56,'2-2 引出数据_合同数据仓库'!$B$5:$BP$200,64,FALSE),4)+1)),'2-2 引出数据_合同数据仓库'!$B$5:$BP$200,3,FALSE),0)</f>
        <v>0</v>
      </c>
      <c r="P56" s="131"/>
      <c r="Q56" s="131">
        <f>IFERROR(VLOOKUP($L56,'2-2 引出数据_合同数据仓库'!$B$5:$BP$200,28,FALSE),0)</f>
        <v>0</v>
      </c>
      <c r="R56" s="131">
        <f>IFERROR(VLOOKUP($L56,'2-2 引出数据_合同数据仓库'!$B$5:$BP$200,29,FALSE),0)</f>
        <v>0</v>
      </c>
      <c r="S56" s="131">
        <f>IFERROR(VLOOKUP($L56,'2-2 引出数据_合同数据仓库'!$B$5:$BP$200,4,FALSE),0)</f>
        <v>0</v>
      </c>
      <c r="T56" s="131"/>
      <c r="U56" s="131">
        <f>IFERROR(VLOOKUP($L56,'2-2 引出数据_合同数据仓库'!$B$5:$BP$200,15,FALSE),0)</f>
        <v>0</v>
      </c>
      <c r="V56" s="131">
        <f t="shared" si="599"/>
        <v>0</v>
      </c>
      <c r="W56" s="131"/>
      <c r="X56" s="163">
        <v>45658</v>
      </c>
      <c r="Y56" s="163">
        <f t="shared" si="600"/>
        <v>45688</v>
      </c>
      <c r="Z56" s="167">
        <f t="shared" si="601"/>
        <v>0</v>
      </c>
      <c r="AA56" s="163">
        <f t="shared" si="602"/>
        <v>45689</v>
      </c>
      <c r="AB56" s="163">
        <f t="shared" si="603"/>
        <v>45716</v>
      </c>
      <c r="AC56" s="167">
        <f t="shared" si="604"/>
        <v>0</v>
      </c>
      <c r="AD56" s="163">
        <f t="shared" si="605"/>
        <v>45717</v>
      </c>
      <c r="AE56" s="163">
        <f t="shared" si="606"/>
        <v>45747</v>
      </c>
      <c r="AF56" s="167">
        <f t="shared" si="607"/>
        <v>0</v>
      </c>
      <c r="AG56" s="163">
        <f t="shared" si="608"/>
        <v>45748</v>
      </c>
      <c r="AH56" s="163">
        <f t="shared" si="609"/>
        <v>45777</v>
      </c>
      <c r="AI56" s="167">
        <f t="shared" si="610"/>
        <v>0</v>
      </c>
      <c r="AJ56" s="163">
        <f t="shared" si="611"/>
        <v>45778</v>
      </c>
      <c r="AK56" s="163">
        <f t="shared" si="612"/>
        <v>45808</v>
      </c>
      <c r="AL56" s="167">
        <f t="shared" si="613"/>
        <v>0</v>
      </c>
      <c r="AM56" s="163">
        <f t="shared" si="614"/>
        <v>45809</v>
      </c>
      <c r="AN56" s="163">
        <f t="shared" si="615"/>
        <v>45838</v>
      </c>
      <c r="AO56" s="167">
        <f t="shared" si="616"/>
        <v>0</v>
      </c>
      <c r="AP56" s="163">
        <f t="shared" si="617"/>
        <v>45839</v>
      </c>
      <c r="AQ56" s="163">
        <f t="shared" si="618"/>
        <v>45869</v>
      </c>
      <c r="AR56" s="167">
        <f t="shared" si="619"/>
        <v>0</v>
      </c>
      <c r="AS56" s="163">
        <f t="shared" si="620"/>
        <v>45870</v>
      </c>
      <c r="AT56" s="163">
        <f t="shared" si="621"/>
        <v>45900</v>
      </c>
      <c r="AU56" s="167">
        <f t="shared" si="622"/>
        <v>0</v>
      </c>
      <c r="AV56" s="163">
        <f t="shared" si="623"/>
        <v>45901</v>
      </c>
      <c r="AW56" s="163">
        <f t="shared" si="624"/>
        <v>45930</v>
      </c>
      <c r="AX56" s="167">
        <f t="shared" si="625"/>
        <v>0</v>
      </c>
      <c r="AY56" s="163">
        <f t="shared" si="626"/>
        <v>45931</v>
      </c>
      <c r="AZ56" s="163">
        <f t="shared" si="627"/>
        <v>45961</v>
      </c>
      <c r="BA56" s="167">
        <f t="shared" si="628"/>
        <v>0</v>
      </c>
      <c r="BB56" s="163">
        <f t="shared" si="629"/>
        <v>45962</v>
      </c>
      <c r="BC56" s="163">
        <f t="shared" si="630"/>
        <v>45991</v>
      </c>
      <c r="BD56" s="167">
        <f t="shared" si="631"/>
        <v>0</v>
      </c>
      <c r="BE56" s="163">
        <f t="shared" si="632"/>
        <v>45992</v>
      </c>
      <c r="BF56" s="163">
        <f t="shared" si="633"/>
        <v>46022</v>
      </c>
      <c r="BG56" s="167">
        <f t="shared" si="634"/>
        <v>0</v>
      </c>
      <c r="BH56" s="163">
        <v>46023</v>
      </c>
      <c r="BI56" s="163">
        <f t="shared" si="635"/>
        <v>46053</v>
      </c>
      <c r="BJ56" s="167">
        <f t="shared" si="636"/>
        <v>0</v>
      </c>
      <c r="BK56" s="163">
        <f t="shared" si="637"/>
        <v>46054</v>
      </c>
      <c r="BL56" s="163">
        <f t="shared" si="638"/>
        <v>46081</v>
      </c>
      <c r="BM56" s="167">
        <f t="shared" si="639"/>
        <v>0</v>
      </c>
      <c r="BN56" s="163">
        <f t="shared" si="640"/>
        <v>46082</v>
      </c>
      <c r="BO56" s="163">
        <f t="shared" si="641"/>
        <v>46112</v>
      </c>
      <c r="BP56" s="167">
        <f t="shared" si="642"/>
        <v>0</v>
      </c>
      <c r="BQ56" s="163">
        <f t="shared" si="643"/>
        <v>46113</v>
      </c>
      <c r="BR56" s="163">
        <f t="shared" si="644"/>
        <v>46142</v>
      </c>
      <c r="BS56" s="167">
        <f t="shared" si="645"/>
        <v>0</v>
      </c>
      <c r="BT56" s="163">
        <f t="shared" si="646"/>
        <v>46143</v>
      </c>
      <c r="BU56" s="163">
        <f t="shared" si="647"/>
        <v>46173</v>
      </c>
      <c r="BV56" s="167">
        <f t="shared" si="648"/>
        <v>0</v>
      </c>
      <c r="BW56" s="163">
        <f t="shared" si="649"/>
        <v>46174</v>
      </c>
      <c r="BX56" s="163">
        <f t="shared" si="650"/>
        <v>46203</v>
      </c>
      <c r="BY56" s="167">
        <f t="shared" si="651"/>
        <v>0</v>
      </c>
      <c r="BZ56" s="163">
        <f t="shared" si="652"/>
        <v>46204</v>
      </c>
      <c r="CA56" s="163">
        <f t="shared" si="653"/>
        <v>46234</v>
      </c>
      <c r="CB56" s="167">
        <f t="shared" si="654"/>
        <v>0</v>
      </c>
      <c r="CC56" s="163">
        <f t="shared" si="655"/>
        <v>46235</v>
      </c>
      <c r="CD56" s="163">
        <f t="shared" si="656"/>
        <v>46265</v>
      </c>
      <c r="CE56" s="167">
        <f t="shared" si="657"/>
        <v>0</v>
      </c>
      <c r="CF56" s="163">
        <f t="shared" si="658"/>
        <v>46266</v>
      </c>
      <c r="CG56" s="163">
        <f t="shared" si="659"/>
        <v>46295</v>
      </c>
      <c r="CH56" s="167">
        <f t="shared" si="660"/>
        <v>0</v>
      </c>
      <c r="CI56" s="163">
        <f t="shared" si="661"/>
        <v>46296</v>
      </c>
      <c r="CJ56" s="163">
        <f t="shared" si="662"/>
        <v>46326</v>
      </c>
      <c r="CK56" s="167">
        <f t="shared" si="663"/>
        <v>0</v>
      </c>
      <c r="CL56" s="163">
        <f t="shared" si="664"/>
        <v>46327</v>
      </c>
      <c r="CM56" s="163">
        <f t="shared" si="665"/>
        <v>46356</v>
      </c>
      <c r="CN56" s="167">
        <f t="shared" si="666"/>
        <v>0</v>
      </c>
      <c r="CO56" s="163">
        <f t="shared" si="667"/>
        <v>46357</v>
      </c>
      <c r="CP56" s="163">
        <f t="shared" si="668"/>
        <v>46387</v>
      </c>
      <c r="CQ56" s="167">
        <f t="shared" si="669"/>
        <v>0</v>
      </c>
    </row>
    <row r="57" s="89" customFormat="1" ht="24" hidden="1" customHeight="1" outlineLevel="4" spans="1:95">
      <c r="A57" s="132" t="s">
        <v>2813</v>
      </c>
      <c r="B57" s="133"/>
      <c r="C57" s="133"/>
      <c r="D57" s="133"/>
      <c r="E57" s="133"/>
      <c r="F57" s="133"/>
      <c r="G57" s="134"/>
      <c r="H57" s="135"/>
      <c r="I57" s="135"/>
      <c r="J57" s="135"/>
      <c r="K57" s="135"/>
      <c r="L57" s="158"/>
      <c r="M57" s="158"/>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row>
    <row r="58" ht="24" hidden="1" customHeight="1" outlineLevel="3" collapsed="1" spans="1:95">
      <c r="A58" s="124"/>
      <c r="B58" s="125" t="s">
        <v>792</v>
      </c>
      <c r="C58" s="126" t="s">
        <v>14</v>
      </c>
      <c r="D58" s="124" t="s">
        <v>15</v>
      </c>
      <c r="E58" s="125"/>
      <c r="F58" s="125"/>
      <c r="G58" s="125"/>
      <c r="H58" s="127">
        <f>X58+AA58+AD58+AG58+AJ58+AM58+AP58+AS58+AV58+AY58+BB58+BE58</f>
        <v>5843309.49433962</v>
      </c>
      <c r="I58" s="127">
        <f>Y58+AB58+AE58+AH58+AK58+AN58+AQ58+AT58+AW58+AZ58+BC58+BF58</f>
        <v>986314.255209186</v>
      </c>
      <c r="J58" s="127">
        <f t="shared" si="5"/>
        <v>4856995.23913043</v>
      </c>
      <c r="K58" s="127"/>
      <c r="L58" s="155"/>
      <c r="M58" s="155"/>
      <c r="N58" s="127"/>
      <c r="O58" s="127"/>
      <c r="P58" s="127"/>
      <c r="Q58" s="127"/>
      <c r="R58" s="127"/>
      <c r="S58" s="127"/>
      <c r="T58" s="127"/>
      <c r="U58" s="127"/>
      <c r="V58" s="127"/>
      <c r="W58" s="127"/>
      <c r="X58" s="127">
        <f>VLOOKUP($C58,'1 预算编制表单'!$C:$BJ,27,FALSE)</f>
        <v>486942.457861635</v>
      </c>
      <c r="Y58" s="127">
        <f>X58-Z58</f>
        <v>486942.457861635</v>
      </c>
      <c r="Z58" s="127">
        <f>SUM(Z59:Z63)</f>
        <v>0</v>
      </c>
      <c r="AA58" s="127">
        <f>VLOOKUP($C58,'1 预算编制表单'!$C:$BJ,30,FALSE)</f>
        <v>486942.457861635</v>
      </c>
      <c r="AB58" s="127">
        <f>AA58-AC58</f>
        <v>486942.457861635</v>
      </c>
      <c r="AC58" s="127">
        <f>SUM(AC59:AC63)</f>
        <v>0</v>
      </c>
      <c r="AD58" s="127">
        <f>VLOOKUP($C58,'1 预算编制表单'!$C:$BJ,33,FALSE)</f>
        <v>486942.457861635</v>
      </c>
      <c r="AE58" s="127">
        <f>AD58-AF58</f>
        <v>486942.457861635</v>
      </c>
      <c r="AF58" s="127">
        <f>SUM(AF59:AF63)</f>
        <v>0</v>
      </c>
      <c r="AG58" s="127">
        <f>VLOOKUP($C58,'1 预算编制表单'!$C:$BJ,36,FALSE)</f>
        <v>486942.457861635</v>
      </c>
      <c r="AH58" s="127">
        <f>AG58-AI58</f>
        <v>-42911.5682253215</v>
      </c>
      <c r="AI58" s="127">
        <f>SUM(AI59:AI63)</f>
        <v>529854.026086956</v>
      </c>
      <c r="AJ58" s="127">
        <f>VLOOKUP($C58,'1 预算编制表单'!$C:$BJ,39,FALSE)</f>
        <v>486942.457861635</v>
      </c>
      <c r="AK58" s="127">
        <f>AJ58-AL58</f>
        <v>-60573.3690948867</v>
      </c>
      <c r="AL58" s="127">
        <f>SUM(AL59:AL63)</f>
        <v>547515.826956522</v>
      </c>
      <c r="AM58" s="127">
        <f>VLOOKUP($C58,'1 预算编制表单'!$C:$BJ,42,FALSE)</f>
        <v>486942.457861635</v>
      </c>
      <c r="AN58" s="127">
        <f>AM58-AO58</f>
        <v>-42911.5682253215</v>
      </c>
      <c r="AO58" s="127">
        <f>SUM(AO59:AO63)</f>
        <v>529854.026086956</v>
      </c>
      <c r="AP58" s="127">
        <f>VLOOKUP($C58,'1 预算编制表单'!$C:$BJ,45,FALSE)</f>
        <v>486942.457861635</v>
      </c>
      <c r="AQ58" s="127">
        <f>AP58-AR58</f>
        <v>-60573.3690948867</v>
      </c>
      <c r="AR58" s="127">
        <f>SUM(AR59:AR63)</f>
        <v>547515.826956522</v>
      </c>
      <c r="AS58" s="127">
        <f>VLOOKUP($C58,'1 预算编制表单'!$C:$BJ,48,FALSE)</f>
        <v>486942.457861635</v>
      </c>
      <c r="AT58" s="127">
        <f>AS58-AU58</f>
        <v>-60573.3690948867</v>
      </c>
      <c r="AU58" s="127">
        <f>SUM(AU59:AU63)</f>
        <v>547515.826956522</v>
      </c>
      <c r="AV58" s="127">
        <f>VLOOKUP($C58,'1 预算编制表单'!$C:$BJ,51,FALSE)</f>
        <v>486942.457861635</v>
      </c>
      <c r="AW58" s="127">
        <f>AV58-AX58</f>
        <v>-42911.5682253215</v>
      </c>
      <c r="AX58" s="127">
        <f>SUM(AX59:AX63)</f>
        <v>529854.026086956</v>
      </c>
      <c r="AY58" s="127">
        <f>VLOOKUP($C58,'1 预算编制表单'!$C:$BJ,54,FALSE)</f>
        <v>486942.457861635</v>
      </c>
      <c r="AZ58" s="127">
        <f>AY58-BA58</f>
        <v>-60573.3690948867</v>
      </c>
      <c r="BA58" s="127">
        <f>SUM(BA59:BA63)</f>
        <v>547515.826956522</v>
      </c>
      <c r="BB58" s="127">
        <f>VLOOKUP($C58,'1 预算编制表单'!$C:$BJ,57,FALSE)</f>
        <v>486942.457861635</v>
      </c>
      <c r="BC58" s="127">
        <f>BB58-BD58</f>
        <v>-42911.5682253215</v>
      </c>
      <c r="BD58" s="127">
        <f>SUM(BD59:BD63)</f>
        <v>529854.026086956</v>
      </c>
      <c r="BE58" s="127">
        <f>VLOOKUP($C58,'1 预算编制表单'!$C:$BJ,60,FALSE)</f>
        <v>486942.457861635</v>
      </c>
      <c r="BF58" s="127">
        <f>BE58-BG58</f>
        <v>-60573.3690948867</v>
      </c>
      <c r="BG58" s="127">
        <f>SUM(BG59:BG63)</f>
        <v>547515.826956522</v>
      </c>
      <c r="BH58" s="127">
        <f>VLOOKUP($C58,'1 预算编制表单'!$C:$BJ,27,FALSE)</f>
        <v>486942.457861635</v>
      </c>
      <c r="BI58" s="127">
        <f>BH58-BJ58</f>
        <v>486942.457861635</v>
      </c>
      <c r="BJ58" s="127">
        <f>SUM(BJ59:BJ63)</f>
        <v>0</v>
      </c>
      <c r="BK58" s="127">
        <f>VLOOKUP($C58,'1 预算编制表单'!$C:$BJ,30,FALSE)</f>
        <v>486942.457861635</v>
      </c>
      <c r="BL58" s="127">
        <f>BK58-BM58</f>
        <v>486942.457861635</v>
      </c>
      <c r="BM58" s="127">
        <f>SUM(BM59:BM63)</f>
        <v>0</v>
      </c>
      <c r="BN58" s="127">
        <f>VLOOKUP($C58,'1 预算编制表单'!$C:$BJ,33,FALSE)</f>
        <v>486942.457861635</v>
      </c>
      <c r="BO58" s="127">
        <f>BN58-BP58</f>
        <v>486942.457861635</v>
      </c>
      <c r="BP58" s="127">
        <f>SUM(BP59:BP63)</f>
        <v>0</v>
      </c>
      <c r="BQ58" s="127">
        <f>VLOOKUP($C58,'1 预算编制表单'!$C:$BJ,36,FALSE)</f>
        <v>486942.457861635</v>
      </c>
      <c r="BR58" s="127">
        <f>BQ58-BS58</f>
        <v>486942.457861635</v>
      </c>
      <c r="BS58" s="127">
        <f>SUM(BS59:BS63)</f>
        <v>0</v>
      </c>
      <c r="BT58" s="127">
        <f>VLOOKUP($C58,'1 预算编制表单'!$C:$BJ,39,FALSE)</f>
        <v>486942.457861635</v>
      </c>
      <c r="BU58" s="127">
        <f>BT58-BV58</f>
        <v>486942.457861635</v>
      </c>
      <c r="BV58" s="127">
        <f>SUM(BV59:BV63)</f>
        <v>0</v>
      </c>
      <c r="BW58" s="127">
        <f>VLOOKUP($C58,'1 预算编制表单'!$C:$BJ,42,FALSE)</f>
        <v>486942.457861635</v>
      </c>
      <c r="BX58" s="127">
        <f>BW58-BY58</f>
        <v>486942.457861635</v>
      </c>
      <c r="BY58" s="127">
        <f>SUM(BY59:BY63)</f>
        <v>0</v>
      </c>
      <c r="BZ58" s="127">
        <f>VLOOKUP($C58,'1 预算编制表单'!$C:$BJ,45,FALSE)</f>
        <v>486942.457861635</v>
      </c>
      <c r="CA58" s="127">
        <f>BZ58-CB58</f>
        <v>486942.457861635</v>
      </c>
      <c r="CB58" s="127">
        <f>SUM(CB59:CB63)</f>
        <v>0</v>
      </c>
      <c r="CC58" s="127">
        <f>VLOOKUP($C58,'1 预算编制表单'!$C:$BJ,48,FALSE)</f>
        <v>486942.457861635</v>
      </c>
      <c r="CD58" s="127">
        <f>CC58-CE58</f>
        <v>486942.457861635</v>
      </c>
      <c r="CE58" s="127">
        <f>SUM(CE59:CE63)</f>
        <v>0</v>
      </c>
      <c r="CF58" s="127">
        <f>VLOOKUP($C58,'1 预算编制表单'!$C:$BJ,51,FALSE)</f>
        <v>486942.457861635</v>
      </c>
      <c r="CG58" s="127">
        <f>CF58-CH58</f>
        <v>486942.457861635</v>
      </c>
      <c r="CH58" s="127">
        <f>SUM(CH59:CH63)</f>
        <v>0</v>
      </c>
      <c r="CI58" s="127">
        <f>VLOOKUP($C58,'1 预算编制表单'!$C:$BJ,54,FALSE)</f>
        <v>486942.457861635</v>
      </c>
      <c r="CJ58" s="127">
        <f>CI58-CK58</f>
        <v>486942.457861635</v>
      </c>
      <c r="CK58" s="127">
        <f>SUM(CK59:CK63)</f>
        <v>0</v>
      </c>
      <c r="CL58" s="127">
        <f>VLOOKUP($C58,'1 预算编制表单'!$C:$BJ,57,FALSE)</f>
        <v>486942.457861635</v>
      </c>
      <c r="CM58" s="127">
        <f>CL58-CN58</f>
        <v>486942.457861635</v>
      </c>
      <c r="CN58" s="127">
        <f>SUM(CN59:CN63)</f>
        <v>0</v>
      </c>
      <c r="CO58" s="127">
        <f>VLOOKUP($C58,'1 预算编制表单'!$C:$BJ,60,FALSE)</f>
        <v>486942.457861635</v>
      </c>
      <c r="CP58" s="127">
        <f>CO58-CQ58</f>
        <v>486942.457861635</v>
      </c>
      <c r="CQ58" s="127">
        <f>SUM(CQ59:CQ63)</f>
        <v>0</v>
      </c>
    </row>
    <row r="59" s="89" customFormat="1" ht="24" hidden="1" customHeight="1" outlineLevel="4" spans="1:95">
      <c r="A59" s="128"/>
      <c r="B59" s="129"/>
      <c r="C59" s="130"/>
      <c r="D59" s="128"/>
      <c r="E59" s="129"/>
      <c r="F59" s="129"/>
      <c r="G59" s="129"/>
      <c r="H59" s="131"/>
      <c r="I59" s="131"/>
      <c r="J59" s="131">
        <f t="shared" si="5"/>
        <v>4856995.23913043</v>
      </c>
      <c r="K59" s="131">
        <v>1</v>
      </c>
      <c r="L59" s="156" t="s">
        <v>2816</v>
      </c>
      <c r="M59" s="157" t="str">
        <f>IFERROR(VLOOKUP($L59,'2-2 引出数据_合同数据仓库'!$B$5:$BP$200,3,FALSE),0)</f>
        <v>深圳非住二片区中海油大厦清洁服务合同</v>
      </c>
      <c r="N59" s="131"/>
      <c r="O59" s="157">
        <f>IFERROR(VLOOKUP((LEFT(VLOOKUP($L59,'2-2 引出数据_合同数据仓库'!$B$5:$BP$200,64,FALSE),15)&amp;(RIGHT(VLOOKUP($L59,'2-2 引出数据_合同数据仓库'!$B$5:$BP$200,64,FALSE),4)+1)),'2-2 引出数据_合同数据仓库'!$B$5:$BP$200,3,FALSE),0)</f>
        <v>0</v>
      </c>
      <c r="P59" s="131"/>
      <c r="Q59" s="131" t="str">
        <f>IFERROR(VLOOKUP($L59,'2-2 引出数据_合同数据仓库'!$B$5:$BP$200,28,FALSE),0)</f>
        <v>2025-03-31</v>
      </c>
      <c r="R59" s="131" t="str">
        <f>IFERROR(VLOOKUP($L59,'2-2 引出数据_合同数据仓库'!$B$5:$BP$200,29,FALSE),0)</f>
        <v>2025-03-31</v>
      </c>
      <c r="S59" s="131" t="str">
        <f>IFERROR(VLOOKUP($L59,'2-2 引出数据_合同数据仓库'!$B$5:$BP$200,4,FALSE),0)</f>
        <v>2025-12-31</v>
      </c>
      <c r="T59" s="131"/>
      <c r="U59" s="131">
        <f>IFERROR(VLOOKUP($L59,'2-2 引出数据_合同数据仓库'!$B$5:$BP$200,15,FALSE),0)</f>
        <v>4874657.04</v>
      </c>
      <c r="V59" s="131">
        <f t="shared" ref="V59:V62" si="670">U59/(S59-R59+1)*365</f>
        <v>6446557.3173913</v>
      </c>
      <c r="W59" s="131"/>
      <c r="X59" s="163">
        <v>45658</v>
      </c>
      <c r="Y59" s="163">
        <f t="shared" ref="Y59:Y62" si="671">X59+30</f>
        <v>45688</v>
      </c>
      <c r="Z59" s="167">
        <f t="shared" ref="Z59:Z62" si="672">IFERROR(IF(($R59-Y59)&gt;=0,0,IF(($S59-X59)&lt;0,0,IF(AND(($S59-Y59)&gt;0,(X59-$R59)&gt;0),$V59/365*(Y59-X59+1),IF(AND(($S59-Y59)&lt;=0,(X59-$R59)&gt;0),$V59/365*($S59-X59+1),$V59/365*(Y59-$R59+1))))),0)</f>
        <v>0</v>
      </c>
      <c r="AA59" s="163">
        <f t="shared" ref="AA59:AA62" si="673">Y59+1</f>
        <v>45689</v>
      </c>
      <c r="AB59" s="163">
        <f t="shared" ref="AB59:AB62" si="674">AA59+27</f>
        <v>45716</v>
      </c>
      <c r="AC59" s="167">
        <f t="shared" ref="AC59:AC62" si="675">IFERROR(IF(($R59-AB59)&gt;=0,0,IF(($S59-AA59)&lt;0,0,IF(AND(($S59-AB59)&gt;0,(AA59-$R59)&gt;0),$V59/365*(AB59-AA59+1),IF(AND(($S59-AB59)&lt;=0,(AA59-$R59)&gt;0),$V59/365*($S59-AA59+1),$V59/365*(AB59-$R59+1))))),0)</f>
        <v>0</v>
      </c>
      <c r="AD59" s="163">
        <f t="shared" ref="AD59:AD62" si="676">AB59+1</f>
        <v>45717</v>
      </c>
      <c r="AE59" s="163">
        <f t="shared" ref="AE59:AE62" si="677">AD59+30</f>
        <v>45747</v>
      </c>
      <c r="AF59" s="167">
        <f t="shared" ref="AF59:AF62" si="678">IFERROR(IF(($R59-AE59)&gt;=0,0,IF(($S59-AD59)&lt;0,0,IF(AND(($S59-AE59)&gt;0,(AD59-$R59)&gt;0),$V59/365*(AE59-AD59+1),IF(AND(($S59-AE59)&lt;=0,(AD59-$R59)&gt;0),$V59/365*($S59-AD59+1),$V59/365*(AE59-$R59+1))))),0)</f>
        <v>0</v>
      </c>
      <c r="AG59" s="163">
        <f t="shared" ref="AG59:AG62" si="679">AE59+1</f>
        <v>45748</v>
      </c>
      <c r="AH59" s="163">
        <f t="shared" ref="AH59:AH62" si="680">AG59+29</f>
        <v>45777</v>
      </c>
      <c r="AI59" s="167">
        <f t="shared" ref="AI59:AI62" si="681">IFERROR(IF(($R59-AH59)&gt;=0,0,IF(($S59-AG59)&lt;0,0,IF(AND(($S59-AH59)&gt;0,(AG59-$R59)&gt;0),$V59/365*(AH59-AG59+1),IF(AND(($S59-AH59)&lt;=0,(AG59-$R59)&gt;0),$V59/365*($S59-AG59+1),$V59/365*(AH59-$R59+1))))),0)</f>
        <v>529854.026086956</v>
      </c>
      <c r="AJ59" s="163">
        <f t="shared" ref="AJ59:AJ62" si="682">AH59+1</f>
        <v>45778</v>
      </c>
      <c r="AK59" s="163">
        <f t="shared" ref="AK59:AK62" si="683">AJ59+30</f>
        <v>45808</v>
      </c>
      <c r="AL59" s="167">
        <f t="shared" ref="AL59:AL62" si="684">IFERROR(IF(($R59-AK59)&gt;=0,0,IF(($S59-AJ59)&lt;0,0,IF(AND(($S59-AK59)&gt;0,(AJ59-$R59)&gt;0),$V59/365*(AK59-AJ59+1),IF(AND(($S59-AK59)&lt;=0,(AJ59-$R59)&gt;0),$V59/365*($S59-AJ59+1),$V59/365*(AK59-$R59+1))))),0)</f>
        <v>547515.826956522</v>
      </c>
      <c r="AM59" s="163">
        <f t="shared" ref="AM59:AM62" si="685">AK59+1</f>
        <v>45809</v>
      </c>
      <c r="AN59" s="163">
        <f t="shared" ref="AN59:AN62" si="686">AM59+29</f>
        <v>45838</v>
      </c>
      <c r="AO59" s="167">
        <f t="shared" ref="AO59:AO62" si="687">IFERROR(IF(($R59-AN59)&gt;=0,0,IF(($S59-AM59)&lt;0,0,IF(AND(($S59-AN59)&gt;0,(AM59-$R59)&gt;0),$V59/365*(AN59-AM59+1),IF(AND(($S59-AN59)&lt;=0,(AM59-$R59)&gt;0),$V59/365*($S59-AM59+1),$V59/365*(AN59-$R59+1))))),0)</f>
        <v>529854.026086956</v>
      </c>
      <c r="AP59" s="163">
        <f t="shared" ref="AP59:AP62" si="688">AN59+1</f>
        <v>45839</v>
      </c>
      <c r="AQ59" s="163">
        <f t="shared" ref="AQ59:AQ62" si="689">AP59+30</f>
        <v>45869</v>
      </c>
      <c r="AR59" s="167">
        <f t="shared" ref="AR59:AR62" si="690">IFERROR(IF(($R59-AQ59)&gt;=0,0,IF(($S59-AP59)&lt;0,0,IF(AND(($S59-AQ59)&gt;0,(AP59-$R59)&gt;0),$V59/365*(AQ59-AP59+1),IF(AND(($S59-AQ59)&lt;=0,(AP59-$R59)&gt;0),$V59/365*($S59-AP59+1),$V59/365*(AQ59-$R59+1))))),0)</f>
        <v>547515.826956522</v>
      </c>
      <c r="AS59" s="163">
        <f t="shared" ref="AS59:AS62" si="691">AQ59+1</f>
        <v>45870</v>
      </c>
      <c r="AT59" s="163">
        <f t="shared" ref="AT59:AT62" si="692">AS59+30</f>
        <v>45900</v>
      </c>
      <c r="AU59" s="167">
        <f t="shared" ref="AU59:AU62" si="693">IFERROR(IF(($R59-AT59)&gt;=0,0,IF(($S59-AS59)&lt;0,0,IF(AND(($S59-AT59)&gt;0,(AS59-$R59)&gt;0),$V59/365*(AT59-AS59+1),IF(AND(($S59-AT59)&lt;=0,(AS59-$R59)&gt;0),$V59/365*($S59-AS59+1),$V59/365*(AT59-$R59+1))))),0)</f>
        <v>547515.826956522</v>
      </c>
      <c r="AV59" s="163">
        <f t="shared" ref="AV59:AV62" si="694">AT59+1</f>
        <v>45901</v>
      </c>
      <c r="AW59" s="163">
        <f t="shared" ref="AW59:AW62" si="695">AV59+29</f>
        <v>45930</v>
      </c>
      <c r="AX59" s="167">
        <f t="shared" ref="AX59:AX62" si="696">IFERROR(IF(($R59-AW59)&gt;=0,0,IF(($S59-AV59)&lt;0,0,IF(AND(($S59-AW59)&gt;0,(AV59-$R59)&gt;0),$V59/365*(AW59-AV59+1),IF(AND(($S59-AW59)&lt;=0,(AV59-$R59)&gt;0),$V59/365*($S59-AV59+1),$V59/365*(AW59-$R59+1))))),0)</f>
        <v>529854.026086956</v>
      </c>
      <c r="AY59" s="163">
        <f t="shared" ref="AY59:AY62" si="697">AW59+1</f>
        <v>45931</v>
      </c>
      <c r="AZ59" s="163">
        <f t="shared" ref="AZ59:AZ62" si="698">AY59+30</f>
        <v>45961</v>
      </c>
      <c r="BA59" s="167">
        <f t="shared" ref="BA59:BA62" si="699">IFERROR(IF(($R59-AZ59)&gt;=0,0,IF(($S59-AY59)&lt;0,0,IF(AND(($S59-AZ59)&gt;0,(AY59-$R59)&gt;0),$V59/365*(AZ59-AY59+1),IF(AND(($S59-AZ59)&lt;=0,(AY59-$R59)&gt;0),$V59/365*($S59-AY59+1),$V59/365*(AZ59-$R59+1))))),0)</f>
        <v>547515.826956522</v>
      </c>
      <c r="BB59" s="163">
        <f t="shared" ref="BB59:BB62" si="700">AZ59+1</f>
        <v>45962</v>
      </c>
      <c r="BC59" s="163">
        <f t="shared" ref="BC59:BC62" si="701">BB59+29</f>
        <v>45991</v>
      </c>
      <c r="BD59" s="167">
        <f t="shared" ref="BD59:BD62" si="702">IFERROR(IF(($R59-BC59)&gt;=0,0,IF(($S59-BB59)&lt;0,0,IF(AND(($S59-BC59)&gt;0,(BB59-$R59)&gt;0),$V59/365*(BC59-BB59+1),IF(AND(($S59-BC59)&lt;=0,(BB59-$R59)&gt;0),$V59/365*($S59-BB59+1),$V59/365*(BC59-$R59+1))))),0)</f>
        <v>529854.026086956</v>
      </c>
      <c r="BE59" s="163">
        <f t="shared" ref="BE59:BE62" si="703">BC59+1</f>
        <v>45992</v>
      </c>
      <c r="BF59" s="163">
        <f t="shared" ref="BF59:BF62" si="704">BE59+30</f>
        <v>46022</v>
      </c>
      <c r="BG59" s="167">
        <f t="shared" ref="BG59:BG62" si="705">IFERROR(IF(($R59-BF59)&gt;=0,0,IF(($S59-BE59)&lt;0,0,IF(AND(($S59-BF59)&gt;0,(BE59-$R59)&gt;0),$V59/365*(BF59-BE59+1),IF(AND(($S59-BF59)&lt;=0,(BE59-$R59)&gt;0),$V59/365*($S59-BE59+1),$V59/365*(BF59-$R59+1))))),0)</f>
        <v>547515.826956522</v>
      </c>
      <c r="BH59" s="163">
        <v>46023</v>
      </c>
      <c r="BI59" s="163">
        <f t="shared" ref="BI59:BI62" si="706">BH59+30</f>
        <v>46053</v>
      </c>
      <c r="BJ59" s="167">
        <f t="shared" ref="BJ59:BJ62" si="707">IFERROR(IF(($R59-BI59)&gt;=0,0,IF(($S59-BH59)&lt;0,0,IF(AND(($S59-BI59)&gt;0,(BH59-$R59)&gt;0),$V59/365*(BI59-BH59+1),IF(AND(($S59-BI59)&lt;=0,(BH59-$R59)&gt;0),$V59/365*($S59-BH59+1),$V59/365*(BI59-$R59+1))))),0)</f>
        <v>0</v>
      </c>
      <c r="BK59" s="163">
        <f t="shared" ref="BK59:BK62" si="708">BI59+1</f>
        <v>46054</v>
      </c>
      <c r="BL59" s="163">
        <f t="shared" ref="BL59:BL62" si="709">BK59+27</f>
        <v>46081</v>
      </c>
      <c r="BM59" s="167">
        <f t="shared" ref="BM59:BM62" si="710">IFERROR(IF(($R59-BL59)&gt;=0,0,IF(($S59-BK59)&lt;0,0,IF(AND(($S59-BL59)&gt;0,(BK59-$R59)&gt;0),$V59/365*(BL59-BK59+1),IF(AND(($S59-BL59)&lt;=0,(BK59-$R59)&gt;0),$V59/365*($S59-BK59+1),$V59/365*(BL59-$R59+1))))),0)</f>
        <v>0</v>
      </c>
      <c r="BN59" s="163">
        <f t="shared" ref="BN59:BN62" si="711">BL59+1</f>
        <v>46082</v>
      </c>
      <c r="BO59" s="163">
        <f t="shared" ref="BO59:BO62" si="712">BN59+30</f>
        <v>46112</v>
      </c>
      <c r="BP59" s="167">
        <f t="shared" ref="BP59:BP62" si="713">IFERROR(IF(($R59-BO59)&gt;=0,0,IF(($S59-BN59)&lt;0,0,IF(AND(($S59-BO59)&gt;0,(BN59-$R59)&gt;0),$V59/365*(BO59-BN59+1),IF(AND(($S59-BO59)&lt;=0,(BN59-$R59)&gt;0),$V59/365*($S59-BN59+1),$V59/365*(BO59-$R59+1))))),0)</f>
        <v>0</v>
      </c>
      <c r="BQ59" s="163">
        <f t="shared" ref="BQ59:BQ62" si="714">BO59+1</f>
        <v>46113</v>
      </c>
      <c r="BR59" s="163">
        <f t="shared" ref="BR59:BR62" si="715">BQ59+29</f>
        <v>46142</v>
      </c>
      <c r="BS59" s="167">
        <f t="shared" ref="BS59:BS62" si="716">IFERROR(IF(($R59-BR59)&gt;=0,0,IF(($S59-BQ59)&lt;0,0,IF(AND(($S59-BR59)&gt;0,(BQ59-$R59)&gt;0),$V59/365*(BR59-BQ59+1),IF(AND(($S59-BR59)&lt;=0,(BQ59-$R59)&gt;0),$V59/365*($S59-BQ59+1),$V59/365*(BR59-$R59+1))))),0)</f>
        <v>0</v>
      </c>
      <c r="BT59" s="163">
        <f t="shared" ref="BT59:BT62" si="717">BR59+1</f>
        <v>46143</v>
      </c>
      <c r="BU59" s="163">
        <f t="shared" ref="BU59:BU62" si="718">BT59+30</f>
        <v>46173</v>
      </c>
      <c r="BV59" s="167">
        <f t="shared" ref="BV59:BV62" si="719">IFERROR(IF(($R59-BU59)&gt;=0,0,IF(($S59-BT59)&lt;0,0,IF(AND(($S59-BU59)&gt;0,(BT59-$R59)&gt;0),$V59/365*(BU59-BT59+1),IF(AND(($S59-BU59)&lt;=0,(BT59-$R59)&gt;0),$V59/365*($S59-BT59+1),$V59/365*(BU59-$R59+1))))),0)</f>
        <v>0</v>
      </c>
      <c r="BW59" s="163">
        <f t="shared" ref="BW59:BW62" si="720">BU59+1</f>
        <v>46174</v>
      </c>
      <c r="BX59" s="163">
        <f t="shared" ref="BX59:BX62" si="721">BW59+29</f>
        <v>46203</v>
      </c>
      <c r="BY59" s="167">
        <f t="shared" ref="BY59:BY62" si="722">IFERROR(IF(($R59-BX59)&gt;=0,0,IF(($S59-BW59)&lt;0,0,IF(AND(($S59-BX59)&gt;0,(BW59-$R59)&gt;0),$V59/365*(BX59-BW59+1),IF(AND(($S59-BX59)&lt;=0,(BW59-$R59)&gt;0),$V59/365*($S59-BW59+1),$V59/365*(BX59-$R59+1))))),0)</f>
        <v>0</v>
      </c>
      <c r="BZ59" s="163">
        <f t="shared" ref="BZ59:BZ62" si="723">BX59+1</f>
        <v>46204</v>
      </c>
      <c r="CA59" s="163">
        <f t="shared" ref="CA59:CA62" si="724">BZ59+30</f>
        <v>46234</v>
      </c>
      <c r="CB59" s="167">
        <f t="shared" ref="CB59:CB62" si="725">IFERROR(IF(($R59-CA59)&gt;=0,0,IF(($S59-BZ59)&lt;0,0,IF(AND(($S59-CA59)&gt;0,(BZ59-$R59)&gt;0),$V59/365*(CA59-BZ59+1),IF(AND(($S59-CA59)&lt;=0,(BZ59-$R59)&gt;0),$V59/365*($S59-BZ59+1),$V59/365*(CA59-$R59+1))))),0)</f>
        <v>0</v>
      </c>
      <c r="CC59" s="163">
        <f t="shared" ref="CC59:CC62" si="726">CA59+1</f>
        <v>46235</v>
      </c>
      <c r="CD59" s="163">
        <f t="shared" ref="CD59:CD62" si="727">CC59+30</f>
        <v>46265</v>
      </c>
      <c r="CE59" s="167">
        <f t="shared" ref="CE59:CE62" si="728">IFERROR(IF(($R59-CD59)&gt;=0,0,IF(($S59-CC59)&lt;0,0,IF(AND(($S59-CD59)&gt;0,(CC59-$R59)&gt;0),$V59/365*(CD59-CC59+1),IF(AND(($S59-CD59)&lt;=0,(CC59-$R59)&gt;0),$V59/365*($S59-CC59+1),$V59/365*(CD59-$R59+1))))),0)</f>
        <v>0</v>
      </c>
      <c r="CF59" s="163">
        <f t="shared" ref="CF59:CF62" si="729">CD59+1</f>
        <v>46266</v>
      </c>
      <c r="CG59" s="163">
        <f t="shared" ref="CG59:CG62" si="730">CF59+29</f>
        <v>46295</v>
      </c>
      <c r="CH59" s="167">
        <f t="shared" ref="CH59:CH62" si="731">IFERROR(IF(($R59-CG59)&gt;=0,0,IF(($S59-CF59)&lt;0,0,IF(AND(($S59-CG59)&gt;0,(CF59-$R59)&gt;0),$V59/365*(CG59-CF59+1),IF(AND(($S59-CG59)&lt;=0,(CF59-$R59)&gt;0),$V59/365*($S59-CF59+1),$V59/365*(CG59-$R59+1))))),0)</f>
        <v>0</v>
      </c>
      <c r="CI59" s="163">
        <f t="shared" ref="CI59:CI62" si="732">CG59+1</f>
        <v>46296</v>
      </c>
      <c r="CJ59" s="163">
        <f t="shared" ref="CJ59:CJ62" si="733">CI59+30</f>
        <v>46326</v>
      </c>
      <c r="CK59" s="167">
        <f t="shared" ref="CK59:CK62" si="734">IFERROR(IF(($R59-CJ59)&gt;=0,0,IF(($S59-CI59)&lt;0,0,IF(AND(($S59-CJ59)&gt;0,(CI59-$R59)&gt;0),$V59/365*(CJ59-CI59+1),IF(AND(($S59-CJ59)&lt;=0,(CI59-$R59)&gt;0),$V59/365*($S59-CI59+1),$V59/365*(CJ59-$R59+1))))),0)</f>
        <v>0</v>
      </c>
      <c r="CL59" s="163">
        <f t="shared" ref="CL59:CL62" si="735">CJ59+1</f>
        <v>46327</v>
      </c>
      <c r="CM59" s="163">
        <f t="shared" ref="CM59:CM62" si="736">CL59+29</f>
        <v>46356</v>
      </c>
      <c r="CN59" s="167">
        <f t="shared" ref="CN59:CN62" si="737">IFERROR(IF(($R59-CM59)&gt;=0,0,IF(($S59-CL59)&lt;0,0,IF(AND(($S59-CM59)&gt;0,(CL59-$R59)&gt;0),$V59/365*(CM59-CL59+1),IF(AND(($S59-CM59)&lt;=0,(CL59-$R59)&gt;0),$V59/365*($S59-CL59+1),$V59/365*(CM59-$R59+1))))),0)</f>
        <v>0</v>
      </c>
      <c r="CO59" s="163">
        <f t="shared" ref="CO59:CO62" si="738">CM59+1</f>
        <v>46357</v>
      </c>
      <c r="CP59" s="163">
        <f t="shared" ref="CP59:CP62" si="739">CO59+30</f>
        <v>46387</v>
      </c>
      <c r="CQ59" s="167">
        <f t="shared" ref="CQ59:CQ62" si="740">IFERROR(IF(($R59-CP59)&gt;=0,0,IF(($S59-CO59)&lt;0,0,IF(AND(($S59-CP59)&gt;0,(CO59-$R59)&gt;0),$V59/365*(CP59-CO59+1),IF(AND(($S59-CP59)&lt;=0,(CO59-$R59)&gt;0),$V59/365*($S59-CO59+1),$V59/365*(CP59-$R59+1))))),0)</f>
        <v>0</v>
      </c>
    </row>
    <row r="60" s="89" customFormat="1" ht="24" hidden="1" customHeight="1" outlineLevel="4" spans="1:95">
      <c r="A60" s="128"/>
      <c r="B60" s="129"/>
      <c r="C60" s="130"/>
      <c r="D60" s="128"/>
      <c r="E60" s="129"/>
      <c r="F60" s="129"/>
      <c r="G60" s="129"/>
      <c r="H60" s="131"/>
      <c r="I60" s="131"/>
      <c r="J60" s="131">
        <f t="shared" si="5"/>
        <v>0</v>
      </c>
      <c r="K60" s="131">
        <f t="shared" ref="K60:K62" si="741">K59+1</f>
        <v>2</v>
      </c>
      <c r="L60" s="156"/>
      <c r="M60" s="157">
        <f>IFERROR(VLOOKUP($L60,'2-2 引出数据_合同数据仓库'!$B$5:$BP$200,3,FALSE),0)</f>
        <v>0</v>
      </c>
      <c r="N60" s="131"/>
      <c r="O60" s="157">
        <f>IFERROR(VLOOKUP((LEFT(VLOOKUP($L60,'2-2 引出数据_合同数据仓库'!$B$5:$BP$200,64,FALSE),15)&amp;(RIGHT(VLOOKUP($L60,'2-2 引出数据_合同数据仓库'!$B$5:$BP$200,64,FALSE),4)+1)),'2-2 引出数据_合同数据仓库'!$B$5:$BP$200,3,FALSE),0)</f>
        <v>0</v>
      </c>
      <c r="P60" s="131"/>
      <c r="Q60" s="131">
        <f>IFERROR(VLOOKUP($L60,'2-2 引出数据_合同数据仓库'!$B$5:$BP$200,28,FALSE),0)</f>
        <v>0</v>
      </c>
      <c r="R60" s="131">
        <f>IFERROR(VLOOKUP($L60,'2-2 引出数据_合同数据仓库'!$B$5:$BP$200,29,FALSE),0)</f>
        <v>0</v>
      </c>
      <c r="S60" s="131">
        <f>IFERROR(VLOOKUP($L60,'2-2 引出数据_合同数据仓库'!$B$5:$BP$200,4,FALSE),0)</f>
        <v>0</v>
      </c>
      <c r="T60" s="131"/>
      <c r="U60" s="131">
        <f>IFERROR(VLOOKUP($L60,'2-2 引出数据_合同数据仓库'!$B$5:$BP$200,15,FALSE),0)</f>
        <v>0</v>
      </c>
      <c r="V60" s="131">
        <f t="shared" si="670"/>
        <v>0</v>
      </c>
      <c r="W60" s="131"/>
      <c r="X60" s="163">
        <v>45658</v>
      </c>
      <c r="Y60" s="163">
        <f t="shared" si="671"/>
        <v>45688</v>
      </c>
      <c r="Z60" s="167">
        <f t="shared" si="672"/>
        <v>0</v>
      </c>
      <c r="AA60" s="163">
        <f t="shared" si="673"/>
        <v>45689</v>
      </c>
      <c r="AB60" s="163">
        <f t="shared" si="674"/>
        <v>45716</v>
      </c>
      <c r="AC60" s="167">
        <f t="shared" si="675"/>
        <v>0</v>
      </c>
      <c r="AD60" s="163">
        <f t="shared" si="676"/>
        <v>45717</v>
      </c>
      <c r="AE60" s="163">
        <f t="shared" si="677"/>
        <v>45747</v>
      </c>
      <c r="AF60" s="167">
        <f t="shared" si="678"/>
        <v>0</v>
      </c>
      <c r="AG60" s="163">
        <f t="shared" si="679"/>
        <v>45748</v>
      </c>
      <c r="AH60" s="163">
        <f t="shared" si="680"/>
        <v>45777</v>
      </c>
      <c r="AI60" s="167">
        <f t="shared" si="681"/>
        <v>0</v>
      </c>
      <c r="AJ60" s="163">
        <f t="shared" si="682"/>
        <v>45778</v>
      </c>
      <c r="AK60" s="163">
        <f t="shared" si="683"/>
        <v>45808</v>
      </c>
      <c r="AL60" s="167">
        <f t="shared" si="684"/>
        <v>0</v>
      </c>
      <c r="AM60" s="163">
        <f t="shared" si="685"/>
        <v>45809</v>
      </c>
      <c r="AN60" s="163">
        <f t="shared" si="686"/>
        <v>45838</v>
      </c>
      <c r="AO60" s="167">
        <f t="shared" si="687"/>
        <v>0</v>
      </c>
      <c r="AP60" s="163">
        <f t="shared" si="688"/>
        <v>45839</v>
      </c>
      <c r="AQ60" s="163">
        <f t="shared" si="689"/>
        <v>45869</v>
      </c>
      <c r="AR60" s="167">
        <f t="shared" si="690"/>
        <v>0</v>
      </c>
      <c r="AS60" s="163">
        <f t="shared" si="691"/>
        <v>45870</v>
      </c>
      <c r="AT60" s="163">
        <f t="shared" si="692"/>
        <v>45900</v>
      </c>
      <c r="AU60" s="167">
        <f t="shared" si="693"/>
        <v>0</v>
      </c>
      <c r="AV60" s="163">
        <f t="shared" si="694"/>
        <v>45901</v>
      </c>
      <c r="AW60" s="163">
        <f t="shared" si="695"/>
        <v>45930</v>
      </c>
      <c r="AX60" s="167">
        <f t="shared" si="696"/>
        <v>0</v>
      </c>
      <c r="AY60" s="163">
        <f t="shared" si="697"/>
        <v>45931</v>
      </c>
      <c r="AZ60" s="163">
        <f t="shared" si="698"/>
        <v>45961</v>
      </c>
      <c r="BA60" s="167">
        <f t="shared" si="699"/>
        <v>0</v>
      </c>
      <c r="BB60" s="163">
        <f t="shared" si="700"/>
        <v>45962</v>
      </c>
      <c r="BC60" s="163">
        <f t="shared" si="701"/>
        <v>45991</v>
      </c>
      <c r="BD60" s="167">
        <f t="shared" si="702"/>
        <v>0</v>
      </c>
      <c r="BE60" s="163">
        <f t="shared" si="703"/>
        <v>45992</v>
      </c>
      <c r="BF60" s="163">
        <f t="shared" si="704"/>
        <v>46022</v>
      </c>
      <c r="BG60" s="167">
        <f t="shared" si="705"/>
        <v>0</v>
      </c>
      <c r="BH60" s="163">
        <v>46023</v>
      </c>
      <c r="BI60" s="163">
        <f t="shared" si="706"/>
        <v>46053</v>
      </c>
      <c r="BJ60" s="167">
        <f t="shared" si="707"/>
        <v>0</v>
      </c>
      <c r="BK60" s="163">
        <f t="shared" si="708"/>
        <v>46054</v>
      </c>
      <c r="BL60" s="163">
        <f t="shared" si="709"/>
        <v>46081</v>
      </c>
      <c r="BM60" s="167">
        <f t="shared" si="710"/>
        <v>0</v>
      </c>
      <c r="BN60" s="163">
        <f t="shared" si="711"/>
        <v>46082</v>
      </c>
      <c r="BO60" s="163">
        <f t="shared" si="712"/>
        <v>46112</v>
      </c>
      <c r="BP60" s="167">
        <f t="shared" si="713"/>
        <v>0</v>
      </c>
      <c r="BQ60" s="163">
        <f t="shared" si="714"/>
        <v>46113</v>
      </c>
      <c r="BR60" s="163">
        <f t="shared" si="715"/>
        <v>46142</v>
      </c>
      <c r="BS60" s="167">
        <f t="shared" si="716"/>
        <v>0</v>
      </c>
      <c r="BT60" s="163">
        <f t="shared" si="717"/>
        <v>46143</v>
      </c>
      <c r="BU60" s="163">
        <f t="shared" si="718"/>
        <v>46173</v>
      </c>
      <c r="BV60" s="167">
        <f t="shared" si="719"/>
        <v>0</v>
      </c>
      <c r="BW60" s="163">
        <f t="shared" si="720"/>
        <v>46174</v>
      </c>
      <c r="BX60" s="163">
        <f t="shared" si="721"/>
        <v>46203</v>
      </c>
      <c r="BY60" s="167">
        <f t="shared" si="722"/>
        <v>0</v>
      </c>
      <c r="BZ60" s="163">
        <f t="shared" si="723"/>
        <v>46204</v>
      </c>
      <c r="CA60" s="163">
        <f t="shared" si="724"/>
        <v>46234</v>
      </c>
      <c r="CB60" s="167">
        <f t="shared" si="725"/>
        <v>0</v>
      </c>
      <c r="CC60" s="163">
        <f t="shared" si="726"/>
        <v>46235</v>
      </c>
      <c r="CD60" s="163">
        <f t="shared" si="727"/>
        <v>46265</v>
      </c>
      <c r="CE60" s="167">
        <f t="shared" si="728"/>
        <v>0</v>
      </c>
      <c r="CF60" s="163">
        <f t="shared" si="729"/>
        <v>46266</v>
      </c>
      <c r="CG60" s="163">
        <f t="shared" si="730"/>
        <v>46295</v>
      </c>
      <c r="CH60" s="167">
        <f t="shared" si="731"/>
        <v>0</v>
      </c>
      <c r="CI60" s="163">
        <f t="shared" si="732"/>
        <v>46296</v>
      </c>
      <c r="CJ60" s="163">
        <f t="shared" si="733"/>
        <v>46326</v>
      </c>
      <c r="CK60" s="167">
        <f t="shared" si="734"/>
        <v>0</v>
      </c>
      <c r="CL60" s="163">
        <f t="shared" si="735"/>
        <v>46327</v>
      </c>
      <c r="CM60" s="163">
        <f t="shared" si="736"/>
        <v>46356</v>
      </c>
      <c r="CN60" s="167">
        <f t="shared" si="737"/>
        <v>0</v>
      </c>
      <c r="CO60" s="163">
        <f t="shared" si="738"/>
        <v>46357</v>
      </c>
      <c r="CP60" s="163">
        <f t="shared" si="739"/>
        <v>46387</v>
      </c>
      <c r="CQ60" s="167">
        <f t="shared" si="740"/>
        <v>0</v>
      </c>
    </row>
    <row r="61" s="89" customFormat="1" ht="24" hidden="1" customHeight="1" outlineLevel="4" spans="1:95">
      <c r="A61" s="128"/>
      <c r="B61" s="129"/>
      <c r="C61" s="130"/>
      <c r="D61" s="128"/>
      <c r="E61" s="129"/>
      <c r="F61" s="129"/>
      <c r="G61" s="129"/>
      <c r="H61" s="131"/>
      <c r="I61" s="131"/>
      <c r="J61" s="131">
        <f t="shared" si="5"/>
        <v>0</v>
      </c>
      <c r="K61" s="131">
        <f t="shared" si="741"/>
        <v>3</v>
      </c>
      <c r="L61" s="156"/>
      <c r="M61" s="157">
        <f>IFERROR(VLOOKUP($L61,'2-2 引出数据_合同数据仓库'!$B$5:$BP$200,3,FALSE),0)</f>
        <v>0</v>
      </c>
      <c r="N61" s="131"/>
      <c r="O61" s="157">
        <f>IFERROR(VLOOKUP((LEFT(VLOOKUP($L61,'2-2 引出数据_合同数据仓库'!$B$5:$BP$200,64,FALSE),15)&amp;(RIGHT(VLOOKUP($L61,'2-2 引出数据_合同数据仓库'!$B$5:$BP$200,64,FALSE),4)+1)),'2-2 引出数据_合同数据仓库'!$B$5:$BP$200,3,FALSE),0)</f>
        <v>0</v>
      </c>
      <c r="P61" s="131"/>
      <c r="Q61" s="131">
        <f>IFERROR(VLOOKUP($L61,'2-2 引出数据_合同数据仓库'!$B$5:$BP$200,28,FALSE),0)</f>
        <v>0</v>
      </c>
      <c r="R61" s="131">
        <f>IFERROR(VLOOKUP($L61,'2-2 引出数据_合同数据仓库'!$B$5:$BP$200,29,FALSE),0)</f>
        <v>0</v>
      </c>
      <c r="S61" s="131">
        <f>IFERROR(VLOOKUP($L61,'2-2 引出数据_合同数据仓库'!$B$5:$BP$200,4,FALSE),0)</f>
        <v>0</v>
      </c>
      <c r="T61" s="131"/>
      <c r="U61" s="131">
        <f>IFERROR(VLOOKUP($L61,'2-2 引出数据_合同数据仓库'!$B$5:$BP$200,15,FALSE),0)</f>
        <v>0</v>
      </c>
      <c r="V61" s="131">
        <f t="shared" si="670"/>
        <v>0</v>
      </c>
      <c r="W61" s="131"/>
      <c r="X61" s="163">
        <v>45658</v>
      </c>
      <c r="Y61" s="163">
        <f t="shared" si="671"/>
        <v>45688</v>
      </c>
      <c r="Z61" s="167">
        <f t="shared" si="672"/>
        <v>0</v>
      </c>
      <c r="AA61" s="163">
        <f t="shared" si="673"/>
        <v>45689</v>
      </c>
      <c r="AB61" s="163">
        <f t="shared" si="674"/>
        <v>45716</v>
      </c>
      <c r="AC61" s="167">
        <f t="shared" si="675"/>
        <v>0</v>
      </c>
      <c r="AD61" s="163">
        <f t="shared" si="676"/>
        <v>45717</v>
      </c>
      <c r="AE61" s="163">
        <f t="shared" si="677"/>
        <v>45747</v>
      </c>
      <c r="AF61" s="167">
        <f t="shared" si="678"/>
        <v>0</v>
      </c>
      <c r="AG61" s="163">
        <f t="shared" si="679"/>
        <v>45748</v>
      </c>
      <c r="AH61" s="163">
        <f t="shared" si="680"/>
        <v>45777</v>
      </c>
      <c r="AI61" s="167">
        <f t="shared" si="681"/>
        <v>0</v>
      </c>
      <c r="AJ61" s="163">
        <f t="shared" si="682"/>
        <v>45778</v>
      </c>
      <c r="AK61" s="163">
        <f t="shared" si="683"/>
        <v>45808</v>
      </c>
      <c r="AL61" s="167">
        <f t="shared" si="684"/>
        <v>0</v>
      </c>
      <c r="AM61" s="163">
        <f t="shared" si="685"/>
        <v>45809</v>
      </c>
      <c r="AN61" s="163">
        <f t="shared" si="686"/>
        <v>45838</v>
      </c>
      <c r="AO61" s="167">
        <f t="shared" si="687"/>
        <v>0</v>
      </c>
      <c r="AP61" s="163">
        <f t="shared" si="688"/>
        <v>45839</v>
      </c>
      <c r="AQ61" s="163">
        <f t="shared" si="689"/>
        <v>45869</v>
      </c>
      <c r="AR61" s="167">
        <f t="shared" si="690"/>
        <v>0</v>
      </c>
      <c r="AS61" s="163">
        <f t="shared" si="691"/>
        <v>45870</v>
      </c>
      <c r="AT61" s="163">
        <f t="shared" si="692"/>
        <v>45900</v>
      </c>
      <c r="AU61" s="167">
        <f t="shared" si="693"/>
        <v>0</v>
      </c>
      <c r="AV61" s="163">
        <f t="shared" si="694"/>
        <v>45901</v>
      </c>
      <c r="AW61" s="163">
        <f t="shared" si="695"/>
        <v>45930</v>
      </c>
      <c r="AX61" s="167">
        <f t="shared" si="696"/>
        <v>0</v>
      </c>
      <c r="AY61" s="163">
        <f t="shared" si="697"/>
        <v>45931</v>
      </c>
      <c r="AZ61" s="163">
        <f t="shared" si="698"/>
        <v>45961</v>
      </c>
      <c r="BA61" s="167">
        <f t="shared" si="699"/>
        <v>0</v>
      </c>
      <c r="BB61" s="163">
        <f t="shared" si="700"/>
        <v>45962</v>
      </c>
      <c r="BC61" s="163">
        <f t="shared" si="701"/>
        <v>45991</v>
      </c>
      <c r="BD61" s="167">
        <f t="shared" si="702"/>
        <v>0</v>
      </c>
      <c r="BE61" s="163">
        <f t="shared" si="703"/>
        <v>45992</v>
      </c>
      <c r="BF61" s="163">
        <f t="shared" si="704"/>
        <v>46022</v>
      </c>
      <c r="BG61" s="167">
        <f t="shared" si="705"/>
        <v>0</v>
      </c>
      <c r="BH61" s="163">
        <v>46023</v>
      </c>
      <c r="BI61" s="163">
        <f t="shared" si="706"/>
        <v>46053</v>
      </c>
      <c r="BJ61" s="167">
        <f t="shared" si="707"/>
        <v>0</v>
      </c>
      <c r="BK61" s="163">
        <f t="shared" si="708"/>
        <v>46054</v>
      </c>
      <c r="BL61" s="163">
        <f t="shared" si="709"/>
        <v>46081</v>
      </c>
      <c r="BM61" s="167">
        <f t="shared" si="710"/>
        <v>0</v>
      </c>
      <c r="BN61" s="163">
        <f t="shared" si="711"/>
        <v>46082</v>
      </c>
      <c r="BO61" s="163">
        <f t="shared" si="712"/>
        <v>46112</v>
      </c>
      <c r="BP61" s="167">
        <f t="shared" si="713"/>
        <v>0</v>
      </c>
      <c r="BQ61" s="163">
        <f t="shared" si="714"/>
        <v>46113</v>
      </c>
      <c r="BR61" s="163">
        <f t="shared" si="715"/>
        <v>46142</v>
      </c>
      <c r="BS61" s="167">
        <f t="shared" si="716"/>
        <v>0</v>
      </c>
      <c r="BT61" s="163">
        <f t="shared" si="717"/>
        <v>46143</v>
      </c>
      <c r="BU61" s="163">
        <f t="shared" si="718"/>
        <v>46173</v>
      </c>
      <c r="BV61" s="167">
        <f t="shared" si="719"/>
        <v>0</v>
      </c>
      <c r="BW61" s="163">
        <f t="shared" si="720"/>
        <v>46174</v>
      </c>
      <c r="BX61" s="163">
        <f t="shared" si="721"/>
        <v>46203</v>
      </c>
      <c r="BY61" s="167">
        <f t="shared" si="722"/>
        <v>0</v>
      </c>
      <c r="BZ61" s="163">
        <f t="shared" si="723"/>
        <v>46204</v>
      </c>
      <c r="CA61" s="163">
        <f t="shared" si="724"/>
        <v>46234</v>
      </c>
      <c r="CB61" s="167">
        <f t="shared" si="725"/>
        <v>0</v>
      </c>
      <c r="CC61" s="163">
        <f t="shared" si="726"/>
        <v>46235</v>
      </c>
      <c r="CD61" s="163">
        <f t="shared" si="727"/>
        <v>46265</v>
      </c>
      <c r="CE61" s="167">
        <f t="shared" si="728"/>
        <v>0</v>
      </c>
      <c r="CF61" s="163">
        <f t="shared" si="729"/>
        <v>46266</v>
      </c>
      <c r="CG61" s="163">
        <f t="shared" si="730"/>
        <v>46295</v>
      </c>
      <c r="CH61" s="167">
        <f t="shared" si="731"/>
        <v>0</v>
      </c>
      <c r="CI61" s="163">
        <f t="shared" si="732"/>
        <v>46296</v>
      </c>
      <c r="CJ61" s="163">
        <f t="shared" si="733"/>
        <v>46326</v>
      </c>
      <c r="CK61" s="167">
        <f t="shared" si="734"/>
        <v>0</v>
      </c>
      <c r="CL61" s="163">
        <f t="shared" si="735"/>
        <v>46327</v>
      </c>
      <c r="CM61" s="163">
        <f t="shared" si="736"/>
        <v>46356</v>
      </c>
      <c r="CN61" s="167">
        <f t="shared" si="737"/>
        <v>0</v>
      </c>
      <c r="CO61" s="163">
        <f t="shared" si="738"/>
        <v>46357</v>
      </c>
      <c r="CP61" s="163">
        <f t="shared" si="739"/>
        <v>46387</v>
      </c>
      <c r="CQ61" s="167">
        <f t="shared" si="740"/>
        <v>0</v>
      </c>
    </row>
    <row r="62" s="89" customFormat="1" ht="24" hidden="1" customHeight="1" outlineLevel="4" spans="1:95">
      <c r="A62" s="128"/>
      <c r="B62" s="129"/>
      <c r="C62" s="130"/>
      <c r="D62" s="128"/>
      <c r="E62" s="129"/>
      <c r="F62" s="129"/>
      <c r="G62" s="129"/>
      <c r="H62" s="131"/>
      <c r="I62" s="131"/>
      <c r="J62" s="131">
        <f t="shared" si="5"/>
        <v>0</v>
      </c>
      <c r="K62" s="131">
        <f t="shared" si="741"/>
        <v>4</v>
      </c>
      <c r="L62" s="156"/>
      <c r="M62" s="157">
        <f>IFERROR(VLOOKUP($L62,'2-2 引出数据_合同数据仓库'!$B$5:$BP$200,3,FALSE),0)</f>
        <v>0</v>
      </c>
      <c r="N62" s="131"/>
      <c r="O62" s="157">
        <f>IFERROR(VLOOKUP((LEFT(VLOOKUP($L62,'2-2 引出数据_合同数据仓库'!$B$5:$BP$200,64,FALSE),15)&amp;(RIGHT(VLOOKUP($L62,'2-2 引出数据_合同数据仓库'!$B$5:$BP$200,64,FALSE),4)+1)),'2-2 引出数据_合同数据仓库'!$B$5:$BP$200,3,FALSE),0)</f>
        <v>0</v>
      </c>
      <c r="P62" s="131"/>
      <c r="Q62" s="131">
        <f>IFERROR(VLOOKUP($L62,'2-2 引出数据_合同数据仓库'!$B$5:$BP$200,28,FALSE),0)</f>
        <v>0</v>
      </c>
      <c r="R62" s="131">
        <f>IFERROR(VLOOKUP($L62,'2-2 引出数据_合同数据仓库'!$B$5:$BP$200,29,FALSE),0)</f>
        <v>0</v>
      </c>
      <c r="S62" s="131">
        <f>IFERROR(VLOOKUP($L62,'2-2 引出数据_合同数据仓库'!$B$5:$BP$200,4,FALSE),0)</f>
        <v>0</v>
      </c>
      <c r="T62" s="131"/>
      <c r="U62" s="131">
        <f>IFERROR(VLOOKUP($L62,'2-2 引出数据_合同数据仓库'!$B$5:$BP$200,15,FALSE),0)</f>
        <v>0</v>
      </c>
      <c r="V62" s="131">
        <f t="shared" si="670"/>
        <v>0</v>
      </c>
      <c r="W62" s="131"/>
      <c r="X62" s="163">
        <v>45658</v>
      </c>
      <c r="Y62" s="163">
        <f t="shared" si="671"/>
        <v>45688</v>
      </c>
      <c r="Z62" s="167">
        <f t="shared" si="672"/>
        <v>0</v>
      </c>
      <c r="AA62" s="163">
        <f t="shared" si="673"/>
        <v>45689</v>
      </c>
      <c r="AB62" s="163">
        <f t="shared" si="674"/>
        <v>45716</v>
      </c>
      <c r="AC62" s="167">
        <f t="shared" si="675"/>
        <v>0</v>
      </c>
      <c r="AD62" s="163">
        <f t="shared" si="676"/>
        <v>45717</v>
      </c>
      <c r="AE62" s="163">
        <f t="shared" si="677"/>
        <v>45747</v>
      </c>
      <c r="AF62" s="167">
        <f t="shared" si="678"/>
        <v>0</v>
      </c>
      <c r="AG62" s="163">
        <f t="shared" si="679"/>
        <v>45748</v>
      </c>
      <c r="AH62" s="163">
        <f t="shared" si="680"/>
        <v>45777</v>
      </c>
      <c r="AI62" s="167">
        <f t="shared" si="681"/>
        <v>0</v>
      </c>
      <c r="AJ62" s="163">
        <f t="shared" si="682"/>
        <v>45778</v>
      </c>
      <c r="AK62" s="163">
        <f t="shared" si="683"/>
        <v>45808</v>
      </c>
      <c r="AL62" s="167">
        <f t="shared" si="684"/>
        <v>0</v>
      </c>
      <c r="AM62" s="163">
        <f t="shared" si="685"/>
        <v>45809</v>
      </c>
      <c r="AN62" s="163">
        <f t="shared" si="686"/>
        <v>45838</v>
      </c>
      <c r="AO62" s="167">
        <f t="shared" si="687"/>
        <v>0</v>
      </c>
      <c r="AP62" s="163">
        <f t="shared" si="688"/>
        <v>45839</v>
      </c>
      <c r="AQ62" s="163">
        <f t="shared" si="689"/>
        <v>45869</v>
      </c>
      <c r="AR62" s="167">
        <f t="shared" si="690"/>
        <v>0</v>
      </c>
      <c r="AS62" s="163">
        <f t="shared" si="691"/>
        <v>45870</v>
      </c>
      <c r="AT62" s="163">
        <f t="shared" si="692"/>
        <v>45900</v>
      </c>
      <c r="AU62" s="167">
        <f t="shared" si="693"/>
        <v>0</v>
      </c>
      <c r="AV62" s="163">
        <f t="shared" si="694"/>
        <v>45901</v>
      </c>
      <c r="AW62" s="163">
        <f t="shared" si="695"/>
        <v>45930</v>
      </c>
      <c r="AX62" s="167">
        <f t="shared" si="696"/>
        <v>0</v>
      </c>
      <c r="AY62" s="163">
        <f t="shared" si="697"/>
        <v>45931</v>
      </c>
      <c r="AZ62" s="163">
        <f t="shared" si="698"/>
        <v>45961</v>
      </c>
      <c r="BA62" s="167">
        <f t="shared" si="699"/>
        <v>0</v>
      </c>
      <c r="BB62" s="163">
        <f t="shared" si="700"/>
        <v>45962</v>
      </c>
      <c r="BC62" s="163">
        <f t="shared" si="701"/>
        <v>45991</v>
      </c>
      <c r="BD62" s="167">
        <f t="shared" si="702"/>
        <v>0</v>
      </c>
      <c r="BE62" s="163">
        <f t="shared" si="703"/>
        <v>45992</v>
      </c>
      <c r="BF62" s="163">
        <f t="shared" si="704"/>
        <v>46022</v>
      </c>
      <c r="BG62" s="167">
        <f t="shared" si="705"/>
        <v>0</v>
      </c>
      <c r="BH62" s="163">
        <v>46023</v>
      </c>
      <c r="BI62" s="163">
        <f t="shared" si="706"/>
        <v>46053</v>
      </c>
      <c r="BJ62" s="167">
        <f t="shared" si="707"/>
        <v>0</v>
      </c>
      <c r="BK62" s="163">
        <f t="shared" si="708"/>
        <v>46054</v>
      </c>
      <c r="BL62" s="163">
        <f t="shared" si="709"/>
        <v>46081</v>
      </c>
      <c r="BM62" s="167">
        <f t="shared" si="710"/>
        <v>0</v>
      </c>
      <c r="BN62" s="163">
        <f t="shared" si="711"/>
        <v>46082</v>
      </c>
      <c r="BO62" s="163">
        <f t="shared" si="712"/>
        <v>46112</v>
      </c>
      <c r="BP62" s="167">
        <f t="shared" si="713"/>
        <v>0</v>
      </c>
      <c r="BQ62" s="163">
        <f t="shared" si="714"/>
        <v>46113</v>
      </c>
      <c r="BR62" s="163">
        <f t="shared" si="715"/>
        <v>46142</v>
      </c>
      <c r="BS62" s="167">
        <f t="shared" si="716"/>
        <v>0</v>
      </c>
      <c r="BT62" s="163">
        <f t="shared" si="717"/>
        <v>46143</v>
      </c>
      <c r="BU62" s="163">
        <f t="shared" si="718"/>
        <v>46173</v>
      </c>
      <c r="BV62" s="167">
        <f t="shared" si="719"/>
        <v>0</v>
      </c>
      <c r="BW62" s="163">
        <f t="shared" si="720"/>
        <v>46174</v>
      </c>
      <c r="BX62" s="163">
        <f t="shared" si="721"/>
        <v>46203</v>
      </c>
      <c r="BY62" s="167">
        <f t="shared" si="722"/>
        <v>0</v>
      </c>
      <c r="BZ62" s="163">
        <f t="shared" si="723"/>
        <v>46204</v>
      </c>
      <c r="CA62" s="163">
        <f t="shared" si="724"/>
        <v>46234</v>
      </c>
      <c r="CB62" s="167">
        <f t="shared" si="725"/>
        <v>0</v>
      </c>
      <c r="CC62" s="163">
        <f t="shared" si="726"/>
        <v>46235</v>
      </c>
      <c r="CD62" s="163">
        <f t="shared" si="727"/>
        <v>46265</v>
      </c>
      <c r="CE62" s="167">
        <f t="shared" si="728"/>
        <v>0</v>
      </c>
      <c r="CF62" s="163">
        <f t="shared" si="729"/>
        <v>46266</v>
      </c>
      <c r="CG62" s="163">
        <f t="shared" si="730"/>
        <v>46295</v>
      </c>
      <c r="CH62" s="167">
        <f t="shared" si="731"/>
        <v>0</v>
      </c>
      <c r="CI62" s="163">
        <f t="shared" si="732"/>
        <v>46296</v>
      </c>
      <c r="CJ62" s="163">
        <f t="shared" si="733"/>
        <v>46326</v>
      </c>
      <c r="CK62" s="167">
        <f t="shared" si="734"/>
        <v>0</v>
      </c>
      <c r="CL62" s="163">
        <f t="shared" si="735"/>
        <v>46327</v>
      </c>
      <c r="CM62" s="163">
        <f t="shared" si="736"/>
        <v>46356</v>
      </c>
      <c r="CN62" s="167">
        <f t="shared" si="737"/>
        <v>0</v>
      </c>
      <c r="CO62" s="163">
        <f t="shared" si="738"/>
        <v>46357</v>
      </c>
      <c r="CP62" s="163">
        <f t="shared" si="739"/>
        <v>46387</v>
      </c>
      <c r="CQ62" s="167">
        <f t="shared" si="740"/>
        <v>0</v>
      </c>
    </row>
    <row r="63" s="89" customFormat="1" ht="24" hidden="1" customHeight="1" outlineLevel="4" spans="1:95">
      <c r="A63" s="132" t="s">
        <v>2813</v>
      </c>
      <c r="B63" s="133"/>
      <c r="C63" s="133"/>
      <c r="D63" s="133"/>
      <c r="E63" s="133"/>
      <c r="F63" s="133"/>
      <c r="G63" s="134"/>
      <c r="H63" s="135"/>
      <c r="I63" s="135"/>
      <c r="J63" s="135"/>
      <c r="K63" s="135"/>
      <c r="L63" s="158"/>
      <c r="M63" s="158"/>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row>
    <row r="64" ht="24" hidden="1" customHeight="1" outlineLevel="3" collapsed="1" spans="1:95">
      <c r="A64" s="124"/>
      <c r="B64" s="125" t="s">
        <v>792</v>
      </c>
      <c r="C64" s="126" t="s">
        <v>931</v>
      </c>
      <c r="D64" s="124" t="s">
        <v>932</v>
      </c>
      <c r="E64" s="125"/>
      <c r="F64" s="125"/>
      <c r="G64" s="125"/>
      <c r="H64" s="127">
        <f>X64+AA64+AD64+AG64+AJ64+AM64+AP64+AS64+AV64+AY64+BB64+BE64</f>
        <v>0</v>
      </c>
      <c r="I64" s="127">
        <f>Y64+AB64+AE64+AH64+AK64+AN64+AQ64+AT64+AW64+AZ64+BC64+BF64</f>
        <v>0</v>
      </c>
      <c r="J64" s="127">
        <f t="shared" si="5"/>
        <v>0</v>
      </c>
      <c r="K64" s="127"/>
      <c r="L64" s="155"/>
      <c r="M64" s="155"/>
      <c r="N64" s="127"/>
      <c r="O64" s="127"/>
      <c r="P64" s="127"/>
      <c r="Q64" s="127"/>
      <c r="R64" s="127"/>
      <c r="S64" s="127"/>
      <c r="T64" s="127"/>
      <c r="U64" s="127"/>
      <c r="V64" s="127"/>
      <c r="W64" s="127"/>
      <c r="X64" s="127">
        <f>VLOOKUP($C64,'1 预算编制表单'!$C:$BJ,27,FALSE)</f>
        <v>0</v>
      </c>
      <c r="Y64" s="127">
        <f>X64-Z64</f>
        <v>0</v>
      </c>
      <c r="Z64" s="127">
        <f>SUM(Z65:Z69)</f>
        <v>0</v>
      </c>
      <c r="AA64" s="127">
        <f>VLOOKUP($C64,'1 预算编制表单'!$C:$BJ,30,FALSE)</f>
        <v>0</v>
      </c>
      <c r="AB64" s="127">
        <f>AA64-AC64</f>
        <v>0</v>
      </c>
      <c r="AC64" s="127">
        <f>SUM(AC65:AC69)</f>
        <v>0</v>
      </c>
      <c r="AD64" s="127">
        <f>VLOOKUP($C64,'1 预算编制表单'!$C:$BJ,33,FALSE)</f>
        <v>0</v>
      </c>
      <c r="AE64" s="127">
        <f>AD64-AF64</f>
        <v>0</v>
      </c>
      <c r="AF64" s="127">
        <f>SUM(AF65:AF69)</f>
        <v>0</v>
      </c>
      <c r="AG64" s="127">
        <f>VLOOKUP($C64,'1 预算编制表单'!$C:$BJ,36,FALSE)</f>
        <v>0</v>
      </c>
      <c r="AH64" s="127">
        <f>AG64-AI64</f>
        <v>0</v>
      </c>
      <c r="AI64" s="127">
        <f>SUM(AI65:AI69)</f>
        <v>0</v>
      </c>
      <c r="AJ64" s="127">
        <f>VLOOKUP($C64,'1 预算编制表单'!$C:$BJ,39,FALSE)</f>
        <v>0</v>
      </c>
      <c r="AK64" s="127">
        <f>AJ64-AL64</f>
        <v>0</v>
      </c>
      <c r="AL64" s="127">
        <f>SUM(AL65:AL69)</f>
        <v>0</v>
      </c>
      <c r="AM64" s="127">
        <f>VLOOKUP($C64,'1 预算编制表单'!$C:$BJ,42,FALSE)</f>
        <v>0</v>
      </c>
      <c r="AN64" s="127">
        <f>AM64-AO64</f>
        <v>0</v>
      </c>
      <c r="AO64" s="127">
        <f>SUM(AO65:AO69)</f>
        <v>0</v>
      </c>
      <c r="AP64" s="127">
        <f>VLOOKUP($C64,'1 预算编制表单'!$C:$BJ,45,FALSE)</f>
        <v>0</v>
      </c>
      <c r="AQ64" s="127">
        <f>AP64-AR64</f>
        <v>0</v>
      </c>
      <c r="AR64" s="127">
        <f>SUM(AR65:AR69)</f>
        <v>0</v>
      </c>
      <c r="AS64" s="127">
        <f>VLOOKUP($C64,'1 预算编制表单'!$C:$BJ,48,FALSE)</f>
        <v>0</v>
      </c>
      <c r="AT64" s="127">
        <f>AS64-AU64</f>
        <v>0</v>
      </c>
      <c r="AU64" s="127">
        <f>SUM(AU65:AU69)</f>
        <v>0</v>
      </c>
      <c r="AV64" s="127">
        <f>VLOOKUP($C64,'1 预算编制表单'!$C:$BJ,51,FALSE)</f>
        <v>0</v>
      </c>
      <c r="AW64" s="127">
        <f>AV64-AX64</f>
        <v>0</v>
      </c>
      <c r="AX64" s="127">
        <f>SUM(AX65:AX69)</f>
        <v>0</v>
      </c>
      <c r="AY64" s="127">
        <f>VLOOKUP($C64,'1 预算编制表单'!$C:$BJ,54,FALSE)</f>
        <v>0</v>
      </c>
      <c r="AZ64" s="127">
        <f>AY64-BA64</f>
        <v>0</v>
      </c>
      <c r="BA64" s="127">
        <f>SUM(BA65:BA69)</f>
        <v>0</v>
      </c>
      <c r="BB64" s="127">
        <f>VLOOKUP($C64,'1 预算编制表单'!$C:$BJ,57,FALSE)</f>
        <v>0</v>
      </c>
      <c r="BC64" s="127">
        <f>BB64-BD64</f>
        <v>0</v>
      </c>
      <c r="BD64" s="127">
        <f>SUM(BD65:BD69)</f>
        <v>0</v>
      </c>
      <c r="BE64" s="127">
        <f>VLOOKUP($C64,'1 预算编制表单'!$C:$BJ,60,FALSE)</f>
        <v>0</v>
      </c>
      <c r="BF64" s="127">
        <f>BE64-BG64</f>
        <v>0</v>
      </c>
      <c r="BG64" s="127">
        <f>SUM(BG65:BG69)</f>
        <v>0</v>
      </c>
      <c r="BH64" s="127">
        <f>VLOOKUP($C64,'1 预算编制表单'!$C:$BJ,27,FALSE)</f>
        <v>0</v>
      </c>
      <c r="BI64" s="127">
        <f>BH64-BJ64</f>
        <v>0</v>
      </c>
      <c r="BJ64" s="127">
        <f>SUM(BJ65:BJ69)</f>
        <v>0</v>
      </c>
      <c r="BK64" s="127">
        <f>VLOOKUP($C64,'1 预算编制表单'!$C:$BJ,30,FALSE)</f>
        <v>0</v>
      </c>
      <c r="BL64" s="127">
        <f>BK64-BM64</f>
        <v>0</v>
      </c>
      <c r="BM64" s="127">
        <f>SUM(BM65:BM69)</f>
        <v>0</v>
      </c>
      <c r="BN64" s="127">
        <f>VLOOKUP($C64,'1 预算编制表单'!$C:$BJ,33,FALSE)</f>
        <v>0</v>
      </c>
      <c r="BO64" s="127">
        <f>BN64-BP64</f>
        <v>0</v>
      </c>
      <c r="BP64" s="127">
        <f>SUM(BP65:BP69)</f>
        <v>0</v>
      </c>
      <c r="BQ64" s="127">
        <f>VLOOKUP($C64,'1 预算编制表单'!$C:$BJ,36,FALSE)</f>
        <v>0</v>
      </c>
      <c r="BR64" s="127">
        <f>BQ64-BS64</f>
        <v>0</v>
      </c>
      <c r="BS64" s="127">
        <f>SUM(BS65:BS69)</f>
        <v>0</v>
      </c>
      <c r="BT64" s="127">
        <f>VLOOKUP($C64,'1 预算编制表单'!$C:$BJ,39,FALSE)</f>
        <v>0</v>
      </c>
      <c r="BU64" s="127">
        <f>BT64-BV64</f>
        <v>0</v>
      </c>
      <c r="BV64" s="127">
        <f>SUM(BV65:BV69)</f>
        <v>0</v>
      </c>
      <c r="BW64" s="127">
        <f>VLOOKUP($C64,'1 预算编制表单'!$C:$BJ,42,FALSE)</f>
        <v>0</v>
      </c>
      <c r="BX64" s="127">
        <f>BW64-BY64</f>
        <v>0</v>
      </c>
      <c r="BY64" s="127">
        <f>SUM(BY65:BY69)</f>
        <v>0</v>
      </c>
      <c r="BZ64" s="127">
        <f>VLOOKUP($C64,'1 预算编制表单'!$C:$BJ,45,FALSE)</f>
        <v>0</v>
      </c>
      <c r="CA64" s="127">
        <f>BZ64-CB64</f>
        <v>0</v>
      </c>
      <c r="CB64" s="127">
        <f>SUM(CB65:CB69)</f>
        <v>0</v>
      </c>
      <c r="CC64" s="127">
        <f>VLOOKUP($C64,'1 预算编制表单'!$C:$BJ,48,FALSE)</f>
        <v>0</v>
      </c>
      <c r="CD64" s="127">
        <f>CC64-CE64</f>
        <v>0</v>
      </c>
      <c r="CE64" s="127">
        <f>SUM(CE65:CE69)</f>
        <v>0</v>
      </c>
      <c r="CF64" s="127">
        <f>VLOOKUP($C64,'1 预算编制表单'!$C:$BJ,51,FALSE)</f>
        <v>0</v>
      </c>
      <c r="CG64" s="127">
        <f>CF64-CH64</f>
        <v>0</v>
      </c>
      <c r="CH64" s="127">
        <f>SUM(CH65:CH69)</f>
        <v>0</v>
      </c>
      <c r="CI64" s="127">
        <f>VLOOKUP($C64,'1 预算编制表单'!$C:$BJ,54,FALSE)</f>
        <v>0</v>
      </c>
      <c r="CJ64" s="127">
        <f>CI64-CK64</f>
        <v>0</v>
      </c>
      <c r="CK64" s="127">
        <f>SUM(CK65:CK69)</f>
        <v>0</v>
      </c>
      <c r="CL64" s="127">
        <f>VLOOKUP($C64,'1 预算编制表单'!$C:$BJ,57,FALSE)</f>
        <v>0</v>
      </c>
      <c r="CM64" s="127">
        <f>CL64-CN64</f>
        <v>0</v>
      </c>
      <c r="CN64" s="127">
        <f>SUM(CN65:CN69)</f>
        <v>0</v>
      </c>
      <c r="CO64" s="127">
        <f>VLOOKUP($C64,'1 预算编制表单'!$C:$BJ,60,FALSE)</f>
        <v>0</v>
      </c>
      <c r="CP64" s="127">
        <f>CO64-CQ64</f>
        <v>0</v>
      </c>
      <c r="CQ64" s="127">
        <f>SUM(CQ65:CQ69)</f>
        <v>0</v>
      </c>
    </row>
    <row r="65" s="89" customFormat="1" ht="24" hidden="1" customHeight="1" outlineLevel="4" spans="1:95">
      <c r="A65" s="128"/>
      <c r="B65" s="129"/>
      <c r="C65" s="130"/>
      <c r="D65" s="128"/>
      <c r="E65" s="129"/>
      <c r="F65" s="129"/>
      <c r="G65" s="129"/>
      <c r="H65" s="131"/>
      <c r="I65" s="131"/>
      <c r="J65" s="131">
        <f t="shared" si="5"/>
        <v>0</v>
      </c>
      <c r="K65" s="131">
        <v>1</v>
      </c>
      <c r="L65" s="156"/>
      <c r="M65" s="157">
        <f>IFERROR(VLOOKUP($L65,'2-2 引出数据_合同数据仓库'!$B$5:$BP$200,3,FALSE),0)</f>
        <v>0</v>
      </c>
      <c r="N65" s="131"/>
      <c r="O65" s="157">
        <f>IFERROR(VLOOKUP((LEFT(VLOOKUP($L65,'2-2 引出数据_合同数据仓库'!$B$5:$BP$200,64,FALSE),15)&amp;(RIGHT(VLOOKUP($L65,'2-2 引出数据_合同数据仓库'!$B$5:$BP$200,64,FALSE),4)+1)),'2-2 引出数据_合同数据仓库'!$B$5:$BP$200,3,FALSE),0)</f>
        <v>0</v>
      </c>
      <c r="P65" s="131"/>
      <c r="Q65" s="131">
        <f>IFERROR(VLOOKUP($L65,'2-2 引出数据_合同数据仓库'!$B$5:$BP$200,28,FALSE),0)</f>
        <v>0</v>
      </c>
      <c r="R65" s="131">
        <f>IFERROR(VLOOKUP($L65,'2-2 引出数据_合同数据仓库'!$B$5:$BP$200,29,FALSE),0)</f>
        <v>0</v>
      </c>
      <c r="S65" s="131">
        <f>IFERROR(VLOOKUP($L65,'2-2 引出数据_合同数据仓库'!$B$5:$BP$200,4,FALSE),0)</f>
        <v>0</v>
      </c>
      <c r="T65" s="131"/>
      <c r="U65" s="131">
        <f>IFERROR(VLOOKUP($L65,'2-2 引出数据_合同数据仓库'!$B$5:$BP$200,15,FALSE),0)</f>
        <v>0</v>
      </c>
      <c r="V65" s="131">
        <f t="shared" ref="V65:V68" si="742">U65/(S65-R65+1)*365</f>
        <v>0</v>
      </c>
      <c r="W65" s="131"/>
      <c r="X65" s="163">
        <v>45658</v>
      </c>
      <c r="Y65" s="163">
        <f t="shared" ref="Y65:Y68" si="743">X65+30</f>
        <v>45688</v>
      </c>
      <c r="Z65" s="167">
        <f t="shared" ref="Z65:Z68" si="744">IFERROR(IF(($R65-Y65)&gt;=0,0,IF(($S65-X65)&lt;0,0,IF(AND(($S65-Y65)&gt;0,(X65-$R65)&gt;0),$V65/365*(Y65-X65+1),IF(AND(($S65-Y65)&lt;=0,(X65-$R65)&gt;0),$V65/365*($S65-X65+1),$V65/365*(Y65-$R65+1))))),0)</f>
        <v>0</v>
      </c>
      <c r="AA65" s="163">
        <f t="shared" ref="AA65:AA68" si="745">Y65+1</f>
        <v>45689</v>
      </c>
      <c r="AB65" s="163">
        <f t="shared" ref="AB65:AB68" si="746">AA65+27</f>
        <v>45716</v>
      </c>
      <c r="AC65" s="167">
        <f t="shared" ref="AC65:AC68" si="747">IFERROR(IF(($R65-AB65)&gt;=0,0,IF(($S65-AA65)&lt;0,0,IF(AND(($S65-AB65)&gt;0,(AA65-$R65)&gt;0),$V65/365*(AB65-AA65+1),IF(AND(($S65-AB65)&lt;=0,(AA65-$R65)&gt;0),$V65/365*($S65-AA65+1),$V65/365*(AB65-$R65+1))))),0)</f>
        <v>0</v>
      </c>
      <c r="AD65" s="163">
        <f t="shared" ref="AD65:AD68" si="748">AB65+1</f>
        <v>45717</v>
      </c>
      <c r="AE65" s="163">
        <f t="shared" ref="AE65:AE68" si="749">AD65+30</f>
        <v>45747</v>
      </c>
      <c r="AF65" s="167">
        <f t="shared" ref="AF65:AF68" si="750">IFERROR(IF(($R65-AE65)&gt;=0,0,IF(($S65-AD65)&lt;0,0,IF(AND(($S65-AE65)&gt;0,(AD65-$R65)&gt;0),$V65/365*(AE65-AD65+1),IF(AND(($S65-AE65)&lt;=0,(AD65-$R65)&gt;0),$V65/365*($S65-AD65+1),$V65/365*(AE65-$R65+1))))),0)</f>
        <v>0</v>
      </c>
      <c r="AG65" s="163">
        <f t="shared" ref="AG65:AG68" si="751">AE65+1</f>
        <v>45748</v>
      </c>
      <c r="AH65" s="163">
        <f t="shared" ref="AH65:AH68" si="752">AG65+29</f>
        <v>45777</v>
      </c>
      <c r="AI65" s="167">
        <f t="shared" ref="AI65:AI68" si="753">IFERROR(IF(($R65-AH65)&gt;=0,0,IF(($S65-AG65)&lt;0,0,IF(AND(($S65-AH65)&gt;0,(AG65-$R65)&gt;0),$V65/365*(AH65-AG65+1),IF(AND(($S65-AH65)&lt;=0,(AG65-$R65)&gt;0),$V65/365*($S65-AG65+1),$V65/365*(AH65-$R65+1))))),0)</f>
        <v>0</v>
      </c>
      <c r="AJ65" s="163">
        <f t="shared" ref="AJ65:AJ68" si="754">AH65+1</f>
        <v>45778</v>
      </c>
      <c r="AK65" s="163">
        <f t="shared" ref="AK65:AK68" si="755">AJ65+30</f>
        <v>45808</v>
      </c>
      <c r="AL65" s="167">
        <f t="shared" ref="AL65:AL68" si="756">IFERROR(IF(($R65-AK65)&gt;=0,0,IF(($S65-AJ65)&lt;0,0,IF(AND(($S65-AK65)&gt;0,(AJ65-$R65)&gt;0),$V65/365*(AK65-AJ65+1),IF(AND(($S65-AK65)&lt;=0,(AJ65-$R65)&gt;0),$V65/365*($S65-AJ65+1),$V65/365*(AK65-$R65+1))))),0)</f>
        <v>0</v>
      </c>
      <c r="AM65" s="163">
        <f t="shared" ref="AM65:AM68" si="757">AK65+1</f>
        <v>45809</v>
      </c>
      <c r="AN65" s="163">
        <f t="shared" ref="AN65:AN68" si="758">AM65+29</f>
        <v>45838</v>
      </c>
      <c r="AO65" s="167">
        <f t="shared" ref="AO65:AO68" si="759">IFERROR(IF(($R65-AN65)&gt;=0,0,IF(($S65-AM65)&lt;0,0,IF(AND(($S65-AN65)&gt;0,(AM65-$R65)&gt;0),$V65/365*(AN65-AM65+1),IF(AND(($S65-AN65)&lt;=0,(AM65-$R65)&gt;0),$V65/365*($S65-AM65+1),$V65/365*(AN65-$R65+1))))),0)</f>
        <v>0</v>
      </c>
      <c r="AP65" s="163">
        <f t="shared" ref="AP65:AP68" si="760">AN65+1</f>
        <v>45839</v>
      </c>
      <c r="AQ65" s="163">
        <f t="shared" ref="AQ65:AQ68" si="761">AP65+30</f>
        <v>45869</v>
      </c>
      <c r="AR65" s="167">
        <f t="shared" ref="AR65:AR68" si="762">IFERROR(IF(($R65-AQ65)&gt;=0,0,IF(($S65-AP65)&lt;0,0,IF(AND(($S65-AQ65)&gt;0,(AP65-$R65)&gt;0),$V65/365*(AQ65-AP65+1),IF(AND(($S65-AQ65)&lt;=0,(AP65-$R65)&gt;0),$V65/365*($S65-AP65+1),$V65/365*(AQ65-$R65+1))))),0)</f>
        <v>0</v>
      </c>
      <c r="AS65" s="163">
        <f t="shared" ref="AS65:AS68" si="763">AQ65+1</f>
        <v>45870</v>
      </c>
      <c r="AT65" s="163">
        <f t="shared" ref="AT65:AT68" si="764">AS65+30</f>
        <v>45900</v>
      </c>
      <c r="AU65" s="167">
        <f t="shared" ref="AU65:AU68" si="765">IFERROR(IF(($R65-AT65)&gt;=0,0,IF(($S65-AS65)&lt;0,0,IF(AND(($S65-AT65)&gt;0,(AS65-$R65)&gt;0),$V65/365*(AT65-AS65+1),IF(AND(($S65-AT65)&lt;=0,(AS65-$R65)&gt;0),$V65/365*($S65-AS65+1),$V65/365*(AT65-$R65+1))))),0)</f>
        <v>0</v>
      </c>
      <c r="AV65" s="163">
        <f t="shared" ref="AV65:AV68" si="766">AT65+1</f>
        <v>45901</v>
      </c>
      <c r="AW65" s="163">
        <f t="shared" ref="AW65:AW68" si="767">AV65+29</f>
        <v>45930</v>
      </c>
      <c r="AX65" s="167">
        <f t="shared" ref="AX65:AX68" si="768">IFERROR(IF(($R65-AW65)&gt;=0,0,IF(($S65-AV65)&lt;0,0,IF(AND(($S65-AW65)&gt;0,(AV65-$R65)&gt;0),$V65/365*(AW65-AV65+1),IF(AND(($S65-AW65)&lt;=0,(AV65-$R65)&gt;0),$V65/365*($S65-AV65+1),$V65/365*(AW65-$R65+1))))),0)</f>
        <v>0</v>
      </c>
      <c r="AY65" s="163">
        <f t="shared" ref="AY65:AY68" si="769">AW65+1</f>
        <v>45931</v>
      </c>
      <c r="AZ65" s="163">
        <f t="shared" ref="AZ65:AZ68" si="770">AY65+30</f>
        <v>45961</v>
      </c>
      <c r="BA65" s="167">
        <f t="shared" ref="BA65:BA68" si="771">IFERROR(IF(($R65-AZ65)&gt;=0,0,IF(($S65-AY65)&lt;0,0,IF(AND(($S65-AZ65)&gt;0,(AY65-$R65)&gt;0),$V65/365*(AZ65-AY65+1),IF(AND(($S65-AZ65)&lt;=0,(AY65-$R65)&gt;0),$V65/365*($S65-AY65+1),$V65/365*(AZ65-$R65+1))))),0)</f>
        <v>0</v>
      </c>
      <c r="BB65" s="163">
        <f t="shared" ref="BB65:BB68" si="772">AZ65+1</f>
        <v>45962</v>
      </c>
      <c r="BC65" s="163">
        <f t="shared" ref="BC65:BC68" si="773">BB65+29</f>
        <v>45991</v>
      </c>
      <c r="BD65" s="167">
        <f t="shared" ref="BD65:BD68" si="774">IFERROR(IF(($R65-BC65)&gt;=0,0,IF(($S65-BB65)&lt;0,0,IF(AND(($S65-BC65)&gt;0,(BB65-$R65)&gt;0),$V65/365*(BC65-BB65+1),IF(AND(($S65-BC65)&lt;=0,(BB65-$R65)&gt;0),$V65/365*($S65-BB65+1),$V65/365*(BC65-$R65+1))))),0)</f>
        <v>0</v>
      </c>
      <c r="BE65" s="163">
        <f t="shared" ref="BE65:BE68" si="775">BC65+1</f>
        <v>45992</v>
      </c>
      <c r="BF65" s="163">
        <f t="shared" ref="BF65:BF68" si="776">BE65+30</f>
        <v>46022</v>
      </c>
      <c r="BG65" s="167">
        <f t="shared" ref="BG65:BG68" si="777">IFERROR(IF(($R65-BF65)&gt;=0,0,IF(($S65-BE65)&lt;0,0,IF(AND(($S65-BF65)&gt;0,(BE65-$R65)&gt;0),$V65/365*(BF65-BE65+1),IF(AND(($S65-BF65)&lt;=0,(BE65-$R65)&gt;0),$V65/365*($S65-BE65+1),$V65/365*(BF65-$R65+1))))),0)</f>
        <v>0</v>
      </c>
      <c r="BH65" s="163">
        <v>46023</v>
      </c>
      <c r="BI65" s="163">
        <f t="shared" ref="BI65:BI68" si="778">BH65+30</f>
        <v>46053</v>
      </c>
      <c r="BJ65" s="167">
        <f t="shared" ref="BJ65:BJ68" si="779">IFERROR(IF(($R65-BI65)&gt;=0,0,IF(($S65-BH65)&lt;0,0,IF(AND(($S65-BI65)&gt;0,(BH65-$R65)&gt;0),$V65/365*(BI65-BH65+1),IF(AND(($S65-BI65)&lt;=0,(BH65-$R65)&gt;0),$V65/365*($S65-BH65+1),$V65/365*(BI65-$R65+1))))),0)</f>
        <v>0</v>
      </c>
      <c r="BK65" s="163">
        <f t="shared" ref="BK65:BK68" si="780">BI65+1</f>
        <v>46054</v>
      </c>
      <c r="BL65" s="163">
        <f t="shared" ref="BL65:BL68" si="781">BK65+27</f>
        <v>46081</v>
      </c>
      <c r="BM65" s="167">
        <f t="shared" ref="BM65:BM68" si="782">IFERROR(IF(($R65-BL65)&gt;=0,0,IF(($S65-BK65)&lt;0,0,IF(AND(($S65-BL65)&gt;0,(BK65-$R65)&gt;0),$V65/365*(BL65-BK65+1),IF(AND(($S65-BL65)&lt;=0,(BK65-$R65)&gt;0),$V65/365*($S65-BK65+1),$V65/365*(BL65-$R65+1))))),0)</f>
        <v>0</v>
      </c>
      <c r="BN65" s="163">
        <f t="shared" ref="BN65:BN68" si="783">BL65+1</f>
        <v>46082</v>
      </c>
      <c r="BO65" s="163">
        <f t="shared" ref="BO65:BO68" si="784">BN65+30</f>
        <v>46112</v>
      </c>
      <c r="BP65" s="167">
        <f t="shared" ref="BP65:BP68" si="785">IFERROR(IF(($R65-BO65)&gt;=0,0,IF(($S65-BN65)&lt;0,0,IF(AND(($S65-BO65)&gt;0,(BN65-$R65)&gt;0),$V65/365*(BO65-BN65+1),IF(AND(($S65-BO65)&lt;=0,(BN65-$R65)&gt;0),$V65/365*($S65-BN65+1),$V65/365*(BO65-$R65+1))))),0)</f>
        <v>0</v>
      </c>
      <c r="BQ65" s="163">
        <f t="shared" ref="BQ65:BQ68" si="786">BO65+1</f>
        <v>46113</v>
      </c>
      <c r="BR65" s="163">
        <f t="shared" ref="BR65:BR68" si="787">BQ65+29</f>
        <v>46142</v>
      </c>
      <c r="BS65" s="167">
        <f t="shared" ref="BS65:BS68" si="788">IFERROR(IF(($R65-BR65)&gt;=0,0,IF(($S65-BQ65)&lt;0,0,IF(AND(($S65-BR65)&gt;0,(BQ65-$R65)&gt;0),$V65/365*(BR65-BQ65+1),IF(AND(($S65-BR65)&lt;=0,(BQ65-$R65)&gt;0),$V65/365*($S65-BQ65+1),$V65/365*(BR65-$R65+1))))),0)</f>
        <v>0</v>
      </c>
      <c r="BT65" s="163">
        <f t="shared" ref="BT65:BT68" si="789">BR65+1</f>
        <v>46143</v>
      </c>
      <c r="BU65" s="163">
        <f t="shared" ref="BU65:BU68" si="790">BT65+30</f>
        <v>46173</v>
      </c>
      <c r="BV65" s="167">
        <f t="shared" ref="BV65:BV68" si="791">IFERROR(IF(($R65-BU65)&gt;=0,0,IF(($S65-BT65)&lt;0,0,IF(AND(($S65-BU65)&gt;0,(BT65-$R65)&gt;0),$V65/365*(BU65-BT65+1),IF(AND(($S65-BU65)&lt;=0,(BT65-$R65)&gt;0),$V65/365*($S65-BT65+1),$V65/365*(BU65-$R65+1))))),0)</f>
        <v>0</v>
      </c>
      <c r="BW65" s="163">
        <f t="shared" ref="BW65:BW68" si="792">BU65+1</f>
        <v>46174</v>
      </c>
      <c r="BX65" s="163">
        <f t="shared" ref="BX65:BX68" si="793">BW65+29</f>
        <v>46203</v>
      </c>
      <c r="BY65" s="167">
        <f t="shared" ref="BY65:BY68" si="794">IFERROR(IF(($R65-BX65)&gt;=0,0,IF(($S65-BW65)&lt;0,0,IF(AND(($S65-BX65)&gt;0,(BW65-$R65)&gt;0),$V65/365*(BX65-BW65+1),IF(AND(($S65-BX65)&lt;=0,(BW65-$R65)&gt;0),$V65/365*($S65-BW65+1),$V65/365*(BX65-$R65+1))))),0)</f>
        <v>0</v>
      </c>
      <c r="BZ65" s="163">
        <f t="shared" ref="BZ65:BZ68" si="795">BX65+1</f>
        <v>46204</v>
      </c>
      <c r="CA65" s="163">
        <f t="shared" ref="CA65:CA68" si="796">BZ65+30</f>
        <v>46234</v>
      </c>
      <c r="CB65" s="167">
        <f t="shared" ref="CB65:CB68" si="797">IFERROR(IF(($R65-CA65)&gt;=0,0,IF(($S65-BZ65)&lt;0,0,IF(AND(($S65-CA65)&gt;0,(BZ65-$R65)&gt;0),$V65/365*(CA65-BZ65+1),IF(AND(($S65-CA65)&lt;=0,(BZ65-$R65)&gt;0),$V65/365*($S65-BZ65+1),$V65/365*(CA65-$R65+1))))),0)</f>
        <v>0</v>
      </c>
      <c r="CC65" s="163">
        <f t="shared" ref="CC65:CC68" si="798">CA65+1</f>
        <v>46235</v>
      </c>
      <c r="CD65" s="163">
        <f t="shared" ref="CD65:CD68" si="799">CC65+30</f>
        <v>46265</v>
      </c>
      <c r="CE65" s="167">
        <f t="shared" ref="CE65:CE68" si="800">IFERROR(IF(($R65-CD65)&gt;=0,0,IF(($S65-CC65)&lt;0,0,IF(AND(($S65-CD65)&gt;0,(CC65-$R65)&gt;0),$V65/365*(CD65-CC65+1),IF(AND(($S65-CD65)&lt;=0,(CC65-$R65)&gt;0),$V65/365*($S65-CC65+1),$V65/365*(CD65-$R65+1))))),0)</f>
        <v>0</v>
      </c>
      <c r="CF65" s="163">
        <f t="shared" ref="CF65:CF68" si="801">CD65+1</f>
        <v>46266</v>
      </c>
      <c r="CG65" s="163">
        <f t="shared" ref="CG65:CG68" si="802">CF65+29</f>
        <v>46295</v>
      </c>
      <c r="CH65" s="167">
        <f t="shared" ref="CH65:CH68" si="803">IFERROR(IF(($R65-CG65)&gt;=0,0,IF(($S65-CF65)&lt;0,0,IF(AND(($S65-CG65)&gt;0,(CF65-$R65)&gt;0),$V65/365*(CG65-CF65+1),IF(AND(($S65-CG65)&lt;=0,(CF65-$R65)&gt;0),$V65/365*($S65-CF65+1),$V65/365*(CG65-$R65+1))))),0)</f>
        <v>0</v>
      </c>
      <c r="CI65" s="163">
        <f t="shared" ref="CI65:CI68" si="804">CG65+1</f>
        <v>46296</v>
      </c>
      <c r="CJ65" s="163">
        <f t="shared" ref="CJ65:CJ68" si="805">CI65+30</f>
        <v>46326</v>
      </c>
      <c r="CK65" s="167">
        <f t="shared" ref="CK65:CK68" si="806">IFERROR(IF(($R65-CJ65)&gt;=0,0,IF(($S65-CI65)&lt;0,0,IF(AND(($S65-CJ65)&gt;0,(CI65-$R65)&gt;0),$V65/365*(CJ65-CI65+1),IF(AND(($S65-CJ65)&lt;=0,(CI65-$R65)&gt;0),$V65/365*($S65-CI65+1),$V65/365*(CJ65-$R65+1))))),0)</f>
        <v>0</v>
      </c>
      <c r="CL65" s="163">
        <f t="shared" ref="CL65:CL68" si="807">CJ65+1</f>
        <v>46327</v>
      </c>
      <c r="CM65" s="163">
        <f t="shared" ref="CM65:CM68" si="808">CL65+29</f>
        <v>46356</v>
      </c>
      <c r="CN65" s="167">
        <f t="shared" ref="CN65:CN68" si="809">IFERROR(IF(($R65-CM65)&gt;=0,0,IF(($S65-CL65)&lt;0,0,IF(AND(($S65-CM65)&gt;0,(CL65-$R65)&gt;0),$V65/365*(CM65-CL65+1),IF(AND(($S65-CM65)&lt;=0,(CL65-$R65)&gt;0),$V65/365*($S65-CL65+1),$V65/365*(CM65-$R65+1))))),0)</f>
        <v>0</v>
      </c>
      <c r="CO65" s="163">
        <f t="shared" ref="CO65:CO68" si="810">CM65+1</f>
        <v>46357</v>
      </c>
      <c r="CP65" s="163">
        <f t="shared" ref="CP65:CP68" si="811">CO65+30</f>
        <v>46387</v>
      </c>
      <c r="CQ65" s="167">
        <f t="shared" ref="CQ65:CQ68" si="812">IFERROR(IF(($R65-CP65)&gt;=0,0,IF(($S65-CO65)&lt;0,0,IF(AND(($S65-CP65)&gt;0,(CO65-$R65)&gt;0),$V65/365*(CP65-CO65+1),IF(AND(($S65-CP65)&lt;=0,(CO65-$R65)&gt;0),$V65/365*($S65-CO65+1),$V65/365*(CP65-$R65+1))))),0)</f>
        <v>0</v>
      </c>
    </row>
    <row r="66" s="89" customFormat="1" ht="24" hidden="1" customHeight="1" outlineLevel="4" spans="1:95">
      <c r="A66" s="128"/>
      <c r="B66" s="129"/>
      <c r="C66" s="130"/>
      <c r="D66" s="128"/>
      <c r="E66" s="129"/>
      <c r="F66" s="129"/>
      <c r="G66" s="129"/>
      <c r="H66" s="131"/>
      <c r="I66" s="131"/>
      <c r="J66" s="131">
        <f t="shared" si="5"/>
        <v>0</v>
      </c>
      <c r="K66" s="131">
        <f t="shared" ref="K66:K68" si="813">K65+1</f>
        <v>2</v>
      </c>
      <c r="L66" s="156"/>
      <c r="M66" s="157">
        <f>IFERROR(VLOOKUP($L66,'2-2 引出数据_合同数据仓库'!$B$5:$BP$200,3,FALSE),0)</f>
        <v>0</v>
      </c>
      <c r="N66" s="131"/>
      <c r="O66" s="157">
        <f>IFERROR(VLOOKUP((LEFT(VLOOKUP($L66,'2-2 引出数据_合同数据仓库'!$B$5:$BP$200,64,FALSE),15)&amp;(RIGHT(VLOOKUP($L66,'2-2 引出数据_合同数据仓库'!$B$5:$BP$200,64,FALSE),4)+1)),'2-2 引出数据_合同数据仓库'!$B$5:$BP$200,3,FALSE),0)</f>
        <v>0</v>
      </c>
      <c r="P66" s="131"/>
      <c r="Q66" s="131">
        <f>IFERROR(VLOOKUP($L66,'2-2 引出数据_合同数据仓库'!$B$5:$BP$200,28,FALSE),0)</f>
        <v>0</v>
      </c>
      <c r="R66" s="131">
        <f>IFERROR(VLOOKUP($L66,'2-2 引出数据_合同数据仓库'!$B$5:$BP$200,29,FALSE),0)</f>
        <v>0</v>
      </c>
      <c r="S66" s="131">
        <f>IFERROR(VLOOKUP($L66,'2-2 引出数据_合同数据仓库'!$B$5:$BP$200,4,FALSE),0)</f>
        <v>0</v>
      </c>
      <c r="T66" s="131"/>
      <c r="U66" s="131">
        <f>IFERROR(VLOOKUP($L66,'2-2 引出数据_合同数据仓库'!$B$5:$BP$200,15,FALSE),0)</f>
        <v>0</v>
      </c>
      <c r="V66" s="131">
        <f t="shared" si="742"/>
        <v>0</v>
      </c>
      <c r="W66" s="131"/>
      <c r="X66" s="163">
        <v>45658</v>
      </c>
      <c r="Y66" s="163">
        <f t="shared" si="743"/>
        <v>45688</v>
      </c>
      <c r="Z66" s="167">
        <f t="shared" si="744"/>
        <v>0</v>
      </c>
      <c r="AA66" s="163">
        <f t="shared" si="745"/>
        <v>45689</v>
      </c>
      <c r="AB66" s="163">
        <f t="shared" si="746"/>
        <v>45716</v>
      </c>
      <c r="AC66" s="167">
        <f t="shared" si="747"/>
        <v>0</v>
      </c>
      <c r="AD66" s="163">
        <f t="shared" si="748"/>
        <v>45717</v>
      </c>
      <c r="AE66" s="163">
        <f t="shared" si="749"/>
        <v>45747</v>
      </c>
      <c r="AF66" s="167">
        <f t="shared" si="750"/>
        <v>0</v>
      </c>
      <c r="AG66" s="163">
        <f t="shared" si="751"/>
        <v>45748</v>
      </c>
      <c r="AH66" s="163">
        <f t="shared" si="752"/>
        <v>45777</v>
      </c>
      <c r="AI66" s="167">
        <f t="shared" si="753"/>
        <v>0</v>
      </c>
      <c r="AJ66" s="163">
        <f t="shared" si="754"/>
        <v>45778</v>
      </c>
      <c r="AK66" s="163">
        <f t="shared" si="755"/>
        <v>45808</v>
      </c>
      <c r="AL66" s="167">
        <f t="shared" si="756"/>
        <v>0</v>
      </c>
      <c r="AM66" s="163">
        <f t="shared" si="757"/>
        <v>45809</v>
      </c>
      <c r="AN66" s="163">
        <f t="shared" si="758"/>
        <v>45838</v>
      </c>
      <c r="AO66" s="167">
        <f t="shared" si="759"/>
        <v>0</v>
      </c>
      <c r="AP66" s="163">
        <f t="shared" si="760"/>
        <v>45839</v>
      </c>
      <c r="AQ66" s="163">
        <f t="shared" si="761"/>
        <v>45869</v>
      </c>
      <c r="AR66" s="167">
        <f t="shared" si="762"/>
        <v>0</v>
      </c>
      <c r="AS66" s="163">
        <f t="shared" si="763"/>
        <v>45870</v>
      </c>
      <c r="AT66" s="163">
        <f t="shared" si="764"/>
        <v>45900</v>
      </c>
      <c r="AU66" s="167">
        <f t="shared" si="765"/>
        <v>0</v>
      </c>
      <c r="AV66" s="163">
        <f t="shared" si="766"/>
        <v>45901</v>
      </c>
      <c r="AW66" s="163">
        <f t="shared" si="767"/>
        <v>45930</v>
      </c>
      <c r="AX66" s="167">
        <f t="shared" si="768"/>
        <v>0</v>
      </c>
      <c r="AY66" s="163">
        <f t="shared" si="769"/>
        <v>45931</v>
      </c>
      <c r="AZ66" s="163">
        <f t="shared" si="770"/>
        <v>45961</v>
      </c>
      <c r="BA66" s="167">
        <f t="shared" si="771"/>
        <v>0</v>
      </c>
      <c r="BB66" s="163">
        <f t="shared" si="772"/>
        <v>45962</v>
      </c>
      <c r="BC66" s="163">
        <f t="shared" si="773"/>
        <v>45991</v>
      </c>
      <c r="BD66" s="167">
        <f t="shared" si="774"/>
        <v>0</v>
      </c>
      <c r="BE66" s="163">
        <f t="shared" si="775"/>
        <v>45992</v>
      </c>
      <c r="BF66" s="163">
        <f t="shared" si="776"/>
        <v>46022</v>
      </c>
      <c r="BG66" s="167">
        <f t="shared" si="777"/>
        <v>0</v>
      </c>
      <c r="BH66" s="163">
        <v>46023</v>
      </c>
      <c r="BI66" s="163">
        <f t="shared" si="778"/>
        <v>46053</v>
      </c>
      <c r="BJ66" s="167">
        <f t="shared" si="779"/>
        <v>0</v>
      </c>
      <c r="BK66" s="163">
        <f t="shared" si="780"/>
        <v>46054</v>
      </c>
      <c r="BL66" s="163">
        <f t="shared" si="781"/>
        <v>46081</v>
      </c>
      <c r="BM66" s="167">
        <f t="shared" si="782"/>
        <v>0</v>
      </c>
      <c r="BN66" s="163">
        <f t="shared" si="783"/>
        <v>46082</v>
      </c>
      <c r="BO66" s="163">
        <f t="shared" si="784"/>
        <v>46112</v>
      </c>
      <c r="BP66" s="167">
        <f t="shared" si="785"/>
        <v>0</v>
      </c>
      <c r="BQ66" s="163">
        <f t="shared" si="786"/>
        <v>46113</v>
      </c>
      <c r="BR66" s="163">
        <f t="shared" si="787"/>
        <v>46142</v>
      </c>
      <c r="BS66" s="167">
        <f t="shared" si="788"/>
        <v>0</v>
      </c>
      <c r="BT66" s="163">
        <f t="shared" si="789"/>
        <v>46143</v>
      </c>
      <c r="BU66" s="163">
        <f t="shared" si="790"/>
        <v>46173</v>
      </c>
      <c r="BV66" s="167">
        <f t="shared" si="791"/>
        <v>0</v>
      </c>
      <c r="BW66" s="163">
        <f t="shared" si="792"/>
        <v>46174</v>
      </c>
      <c r="BX66" s="163">
        <f t="shared" si="793"/>
        <v>46203</v>
      </c>
      <c r="BY66" s="167">
        <f t="shared" si="794"/>
        <v>0</v>
      </c>
      <c r="BZ66" s="163">
        <f t="shared" si="795"/>
        <v>46204</v>
      </c>
      <c r="CA66" s="163">
        <f t="shared" si="796"/>
        <v>46234</v>
      </c>
      <c r="CB66" s="167">
        <f t="shared" si="797"/>
        <v>0</v>
      </c>
      <c r="CC66" s="163">
        <f t="shared" si="798"/>
        <v>46235</v>
      </c>
      <c r="CD66" s="163">
        <f t="shared" si="799"/>
        <v>46265</v>
      </c>
      <c r="CE66" s="167">
        <f t="shared" si="800"/>
        <v>0</v>
      </c>
      <c r="CF66" s="163">
        <f t="shared" si="801"/>
        <v>46266</v>
      </c>
      <c r="CG66" s="163">
        <f t="shared" si="802"/>
        <v>46295</v>
      </c>
      <c r="CH66" s="167">
        <f t="shared" si="803"/>
        <v>0</v>
      </c>
      <c r="CI66" s="163">
        <f t="shared" si="804"/>
        <v>46296</v>
      </c>
      <c r="CJ66" s="163">
        <f t="shared" si="805"/>
        <v>46326</v>
      </c>
      <c r="CK66" s="167">
        <f t="shared" si="806"/>
        <v>0</v>
      </c>
      <c r="CL66" s="163">
        <f t="shared" si="807"/>
        <v>46327</v>
      </c>
      <c r="CM66" s="163">
        <f t="shared" si="808"/>
        <v>46356</v>
      </c>
      <c r="CN66" s="167">
        <f t="shared" si="809"/>
        <v>0</v>
      </c>
      <c r="CO66" s="163">
        <f t="shared" si="810"/>
        <v>46357</v>
      </c>
      <c r="CP66" s="163">
        <f t="shared" si="811"/>
        <v>46387</v>
      </c>
      <c r="CQ66" s="167">
        <f t="shared" si="812"/>
        <v>0</v>
      </c>
    </row>
    <row r="67" s="89" customFormat="1" ht="24" hidden="1" customHeight="1" outlineLevel="4" spans="1:95">
      <c r="A67" s="128"/>
      <c r="B67" s="129"/>
      <c r="C67" s="130"/>
      <c r="D67" s="128"/>
      <c r="E67" s="129"/>
      <c r="F67" s="129"/>
      <c r="G67" s="129"/>
      <c r="H67" s="131"/>
      <c r="I67" s="131"/>
      <c r="J67" s="131">
        <f t="shared" si="5"/>
        <v>0</v>
      </c>
      <c r="K67" s="131">
        <f t="shared" si="813"/>
        <v>3</v>
      </c>
      <c r="L67" s="156"/>
      <c r="M67" s="157">
        <f>IFERROR(VLOOKUP($L67,'2-2 引出数据_合同数据仓库'!$B$5:$BP$200,3,FALSE),0)</f>
        <v>0</v>
      </c>
      <c r="N67" s="131"/>
      <c r="O67" s="157">
        <f>IFERROR(VLOOKUP((LEFT(VLOOKUP($L67,'2-2 引出数据_合同数据仓库'!$B$5:$BP$200,64,FALSE),15)&amp;(RIGHT(VLOOKUP($L67,'2-2 引出数据_合同数据仓库'!$B$5:$BP$200,64,FALSE),4)+1)),'2-2 引出数据_合同数据仓库'!$B$5:$BP$200,3,FALSE),0)</f>
        <v>0</v>
      </c>
      <c r="P67" s="131"/>
      <c r="Q67" s="131">
        <f>IFERROR(VLOOKUP($L67,'2-2 引出数据_合同数据仓库'!$B$5:$BP$200,28,FALSE),0)</f>
        <v>0</v>
      </c>
      <c r="R67" s="131">
        <f>IFERROR(VLOOKUP($L67,'2-2 引出数据_合同数据仓库'!$B$5:$BP$200,29,FALSE),0)</f>
        <v>0</v>
      </c>
      <c r="S67" s="131">
        <f>IFERROR(VLOOKUP($L67,'2-2 引出数据_合同数据仓库'!$B$5:$BP$200,4,FALSE),0)</f>
        <v>0</v>
      </c>
      <c r="T67" s="131"/>
      <c r="U67" s="131">
        <f>IFERROR(VLOOKUP($L67,'2-2 引出数据_合同数据仓库'!$B$5:$BP$200,15,FALSE),0)</f>
        <v>0</v>
      </c>
      <c r="V67" s="131">
        <f t="shared" si="742"/>
        <v>0</v>
      </c>
      <c r="W67" s="131"/>
      <c r="X67" s="163">
        <v>45658</v>
      </c>
      <c r="Y67" s="163">
        <f t="shared" si="743"/>
        <v>45688</v>
      </c>
      <c r="Z67" s="167">
        <f t="shared" si="744"/>
        <v>0</v>
      </c>
      <c r="AA67" s="163">
        <f t="shared" si="745"/>
        <v>45689</v>
      </c>
      <c r="AB67" s="163">
        <f t="shared" si="746"/>
        <v>45716</v>
      </c>
      <c r="AC67" s="167">
        <f t="shared" si="747"/>
        <v>0</v>
      </c>
      <c r="AD67" s="163">
        <f t="shared" si="748"/>
        <v>45717</v>
      </c>
      <c r="AE67" s="163">
        <f t="shared" si="749"/>
        <v>45747</v>
      </c>
      <c r="AF67" s="167">
        <f t="shared" si="750"/>
        <v>0</v>
      </c>
      <c r="AG67" s="163">
        <f t="shared" si="751"/>
        <v>45748</v>
      </c>
      <c r="AH67" s="163">
        <f t="shared" si="752"/>
        <v>45777</v>
      </c>
      <c r="AI67" s="167">
        <f t="shared" si="753"/>
        <v>0</v>
      </c>
      <c r="AJ67" s="163">
        <f t="shared" si="754"/>
        <v>45778</v>
      </c>
      <c r="AK67" s="163">
        <f t="shared" si="755"/>
        <v>45808</v>
      </c>
      <c r="AL67" s="167">
        <f t="shared" si="756"/>
        <v>0</v>
      </c>
      <c r="AM67" s="163">
        <f t="shared" si="757"/>
        <v>45809</v>
      </c>
      <c r="AN67" s="163">
        <f t="shared" si="758"/>
        <v>45838</v>
      </c>
      <c r="AO67" s="167">
        <f t="shared" si="759"/>
        <v>0</v>
      </c>
      <c r="AP67" s="163">
        <f t="shared" si="760"/>
        <v>45839</v>
      </c>
      <c r="AQ67" s="163">
        <f t="shared" si="761"/>
        <v>45869</v>
      </c>
      <c r="AR67" s="167">
        <f t="shared" si="762"/>
        <v>0</v>
      </c>
      <c r="AS67" s="163">
        <f t="shared" si="763"/>
        <v>45870</v>
      </c>
      <c r="AT67" s="163">
        <f t="shared" si="764"/>
        <v>45900</v>
      </c>
      <c r="AU67" s="167">
        <f t="shared" si="765"/>
        <v>0</v>
      </c>
      <c r="AV67" s="163">
        <f t="shared" si="766"/>
        <v>45901</v>
      </c>
      <c r="AW67" s="163">
        <f t="shared" si="767"/>
        <v>45930</v>
      </c>
      <c r="AX67" s="167">
        <f t="shared" si="768"/>
        <v>0</v>
      </c>
      <c r="AY67" s="163">
        <f t="shared" si="769"/>
        <v>45931</v>
      </c>
      <c r="AZ67" s="163">
        <f t="shared" si="770"/>
        <v>45961</v>
      </c>
      <c r="BA67" s="167">
        <f t="shared" si="771"/>
        <v>0</v>
      </c>
      <c r="BB67" s="163">
        <f t="shared" si="772"/>
        <v>45962</v>
      </c>
      <c r="BC67" s="163">
        <f t="shared" si="773"/>
        <v>45991</v>
      </c>
      <c r="BD67" s="167">
        <f t="shared" si="774"/>
        <v>0</v>
      </c>
      <c r="BE67" s="163">
        <f t="shared" si="775"/>
        <v>45992</v>
      </c>
      <c r="BF67" s="163">
        <f t="shared" si="776"/>
        <v>46022</v>
      </c>
      <c r="BG67" s="167">
        <f t="shared" si="777"/>
        <v>0</v>
      </c>
      <c r="BH67" s="163">
        <v>46023</v>
      </c>
      <c r="BI67" s="163">
        <f t="shared" si="778"/>
        <v>46053</v>
      </c>
      <c r="BJ67" s="167">
        <f t="shared" si="779"/>
        <v>0</v>
      </c>
      <c r="BK67" s="163">
        <f t="shared" si="780"/>
        <v>46054</v>
      </c>
      <c r="BL67" s="163">
        <f t="shared" si="781"/>
        <v>46081</v>
      </c>
      <c r="BM67" s="167">
        <f t="shared" si="782"/>
        <v>0</v>
      </c>
      <c r="BN67" s="163">
        <f t="shared" si="783"/>
        <v>46082</v>
      </c>
      <c r="BO67" s="163">
        <f t="shared" si="784"/>
        <v>46112</v>
      </c>
      <c r="BP67" s="167">
        <f t="shared" si="785"/>
        <v>0</v>
      </c>
      <c r="BQ67" s="163">
        <f t="shared" si="786"/>
        <v>46113</v>
      </c>
      <c r="BR67" s="163">
        <f t="shared" si="787"/>
        <v>46142</v>
      </c>
      <c r="BS67" s="167">
        <f t="shared" si="788"/>
        <v>0</v>
      </c>
      <c r="BT67" s="163">
        <f t="shared" si="789"/>
        <v>46143</v>
      </c>
      <c r="BU67" s="163">
        <f t="shared" si="790"/>
        <v>46173</v>
      </c>
      <c r="BV67" s="167">
        <f t="shared" si="791"/>
        <v>0</v>
      </c>
      <c r="BW67" s="163">
        <f t="shared" si="792"/>
        <v>46174</v>
      </c>
      <c r="BX67" s="163">
        <f t="shared" si="793"/>
        <v>46203</v>
      </c>
      <c r="BY67" s="167">
        <f t="shared" si="794"/>
        <v>0</v>
      </c>
      <c r="BZ67" s="163">
        <f t="shared" si="795"/>
        <v>46204</v>
      </c>
      <c r="CA67" s="163">
        <f t="shared" si="796"/>
        <v>46234</v>
      </c>
      <c r="CB67" s="167">
        <f t="shared" si="797"/>
        <v>0</v>
      </c>
      <c r="CC67" s="163">
        <f t="shared" si="798"/>
        <v>46235</v>
      </c>
      <c r="CD67" s="163">
        <f t="shared" si="799"/>
        <v>46265</v>
      </c>
      <c r="CE67" s="167">
        <f t="shared" si="800"/>
        <v>0</v>
      </c>
      <c r="CF67" s="163">
        <f t="shared" si="801"/>
        <v>46266</v>
      </c>
      <c r="CG67" s="163">
        <f t="shared" si="802"/>
        <v>46295</v>
      </c>
      <c r="CH67" s="167">
        <f t="shared" si="803"/>
        <v>0</v>
      </c>
      <c r="CI67" s="163">
        <f t="shared" si="804"/>
        <v>46296</v>
      </c>
      <c r="CJ67" s="163">
        <f t="shared" si="805"/>
        <v>46326</v>
      </c>
      <c r="CK67" s="167">
        <f t="shared" si="806"/>
        <v>0</v>
      </c>
      <c r="CL67" s="163">
        <f t="shared" si="807"/>
        <v>46327</v>
      </c>
      <c r="CM67" s="163">
        <f t="shared" si="808"/>
        <v>46356</v>
      </c>
      <c r="CN67" s="167">
        <f t="shared" si="809"/>
        <v>0</v>
      </c>
      <c r="CO67" s="163">
        <f t="shared" si="810"/>
        <v>46357</v>
      </c>
      <c r="CP67" s="163">
        <f t="shared" si="811"/>
        <v>46387</v>
      </c>
      <c r="CQ67" s="167">
        <f t="shared" si="812"/>
        <v>0</v>
      </c>
    </row>
    <row r="68" s="89" customFormat="1" ht="24" hidden="1" customHeight="1" outlineLevel="4" spans="1:95">
      <c r="A68" s="128"/>
      <c r="B68" s="129"/>
      <c r="C68" s="130"/>
      <c r="D68" s="128"/>
      <c r="E68" s="129"/>
      <c r="F68" s="129"/>
      <c r="G68" s="129"/>
      <c r="H68" s="131"/>
      <c r="I68" s="131"/>
      <c r="J68" s="131">
        <f t="shared" si="5"/>
        <v>0</v>
      </c>
      <c r="K68" s="131">
        <f t="shared" si="813"/>
        <v>4</v>
      </c>
      <c r="L68" s="156"/>
      <c r="M68" s="157">
        <f>IFERROR(VLOOKUP($L68,'2-2 引出数据_合同数据仓库'!$B$5:$BP$200,3,FALSE),0)</f>
        <v>0</v>
      </c>
      <c r="N68" s="131"/>
      <c r="O68" s="157">
        <f>IFERROR(VLOOKUP((LEFT(VLOOKUP($L68,'2-2 引出数据_合同数据仓库'!$B$5:$BP$200,64,FALSE),15)&amp;(RIGHT(VLOOKUP($L68,'2-2 引出数据_合同数据仓库'!$B$5:$BP$200,64,FALSE),4)+1)),'2-2 引出数据_合同数据仓库'!$B$5:$BP$200,3,FALSE),0)</f>
        <v>0</v>
      </c>
      <c r="P68" s="131"/>
      <c r="Q68" s="131">
        <f>IFERROR(VLOOKUP($L68,'2-2 引出数据_合同数据仓库'!$B$5:$BP$200,28,FALSE),0)</f>
        <v>0</v>
      </c>
      <c r="R68" s="131">
        <f>IFERROR(VLOOKUP($L68,'2-2 引出数据_合同数据仓库'!$B$5:$BP$200,29,FALSE),0)</f>
        <v>0</v>
      </c>
      <c r="S68" s="131">
        <f>IFERROR(VLOOKUP($L68,'2-2 引出数据_合同数据仓库'!$B$5:$BP$200,4,FALSE),0)</f>
        <v>0</v>
      </c>
      <c r="T68" s="131"/>
      <c r="U68" s="131">
        <f>IFERROR(VLOOKUP($L68,'2-2 引出数据_合同数据仓库'!$B$5:$BP$200,15,FALSE),0)</f>
        <v>0</v>
      </c>
      <c r="V68" s="131">
        <f t="shared" si="742"/>
        <v>0</v>
      </c>
      <c r="W68" s="131"/>
      <c r="X68" s="163">
        <v>45658</v>
      </c>
      <c r="Y68" s="163">
        <f t="shared" si="743"/>
        <v>45688</v>
      </c>
      <c r="Z68" s="167">
        <f t="shared" si="744"/>
        <v>0</v>
      </c>
      <c r="AA68" s="163">
        <f t="shared" si="745"/>
        <v>45689</v>
      </c>
      <c r="AB68" s="163">
        <f t="shared" si="746"/>
        <v>45716</v>
      </c>
      <c r="AC68" s="167">
        <f t="shared" si="747"/>
        <v>0</v>
      </c>
      <c r="AD68" s="163">
        <f t="shared" si="748"/>
        <v>45717</v>
      </c>
      <c r="AE68" s="163">
        <f t="shared" si="749"/>
        <v>45747</v>
      </c>
      <c r="AF68" s="167">
        <f t="shared" si="750"/>
        <v>0</v>
      </c>
      <c r="AG68" s="163">
        <f t="shared" si="751"/>
        <v>45748</v>
      </c>
      <c r="AH68" s="163">
        <f t="shared" si="752"/>
        <v>45777</v>
      </c>
      <c r="AI68" s="167">
        <f t="shared" si="753"/>
        <v>0</v>
      </c>
      <c r="AJ68" s="163">
        <f t="shared" si="754"/>
        <v>45778</v>
      </c>
      <c r="AK68" s="163">
        <f t="shared" si="755"/>
        <v>45808</v>
      </c>
      <c r="AL68" s="167">
        <f t="shared" si="756"/>
        <v>0</v>
      </c>
      <c r="AM68" s="163">
        <f t="shared" si="757"/>
        <v>45809</v>
      </c>
      <c r="AN68" s="163">
        <f t="shared" si="758"/>
        <v>45838</v>
      </c>
      <c r="AO68" s="167">
        <f t="shared" si="759"/>
        <v>0</v>
      </c>
      <c r="AP68" s="163">
        <f t="shared" si="760"/>
        <v>45839</v>
      </c>
      <c r="AQ68" s="163">
        <f t="shared" si="761"/>
        <v>45869</v>
      </c>
      <c r="AR68" s="167">
        <f t="shared" si="762"/>
        <v>0</v>
      </c>
      <c r="AS68" s="163">
        <f t="shared" si="763"/>
        <v>45870</v>
      </c>
      <c r="AT68" s="163">
        <f t="shared" si="764"/>
        <v>45900</v>
      </c>
      <c r="AU68" s="167">
        <f t="shared" si="765"/>
        <v>0</v>
      </c>
      <c r="AV68" s="163">
        <f t="shared" si="766"/>
        <v>45901</v>
      </c>
      <c r="AW68" s="163">
        <f t="shared" si="767"/>
        <v>45930</v>
      </c>
      <c r="AX68" s="167">
        <f t="shared" si="768"/>
        <v>0</v>
      </c>
      <c r="AY68" s="163">
        <f t="shared" si="769"/>
        <v>45931</v>
      </c>
      <c r="AZ68" s="163">
        <f t="shared" si="770"/>
        <v>45961</v>
      </c>
      <c r="BA68" s="167">
        <f t="shared" si="771"/>
        <v>0</v>
      </c>
      <c r="BB68" s="163">
        <f t="shared" si="772"/>
        <v>45962</v>
      </c>
      <c r="BC68" s="163">
        <f t="shared" si="773"/>
        <v>45991</v>
      </c>
      <c r="BD68" s="167">
        <f t="shared" si="774"/>
        <v>0</v>
      </c>
      <c r="BE68" s="163">
        <f t="shared" si="775"/>
        <v>45992</v>
      </c>
      <c r="BF68" s="163">
        <f t="shared" si="776"/>
        <v>46022</v>
      </c>
      <c r="BG68" s="167">
        <f t="shared" si="777"/>
        <v>0</v>
      </c>
      <c r="BH68" s="163">
        <v>46023</v>
      </c>
      <c r="BI68" s="163">
        <f t="shared" si="778"/>
        <v>46053</v>
      </c>
      <c r="BJ68" s="167">
        <f t="shared" si="779"/>
        <v>0</v>
      </c>
      <c r="BK68" s="163">
        <f t="shared" si="780"/>
        <v>46054</v>
      </c>
      <c r="BL68" s="163">
        <f t="shared" si="781"/>
        <v>46081</v>
      </c>
      <c r="BM68" s="167">
        <f t="shared" si="782"/>
        <v>0</v>
      </c>
      <c r="BN68" s="163">
        <f t="shared" si="783"/>
        <v>46082</v>
      </c>
      <c r="BO68" s="163">
        <f t="shared" si="784"/>
        <v>46112</v>
      </c>
      <c r="BP68" s="167">
        <f t="shared" si="785"/>
        <v>0</v>
      </c>
      <c r="BQ68" s="163">
        <f t="shared" si="786"/>
        <v>46113</v>
      </c>
      <c r="BR68" s="163">
        <f t="shared" si="787"/>
        <v>46142</v>
      </c>
      <c r="BS68" s="167">
        <f t="shared" si="788"/>
        <v>0</v>
      </c>
      <c r="BT68" s="163">
        <f t="shared" si="789"/>
        <v>46143</v>
      </c>
      <c r="BU68" s="163">
        <f t="shared" si="790"/>
        <v>46173</v>
      </c>
      <c r="BV68" s="167">
        <f t="shared" si="791"/>
        <v>0</v>
      </c>
      <c r="BW68" s="163">
        <f t="shared" si="792"/>
        <v>46174</v>
      </c>
      <c r="BX68" s="163">
        <f t="shared" si="793"/>
        <v>46203</v>
      </c>
      <c r="BY68" s="167">
        <f t="shared" si="794"/>
        <v>0</v>
      </c>
      <c r="BZ68" s="163">
        <f t="shared" si="795"/>
        <v>46204</v>
      </c>
      <c r="CA68" s="163">
        <f t="shared" si="796"/>
        <v>46234</v>
      </c>
      <c r="CB68" s="167">
        <f t="shared" si="797"/>
        <v>0</v>
      </c>
      <c r="CC68" s="163">
        <f t="shared" si="798"/>
        <v>46235</v>
      </c>
      <c r="CD68" s="163">
        <f t="shared" si="799"/>
        <v>46265</v>
      </c>
      <c r="CE68" s="167">
        <f t="shared" si="800"/>
        <v>0</v>
      </c>
      <c r="CF68" s="163">
        <f t="shared" si="801"/>
        <v>46266</v>
      </c>
      <c r="CG68" s="163">
        <f t="shared" si="802"/>
        <v>46295</v>
      </c>
      <c r="CH68" s="167">
        <f t="shared" si="803"/>
        <v>0</v>
      </c>
      <c r="CI68" s="163">
        <f t="shared" si="804"/>
        <v>46296</v>
      </c>
      <c r="CJ68" s="163">
        <f t="shared" si="805"/>
        <v>46326</v>
      </c>
      <c r="CK68" s="167">
        <f t="shared" si="806"/>
        <v>0</v>
      </c>
      <c r="CL68" s="163">
        <f t="shared" si="807"/>
        <v>46327</v>
      </c>
      <c r="CM68" s="163">
        <f t="shared" si="808"/>
        <v>46356</v>
      </c>
      <c r="CN68" s="167">
        <f t="shared" si="809"/>
        <v>0</v>
      </c>
      <c r="CO68" s="163">
        <f t="shared" si="810"/>
        <v>46357</v>
      </c>
      <c r="CP68" s="163">
        <f t="shared" si="811"/>
        <v>46387</v>
      </c>
      <c r="CQ68" s="167">
        <f t="shared" si="812"/>
        <v>0</v>
      </c>
    </row>
    <row r="69" s="89" customFormat="1" ht="24" hidden="1" customHeight="1" outlineLevel="4" spans="1:95">
      <c r="A69" s="132" t="s">
        <v>2813</v>
      </c>
      <c r="B69" s="133"/>
      <c r="C69" s="133"/>
      <c r="D69" s="133"/>
      <c r="E69" s="133"/>
      <c r="F69" s="133"/>
      <c r="G69" s="134"/>
      <c r="H69" s="135"/>
      <c r="I69" s="135"/>
      <c r="J69" s="135"/>
      <c r="K69" s="135"/>
      <c r="L69" s="158"/>
      <c r="M69" s="158"/>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row>
    <row r="70" ht="24" customHeight="1" outlineLevel="2" collapsed="1" spans="1:95">
      <c r="A70" s="43"/>
      <c r="B70" s="121" t="s">
        <v>787</v>
      </c>
      <c r="C70" s="122" t="s">
        <v>976</v>
      </c>
      <c r="D70" s="43" t="s">
        <v>977</v>
      </c>
      <c r="E70" s="121"/>
      <c r="F70" s="121"/>
      <c r="G70" s="121"/>
      <c r="H70" s="123">
        <f>X70+AA70+AD70+AG70+AJ70+AM70+AP70+AS70+AV70+AY70+BB70+BE70</f>
        <v>2171537.52</v>
      </c>
      <c r="I70" s="123">
        <f>Y70+AB70+AE70+AH70+AK70+AN70+AQ70+AT70+AW70+AZ70+BC70+BF70</f>
        <v>2171537.52</v>
      </c>
      <c r="J70" s="123">
        <f t="shared" ref="J70:J131" si="814">Z70+AC70+AF70+AI70+AL70+AO70+AR70+AU70+AX70+BA70+BD70+BG70</f>
        <v>0</v>
      </c>
      <c r="K70" s="123"/>
      <c r="L70" s="154"/>
      <c r="M70" s="154"/>
      <c r="N70" s="123"/>
      <c r="O70" s="123"/>
      <c r="P70" s="123"/>
      <c r="Q70" s="123"/>
      <c r="R70" s="123"/>
      <c r="S70" s="123"/>
      <c r="T70" s="123"/>
      <c r="U70" s="123"/>
      <c r="V70" s="123"/>
      <c r="W70" s="123"/>
      <c r="X70" s="123">
        <f>VLOOKUP($C70,'1 预算编制表单'!$C:$BJ,27,FALSE)</f>
        <v>180961.46</v>
      </c>
      <c r="Y70" s="123">
        <f>X70-Z70</f>
        <v>180961.46</v>
      </c>
      <c r="Z70" s="123">
        <f>Z71+Z77+Z83+Z89</f>
        <v>0</v>
      </c>
      <c r="AA70" s="123">
        <f>VLOOKUP($C70,'1 预算编制表单'!$C:$BJ,30,FALSE)</f>
        <v>180961.46</v>
      </c>
      <c r="AB70" s="123">
        <f>AA70-AC70</f>
        <v>180961.46</v>
      </c>
      <c r="AC70" s="123">
        <f>AC71+AC77+AC83+AC89</f>
        <v>0</v>
      </c>
      <c r="AD70" s="123">
        <f>VLOOKUP($C70,'1 预算编制表单'!$C:$BJ,33,FALSE)</f>
        <v>180961.46</v>
      </c>
      <c r="AE70" s="123">
        <f>AD70-AF70</f>
        <v>180961.46</v>
      </c>
      <c r="AF70" s="123">
        <f>AF71+AF77+AF83+AF89</f>
        <v>0</v>
      </c>
      <c r="AG70" s="123">
        <f>VLOOKUP($C70,'1 预算编制表单'!$C:$BJ,36,FALSE)</f>
        <v>180961.46</v>
      </c>
      <c r="AH70" s="123">
        <f>AG70-AI70</f>
        <v>180961.46</v>
      </c>
      <c r="AI70" s="123">
        <f>AI71+AI77+AI83+AI89</f>
        <v>0</v>
      </c>
      <c r="AJ70" s="123">
        <f>VLOOKUP($C70,'1 预算编制表单'!$C:$BJ,39,FALSE)</f>
        <v>180961.46</v>
      </c>
      <c r="AK70" s="123">
        <f>AJ70-AL70</f>
        <v>180961.46</v>
      </c>
      <c r="AL70" s="123">
        <f>AL71+AL77+AL83+AL89</f>
        <v>0</v>
      </c>
      <c r="AM70" s="123">
        <f>VLOOKUP($C70,'1 预算编制表单'!$C:$BJ,42,FALSE)</f>
        <v>180961.46</v>
      </c>
      <c r="AN70" s="123">
        <f>AM70-AO70</f>
        <v>180961.46</v>
      </c>
      <c r="AO70" s="123">
        <f>AO71+AO77+AO83+AO89</f>
        <v>0</v>
      </c>
      <c r="AP70" s="123">
        <f>VLOOKUP($C70,'1 预算编制表单'!$C:$BJ,45,FALSE)</f>
        <v>180961.46</v>
      </c>
      <c r="AQ70" s="123">
        <f>AP70-AR70</f>
        <v>180961.46</v>
      </c>
      <c r="AR70" s="123">
        <f>AR71+AR77+AR83+AR89</f>
        <v>0</v>
      </c>
      <c r="AS70" s="123">
        <f>VLOOKUP($C70,'1 预算编制表单'!$C:$BJ,48,FALSE)</f>
        <v>180961.46</v>
      </c>
      <c r="AT70" s="123">
        <f>AS70-AU70</f>
        <v>180961.46</v>
      </c>
      <c r="AU70" s="123">
        <f>AU71+AU77+AU83+AU89</f>
        <v>0</v>
      </c>
      <c r="AV70" s="123">
        <f>VLOOKUP($C70,'1 预算编制表单'!$C:$BJ,51,FALSE)</f>
        <v>180961.46</v>
      </c>
      <c r="AW70" s="123">
        <f>AV70-AX70</f>
        <v>180961.46</v>
      </c>
      <c r="AX70" s="123">
        <f>AX71+AX77+AX83+AX89</f>
        <v>0</v>
      </c>
      <c r="AY70" s="123">
        <f>VLOOKUP($C70,'1 预算编制表单'!$C:$BJ,54,FALSE)</f>
        <v>180961.46</v>
      </c>
      <c r="AZ70" s="123">
        <f>AY70-BA70</f>
        <v>180961.46</v>
      </c>
      <c r="BA70" s="123">
        <f>BA71+BA77+BA83+BA89</f>
        <v>0</v>
      </c>
      <c r="BB70" s="123">
        <f>VLOOKUP($C70,'1 预算编制表单'!$C:$BJ,57,FALSE)</f>
        <v>180961.46</v>
      </c>
      <c r="BC70" s="123">
        <f>BB70-BD70</f>
        <v>180961.46</v>
      </c>
      <c r="BD70" s="123">
        <f>BD71+BD77+BD83+BD89</f>
        <v>0</v>
      </c>
      <c r="BE70" s="123">
        <f>VLOOKUP($C70,'1 预算编制表单'!$C:$BJ,60,FALSE)</f>
        <v>180961.46</v>
      </c>
      <c r="BF70" s="123">
        <f>BE70-BG70</f>
        <v>180961.46</v>
      </c>
      <c r="BG70" s="123">
        <f>BG71+BG77+BG83+BG89</f>
        <v>0</v>
      </c>
      <c r="BH70" s="123">
        <f>VLOOKUP($C70,'1 预算编制表单'!$C:$BJ,27,FALSE)</f>
        <v>180961.46</v>
      </c>
      <c r="BI70" s="123">
        <f>BH70-BJ70</f>
        <v>180961.46</v>
      </c>
      <c r="BJ70" s="123">
        <f>BJ71+BJ77+BJ83+BJ89</f>
        <v>0</v>
      </c>
      <c r="BK70" s="123">
        <f>VLOOKUP($C70,'1 预算编制表单'!$C:$BJ,30,FALSE)</f>
        <v>180961.46</v>
      </c>
      <c r="BL70" s="123">
        <f>BK70-BM70</f>
        <v>180961.46</v>
      </c>
      <c r="BM70" s="123">
        <f>BM71+BM77+BM83+BM89</f>
        <v>0</v>
      </c>
      <c r="BN70" s="123">
        <f>VLOOKUP($C70,'1 预算编制表单'!$C:$BJ,33,FALSE)</f>
        <v>180961.46</v>
      </c>
      <c r="BO70" s="123">
        <f>BN70-BP70</f>
        <v>180961.46</v>
      </c>
      <c r="BP70" s="123">
        <f>BP71+BP77+BP83+BP89</f>
        <v>0</v>
      </c>
      <c r="BQ70" s="123">
        <f>VLOOKUP($C70,'1 预算编制表单'!$C:$BJ,36,FALSE)</f>
        <v>180961.46</v>
      </c>
      <c r="BR70" s="123">
        <f>BQ70-BS70</f>
        <v>180961.46</v>
      </c>
      <c r="BS70" s="123">
        <f>BS71+BS77+BS83+BS89</f>
        <v>0</v>
      </c>
      <c r="BT70" s="123">
        <f>VLOOKUP($C70,'1 预算编制表单'!$C:$BJ,39,FALSE)</f>
        <v>180961.46</v>
      </c>
      <c r="BU70" s="123">
        <f>BT70-BV70</f>
        <v>180961.46</v>
      </c>
      <c r="BV70" s="123">
        <f>BV71+BV77+BV83+BV89</f>
        <v>0</v>
      </c>
      <c r="BW70" s="123">
        <f>VLOOKUP($C70,'1 预算编制表单'!$C:$BJ,42,FALSE)</f>
        <v>180961.46</v>
      </c>
      <c r="BX70" s="123">
        <f>BW70-BY70</f>
        <v>180961.46</v>
      </c>
      <c r="BY70" s="123">
        <f>BY71+BY77+BY83+BY89</f>
        <v>0</v>
      </c>
      <c r="BZ70" s="123">
        <f>VLOOKUP($C70,'1 预算编制表单'!$C:$BJ,45,FALSE)</f>
        <v>180961.46</v>
      </c>
      <c r="CA70" s="123">
        <f>BZ70-CB70</f>
        <v>180961.46</v>
      </c>
      <c r="CB70" s="123">
        <f>CB71+CB77+CB83+CB89</f>
        <v>0</v>
      </c>
      <c r="CC70" s="123">
        <f>VLOOKUP($C70,'1 预算编制表单'!$C:$BJ,48,FALSE)</f>
        <v>180961.46</v>
      </c>
      <c r="CD70" s="123">
        <f>CC70-CE70</f>
        <v>180961.46</v>
      </c>
      <c r="CE70" s="123">
        <f>CE71+CE77+CE83+CE89</f>
        <v>0</v>
      </c>
      <c r="CF70" s="123">
        <f>VLOOKUP($C70,'1 预算编制表单'!$C:$BJ,51,FALSE)</f>
        <v>180961.46</v>
      </c>
      <c r="CG70" s="123">
        <f>CF70-CH70</f>
        <v>180961.46</v>
      </c>
      <c r="CH70" s="123">
        <f>CH71+CH77+CH83+CH89</f>
        <v>0</v>
      </c>
      <c r="CI70" s="123">
        <f>VLOOKUP($C70,'1 预算编制表单'!$C:$BJ,54,FALSE)</f>
        <v>180961.46</v>
      </c>
      <c r="CJ70" s="123">
        <f>CI70-CK70</f>
        <v>180961.46</v>
      </c>
      <c r="CK70" s="123">
        <f>CK71+CK77+CK83+CK89</f>
        <v>0</v>
      </c>
      <c r="CL70" s="123">
        <f>VLOOKUP($C70,'1 预算编制表单'!$C:$BJ,57,FALSE)</f>
        <v>180961.46</v>
      </c>
      <c r="CM70" s="123">
        <f>CL70-CN70</f>
        <v>180961.46</v>
      </c>
      <c r="CN70" s="123">
        <f>CN71+CN77+CN83+CN89</f>
        <v>0</v>
      </c>
      <c r="CO70" s="123">
        <f>VLOOKUP($C70,'1 预算编制表单'!$C:$BJ,60,FALSE)</f>
        <v>180961.46</v>
      </c>
      <c r="CP70" s="123">
        <f>CO70-CQ70</f>
        <v>180961.46</v>
      </c>
      <c r="CQ70" s="123">
        <f>CQ71+CQ77+CQ83+CQ89</f>
        <v>0</v>
      </c>
    </row>
    <row r="71" ht="24" hidden="1" customHeight="1" outlineLevel="3" collapsed="1" spans="1:95">
      <c r="A71" s="124"/>
      <c r="B71" s="125" t="s">
        <v>792</v>
      </c>
      <c r="C71" s="126" t="s">
        <v>118</v>
      </c>
      <c r="D71" s="124" t="s">
        <v>109</v>
      </c>
      <c r="E71" s="125"/>
      <c r="F71" s="125"/>
      <c r="G71" s="125"/>
      <c r="H71" s="127">
        <f>X71+AA71+AD71+AG71+AJ71+AM71+AP71+AS71+AV71+AY71+BB71+BE71</f>
        <v>2171537.52</v>
      </c>
      <c r="I71" s="127">
        <f>Y71+AB71+AE71+AH71+AK71+AN71+AQ71+AT71+AW71+AZ71+BC71+BF71</f>
        <v>2171537.52</v>
      </c>
      <c r="J71" s="127">
        <f t="shared" si="814"/>
        <v>0</v>
      </c>
      <c r="K71" s="127"/>
      <c r="L71" s="155"/>
      <c r="M71" s="155"/>
      <c r="N71" s="127"/>
      <c r="O71" s="127"/>
      <c r="P71" s="127"/>
      <c r="Q71" s="127"/>
      <c r="R71" s="127"/>
      <c r="S71" s="127"/>
      <c r="T71" s="127"/>
      <c r="U71" s="127"/>
      <c r="V71" s="127"/>
      <c r="W71" s="127"/>
      <c r="X71" s="127">
        <f>VLOOKUP($C71,'1 预算编制表单'!$C:$BJ,27,FALSE)</f>
        <v>180961.46</v>
      </c>
      <c r="Y71" s="127">
        <f>X71-Z71</f>
        <v>180961.46</v>
      </c>
      <c r="Z71" s="127">
        <f>SUM(Z72:Z76)</f>
        <v>0</v>
      </c>
      <c r="AA71" s="127">
        <f>VLOOKUP($C71,'1 预算编制表单'!$C:$BJ,30,FALSE)</f>
        <v>180961.46</v>
      </c>
      <c r="AB71" s="127">
        <f>AA71-AC71</f>
        <v>180961.46</v>
      </c>
      <c r="AC71" s="127">
        <f>SUM(AC72:AC76)</f>
        <v>0</v>
      </c>
      <c r="AD71" s="127">
        <f>VLOOKUP($C71,'1 预算编制表单'!$C:$BJ,33,FALSE)</f>
        <v>180961.46</v>
      </c>
      <c r="AE71" s="127">
        <f>AD71-AF71</f>
        <v>180961.46</v>
      </c>
      <c r="AF71" s="127">
        <f>SUM(AF72:AF76)</f>
        <v>0</v>
      </c>
      <c r="AG71" s="127">
        <f>VLOOKUP($C71,'1 预算编制表单'!$C:$BJ,36,FALSE)</f>
        <v>180961.46</v>
      </c>
      <c r="AH71" s="127">
        <f>AG71-AI71</f>
        <v>180961.46</v>
      </c>
      <c r="AI71" s="127">
        <f>SUM(AI72:AI76)</f>
        <v>0</v>
      </c>
      <c r="AJ71" s="127">
        <f>VLOOKUP($C71,'1 预算编制表单'!$C:$BJ,39,FALSE)</f>
        <v>180961.46</v>
      </c>
      <c r="AK71" s="127">
        <f>AJ71-AL71</f>
        <v>180961.46</v>
      </c>
      <c r="AL71" s="127">
        <f>SUM(AL72:AL76)</f>
        <v>0</v>
      </c>
      <c r="AM71" s="127">
        <f>VLOOKUP($C71,'1 预算编制表单'!$C:$BJ,42,FALSE)</f>
        <v>180961.46</v>
      </c>
      <c r="AN71" s="127">
        <f>AM71-AO71</f>
        <v>180961.46</v>
      </c>
      <c r="AO71" s="127">
        <f>SUM(AO72:AO76)</f>
        <v>0</v>
      </c>
      <c r="AP71" s="127">
        <f>VLOOKUP($C71,'1 预算编制表单'!$C:$BJ,45,FALSE)</f>
        <v>180961.46</v>
      </c>
      <c r="AQ71" s="127">
        <f>AP71-AR71</f>
        <v>180961.46</v>
      </c>
      <c r="AR71" s="127">
        <f>SUM(AR72:AR76)</f>
        <v>0</v>
      </c>
      <c r="AS71" s="127">
        <f>VLOOKUP($C71,'1 预算编制表单'!$C:$BJ,48,FALSE)</f>
        <v>180961.46</v>
      </c>
      <c r="AT71" s="127">
        <f>AS71-AU71</f>
        <v>180961.46</v>
      </c>
      <c r="AU71" s="127">
        <f>SUM(AU72:AU76)</f>
        <v>0</v>
      </c>
      <c r="AV71" s="127">
        <f>VLOOKUP($C71,'1 预算编制表单'!$C:$BJ,51,FALSE)</f>
        <v>180961.46</v>
      </c>
      <c r="AW71" s="127">
        <f>AV71-AX71</f>
        <v>180961.46</v>
      </c>
      <c r="AX71" s="127">
        <f>SUM(AX72:AX76)</f>
        <v>0</v>
      </c>
      <c r="AY71" s="127">
        <f>VLOOKUP($C71,'1 预算编制表单'!$C:$BJ,54,FALSE)</f>
        <v>180961.46</v>
      </c>
      <c r="AZ71" s="127">
        <f>AY71-BA71</f>
        <v>180961.46</v>
      </c>
      <c r="BA71" s="127">
        <f>SUM(BA72:BA76)</f>
        <v>0</v>
      </c>
      <c r="BB71" s="127">
        <f>VLOOKUP($C71,'1 预算编制表单'!$C:$BJ,57,FALSE)</f>
        <v>180961.46</v>
      </c>
      <c r="BC71" s="127">
        <f>BB71-BD71</f>
        <v>180961.46</v>
      </c>
      <c r="BD71" s="127">
        <f>SUM(BD72:BD76)</f>
        <v>0</v>
      </c>
      <c r="BE71" s="127">
        <f>VLOOKUP($C71,'1 预算编制表单'!$C:$BJ,60,FALSE)</f>
        <v>180961.46</v>
      </c>
      <c r="BF71" s="127">
        <f>BE71-BG71</f>
        <v>180961.46</v>
      </c>
      <c r="BG71" s="127">
        <f>SUM(BG72:BG76)</f>
        <v>0</v>
      </c>
      <c r="BH71" s="127">
        <f>VLOOKUP($C71,'1 预算编制表单'!$C:$BJ,27,FALSE)</f>
        <v>180961.46</v>
      </c>
      <c r="BI71" s="127">
        <f>BH71-BJ71</f>
        <v>180961.46</v>
      </c>
      <c r="BJ71" s="127">
        <f>SUM(BJ72:BJ76)</f>
        <v>0</v>
      </c>
      <c r="BK71" s="127">
        <f>VLOOKUP($C71,'1 预算编制表单'!$C:$BJ,30,FALSE)</f>
        <v>180961.46</v>
      </c>
      <c r="BL71" s="127">
        <f>BK71-BM71</f>
        <v>180961.46</v>
      </c>
      <c r="BM71" s="127">
        <f>SUM(BM72:BM76)</f>
        <v>0</v>
      </c>
      <c r="BN71" s="127">
        <f>VLOOKUP($C71,'1 预算编制表单'!$C:$BJ,33,FALSE)</f>
        <v>180961.46</v>
      </c>
      <c r="BO71" s="127">
        <f>BN71-BP71</f>
        <v>180961.46</v>
      </c>
      <c r="BP71" s="127">
        <f>SUM(BP72:BP76)</f>
        <v>0</v>
      </c>
      <c r="BQ71" s="127">
        <f>VLOOKUP($C71,'1 预算编制表单'!$C:$BJ,36,FALSE)</f>
        <v>180961.46</v>
      </c>
      <c r="BR71" s="127">
        <f>BQ71-BS71</f>
        <v>180961.46</v>
      </c>
      <c r="BS71" s="127">
        <f>SUM(BS72:BS76)</f>
        <v>0</v>
      </c>
      <c r="BT71" s="127">
        <f>VLOOKUP($C71,'1 预算编制表单'!$C:$BJ,39,FALSE)</f>
        <v>180961.46</v>
      </c>
      <c r="BU71" s="127">
        <f>BT71-BV71</f>
        <v>180961.46</v>
      </c>
      <c r="BV71" s="127">
        <f>SUM(BV72:BV76)</f>
        <v>0</v>
      </c>
      <c r="BW71" s="127">
        <f>VLOOKUP($C71,'1 预算编制表单'!$C:$BJ,42,FALSE)</f>
        <v>180961.46</v>
      </c>
      <c r="BX71" s="127">
        <f>BW71-BY71</f>
        <v>180961.46</v>
      </c>
      <c r="BY71" s="127">
        <f>SUM(BY72:BY76)</f>
        <v>0</v>
      </c>
      <c r="BZ71" s="127">
        <f>VLOOKUP($C71,'1 预算编制表单'!$C:$BJ,45,FALSE)</f>
        <v>180961.46</v>
      </c>
      <c r="CA71" s="127">
        <f>BZ71-CB71</f>
        <v>180961.46</v>
      </c>
      <c r="CB71" s="127">
        <f>SUM(CB72:CB76)</f>
        <v>0</v>
      </c>
      <c r="CC71" s="127">
        <f>VLOOKUP($C71,'1 预算编制表单'!$C:$BJ,48,FALSE)</f>
        <v>180961.46</v>
      </c>
      <c r="CD71" s="127">
        <f>CC71-CE71</f>
        <v>180961.46</v>
      </c>
      <c r="CE71" s="127">
        <f>SUM(CE72:CE76)</f>
        <v>0</v>
      </c>
      <c r="CF71" s="127">
        <f>VLOOKUP($C71,'1 预算编制表单'!$C:$BJ,51,FALSE)</f>
        <v>180961.46</v>
      </c>
      <c r="CG71" s="127">
        <f>CF71-CH71</f>
        <v>180961.46</v>
      </c>
      <c r="CH71" s="127">
        <f>SUM(CH72:CH76)</f>
        <v>0</v>
      </c>
      <c r="CI71" s="127">
        <f>VLOOKUP($C71,'1 预算编制表单'!$C:$BJ,54,FALSE)</f>
        <v>180961.46</v>
      </c>
      <c r="CJ71" s="127">
        <f>CI71-CK71</f>
        <v>180961.46</v>
      </c>
      <c r="CK71" s="127">
        <f>SUM(CK72:CK76)</f>
        <v>0</v>
      </c>
      <c r="CL71" s="127">
        <f>VLOOKUP($C71,'1 预算编制表单'!$C:$BJ,57,FALSE)</f>
        <v>180961.46</v>
      </c>
      <c r="CM71" s="127">
        <f>CL71-CN71</f>
        <v>180961.46</v>
      </c>
      <c r="CN71" s="127">
        <f>SUM(CN72:CN76)</f>
        <v>0</v>
      </c>
      <c r="CO71" s="127">
        <f>VLOOKUP($C71,'1 预算编制表单'!$C:$BJ,60,FALSE)</f>
        <v>180961.46</v>
      </c>
      <c r="CP71" s="127">
        <f>CO71-CQ71</f>
        <v>180961.46</v>
      </c>
      <c r="CQ71" s="127">
        <f>SUM(CQ72:CQ76)</f>
        <v>0</v>
      </c>
    </row>
    <row r="72" s="89" customFormat="1" ht="24" hidden="1" customHeight="1" outlineLevel="4" spans="1:95">
      <c r="A72" s="128"/>
      <c r="B72" s="129"/>
      <c r="C72" s="130"/>
      <c r="D72" s="128"/>
      <c r="E72" s="129"/>
      <c r="F72" s="129"/>
      <c r="G72" s="129"/>
      <c r="H72" s="131"/>
      <c r="I72" s="131"/>
      <c r="J72" s="131">
        <f t="shared" si="814"/>
        <v>0</v>
      </c>
      <c r="K72" s="131">
        <v>1</v>
      </c>
      <c r="L72" s="156"/>
      <c r="M72" s="157">
        <f>IFERROR(VLOOKUP($L72,'2-2 引出数据_合同数据仓库'!$B$5:$BP$200,3,FALSE),0)</f>
        <v>0</v>
      </c>
      <c r="N72" s="131"/>
      <c r="O72" s="157">
        <f>IFERROR(VLOOKUP((LEFT(VLOOKUP($L72,'2-2 引出数据_合同数据仓库'!$B$5:$BP$200,64,FALSE),15)&amp;(RIGHT(VLOOKUP($L72,'2-2 引出数据_合同数据仓库'!$B$5:$BP$200,64,FALSE),4)+1)),'2-2 引出数据_合同数据仓库'!$B$5:$BP$200,3,FALSE),0)</f>
        <v>0</v>
      </c>
      <c r="P72" s="131"/>
      <c r="Q72" s="131">
        <f>IFERROR(VLOOKUP($L72,'2-2 引出数据_合同数据仓库'!$B$5:$BP$200,28,FALSE),0)</f>
        <v>0</v>
      </c>
      <c r="R72" s="131">
        <f>IFERROR(VLOOKUP($L72,'2-2 引出数据_合同数据仓库'!$B$5:$BP$200,29,FALSE),0)</f>
        <v>0</v>
      </c>
      <c r="S72" s="131">
        <f>IFERROR(VLOOKUP($L72,'2-2 引出数据_合同数据仓库'!$B$5:$BP$200,4,FALSE),0)</f>
        <v>0</v>
      </c>
      <c r="T72" s="131"/>
      <c r="U72" s="131">
        <f>IFERROR(VLOOKUP($L72,'2-2 引出数据_合同数据仓库'!$B$5:$BP$200,15,FALSE),0)</f>
        <v>0</v>
      </c>
      <c r="V72" s="131">
        <f t="shared" ref="V72:V75" si="815">U72/(S72-R72+1)*365</f>
        <v>0</v>
      </c>
      <c r="W72" s="131"/>
      <c r="X72" s="163">
        <v>45658</v>
      </c>
      <c r="Y72" s="163">
        <f t="shared" ref="Y72:Y75" si="816">X72+30</f>
        <v>45688</v>
      </c>
      <c r="Z72" s="167">
        <f t="shared" ref="Z72:Z75" si="817">IFERROR(IF(($R72-Y72)&gt;=0,0,IF(($S72-X72)&lt;0,0,IF(AND(($S72-Y72)&gt;0,(X72-$R72)&gt;0),$V72/365*(Y72-X72+1),IF(AND(($S72-Y72)&lt;=0,(X72-$R72)&gt;0),$V72/365*($S72-X72+1),$V72/365*(Y72-$R72+1))))),0)</f>
        <v>0</v>
      </c>
      <c r="AA72" s="163">
        <f t="shared" ref="AA72:AA75" si="818">Y72+1</f>
        <v>45689</v>
      </c>
      <c r="AB72" s="163">
        <f t="shared" ref="AB72:AB75" si="819">AA72+27</f>
        <v>45716</v>
      </c>
      <c r="AC72" s="167">
        <f t="shared" ref="AC72:AC75" si="820">IFERROR(IF(($R72-AB72)&gt;=0,0,IF(($S72-AA72)&lt;0,0,IF(AND(($S72-AB72)&gt;0,(AA72-$R72)&gt;0),$V72/365*(AB72-AA72+1),IF(AND(($S72-AB72)&lt;=0,(AA72-$R72)&gt;0),$V72/365*($S72-AA72+1),$V72/365*(AB72-$R72+1))))),0)</f>
        <v>0</v>
      </c>
      <c r="AD72" s="163">
        <f t="shared" ref="AD72:AD75" si="821">AB72+1</f>
        <v>45717</v>
      </c>
      <c r="AE72" s="163">
        <f t="shared" ref="AE72:AE75" si="822">AD72+30</f>
        <v>45747</v>
      </c>
      <c r="AF72" s="167">
        <f t="shared" ref="AF72:AF75" si="823">IFERROR(IF(($R72-AE72)&gt;=0,0,IF(($S72-AD72)&lt;0,0,IF(AND(($S72-AE72)&gt;0,(AD72-$R72)&gt;0),$V72/365*(AE72-AD72+1),IF(AND(($S72-AE72)&lt;=0,(AD72-$R72)&gt;0),$V72/365*($S72-AD72+1),$V72/365*(AE72-$R72+1))))),0)</f>
        <v>0</v>
      </c>
      <c r="AG72" s="163">
        <f t="shared" ref="AG72:AG75" si="824">AE72+1</f>
        <v>45748</v>
      </c>
      <c r="AH72" s="163">
        <f t="shared" ref="AH72:AH75" si="825">AG72+29</f>
        <v>45777</v>
      </c>
      <c r="AI72" s="167">
        <f t="shared" ref="AI72:AI75" si="826">IFERROR(IF(($R72-AH72)&gt;=0,0,IF(($S72-AG72)&lt;0,0,IF(AND(($S72-AH72)&gt;0,(AG72-$R72)&gt;0),$V72/365*(AH72-AG72+1),IF(AND(($S72-AH72)&lt;=0,(AG72-$R72)&gt;0),$V72/365*($S72-AG72+1),$V72/365*(AH72-$R72+1))))),0)</f>
        <v>0</v>
      </c>
      <c r="AJ72" s="163">
        <f t="shared" ref="AJ72:AJ75" si="827">AH72+1</f>
        <v>45778</v>
      </c>
      <c r="AK72" s="163">
        <f t="shared" ref="AK72:AK75" si="828">AJ72+30</f>
        <v>45808</v>
      </c>
      <c r="AL72" s="167">
        <f t="shared" ref="AL72:AL75" si="829">IFERROR(IF(($R72-AK72)&gt;=0,0,IF(($S72-AJ72)&lt;0,0,IF(AND(($S72-AK72)&gt;0,(AJ72-$R72)&gt;0),$V72/365*(AK72-AJ72+1),IF(AND(($S72-AK72)&lt;=0,(AJ72-$R72)&gt;0),$V72/365*($S72-AJ72+1),$V72/365*(AK72-$R72+1))))),0)</f>
        <v>0</v>
      </c>
      <c r="AM72" s="163">
        <f t="shared" ref="AM72:AM75" si="830">AK72+1</f>
        <v>45809</v>
      </c>
      <c r="AN72" s="163">
        <f t="shared" ref="AN72:AN75" si="831">AM72+29</f>
        <v>45838</v>
      </c>
      <c r="AO72" s="167">
        <f t="shared" ref="AO72:AO75" si="832">IFERROR(IF(($R72-AN72)&gt;=0,0,IF(($S72-AM72)&lt;0,0,IF(AND(($S72-AN72)&gt;0,(AM72-$R72)&gt;0),$V72/365*(AN72-AM72+1),IF(AND(($S72-AN72)&lt;=0,(AM72-$R72)&gt;0),$V72/365*($S72-AM72+1),$V72/365*(AN72-$R72+1))))),0)</f>
        <v>0</v>
      </c>
      <c r="AP72" s="163">
        <f t="shared" ref="AP72:AP75" si="833">AN72+1</f>
        <v>45839</v>
      </c>
      <c r="AQ72" s="163">
        <f t="shared" ref="AQ72:AQ75" si="834">AP72+30</f>
        <v>45869</v>
      </c>
      <c r="AR72" s="167">
        <f t="shared" ref="AR72:AR75" si="835">IFERROR(IF(($R72-AQ72)&gt;=0,0,IF(($S72-AP72)&lt;0,0,IF(AND(($S72-AQ72)&gt;0,(AP72-$R72)&gt;0),$V72/365*(AQ72-AP72+1),IF(AND(($S72-AQ72)&lt;=0,(AP72-$R72)&gt;0),$V72/365*($S72-AP72+1),$V72/365*(AQ72-$R72+1))))),0)</f>
        <v>0</v>
      </c>
      <c r="AS72" s="163">
        <f t="shared" ref="AS72:AS75" si="836">AQ72+1</f>
        <v>45870</v>
      </c>
      <c r="AT72" s="163">
        <f t="shared" ref="AT72:AT75" si="837">AS72+30</f>
        <v>45900</v>
      </c>
      <c r="AU72" s="167">
        <f t="shared" ref="AU72:AU75" si="838">IFERROR(IF(($R72-AT72)&gt;=0,0,IF(($S72-AS72)&lt;0,0,IF(AND(($S72-AT72)&gt;0,(AS72-$R72)&gt;0),$V72/365*(AT72-AS72+1),IF(AND(($S72-AT72)&lt;=0,(AS72-$R72)&gt;0),$V72/365*($S72-AS72+1),$V72/365*(AT72-$R72+1))))),0)</f>
        <v>0</v>
      </c>
      <c r="AV72" s="163">
        <f t="shared" ref="AV72:AV75" si="839">AT72+1</f>
        <v>45901</v>
      </c>
      <c r="AW72" s="163">
        <f t="shared" ref="AW72:AW75" si="840">AV72+29</f>
        <v>45930</v>
      </c>
      <c r="AX72" s="167">
        <f t="shared" ref="AX72:AX75" si="841">IFERROR(IF(($R72-AW72)&gt;=0,0,IF(($S72-AV72)&lt;0,0,IF(AND(($S72-AW72)&gt;0,(AV72-$R72)&gt;0),$V72/365*(AW72-AV72+1),IF(AND(($S72-AW72)&lt;=0,(AV72-$R72)&gt;0),$V72/365*($S72-AV72+1),$V72/365*(AW72-$R72+1))))),0)</f>
        <v>0</v>
      </c>
      <c r="AY72" s="163">
        <f t="shared" ref="AY72:AY75" si="842">AW72+1</f>
        <v>45931</v>
      </c>
      <c r="AZ72" s="163">
        <f t="shared" ref="AZ72:AZ75" si="843">AY72+30</f>
        <v>45961</v>
      </c>
      <c r="BA72" s="167">
        <f t="shared" ref="BA72:BA75" si="844">IFERROR(IF(($R72-AZ72)&gt;=0,0,IF(($S72-AY72)&lt;0,0,IF(AND(($S72-AZ72)&gt;0,(AY72-$R72)&gt;0),$V72/365*(AZ72-AY72+1),IF(AND(($S72-AZ72)&lt;=0,(AY72-$R72)&gt;0),$V72/365*($S72-AY72+1),$V72/365*(AZ72-$R72+1))))),0)</f>
        <v>0</v>
      </c>
      <c r="BB72" s="163">
        <f t="shared" ref="BB72:BB75" si="845">AZ72+1</f>
        <v>45962</v>
      </c>
      <c r="BC72" s="163">
        <f t="shared" ref="BC72:BC75" si="846">BB72+29</f>
        <v>45991</v>
      </c>
      <c r="BD72" s="167">
        <f t="shared" ref="BD72:BD75" si="847">IFERROR(IF(($R72-BC72)&gt;=0,0,IF(($S72-BB72)&lt;0,0,IF(AND(($S72-BC72)&gt;0,(BB72-$R72)&gt;0),$V72/365*(BC72-BB72+1),IF(AND(($S72-BC72)&lt;=0,(BB72-$R72)&gt;0),$V72/365*($S72-BB72+1),$V72/365*(BC72-$R72+1))))),0)</f>
        <v>0</v>
      </c>
      <c r="BE72" s="163">
        <f t="shared" ref="BE72:BE75" si="848">BC72+1</f>
        <v>45992</v>
      </c>
      <c r="BF72" s="163">
        <f t="shared" ref="BF72:BF75" si="849">BE72+30</f>
        <v>46022</v>
      </c>
      <c r="BG72" s="167">
        <f t="shared" ref="BG72:BG75" si="850">IFERROR(IF(($R72-BF72)&gt;=0,0,IF(($S72-BE72)&lt;0,0,IF(AND(($S72-BF72)&gt;0,(BE72-$R72)&gt;0),$V72/365*(BF72-BE72+1),IF(AND(($S72-BF72)&lt;=0,(BE72-$R72)&gt;0),$V72/365*($S72-BE72+1),$V72/365*(BF72-$R72+1))))),0)</f>
        <v>0</v>
      </c>
      <c r="BH72" s="163">
        <v>46023</v>
      </c>
      <c r="BI72" s="163">
        <f t="shared" ref="BI72:BI75" si="851">BH72+30</f>
        <v>46053</v>
      </c>
      <c r="BJ72" s="167">
        <f t="shared" ref="BJ72:BJ75" si="852">IFERROR(IF(($R72-BI72)&gt;=0,0,IF(($S72-BH72)&lt;0,0,IF(AND(($S72-BI72)&gt;0,(BH72-$R72)&gt;0),$V72/365*(BI72-BH72+1),IF(AND(($S72-BI72)&lt;=0,(BH72-$R72)&gt;0),$V72/365*($S72-BH72+1),$V72/365*(BI72-$R72+1))))),0)</f>
        <v>0</v>
      </c>
      <c r="BK72" s="163">
        <f t="shared" ref="BK72:BK75" si="853">BI72+1</f>
        <v>46054</v>
      </c>
      <c r="BL72" s="163">
        <f t="shared" ref="BL72:BL75" si="854">BK72+27</f>
        <v>46081</v>
      </c>
      <c r="BM72" s="167">
        <f t="shared" ref="BM72:BM75" si="855">IFERROR(IF(($R72-BL72)&gt;=0,0,IF(($S72-BK72)&lt;0,0,IF(AND(($S72-BL72)&gt;0,(BK72-$R72)&gt;0),$V72/365*(BL72-BK72+1),IF(AND(($S72-BL72)&lt;=0,(BK72-$R72)&gt;0),$V72/365*($S72-BK72+1),$V72/365*(BL72-$R72+1))))),0)</f>
        <v>0</v>
      </c>
      <c r="BN72" s="163">
        <f t="shared" ref="BN72:BN75" si="856">BL72+1</f>
        <v>46082</v>
      </c>
      <c r="BO72" s="163">
        <f t="shared" ref="BO72:BO75" si="857">BN72+30</f>
        <v>46112</v>
      </c>
      <c r="BP72" s="167">
        <f t="shared" ref="BP72:BP75" si="858">IFERROR(IF(($R72-BO72)&gt;=0,0,IF(($S72-BN72)&lt;0,0,IF(AND(($S72-BO72)&gt;0,(BN72-$R72)&gt;0),$V72/365*(BO72-BN72+1),IF(AND(($S72-BO72)&lt;=0,(BN72-$R72)&gt;0),$V72/365*($S72-BN72+1),$V72/365*(BO72-$R72+1))))),0)</f>
        <v>0</v>
      </c>
      <c r="BQ72" s="163">
        <f t="shared" ref="BQ72:BQ75" si="859">BO72+1</f>
        <v>46113</v>
      </c>
      <c r="BR72" s="163">
        <f t="shared" ref="BR72:BR75" si="860">BQ72+29</f>
        <v>46142</v>
      </c>
      <c r="BS72" s="167">
        <f t="shared" ref="BS72:BS75" si="861">IFERROR(IF(($R72-BR72)&gt;=0,0,IF(($S72-BQ72)&lt;0,0,IF(AND(($S72-BR72)&gt;0,(BQ72-$R72)&gt;0),$V72/365*(BR72-BQ72+1),IF(AND(($S72-BR72)&lt;=0,(BQ72-$R72)&gt;0),$V72/365*($S72-BQ72+1),$V72/365*(BR72-$R72+1))))),0)</f>
        <v>0</v>
      </c>
      <c r="BT72" s="163">
        <f t="shared" ref="BT72:BT75" si="862">BR72+1</f>
        <v>46143</v>
      </c>
      <c r="BU72" s="163">
        <f t="shared" ref="BU72:BU75" si="863">BT72+30</f>
        <v>46173</v>
      </c>
      <c r="BV72" s="167">
        <f t="shared" ref="BV72:BV75" si="864">IFERROR(IF(($R72-BU72)&gt;=0,0,IF(($S72-BT72)&lt;0,0,IF(AND(($S72-BU72)&gt;0,(BT72-$R72)&gt;0),$V72/365*(BU72-BT72+1),IF(AND(($S72-BU72)&lt;=0,(BT72-$R72)&gt;0),$V72/365*($S72-BT72+1),$V72/365*(BU72-$R72+1))))),0)</f>
        <v>0</v>
      </c>
      <c r="BW72" s="163">
        <f t="shared" ref="BW72:BW75" si="865">BU72+1</f>
        <v>46174</v>
      </c>
      <c r="BX72" s="163">
        <f t="shared" ref="BX72:BX75" si="866">BW72+29</f>
        <v>46203</v>
      </c>
      <c r="BY72" s="167">
        <f t="shared" ref="BY72:BY75" si="867">IFERROR(IF(($R72-BX72)&gt;=0,0,IF(($S72-BW72)&lt;0,0,IF(AND(($S72-BX72)&gt;0,(BW72-$R72)&gt;0),$V72/365*(BX72-BW72+1),IF(AND(($S72-BX72)&lt;=0,(BW72-$R72)&gt;0),$V72/365*($S72-BW72+1),$V72/365*(BX72-$R72+1))))),0)</f>
        <v>0</v>
      </c>
      <c r="BZ72" s="163">
        <f t="shared" ref="BZ72:BZ75" si="868">BX72+1</f>
        <v>46204</v>
      </c>
      <c r="CA72" s="163">
        <f t="shared" ref="CA72:CA75" si="869">BZ72+30</f>
        <v>46234</v>
      </c>
      <c r="CB72" s="167">
        <f t="shared" ref="CB72:CB75" si="870">IFERROR(IF(($R72-CA72)&gt;=0,0,IF(($S72-BZ72)&lt;0,0,IF(AND(($S72-CA72)&gt;0,(BZ72-$R72)&gt;0),$V72/365*(CA72-BZ72+1),IF(AND(($S72-CA72)&lt;=0,(BZ72-$R72)&gt;0),$V72/365*($S72-BZ72+1),$V72/365*(CA72-$R72+1))))),0)</f>
        <v>0</v>
      </c>
      <c r="CC72" s="163">
        <f t="shared" ref="CC72:CC75" si="871">CA72+1</f>
        <v>46235</v>
      </c>
      <c r="CD72" s="163">
        <f t="shared" ref="CD72:CD75" si="872">CC72+30</f>
        <v>46265</v>
      </c>
      <c r="CE72" s="167">
        <f t="shared" ref="CE72:CE75" si="873">IFERROR(IF(($R72-CD72)&gt;=0,0,IF(($S72-CC72)&lt;0,0,IF(AND(($S72-CD72)&gt;0,(CC72-$R72)&gt;0),$V72/365*(CD72-CC72+1),IF(AND(($S72-CD72)&lt;=0,(CC72-$R72)&gt;0),$V72/365*($S72-CC72+1),$V72/365*(CD72-$R72+1))))),0)</f>
        <v>0</v>
      </c>
      <c r="CF72" s="163">
        <f t="shared" ref="CF72:CF75" si="874">CD72+1</f>
        <v>46266</v>
      </c>
      <c r="CG72" s="163">
        <f t="shared" ref="CG72:CG75" si="875">CF72+29</f>
        <v>46295</v>
      </c>
      <c r="CH72" s="167">
        <f t="shared" ref="CH72:CH75" si="876">IFERROR(IF(($R72-CG72)&gt;=0,0,IF(($S72-CF72)&lt;0,0,IF(AND(($S72-CG72)&gt;0,(CF72-$R72)&gt;0),$V72/365*(CG72-CF72+1),IF(AND(($S72-CG72)&lt;=0,(CF72-$R72)&gt;0),$V72/365*($S72-CF72+1),$V72/365*(CG72-$R72+1))))),0)</f>
        <v>0</v>
      </c>
      <c r="CI72" s="163">
        <f t="shared" ref="CI72:CI75" si="877">CG72+1</f>
        <v>46296</v>
      </c>
      <c r="CJ72" s="163">
        <f t="shared" ref="CJ72:CJ75" si="878">CI72+30</f>
        <v>46326</v>
      </c>
      <c r="CK72" s="167">
        <f t="shared" ref="CK72:CK75" si="879">IFERROR(IF(($R72-CJ72)&gt;=0,0,IF(($S72-CI72)&lt;0,0,IF(AND(($S72-CJ72)&gt;0,(CI72-$R72)&gt;0),$V72/365*(CJ72-CI72+1),IF(AND(($S72-CJ72)&lt;=0,(CI72-$R72)&gt;0),$V72/365*($S72-CI72+1),$V72/365*(CJ72-$R72+1))))),0)</f>
        <v>0</v>
      </c>
      <c r="CL72" s="163">
        <f t="shared" ref="CL72:CL75" si="880">CJ72+1</f>
        <v>46327</v>
      </c>
      <c r="CM72" s="163">
        <f t="shared" ref="CM72:CM75" si="881">CL72+29</f>
        <v>46356</v>
      </c>
      <c r="CN72" s="167">
        <f t="shared" ref="CN72:CN75" si="882">IFERROR(IF(($R72-CM72)&gt;=0,0,IF(($S72-CL72)&lt;0,0,IF(AND(($S72-CM72)&gt;0,(CL72-$R72)&gt;0),$V72/365*(CM72-CL72+1),IF(AND(($S72-CM72)&lt;=0,(CL72-$R72)&gt;0),$V72/365*($S72-CL72+1),$V72/365*(CM72-$R72+1))))),0)</f>
        <v>0</v>
      </c>
      <c r="CO72" s="163">
        <f t="shared" ref="CO72:CO75" si="883">CM72+1</f>
        <v>46357</v>
      </c>
      <c r="CP72" s="163">
        <f t="shared" ref="CP72:CP75" si="884">CO72+30</f>
        <v>46387</v>
      </c>
      <c r="CQ72" s="167">
        <f t="shared" ref="CQ72:CQ75" si="885">IFERROR(IF(($R72-CP72)&gt;=0,0,IF(($S72-CO72)&lt;0,0,IF(AND(($S72-CP72)&gt;0,(CO72-$R72)&gt;0),$V72/365*(CP72-CO72+1),IF(AND(($S72-CP72)&lt;=0,(CO72-$R72)&gt;0),$V72/365*($S72-CO72+1),$V72/365*(CP72-$R72+1))))),0)</f>
        <v>0</v>
      </c>
    </row>
    <row r="73" s="89" customFormat="1" ht="24" hidden="1" customHeight="1" outlineLevel="4" spans="1:95">
      <c r="A73" s="128"/>
      <c r="B73" s="129"/>
      <c r="C73" s="130"/>
      <c r="D73" s="128"/>
      <c r="E73" s="129"/>
      <c r="F73" s="129"/>
      <c r="G73" s="129"/>
      <c r="H73" s="131"/>
      <c r="I73" s="131"/>
      <c r="J73" s="131">
        <f t="shared" si="814"/>
        <v>0</v>
      </c>
      <c r="K73" s="131">
        <f t="shared" ref="K73:K75" si="886">K72+1</f>
        <v>2</v>
      </c>
      <c r="L73" s="156"/>
      <c r="M73" s="157">
        <f>IFERROR(VLOOKUP($L73,'2-2 引出数据_合同数据仓库'!$B$5:$BP$200,3,FALSE),0)</f>
        <v>0</v>
      </c>
      <c r="N73" s="131"/>
      <c r="O73" s="157">
        <f>IFERROR(VLOOKUP((LEFT(VLOOKUP($L73,'2-2 引出数据_合同数据仓库'!$B$5:$BP$200,64,FALSE),15)&amp;(RIGHT(VLOOKUP($L73,'2-2 引出数据_合同数据仓库'!$B$5:$BP$200,64,FALSE),4)+1)),'2-2 引出数据_合同数据仓库'!$B$5:$BP$200,3,FALSE),0)</f>
        <v>0</v>
      </c>
      <c r="P73" s="131"/>
      <c r="Q73" s="131">
        <f>IFERROR(VLOOKUP($L73,'2-2 引出数据_合同数据仓库'!$B$5:$BP$200,28,FALSE),0)</f>
        <v>0</v>
      </c>
      <c r="R73" s="131">
        <f>IFERROR(VLOOKUP($L73,'2-2 引出数据_合同数据仓库'!$B$5:$BP$200,29,FALSE),0)</f>
        <v>0</v>
      </c>
      <c r="S73" s="131">
        <f>IFERROR(VLOOKUP($L73,'2-2 引出数据_合同数据仓库'!$B$5:$BP$200,4,FALSE),0)</f>
        <v>0</v>
      </c>
      <c r="T73" s="131"/>
      <c r="U73" s="131">
        <f>IFERROR(VLOOKUP($L73,'2-2 引出数据_合同数据仓库'!$B$5:$BP$200,15,FALSE),0)</f>
        <v>0</v>
      </c>
      <c r="V73" s="131">
        <f t="shared" si="815"/>
        <v>0</v>
      </c>
      <c r="W73" s="131"/>
      <c r="X73" s="163">
        <v>45658</v>
      </c>
      <c r="Y73" s="163">
        <f t="shared" si="816"/>
        <v>45688</v>
      </c>
      <c r="Z73" s="167">
        <f t="shared" si="817"/>
        <v>0</v>
      </c>
      <c r="AA73" s="163">
        <f t="shared" si="818"/>
        <v>45689</v>
      </c>
      <c r="AB73" s="163">
        <f t="shared" si="819"/>
        <v>45716</v>
      </c>
      <c r="AC73" s="167">
        <f t="shared" si="820"/>
        <v>0</v>
      </c>
      <c r="AD73" s="163">
        <f t="shared" si="821"/>
        <v>45717</v>
      </c>
      <c r="AE73" s="163">
        <f t="shared" si="822"/>
        <v>45747</v>
      </c>
      <c r="AF73" s="167">
        <f t="shared" si="823"/>
        <v>0</v>
      </c>
      <c r="AG73" s="163">
        <f t="shared" si="824"/>
        <v>45748</v>
      </c>
      <c r="AH73" s="163">
        <f t="shared" si="825"/>
        <v>45777</v>
      </c>
      <c r="AI73" s="167">
        <f t="shared" si="826"/>
        <v>0</v>
      </c>
      <c r="AJ73" s="163">
        <f t="shared" si="827"/>
        <v>45778</v>
      </c>
      <c r="AK73" s="163">
        <f t="shared" si="828"/>
        <v>45808</v>
      </c>
      <c r="AL73" s="167">
        <f t="shared" si="829"/>
        <v>0</v>
      </c>
      <c r="AM73" s="163">
        <f t="shared" si="830"/>
        <v>45809</v>
      </c>
      <c r="AN73" s="163">
        <f t="shared" si="831"/>
        <v>45838</v>
      </c>
      <c r="AO73" s="167">
        <f t="shared" si="832"/>
        <v>0</v>
      </c>
      <c r="AP73" s="163">
        <f t="shared" si="833"/>
        <v>45839</v>
      </c>
      <c r="AQ73" s="163">
        <f t="shared" si="834"/>
        <v>45869</v>
      </c>
      <c r="AR73" s="167">
        <f t="shared" si="835"/>
        <v>0</v>
      </c>
      <c r="AS73" s="163">
        <f t="shared" si="836"/>
        <v>45870</v>
      </c>
      <c r="AT73" s="163">
        <f t="shared" si="837"/>
        <v>45900</v>
      </c>
      <c r="AU73" s="167">
        <f t="shared" si="838"/>
        <v>0</v>
      </c>
      <c r="AV73" s="163">
        <f t="shared" si="839"/>
        <v>45901</v>
      </c>
      <c r="AW73" s="163">
        <f t="shared" si="840"/>
        <v>45930</v>
      </c>
      <c r="AX73" s="167">
        <f t="shared" si="841"/>
        <v>0</v>
      </c>
      <c r="AY73" s="163">
        <f t="shared" si="842"/>
        <v>45931</v>
      </c>
      <c r="AZ73" s="163">
        <f t="shared" si="843"/>
        <v>45961</v>
      </c>
      <c r="BA73" s="167">
        <f t="shared" si="844"/>
        <v>0</v>
      </c>
      <c r="BB73" s="163">
        <f t="shared" si="845"/>
        <v>45962</v>
      </c>
      <c r="BC73" s="163">
        <f t="shared" si="846"/>
        <v>45991</v>
      </c>
      <c r="BD73" s="167">
        <f t="shared" si="847"/>
        <v>0</v>
      </c>
      <c r="BE73" s="163">
        <f t="shared" si="848"/>
        <v>45992</v>
      </c>
      <c r="BF73" s="163">
        <f t="shared" si="849"/>
        <v>46022</v>
      </c>
      <c r="BG73" s="167">
        <f t="shared" si="850"/>
        <v>0</v>
      </c>
      <c r="BH73" s="163">
        <v>46023</v>
      </c>
      <c r="BI73" s="163">
        <f t="shared" si="851"/>
        <v>46053</v>
      </c>
      <c r="BJ73" s="167">
        <f t="shared" si="852"/>
        <v>0</v>
      </c>
      <c r="BK73" s="163">
        <f t="shared" si="853"/>
        <v>46054</v>
      </c>
      <c r="BL73" s="163">
        <f t="shared" si="854"/>
        <v>46081</v>
      </c>
      <c r="BM73" s="167">
        <f t="shared" si="855"/>
        <v>0</v>
      </c>
      <c r="BN73" s="163">
        <f t="shared" si="856"/>
        <v>46082</v>
      </c>
      <c r="BO73" s="163">
        <f t="shared" si="857"/>
        <v>46112</v>
      </c>
      <c r="BP73" s="167">
        <f t="shared" si="858"/>
        <v>0</v>
      </c>
      <c r="BQ73" s="163">
        <f t="shared" si="859"/>
        <v>46113</v>
      </c>
      <c r="BR73" s="163">
        <f t="shared" si="860"/>
        <v>46142</v>
      </c>
      <c r="BS73" s="167">
        <f t="shared" si="861"/>
        <v>0</v>
      </c>
      <c r="BT73" s="163">
        <f t="shared" si="862"/>
        <v>46143</v>
      </c>
      <c r="BU73" s="163">
        <f t="shared" si="863"/>
        <v>46173</v>
      </c>
      <c r="BV73" s="167">
        <f t="shared" si="864"/>
        <v>0</v>
      </c>
      <c r="BW73" s="163">
        <f t="shared" si="865"/>
        <v>46174</v>
      </c>
      <c r="BX73" s="163">
        <f t="shared" si="866"/>
        <v>46203</v>
      </c>
      <c r="BY73" s="167">
        <f t="shared" si="867"/>
        <v>0</v>
      </c>
      <c r="BZ73" s="163">
        <f t="shared" si="868"/>
        <v>46204</v>
      </c>
      <c r="CA73" s="163">
        <f t="shared" si="869"/>
        <v>46234</v>
      </c>
      <c r="CB73" s="167">
        <f t="shared" si="870"/>
        <v>0</v>
      </c>
      <c r="CC73" s="163">
        <f t="shared" si="871"/>
        <v>46235</v>
      </c>
      <c r="CD73" s="163">
        <f t="shared" si="872"/>
        <v>46265</v>
      </c>
      <c r="CE73" s="167">
        <f t="shared" si="873"/>
        <v>0</v>
      </c>
      <c r="CF73" s="163">
        <f t="shared" si="874"/>
        <v>46266</v>
      </c>
      <c r="CG73" s="163">
        <f t="shared" si="875"/>
        <v>46295</v>
      </c>
      <c r="CH73" s="167">
        <f t="shared" si="876"/>
        <v>0</v>
      </c>
      <c r="CI73" s="163">
        <f t="shared" si="877"/>
        <v>46296</v>
      </c>
      <c r="CJ73" s="163">
        <f t="shared" si="878"/>
        <v>46326</v>
      </c>
      <c r="CK73" s="167">
        <f t="shared" si="879"/>
        <v>0</v>
      </c>
      <c r="CL73" s="163">
        <f t="shared" si="880"/>
        <v>46327</v>
      </c>
      <c r="CM73" s="163">
        <f t="shared" si="881"/>
        <v>46356</v>
      </c>
      <c r="CN73" s="167">
        <f t="shared" si="882"/>
        <v>0</v>
      </c>
      <c r="CO73" s="163">
        <f t="shared" si="883"/>
        <v>46357</v>
      </c>
      <c r="CP73" s="163">
        <f t="shared" si="884"/>
        <v>46387</v>
      </c>
      <c r="CQ73" s="167">
        <f t="shared" si="885"/>
        <v>0</v>
      </c>
    </row>
    <row r="74" s="89" customFormat="1" ht="24" hidden="1" customHeight="1" outlineLevel="4" spans="1:95">
      <c r="A74" s="128"/>
      <c r="B74" s="129"/>
      <c r="C74" s="130"/>
      <c r="D74" s="128"/>
      <c r="E74" s="129"/>
      <c r="F74" s="129"/>
      <c r="G74" s="129"/>
      <c r="H74" s="131"/>
      <c r="I74" s="131"/>
      <c r="J74" s="131">
        <f t="shared" si="814"/>
        <v>0</v>
      </c>
      <c r="K74" s="131">
        <f t="shared" si="886"/>
        <v>3</v>
      </c>
      <c r="L74" s="156"/>
      <c r="M74" s="157">
        <f>IFERROR(VLOOKUP($L74,'2-2 引出数据_合同数据仓库'!$B$5:$BP$200,3,FALSE),0)</f>
        <v>0</v>
      </c>
      <c r="N74" s="131"/>
      <c r="O74" s="157">
        <f>IFERROR(VLOOKUP((LEFT(VLOOKUP($L74,'2-2 引出数据_合同数据仓库'!$B$5:$BP$200,64,FALSE),15)&amp;(RIGHT(VLOOKUP($L74,'2-2 引出数据_合同数据仓库'!$B$5:$BP$200,64,FALSE),4)+1)),'2-2 引出数据_合同数据仓库'!$B$5:$BP$200,3,FALSE),0)</f>
        <v>0</v>
      </c>
      <c r="P74" s="131"/>
      <c r="Q74" s="131">
        <f>IFERROR(VLOOKUP($L74,'2-2 引出数据_合同数据仓库'!$B$5:$BP$200,28,FALSE),0)</f>
        <v>0</v>
      </c>
      <c r="R74" s="131">
        <f>IFERROR(VLOOKUP($L74,'2-2 引出数据_合同数据仓库'!$B$5:$BP$200,29,FALSE),0)</f>
        <v>0</v>
      </c>
      <c r="S74" s="131">
        <f>IFERROR(VLOOKUP($L74,'2-2 引出数据_合同数据仓库'!$B$5:$BP$200,4,FALSE),0)</f>
        <v>0</v>
      </c>
      <c r="T74" s="131"/>
      <c r="U74" s="131">
        <f>IFERROR(VLOOKUP($L74,'2-2 引出数据_合同数据仓库'!$B$5:$BP$200,15,FALSE),0)</f>
        <v>0</v>
      </c>
      <c r="V74" s="131">
        <f t="shared" si="815"/>
        <v>0</v>
      </c>
      <c r="W74" s="131"/>
      <c r="X74" s="163">
        <v>45658</v>
      </c>
      <c r="Y74" s="163">
        <f t="shared" si="816"/>
        <v>45688</v>
      </c>
      <c r="Z74" s="167">
        <f t="shared" si="817"/>
        <v>0</v>
      </c>
      <c r="AA74" s="163">
        <f t="shared" si="818"/>
        <v>45689</v>
      </c>
      <c r="AB74" s="163">
        <f t="shared" si="819"/>
        <v>45716</v>
      </c>
      <c r="AC74" s="167">
        <f t="shared" si="820"/>
        <v>0</v>
      </c>
      <c r="AD74" s="163">
        <f t="shared" si="821"/>
        <v>45717</v>
      </c>
      <c r="AE74" s="163">
        <f t="shared" si="822"/>
        <v>45747</v>
      </c>
      <c r="AF74" s="167">
        <f t="shared" si="823"/>
        <v>0</v>
      </c>
      <c r="AG74" s="163">
        <f t="shared" si="824"/>
        <v>45748</v>
      </c>
      <c r="AH74" s="163">
        <f t="shared" si="825"/>
        <v>45777</v>
      </c>
      <c r="AI74" s="167">
        <f t="shared" si="826"/>
        <v>0</v>
      </c>
      <c r="AJ74" s="163">
        <f t="shared" si="827"/>
        <v>45778</v>
      </c>
      <c r="AK74" s="163">
        <f t="shared" si="828"/>
        <v>45808</v>
      </c>
      <c r="AL74" s="167">
        <f t="shared" si="829"/>
        <v>0</v>
      </c>
      <c r="AM74" s="163">
        <f t="shared" si="830"/>
        <v>45809</v>
      </c>
      <c r="AN74" s="163">
        <f t="shared" si="831"/>
        <v>45838</v>
      </c>
      <c r="AO74" s="167">
        <f t="shared" si="832"/>
        <v>0</v>
      </c>
      <c r="AP74" s="163">
        <f t="shared" si="833"/>
        <v>45839</v>
      </c>
      <c r="AQ74" s="163">
        <f t="shared" si="834"/>
        <v>45869</v>
      </c>
      <c r="AR74" s="167">
        <f t="shared" si="835"/>
        <v>0</v>
      </c>
      <c r="AS74" s="163">
        <f t="shared" si="836"/>
        <v>45870</v>
      </c>
      <c r="AT74" s="163">
        <f t="shared" si="837"/>
        <v>45900</v>
      </c>
      <c r="AU74" s="167">
        <f t="shared" si="838"/>
        <v>0</v>
      </c>
      <c r="AV74" s="163">
        <f t="shared" si="839"/>
        <v>45901</v>
      </c>
      <c r="AW74" s="163">
        <f t="shared" si="840"/>
        <v>45930</v>
      </c>
      <c r="AX74" s="167">
        <f t="shared" si="841"/>
        <v>0</v>
      </c>
      <c r="AY74" s="163">
        <f t="shared" si="842"/>
        <v>45931</v>
      </c>
      <c r="AZ74" s="163">
        <f t="shared" si="843"/>
        <v>45961</v>
      </c>
      <c r="BA74" s="167">
        <f t="shared" si="844"/>
        <v>0</v>
      </c>
      <c r="BB74" s="163">
        <f t="shared" si="845"/>
        <v>45962</v>
      </c>
      <c r="BC74" s="163">
        <f t="shared" si="846"/>
        <v>45991</v>
      </c>
      <c r="BD74" s="167">
        <f t="shared" si="847"/>
        <v>0</v>
      </c>
      <c r="BE74" s="163">
        <f t="shared" si="848"/>
        <v>45992</v>
      </c>
      <c r="BF74" s="163">
        <f t="shared" si="849"/>
        <v>46022</v>
      </c>
      <c r="BG74" s="167">
        <f t="shared" si="850"/>
        <v>0</v>
      </c>
      <c r="BH74" s="163">
        <v>46023</v>
      </c>
      <c r="BI74" s="163">
        <f t="shared" si="851"/>
        <v>46053</v>
      </c>
      <c r="BJ74" s="167">
        <f t="shared" si="852"/>
        <v>0</v>
      </c>
      <c r="BK74" s="163">
        <f t="shared" si="853"/>
        <v>46054</v>
      </c>
      <c r="BL74" s="163">
        <f t="shared" si="854"/>
        <v>46081</v>
      </c>
      <c r="BM74" s="167">
        <f t="shared" si="855"/>
        <v>0</v>
      </c>
      <c r="BN74" s="163">
        <f t="shared" si="856"/>
        <v>46082</v>
      </c>
      <c r="BO74" s="163">
        <f t="shared" si="857"/>
        <v>46112</v>
      </c>
      <c r="BP74" s="167">
        <f t="shared" si="858"/>
        <v>0</v>
      </c>
      <c r="BQ74" s="163">
        <f t="shared" si="859"/>
        <v>46113</v>
      </c>
      <c r="BR74" s="163">
        <f t="shared" si="860"/>
        <v>46142</v>
      </c>
      <c r="BS74" s="167">
        <f t="shared" si="861"/>
        <v>0</v>
      </c>
      <c r="BT74" s="163">
        <f t="shared" si="862"/>
        <v>46143</v>
      </c>
      <c r="BU74" s="163">
        <f t="shared" si="863"/>
        <v>46173</v>
      </c>
      <c r="BV74" s="167">
        <f t="shared" si="864"/>
        <v>0</v>
      </c>
      <c r="BW74" s="163">
        <f t="shared" si="865"/>
        <v>46174</v>
      </c>
      <c r="BX74" s="163">
        <f t="shared" si="866"/>
        <v>46203</v>
      </c>
      <c r="BY74" s="167">
        <f t="shared" si="867"/>
        <v>0</v>
      </c>
      <c r="BZ74" s="163">
        <f t="shared" si="868"/>
        <v>46204</v>
      </c>
      <c r="CA74" s="163">
        <f t="shared" si="869"/>
        <v>46234</v>
      </c>
      <c r="CB74" s="167">
        <f t="shared" si="870"/>
        <v>0</v>
      </c>
      <c r="CC74" s="163">
        <f t="shared" si="871"/>
        <v>46235</v>
      </c>
      <c r="CD74" s="163">
        <f t="shared" si="872"/>
        <v>46265</v>
      </c>
      <c r="CE74" s="167">
        <f t="shared" si="873"/>
        <v>0</v>
      </c>
      <c r="CF74" s="163">
        <f t="shared" si="874"/>
        <v>46266</v>
      </c>
      <c r="CG74" s="163">
        <f t="shared" si="875"/>
        <v>46295</v>
      </c>
      <c r="CH74" s="167">
        <f t="shared" si="876"/>
        <v>0</v>
      </c>
      <c r="CI74" s="163">
        <f t="shared" si="877"/>
        <v>46296</v>
      </c>
      <c r="CJ74" s="163">
        <f t="shared" si="878"/>
        <v>46326</v>
      </c>
      <c r="CK74" s="167">
        <f t="shared" si="879"/>
        <v>0</v>
      </c>
      <c r="CL74" s="163">
        <f t="shared" si="880"/>
        <v>46327</v>
      </c>
      <c r="CM74" s="163">
        <f t="shared" si="881"/>
        <v>46356</v>
      </c>
      <c r="CN74" s="167">
        <f t="shared" si="882"/>
        <v>0</v>
      </c>
      <c r="CO74" s="163">
        <f t="shared" si="883"/>
        <v>46357</v>
      </c>
      <c r="CP74" s="163">
        <f t="shared" si="884"/>
        <v>46387</v>
      </c>
      <c r="CQ74" s="167">
        <f t="shared" si="885"/>
        <v>0</v>
      </c>
    </row>
    <row r="75" s="89" customFormat="1" ht="24" hidden="1" customHeight="1" outlineLevel="4" spans="1:95">
      <c r="A75" s="128"/>
      <c r="B75" s="129"/>
      <c r="C75" s="130"/>
      <c r="D75" s="128"/>
      <c r="E75" s="129"/>
      <c r="F75" s="129"/>
      <c r="G75" s="129"/>
      <c r="H75" s="131"/>
      <c r="I75" s="131"/>
      <c r="J75" s="131">
        <f t="shared" si="814"/>
        <v>0</v>
      </c>
      <c r="K75" s="131">
        <f t="shared" si="886"/>
        <v>4</v>
      </c>
      <c r="L75" s="156"/>
      <c r="M75" s="157">
        <f>IFERROR(VLOOKUP($L75,'2-2 引出数据_合同数据仓库'!$B$5:$BP$200,3,FALSE),0)</f>
        <v>0</v>
      </c>
      <c r="N75" s="131"/>
      <c r="O75" s="157">
        <f>IFERROR(VLOOKUP((LEFT(VLOOKUP($L75,'2-2 引出数据_合同数据仓库'!$B$5:$BP$200,64,FALSE),15)&amp;(RIGHT(VLOOKUP($L75,'2-2 引出数据_合同数据仓库'!$B$5:$BP$200,64,FALSE),4)+1)),'2-2 引出数据_合同数据仓库'!$B$5:$BP$200,3,FALSE),0)</f>
        <v>0</v>
      </c>
      <c r="P75" s="131"/>
      <c r="Q75" s="131">
        <f>IFERROR(VLOOKUP($L75,'2-2 引出数据_合同数据仓库'!$B$5:$BP$200,28,FALSE),0)</f>
        <v>0</v>
      </c>
      <c r="R75" s="131">
        <f>IFERROR(VLOOKUP($L75,'2-2 引出数据_合同数据仓库'!$B$5:$BP$200,29,FALSE),0)</f>
        <v>0</v>
      </c>
      <c r="S75" s="131">
        <f>IFERROR(VLOOKUP($L75,'2-2 引出数据_合同数据仓库'!$B$5:$BP$200,4,FALSE),0)</f>
        <v>0</v>
      </c>
      <c r="T75" s="131"/>
      <c r="U75" s="131">
        <f>IFERROR(VLOOKUP($L75,'2-2 引出数据_合同数据仓库'!$B$5:$BP$200,15,FALSE),0)</f>
        <v>0</v>
      </c>
      <c r="V75" s="131">
        <f t="shared" si="815"/>
        <v>0</v>
      </c>
      <c r="W75" s="131"/>
      <c r="X75" s="163">
        <v>45658</v>
      </c>
      <c r="Y75" s="163">
        <f t="shared" si="816"/>
        <v>45688</v>
      </c>
      <c r="Z75" s="167">
        <f t="shared" si="817"/>
        <v>0</v>
      </c>
      <c r="AA75" s="163">
        <f t="shared" si="818"/>
        <v>45689</v>
      </c>
      <c r="AB75" s="163">
        <f t="shared" si="819"/>
        <v>45716</v>
      </c>
      <c r="AC75" s="167">
        <f t="shared" si="820"/>
        <v>0</v>
      </c>
      <c r="AD75" s="163">
        <f t="shared" si="821"/>
        <v>45717</v>
      </c>
      <c r="AE75" s="163">
        <f t="shared" si="822"/>
        <v>45747</v>
      </c>
      <c r="AF75" s="167">
        <f t="shared" si="823"/>
        <v>0</v>
      </c>
      <c r="AG75" s="163">
        <f t="shared" si="824"/>
        <v>45748</v>
      </c>
      <c r="AH75" s="163">
        <f t="shared" si="825"/>
        <v>45777</v>
      </c>
      <c r="AI75" s="167">
        <f t="shared" si="826"/>
        <v>0</v>
      </c>
      <c r="AJ75" s="163">
        <f t="shared" si="827"/>
        <v>45778</v>
      </c>
      <c r="AK75" s="163">
        <f t="shared" si="828"/>
        <v>45808</v>
      </c>
      <c r="AL75" s="167">
        <f t="shared" si="829"/>
        <v>0</v>
      </c>
      <c r="AM75" s="163">
        <f t="shared" si="830"/>
        <v>45809</v>
      </c>
      <c r="AN75" s="163">
        <f t="shared" si="831"/>
        <v>45838</v>
      </c>
      <c r="AO75" s="167">
        <f t="shared" si="832"/>
        <v>0</v>
      </c>
      <c r="AP75" s="163">
        <f t="shared" si="833"/>
        <v>45839</v>
      </c>
      <c r="AQ75" s="163">
        <f t="shared" si="834"/>
        <v>45869</v>
      </c>
      <c r="AR75" s="167">
        <f t="shared" si="835"/>
        <v>0</v>
      </c>
      <c r="AS75" s="163">
        <f t="shared" si="836"/>
        <v>45870</v>
      </c>
      <c r="AT75" s="163">
        <f t="shared" si="837"/>
        <v>45900</v>
      </c>
      <c r="AU75" s="167">
        <f t="shared" si="838"/>
        <v>0</v>
      </c>
      <c r="AV75" s="163">
        <f t="shared" si="839"/>
        <v>45901</v>
      </c>
      <c r="AW75" s="163">
        <f t="shared" si="840"/>
        <v>45930</v>
      </c>
      <c r="AX75" s="167">
        <f t="shared" si="841"/>
        <v>0</v>
      </c>
      <c r="AY75" s="163">
        <f t="shared" si="842"/>
        <v>45931</v>
      </c>
      <c r="AZ75" s="163">
        <f t="shared" si="843"/>
        <v>45961</v>
      </c>
      <c r="BA75" s="167">
        <f t="shared" si="844"/>
        <v>0</v>
      </c>
      <c r="BB75" s="163">
        <f t="shared" si="845"/>
        <v>45962</v>
      </c>
      <c r="BC75" s="163">
        <f t="shared" si="846"/>
        <v>45991</v>
      </c>
      <c r="BD75" s="167">
        <f t="shared" si="847"/>
        <v>0</v>
      </c>
      <c r="BE75" s="163">
        <f t="shared" si="848"/>
        <v>45992</v>
      </c>
      <c r="BF75" s="163">
        <f t="shared" si="849"/>
        <v>46022</v>
      </c>
      <c r="BG75" s="167">
        <f t="shared" si="850"/>
        <v>0</v>
      </c>
      <c r="BH75" s="163">
        <v>46023</v>
      </c>
      <c r="BI75" s="163">
        <f t="shared" si="851"/>
        <v>46053</v>
      </c>
      <c r="BJ75" s="167">
        <f t="shared" si="852"/>
        <v>0</v>
      </c>
      <c r="BK75" s="163">
        <f t="shared" si="853"/>
        <v>46054</v>
      </c>
      <c r="BL75" s="163">
        <f t="shared" si="854"/>
        <v>46081</v>
      </c>
      <c r="BM75" s="167">
        <f t="shared" si="855"/>
        <v>0</v>
      </c>
      <c r="BN75" s="163">
        <f t="shared" si="856"/>
        <v>46082</v>
      </c>
      <c r="BO75" s="163">
        <f t="shared" si="857"/>
        <v>46112</v>
      </c>
      <c r="BP75" s="167">
        <f t="shared" si="858"/>
        <v>0</v>
      </c>
      <c r="BQ75" s="163">
        <f t="shared" si="859"/>
        <v>46113</v>
      </c>
      <c r="BR75" s="163">
        <f t="shared" si="860"/>
        <v>46142</v>
      </c>
      <c r="BS75" s="167">
        <f t="shared" si="861"/>
        <v>0</v>
      </c>
      <c r="BT75" s="163">
        <f t="shared" si="862"/>
        <v>46143</v>
      </c>
      <c r="BU75" s="163">
        <f t="shared" si="863"/>
        <v>46173</v>
      </c>
      <c r="BV75" s="167">
        <f t="shared" si="864"/>
        <v>0</v>
      </c>
      <c r="BW75" s="163">
        <f t="shared" si="865"/>
        <v>46174</v>
      </c>
      <c r="BX75" s="163">
        <f t="shared" si="866"/>
        <v>46203</v>
      </c>
      <c r="BY75" s="167">
        <f t="shared" si="867"/>
        <v>0</v>
      </c>
      <c r="BZ75" s="163">
        <f t="shared" si="868"/>
        <v>46204</v>
      </c>
      <c r="CA75" s="163">
        <f t="shared" si="869"/>
        <v>46234</v>
      </c>
      <c r="CB75" s="167">
        <f t="shared" si="870"/>
        <v>0</v>
      </c>
      <c r="CC75" s="163">
        <f t="shared" si="871"/>
        <v>46235</v>
      </c>
      <c r="CD75" s="163">
        <f t="shared" si="872"/>
        <v>46265</v>
      </c>
      <c r="CE75" s="167">
        <f t="shared" si="873"/>
        <v>0</v>
      </c>
      <c r="CF75" s="163">
        <f t="shared" si="874"/>
        <v>46266</v>
      </c>
      <c r="CG75" s="163">
        <f t="shared" si="875"/>
        <v>46295</v>
      </c>
      <c r="CH75" s="167">
        <f t="shared" si="876"/>
        <v>0</v>
      </c>
      <c r="CI75" s="163">
        <f t="shared" si="877"/>
        <v>46296</v>
      </c>
      <c r="CJ75" s="163">
        <f t="shared" si="878"/>
        <v>46326</v>
      </c>
      <c r="CK75" s="167">
        <f t="shared" si="879"/>
        <v>0</v>
      </c>
      <c r="CL75" s="163">
        <f t="shared" si="880"/>
        <v>46327</v>
      </c>
      <c r="CM75" s="163">
        <f t="shared" si="881"/>
        <v>46356</v>
      </c>
      <c r="CN75" s="167">
        <f t="shared" si="882"/>
        <v>0</v>
      </c>
      <c r="CO75" s="163">
        <f t="shared" si="883"/>
        <v>46357</v>
      </c>
      <c r="CP75" s="163">
        <f t="shared" si="884"/>
        <v>46387</v>
      </c>
      <c r="CQ75" s="167">
        <f t="shared" si="885"/>
        <v>0</v>
      </c>
    </row>
    <row r="76" s="89" customFormat="1" ht="24" hidden="1" customHeight="1" outlineLevel="4" spans="1:95">
      <c r="A76" s="132" t="s">
        <v>2813</v>
      </c>
      <c r="B76" s="133"/>
      <c r="C76" s="133"/>
      <c r="D76" s="133"/>
      <c r="E76" s="133"/>
      <c r="F76" s="133"/>
      <c r="G76" s="134"/>
      <c r="H76" s="135"/>
      <c r="I76" s="135"/>
      <c r="J76" s="135"/>
      <c r="K76" s="135"/>
      <c r="L76" s="158"/>
      <c r="M76" s="158"/>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5"/>
      <c r="CK76" s="135"/>
      <c r="CL76" s="135"/>
      <c r="CM76" s="135"/>
      <c r="CN76" s="135"/>
      <c r="CO76" s="135"/>
      <c r="CP76" s="135"/>
      <c r="CQ76" s="135"/>
    </row>
    <row r="77" ht="24" hidden="1" customHeight="1" outlineLevel="3" collapsed="1" spans="1:95">
      <c r="A77" s="124"/>
      <c r="B77" s="125" t="s">
        <v>792</v>
      </c>
      <c r="C77" s="126" t="s">
        <v>71</v>
      </c>
      <c r="D77" s="124" t="s">
        <v>68</v>
      </c>
      <c r="E77" s="125"/>
      <c r="F77" s="125"/>
      <c r="G77" s="125"/>
      <c r="H77" s="127">
        <f>X77+AA77+AD77+AG77+AJ77+AM77+AP77+AS77+AV77+AY77+BB77+BE77</f>
        <v>0</v>
      </c>
      <c r="I77" s="127">
        <f>Y77+AB77+AE77+AH77+AK77+AN77+AQ77+AT77+AW77+AZ77+BC77+BF77</f>
        <v>0</v>
      </c>
      <c r="J77" s="127">
        <f t="shared" si="814"/>
        <v>0</v>
      </c>
      <c r="K77" s="127"/>
      <c r="L77" s="155"/>
      <c r="M77" s="155"/>
      <c r="N77" s="127"/>
      <c r="O77" s="127"/>
      <c r="P77" s="127"/>
      <c r="Q77" s="127"/>
      <c r="R77" s="127"/>
      <c r="S77" s="127"/>
      <c r="T77" s="127"/>
      <c r="U77" s="127"/>
      <c r="V77" s="127"/>
      <c r="W77" s="127"/>
      <c r="X77" s="127">
        <f>VLOOKUP($C77,'1 预算编制表单'!$C:$BJ,27,FALSE)</f>
        <v>0</v>
      </c>
      <c r="Y77" s="127">
        <f>X77-Z77</f>
        <v>0</v>
      </c>
      <c r="Z77" s="127">
        <f>SUM(Z78:Z82)</f>
        <v>0</v>
      </c>
      <c r="AA77" s="127">
        <f>VLOOKUP($C77,'1 预算编制表单'!$C:$BJ,30,FALSE)</f>
        <v>0</v>
      </c>
      <c r="AB77" s="127">
        <f>AA77-AC77</f>
        <v>0</v>
      </c>
      <c r="AC77" s="127">
        <f>SUM(AC78:AC82)</f>
        <v>0</v>
      </c>
      <c r="AD77" s="127">
        <f>VLOOKUP($C77,'1 预算编制表单'!$C:$BJ,33,FALSE)</f>
        <v>0</v>
      </c>
      <c r="AE77" s="127">
        <f>AD77-AF77</f>
        <v>0</v>
      </c>
      <c r="AF77" s="127">
        <f>SUM(AF78:AF82)</f>
        <v>0</v>
      </c>
      <c r="AG77" s="127">
        <f>VLOOKUP($C77,'1 预算编制表单'!$C:$BJ,36,FALSE)</f>
        <v>0</v>
      </c>
      <c r="AH77" s="127">
        <f>AG77-AI77</f>
        <v>0</v>
      </c>
      <c r="AI77" s="127">
        <f>SUM(AI78:AI82)</f>
        <v>0</v>
      </c>
      <c r="AJ77" s="127">
        <f>VLOOKUP($C77,'1 预算编制表单'!$C:$BJ,39,FALSE)</f>
        <v>0</v>
      </c>
      <c r="AK77" s="127">
        <f>AJ77-AL77</f>
        <v>0</v>
      </c>
      <c r="AL77" s="127">
        <f>SUM(AL78:AL82)</f>
        <v>0</v>
      </c>
      <c r="AM77" s="127">
        <f>VLOOKUP($C77,'1 预算编制表单'!$C:$BJ,42,FALSE)</f>
        <v>0</v>
      </c>
      <c r="AN77" s="127">
        <f>AM77-AO77</f>
        <v>0</v>
      </c>
      <c r="AO77" s="127">
        <f>SUM(AO78:AO82)</f>
        <v>0</v>
      </c>
      <c r="AP77" s="127">
        <f>VLOOKUP($C77,'1 预算编制表单'!$C:$BJ,45,FALSE)</f>
        <v>0</v>
      </c>
      <c r="AQ77" s="127">
        <f>AP77-AR77</f>
        <v>0</v>
      </c>
      <c r="AR77" s="127">
        <f>SUM(AR78:AR82)</f>
        <v>0</v>
      </c>
      <c r="AS77" s="127">
        <f>VLOOKUP($C77,'1 预算编制表单'!$C:$BJ,48,FALSE)</f>
        <v>0</v>
      </c>
      <c r="AT77" s="127">
        <f>AS77-AU77</f>
        <v>0</v>
      </c>
      <c r="AU77" s="127">
        <f>SUM(AU78:AU82)</f>
        <v>0</v>
      </c>
      <c r="AV77" s="127">
        <f>VLOOKUP($C77,'1 预算编制表单'!$C:$BJ,51,FALSE)</f>
        <v>0</v>
      </c>
      <c r="AW77" s="127">
        <f>AV77-AX77</f>
        <v>0</v>
      </c>
      <c r="AX77" s="127">
        <f>SUM(AX78:AX82)</f>
        <v>0</v>
      </c>
      <c r="AY77" s="127">
        <f>VLOOKUP($C77,'1 预算编制表单'!$C:$BJ,54,FALSE)</f>
        <v>0</v>
      </c>
      <c r="AZ77" s="127">
        <f>AY77-BA77</f>
        <v>0</v>
      </c>
      <c r="BA77" s="127">
        <f>SUM(BA78:BA82)</f>
        <v>0</v>
      </c>
      <c r="BB77" s="127">
        <f>VLOOKUP($C77,'1 预算编制表单'!$C:$BJ,57,FALSE)</f>
        <v>0</v>
      </c>
      <c r="BC77" s="127">
        <f>BB77-BD77</f>
        <v>0</v>
      </c>
      <c r="BD77" s="127">
        <f>SUM(BD78:BD82)</f>
        <v>0</v>
      </c>
      <c r="BE77" s="127">
        <f>VLOOKUP($C77,'1 预算编制表单'!$C:$BJ,60,FALSE)</f>
        <v>0</v>
      </c>
      <c r="BF77" s="127">
        <f>BE77-BG77</f>
        <v>0</v>
      </c>
      <c r="BG77" s="127">
        <f>SUM(BG78:BG82)</f>
        <v>0</v>
      </c>
      <c r="BH77" s="127">
        <f>VLOOKUP($C77,'1 预算编制表单'!$C:$BJ,27,FALSE)</f>
        <v>0</v>
      </c>
      <c r="BI77" s="127">
        <f>BH77-BJ77</f>
        <v>0</v>
      </c>
      <c r="BJ77" s="127">
        <f>SUM(BJ78:BJ82)</f>
        <v>0</v>
      </c>
      <c r="BK77" s="127">
        <f>VLOOKUP($C77,'1 预算编制表单'!$C:$BJ,30,FALSE)</f>
        <v>0</v>
      </c>
      <c r="BL77" s="127">
        <f>BK77-BM77</f>
        <v>0</v>
      </c>
      <c r="BM77" s="127">
        <f>SUM(BM78:BM82)</f>
        <v>0</v>
      </c>
      <c r="BN77" s="127">
        <f>VLOOKUP($C77,'1 预算编制表单'!$C:$BJ,33,FALSE)</f>
        <v>0</v>
      </c>
      <c r="BO77" s="127">
        <f>BN77-BP77</f>
        <v>0</v>
      </c>
      <c r="BP77" s="127">
        <f>SUM(BP78:BP82)</f>
        <v>0</v>
      </c>
      <c r="BQ77" s="127">
        <f>VLOOKUP($C77,'1 预算编制表单'!$C:$BJ,36,FALSE)</f>
        <v>0</v>
      </c>
      <c r="BR77" s="127">
        <f>BQ77-BS77</f>
        <v>0</v>
      </c>
      <c r="BS77" s="127">
        <f>SUM(BS78:BS82)</f>
        <v>0</v>
      </c>
      <c r="BT77" s="127">
        <f>VLOOKUP($C77,'1 预算编制表单'!$C:$BJ,39,FALSE)</f>
        <v>0</v>
      </c>
      <c r="BU77" s="127">
        <f>BT77-BV77</f>
        <v>0</v>
      </c>
      <c r="BV77" s="127">
        <f>SUM(BV78:BV82)</f>
        <v>0</v>
      </c>
      <c r="BW77" s="127">
        <f>VLOOKUP($C77,'1 预算编制表单'!$C:$BJ,42,FALSE)</f>
        <v>0</v>
      </c>
      <c r="BX77" s="127">
        <f>BW77-BY77</f>
        <v>0</v>
      </c>
      <c r="BY77" s="127">
        <f>SUM(BY78:BY82)</f>
        <v>0</v>
      </c>
      <c r="BZ77" s="127">
        <f>VLOOKUP($C77,'1 预算编制表单'!$C:$BJ,45,FALSE)</f>
        <v>0</v>
      </c>
      <c r="CA77" s="127">
        <f>BZ77-CB77</f>
        <v>0</v>
      </c>
      <c r="CB77" s="127">
        <f>SUM(CB78:CB82)</f>
        <v>0</v>
      </c>
      <c r="CC77" s="127">
        <f>VLOOKUP($C77,'1 预算编制表单'!$C:$BJ,48,FALSE)</f>
        <v>0</v>
      </c>
      <c r="CD77" s="127">
        <f>CC77-CE77</f>
        <v>0</v>
      </c>
      <c r="CE77" s="127">
        <f>SUM(CE78:CE82)</f>
        <v>0</v>
      </c>
      <c r="CF77" s="127">
        <f>VLOOKUP($C77,'1 预算编制表单'!$C:$BJ,51,FALSE)</f>
        <v>0</v>
      </c>
      <c r="CG77" s="127">
        <f>CF77-CH77</f>
        <v>0</v>
      </c>
      <c r="CH77" s="127">
        <f>SUM(CH78:CH82)</f>
        <v>0</v>
      </c>
      <c r="CI77" s="127">
        <f>VLOOKUP($C77,'1 预算编制表单'!$C:$BJ,54,FALSE)</f>
        <v>0</v>
      </c>
      <c r="CJ77" s="127">
        <f>CI77-CK77</f>
        <v>0</v>
      </c>
      <c r="CK77" s="127">
        <f>SUM(CK78:CK82)</f>
        <v>0</v>
      </c>
      <c r="CL77" s="127">
        <f>VLOOKUP($C77,'1 预算编制表单'!$C:$BJ,57,FALSE)</f>
        <v>0</v>
      </c>
      <c r="CM77" s="127">
        <f>CL77-CN77</f>
        <v>0</v>
      </c>
      <c r="CN77" s="127">
        <f>SUM(CN78:CN82)</f>
        <v>0</v>
      </c>
      <c r="CO77" s="127">
        <f>VLOOKUP($C77,'1 预算编制表单'!$C:$BJ,60,FALSE)</f>
        <v>0</v>
      </c>
      <c r="CP77" s="127">
        <f>CO77-CQ77</f>
        <v>0</v>
      </c>
      <c r="CQ77" s="127">
        <f>SUM(CQ78:CQ82)</f>
        <v>0</v>
      </c>
    </row>
    <row r="78" s="89" customFormat="1" ht="24" hidden="1" customHeight="1" outlineLevel="4" spans="1:95">
      <c r="A78" s="128"/>
      <c r="B78" s="129"/>
      <c r="C78" s="130" t="s">
        <v>1001</v>
      </c>
      <c r="D78" s="137" t="s">
        <v>2814</v>
      </c>
      <c r="E78" s="129"/>
      <c r="F78" s="129"/>
      <c r="G78" s="129"/>
      <c r="H78" s="131"/>
      <c r="I78" s="131"/>
      <c r="J78" s="131">
        <f t="shared" si="814"/>
        <v>0</v>
      </c>
      <c r="K78" s="159"/>
      <c r="L78" s="160"/>
      <c r="M78" s="160"/>
      <c r="N78" s="159"/>
      <c r="O78" s="160"/>
      <c r="P78" s="131"/>
      <c r="Q78" s="131"/>
      <c r="R78" s="131"/>
      <c r="S78" s="131"/>
      <c r="T78" s="131"/>
      <c r="U78" s="131"/>
      <c r="V78" s="131"/>
      <c r="W78" s="131"/>
      <c r="X78" s="168"/>
      <c r="Y78" s="168"/>
      <c r="Z78" s="159">
        <f>报销单计算表!B23</f>
        <v>0</v>
      </c>
      <c r="AA78" s="168"/>
      <c r="AB78" s="168"/>
      <c r="AC78" s="159">
        <f>报销单计算表!C23</f>
        <v>0</v>
      </c>
      <c r="AD78" s="168"/>
      <c r="AE78" s="168"/>
      <c r="AF78" s="159">
        <f>报销单计算表!D23</f>
        <v>0</v>
      </c>
      <c r="AG78" s="168"/>
      <c r="AH78" s="168"/>
      <c r="AI78" s="159">
        <f>报销单计算表!E23</f>
        <v>0</v>
      </c>
      <c r="AJ78" s="168"/>
      <c r="AK78" s="168"/>
      <c r="AL78" s="159">
        <f>报销单计算表!F23</f>
        <v>0</v>
      </c>
      <c r="AM78" s="168"/>
      <c r="AN78" s="168"/>
      <c r="AO78" s="159">
        <f>报销单计算表!G23</f>
        <v>0</v>
      </c>
      <c r="AP78" s="168"/>
      <c r="AQ78" s="168"/>
      <c r="AR78" s="159">
        <f>报销单计算表!H23</f>
        <v>0</v>
      </c>
      <c r="AS78" s="168"/>
      <c r="AT78" s="168"/>
      <c r="AU78" s="159">
        <f>报销单计算表!I23</f>
        <v>0</v>
      </c>
      <c r="AV78" s="168"/>
      <c r="AW78" s="168"/>
      <c r="AX78" s="159">
        <f>报销单计算表!J23</f>
        <v>0</v>
      </c>
      <c r="AY78" s="168"/>
      <c r="AZ78" s="168"/>
      <c r="BA78" s="159">
        <f>报销单计算表!K23</f>
        <v>0</v>
      </c>
      <c r="BB78" s="168"/>
      <c r="BC78" s="168"/>
      <c r="BD78" s="159">
        <f>报销单计算表!L23</f>
        <v>0</v>
      </c>
      <c r="BE78" s="168"/>
      <c r="BF78" s="168"/>
      <c r="BG78" s="159">
        <f>报销单计算表!M23</f>
        <v>0</v>
      </c>
      <c r="BH78" s="163">
        <v>46023</v>
      </c>
      <c r="BI78" s="163">
        <f t="shared" ref="BI78" si="887">BH78+30</f>
        <v>46053</v>
      </c>
      <c r="BJ78" s="172">
        <f t="shared" ref="BJ78" si="888">IFERROR(IF(($R78-BI78)&gt;=0,0,IF(($S78-BH78)&lt;0,0,IF(AND(($S78-BI78)&gt;0,(BH78-$R78)&gt;0),$V78/365*(BI78-BH78+1),IF(AND(($S78-BI78)&lt;=0,(BH78-$R78)&gt;0),$V78/365*($S78-BH78+1),$V78/365*(BI78-$R78+1))))),0)</f>
        <v>0</v>
      </c>
      <c r="BK78" s="163">
        <f t="shared" ref="BK78" si="889">BI78+1</f>
        <v>46054</v>
      </c>
      <c r="BL78" s="163">
        <f t="shared" ref="BL78" si="890">BK78+27</f>
        <v>46081</v>
      </c>
      <c r="BM78" s="172">
        <f t="shared" ref="BM78" si="891">IFERROR(IF(($R78-BL78)&gt;=0,0,IF(($S78-BK78)&lt;0,0,IF(AND(($S78-BL78)&gt;0,(BK78-$R78)&gt;0),$V78/365*(BL78-BK78+1),IF(AND(($S78-BL78)&lt;=0,(BK78-$R78)&gt;0),$V78/365*($S78-BK78+1),$V78/365*(BL78-$R78+1))))),0)</f>
        <v>0</v>
      </c>
      <c r="BN78" s="163">
        <f t="shared" ref="BN78" si="892">BL78+1</f>
        <v>46082</v>
      </c>
      <c r="BO78" s="163">
        <f t="shared" ref="BO78" si="893">BN78+30</f>
        <v>46112</v>
      </c>
      <c r="BP78" s="172">
        <f t="shared" ref="BP78" si="894">IFERROR(IF(($R78-BO78)&gt;=0,0,IF(($S78-BN78)&lt;0,0,IF(AND(($S78-BO78)&gt;0,(BN78-$R78)&gt;0),$V78/365*(BO78-BN78+1),IF(AND(($S78-BO78)&lt;=0,(BN78-$R78)&gt;0),$V78/365*($S78-BN78+1),$V78/365*(BO78-$R78+1))))),0)</f>
        <v>0</v>
      </c>
      <c r="BQ78" s="163">
        <f t="shared" ref="BQ78" si="895">BO78+1</f>
        <v>46113</v>
      </c>
      <c r="BR78" s="163">
        <f t="shared" ref="BR78" si="896">BQ78+29</f>
        <v>46142</v>
      </c>
      <c r="BS78" s="172">
        <f t="shared" ref="BS78" si="897">IFERROR(IF(($R78-BR78)&gt;=0,0,IF(($S78-BQ78)&lt;0,0,IF(AND(($S78-BR78)&gt;0,(BQ78-$R78)&gt;0),$V78/365*(BR78-BQ78+1),IF(AND(($S78-BR78)&lt;=0,(BQ78-$R78)&gt;0),$V78/365*($S78-BQ78+1),$V78/365*(BR78-$R78+1))))),0)</f>
        <v>0</v>
      </c>
      <c r="BT78" s="163">
        <f t="shared" ref="BT78" si="898">BR78+1</f>
        <v>46143</v>
      </c>
      <c r="BU78" s="163">
        <f t="shared" ref="BU78" si="899">BT78+30</f>
        <v>46173</v>
      </c>
      <c r="BV78" s="172">
        <f t="shared" ref="BV78" si="900">IFERROR(IF(($R78-BU78)&gt;=0,0,IF(($S78-BT78)&lt;0,0,IF(AND(($S78-BU78)&gt;0,(BT78-$R78)&gt;0),$V78/365*(BU78-BT78+1),IF(AND(($S78-BU78)&lt;=0,(BT78-$R78)&gt;0),$V78/365*($S78-BT78+1),$V78/365*(BU78-$R78+1))))),0)</f>
        <v>0</v>
      </c>
      <c r="BW78" s="163">
        <f t="shared" ref="BW78" si="901">BU78+1</f>
        <v>46174</v>
      </c>
      <c r="BX78" s="163">
        <f t="shared" ref="BX78" si="902">BW78+29</f>
        <v>46203</v>
      </c>
      <c r="BY78" s="172">
        <f t="shared" ref="BY78" si="903">IFERROR(IF(($R78-BX78)&gt;=0,0,IF(($S78-BW78)&lt;0,0,IF(AND(($S78-BX78)&gt;0,(BW78-$R78)&gt;0),$V78/365*(BX78-BW78+1),IF(AND(($S78-BX78)&lt;=0,(BW78-$R78)&gt;0),$V78/365*($S78-BW78+1),$V78/365*(BX78-$R78+1))))),0)</f>
        <v>0</v>
      </c>
      <c r="BZ78" s="163">
        <f t="shared" ref="BZ78" si="904">BX78+1</f>
        <v>46204</v>
      </c>
      <c r="CA78" s="163">
        <f t="shared" ref="CA78" si="905">BZ78+30</f>
        <v>46234</v>
      </c>
      <c r="CB78" s="172">
        <f t="shared" ref="CB78" si="906">IFERROR(IF(($R78-CA78)&gt;=0,0,IF(($S78-BZ78)&lt;0,0,IF(AND(($S78-CA78)&gt;0,(BZ78-$R78)&gt;0),$V78/365*(CA78-BZ78+1),IF(AND(($S78-CA78)&lt;=0,(BZ78-$R78)&gt;0),$V78/365*($S78-BZ78+1),$V78/365*(CA78-$R78+1))))),0)</f>
        <v>0</v>
      </c>
      <c r="CC78" s="163">
        <f t="shared" ref="CC78" si="907">CA78+1</f>
        <v>46235</v>
      </c>
      <c r="CD78" s="163">
        <f t="shared" ref="CD78" si="908">CC78+30</f>
        <v>46265</v>
      </c>
      <c r="CE78" s="172">
        <f t="shared" ref="CE78" si="909">IFERROR(IF(($R78-CD78)&gt;=0,0,IF(($S78-CC78)&lt;0,0,IF(AND(($S78-CD78)&gt;0,(CC78-$R78)&gt;0),$V78/365*(CD78-CC78+1),IF(AND(($S78-CD78)&lt;=0,(CC78-$R78)&gt;0),$V78/365*($S78-CC78+1),$V78/365*(CD78-$R78+1))))),0)</f>
        <v>0</v>
      </c>
      <c r="CF78" s="163">
        <f t="shared" ref="CF78" si="910">CD78+1</f>
        <v>46266</v>
      </c>
      <c r="CG78" s="163">
        <f t="shared" ref="CG78" si="911">CF78+29</f>
        <v>46295</v>
      </c>
      <c r="CH78" s="172">
        <f t="shared" ref="CH78" si="912">IFERROR(IF(($R78-CG78)&gt;=0,0,IF(($S78-CF78)&lt;0,0,IF(AND(($S78-CG78)&gt;0,(CF78-$R78)&gt;0),$V78/365*(CG78-CF78+1),IF(AND(($S78-CG78)&lt;=0,(CF78-$R78)&gt;0),$V78/365*($S78-CF78+1),$V78/365*(CG78-$R78+1))))),0)</f>
        <v>0</v>
      </c>
      <c r="CI78" s="163">
        <f t="shared" ref="CI78" si="913">CG78+1</f>
        <v>46296</v>
      </c>
      <c r="CJ78" s="163">
        <f t="shared" ref="CJ78" si="914">CI78+30</f>
        <v>46326</v>
      </c>
      <c r="CK78" s="172">
        <f t="shared" ref="CK78" si="915">IFERROR(IF(($R78-CJ78)&gt;=0,0,IF(($S78-CI78)&lt;0,0,IF(AND(($S78-CJ78)&gt;0,(CI78-$R78)&gt;0),$V78/365*(CJ78-CI78+1),IF(AND(($S78-CJ78)&lt;=0,(CI78-$R78)&gt;0),$V78/365*($S78-CI78+1),$V78/365*(CJ78-$R78+1))))),0)</f>
        <v>0</v>
      </c>
      <c r="CL78" s="163">
        <f t="shared" ref="CL78" si="916">CJ78+1</f>
        <v>46327</v>
      </c>
      <c r="CM78" s="163">
        <f t="shared" ref="CM78" si="917">CL78+29</f>
        <v>46356</v>
      </c>
      <c r="CN78" s="172">
        <f t="shared" ref="CN78" si="918">IFERROR(IF(($R78-CM78)&gt;=0,0,IF(($S78-CL78)&lt;0,0,IF(AND(($S78-CM78)&gt;0,(CL78-$R78)&gt;0),$V78/365*(CM78-CL78+1),IF(AND(($S78-CM78)&lt;=0,(CL78-$R78)&gt;0),$V78/365*($S78-CL78+1),$V78/365*(CM78-$R78+1))))),0)</f>
        <v>0</v>
      </c>
      <c r="CO78" s="163">
        <f t="shared" ref="CO78" si="919">CM78+1</f>
        <v>46357</v>
      </c>
      <c r="CP78" s="163">
        <f t="shared" ref="CP78" si="920">CO78+30</f>
        <v>46387</v>
      </c>
      <c r="CQ78" s="172">
        <f t="shared" ref="CQ78" si="921">IFERROR(IF(($R78-CP78)&gt;=0,0,IF(($S78-CO78)&lt;0,0,IF(AND(($S78-CP78)&gt;0,(CO78-$R78)&gt;0),$V78/365*(CP78-CO78+1),IF(AND(($S78-CP78)&lt;=0,(CO78-$R78)&gt;0),$V78/365*($S78-CO78+1),$V78/365*(CP78-$R78+1))))),0)</f>
        <v>0</v>
      </c>
    </row>
    <row r="79" s="89" customFormat="1" ht="24" hidden="1" customHeight="1" outlineLevel="4" spans="1:95">
      <c r="A79" s="128"/>
      <c r="B79" s="129"/>
      <c r="C79" s="130"/>
      <c r="D79" s="128"/>
      <c r="E79" s="129"/>
      <c r="F79" s="129"/>
      <c r="G79" s="129"/>
      <c r="H79" s="131"/>
      <c r="I79" s="131"/>
      <c r="J79" s="131">
        <f t="shared" si="814"/>
        <v>0</v>
      </c>
      <c r="K79" s="131">
        <f t="shared" ref="K79:K81" si="922">K78+1</f>
        <v>1</v>
      </c>
      <c r="L79" s="156"/>
      <c r="M79" s="157">
        <f>IFERROR(VLOOKUP($L79,'2-2 引出数据_合同数据仓库'!$B$5:$BP$200,3,FALSE),0)</f>
        <v>0</v>
      </c>
      <c r="N79" s="131"/>
      <c r="O79" s="157">
        <f>IFERROR(VLOOKUP((LEFT(VLOOKUP($L79,'2-2 引出数据_合同数据仓库'!$B$5:$BP$200,64,FALSE),15)&amp;(RIGHT(VLOOKUP($L79,'2-2 引出数据_合同数据仓库'!$B$5:$BP$200,64,FALSE),4)+1)),'2-2 引出数据_合同数据仓库'!$B$5:$BP$200,3,FALSE),0)</f>
        <v>0</v>
      </c>
      <c r="P79" s="131"/>
      <c r="Q79" s="131">
        <f>IFERROR(VLOOKUP($L79,'2-2 引出数据_合同数据仓库'!$B$5:$BP$200,28,FALSE),0)</f>
        <v>0</v>
      </c>
      <c r="R79" s="131">
        <f>IFERROR(VLOOKUP($L79,'2-2 引出数据_合同数据仓库'!$B$5:$BP$200,29,FALSE),0)</f>
        <v>0</v>
      </c>
      <c r="S79" s="131">
        <f>IFERROR(VLOOKUP($L79,'2-2 引出数据_合同数据仓库'!$B$5:$BP$200,4,FALSE),0)</f>
        <v>0</v>
      </c>
      <c r="T79" s="131"/>
      <c r="U79" s="131">
        <f>IFERROR(VLOOKUP($L79,'2-2 引出数据_合同数据仓库'!$B$5:$BP$200,15,FALSE),0)</f>
        <v>0</v>
      </c>
      <c r="V79" s="131">
        <f t="shared" ref="V79:V81" si="923">U79/(S79-R79+1)*365</f>
        <v>0</v>
      </c>
      <c r="W79" s="131"/>
      <c r="X79" s="163">
        <v>45658</v>
      </c>
      <c r="Y79" s="163">
        <f t="shared" ref="Y79:Y81" si="924">X79+30</f>
        <v>45688</v>
      </c>
      <c r="Z79" s="167">
        <f t="shared" ref="Z79:Z81" si="925">IFERROR(IF(($R79-Y79)&gt;=0,0,IF(($S79-X79)&lt;0,0,IF(AND(($S79-Y79)&gt;0,(X79-$R79)&gt;0),$V79/365*(Y79-X79+1),IF(AND(($S79-Y79)&lt;=0,(X79-$R79)&gt;0),$V79/365*($S79-X79+1),$V79/365*(Y79-$R79+1))))),0)</f>
        <v>0</v>
      </c>
      <c r="AA79" s="163">
        <f t="shared" ref="AA79:AA81" si="926">Y79+1</f>
        <v>45689</v>
      </c>
      <c r="AB79" s="163">
        <f t="shared" ref="AB79:AB81" si="927">AA79+27</f>
        <v>45716</v>
      </c>
      <c r="AC79" s="167">
        <f t="shared" ref="AC79:AC81" si="928">IFERROR(IF(($R79-AB79)&gt;=0,0,IF(($S79-AA79)&lt;0,0,IF(AND(($S79-AB79)&gt;0,(AA79-$R79)&gt;0),$V79/365*(AB79-AA79+1),IF(AND(($S79-AB79)&lt;=0,(AA79-$R79)&gt;0),$V79/365*($S79-AA79+1),$V79/365*(AB79-$R79+1))))),0)</f>
        <v>0</v>
      </c>
      <c r="AD79" s="163">
        <f t="shared" ref="AD79:AD81" si="929">AB79+1</f>
        <v>45717</v>
      </c>
      <c r="AE79" s="163">
        <f t="shared" ref="AE79:AE81" si="930">AD79+30</f>
        <v>45747</v>
      </c>
      <c r="AF79" s="167">
        <f t="shared" ref="AF79:AF81" si="931">IFERROR(IF(($R79-AE79)&gt;=0,0,IF(($S79-AD79)&lt;0,0,IF(AND(($S79-AE79)&gt;0,(AD79-$R79)&gt;0),$V79/365*(AE79-AD79+1),IF(AND(($S79-AE79)&lt;=0,(AD79-$R79)&gt;0),$V79/365*($S79-AD79+1),$V79/365*(AE79-$R79+1))))),0)</f>
        <v>0</v>
      </c>
      <c r="AG79" s="163">
        <f t="shared" ref="AG79:AG81" si="932">AE79+1</f>
        <v>45748</v>
      </c>
      <c r="AH79" s="163">
        <f t="shared" ref="AH79:AH81" si="933">AG79+29</f>
        <v>45777</v>
      </c>
      <c r="AI79" s="167">
        <f t="shared" ref="AI79:AI81" si="934">IFERROR(IF(($R79-AH79)&gt;=0,0,IF(($S79-AG79)&lt;0,0,IF(AND(($S79-AH79)&gt;0,(AG79-$R79)&gt;0),$V79/365*(AH79-AG79+1),IF(AND(($S79-AH79)&lt;=0,(AG79-$R79)&gt;0),$V79/365*($S79-AG79+1),$V79/365*(AH79-$R79+1))))),0)</f>
        <v>0</v>
      </c>
      <c r="AJ79" s="163">
        <f t="shared" ref="AJ79:AJ81" si="935">AH79+1</f>
        <v>45778</v>
      </c>
      <c r="AK79" s="163">
        <f t="shared" ref="AK79:AK81" si="936">AJ79+30</f>
        <v>45808</v>
      </c>
      <c r="AL79" s="167">
        <f t="shared" ref="AL79:AL81" si="937">IFERROR(IF(($R79-AK79)&gt;=0,0,IF(($S79-AJ79)&lt;0,0,IF(AND(($S79-AK79)&gt;0,(AJ79-$R79)&gt;0),$V79/365*(AK79-AJ79+1),IF(AND(($S79-AK79)&lt;=0,(AJ79-$R79)&gt;0),$V79/365*($S79-AJ79+1),$V79/365*(AK79-$R79+1))))),0)</f>
        <v>0</v>
      </c>
      <c r="AM79" s="163">
        <f t="shared" ref="AM79:AM81" si="938">AK79+1</f>
        <v>45809</v>
      </c>
      <c r="AN79" s="163">
        <f t="shared" ref="AN79:AN81" si="939">AM79+29</f>
        <v>45838</v>
      </c>
      <c r="AO79" s="167">
        <f t="shared" ref="AO79:AO81" si="940">IFERROR(IF(($R79-AN79)&gt;=0,0,IF(($S79-AM79)&lt;0,0,IF(AND(($S79-AN79)&gt;0,(AM79-$R79)&gt;0),$V79/365*(AN79-AM79+1),IF(AND(($S79-AN79)&lt;=0,(AM79-$R79)&gt;0),$V79/365*($S79-AM79+1),$V79/365*(AN79-$R79+1))))),0)</f>
        <v>0</v>
      </c>
      <c r="AP79" s="163">
        <f t="shared" ref="AP79:AP81" si="941">AN79+1</f>
        <v>45839</v>
      </c>
      <c r="AQ79" s="163">
        <f t="shared" ref="AQ79:AQ81" si="942">AP79+30</f>
        <v>45869</v>
      </c>
      <c r="AR79" s="167">
        <f t="shared" ref="AR79:AR81" si="943">IFERROR(IF(($R79-AQ79)&gt;=0,0,IF(($S79-AP79)&lt;0,0,IF(AND(($S79-AQ79)&gt;0,(AP79-$R79)&gt;0),$V79/365*(AQ79-AP79+1),IF(AND(($S79-AQ79)&lt;=0,(AP79-$R79)&gt;0),$V79/365*($S79-AP79+1),$V79/365*(AQ79-$R79+1))))),0)</f>
        <v>0</v>
      </c>
      <c r="AS79" s="163">
        <f t="shared" ref="AS79:AS81" si="944">AQ79+1</f>
        <v>45870</v>
      </c>
      <c r="AT79" s="163">
        <f t="shared" ref="AT79:AT81" si="945">AS79+30</f>
        <v>45900</v>
      </c>
      <c r="AU79" s="167">
        <f t="shared" ref="AU79:AU81" si="946">IFERROR(IF(($R79-AT79)&gt;=0,0,IF(($S79-AS79)&lt;0,0,IF(AND(($S79-AT79)&gt;0,(AS79-$R79)&gt;0),$V79/365*(AT79-AS79+1),IF(AND(($S79-AT79)&lt;=0,(AS79-$R79)&gt;0),$V79/365*($S79-AS79+1),$V79/365*(AT79-$R79+1))))),0)</f>
        <v>0</v>
      </c>
      <c r="AV79" s="163">
        <f t="shared" ref="AV79:AV81" si="947">AT79+1</f>
        <v>45901</v>
      </c>
      <c r="AW79" s="163">
        <f t="shared" ref="AW79:AW81" si="948">AV79+29</f>
        <v>45930</v>
      </c>
      <c r="AX79" s="167">
        <f t="shared" ref="AX79:AX81" si="949">IFERROR(IF(($R79-AW79)&gt;=0,0,IF(($S79-AV79)&lt;0,0,IF(AND(($S79-AW79)&gt;0,(AV79-$R79)&gt;0),$V79/365*(AW79-AV79+1),IF(AND(($S79-AW79)&lt;=0,(AV79-$R79)&gt;0),$V79/365*($S79-AV79+1),$V79/365*(AW79-$R79+1))))),0)</f>
        <v>0</v>
      </c>
      <c r="AY79" s="163">
        <f t="shared" ref="AY79:AY81" si="950">AW79+1</f>
        <v>45931</v>
      </c>
      <c r="AZ79" s="163">
        <f t="shared" ref="AZ79:AZ81" si="951">AY79+30</f>
        <v>45961</v>
      </c>
      <c r="BA79" s="167">
        <f t="shared" ref="BA79:BA81" si="952">IFERROR(IF(($R79-AZ79)&gt;=0,0,IF(($S79-AY79)&lt;0,0,IF(AND(($S79-AZ79)&gt;0,(AY79-$R79)&gt;0),$V79/365*(AZ79-AY79+1),IF(AND(($S79-AZ79)&lt;=0,(AY79-$R79)&gt;0),$V79/365*($S79-AY79+1),$V79/365*(AZ79-$R79+1))))),0)</f>
        <v>0</v>
      </c>
      <c r="BB79" s="163">
        <f t="shared" ref="BB79:BB81" si="953">AZ79+1</f>
        <v>45962</v>
      </c>
      <c r="BC79" s="163">
        <f t="shared" ref="BC79:BC81" si="954">BB79+29</f>
        <v>45991</v>
      </c>
      <c r="BD79" s="167">
        <f t="shared" ref="BD79:BD81" si="955">IFERROR(IF(($R79-BC79)&gt;=0,0,IF(($S79-BB79)&lt;0,0,IF(AND(($S79-BC79)&gt;0,(BB79-$R79)&gt;0),$V79/365*(BC79-BB79+1),IF(AND(($S79-BC79)&lt;=0,(BB79-$R79)&gt;0),$V79/365*($S79-BB79+1),$V79/365*(BC79-$R79+1))))),0)</f>
        <v>0</v>
      </c>
      <c r="BE79" s="163">
        <f t="shared" ref="BE79:BE81" si="956">BC79+1</f>
        <v>45992</v>
      </c>
      <c r="BF79" s="163">
        <f t="shared" ref="BF79:BF81" si="957">BE79+30</f>
        <v>46022</v>
      </c>
      <c r="BG79" s="167">
        <f t="shared" ref="BG79:BG81" si="958">IFERROR(IF(($R79-BF79)&gt;=0,0,IF(($S79-BE79)&lt;0,0,IF(AND(($S79-BF79)&gt;0,(BE79-$R79)&gt;0),$V79/365*(BF79-BE79+1),IF(AND(($S79-BF79)&lt;=0,(BE79-$R79)&gt;0),$V79/365*($S79-BE79+1),$V79/365*(BF79-$R79+1))))),0)</f>
        <v>0</v>
      </c>
      <c r="BH79" s="163">
        <v>46023</v>
      </c>
      <c r="BI79" s="163">
        <f t="shared" ref="BI79:BI81" si="959">BH79+30</f>
        <v>46053</v>
      </c>
      <c r="BJ79" s="167">
        <f t="shared" ref="BJ79:BJ81" si="960">IFERROR(IF(($R79-BI79)&gt;=0,0,IF(($S79-BH79)&lt;0,0,IF(AND(($S79-BI79)&gt;0,(BH79-$R79)&gt;0),$V79/365*(BI79-BH79+1),IF(AND(($S79-BI79)&lt;=0,(BH79-$R79)&gt;0),$V79/365*($S79-BH79+1),$V79/365*(BI79-$R79+1))))),0)</f>
        <v>0</v>
      </c>
      <c r="BK79" s="163">
        <f t="shared" ref="BK79:BK81" si="961">BI79+1</f>
        <v>46054</v>
      </c>
      <c r="BL79" s="163">
        <f t="shared" ref="BL79:BL81" si="962">BK79+27</f>
        <v>46081</v>
      </c>
      <c r="BM79" s="167">
        <f t="shared" ref="BM79:BM81" si="963">IFERROR(IF(($R79-BL79)&gt;=0,0,IF(($S79-BK79)&lt;0,0,IF(AND(($S79-BL79)&gt;0,(BK79-$R79)&gt;0),$V79/365*(BL79-BK79+1),IF(AND(($S79-BL79)&lt;=0,(BK79-$R79)&gt;0),$V79/365*($S79-BK79+1),$V79/365*(BL79-$R79+1))))),0)</f>
        <v>0</v>
      </c>
      <c r="BN79" s="163">
        <f t="shared" ref="BN79:BN81" si="964">BL79+1</f>
        <v>46082</v>
      </c>
      <c r="BO79" s="163">
        <f t="shared" ref="BO79:BO81" si="965">BN79+30</f>
        <v>46112</v>
      </c>
      <c r="BP79" s="167">
        <f t="shared" ref="BP79:BP81" si="966">IFERROR(IF(($R79-BO79)&gt;=0,0,IF(($S79-BN79)&lt;0,0,IF(AND(($S79-BO79)&gt;0,(BN79-$R79)&gt;0),$V79/365*(BO79-BN79+1),IF(AND(($S79-BO79)&lt;=0,(BN79-$R79)&gt;0),$V79/365*($S79-BN79+1),$V79/365*(BO79-$R79+1))))),0)</f>
        <v>0</v>
      </c>
      <c r="BQ79" s="163">
        <f t="shared" ref="BQ79:BQ81" si="967">BO79+1</f>
        <v>46113</v>
      </c>
      <c r="BR79" s="163">
        <f t="shared" ref="BR79:BR81" si="968">BQ79+29</f>
        <v>46142</v>
      </c>
      <c r="BS79" s="167">
        <f t="shared" ref="BS79:BS81" si="969">IFERROR(IF(($R79-BR79)&gt;=0,0,IF(($S79-BQ79)&lt;0,0,IF(AND(($S79-BR79)&gt;0,(BQ79-$R79)&gt;0),$V79/365*(BR79-BQ79+1),IF(AND(($S79-BR79)&lt;=0,(BQ79-$R79)&gt;0),$V79/365*($S79-BQ79+1),$V79/365*(BR79-$R79+1))))),0)</f>
        <v>0</v>
      </c>
      <c r="BT79" s="163">
        <f t="shared" ref="BT79:BT81" si="970">BR79+1</f>
        <v>46143</v>
      </c>
      <c r="BU79" s="163">
        <f t="shared" ref="BU79:BU81" si="971">BT79+30</f>
        <v>46173</v>
      </c>
      <c r="BV79" s="167">
        <f t="shared" ref="BV79:BV81" si="972">IFERROR(IF(($R79-BU79)&gt;=0,0,IF(($S79-BT79)&lt;0,0,IF(AND(($S79-BU79)&gt;0,(BT79-$R79)&gt;0),$V79/365*(BU79-BT79+1),IF(AND(($S79-BU79)&lt;=0,(BT79-$R79)&gt;0),$V79/365*($S79-BT79+1),$V79/365*(BU79-$R79+1))))),0)</f>
        <v>0</v>
      </c>
      <c r="BW79" s="163">
        <f t="shared" ref="BW79:BW81" si="973">BU79+1</f>
        <v>46174</v>
      </c>
      <c r="BX79" s="163">
        <f t="shared" ref="BX79:BX81" si="974">BW79+29</f>
        <v>46203</v>
      </c>
      <c r="BY79" s="167">
        <f t="shared" ref="BY79:BY81" si="975">IFERROR(IF(($R79-BX79)&gt;=0,0,IF(($S79-BW79)&lt;0,0,IF(AND(($S79-BX79)&gt;0,(BW79-$R79)&gt;0),$V79/365*(BX79-BW79+1),IF(AND(($S79-BX79)&lt;=0,(BW79-$R79)&gt;0),$V79/365*($S79-BW79+1),$V79/365*(BX79-$R79+1))))),0)</f>
        <v>0</v>
      </c>
      <c r="BZ79" s="163">
        <f t="shared" ref="BZ79:BZ81" si="976">BX79+1</f>
        <v>46204</v>
      </c>
      <c r="CA79" s="163">
        <f t="shared" ref="CA79:CA81" si="977">BZ79+30</f>
        <v>46234</v>
      </c>
      <c r="CB79" s="167">
        <f t="shared" ref="CB79:CB81" si="978">IFERROR(IF(($R79-CA79)&gt;=0,0,IF(($S79-BZ79)&lt;0,0,IF(AND(($S79-CA79)&gt;0,(BZ79-$R79)&gt;0),$V79/365*(CA79-BZ79+1),IF(AND(($S79-CA79)&lt;=0,(BZ79-$R79)&gt;0),$V79/365*($S79-BZ79+1),$V79/365*(CA79-$R79+1))))),0)</f>
        <v>0</v>
      </c>
      <c r="CC79" s="163">
        <f t="shared" ref="CC79:CC81" si="979">CA79+1</f>
        <v>46235</v>
      </c>
      <c r="CD79" s="163">
        <f t="shared" ref="CD79:CD81" si="980">CC79+30</f>
        <v>46265</v>
      </c>
      <c r="CE79" s="167">
        <f t="shared" ref="CE79:CE81" si="981">IFERROR(IF(($R79-CD79)&gt;=0,0,IF(($S79-CC79)&lt;0,0,IF(AND(($S79-CD79)&gt;0,(CC79-$R79)&gt;0),$V79/365*(CD79-CC79+1),IF(AND(($S79-CD79)&lt;=0,(CC79-$R79)&gt;0),$V79/365*($S79-CC79+1),$V79/365*(CD79-$R79+1))))),0)</f>
        <v>0</v>
      </c>
      <c r="CF79" s="163">
        <f t="shared" ref="CF79:CF81" si="982">CD79+1</f>
        <v>46266</v>
      </c>
      <c r="CG79" s="163">
        <f t="shared" ref="CG79:CG81" si="983">CF79+29</f>
        <v>46295</v>
      </c>
      <c r="CH79" s="167">
        <f t="shared" ref="CH79:CH81" si="984">IFERROR(IF(($R79-CG79)&gt;=0,0,IF(($S79-CF79)&lt;0,0,IF(AND(($S79-CG79)&gt;0,(CF79-$R79)&gt;0),$V79/365*(CG79-CF79+1),IF(AND(($S79-CG79)&lt;=0,(CF79-$R79)&gt;0),$V79/365*($S79-CF79+1),$V79/365*(CG79-$R79+1))))),0)</f>
        <v>0</v>
      </c>
      <c r="CI79" s="163">
        <f t="shared" ref="CI79:CI81" si="985">CG79+1</f>
        <v>46296</v>
      </c>
      <c r="CJ79" s="163">
        <f t="shared" ref="CJ79:CJ81" si="986">CI79+30</f>
        <v>46326</v>
      </c>
      <c r="CK79" s="167">
        <f t="shared" ref="CK79:CK81" si="987">IFERROR(IF(($R79-CJ79)&gt;=0,0,IF(($S79-CI79)&lt;0,0,IF(AND(($S79-CJ79)&gt;0,(CI79-$R79)&gt;0),$V79/365*(CJ79-CI79+1),IF(AND(($S79-CJ79)&lt;=0,(CI79-$R79)&gt;0),$V79/365*($S79-CI79+1),$V79/365*(CJ79-$R79+1))))),0)</f>
        <v>0</v>
      </c>
      <c r="CL79" s="163">
        <f t="shared" ref="CL79:CL81" si="988">CJ79+1</f>
        <v>46327</v>
      </c>
      <c r="CM79" s="163">
        <f t="shared" ref="CM79:CM81" si="989">CL79+29</f>
        <v>46356</v>
      </c>
      <c r="CN79" s="167">
        <f t="shared" ref="CN79:CN81" si="990">IFERROR(IF(($R79-CM79)&gt;=0,0,IF(($S79-CL79)&lt;0,0,IF(AND(($S79-CM79)&gt;0,(CL79-$R79)&gt;0),$V79/365*(CM79-CL79+1),IF(AND(($S79-CM79)&lt;=0,(CL79-$R79)&gt;0),$V79/365*($S79-CL79+1),$V79/365*(CM79-$R79+1))))),0)</f>
        <v>0</v>
      </c>
      <c r="CO79" s="163">
        <f t="shared" ref="CO79:CO81" si="991">CM79+1</f>
        <v>46357</v>
      </c>
      <c r="CP79" s="163">
        <f t="shared" ref="CP79:CP81" si="992">CO79+30</f>
        <v>46387</v>
      </c>
      <c r="CQ79" s="167">
        <f t="shared" ref="CQ79:CQ81" si="993">IFERROR(IF(($R79-CP79)&gt;=0,0,IF(($S79-CO79)&lt;0,0,IF(AND(($S79-CP79)&gt;0,(CO79-$R79)&gt;0),$V79/365*(CP79-CO79+1),IF(AND(($S79-CP79)&lt;=0,(CO79-$R79)&gt;0),$V79/365*($S79-CO79+1),$V79/365*(CP79-$R79+1))))),0)</f>
        <v>0</v>
      </c>
    </row>
    <row r="80" s="89" customFormat="1" ht="24" hidden="1" customHeight="1" outlineLevel="4" spans="1:95">
      <c r="A80" s="128"/>
      <c r="B80" s="129"/>
      <c r="C80" s="130"/>
      <c r="D80" s="128"/>
      <c r="E80" s="129"/>
      <c r="F80" s="129"/>
      <c r="G80" s="129"/>
      <c r="H80" s="131"/>
      <c r="I80" s="131"/>
      <c r="J80" s="131">
        <f t="shared" si="814"/>
        <v>0</v>
      </c>
      <c r="K80" s="131">
        <f t="shared" si="922"/>
        <v>2</v>
      </c>
      <c r="L80" s="156"/>
      <c r="M80" s="157">
        <f>IFERROR(VLOOKUP($L80,'2-2 引出数据_合同数据仓库'!$B$5:$BP$200,3,FALSE),0)</f>
        <v>0</v>
      </c>
      <c r="N80" s="131"/>
      <c r="O80" s="157">
        <f>IFERROR(VLOOKUP((LEFT(VLOOKUP($L80,'2-2 引出数据_合同数据仓库'!$B$5:$BP$200,64,FALSE),15)&amp;(RIGHT(VLOOKUP($L80,'2-2 引出数据_合同数据仓库'!$B$5:$BP$200,64,FALSE),4)+1)),'2-2 引出数据_合同数据仓库'!$B$5:$BP$200,3,FALSE),0)</f>
        <v>0</v>
      </c>
      <c r="P80" s="131"/>
      <c r="Q80" s="131">
        <f>IFERROR(VLOOKUP($L80,'2-2 引出数据_合同数据仓库'!$B$5:$BP$200,28,FALSE),0)</f>
        <v>0</v>
      </c>
      <c r="R80" s="131">
        <f>IFERROR(VLOOKUP($L80,'2-2 引出数据_合同数据仓库'!$B$5:$BP$200,29,FALSE),0)</f>
        <v>0</v>
      </c>
      <c r="S80" s="131">
        <f>IFERROR(VLOOKUP($L80,'2-2 引出数据_合同数据仓库'!$B$5:$BP$200,4,FALSE),0)</f>
        <v>0</v>
      </c>
      <c r="T80" s="131"/>
      <c r="U80" s="131">
        <f>IFERROR(VLOOKUP($L80,'2-2 引出数据_合同数据仓库'!$B$5:$BP$200,15,FALSE),0)</f>
        <v>0</v>
      </c>
      <c r="V80" s="131">
        <f t="shared" si="923"/>
        <v>0</v>
      </c>
      <c r="W80" s="131"/>
      <c r="X80" s="163">
        <v>45658</v>
      </c>
      <c r="Y80" s="163">
        <f t="shared" si="924"/>
        <v>45688</v>
      </c>
      <c r="Z80" s="167">
        <f t="shared" si="925"/>
        <v>0</v>
      </c>
      <c r="AA80" s="163">
        <f t="shared" si="926"/>
        <v>45689</v>
      </c>
      <c r="AB80" s="163">
        <f t="shared" si="927"/>
        <v>45716</v>
      </c>
      <c r="AC80" s="167">
        <f t="shared" si="928"/>
        <v>0</v>
      </c>
      <c r="AD80" s="163">
        <f t="shared" si="929"/>
        <v>45717</v>
      </c>
      <c r="AE80" s="163">
        <f t="shared" si="930"/>
        <v>45747</v>
      </c>
      <c r="AF80" s="167">
        <f t="shared" si="931"/>
        <v>0</v>
      </c>
      <c r="AG80" s="163">
        <f t="shared" si="932"/>
        <v>45748</v>
      </c>
      <c r="AH80" s="163">
        <f t="shared" si="933"/>
        <v>45777</v>
      </c>
      <c r="AI80" s="167">
        <f t="shared" si="934"/>
        <v>0</v>
      </c>
      <c r="AJ80" s="163">
        <f t="shared" si="935"/>
        <v>45778</v>
      </c>
      <c r="AK80" s="163">
        <f t="shared" si="936"/>
        <v>45808</v>
      </c>
      <c r="AL80" s="167">
        <f t="shared" si="937"/>
        <v>0</v>
      </c>
      <c r="AM80" s="163">
        <f t="shared" si="938"/>
        <v>45809</v>
      </c>
      <c r="AN80" s="163">
        <f t="shared" si="939"/>
        <v>45838</v>
      </c>
      <c r="AO80" s="167">
        <f t="shared" si="940"/>
        <v>0</v>
      </c>
      <c r="AP80" s="163">
        <f t="shared" si="941"/>
        <v>45839</v>
      </c>
      <c r="AQ80" s="163">
        <f t="shared" si="942"/>
        <v>45869</v>
      </c>
      <c r="AR80" s="167">
        <f t="shared" si="943"/>
        <v>0</v>
      </c>
      <c r="AS80" s="163">
        <f t="shared" si="944"/>
        <v>45870</v>
      </c>
      <c r="AT80" s="163">
        <f t="shared" si="945"/>
        <v>45900</v>
      </c>
      <c r="AU80" s="167">
        <f t="shared" si="946"/>
        <v>0</v>
      </c>
      <c r="AV80" s="163">
        <f t="shared" si="947"/>
        <v>45901</v>
      </c>
      <c r="AW80" s="163">
        <f t="shared" si="948"/>
        <v>45930</v>
      </c>
      <c r="AX80" s="167">
        <f t="shared" si="949"/>
        <v>0</v>
      </c>
      <c r="AY80" s="163">
        <f t="shared" si="950"/>
        <v>45931</v>
      </c>
      <c r="AZ80" s="163">
        <f t="shared" si="951"/>
        <v>45961</v>
      </c>
      <c r="BA80" s="167">
        <f t="shared" si="952"/>
        <v>0</v>
      </c>
      <c r="BB80" s="163">
        <f t="shared" si="953"/>
        <v>45962</v>
      </c>
      <c r="BC80" s="163">
        <f t="shared" si="954"/>
        <v>45991</v>
      </c>
      <c r="BD80" s="167">
        <f t="shared" si="955"/>
        <v>0</v>
      </c>
      <c r="BE80" s="163">
        <f t="shared" si="956"/>
        <v>45992</v>
      </c>
      <c r="BF80" s="163">
        <f t="shared" si="957"/>
        <v>46022</v>
      </c>
      <c r="BG80" s="167">
        <f t="shared" si="958"/>
        <v>0</v>
      </c>
      <c r="BH80" s="163">
        <v>46023</v>
      </c>
      <c r="BI80" s="163">
        <f t="shared" si="959"/>
        <v>46053</v>
      </c>
      <c r="BJ80" s="167">
        <f t="shared" si="960"/>
        <v>0</v>
      </c>
      <c r="BK80" s="163">
        <f t="shared" si="961"/>
        <v>46054</v>
      </c>
      <c r="BL80" s="163">
        <f t="shared" si="962"/>
        <v>46081</v>
      </c>
      <c r="BM80" s="167">
        <f t="shared" si="963"/>
        <v>0</v>
      </c>
      <c r="BN80" s="163">
        <f t="shared" si="964"/>
        <v>46082</v>
      </c>
      <c r="BO80" s="163">
        <f t="shared" si="965"/>
        <v>46112</v>
      </c>
      <c r="BP80" s="167">
        <f t="shared" si="966"/>
        <v>0</v>
      </c>
      <c r="BQ80" s="163">
        <f t="shared" si="967"/>
        <v>46113</v>
      </c>
      <c r="BR80" s="163">
        <f t="shared" si="968"/>
        <v>46142</v>
      </c>
      <c r="BS80" s="167">
        <f t="shared" si="969"/>
        <v>0</v>
      </c>
      <c r="BT80" s="163">
        <f t="shared" si="970"/>
        <v>46143</v>
      </c>
      <c r="BU80" s="163">
        <f t="shared" si="971"/>
        <v>46173</v>
      </c>
      <c r="BV80" s="167">
        <f t="shared" si="972"/>
        <v>0</v>
      </c>
      <c r="BW80" s="163">
        <f t="shared" si="973"/>
        <v>46174</v>
      </c>
      <c r="BX80" s="163">
        <f t="shared" si="974"/>
        <v>46203</v>
      </c>
      <c r="BY80" s="167">
        <f t="shared" si="975"/>
        <v>0</v>
      </c>
      <c r="BZ80" s="163">
        <f t="shared" si="976"/>
        <v>46204</v>
      </c>
      <c r="CA80" s="163">
        <f t="shared" si="977"/>
        <v>46234</v>
      </c>
      <c r="CB80" s="167">
        <f t="shared" si="978"/>
        <v>0</v>
      </c>
      <c r="CC80" s="163">
        <f t="shared" si="979"/>
        <v>46235</v>
      </c>
      <c r="CD80" s="163">
        <f t="shared" si="980"/>
        <v>46265</v>
      </c>
      <c r="CE80" s="167">
        <f t="shared" si="981"/>
        <v>0</v>
      </c>
      <c r="CF80" s="163">
        <f t="shared" si="982"/>
        <v>46266</v>
      </c>
      <c r="CG80" s="163">
        <f t="shared" si="983"/>
        <v>46295</v>
      </c>
      <c r="CH80" s="167">
        <f t="shared" si="984"/>
        <v>0</v>
      </c>
      <c r="CI80" s="163">
        <f t="shared" si="985"/>
        <v>46296</v>
      </c>
      <c r="CJ80" s="163">
        <f t="shared" si="986"/>
        <v>46326</v>
      </c>
      <c r="CK80" s="167">
        <f t="shared" si="987"/>
        <v>0</v>
      </c>
      <c r="CL80" s="163">
        <f t="shared" si="988"/>
        <v>46327</v>
      </c>
      <c r="CM80" s="163">
        <f t="shared" si="989"/>
        <v>46356</v>
      </c>
      <c r="CN80" s="167">
        <f t="shared" si="990"/>
        <v>0</v>
      </c>
      <c r="CO80" s="163">
        <f t="shared" si="991"/>
        <v>46357</v>
      </c>
      <c r="CP80" s="163">
        <f t="shared" si="992"/>
        <v>46387</v>
      </c>
      <c r="CQ80" s="167">
        <f t="shared" si="993"/>
        <v>0</v>
      </c>
    </row>
    <row r="81" s="89" customFormat="1" ht="24" hidden="1" customHeight="1" outlineLevel="4" spans="1:95">
      <c r="A81" s="128"/>
      <c r="B81" s="129"/>
      <c r="C81" s="130"/>
      <c r="D81" s="128"/>
      <c r="E81" s="129"/>
      <c r="F81" s="129"/>
      <c r="G81" s="129"/>
      <c r="H81" s="131"/>
      <c r="I81" s="131"/>
      <c r="J81" s="131">
        <f t="shared" si="814"/>
        <v>0</v>
      </c>
      <c r="K81" s="131">
        <f t="shared" si="922"/>
        <v>3</v>
      </c>
      <c r="L81" s="156"/>
      <c r="M81" s="157">
        <f>IFERROR(VLOOKUP($L81,'2-2 引出数据_合同数据仓库'!$B$5:$BP$200,3,FALSE),0)</f>
        <v>0</v>
      </c>
      <c r="N81" s="131"/>
      <c r="O81" s="157">
        <f>IFERROR(VLOOKUP((LEFT(VLOOKUP($L81,'2-2 引出数据_合同数据仓库'!$B$5:$BP$200,64,FALSE),15)&amp;(RIGHT(VLOOKUP($L81,'2-2 引出数据_合同数据仓库'!$B$5:$BP$200,64,FALSE),4)+1)),'2-2 引出数据_合同数据仓库'!$B$5:$BP$200,3,FALSE),0)</f>
        <v>0</v>
      </c>
      <c r="P81" s="131"/>
      <c r="Q81" s="131">
        <f>IFERROR(VLOOKUP($L81,'2-2 引出数据_合同数据仓库'!$B$5:$BP$200,28,FALSE),0)</f>
        <v>0</v>
      </c>
      <c r="R81" s="131">
        <f>IFERROR(VLOOKUP($L81,'2-2 引出数据_合同数据仓库'!$B$5:$BP$200,29,FALSE),0)</f>
        <v>0</v>
      </c>
      <c r="S81" s="131">
        <f>IFERROR(VLOOKUP($L81,'2-2 引出数据_合同数据仓库'!$B$5:$BP$200,4,FALSE),0)</f>
        <v>0</v>
      </c>
      <c r="T81" s="131"/>
      <c r="U81" s="131">
        <f>IFERROR(VLOOKUP($L81,'2-2 引出数据_合同数据仓库'!$B$5:$BP$200,15,FALSE),0)</f>
        <v>0</v>
      </c>
      <c r="V81" s="131">
        <f t="shared" si="923"/>
        <v>0</v>
      </c>
      <c r="W81" s="131"/>
      <c r="X81" s="163">
        <v>45658</v>
      </c>
      <c r="Y81" s="163">
        <f t="shared" si="924"/>
        <v>45688</v>
      </c>
      <c r="Z81" s="167">
        <f t="shared" si="925"/>
        <v>0</v>
      </c>
      <c r="AA81" s="163">
        <f t="shared" si="926"/>
        <v>45689</v>
      </c>
      <c r="AB81" s="163">
        <f t="shared" si="927"/>
        <v>45716</v>
      </c>
      <c r="AC81" s="167">
        <f t="shared" si="928"/>
        <v>0</v>
      </c>
      <c r="AD81" s="163">
        <f t="shared" si="929"/>
        <v>45717</v>
      </c>
      <c r="AE81" s="163">
        <f t="shared" si="930"/>
        <v>45747</v>
      </c>
      <c r="AF81" s="167">
        <f t="shared" si="931"/>
        <v>0</v>
      </c>
      <c r="AG81" s="163">
        <f t="shared" si="932"/>
        <v>45748</v>
      </c>
      <c r="AH81" s="163">
        <f t="shared" si="933"/>
        <v>45777</v>
      </c>
      <c r="AI81" s="167">
        <f t="shared" si="934"/>
        <v>0</v>
      </c>
      <c r="AJ81" s="163">
        <f t="shared" si="935"/>
        <v>45778</v>
      </c>
      <c r="AK81" s="163">
        <f t="shared" si="936"/>
        <v>45808</v>
      </c>
      <c r="AL81" s="167">
        <f t="shared" si="937"/>
        <v>0</v>
      </c>
      <c r="AM81" s="163">
        <f t="shared" si="938"/>
        <v>45809</v>
      </c>
      <c r="AN81" s="163">
        <f t="shared" si="939"/>
        <v>45838</v>
      </c>
      <c r="AO81" s="167">
        <f t="shared" si="940"/>
        <v>0</v>
      </c>
      <c r="AP81" s="163">
        <f t="shared" si="941"/>
        <v>45839</v>
      </c>
      <c r="AQ81" s="163">
        <f t="shared" si="942"/>
        <v>45869</v>
      </c>
      <c r="AR81" s="167">
        <f t="shared" si="943"/>
        <v>0</v>
      </c>
      <c r="AS81" s="163">
        <f t="shared" si="944"/>
        <v>45870</v>
      </c>
      <c r="AT81" s="163">
        <f t="shared" si="945"/>
        <v>45900</v>
      </c>
      <c r="AU81" s="167">
        <f t="shared" si="946"/>
        <v>0</v>
      </c>
      <c r="AV81" s="163">
        <f t="shared" si="947"/>
        <v>45901</v>
      </c>
      <c r="AW81" s="163">
        <f t="shared" si="948"/>
        <v>45930</v>
      </c>
      <c r="AX81" s="167">
        <f t="shared" si="949"/>
        <v>0</v>
      </c>
      <c r="AY81" s="163">
        <f t="shared" si="950"/>
        <v>45931</v>
      </c>
      <c r="AZ81" s="163">
        <f t="shared" si="951"/>
        <v>45961</v>
      </c>
      <c r="BA81" s="167">
        <f t="shared" si="952"/>
        <v>0</v>
      </c>
      <c r="BB81" s="163">
        <f t="shared" si="953"/>
        <v>45962</v>
      </c>
      <c r="BC81" s="163">
        <f t="shared" si="954"/>
        <v>45991</v>
      </c>
      <c r="BD81" s="167">
        <f t="shared" si="955"/>
        <v>0</v>
      </c>
      <c r="BE81" s="163">
        <f t="shared" si="956"/>
        <v>45992</v>
      </c>
      <c r="BF81" s="163">
        <f t="shared" si="957"/>
        <v>46022</v>
      </c>
      <c r="BG81" s="167">
        <f t="shared" si="958"/>
        <v>0</v>
      </c>
      <c r="BH81" s="163">
        <v>46023</v>
      </c>
      <c r="BI81" s="163">
        <f t="shared" si="959"/>
        <v>46053</v>
      </c>
      <c r="BJ81" s="167">
        <f t="shared" si="960"/>
        <v>0</v>
      </c>
      <c r="BK81" s="163">
        <f t="shared" si="961"/>
        <v>46054</v>
      </c>
      <c r="BL81" s="163">
        <f t="shared" si="962"/>
        <v>46081</v>
      </c>
      <c r="BM81" s="167">
        <f t="shared" si="963"/>
        <v>0</v>
      </c>
      <c r="BN81" s="163">
        <f t="shared" si="964"/>
        <v>46082</v>
      </c>
      <c r="BO81" s="163">
        <f t="shared" si="965"/>
        <v>46112</v>
      </c>
      <c r="BP81" s="167">
        <f t="shared" si="966"/>
        <v>0</v>
      </c>
      <c r="BQ81" s="163">
        <f t="shared" si="967"/>
        <v>46113</v>
      </c>
      <c r="BR81" s="163">
        <f t="shared" si="968"/>
        <v>46142</v>
      </c>
      <c r="BS81" s="167">
        <f t="shared" si="969"/>
        <v>0</v>
      </c>
      <c r="BT81" s="163">
        <f t="shared" si="970"/>
        <v>46143</v>
      </c>
      <c r="BU81" s="163">
        <f t="shared" si="971"/>
        <v>46173</v>
      </c>
      <c r="BV81" s="167">
        <f t="shared" si="972"/>
        <v>0</v>
      </c>
      <c r="BW81" s="163">
        <f t="shared" si="973"/>
        <v>46174</v>
      </c>
      <c r="BX81" s="163">
        <f t="shared" si="974"/>
        <v>46203</v>
      </c>
      <c r="BY81" s="167">
        <f t="shared" si="975"/>
        <v>0</v>
      </c>
      <c r="BZ81" s="163">
        <f t="shared" si="976"/>
        <v>46204</v>
      </c>
      <c r="CA81" s="163">
        <f t="shared" si="977"/>
        <v>46234</v>
      </c>
      <c r="CB81" s="167">
        <f t="shared" si="978"/>
        <v>0</v>
      </c>
      <c r="CC81" s="163">
        <f t="shared" si="979"/>
        <v>46235</v>
      </c>
      <c r="CD81" s="163">
        <f t="shared" si="980"/>
        <v>46265</v>
      </c>
      <c r="CE81" s="167">
        <f t="shared" si="981"/>
        <v>0</v>
      </c>
      <c r="CF81" s="163">
        <f t="shared" si="982"/>
        <v>46266</v>
      </c>
      <c r="CG81" s="163">
        <f t="shared" si="983"/>
        <v>46295</v>
      </c>
      <c r="CH81" s="167">
        <f t="shared" si="984"/>
        <v>0</v>
      </c>
      <c r="CI81" s="163">
        <f t="shared" si="985"/>
        <v>46296</v>
      </c>
      <c r="CJ81" s="163">
        <f t="shared" si="986"/>
        <v>46326</v>
      </c>
      <c r="CK81" s="167">
        <f t="shared" si="987"/>
        <v>0</v>
      </c>
      <c r="CL81" s="163">
        <f t="shared" si="988"/>
        <v>46327</v>
      </c>
      <c r="CM81" s="163">
        <f t="shared" si="989"/>
        <v>46356</v>
      </c>
      <c r="CN81" s="167">
        <f t="shared" si="990"/>
        <v>0</v>
      </c>
      <c r="CO81" s="163">
        <f t="shared" si="991"/>
        <v>46357</v>
      </c>
      <c r="CP81" s="163">
        <f t="shared" si="992"/>
        <v>46387</v>
      </c>
      <c r="CQ81" s="167">
        <f t="shared" si="993"/>
        <v>0</v>
      </c>
    </row>
    <row r="82" s="89" customFormat="1" ht="24" hidden="1" customHeight="1" outlineLevel="4" spans="1:95">
      <c r="A82" s="132" t="s">
        <v>2813</v>
      </c>
      <c r="B82" s="133"/>
      <c r="C82" s="133"/>
      <c r="D82" s="133"/>
      <c r="E82" s="133"/>
      <c r="F82" s="133"/>
      <c r="G82" s="134"/>
      <c r="H82" s="135"/>
      <c r="I82" s="135"/>
      <c r="J82" s="135"/>
      <c r="K82" s="135"/>
      <c r="L82" s="158"/>
      <c r="M82" s="158"/>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135"/>
    </row>
    <row r="83" ht="24" hidden="1" customHeight="1" outlineLevel="3" collapsed="1" spans="1:95">
      <c r="A83" s="124"/>
      <c r="B83" s="125" t="s">
        <v>792</v>
      </c>
      <c r="C83" s="126" t="s">
        <v>1012</v>
      </c>
      <c r="D83" s="124" t="s">
        <v>15</v>
      </c>
      <c r="E83" s="125"/>
      <c r="F83" s="125"/>
      <c r="G83" s="125"/>
      <c r="H83" s="127">
        <f>X83+AA83+AD83+AG83+AJ83+AM83+AP83+AS83+AV83+AY83+BB83+BE83</f>
        <v>0</v>
      </c>
      <c r="I83" s="127">
        <f>Y83+AB83+AE83+AH83+AK83+AN83+AQ83+AT83+AW83+AZ83+BC83+BF83</f>
        <v>0</v>
      </c>
      <c r="J83" s="127">
        <f t="shared" si="814"/>
        <v>0</v>
      </c>
      <c r="K83" s="127"/>
      <c r="L83" s="155"/>
      <c r="M83" s="155"/>
      <c r="N83" s="127"/>
      <c r="O83" s="127"/>
      <c r="P83" s="127"/>
      <c r="Q83" s="127"/>
      <c r="R83" s="127"/>
      <c r="S83" s="127"/>
      <c r="T83" s="127"/>
      <c r="U83" s="127"/>
      <c r="V83" s="127"/>
      <c r="W83" s="127"/>
      <c r="X83" s="127">
        <f>VLOOKUP($C83,'1 预算编制表单'!$C:$BJ,27,FALSE)</f>
        <v>0</v>
      </c>
      <c r="Y83" s="127">
        <f>X83-Z83</f>
        <v>0</v>
      </c>
      <c r="Z83" s="127">
        <f>SUM(Z84:Z88)</f>
        <v>0</v>
      </c>
      <c r="AA83" s="127">
        <f>VLOOKUP($C83,'1 预算编制表单'!$C:$BJ,30,FALSE)</f>
        <v>0</v>
      </c>
      <c r="AB83" s="127">
        <f>AA83-AC83</f>
        <v>0</v>
      </c>
      <c r="AC83" s="127">
        <f>SUM(AC84:AC88)</f>
        <v>0</v>
      </c>
      <c r="AD83" s="127">
        <f>VLOOKUP($C83,'1 预算编制表单'!$C:$BJ,33,FALSE)</f>
        <v>0</v>
      </c>
      <c r="AE83" s="127">
        <f>AD83-AF83</f>
        <v>0</v>
      </c>
      <c r="AF83" s="127">
        <f>SUM(AF84:AF88)</f>
        <v>0</v>
      </c>
      <c r="AG83" s="127">
        <f>VLOOKUP($C83,'1 预算编制表单'!$C:$BJ,36,FALSE)</f>
        <v>0</v>
      </c>
      <c r="AH83" s="127">
        <f>AG83-AI83</f>
        <v>0</v>
      </c>
      <c r="AI83" s="127">
        <f>SUM(AI84:AI88)</f>
        <v>0</v>
      </c>
      <c r="AJ83" s="127">
        <f>VLOOKUP($C83,'1 预算编制表单'!$C:$BJ,39,FALSE)</f>
        <v>0</v>
      </c>
      <c r="AK83" s="127">
        <f>AJ83-AL83</f>
        <v>0</v>
      </c>
      <c r="AL83" s="127">
        <f>SUM(AL84:AL88)</f>
        <v>0</v>
      </c>
      <c r="AM83" s="127">
        <f>VLOOKUP($C83,'1 预算编制表单'!$C:$BJ,42,FALSE)</f>
        <v>0</v>
      </c>
      <c r="AN83" s="127">
        <f>AM83-AO83</f>
        <v>0</v>
      </c>
      <c r="AO83" s="127">
        <f>SUM(AO84:AO88)</f>
        <v>0</v>
      </c>
      <c r="AP83" s="127">
        <f>VLOOKUP($C83,'1 预算编制表单'!$C:$BJ,45,FALSE)</f>
        <v>0</v>
      </c>
      <c r="AQ83" s="127">
        <f>AP83-AR83</f>
        <v>0</v>
      </c>
      <c r="AR83" s="127">
        <f>SUM(AR84:AR88)</f>
        <v>0</v>
      </c>
      <c r="AS83" s="127">
        <f>VLOOKUP($C83,'1 预算编制表单'!$C:$BJ,48,FALSE)</f>
        <v>0</v>
      </c>
      <c r="AT83" s="127">
        <f>AS83-AU83</f>
        <v>0</v>
      </c>
      <c r="AU83" s="127">
        <f>SUM(AU84:AU88)</f>
        <v>0</v>
      </c>
      <c r="AV83" s="127">
        <f>VLOOKUP($C83,'1 预算编制表单'!$C:$BJ,51,FALSE)</f>
        <v>0</v>
      </c>
      <c r="AW83" s="127">
        <f>AV83-AX83</f>
        <v>0</v>
      </c>
      <c r="AX83" s="127">
        <f>SUM(AX84:AX88)</f>
        <v>0</v>
      </c>
      <c r="AY83" s="127">
        <f>VLOOKUP($C83,'1 预算编制表单'!$C:$BJ,54,FALSE)</f>
        <v>0</v>
      </c>
      <c r="AZ83" s="127">
        <f>AY83-BA83</f>
        <v>0</v>
      </c>
      <c r="BA83" s="127">
        <f>SUM(BA84:BA88)</f>
        <v>0</v>
      </c>
      <c r="BB83" s="127">
        <f>VLOOKUP($C83,'1 预算编制表单'!$C:$BJ,57,FALSE)</f>
        <v>0</v>
      </c>
      <c r="BC83" s="127">
        <f>BB83-BD83</f>
        <v>0</v>
      </c>
      <c r="BD83" s="127">
        <f>SUM(BD84:BD88)</f>
        <v>0</v>
      </c>
      <c r="BE83" s="127">
        <f>VLOOKUP($C83,'1 预算编制表单'!$C:$BJ,60,FALSE)</f>
        <v>0</v>
      </c>
      <c r="BF83" s="127">
        <f>BE83-BG83</f>
        <v>0</v>
      </c>
      <c r="BG83" s="127">
        <f>SUM(BG84:BG88)</f>
        <v>0</v>
      </c>
      <c r="BH83" s="127">
        <f>VLOOKUP($C83,'1 预算编制表单'!$C:$BJ,27,FALSE)</f>
        <v>0</v>
      </c>
      <c r="BI83" s="127">
        <f>BH83-BJ83</f>
        <v>0</v>
      </c>
      <c r="BJ83" s="127">
        <f>SUM(BJ84:BJ88)</f>
        <v>0</v>
      </c>
      <c r="BK83" s="127">
        <f>VLOOKUP($C83,'1 预算编制表单'!$C:$BJ,30,FALSE)</f>
        <v>0</v>
      </c>
      <c r="BL83" s="127">
        <f>BK83-BM83</f>
        <v>0</v>
      </c>
      <c r="BM83" s="127">
        <f>SUM(BM84:BM88)</f>
        <v>0</v>
      </c>
      <c r="BN83" s="127">
        <f>VLOOKUP($C83,'1 预算编制表单'!$C:$BJ,33,FALSE)</f>
        <v>0</v>
      </c>
      <c r="BO83" s="127">
        <f>BN83-BP83</f>
        <v>0</v>
      </c>
      <c r="BP83" s="127">
        <f>SUM(BP84:BP88)</f>
        <v>0</v>
      </c>
      <c r="BQ83" s="127">
        <f>VLOOKUP($C83,'1 预算编制表单'!$C:$BJ,36,FALSE)</f>
        <v>0</v>
      </c>
      <c r="BR83" s="127">
        <f>BQ83-BS83</f>
        <v>0</v>
      </c>
      <c r="BS83" s="127">
        <f>SUM(BS84:BS88)</f>
        <v>0</v>
      </c>
      <c r="BT83" s="127">
        <f>VLOOKUP($C83,'1 预算编制表单'!$C:$BJ,39,FALSE)</f>
        <v>0</v>
      </c>
      <c r="BU83" s="127">
        <f>BT83-BV83</f>
        <v>0</v>
      </c>
      <c r="BV83" s="127">
        <f>SUM(BV84:BV88)</f>
        <v>0</v>
      </c>
      <c r="BW83" s="127">
        <f>VLOOKUP($C83,'1 预算编制表单'!$C:$BJ,42,FALSE)</f>
        <v>0</v>
      </c>
      <c r="BX83" s="127">
        <f>BW83-BY83</f>
        <v>0</v>
      </c>
      <c r="BY83" s="127">
        <f>SUM(BY84:BY88)</f>
        <v>0</v>
      </c>
      <c r="BZ83" s="127">
        <f>VLOOKUP($C83,'1 预算编制表单'!$C:$BJ,45,FALSE)</f>
        <v>0</v>
      </c>
      <c r="CA83" s="127">
        <f>BZ83-CB83</f>
        <v>0</v>
      </c>
      <c r="CB83" s="127">
        <f>SUM(CB84:CB88)</f>
        <v>0</v>
      </c>
      <c r="CC83" s="127">
        <f>VLOOKUP($C83,'1 预算编制表单'!$C:$BJ,48,FALSE)</f>
        <v>0</v>
      </c>
      <c r="CD83" s="127">
        <f>CC83-CE83</f>
        <v>0</v>
      </c>
      <c r="CE83" s="127">
        <f>SUM(CE84:CE88)</f>
        <v>0</v>
      </c>
      <c r="CF83" s="127">
        <f>VLOOKUP($C83,'1 预算编制表单'!$C:$BJ,51,FALSE)</f>
        <v>0</v>
      </c>
      <c r="CG83" s="127">
        <f>CF83-CH83</f>
        <v>0</v>
      </c>
      <c r="CH83" s="127">
        <f>SUM(CH84:CH88)</f>
        <v>0</v>
      </c>
      <c r="CI83" s="127">
        <f>VLOOKUP($C83,'1 预算编制表单'!$C:$BJ,54,FALSE)</f>
        <v>0</v>
      </c>
      <c r="CJ83" s="127">
        <f>CI83-CK83</f>
        <v>0</v>
      </c>
      <c r="CK83" s="127">
        <f>SUM(CK84:CK88)</f>
        <v>0</v>
      </c>
      <c r="CL83" s="127">
        <f>VLOOKUP($C83,'1 预算编制表单'!$C:$BJ,57,FALSE)</f>
        <v>0</v>
      </c>
      <c r="CM83" s="127">
        <f>CL83-CN83</f>
        <v>0</v>
      </c>
      <c r="CN83" s="127">
        <f>SUM(CN84:CN88)</f>
        <v>0</v>
      </c>
      <c r="CO83" s="127">
        <f>VLOOKUP($C83,'1 预算编制表单'!$C:$BJ,60,FALSE)</f>
        <v>0</v>
      </c>
      <c r="CP83" s="127">
        <f>CO83-CQ83</f>
        <v>0</v>
      </c>
      <c r="CQ83" s="127">
        <f>SUM(CQ84:CQ88)</f>
        <v>0</v>
      </c>
    </row>
    <row r="84" s="89" customFormat="1" ht="24" hidden="1" customHeight="1" outlineLevel="4" spans="1:95">
      <c r="A84" s="128"/>
      <c r="B84" s="129"/>
      <c r="C84" s="130"/>
      <c r="D84" s="128"/>
      <c r="E84" s="129"/>
      <c r="F84" s="129"/>
      <c r="G84" s="129"/>
      <c r="H84" s="131"/>
      <c r="I84" s="131"/>
      <c r="J84" s="131">
        <f t="shared" si="814"/>
        <v>0</v>
      </c>
      <c r="K84" s="131">
        <v>1</v>
      </c>
      <c r="L84" s="156"/>
      <c r="M84" s="157">
        <f>IFERROR(VLOOKUP($L84,'2-2 引出数据_合同数据仓库'!$B$5:$BP$200,3,FALSE),0)</f>
        <v>0</v>
      </c>
      <c r="N84" s="131"/>
      <c r="O84" s="157">
        <f>IFERROR(VLOOKUP((LEFT(VLOOKUP($L84,'2-2 引出数据_合同数据仓库'!$B$5:$BP$200,64,FALSE),15)&amp;(RIGHT(VLOOKUP($L84,'2-2 引出数据_合同数据仓库'!$B$5:$BP$200,64,FALSE),4)+1)),'2-2 引出数据_合同数据仓库'!$B$5:$BP$200,3,FALSE),0)</f>
        <v>0</v>
      </c>
      <c r="P84" s="131"/>
      <c r="Q84" s="131">
        <f>IFERROR(VLOOKUP($L84,'2-2 引出数据_合同数据仓库'!$B$5:$BP$200,28,FALSE),0)</f>
        <v>0</v>
      </c>
      <c r="R84" s="131">
        <f>IFERROR(VLOOKUP($L84,'2-2 引出数据_合同数据仓库'!$B$5:$BP$200,29,FALSE),0)</f>
        <v>0</v>
      </c>
      <c r="S84" s="131">
        <f>IFERROR(VLOOKUP($L84,'2-2 引出数据_合同数据仓库'!$B$5:$BP$200,4,FALSE),0)</f>
        <v>0</v>
      </c>
      <c r="T84" s="131"/>
      <c r="U84" s="131">
        <f>IFERROR(VLOOKUP($L84,'2-2 引出数据_合同数据仓库'!$B$5:$BP$200,15,FALSE),0)</f>
        <v>0</v>
      </c>
      <c r="V84" s="131">
        <f t="shared" ref="V84:V87" si="994">U84/(S84-R84+1)*365</f>
        <v>0</v>
      </c>
      <c r="W84" s="131"/>
      <c r="X84" s="163">
        <v>45658</v>
      </c>
      <c r="Y84" s="163">
        <f t="shared" ref="Y84:Y87" si="995">X84+30</f>
        <v>45688</v>
      </c>
      <c r="Z84" s="167">
        <f t="shared" ref="Z84:Z87" si="996">IFERROR(IF(($R84-Y84)&gt;=0,0,IF(($S84-X84)&lt;0,0,IF(AND(($S84-Y84)&gt;0,(X84-$R84)&gt;0),$V84/365*(Y84-X84+1),IF(AND(($S84-Y84)&lt;=0,(X84-$R84)&gt;0),$V84/365*($S84-X84+1),$V84/365*(Y84-$R84+1))))),0)</f>
        <v>0</v>
      </c>
      <c r="AA84" s="163">
        <f t="shared" ref="AA84:AA87" si="997">Y84+1</f>
        <v>45689</v>
      </c>
      <c r="AB84" s="163">
        <f t="shared" ref="AB84:AB87" si="998">AA84+27</f>
        <v>45716</v>
      </c>
      <c r="AC84" s="167">
        <f t="shared" ref="AC84:AC87" si="999">IFERROR(IF(($R84-AB84)&gt;=0,0,IF(($S84-AA84)&lt;0,0,IF(AND(($S84-AB84)&gt;0,(AA84-$R84)&gt;0),$V84/365*(AB84-AA84+1),IF(AND(($S84-AB84)&lt;=0,(AA84-$R84)&gt;0),$V84/365*($S84-AA84+1),$V84/365*(AB84-$R84+1))))),0)</f>
        <v>0</v>
      </c>
      <c r="AD84" s="163">
        <f t="shared" ref="AD84:AD87" si="1000">AB84+1</f>
        <v>45717</v>
      </c>
      <c r="AE84" s="163">
        <f t="shared" ref="AE84:AE87" si="1001">AD84+30</f>
        <v>45747</v>
      </c>
      <c r="AF84" s="167">
        <f t="shared" ref="AF84:AF87" si="1002">IFERROR(IF(($R84-AE84)&gt;=0,0,IF(($S84-AD84)&lt;0,0,IF(AND(($S84-AE84)&gt;0,(AD84-$R84)&gt;0),$V84/365*(AE84-AD84+1),IF(AND(($S84-AE84)&lt;=0,(AD84-$R84)&gt;0),$V84/365*($S84-AD84+1),$V84/365*(AE84-$R84+1))))),0)</f>
        <v>0</v>
      </c>
      <c r="AG84" s="163">
        <f t="shared" ref="AG84:AG87" si="1003">AE84+1</f>
        <v>45748</v>
      </c>
      <c r="AH84" s="163">
        <f t="shared" ref="AH84:AH87" si="1004">AG84+29</f>
        <v>45777</v>
      </c>
      <c r="AI84" s="167">
        <f t="shared" ref="AI84:AI87" si="1005">IFERROR(IF(($R84-AH84)&gt;=0,0,IF(($S84-AG84)&lt;0,0,IF(AND(($S84-AH84)&gt;0,(AG84-$R84)&gt;0),$V84/365*(AH84-AG84+1),IF(AND(($S84-AH84)&lt;=0,(AG84-$R84)&gt;0),$V84/365*($S84-AG84+1),$V84/365*(AH84-$R84+1))))),0)</f>
        <v>0</v>
      </c>
      <c r="AJ84" s="163">
        <f t="shared" ref="AJ84:AJ87" si="1006">AH84+1</f>
        <v>45778</v>
      </c>
      <c r="AK84" s="163">
        <f t="shared" ref="AK84:AK87" si="1007">AJ84+30</f>
        <v>45808</v>
      </c>
      <c r="AL84" s="167">
        <f t="shared" ref="AL84:AL87" si="1008">IFERROR(IF(($R84-AK84)&gt;=0,0,IF(($S84-AJ84)&lt;0,0,IF(AND(($S84-AK84)&gt;0,(AJ84-$R84)&gt;0),$V84/365*(AK84-AJ84+1),IF(AND(($S84-AK84)&lt;=0,(AJ84-$R84)&gt;0),$V84/365*($S84-AJ84+1),$V84/365*(AK84-$R84+1))))),0)</f>
        <v>0</v>
      </c>
      <c r="AM84" s="163">
        <f t="shared" ref="AM84:AM87" si="1009">AK84+1</f>
        <v>45809</v>
      </c>
      <c r="AN84" s="163">
        <f t="shared" ref="AN84:AN87" si="1010">AM84+29</f>
        <v>45838</v>
      </c>
      <c r="AO84" s="167">
        <f t="shared" ref="AO84:AO87" si="1011">IFERROR(IF(($R84-AN84)&gt;=0,0,IF(($S84-AM84)&lt;0,0,IF(AND(($S84-AN84)&gt;0,(AM84-$R84)&gt;0),$V84/365*(AN84-AM84+1),IF(AND(($S84-AN84)&lt;=0,(AM84-$R84)&gt;0),$V84/365*($S84-AM84+1),$V84/365*(AN84-$R84+1))))),0)</f>
        <v>0</v>
      </c>
      <c r="AP84" s="163">
        <f t="shared" ref="AP84:AP87" si="1012">AN84+1</f>
        <v>45839</v>
      </c>
      <c r="AQ84" s="163">
        <f t="shared" ref="AQ84:AQ87" si="1013">AP84+30</f>
        <v>45869</v>
      </c>
      <c r="AR84" s="167">
        <f t="shared" ref="AR84:AR87" si="1014">IFERROR(IF(($R84-AQ84)&gt;=0,0,IF(($S84-AP84)&lt;0,0,IF(AND(($S84-AQ84)&gt;0,(AP84-$R84)&gt;0),$V84/365*(AQ84-AP84+1),IF(AND(($S84-AQ84)&lt;=0,(AP84-$R84)&gt;0),$V84/365*($S84-AP84+1),$V84/365*(AQ84-$R84+1))))),0)</f>
        <v>0</v>
      </c>
      <c r="AS84" s="163">
        <f t="shared" ref="AS84:AS87" si="1015">AQ84+1</f>
        <v>45870</v>
      </c>
      <c r="AT84" s="163">
        <f t="shared" ref="AT84:AT87" si="1016">AS84+30</f>
        <v>45900</v>
      </c>
      <c r="AU84" s="167">
        <f t="shared" ref="AU84:AU87" si="1017">IFERROR(IF(($R84-AT84)&gt;=0,0,IF(($S84-AS84)&lt;0,0,IF(AND(($S84-AT84)&gt;0,(AS84-$R84)&gt;0),$V84/365*(AT84-AS84+1),IF(AND(($S84-AT84)&lt;=0,(AS84-$R84)&gt;0),$V84/365*($S84-AS84+1),$V84/365*(AT84-$R84+1))))),0)</f>
        <v>0</v>
      </c>
      <c r="AV84" s="163">
        <f t="shared" ref="AV84:AV87" si="1018">AT84+1</f>
        <v>45901</v>
      </c>
      <c r="AW84" s="163">
        <f t="shared" ref="AW84:AW87" si="1019">AV84+29</f>
        <v>45930</v>
      </c>
      <c r="AX84" s="167">
        <f t="shared" ref="AX84:AX87" si="1020">IFERROR(IF(($R84-AW84)&gt;=0,0,IF(($S84-AV84)&lt;0,0,IF(AND(($S84-AW84)&gt;0,(AV84-$R84)&gt;0),$V84/365*(AW84-AV84+1),IF(AND(($S84-AW84)&lt;=0,(AV84-$R84)&gt;0),$V84/365*($S84-AV84+1),$V84/365*(AW84-$R84+1))))),0)</f>
        <v>0</v>
      </c>
      <c r="AY84" s="163">
        <f t="shared" ref="AY84:AY87" si="1021">AW84+1</f>
        <v>45931</v>
      </c>
      <c r="AZ84" s="163">
        <f t="shared" ref="AZ84:AZ87" si="1022">AY84+30</f>
        <v>45961</v>
      </c>
      <c r="BA84" s="167">
        <f t="shared" ref="BA84:BA87" si="1023">IFERROR(IF(($R84-AZ84)&gt;=0,0,IF(($S84-AY84)&lt;0,0,IF(AND(($S84-AZ84)&gt;0,(AY84-$R84)&gt;0),$V84/365*(AZ84-AY84+1),IF(AND(($S84-AZ84)&lt;=0,(AY84-$R84)&gt;0),$V84/365*($S84-AY84+1),$V84/365*(AZ84-$R84+1))))),0)</f>
        <v>0</v>
      </c>
      <c r="BB84" s="163">
        <f t="shared" ref="BB84:BB87" si="1024">AZ84+1</f>
        <v>45962</v>
      </c>
      <c r="BC84" s="163">
        <f t="shared" ref="BC84:BC87" si="1025">BB84+29</f>
        <v>45991</v>
      </c>
      <c r="BD84" s="167">
        <f t="shared" ref="BD84:BD87" si="1026">IFERROR(IF(($R84-BC84)&gt;=0,0,IF(($S84-BB84)&lt;0,0,IF(AND(($S84-BC84)&gt;0,(BB84-$R84)&gt;0),$V84/365*(BC84-BB84+1),IF(AND(($S84-BC84)&lt;=0,(BB84-$R84)&gt;0),$V84/365*($S84-BB84+1),$V84/365*(BC84-$R84+1))))),0)</f>
        <v>0</v>
      </c>
      <c r="BE84" s="163">
        <f t="shared" ref="BE84:BE87" si="1027">BC84+1</f>
        <v>45992</v>
      </c>
      <c r="BF84" s="163">
        <f t="shared" ref="BF84:BF87" si="1028">BE84+30</f>
        <v>46022</v>
      </c>
      <c r="BG84" s="167">
        <f t="shared" ref="BG84:BG87" si="1029">IFERROR(IF(($R84-BF84)&gt;=0,0,IF(($S84-BE84)&lt;0,0,IF(AND(($S84-BF84)&gt;0,(BE84-$R84)&gt;0),$V84/365*(BF84-BE84+1),IF(AND(($S84-BF84)&lt;=0,(BE84-$R84)&gt;0),$V84/365*($S84-BE84+1),$V84/365*(BF84-$R84+1))))),0)</f>
        <v>0</v>
      </c>
      <c r="BH84" s="163">
        <v>46023</v>
      </c>
      <c r="BI84" s="163">
        <f t="shared" ref="BI84:BI87" si="1030">BH84+30</f>
        <v>46053</v>
      </c>
      <c r="BJ84" s="167">
        <f t="shared" ref="BJ84:BJ87" si="1031">IFERROR(IF(($R84-BI84)&gt;=0,0,IF(($S84-BH84)&lt;0,0,IF(AND(($S84-BI84)&gt;0,(BH84-$R84)&gt;0),$V84/365*(BI84-BH84+1),IF(AND(($S84-BI84)&lt;=0,(BH84-$R84)&gt;0),$V84/365*($S84-BH84+1),$V84/365*(BI84-$R84+1))))),0)</f>
        <v>0</v>
      </c>
      <c r="BK84" s="163">
        <f t="shared" ref="BK84:BK87" si="1032">BI84+1</f>
        <v>46054</v>
      </c>
      <c r="BL84" s="163">
        <f t="shared" ref="BL84:BL87" si="1033">BK84+27</f>
        <v>46081</v>
      </c>
      <c r="BM84" s="167">
        <f t="shared" ref="BM84:BM87" si="1034">IFERROR(IF(($R84-BL84)&gt;=0,0,IF(($S84-BK84)&lt;0,0,IF(AND(($S84-BL84)&gt;0,(BK84-$R84)&gt;0),$V84/365*(BL84-BK84+1),IF(AND(($S84-BL84)&lt;=0,(BK84-$R84)&gt;0),$V84/365*($S84-BK84+1),$V84/365*(BL84-$R84+1))))),0)</f>
        <v>0</v>
      </c>
      <c r="BN84" s="163">
        <f t="shared" ref="BN84:BN87" si="1035">BL84+1</f>
        <v>46082</v>
      </c>
      <c r="BO84" s="163">
        <f t="shared" ref="BO84:BO87" si="1036">BN84+30</f>
        <v>46112</v>
      </c>
      <c r="BP84" s="167">
        <f t="shared" ref="BP84:BP87" si="1037">IFERROR(IF(($R84-BO84)&gt;=0,0,IF(($S84-BN84)&lt;0,0,IF(AND(($S84-BO84)&gt;0,(BN84-$R84)&gt;0),$V84/365*(BO84-BN84+1),IF(AND(($S84-BO84)&lt;=0,(BN84-$R84)&gt;0),$V84/365*($S84-BN84+1),$V84/365*(BO84-$R84+1))))),0)</f>
        <v>0</v>
      </c>
      <c r="BQ84" s="163">
        <f t="shared" ref="BQ84:BQ87" si="1038">BO84+1</f>
        <v>46113</v>
      </c>
      <c r="BR84" s="163">
        <f t="shared" ref="BR84:BR87" si="1039">BQ84+29</f>
        <v>46142</v>
      </c>
      <c r="BS84" s="167">
        <f t="shared" ref="BS84:BS87" si="1040">IFERROR(IF(($R84-BR84)&gt;=0,0,IF(($S84-BQ84)&lt;0,0,IF(AND(($S84-BR84)&gt;0,(BQ84-$R84)&gt;0),$V84/365*(BR84-BQ84+1),IF(AND(($S84-BR84)&lt;=0,(BQ84-$R84)&gt;0),$V84/365*($S84-BQ84+1),$V84/365*(BR84-$R84+1))))),0)</f>
        <v>0</v>
      </c>
      <c r="BT84" s="163">
        <f t="shared" ref="BT84:BT87" si="1041">BR84+1</f>
        <v>46143</v>
      </c>
      <c r="BU84" s="163">
        <f t="shared" ref="BU84:BU87" si="1042">BT84+30</f>
        <v>46173</v>
      </c>
      <c r="BV84" s="167">
        <f t="shared" ref="BV84:BV87" si="1043">IFERROR(IF(($R84-BU84)&gt;=0,0,IF(($S84-BT84)&lt;0,0,IF(AND(($S84-BU84)&gt;0,(BT84-$R84)&gt;0),$V84/365*(BU84-BT84+1),IF(AND(($S84-BU84)&lt;=0,(BT84-$R84)&gt;0),$V84/365*($S84-BT84+1),$V84/365*(BU84-$R84+1))))),0)</f>
        <v>0</v>
      </c>
      <c r="BW84" s="163">
        <f t="shared" ref="BW84:BW87" si="1044">BU84+1</f>
        <v>46174</v>
      </c>
      <c r="BX84" s="163">
        <f t="shared" ref="BX84:BX87" si="1045">BW84+29</f>
        <v>46203</v>
      </c>
      <c r="BY84" s="167">
        <f t="shared" ref="BY84:BY87" si="1046">IFERROR(IF(($R84-BX84)&gt;=0,0,IF(($S84-BW84)&lt;0,0,IF(AND(($S84-BX84)&gt;0,(BW84-$R84)&gt;0),$V84/365*(BX84-BW84+1),IF(AND(($S84-BX84)&lt;=0,(BW84-$R84)&gt;0),$V84/365*($S84-BW84+1),$V84/365*(BX84-$R84+1))))),0)</f>
        <v>0</v>
      </c>
      <c r="BZ84" s="163">
        <f t="shared" ref="BZ84:BZ87" si="1047">BX84+1</f>
        <v>46204</v>
      </c>
      <c r="CA84" s="163">
        <f t="shared" ref="CA84:CA87" si="1048">BZ84+30</f>
        <v>46234</v>
      </c>
      <c r="CB84" s="167">
        <f t="shared" ref="CB84:CB87" si="1049">IFERROR(IF(($R84-CA84)&gt;=0,0,IF(($S84-BZ84)&lt;0,0,IF(AND(($S84-CA84)&gt;0,(BZ84-$R84)&gt;0),$V84/365*(CA84-BZ84+1),IF(AND(($S84-CA84)&lt;=0,(BZ84-$R84)&gt;0),$V84/365*($S84-BZ84+1),$V84/365*(CA84-$R84+1))))),0)</f>
        <v>0</v>
      </c>
      <c r="CC84" s="163">
        <f t="shared" ref="CC84:CC87" si="1050">CA84+1</f>
        <v>46235</v>
      </c>
      <c r="CD84" s="163">
        <f t="shared" ref="CD84:CD87" si="1051">CC84+30</f>
        <v>46265</v>
      </c>
      <c r="CE84" s="167">
        <f t="shared" ref="CE84:CE87" si="1052">IFERROR(IF(($R84-CD84)&gt;=0,0,IF(($S84-CC84)&lt;0,0,IF(AND(($S84-CD84)&gt;0,(CC84-$R84)&gt;0),$V84/365*(CD84-CC84+1),IF(AND(($S84-CD84)&lt;=0,(CC84-$R84)&gt;0),$V84/365*($S84-CC84+1),$V84/365*(CD84-$R84+1))))),0)</f>
        <v>0</v>
      </c>
      <c r="CF84" s="163">
        <f t="shared" ref="CF84:CF87" si="1053">CD84+1</f>
        <v>46266</v>
      </c>
      <c r="CG84" s="163">
        <f t="shared" ref="CG84:CG87" si="1054">CF84+29</f>
        <v>46295</v>
      </c>
      <c r="CH84" s="167">
        <f t="shared" ref="CH84:CH87" si="1055">IFERROR(IF(($R84-CG84)&gt;=0,0,IF(($S84-CF84)&lt;0,0,IF(AND(($S84-CG84)&gt;0,(CF84-$R84)&gt;0),$V84/365*(CG84-CF84+1),IF(AND(($S84-CG84)&lt;=0,(CF84-$R84)&gt;0),$V84/365*($S84-CF84+1),$V84/365*(CG84-$R84+1))))),0)</f>
        <v>0</v>
      </c>
      <c r="CI84" s="163">
        <f t="shared" ref="CI84:CI87" si="1056">CG84+1</f>
        <v>46296</v>
      </c>
      <c r="CJ84" s="163">
        <f t="shared" ref="CJ84:CJ87" si="1057">CI84+30</f>
        <v>46326</v>
      </c>
      <c r="CK84" s="167">
        <f t="shared" ref="CK84:CK87" si="1058">IFERROR(IF(($R84-CJ84)&gt;=0,0,IF(($S84-CI84)&lt;0,0,IF(AND(($S84-CJ84)&gt;0,(CI84-$R84)&gt;0),$V84/365*(CJ84-CI84+1),IF(AND(($S84-CJ84)&lt;=0,(CI84-$R84)&gt;0),$V84/365*($S84-CI84+1),$V84/365*(CJ84-$R84+1))))),0)</f>
        <v>0</v>
      </c>
      <c r="CL84" s="163">
        <f t="shared" ref="CL84:CL87" si="1059">CJ84+1</f>
        <v>46327</v>
      </c>
      <c r="CM84" s="163">
        <f t="shared" ref="CM84:CM87" si="1060">CL84+29</f>
        <v>46356</v>
      </c>
      <c r="CN84" s="167">
        <f t="shared" ref="CN84:CN87" si="1061">IFERROR(IF(($R84-CM84)&gt;=0,0,IF(($S84-CL84)&lt;0,0,IF(AND(($S84-CM84)&gt;0,(CL84-$R84)&gt;0),$V84/365*(CM84-CL84+1),IF(AND(($S84-CM84)&lt;=0,(CL84-$R84)&gt;0),$V84/365*($S84-CL84+1),$V84/365*(CM84-$R84+1))))),0)</f>
        <v>0</v>
      </c>
      <c r="CO84" s="163">
        <f t="shared" ref="CO84:CO87" si="1062">CM84+1</f>
        <v>46357</v>
      </c>
      <c r="CP84" s="163">
        <f t="shared" ref="CP84:CP87" si="1063">CO84+30</f>
        <v>46387</v>
      </c>
      <c r="CQ84" s="167">
        <f t="shared" ref="CQ84:CQ87" si="1064">IFERROR(IF(($R84-CP84)&gt;=0,0,IF(($S84-CO84)&lt;0,0,IF(AND(($S84-CP84)&gt;0,(CO84-$R84)&gt;0),$V84/365*(CP84-CO84+1),IF(AND(($S84-CP84)&lt;=0,(CO84-$R84)&gt;0),$V84/365*($S84-CO84+1),$V84/365*(CP84-$R84+1))))),0)</f>
        <v>0</v>
      </c>
    </row>
    <row r="85" s="89" customFormat="1" ht="24" hidden="1" customHeight="1" outlineLevel="4" spans="1:95">
      <c r="A85" s="128"/>
      <c r="B85" s="129"/>
      <c r="C85" s="130"/>
      <c r="D85" s="128"/>
      <c r="E85" s="129"/>
      <c r="F85" s="129"/>
      <c r="G85" s="129"/>
      <c r="H85" s="131"/>
      <c r="I85" s="131"/>
      <c r="J85" s="131">
        <f t="shared" si="814"/>
        <v>0</v>
      </c>
      <c r="K85" s="131">
        <f t="shared" ref="K85:K87" si="1065">K84+1</f>
        <v>2</v>
      </c>
      <c r="L85" s="156"/>
      <c r="M85" s="157">
        <f>IFERROR(VLOOKUP($L85,'2-2 引出数据_合同数据仓库'!$B$5:$BP$200,3,FALSE),0)</f>
        <v>0</v>
      </c>
      <c r="N85" s="131"/>
      <c r="O85" s="157">
        <f>IFERROR(VLOOKUP((LEFT(VLOOKUP($L85,'2-2 引出数据_合同数据仓库'!$B$5:$BP$200,64,FALSE),15)&amp;(RIGHT(VLOOKUP($L85,'2-2 引出数据_合同数据仓库'!$B$5:$BP$200,64,FALSE),4)+1)),'2-2 引出数据_合同数据仓库'!$B$5:$BP$200,3,FALSE),0)</f>
        <v>0</v>
      </c>
      <c r="P85" s="131"/>
      <c r="Q85" s="131">
        <f>IFERROR(VLOOKUP($L85,'2-2 引出数据_合同数据仓库'!$B$5:$BP$200,28,FALSE),0)</f>
        <v>0</v>
      </c>
      <c r="R85" s="131">
        <f>IFERROR(VLOOKUP($L85,'2-2 引出数据_合同数据仓库'!$B$5:$BP$200,29,FALSE),0)</f>
        <v>0</v>
      </c>
      <c r="S85" s="131">
        <f>IFERROR(VLOOKUP($L85,'2-2 引出数据_合同数据仓库'!$B$5:$BP$200,4,FALSE),0)</f>
        <v>0</v>
      </c>
      <c r="T85" s="131"/>
      <c r="U85" s="131">
        <f>IFERROR(VLOOKUP($L85,'2-2 引出数据_合同数据仓库'!$B$5:$BP$200,15,FALSE),0)</f>
        <v>0</v>
      </c>
      <c r="V85" s="131">
        <f t="shared" si="994"/>
        <v>0</v>
      </c>
      <c r="W85" s="131"/>
      <c r="X85" s="163">
        <v>45658</v>
      </c>
      <c r="Y85" s="163">
        <f t="shared" si="995"/>
        <v>45688</v>
      </c>
      <c r="Z85" s="167">
        <f t="shared" si="996"/>
        <v>0</v>
      </c>
      <c r="AA85" s="163">
        <f t="shared" si="997"/>
        <v>45689</v>
      </c>
      <c r="AB85" s="163">
        <f t="shared" si="998"/>
        <v>45716</v>
      </c>
      <c r="AC85" s="167">
        <f t="shared" si="999"/>
        <v>0</v>
      </c>
      <c r="AD85" s="163">
        <f t="shared" si="1000"/>
        <v>45717</v>
      </c>
      <c r="AE85" s="163">
        <f t="shared" si="1001"/>
        <v>45747</v>
      </c>
      <c r="AF85" s="167">
        <f t="shared" si="1002"/>
        <v>0</v>
      </c>
      <c r="AG85" s="163">
        <f t="shared" si="1003"/>
        <v>45748</v>
      </c>
      <c r="AH85" s="163">
        <f t="shared" si="1004"/>
        <v>45777</v>
      </c>
      <c r="AI85" s="167">
        <f t="shared" si="1005"/>
        <v>0</v>
      </c>
      <c r="AJ85" s="163">
        <f t="shared" si="1006"/>
        <v>45778</v>
      </c>
      <c r="AK85" s="163">
        <f t="shared" si="1007"/>
        <v>45808</v>
      </c>
      <c r="AL85" s="167">
        <f t="shared" si="1008"/>
        <v>0</v>
      </c>
      <c r="AM85" s="163">
        <f t="shared" si="1009"/>
        <v>45809</v>
      </c>
      <c r="AN85" s="163">
        <f t="shared" si="1010"/>
        <v>45838</v>
      </c>
      <c r="AO85" s="167">
        <f t="shared" si="1011"/>
        <v>0</v>
      </c>
      <c r="AP85" s="163">
        <f t="shared" si="1012"/>
        <v>45839</v>
      </c>
      <c r="AQ85" s="163">
        <f t="shared" si="1013"/>
        <v>45869</v>
      </c>
      <c r="AR85" s="167">
        <f t="shared" si="1014"/>
        <v>0</v>
      </c>
      <c r="AS85" s="163">
        <f t="shared" si="1015"/>
        <v>45870</v>
      </c>
      <c r="AT85" s="163">
        <f t="shared" si="1016"/>
        <v>45900</v>
      </c>
      <c r="AU85" s="167">
        <f t="shared" si="1017"/>
        <v>0</v>
      </c>
      <c r="AV85" s="163">
        <f t="shared" si="1018"/>
        <v>45901</v>
      </c>
      <c r="AW85" s="163">
        <f t="shared" si="1019"/>
        <v>45930</v>
      </c>
      <c r="AX85" s="167">
        <f t="shared" si="1020"/>
        <v>0</v>
      </c>
      <c r="AY85" s="163">
        <f t="shared" si="1021"/>
        <v>45931</v>
      </c>
      <c r="AZ85" s="163">
        <f t="shared" si="1022"/>
        <v>45961</v>
      </c>
      <c r="BA85" s="167">
        <f t="shared" si="1023"/>
        <v>0</v>
      </c>
      <c r="BB85" s="163">
        <f t="shared" si="1024"/>
        <v>45962</v>
      </c>
      <c r="BC85" s="163">
        <f t="shared" si="1025"/>
        <v>45991</v>
      </c>
      <c r="BD85" s="167">
        <f t="shared" si="1026"/>
        <v>0</v>
      </c>
      <c r="BE85" s="163">
        <f t="shared" si="1027"/>
        <v>45992</v>
      </c>
      <c r="BF85" s="163">
        <f t="shared" si="1028"/>
        <v>46022</v>
      </c>
      <c r="BG85" s="167">
        <f t="shared" si="1029"/>
        <v>0</v>
      </c>
      <c r="BH85" s="163">
        <v>46023</v>
      </c>
      <c r="BI85" s="163">
        <f t="shared" si="1030"/>
        <v>46053</v>
      </c>
      <c r="BJ85" s="167">
        <f t="shared" si="1031"/>
        <v>0</v>
      </c>
      <c r="BK85" s="163">
        <f t="shared" si="1032"/>
        <v>46054</v>
      </c>
      <c r="BL85" s="163">
        <f t="shared" si="1033"/>
        <v>46081</v>
      </c>
      <c r="BM85" s="167">
        <f t="shared" si="1034"/>
        <v>0</v>
      </c>
      <c r="BN85" s="163">
        <f t="shared" si="1035"/>
        <v>46082</v>
      </c>
      <c r="BO85" s="163">
        <f t="shared" si="1036"/>
        <v>46112</v>
      </c>
      <c r="BP85" s="167">
        <f t="shared" si="1037"/>
        <v>0</v>
      </c>
      <c r="BQ85" s="163">
        <f t="shared" si="1038"/>
        <v>46113</v>
      </c>
      <c r="BR85" s="163">
        <f t="shared" si="1039"/>
        <v>46142</v>
      </c>
      <c r="BS85" s="167">
        <f t="shared" si="1040"/>
        <v>0</v>
      </c>
      <c r="BT85" s="163">
        <f t="shared" si="1041"/>
        <v>46143</v>
      </c>
      <c r="BU85" s="163">
        <f t="shared" si="1042"/>
        <v>46173</v>
      </c>
      <c r="BV85" s="167">
        <f t="shared" si="1043"/>
        <v>0</v>
      </c>
      <c r="BW85" s="163">
        <f t="shared" si="1044"/>
        <v>46174</v>
      </c>
      <c r="BX85" s="163">
        <f t="shared" si="1045"/>
        <v>46203</v>
      </c>
      <c r="BY85" s="167">
        <f t="shared" si="1046"/>
        <v>0</v>
      </c>
      <c r="BZ85" s="163">
        <f t="shared" si="1047"/>
        <v>46204</v>
      </c>
      <c r="CA85" s="163">
        <f t="shared" si="1048"/>
        <v>46234</v>
      </c>
      <c r="CB85" s="167">
        <f t="shared" si="1049"/>
        <v>0</v>
      </c>
      <c r="CC85" s="163">
        <f t="shared" si="1050"/>
        <v>46235</v>
      </c>
      <c r="CD85" s="163">
        <f t="shared" si="1051"/>
        <v>46265</v>
      </c>
      <c r="CE85" s="167">
        <f t="shared" si="1052"/>
        <v>0</v>
      </c>
      <c r="CF85" s="163">
        <f t="shared" si="1053"/>
        <v>46266</v>
      </c>
      <c r="CG85" s="163">
        <f t="shared" si="1054"/>
        <v>46295</v>
      </c>
      <c r="CH85" s="167">
        <f t="shared" si="1055"/>
        <v>0</v>
      </c>
      <c r="CI85" s="163">
        <f t="shared" si="1056"/>
        <v>46296</v>
      </c>
      <c r="CJ85" s="163">
        <f t="shared" si="1057"/>
        <v>46326</v>
      </c>
      <c r="CK85" s="167">
        <f t="shared" si="1058"/>
        <v>0</v>
      </c>
      <c r="CL85" s="163">
        <f t="shared" si="1059"/>
        <v>46327</v>
      </c>
      <c r="CM85" s="163">
        <f t="shared" si="1060"/>
        <v>46356</v>
      </c>
      <c r="CN85" s="167">
        <f t="shared" si="1061"/>
        <v>0</v>
      </c>
      <c r="CO85" s="163">
        <f t="shared" si="1062"/>
        <v>46357</v>
      </c>
      <c r="CP85" s="163">
        <f t="shared" si="1063"/>
        <v>46387</v>
      </c>
      <c r="CQ85" s="167">
        <f t="shared" si="1064"/>
        <v>0</v>
      </c>
    </row>
    <row r="86" s="89" customFormat="1" ht="24" hidden="1" customHeight="1" outlineLevel="4" spans="1:95">
      <c r="A86" s="128"/>
      <c r="B86" s="129"/>
      <c r="C86" s="130"/>
      <c r="D86" s="128"/>
      <c r="E86" s="129"/>
      <c r="F86" s="129"/>
      <c r="G86" s="129"/>
      <c r="H86" s="131"/>
      <c r="I86" s="131"/>
      <c r="J86" s="131">
        <f t="shared" si="814"/>
        <v>0</v>
      </c>
      <c r="K86" s="131">
        <f t="shared" si="1065"/>
        <v>3</v>
      </c>
      <c r="L86" s="156"/>
      <c r="M86" s="157">
        <f>IFERROR(VLOOKUP($L86,'2-2 引出数据_合同数据仓库'!$B$5:$BP$200,3,FALSE),0)</f>
        <v>0</v>
      </c>
      <c r="N86" s="131"/>
      <c r="O86" s="157">
        <f>IFERROR(VLOOKUP((LEFT(VLOOKUP($L86,'2-2 引出数据_合同数据仓库'!$B$5:$BP$200,64,FALSE),15)&amp;(RIGHT(VLOOKUP($L86,'2-2 引出数据_合同数据仓库'!$B$5:$BP$200,64,FALSE),4)+1)),'2-2 引出数据_合同数据仓库'!$B$5:$BP$200,3,FALSE),0)</f>
        <v>0</v>
      </c>
      <c r="P86" s="131"/>
      <c r="Q86" s="131">
        <f>IFERROR(VLOOKUP($L86,'2-2 引出数据_合同数据仓库'!$B$5:$BP$200,28,FALSE),0)</f>
        <v>0</v>
      </c>
      <c r="R86" s="131">
        <f>IFERROR(VLOOKUP($L86,'2-2 引出数据_合同数据仓库'!$B$5:$BP$200,29,FALSE),0)</f>
        <v>0</v>
      </c>
      <c r="S86" s="131">
        <f>IFERROR(VLOOKUP($L86,'2-2 引出数据_合同数据仓库'!$B$5:$BP$200,4,FALSE),0)</f>
        <v>0</v>
      </c>
      <c r="T86" s="131"/>
      <c r="U86" s="131">
        <f>IFERROR(VLOOKUP($L86,'2-2 引出数据_合同数据仓库'!$B$5:$BP$200,15,FALSE),0)</f>
        <v>0</v>
      </c>
      <c r="V86" s="131">
        <f t="shared" si="994"/>
        <v>0</v>
      </c>
      <c r="W86" s="131"/>
      <c r="X86" s="163">
        <v>45658</v>
      </c>
      <c r="Y86" s="163">
        <f t="shared" si="995"/>
        <v>45688</v>
      </c>
      <c r="Z86" s="167">
        <f t="shared" si="996"/>
        <v>0</v>
      </c>
      <c r="AA86" s="163">
        <f t="shared" si="997"/>
        <v>45689</v>
      </c>
      <c r="AB86" s="163">
        <f t="shared" si="998"/>
        <v>45716</v>
      </c>
      <c r="AC86" s="167">
        <f t="shared" si="999"/>
        <v>0</v>
      </c>
      <c r="AD86" s="163">
        <f t="shared" si="1000"/>
        <v>45717</v>
      </c>
      <c r="AE86" s="163">
        <f t="shared" si="1001"/>
        <v>45747</v>
      </c>
      <c r="AF86" s="167">
        <f t="shared" si="1002"/>
        <v>0</v>
      </c>
      <c r="AG86" s="163">
        <f t="shared" si="1003"/>
        <v>45748</v>
      </c>
      <c r="AH86" s="163">
        <f t="shared" si="1004"/>
        <v>45777</v>
      </c>
      <c r="AI86" s="167">
        <f t="shared" si="1005"/>
        <v>0</v>
      </c>
      <c r="AJ86" s="163">
        <f t="shared" si="1006"/>
        <v>45778</v>
      </c>
      <c r="AK86" s="163">
        <f t="shared" si="1007"/>
        <v>45808</v>
      </c>
      <c r="AL86" s="167">
        <f t="shared" si="1008"/>
        <v>0</v>
      </c>
      <c r="AM86" s="163">
        <f t="shared" si="1009"/>
        <v>45809</v>
      </c>
      <c r="AN86" s="163">
        <f t="shared" si="1010"/>
        <v>45838</v>
      </c>
      <c r="AO86" s="167">
        <f t="shared" si="1011"/>
        <v>0</v>
      </c>
      <c r="AP86" s="163">
        <f t="shared" si="1012"/>
        <v>45839</v>
      </c>
      <c r="AQ86" s="163">
        <f t="shared" si="1013"/>
        <v>45869</v>
      </c>
      <c r="AR86" s="167">
        <f t="shared" si="1014"/>
        <v>0</v>
      </c>
      <c r="AS86" s="163">
        <f t="shared" si="1015"/>
        <v>45870</v>
      </c>
      <c r="AT86" s="163">
        <f t="shared" si="1016"/>
        <v>45900</v>
      </c>
      <c r="AU86" s="167">
        <f t="shared" si="1017"/>
        <v>0</v>
      </c>
      <c r="AV86" s="163">
        <f t="shared" si="1018"/>
        <v>45901</v>
      </c>
      <c r="AW86" s="163">
        <f t="shared" si="1019"/>
        <v>45930</v>
      </c>
      <c r="AX86" s="167">
        <f t="shared" si="1020"/>
        <v>0</v>
      </c>
      <c r="AY86" s="163">
        <f t="shared" si="1021"/>
        <v>45931</v>
      </c>
      <c r="AZ86" s="163">
        <f t="shared" si="1022"/>
        <v>45961</v>
      </c>
      <c r="BA86" s="167">
        <f t="shared" si="1023"/>
        <v>0</v>
      </c>
      <c r="BB86" s="163">
        <f t="shared" si="1024"/>
        <v>45962</v>
      </c>
      <c r="BC86" s="163">
        <f t="shared" si="1025"/>
        <v>45991</v>
      </c>
      <c r="BD86" s="167">
        <f t="shared" si="1026"/>
        <v>0</v>
      </c>
      <c r="BE86" s="163">
        <f t="shared" si="1027"/>
        <v>45992</v>
      </c>
      <c r="BF86" s="163">
        <f t="shared" si="1028"/>
        <v>46022</v>
      </c>
      <c r="BG86" s="167">
        <f t="shared" si="1029"/>
        <v>0</v>
      </c>
      <c r="BH86" s="163">
        <v>46023</v>
      </c>
      <c r="BI86" s="163">
        <f t="shared" si="1030"/>
        <v>46053</v>
      </c>
      <c r="BJ86" s="167">
        <f t="shared" si="1031"/>
        <v>0</v>
      </c>
      <c r="BK86" s="163">
        <f t="shared" si="1032"/>
        <v>46054</v>
      </c>
      <c r="BL86" s="163">
        <f t="shared" si="1033"/>
        <v>46081</v>
      </c>
      <c r="BM86" s="167">
        <f t="shared" si="1034"/>
        <v>0</v>
      </c>
      <c r="BN86" s="163">
        <f t="shared" si="1035"/>
        <v>46082</v>
      </c>
      <c r="BO86" s="163">
        <f t="shared" si="1036"/>
        <v>46112</v>
      </c>
      <c r="BP86" s="167">
        <f t="shared" si="1037"/>
        <v>0</v>
      </c>
      <c r="BQ86" s="163">
        <f t="shared" si="1038"/>
        <v>46113</v>
      </c>
      <c r="BR86" s="163">
        <f t="shared" si="1039"/>
        <v>46142</v>
      </c>
      <c r="BS86" s="167">
        <f t="shared" si="1040"/>
        <v>0</v>
      </c>
      <c r="BT86" s="163">
        <f t="shared" si="1041"/>
        <v>46143</v>
      </c>
      <c r="BU86" s="163">
        <f t="shared" si="1042"/>
        <v>46173</v>
      </c>
      <c r="BV86" s="167">
        <f t="shared" si="1043"/>
        <v>0</v>
      </c>
      <c r="BW86" s="163">
        <f t="shared" si="1044"/>
        <v>46174</v>
      </c>
      <c r="BX86" s="163">
        <f t="shared" si="1045"/>
        <v>46203</v>
      </c>
      <c r="BY86" s="167">
        <f t="shared" si="1046"/>
        <v>0</v>
      </c>
      <c r="BZ86" s="163">
        <f t="shared" si="1047"/>
        <v>46204</v>
      </c>
      <c r="CA86" s="163">
        <f t="shared" si="1048"/>
        <v>46234</v>
      </c>
      <c r="CB86" s="167">
        <f t="shared" si="1049"/>
        <v>0</v>
      </c>
      <c r="CC86" s="163">
        <f t="shared" si="1050"/>
        <v>46235</v>
      </c>
      <c r="CD86" s="163">
        <f t="shared" si="1051"/>
        <v>46265</v>
      </c>
      <c r="CE86" s="167">
        <f t="shared" si="1052"/>
        <v>0</v>
      </c>
      <c r="CF86" s="163">
        <f t="shared" si="1053"/>
        <v>46266</v>
      </c>
      <c r="CG86" s="163">
        <f t="shared" si="1054"/>
        <v>46295</v>
      </c>
      <c r="CH86" s="167">
        <f t="shared" si="1055"/>
        <v>0</v>
      </c>
      <c r="CI86" s="163">
        <f t="shared" si="1056"/>
        <v>46296</v>
      </c>
      <c r="CJ86" s="163">
        <f t="shared" si="1057"/>
        <v>46326</v>
      </c>
      <c r="CK86" s="167">
        <f t="shared" si="1058"/>
        <v>0</v>
      </c>
      <c r="CL86" s="163">
        <f t="shared" si="1059"/>
        <v>46327</v>
      </c>
      <c r="CM86" s="163">
        <f t="shared" si="1060"/>
        <v>46356</v>
      </c>
      <c r="CN86" s="167">
        <f t="shared" si="1061"/>
        <v>0</v>
      </c>
      <c r="CO86" s="163">
        <f t="shared" si="1062"/>
        <v>46357</v>
      </c>
      <c r="CP86" s="163">
        <f t="shared" si="1063"/>
        <v>46387</v>
      </c>
      <c r="CQ86" s="167">
        <f t="shared" si="1064"/>
        <v>0</v>
      </c>
    </row>
    <row r="87" s="89" customFormat="1" ht="24" hidden="1" customHeight="1" outlineLevel="4" spans="1:95">
      <c r="A87" s="128"/>
      <c r="B87" s="129"/>
      <c r="C87" s="130"/>
      <c r="D87" s="128"/>
      <c r="E87" s="129"/>
      <c r="F87" s="129"/>
      <c r="G87" s="129"/>
      <c r="H87" s="131"/>
      <c r="I87" s="131"/>
      <c r="J87" s="131">
        <f t="shared" si="814"/>
        <v>0</v>
      </c>
      <c r="K87" s="131">
        <f t="shared" si="1065"/>
        <v>4</v>
      </c>
      <c r="L87" s="156"/>
      <c r="M87" s="157">
        <f>IFERROR(VLOOKUP($L87,'2-2 引出数据_合同数据仓库'!$B$5:$BP$200,3,FALSE),0)</f>
        <v>0</v>
      </c>
      <c r="N87" s="131"/>
      <c r="O87" s="157">
        <f>IFERROR(VLOOKUP((LEFT(VLOOKUP($L87,'2-2 引出数据_合同数据仓库'!$B$5:$BP$200,64,FALSE),15)&amp;(RIGHT(VLOOKUP($L87,'2-2 引出数据_合同数据仓库'!$B$5:$BP$200,64,FALSE),4)+1)),'2-2 引出数据_合同数据仓库'!$B$5:$BP$200,3,FALSE),0)</f>
        <v>0</v>
      </c>
      <c r="P87" s="131"/>
      <c r="Q87" s="131">
        <f>IFERROR(VLOOKUP($L87,'2-2 引出数据_合同数据仓库'!$B$5:$BP$200,28,FALSE),0)</f>
        <v>0</v>
      </c>
      <c r="R87" s="131">
        <f>IFERROR(VLOOKUP($L87,'2-2 引出数据_合同数据仓库'!$B$5:$BP$200,29,FALSE),0)</f>
        <v>0</v>
      </c>
      <c r="S87" s="131">
        <f>IFERROR(VLOOKUP($L87,'2-2 引出数据_合同数据仓库'!$B$5:$BP$200,4,FALSE),0)</f>
        <v>0</v>
      </c>
      <c r="T87" s="131"/>
      <c r="U87" s="131">
        <f>IFERROR(VLOOKUP($L87,'2-2 引出数据_合同数据仓库'!$B$5:$BP$200,15,FALSE),0)</f>
        <v>0</v>
      </c>
      <c r="V87" s="131">
        <f t="shared" si="994"/>
        <v>0</v>
      </c>
      <c r="W87" s="131"/>
      <c r="X87" s="163">
        <v>45658</v>
      </c>
      <c r="Y87" s="163">
        <f t="shared" si="995"/>
        <v>45688</v>
      </c>
      <c r="Z87" s="167">
        <f t="shared" si="996"/>
        <v>0</v>
      </c>
      <c r="AA87" s="163">
        <f t="shared" si="997"/>
        <v>45689</v>
      </c>
      <c r="AB87" s="163">
        <f t="shared" si="998"/>
        <v>45716</v>
      </c>
      <c r="AC87" s="167">
        <f t="shared" si="999"/>
        <v>0</v>
      </c>
      <c r="AD87" s="163">
        <f t="shared" si="1000"/>
        <v>45717</v>
      </c>
      <c r="AE87" s="163">
        <f t="shared" si="1001"/>
        <v>45747</v>
      </c>
      <c r="AF87" s="167">
        <f t="shared" si="1002"/>
        <v>0</v>
      </c>
      <c r="AG87" s="163">
        <f t="shared" si="1003"/>
        <v>45748</v>
      </c>
      <c r="AH87" s="163">
        <f t="shared" si="1004"/>
        <v>45777</v>
      </c>
      <c r="AI87" s="167">
        <f t="shared" si="1005"/>
        <v>0</v>
      </c>
      <c r="AJ87" s="163">
        <f t="shared" si="1006"/>
        <v>45778</v>
      </c>
      <c r="AK87" s="163">
        <f t="shared" si="1007"/>
        <v>45808</v>
      </c>
      <c r="AL87" s="167">
        <f t="shared" si="1008"/>
        <v>0</v>
      </c>
      <c r="AM87" s="163">
        <f t="shared" si="1009"/>
        <v>45809</v>
      </c>
      <c r="AN87" s="163">
        <f t="shared" si="1010"/>
        <v>45838</v>
      </c>
      <c r="AO87" s="167">
        <f t="shared" si="1011"/>
        <v>0</v>
      </c>
      <c r="AP87" s="163">
        <f t="shared" si="1012"/>
        <v>45839</v>
      </c>
      <c r="AQ87" s="163">
        <f t="shared" si="1013"/>
        <v>45869</v>
      </c>
      <c r="AR87" s="167">
        <f t="shared" si="1014"/>
        <v>0</v>
      </c>
      <c r="AS87" s="163">
        <f t="shared" si="1015"/>
        <v>45870</v>
      </c>
      <c r="AT87" s="163">
        <f t="shared" si="1016"/>
        <v>45900</v>
      </c>
      <c r="AU87" s="167">
        <f t="shared" si="1017"/>
        <v>0</v>
      </c>
      <c r="AV87" s="163">
        <f t="shared" si="1018"/>
        <v>45901</v>
      </c>
      <c r="AW87" s="163">
        <f t="shared" si="1019"/>
        <v>45930</v>
      </c>
      <c r="AX87" s="167">
        <f t="shared" si="1020"/>
        <v>0</v>
      </c>
      <c r="AY87" s="163">
        <f t="shared" si="1021"/>
        <v>45931</v>
      </c>
      <c r="AZ87" s="163">
        <f t="shared" si="1022"/>
        <v>45961</v>
      </c>
      <c r="BA87" s="167">
        <f t="shared" si="1023"/>
        <v>0</v>
      </c>
      <c r="BB87" s="163">
        <f t="shared" si="1024"/>
        <v>45962</v>
      </c>
      <c r="BC87" s="163">
        <f t="shared" si="1025"/>
        <v>45991</v>
      </c>
      <c r="BD87" s="167">
        <f t="shared" si="1026"/>
        <v>0</v>
      </c>
      <c r="BE87" s="163">
        <f t="shared" si="1027"/>
        <v>45992</v>
      </c>
      <c r="BF87" s="163">
        <f t="shared" si="1028"/>
        <v>46022</v>
      </c>
      <c r="BG87" s="167">
        <f t="shared" si="1029"/>
        <v>0</v>
      </c>
      <c r="BH87" s="163">
        <v>46023</v>
      </c>
      <c r="BI87" s="163">
        <f t="shared" si="1030"/>
        <v>46053</v>
      </c>
      <c r="BJ87" s="167">
        <f t="shared" si="1031"/>
        <v>0</v>
      </c>
      <c r="BK87" s="163">
        <f t="shared" si="1032"/>
        <v>46054</v>
      </c>
      <c r="BL87" s="163">
        <f t="shared" si="1033"/>
        <v>46081</v>
      </c>
      <c r="BM87" s="167">
        <f t="shared" si="1034"/>
        <v>0</v>
      </c>
      <c r="BN87" s="163">
        <f t="shared" si="1035"/>
        <v>46082</v>
      </c>
      <c r="BO87" s="163">
        <f t="shared" si="1036"/>
        <v>46112</v>
      </c>
      <c r="BP87" s="167">
        <f t="shared" si="1037"/>
        <v>0</v>
      </c>
      <c r="BQ87" s="163">
        <f t="shared" si="1038"/>
        <v>46113</v>
      </c>
      <c r="BR87" s="163">
        <f t="shared" si="1039"/>
        <v>46142</v>
      </c>
      <c r="BS87" s="167">
        <f t="shared" si="1040"/>
        <v>0</v>
      </c>
      <c r="BT87" s="163">
        <f t="shared" si="1041"/>
        <v>46143</v>
      </c>
      <c r="BU87" s="163">
        <f t="shared" si="1042"/>
        <v>46173</v>
      </c>
      <c r="BV87" s="167">
        <f t="shared" si="1043"/>
        <v>0</v>
      </c>
      <c r="BW87" s="163">
        <f t="shared" si="1044"/>
        <v>46174</v>
      </c>
      <c r="BX87" s="163">
        <f t="shared" si="1045"/>
        <v>46203</v>
      </c>
      <c r="BY87" s="167">
        <f t="shared" si="1046"/>
        <v>0</v>
      </c>
      <c r="BZ87" s="163">
        <f t="shared" si="1047"/>
        <v>46204</v>
      </c>
      <c r="CA87" s="163">
        <f t="shared" si="1048"/>
        <v>46234</v>
      </c>
      <c r="CB87" s="167">
        <f t="shared" si="1049"/>
        <v>0</v>
      </c>
      <c r="CC87" s="163">
        <f t="shared" si="1050"/>
        <v>46235</v>
      </c>
      <c r="CD87" s="163">
        <f t="shared" si="1051"/>
        <v>46265</v>
      </c>
      <c r="CE87" s="167">
        <f t="shared" si="1052"/>
        <v>0</v>
      </c>
      <c r="CF87" s="163">
        <f t="shared" si="1053"/>
        <v>46266</v>
      </c>
      <c r="CG87" s="163">
        <f t="shared" si="1054"/>
        <v>46295</v>
      </c>
      <c r="CH87" s="167">
        <f t="shared" si="1055"/>
        <v>0</v>
      </c>
      <c r="CI87" s="163">
        <f t="shared" si="1056"/>
        <v>46296</v>
      </c>
      <c r="CJ87" s="163">
        <f t="shared" si="1057"/>
        <v>46326</v>
      </c>
      <c r="CK87" s="167">
        <f t="shared" si="1058"/>
        <v>0</v>
      </c>
      <c r="CL87" s="163">
        <f t="shared" si="1059"/>
        <v>46327</v>
      </c>
      <c r="CM87" s="163">
        <f t="shared" si="1060"/>
        <v>46356</v>
      </c>
      <c r="CN87" s="167">
        <f t="shared" si="1061"/>
        <v>0</v>
      </c>
      <c r="CO87" s="163">
        <f t="shared" si="1062"/>
        <v>46357</v>
      </c>
      <c r="CP87" s="163">
        <f t="shared" si="1063"/>
        <v>46387</v>
      </c>
      <c r="CQ87" s="167">
        <f t="shared" si="1064"/>
        <v>0</v>
      </c>
    </row>
    <row r="88" s="89" customFormat="1" ht="24" hidden="1" customHeight="1" outlineLevel="4" spans="1:95">
      <c r="A88" s="132" t="s">
        <v>2813</v>
      </c>
      <c r="B88" s="133"/>
      <c r="C88" s="133"/>
      <c r="D88" s="133"/>
      <c r="E88" s="133"/>
      <c r="F88" s="133"/>
      <c r="G88" s="134"/>
      <c r="H88" s="135"/>
      <c r="I88" s="135"/>
      <c r="J88" s="135"/>
      <c r="K88" s="135"/>
      <c r="L88" s="158"/>
      <c r="M88" s="158"/>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c r="CL88" s="135"/>
      <c r="CM88" s="135"/>
      <c r="CN88" s="135"/>
      <c r="CO88" s="135"/>
      <c r="CP88" s="135"/>
      <c r="CQ88" s="135"/>
    </row>
    <row r="89" ht="24" hidden="1" customHeight="1" outlineLevel="3" collapsed="1" spans="1:95">
      <c r="A89" s="124"/>
      <c r="B89" s="125" t="s">
        <v>792</v>
      </c>
      <c r="C89" s="126" t="s">
        <v>1024</v>
      </c>
      <c r="D89" s="124" t="s">
        <v>25</v>
      </c>
      <c r="E89" s="125"/>
      <c r="F89" s="125"/>
      <c r="G89" s="125"/>
      <c r="H89" s="127">
        <f>X89+AA89+AD89+AG89+AJ89+AM89+AP89+AS89+AV89+AY89+BB89+BE89</f>
        <v>0</v>
      </c>
      <c r="I89" s="127">
        <f>Y89+AB89+AE89+AH89+AK89+AN89+AQ89+AT89+AW89+AZ89+BC89+BF89</f>
        <v>0</v>
      </c>
      <c r="J89" s="127">
        <f t="shared" si="814"/>
        <v>0</v>
      </c>
      <c r="K89" s="127"/>
      <c r="L89" s="155"/>
      <c r="M89" s="155"/>
      <c r="N89" s="127"/>
      <c r="O89" s="127"/>
      <c r="P89" s="127"/>
      <c r="Q89" s="127"/>
      <c r="R89" s="127"/>
      <c r="S89" s="127"/>
      <c r="T89" s="127"/>
      <c r="U89" s="127"/>
      <c r="V89" s="127"/>
      <c r="W89" s="127"/>
      <c r="X89" s="127">
        <f>VLOOKUP($C89,'1 预算编制表单'!$C:$BJ,27,FALSE)</f>
        <v>0</v>
      </c>
      <c r="Y89" s="127">
        <f>X89-Z89</f>
        <v>0</v>
      </c>
      <c r="Z89" s="127">
        <f>SUM(Z90:Z94)</f>
        <v>0</v>
      </c>
      <c r="AA89" s="127">
        <f>VLOOKUP($C89,'1 预算编制表单'!$C:$BJ,30,FALSE)</f>
        <v>0</v>
      </c>
      <c r="AB89" s="127">
        <f>AA89-AC89</f>
        <v>0</v>
      </c>
      <c r="AC89" s="127">
        <f>SUM(AC90:AC94)</f>
        <v>0</v>
      </c>
      <c r="AD89" s="127">
        <f>VLOOKUP($C89,'1 预算编制表单'!$C:$BJ,33,FALSE)</f>
        <v>0</v>
      </c>
      <c r="AE89" s="127">
        <f>AD89-AF89</f>
        <v>0</v>
      </c>
      <c r="AF89" s="127">
        <f>SUM(AF90:AF94)</f>
        <v>0</v>
      </c>
      <c r="AG89" s="127">
        <f>VLOOKUP($C89,'1 预算编制表单'!$C:$BJ,36,FALSE)</f>
        <v>0</v>
      </c>
      <c r="AH89" s="127">
        <f>AG89-AI89</f>
        <v>0</v>
      </c>
      <c r="AI89" s="127">
        <f>SUM(AI90:AI94)</f>
        <v>0</v>
      </c>
      <c r="AJ89" s="127">
        <f>VLOOKUP($C89,'1 预算编制表单'!$C:$BJ,39,FALSE)</f>
        <v>0</v>
      </c>
      <c r="AK89" s="127">
        <f>AJ89-AL89</f>
        <v>0</v>
      </c>
      <c r="AL89" s="127">
        <f>SUM(AL90:AL94)</f>
        <v>0</v>
      </c>
      <c r="AM89" s="127">
        <f>VLOOKUP($C89,'1 预算编制表单'!$C:$BJ,42,FALSE)</f>
        <v>0</v>
      </c>
      <c r="AN89" s="127">
        <f>AM89-AO89</f>
        <v>0</v>
      </c>
      <c r="AO89" s="127">
        <f>SUM(AO90:AO94)</f>
        <v>0</v>
      </c>
      <c r="AP89" s="127">
        <f>VLOOKUP($C89,'1 预算编制表单'!$C:$BJ,45,FALSE)</f>
        <v>0</v>
      </c>
      <c r="AQ89" s="127">
        <f>AP89-AR89</f>
        <v>0</v>
      </c>
      <c r="AR89" s="127">
        <f>SUM(AR90:AR94)</f>
        <v>0</v>
      </c>
      <c r="AS89" s="127">
        <f>VLOOKUP($C89,'1 预算编制表单'!$C:$BJ,48,FALSE)</f>
        <v>0</v>
      </c>
      <c r="AT89" s="127">
        <f>AS89-AU89</f>
        <v>0</v>
      </c>
      <c r="AU89" s="127">
        <f>SUM(AU90:AU94)</f>
        <v>0</v>
      </c>
      <c r="AV89" s="127">
        <f>VLOOKUP($C89,'1 预算编制表单'!$C:$BJ,51,FALSE)</f>
        <v>0</v>
      </c>
      <c r="AW89" s="127">
        <f>AV89-AX89</f>
        <v>0</v>
      </c>
      <c r="AX89" s="127">
        <f>SUM(AX90:AX94)</f>
        <v>0</v>
      </c>
      <c r="AY89" s="127">
        <f>VLOOKUP($C89,'1 预算编制表单'!$C:$BJ,54,FALSE)</f>
        <v>0</v>
      </c>
      <c r="AZ89" s="127">
        <f>AY89-BA89</f>
        <v>0</v>
      </c>
      <c r="BA89" s="127">
        <f>SUM(BA90:BA94)</f>
        <v>0</v>
      </c>
      <c r="BB89" s="127">
        <f>VLOOKUP($C89,'1 预算编制表单'!$C:$BJ,57,FALSE)</f>
        <v>0</v>
      </c>
      <c r="BC89" s="127">
        <f>BB89-BD89</f>
        <v>0</v>
      </c>
      <c r="BD89" s="127">
        <f>SUM(BD90:BD94)</f>
        <v>0</v>
      </c>
      <c r="BE89" s="127">
        <f>VLOOKUP($C89,'1 预算编制表单'!$C:$BJ,60,FALSE)</f>
        <v>0</v>
      </c>
      <c r="BF89" s="127">
        <f>BE89-BG89</f>
        <v>0</v>
      </c>
      <c r="BG89" s="127">
        <f>SUM(BG90:BG94)</f>
        <v>0</v>
      </c>
      <c r="BH89" s="127">
        <f>VLOOKUP($C89,'1 预算编制表单'!$C:$BJ,27,FALSE)</f>
        <v>0</v>
      </c>
      <c r="BI89" s="127">
        <f>BH89-BJ89</f>
        <v>0</v>
      </c>
      <c r="BJ89" s="127">
        <f>SUM(BJ90:BJ94)</f>
        <v>0</v>
      </c>
      <c r="BK89" s="127">
        <f>VLOOKUP($C89,'1 预算编制表单'!$C:$BJ,30,FALSE)</f>
        <v>0</v>
      </c>
      <c r="BL89" s="127">
        <f>BK89-BM89</f>
        <v>0</v>
      </c>
      <c r="BM89" s="127">
        <f>SUM(BM90:BM94)</f>
        <v>0</v>
      </c>
      <c r="BN89" s="127">
        <f>VLOOKUP($C89,'1 预算编制表单'!$C:$BJ,33,FALSE)</f>
        <v>0</v>
      </c>
      <c r="BO89" s="127">
        <f>BN89-BP89</f>
        <v>0</v>
      </c>
      <c r="BP89" s="127">
        <f>SUM(BP90:BP94)</f>
        <v>0</v>
      </c>
      <c r="BQ89" s="127">
        <f>VLOOKUP($C89,'1 预算编制表单'!$C:$BJ,36,FALSE)</f>
        <v>0</v>
      </c>
      <c r="BR89" s="127">
        <f>BQ89-BS89</f>
        <v>0</v>
      </c>
      <c r="BS89" s="127">
        <f>SUM(BS90:BS94)</f>
        <v>0</v>
      </c>
      <c r="BT89" s="127">
        <f>VLOOKUP($C89,'1 预算编制表单'!$C:$BJ,39,FALSE)</f>
        <v>0</v>
      </c>
      <c r="BU89" s="127">
        <f>BT89-BV89</f>
        <v>0</v>
      </c>
      <c r="BV89" s="127">
        <f>SUM(BV90:BV94)</f>
        <v>0</v>
      </c>
      <c r="BW89" s="127">
        <f>VLOOKUP($C89,'1 预算编制表单'!$C:$BJ,42,FALSE)</f>
        <v>0</v>
      </c>
      <c r="BX89" s="127">
        <f>BW89-BY89</f>
        <v>0</v>
      </c>
      <c r="BY89" s="127">
        <f>SUM(BY90:BY94)</f>
        <v>0</v>
      </c>
      <c r="BZ89" s="127">
        <f>VLOOKUP($C89,'1 预算编制表单'!$C:$BJ,45,FALSE)</f>
        <v>0</v>
      </c>
      <c r="CA89" s="127">
        <f>BZ89-CB89</f>
        <v>0</v>
      </c>
      <c r="CB89" s="127">
        <f>SUM(CB90:CB94)</f>
        <v>0</v>
      </c>
      <c r="CC89" s="127">
        <f>VLOOKUP($C89,'1 预算编制表单'!$C:$BJ,48,FALSE)</f>
        <v>0</v>
      </c>
      <c r="CD89" s="127">
        <f>CC89-CE89</f>
        <v>0</v>
      </c>
      <c r="CE89" s="127">
        <f>SUM(CE90:CE94)</f>
        <v>0</v>
      </c>
      <c r="CF89" s="127">
        <f>VLOOKUP($C89,'1 预算编制表单'!$C:$BJ,51,FALSE)</f>
        <v>0</v>
      </c>
      <c r="CG89" s="127">
        <f>CF89-CH89</f>
        <v>0</v>
      </c>
      <c r="CH89" s="127">
        <f>SUM(CH90:CH94)</f>
        <v>0</v>
      </c>
      <c r="CI89" s="127">
        <f>VLOOKUP($C89,'1 预算编制表单'!$C:$BJ,54,FALSE)</f>
        <v>0</v>
      </c>
      <c r="CJ89" s="127">
        <f>CI89-CK89</f>
        <v>0</v>
      </c>
      <c r="CK89" s="127">
        <f>SUM(CK90:CK94)</f>
        <v>0</v>
      </c>
      <c r="CL89" s="127">
        <f>VLOOKUP($C89,'1 预算编制表单'!$C:$BJ,57,FALSE)</f>
        <v>0</v>
      </c>
      <c r="CM89" s="127">
        <f>CL89-CN89</f>
        <v>0</v>
      </c>
      <c r="CN89" s="127">
        <f>SUM(CN90:CN94)</f>
        <v>0</v>
      </c>
      <c r="CO89" s="127">
        <f>VLOOKUP($C89,'1 预算编制表单'!$C:$BJ,60,FALSE)</f>
        <v>0</v>
      </c>
      <c r="CP89" s="127">
        <f>CO89-CQ89</f>
        <v>0</v>
      </c>
      <c r="CQ89" s="127">
        <f>SUM(CQ90:CQ94)</f>
        <v>0</v>
      </c>
    </row>
    <row r="90" s="89" customFormat="1" ht="24" hidden="1" customHeight="1" outlineLevel="4" spans="1:95">
      <c r="A90" s="128"/>
      <c r="B90" s="129"/>
      <c r="C90" s="130"/>
      <c r="D90" s="128"/>
      <c r="E90" s="129"/>
      <c r="F90" s="129"/>
      <c r="G90" s="129"/>
      <c r="H90" s="131"/>
      <c r="I90" s="131"/>
      <c r="J90" s="131">
        <f t="shared" si="814"/>
        <v>0</v>
      </c>
      <c r="K90" s="131">
        <v>1</v>
      </c>
      <c r="L90" s="156"/>
      <c r="M90" s="157">
        <f>IFERROR(VLOOKUP($L90,'2-2 引出数据_合同数据仓库'!$B$5:$BP$200,3,FALSE),0)</f>
        <v>0</v>
      </c>
      <c r="N90" s="131"/>
      <c r="O90" s="157">
        <f>IFERROR(VLOOKUP((LEFT(VLOOKUP($L90,'2-2 引出数据_合同数据仓库'!$B$5:$BP$200,64,FALSE),15)&amp;(RIGHT(VLOOKUP($L90,'2-2 引出数据_合同数据仓库'!$B$5:$BP$200,64,FALSE),4)+1)),'2-2 引出数据_合同数据仓库'!$B$5:$BP$200,3,FALSE),0)</f>
        <v>0</v>
      </c>
      <c r="P90" s="131"/>
      <c r="Q90" s="131">
        <f>IFERROR(VLOOKUP($L90,'2-2 引出数据_合同数据仓库'!$B$5:$BP$200,28,FALSE),0)</f>
        <v>0</v>
      </c>
      <c r="R90" s="131">
        <f>IFERROR(VLOOKUP($L90,'2-2 引出数据_合同数据仓库'!$B$5:$BP$200,29,FALSE),0)</f>
        <v>0</v>
      </c>
      <c r="S90" s="131">
        <f>IFERROR(VLOOKUP($L90,'2-2 引出数据_合同数据仓库'!$B$5:$BP$200,4,FALSE),0)</f>
        <v>0</v>
      </c>
      <c r="T90" s="131"/>
      <c r="U90" s="131">
        <f>IFERROR(VLOOKUP($L90,'2-2 引出数据_合同数据仓库'!$B$5:$BP$200,15,FALSE),0)</f>
        <v>0</v>
      </c>
      <c r="V90" s="131">
        <f t="shared" ref="V90:V93" si="1066">U90/(S90-R90+1)*365</f>
        <v>0</v>
      </c>
      <c r="W90" s="131"/>
      <c r="X90" s="163">
        <v>45658</v>
      </c>
      <c r="Y90" s="163">
        <f t="shared" ref="Y90:Y93" si="1067">X90+30</f>
        <v>45688</v>
      </c>
      <c r="Z90" s="167">
        <f t="shared" ref="Z90:Z93" si="1068">IFERROR(IF(($R90-Y90)&gt;=0,0,IF(($S90-X90)&lt;0,0,IF(AND(($S90-Y90)&gt;0,(X90-$R90)&gt;0),$V90/365*(Y90-X90+1),IF(AND(($S90-Y90)&lt;=0,(X90-$R90)&gt;0),$V90/365*($S90-X90+1),$V90/365*(Y90-$R90+1))))),0)</f>
        <v>0</v>
      </c>
      <c r="AA90" s="163">
        <f t="shared" ref="AA90:AA93" si="1069">Y90+1</f>
        <v>45689</v>
      </c>
      <c r="AB90" s="163">
        <f t="shared" ref="AB90:AB93" si="1070">AA90+27</f>
        <v>45716</v>
      </c>
      <c r="AC90" s="167">
        <f t="shared" ref="AC90:AC93" si="1071">IFERROR(IF(($R90-AB90)&gt;=0,0,IF(($S90-AA90)&lt;0,0,IF(AND(($S90-AB90)&gt;0,(AA90-$R90)&gt;0),$V90/365*(AB90-AA90+1),IF(AND(($S90-AB90)&lt;=0,(AA90-$R90)&gt;0),$V90/365*($S90-AA90+1),$V90/365*(AB90-$R90+1))))),0)</f>
        <v>0</v>
      </c>
      <c r="AD90" s="163">
        <f t="shared" ref="AD90:AD93" si="1072">AB90+1</f>
        <v>45717</v>
      </c>
      <c r="AE90" s="163">
        <f t="shared" ref="AE90:AE93" si="1073">AD90+30</f>
        <v>45747</v>
      </c>
      <c r="AF90" s="167">
        <f t="shared" ref="AF90:AF93" si="1074">IFERROR(IF(($R90-AE90)&gt;=0,0,IF(($S90-AD90)&lt;0,0,IF(AND(($S90-AE90)&gt;0,(AD90-$R90)&gt;0),$V90/365*(AE90-AD90+1),IF(AND(($S90-AE90)&lt;=0,(AD90-$R90)&gt;0),$V90/365*($S90-AD90+1),$V90/365*(AE90-$R90+1))))),0)</f>
        <v>0</v>
      </c>
      <c r="AG90" s="163">
        <f t="shared" ref="AG90:AG93" si="1075">AE90+1</f>
        <v>45748</v>
      </c>
      <c r="AH90" s="163">
        <f t="shared" ref="AH90:AH93" si="1076">AG90+29</f>
        <v>45777</v>
      </c>
      <c r="AI90" s="167">
        <f t="shared" ref="AI90:AI93" si="1077">IFERROR(IF(($R90-AH90)&gt;=0,0,IF(($S90-AG90)&lt;0,0,IF(AND(($S90-AH90)&gt;0,(AG90-$R90)&gt;0),$V90/365*(AH90-AG90+1),IF(AND(($S90-AH90)&lt;=0,(AG90-$R90)&gt;0),$V90/365*($S90-AG90+1),$V90/365*(AH90-$R90+1))))),0)</f>
        <v>0</v>
      </c>
      <c r="AJ90" s="163">
        <f t="shared" ref="AJ90:AJ93" si="1078">AH90+1</f>
        <v>45778</v>
      </c>
      <c r="AK90" s="163">
        <f t="shared" ref="AK90:AK93" si="1079">AJ90+30</f>
        <v>45808</v>
      </c>
      <c r="AL90" s="167">
        <f t="shared" ref="AL90:AL93" si="1080">IFERROR(IF(($R90-AK90)&gt;=0,0,IF(($S90-AJ90)&lt;0,0,IF(AND(($S90-AK90)&gt;0,(AJ90-$R90)&gt;0),$V90/365*(AK90-AJ90+1),IF(AND(($S90-AK90)&lt;=0,(AJ90-$R90)&gt;0),$V90/365*($S90-AJ90+1),$V90/365*(AK90-$R90+1))))),0)</f>
        <v>0</v>
      </c>
      <c r="AM90" s="163">
        <f t="shared" ref="AM90:AM93" si="1081">AK90+1</f>
        <v>45809</v>
      </c>
      <c r="AN90" s="163">
        <f t="shared" ref="AN90:AN93" si="1082">AM90+29</f>
        <v>45838</v>
      </c>
      <c r="AO90" s="167">
        <f t="shared" ref="AO90:AO93" si="1083">IFERROR(IF(($R90-AN90)&gt;=0,0,IF(($S90-AM90)&lt;0,0,IF(AND(($S90-AN90)&gt;0,(AM90-$R90)&gt;0),$V90/365*(AN90-AM90+1),IF(AND(($S90-AN90)&lt;=0,(AM90-$R90)&gt;0),$V90/365*($S90-AM90+1),$V90/365*(AN90-$R90+1))))),0)</f>
        <v>0</v>
      </c>
      <c r="AP90" s="163">
        <f t="shared" ref="AP90:AP93" si="1084">AN90+1</f>
        <v>45839</v>
      </c>
      <c r="AQ90" s="163">
        <f t="shared" ref="AQ90:AQ93" si="1085">AP90+30</f>
        <v>45869</v>
      </c>
      <c r="AR90" s="167">
        <f t="shared" ref="AR90:AR93" si="1086">IFERROR(IF(($R90-AQ90)&gt;=0,0,IF(($S90-AP90)&lt;0,0,IF(AND(($S90-AQ90)&gt;0,(AP90-$R90)&gt;0),$V90/365*(AQ90-AP90+1),IF(AND(($S90-AQ90)&lt;=0,(AP90-$R90)&gt;0),$V90/365*($S90-AP90+1),$V90/365*(AQ90-$R90+1))))),0)</f>
        <v>0</v>
      </c>
      <c r="AS90" s="163">
        <f t="shared" ref="AS90:AS93" si="1087">AQ90+1</f>
        <v>45870</v>
      </c>
      <c r="AT90" s="163">
        <f t="shared" ref="AT90:AT93" si="1088">AS90+30</f>
        <v>45900</v>
      </c>
      <c r="AU90" s="167">
        <f t="shared" ref="AU90:AU93" si="1089">IFERROR(IF(($R90-AT90)&gt;=0,0,IF(($S90-AS90)&lt;0,0,IF(AND(($S90-AT90)&gt;0,(AS90-$R90)&gt;0),$V90/365*(AT90-AS90+1),IF(AND(($S90-AT90)&lt;=0,(AS90-$R90)&gt;0),$V90/365*($S90-AS90+1),$V90/365*(AT90-$R90+1))))),0)</f>
        <v>0</v>
      </c>
      <c r="AV90" s="163">
        <f t="shared" ref="AV90:AV93" si="1090">AT90+1</f>
        <v>45901</v>
      </c>
      <c r="AW90" s="163">
        <f t="shared" ref="AW90:AW93" si="1091">AV90+29</f>
        <v>45930</v>
      </c>
      <c r="AX90" s="167">
        <f t="shared" ref="AX90:AX93" si="1092">IFERROR(IF(($R90-AW90)&gt;=0,0,IF(($S90-AV90)&lt;0,0,IF(AND(($S90-AW90)&gt;0,(AV90-$R90)&gt;0),$V90/365*(AW90-AV90+1),IF(AND(($S90-AW90)&lt;=0,(AV90-$R90)&gt;0),$V90/365*($S90-AV90+1),$V90/365*(AW90-$R90+1))))),0)</f>
        <v>0</v>
      </c>
      <c r="AY90" s="163">
        <f t="shared" ref="AY90:AY93" si="1093">AW90+1</f>
        <v>45931</v>
      </c>
      <c r="AZ90" s="163">
        <f t="shared" ref="AZ90:AZ93" si="1094">AY90+30</f>
        <v>45961</v>
      </c>
      <c r="BA90" s="167">
        <f t="shared" ref="BA90:BA93" si="1095">IFERROR(IF(($R90-AZ90)&gt;=0,0,IF(($S90-AY90)&lt;0,0,IF(AND(($S90-AZ90)&gt;0,(AY90-$R90)&gt;0),$V90/365*(AZ90-AY90+1),IF(AND(($S90-AZ90)&lt;=0,(AY90-$R90)&gt;0),$V90/365*($S90-AY90+1),$V90/365*(AZ90-$R90+1))))),0)</f>
        <v>0</v>
      </c>
      <c r="BB90" s="163">
        <f t="shared" ref="BB90:BB93" si="1096">AZ90+1</f>
        <v>45962</v>
      </c>
      <c r="BC90" s="163">
        <f t="shared" ref="BC90:BC93" si="1097">BB90+29</f>
        <v>45991</v>
      </c>
      <c r="BD90" s="167">
        <f t="shared" ref="BD90:BD93" si="1098">IFERROR(IF(($R90-BC90)&gt;=0,0,IF(($S90-BB90)&lt;0,0,IF(AND(($S90-BC90)&gt;0,(BB90-$R90)&gt;0),$V90/365*(BC90-BB90+1),IF(AND(($S90-BC90)&lt;=0,(BB90-$R90)&gt;0),$V90/365*($S90-BB90+1),$V90/365*(BC90-$R90+1))))),0)</f>
        <v>0</v>
      </c>
      <c r="BE90" s="163">
        <f t="shared" ref="BE90:BE93" si="1099">BC90+1</f>
        <v>45992</v>
      </c>
      <c r="BF90" s="163">
        <f t="shared" ref="BF90:BF93" si="1100">BE90+30</f>
        <v>46022</v>
      </c>
      <c r="BG90" s="167">
        <f t="shared" ref="BG90:BG93" si="1101">IFERROR(IF(($R90-BF90)&gt;=0,0,IF(($S90-BE90)&lt;0,0,IF(AND(($S90-BF90)&gt;0,(BE90-$R90)&gt;0),$V90/365*(BF90-BE90+1),IF(AND(($S90-BF90)&lt;=0,(BE90-$R90)&gt;0),$V90/365*($S90-BE90+1),$V90/365*(BF90-$R90+1))))),0)</f>
        <v>0</v>
      </c>
      <c r="BH90" s="163">
        <v>46023</v>
      </c>
      <c r="BI90" s="163">
        <f t="shared" ref="BI90:BI93" si="1102">BH90+30</f>
        <v>46053</v>
      </c>
      <c r="BJ90" s="167">
        <f t="shared" ref="BJ90:BJ93" si="1103">IFERROR(IF(($R90-BI90)&gt;=0,0,IF(($S90-BH90)&lt;0,0,IF(AND(($S90-BI90)&gt;0,(BH90-$R90)&gt;0),$V90/365*(BI90-BH90+1),IF(AND(($S90-BI90)&lt;=0,(BH90-$R90)&gt;0),$V90/365*($S90-BH90+1),$V90/365*(BI90-$R90+1))))),0)</f>
        <v>0</v>
      </c>
      <c r="BK90" s="163">
        <f t="shared" ref="BK90:BK93" si="1104">BI90+1</f>
        <v>46054</v>
      </c>
      <c r="BL90" s="163">
        <f t="shared" ref="BL90:BL93" si="1105">BK90+27</f>
        <v>46081</v>
      </c>
      <c r="BM90" s="167">
        <f t="shared" ref="BM90:BM93" si="1106">IFERROR(IF(($R90-BL90)&gt;=0,0,IF(($S90-BK90)&lt;0,0,IF(AND(($S90-BL90)&gt;0,(BK90-$R90)&gt;0),$V90/365*(BL90-BK90+1),IF(AND(($S90-BL90)&lt;=0,(BK90-$R90)&gt;0),$V90/365*($S90-BK90+1),$V90/365*(BL90-$R90+1))))),0)</f>
        <v>0</v>
      </c>
      <c r="BN90" s="163">
        <f t="shared" ref="BN90:BN93" si="1107">BL90+1</f>
        <v>46082</v>
      </c>
      <c r="BO90" s="163">
        <f t="shared" ref="BO90:BO93" si="1108">BN90+30</f>
        <v>46112</v>
      </c>
      <c r="BP90" s="167">
        <f t="shared" ref="BP90:BP93" si="1109">IFERROR(IF(($R90-BO90)&gt;=0,0,IF(($S90-BN90)&lt;0,0,IF(AND(($S90-BO90)&gt;0,(BN90-$R90)&gt;0),$V90/365*(BO90-BN90+1),IF(AND(($S90-BO90)&lt;=0,(BN90-$R90)&gt;0),$V90/365*($S90-BN90+1),$V90/365*(BO90-$R90+1))))),0)</f>
        <v>0</v>
      </c>
      <c r="BQ90" s="163">
        <f t="shared" ref="BQ90:BQ93" si="1110">BO90+1</f>
        <v>46113</v>
      </c>
      <c r="BR90" s="163">
        <f t="shared" ref="BR90:BR93" si="1111">BQ90+29</f>
        <v>46142</v>
      </c>
      <c r="BS90" s="167">
        <f t="shared" ref="BS90:BS93" si="1112">IFERROR(IF(($R90-BR90)&gt;=0,0,IF(($S90-BQ90)&lt;0,0,IF(AND(($S90-BR90)&gt;0,(BQ90-$R90)&gt;0),$V90/365*(BR90-BQ90+1),IF(AND(($S90-BR90)&lt;=0,(BQ90-$R90)&gt;0),$V90/365*($S90-BQ90+1),$V90/365*(BR90-$R90+1))))),0)</f>
        <v>0</v>
      </c>
      <c r="BT90" s="163">
        <f t="shared" ref="BT90:BT93" si="1113">BR90+1</f>
        <v>46143</v>
      </c>
      <c r="BU90" s="163">
        <f t="shared" ref="BU90:BU93" si="1114">BT90+30</f>
        <v>46173</v>
      </c>
      <c r="BV90" s="167">
        <f t="shared" ref="BV90:BV93" si="1115">IFERROR(IF(($R90-BU90)&gt;=0,0,IF(($S90-BT90)&lt;0,0,IF(AND(($S90-BU90)&gt;0,(BT90-$R90)&gt;0),$V90/365*(BU90-BT90+1),IF(AND(($S90-BU90)&lt;=0,(BT90-$R90)&gt;0),$V90/365*($S90-BT90+1),$V90/365*(BU90-$R90+1))))),0)</f>
        <v>0</v>
      </c>
      <c r="BW90" s="163">
        <f t="shared" ref="BW90:BW93" si="1116">BU90+1</f>
        <v>46174</v>
      </c>
      <c r="BX90" s="163">
        <f t="shared" ref="BX90:BX93" si="1117">BW90+29</f>
        <v>46203</v>
      </c>
      <c r="BY90" s="167">
        <f t="shared" ref="BY90:BY93" si="1118">IFERROR(IF(($R90-BX90)&gt;=0,0,IF(($S90-BW90)&lt;0,0,IF(AND(($S90-BX90)&gt;0,(BW90-$R90)&gt;0),$V90/365*(BX90-BW90+1),IF(AND(($S90-BX90)&lt;=0,(BW90-$R90)&gt;0),$V90/365*($S90-BW90+1),$V90/365*(BX90-$R90+1))))),0)</f>
        <v>0</v>
      </c>
      <c r="BZ90" s="163">
        <f t="shared" ref="BZ90:BZ93" si="1119">BX90+1</f>
        <v>46204</v>
      </c>
      <c r="CA90" s="163">
        <f t="shared" ref="CA90:CA93" si="1120">BZ90+30</f>
        <v>46234</v>
      </c>
      <c r="CB90" s="167">
        <f t="shared" ref="CB90:CB93" si="1121">IFERROR(IF(($R90-CA90)&gt;=0,0,IF(($S90-BZ90)&lt;0,0,IF(AND(($S90-CA90)&gt;0,(BZ90-$R90)&gt;0),$V90/365*(CA90-BZ90+1),IF(AND(($S90-CA90)&lt;=0,(BZ90-$R90)&gt;0),$V90/365*($S90-BZ90+1),$V90/365*(CA90-$R90+1))))),0)</f>
        <v>0</v>
      </c>
      <c r="CC90" s="163">
        <f t="shared" ref="CC90:CC93" si="1122">CA90+1</f>
        <v>46235</v>
      </c>
      <c r="CD90" s="163">
        <f t="shared" ref="CD90:CD93" si="1123">CC90+30</f>
        <v>46265</v>
      </c>
      <c r="CE90" s="167">
        <f t="shared" ref="CE90:CE93" si="1124">IFERROR(IF(($R90-CD90)&gt;=0,0,IF(($S90-CC90)&lt;0,0,IF(AND(($S90-CD90)&gt;0,(CC90-$R90)&gt;0),$V90/365*(CD90-CC90+1),IF(AND(($S90-CD90)&lt;=0,(CC90-$R90)&gt;0),$V90/365*($S90-CC90+1),$V90/365*(CD90-$R90+1))))),0)</f>
        <v>0</v>
      </c>
      <c r="CF90" s="163">
        <f t="shared" ref="CF90:CF93" si="1125">CD90+1</f>
        <v>46266</v>
      </c>
      <c r="CG90" s="163">
        <f t="shared" ref="CG90:CG93" si="1126">CF90+29</f>
        <v>46295</v>
      </c>
      <c r="CH90" s="167">
        <f t="shared" ref="CH90:CH93" si="1127">IFERROR(IF(($R90-CG90)&gt;=0,0,IF(($S90-CF90)&lt;0,0,IF(AND(($S90-CG90)&gt;0,(CF90-$R90)&gt;0),$V90/365*(CG90-CF90+1),IF(AND(($S90-CG90)&lt;=0,(CF90-$R90)&gt;0),$V90/365*($S90-CF90+1),$V90/365*(CG90-$R90+1))))),0)</f>
        <v>0</v>
      </c>
      <c r="CI90" s="163">
        <f t="shared" ref="CI90:CI93" si="1128">CG90+1</f>
        <v>46296</v>
      </c>
      <c r="CJ90" s="163">
        <f t="shared" ref="CJ90:CJ93" si="1129">CI90+30</f>
        <v>46326</v>
      </c>
      <c r="CK90" s="167">
        <f t="shared" ref="CK90:CK93" si="1130">IFERROR(IF(($R90-CJ90)&gt;=0,0,IF(($S90-CI90)&lt;0,0,IF(AND(($S90-CJ90)&gt;0,(CI90-$R90)&gt;0),$V90/365*(CJ90-CI90+1),IF(AND(($S90-CJ90)&lt;=0,(CI90-$R90)&gt;0),$V90/365*($S90-CI90+1),$V90/365*(CJ90-$R90+1))))),0)</f>
        <v>0</v>
      </c>
      <c r="CL90" s="163">
        <f t="shared" ref="CL90:CL93" si="1131">CJ90+1</f>
        <v>46327</v>
      </c>
      <c r="CM90" s="163">
        <f t="shared" ref="CM90:CM93" si="1132">CL90+29</f>
        <v>46356</v>
      </c>
      <c r="CN90" s="167">
        <f t="shared" ref="CN90:CN93" si="1133">IFERROR(IF(($R90-CM90)&gt;=0,0,IF(($S90-CL90)&lt;0,0,IF(AND(($S90-CM90)&gt;0,(CL90-$R90)&gt;0),$V90/365*(CM90-CL90+1),IF(AND(($S90-CM90)&lt;=0,(CL90-$R90)&gt;0),$V90/365*($S90-CL90+1),$V90/365*(CM90-$R90+1))))),0)</f>
        <v>0</v>
      </c>
      <c r="CO90" s="163">
        <f t="shared" ref="CO90:CO93" si="1134">CM90+1</f>
        <v>46357</v>
      </c>
      <c r="CP90" s="163">
        <f t="shared" ref="CP90:CP93" si="1135">CO90+30</f>
        <v>46387</v>
      </c>
      <c r="CQ90" s="167">
        <f t="shared" ref="CQ90:CQ93" si="1136">IFERROR(IF(($R90-CP90)&gt;=0,0,IF(($S90-CO90)&lt;0,0,IF(AND(($S90-CP90)&gt;0,(CO90-$R90)&gt;0),$V90/365*(CP90-CO90+1),IF(AND(($S90-CP90)&lt;=0,(CO90-$R90)&gt;0),$V90/365*($S90-CO90+1),$V90/365*(CP90-$R90+1))))),0)</f>
        <v>0</v>
      </c>
    </row>
    <row r="91" s="89" customFormat="1" ht="24" hidden="1" customHeight="1" outlineLevel="4" spans="1:95">
      <c r="A91" s="128"/>
      <c r="B91" s="129"/>
      <c r="C91" s="130"/>
      <c r="D91" s="128"/>
      <c r="E91" s="129"/>
      <c r="F91" s="129"/>
      <c r="G91" s="129"/>
      <c r="H91" s="131"/>
      <c r="I91" s="131"/>
      <c r="J91" s="131">
        <f t="shared" si="814"/>
        <v>0</v>
      </c>
      <c r="K91" s="131">
        <f t="shared" ref="K91:K93" si="1137">K90+1</f>
        <v>2</v>
      </c>
      <c r="L91" s="156"/>
      <c r="M91" s="157">
        <f>IFERROR(VLOOKUP($L91,'2-2 引出数据_合同数据仓库'!$B$5:$BP$200,3,FALSE),0)</f>
        <v>0</v>
      </c>
      <c r="N91" s="131"/>
      <c r="O91" s="157">
        <f>IFERROR(VLOOKUP((LEFT(VLOOKUP($L91,'2-2 引出数据_合同数据仓库'!$B$5:$BP$200,64,FALSE),15)&amp;(RIGHT(VLOOKUP($L91,'2-2 引出数据_合同数据仓库'!$B$5:$BP$200,64,FALSE),4)+1)),'2-2 引出数据_合同数据仓库'!$B$5:$BP$200,3,FALSE),0)</f>
        <v>0</v>
      </c>
      <c r="P91" s="131"/>
      <c r="Q91" s="131">
        <f>IFERROR(VLOOKUP($L91,'2-2 引出数据_合同数据仓库'!$B$5:$BP$200,28,FALSE),0)</f>
        <v>0</v>
      </c>
      <c r="R91" s="131">
        <f>IFERROR(VLOOKUP($L91,'2-2 引出数据_合同数据仓库'!$B$5:$BP$200,29,FALSE),0)</f>
        <v>0</v>
      </c>
      <c r="S91" s="131">
        <f>IFERROR(VLOOKUP($L91,'2-2 引出数据_合同数据仓库'!$B$5:$BP$200,4,FALSE),0)</f>
        <v>0</v>
      </c>
      <c r="T91" s="131"/>
      <c r="U91" s="131">
        <f>IFERROR(VLOOKUP($L91,'2-2 引出数据_合同数据仓库'!$B$5:$BP$200,15,FALSE),0)</f>
        <v>0</v>
      </c>
      <c r="V91" s="131">
        <f t="shared" si="1066"/>
        <v>0</v>
      </c>
      <c r="W91" s="131"/>
      <c r="X91" s="163">
        <v>45658</v>
      </c>
      <c r="Y91" s="163">
        <f t="shared" si="1067"/>
        <v>45688</v>
      </c>
      <c r="Z91" s="167">
        <f t="shared" si="1068"/>
        <v>0</v>
      </c>
      <c r="AA91" s="163">
        <f t="shared" si="1069"/>
        <v>45689</v>
      </c>
      <c r="AB91" s="163">
        <f t="shared" si="1070"/>
        <v>45716</v>
      </c>
      <c r="AC91" s="167">
        <f t="shared" si="1071"/>
        <v>0</v>
      </c>
      <c r="AD91" s="163">
        <f t="shared" si="1072"/>
        <v>45717</v>
      </c>
      <c r="AE91" s="163">
        <f t="shared" si="1073"/>
        <v>45747</v>
      </c>
      <c r="AF91" s="167">
        <f t="shared" si="1074"/>
        <v>0</v>
      </c>
      <c r="AG91" s="163">
        <f t="shared" si="1075"/>
        <v>45748</v>
      </c>
      <c r="AH91" s="163">
        <f t="shared" si="1076"/>
        <v>45777</v>
      </c>
      <c r="AI91" s="167">
        <f t="shared" si="1077"/>
        <v>0</v>
      </c>
      <c r="AJ91" s="163">
        <f t="shared" si="1078"/>
        <v>45778</v>
      </c>
      <c r="AK91" s="163">
        <f t="shared" si="1079"/>
        <v>45808</v>
      </c>
      <c r="AL91" s="167">
        <f t="shared" si="1080"/>
        <v>0</v>
      </c>
      <c r="AM91" s="163">
        <f t="shared" si="1081"/>
        <v>45809</v>
      </c>
      <c r="AN91" s="163">
        <f t="shared" si="1082"/>
        <v>45838</v>
      </c>
      <c r="AO91" s="167">
        <f t="shared" si="1083"/>
        <v>0</v>
      </c>
      <c r="AP91" s="163">
        <f t="shared" si="1084"/>
        <v>45839</v>
      </c>
      <c r="AQ91" s="163">
        <f t="shared" si="1085"/>
        <v>45869</v>
      </c>
      <c r="AR91" s="167">
        <f t="shared" si="1086"/>
        <v>0</v>
      </c>
      <c r="AS91" s="163">
        <f t="shared" si="1087"/>
        <v>45870</v>
      </c>
      <c r="AT91" s="163">
        <f t="shared" si="1088"/>
        <v>45900</v>
      </c>
      <c r="AU91" s="167">
        <f t="shared" si="1089"/>
        <v>0</v>
      </c>
      <c r="AV91" s="163">
        <f t="shared" si="1090"/>
        <v>45901</v>
      </c>
      <c r="AW91" s="163">
        <f t="shared" si="1091"/>
        <v>45930</v>
      </c>
      <c r="AX91" s="167">
        <f t="shared" si="1092"/>
        <v>0</v>
      </c>
      <c r="AY91" s="163">
        <f t="shared" si="1093"/>
        <v>45931</v>
      </c>
      <c r="AZ91" s="163">
        <f t="shared" si="1094"/>
        <v>45961</v>
      </c>
      <c r="BA91" s="167">
        <f t="shared" si="1095"/>
        <v>0</v>
      </c>
      <c r="BB91" s="163">
        <f t="shared" si="1096"/>
        <v>45962</v>
      </c>
      <c r="BC91" s="163">
        <f t="shared" si="1097"/>
        <v>45991</v>
      </c>
      <c r="BD91" s="167">
        <f t="shared" si="1098"/>
        <v>0</v>
      </c>
      <c r="BE91" s="163">
        <f t="shared" si="1099"/>
        <v>45992</v>
      </c>
      <c r="BF91" s="163">
        <f t="shared" si="1100"/>
        <v>46022</v>
      </c>
      <c r="BG91" s="167">
        <f t="shared" si="1101"/>
        <v>0</v>
      </c>
      <c r="BH91" s="163">
        <v>46023</v>
      </c>
      <c r="BI91" s="163">
        <f t="shared" si="1102"/>
        <v>46053</v>
      </c>
      <c r="BJ91" s="167">
        <f t="shared" si="1103"/>
        <v>0</v>
      </c>
      <c r="BK91" s="163">
        <f t="shared" si="1104"/>
        <v>46054</v>
      </c>
      <c r="BL91" s="163">
        <f t="shared" si="1105"/>
        <v>46081</v>
      </c>
      <c r="BM91" s="167">
        <f t="shared" si="1106"/>
        <v>0</v>
      </c>
      <c r="BN91" s="163">
        <f t="shared" si="1107"/>
        <v>46082</v>
      </c>
      <c r="BO91" s="163">
        <f t="shared" si="1108"/>
        <v>46112</v>
      </c>
      <c r="BP91" s="167">
        <f t="shared" si="1109"/>
        <v>0</v>
      </c>
      <c r="BQ91" s="163">
        <f t="shared" si="1110"/>
        <v>46113</v>
      </c>
      <c r="BR91" s="163">
        <f t="shared" si="1111"/>
        <v>46142</v>
      </c>
      <c r="BS91" s="167">
        <f t="shared" si="1112"/>
        <v>0</v>
      </c>
      <c r="BT91" s="163">
        <f t="shared" si="1113"/>
        <v>46143</v>
      </c>
      <c r="BU91" s="163">
        <f t="shared" si="1114"/>
        <v>46173</v>
      </c>
      <c r="BV91" s="167">
        <f t="shared" si="1115"/>
        <v>0</v>
      </c>
      <c r="BW91" s="163">
        <f t="shared" si="1116"/>
        <v>46174</v>
      </c>
      <c r="BX91" s="163">
        <f t="shared" si="1117"/>
        <v>46203</v>
      </c>
      <c r="BY91" s="167">
        <f t="shared" si="1118"/>
        <v>0</v>
      </c>
      <c r="BZ91" s="163">
        <f t="shared" si="1119"/>
        <v>46204</v>
      </c>
      <c r="CA91" s="163">
        <f t="shared" si="1120"/>
        <v>46234</v>
      </c>
      <c r="CB91" s="167">
        <f t="shared" si="1121"/>
        <v>0</v>
      </c>
      <c r="CC91" s="163">
        <f t="shared" si="1122"/>
        <v>46235</v>
      </c>
      <c r="CD91" s="163">
        <f t="shared" si="1123"/>
        <v>46265</v>
      </c>
      <c r="CE91" s="167">
        <f t="shared" si="1124"/>
        <v>0</v>
      </c>
      <c r="CF91" s="163">
        <f t="shared" si="1125"/>
        <v>46266</v>
      </c>
      <c r="CG91" s="163">
        <f t="shared" si="1126"/>
        <v>46295</v>
      </c>
      <c r="CH91" s="167">
        <f t="shared" si="1127"/>
        <v>0</v>
      </c>
      <c r="CI91" s="163">
        <f t="shared" si="1128"/>
        <v>46296</v>
      </c>
      <c r="CJ91" s="163">
        <f t="shared" si="1129"/>
        <v>46326</v>
      </c>
      <c r="CK91" s="167">
        <f t="shared" si="1130"/>
        <v>0</v>
      </c>
      <c r="CL91" s="163">
        <f t="shared" si="1131"/>
        <v>46327</v>
      </c>
      <c r="CM91" s="163">
        <f t="shared" si="1132"/>
        <v>46356</v>
      </c>
      <c r="CN91" s="167">
        <f t="shared" si="1133"/>
        <v>0</v>
      </c>
      <c r="CO91" s="163">
        <f t="shared" si="1134"/>
        <v>46357</v>
      </c>
      <c r="CP91" s="163">
        <f t="shared" si="1135"/>
        <v>46387</v>
      </c>
      <c r="CQ91" s="167">
        <f t="shared" si="1136"/>
        <v>0</v>
      </c>
    </row>
    <row r="92" s="89" customFormat="1" ht="24" hidden="1" customHeight="1" outlineLevel="4" spans="1:95">
      <c r="A92" s="128"/>
      <c r="B92" s="129"/>
      <c r="C92" s="130"/>
      <c r="D92" s="128"/>
      <c r="E92" s="129"/>
      <c r="F92" s="129"/>
      <c r="G92" s="129"/>
      <c r="H92" s="131"/>
      <c r="I92" s="131"/>
      <c r="J92" s="131">
        <f t="shared" si="814"/>
        <v>0</v>
      </c>
      <c r="K92" s="131">
        <f t="shared" si="1137"/>
        <v>3</v>
      </c>
      <c r="L92" s="156"/>
      <c r="M92" s="157">
        <f>IFERROR(VLOOKUP($L92,'2-2 引出数据_合同数据仓库'!$B$5:$BP$200,3,FALSE),0)</f>
        <v>0</v>
      </c>
      <c r="N92" s="131"/>
      <c r="O92" s="157">
        <f>IFERROR(VLOOKUP((LEFT(VLOOKUP($L92,'2-2 引出数据_合同数据仓库'!$B$5:$BP$200,64,FALSE),15)&amp;(RIGHT(VLOOKUP($L92,'2-2 引出数据_合同数据仓库'!$B$5:$BP$200,64,FALSE),4)+1)),'2-2 引出数据_合同数据仓库'!$B$5:$BP$200,3,FALSE),0)</f>
        <v>0</v>
      </c>
      <c r="P92" s="131"/>
      <c r="Q92" s="131">
        <f>IFERROR(VLOOKUP($L92,'2-2 引出数据_合同数据仓库'!$B$5:$BP$200,28,FALSE),0)</f>
        <v>0</v>
      </c>
      <c r="R92" s="131">
        <f>IFERROR(VLOOKUP($L92,'2-2 引出数据_合同数据仓库'!$B$5:$BP$200,29,FALSE),0)</f>
        <v>0</v>
      </c>
      <c r="S92" s="131">
        <f>IFERROR(VLOOKUP($L92,'2-2 引出数据_合同数据仓库'!$B$5:$BP$200,4,FALSE),0)</f>
        <v>0</v>
      </c>
      <c r="T92" s="131"/>
      <c r="U92" s="131">
        <f>IFERROR(VLOOKUP($L92,'2-2 引出数据_合同数据仓库'!$B$5:$BP$200,15,FALSE),0)</f>
        <v>0</v>
      </c>
      <c r="V92" s="131">
        <f t="shared" si="1066"/>
        <v>0</v>
      </c>
      <c r="W92" s="131"/>
      <c r="X92" s="163">
        <v>45658</v>
      </c>
      <c r="Y92" s="163">
        <f t="shared" si="1067"/>
        <v>45688</v>
      </c>
      <c r="Z92" s="167">
        <f t="shared" si="1068"/>
        <v>0</v>
      </c>
      <c r="AA92" s="163">
        <f t="shared" si="1069"/>
        <v>45689</v>
      </c>
      <c r="AB92" s="163">
        <f t="shared" si="1070"/>
        <v>45716</v>
      </c>
      <c r="AC92" s="167">
        <f t="shared" si="1071"/>
        <v>0</v>
      </c>
      <c r="AD92" s="163">
        <f t="shared" si="1072"/>
        <v>45717</v>
      </c>
      <c r="AE92" s="163">
        <f t="shared" si="1073"/>
        <v>45747</v>
      </c>
      <c r="AF92" s="167">
        <f t="shared" si="1074"/>
        <v>0</v>
      </c>
      <c r="AG92" s="163">
        <f t="shared" si="1075"/>
        <v>45748</v>
      </c>
      <c r="AH92" s="163">
        <f t="shared" si="1076"/>
        <v>45777</v>
      </c>
      <c r="AI92" s="167">
        <f t="shared" si="1077"/>
        <v>0</v>
      </c>
      <c r="AJ92" s="163">
        <f t="shared" si="1078"/>
        <v>45778</v>
      </c>
      <c r="AK92" s="163">
        <f t="shared" si="1079"/>
        <v>45808</v>
      </c>
      <c r="AL92" s="167">
        <f t="shared" si="1080"/>
        <v>0</v>
      </c>
      <c r="AM92" s="163">
        <f t="shared" si="1081"/>
        <v>45809</v>
      </c>
      <c r="AN92" s="163">
        <f t="shared" si="1082"/>
        <v>45838</v>
      </c>
      <c r="AO92" s="167">
        <f t="shared" si="1083"/>
        <v>0</v>
      </c>
      <c r="AP92" s="163">
        <f t="shared" si="1084"/>
        <v>45839</v>
      </c>
      <c r="AQ92" s="163">
        <f t="shared" si="1085"/>
        <v>45869</v>
      </c>
      <c r="AR92" s="167">
        <f t="shared" si="1086"/>
        <v>0</v>
      </c>
      <c r="AS92" s="163">
        <f t="shared" si="1087"/>
        <v>45870</v>
      </c>
      <c r="AT92" s="163">
        <f t="shared" si="1088"/>
        <v>45900</v>
      </c>
      <c r="AU92" s="167">
        <f t="shared" si="1089"/>
        <v>0</v>
      </c>
      <c r="AV92" s="163">
        <f t="shared" si="1090"/>
        <v>45901</v>
      </c>
      <c r="AW92" s="163">
        <f t="shared" si="1091"/>
        <v>45930</v>
      </c>
      <c r="AX92" s="167">
        <f t="shared" si="1092"/>
        <v>0</v>
      </c>
      <c r="AY92" s="163">
        <f t="shared" si="1093"/>
        <v>45931</v>
      </c>
      <c r="AZ92" s="163">
        <f t="shared" si="1094"/>
        <v>45961</v>
      </c>
      <c r="BA92" s="167">
        <f t="shared" si="1095"/>
        <v>0</v>
      </c>
      <c r="BB92" s="163">
        <f t="shared" si="1096"/>
        <v>45962</v>
      </c>
      <c r="BC92" s="163">
        <f t="shared" si="1097"/>
        <v>45991</v>
      </c>
      <c r="BD92" s="167">
        <f t="shared" si="1098"/>
        <v>0</v>
      </c>
      <c r="BE92" s="163">
        <f t="shared" si="1099"/>
        <v>45992</v>
      </c>
      <c r="BF92" s="163">
        <f t="shared" si="1100"/>
        <v>46022</v>
      </c>
      <c r="BG92" s="167">
        <f t="shared" si="1101"/>
        <v>0</v>
      </c>
      <c r="BH92" s="163">
        <v>46023</v>
      </c>
      <c r="BI92" s="163">
        <f t="shared" si="1102"/>
        <v>46053</v>
      </c>
      <c r="BJ92" s="167">
        <f t="shared" si="1103"/>
        <v>0</v>
      </c>
      <c r="BK92" s="163">
        <f t="shared" si="1104"/>
        <v>46054</v>
      </c>
      <c r="BL92" s="163">
        <f t="shared" si="1105"/>
        <v>46081</v>
      </c>
      <c r="BM92" s="167">
        <f t="shared" si="1106"/>
        <v>0</v>
      </c>
      <c r="BN92" s="163">
        <f t="shared" si="1107"/>
        <v>46082</v>
      </c>
      <c r="BO92" s="163">
        <f t="shared" si="1108"/>
        <v>46112</v>
      </c>
      <c r="BP92" s="167">
        <f t="shared" si="1109"/>
        <v>0</v>
      </c>
      <c r="BQ92" s="163">
        <f t="shared" si="1110"/>
        <v>46113</v>
      </c>
      <c r="BR92" s="163">
        <f t="shared" si="1111"/>
        <v>46142</v>
      </c>
      <c r="BS92" s="167">
        <f t="shared" si="1112"/>
        <v>0</v>
      </c>
      <c r="BT92" s="163">
        <f t="shared" si="1113"/>
        <v>46143</v>
      </c>
      <c r="BU92" s="163">
        <f t="shared" si="1114"/>
        <v>46173</v>
      </c>
      <c r="BV92" s="167">
        <f t="shared" si="1115"/>
        <v>0</v>
      </c>
      <c r="BW92" s="163">
        <f t="shared" si="1116"/>
        <v>46174</v>
      </c>
      <c r="BX92" s="163">
        <f t="shared" si="1117"/>
        <v>46203</v>
      </c>
      <c r="BY92" s="167">
        <f t="shared" si="1118"/>
        <v>0</v>
      </c>
      <c r="BZ92" s="163">
        <f t="shared" si="1119"/>
        <v>46204</v>
      </c>
      <c r="CA92" s="163">
        <f t="shared" si="1120"/>
        <v>46234</v>
      </c>
      <c r="CB92" s="167">
        <f t="shared" si="1121"/>
        <v>0</v>
      </c>
      <c r="CC92" s="163">
        <f t="shared" si="1122"/>
        <v>46235</v>
      </c>
      <c r="CD92" s="163">
        <f t="shared" si="1123"/>
        <v>46265</v>
      </c>
      <c r="CE92" s="167">
        <f t="shared" si="1124"/>
        <v>0</v>
      </c>
      <c r="CF92" s="163">
        <f t="shared" si="1125"/>
        <v>46266</v>
      </c>
      <c r="CG92" s="163">
        <f t="shared" si="1126"/>
        <v>46295</v>
      </c>
      <c r="CH92" s="167">
        <f t="shared" si="1127"/>
        <v>0</v>
      </c>
      <c r="CI92" s="163">
        <f t="shared" si="1128"/>
        <v>46296</v>
      </c>
      <c r="CJ92" s="163">
        <f t="shared" si="1129"/>
        <v>46326</v>
      </c>
      <c r="CK92" s="167">
        <f t="shared" si="1130"/>
        <v>0</v>
      </c>
      <c r="CL92" s="163">
        <f t="shared" si="1131"/>
        <v>46327</v>
      </c>
      <c r="CM92" s="163">
        <f t="shared" si="1132"/>
        <v>46356</v>
      </c>
      <c r="CN92" s="167">
        <f t="shared" si="1133"/>
        <v>0</v>
      </c>
      <c r="CO92" s="163">
        <f t="shared" si="1134"/>
        <v>46357</v>
      </c>
      <c r="CP92" s="163">
        <f t="shared" si="1135"/>
        <v>46387</v>
      </c>
      <c r="CQ92" s="167">
        <f t="shared" si="1136"/>
        <v>0</v>
      </c>
    </row>
    <row r="93" s="89" customFormat="1" ht="24" hidden="1" customHeight="1" outlineLevel="4" spans="1:95">
      <c r="A93" s="128"/>
      <c r="B93" s="129"/>
      <c r="C93" s="130"/>
      <c r="D93" s="128"/>
      <c r="E93" s="129"/>
      <c r="F93" s="129"/>
      <c r="G93" s="129"/>
      <c r="H93" s="131"/>
      <c r="I93" s="131"/>
      <c r="J93" s="131">
        <f t="shared" si="814"/>
        <v>0</v>
      </c>
      <c r="K93" s="131">
        <f t="shared" si="1137"/>
        <v>4</v>
      </c>
      <c r="L93" s="156"/>
      <c r="M93" s="157">
        <f>IFERROR(VLOOKUP($L93,'2-2 引出数据_合同数据仓库'!$B$5:$BP$200,3,FALSE),0)</f>
        <v>0</v>
      </c>
      <c r="N93" s="131"/>
      <c r="O93" s="157">
        <f>IFERROR(VLOOKUP((LEFT(VLOOKUP($L93,'2-2 引出数据_合同数据仓库'!$B$5:$BP$200,64,FALSE),15)&amp;(RIGHT(VLOOKUP($L93,'2-2 引出数据_合同数据仓库'!$B$5:$BP$200,64,FALSE),4)+1)),'2-2 引出数据_合同数据仓库'!$B$5:$BP$200,3,FALSE),0)</f>
        <v>0</v>
      </c>
      <c r="P93" s="131"/>
      <c r="Q93" s="131">
        <f>IFERROR(VLOOKUP($L93,'2-2 引出数据_合同数据仓库'!$B$5:$BP$200,28,FALSE),0)</f>
        <v>0</v>
      </c>
      <c r="R93" s="131">
        <f>IFERROR(VLOOKUP($L93,'2-2 引出数据_合同数据仓库'!$B$5:$BP$200,29,FALSE),0)</f>
        <v>0</v>
      </c>
      <c r="S93" s="131">
        <f>IFERROR(VLOOKUP($L93,'2-2 引出数据_合同数据仓库'!$B$5:$BP$200,4,FALSE),0)</f>
        <v>0</v>
      </c>
      <c r="T93" s="131"/>
      <c r="U93" s="131">
        <f>IFERROR(VLOOKUP($L93,'2-2 引出数据_合同数据仓库'!$B$5:$BP$200,15,FALSE),0)</f>
        <v>0</v>
      </c>
      <c r="V93" s="131">
        <f t="shared" si="1066"/>
        <v>0</v>
      </c>
      <c r="W93" s="131"/>
      <c r="X93" s="163">
        <v>45658</v>
      </c>
      <c r="Y93" s="163">
        <f t="shared" si="1067"/>
        <v>45688</v>
      </c>
      <c r="Z93" s="167">
        <f t="shared" si="1068"/>
        <v>0</v>
      </c>
      <c r="AA93" s="163">
        <f t="shared" si="1069"/>
        <v>45689</v>
      </c>
      <c r="AB93" s="163">
        <f t="shared" si="1070"/>
        <v>45716</v>
      </c>
      <c r="AC93" s="167">
        <f t="shared" si="1071"/>
        <v>0</v>
      </c>
      <c r="AD93" s="163">
        <f t="shared" si="1072"/>
        <v>45717</v>
      </c>
      <c r="AE93" s="163">
        <f t="shared" si="1073"/>
        <v>45747</v>
      </c>
      <c r="AF93" s="167">
        <f t="shared" si="1074"/>
        <v>0</v>
      </c>
      <c r="AG93" s="163">
        <f t="shared" si="1075"/>
        <v>45748</v>
      </c>
      <c r="AH93" s="163">
        <f t="shared" si="1076"/>
        <v>45777</v>
      </c>
      <c r="AI93" s="167">
        <f t="shared" si="1077"/>
        <v>0</v>
      </c>
      <c r="AJ93" s="163">
        <f t="shared" si="1078"/>
        <v>45778</v>
      </c>
      <c r="AK93" s="163">
        <f t="shared" si="1079"/>
        <v>45808</v>
      </c>
      <c r="AL93" s="167">
        <f t="shared" si="1080"/>
        <v>0</v>
      </c>
      <c r="AM93" s="163">
        <f t="shared" si="1081"/>
        <v>45809</v>
      </c>
      <c r="AN93" s="163">
        <f t="shared" si="1082"/>
        <v>45838</v>
      </c>
      <c r="AO93" s="167">
        <f t="shared" si="1083"/>
        <v>0</v>
      </c>
      <c r="AP93" s="163">
        <f t="shared" si="1084"/>
        <v>45839</v>
      </c>
      <c r="AQ93" s="163">
        <f t="shared" si="1085"/>
        <v>45869</v>
      </c>
      <c r="AR93" s="167">
        <f t="shared" si="1086"/>
        <v>0</v>
      </c>
      <c r="AS93" s="163">
        <f t="shared" si="1087"/>
        <v>45870</v>
      </c>
      <c r="AT93" s="163">
        <f t="shared" si="1088"/>
        <v>45900</v>
      </c>
      <c r="AU93" s="167">
        <f t="shared" si="1089"/>
        <v>0</v>
      </c>
      <c r="AV93" s="163">
        <f t="shared" si="1090"/>
        <v>45901</v>
      </c>
      <c r="AW93" s="163">
        <f t="shared" si="1091"/>
        <v>45930</v>
      </c>
      <c r="AX93" s="167">
        <f t="shared" si="1092"/>
        <v>0</v>
      </c>
      <c r="AY93" s="163">
        <f t="shared" si="1093"/>
        <v>45931</v>
      </c>
      <c r="AZ93" s="163">
        <f t="shared" si="1094"/>
        <v>45961</v>
      </c>
      <c r="BA93" s="167">
        <f t="shared" si="1095"/>
        <v>0</v>
      </c>
      <c r="BB93" s="163">
        <f t="shared" si="1096"/>
        <v>45962</v>
      </c>
      <c r="BC93" s="163">
        <f t="shared" si="1097"/>
        <v>45991</v>
      </c>
      <c r="BD93" s="167">
        <f t="shared" si="1098"/>
        <v>0</v>
      </c>
      <c r="BE93" s="163">
        <f t="shared" si="1099"/>
        <v>45992</v>
      </c>
      <c r="BF93" s="163">
        <f t="shared" si="1100"/>
        <v>46022</v>
      </c>
      <c r="BG93" s="167">
        <f t="shared" si="1101"/>
        <v>0</v>
      </c>
      <c r="BH93" s="163">
        <v>46023</v>
      </c>
      <c r="BI93" s="163">
        <f t="shared" si="1102"/>
        <v>46053</v>
      </c>
      <c r="BJ93" s="167">
        <f t="shared" si="1103"/>
        <v>0</v>
      </c>
      <c r="BK93" s="163">
        <f t="shared" si="1104"/>
        <v>46054</v>
      </c>
      <c r="BL93" s="163">
        <f t="shared" si="1105"/>
        <v>46081</v>
      </c>
      <c r="BM93" s="167">
        <f t="shared" si="1106"/>
        <v>0</v>
      </c>
      <c r="BN93" s="163">
        <f t="shared" si="1107"/>
        <v>46082</v>
      </c>
      <c r="BO93" s="163">
        <f t="shared" si="1108"/>
        <v>46112</v>
      </c>
      <c r="BP93" s="167">
        <f t="shared" si="1109"/>
        <v>0</v>
      </c>
      <c r="BQ93" s="163">
        <f t="shared" si="1110"/>
        <v>46113</v>
      </c>
      <c r="BR93" s="163">
        <f t="shared" si="1111"/>
        <v>46142</v>
      </c>
      <c r="BS93" s="167">
        <f t="shared" si="1112"/>
        <v>0</v>
      </c>
      <c r="BT93" s="163">
        <f t="shared" si="1113"/>
        <v>46143</v>
      </c>
      <c r="BU93" s="163">
        <f t="shared" si="1114"/>
        <v>46173</v>
      </c>
      <c r="BV93" s="167">
        <f t="shared" si="1115"/>
        <v>0</v>
      </c>
      <c r="BW93" s="163">
        <f t="shared" si="1116"/>
        <v>46174</v>
      </c>
      <c r="BX93" s="163">
        <f t="shared" si="1117"/>
        <v>46203</v>
      </c>
      <c r="BY93" s="167">
        <f t="shared" si="1118"/>
        <v>0</v>
      </c>
      <c r="BZ93" s="163">
        <f t="shared" si="1119"/>
        <v>46204</v>
      </c>
      <c r="CA93" s="163">
        <f t="shared" si="1120"/>
        <v>46234</v>
      </c>
      <c r="CB93" s="167">
        <f t="shared" si="1121"/>
        <v>0</v>
      </c>
      <c r="CC93" s="163">
        <f t="shared" si="1122"/>
        <v>46235</v>
      </c>
      <c r="CD93" s="163">
        <f t="shared" si="1123"/>
        <v>46265</v>
      </c>
      <c r="CE93" s="167">
        <f t="shared" si="1124"/>
        <v>0</v>
      </c>
      <c r="CF93" s="163">
        <f t="shared" si="1125"/>
        <v>46266</v>
      </c>
      <c r="CG93" s="163">
        <f t="shared" si="1126"/>
        <v>46295</v>
      </c>
      <c r="CH93" s="167">
        <f t="shared" si="1127"/>
        <v>0</v>
      </c>
      <c r="CI93" s="163">
        <f t="shared" si="1128"/>
        <v>46296</v>
      </c>
      <c r="CJ93" s="163">
        <f t="shared" si="1129"/>
        <v>46326</v>
      </c>
      <c r="CK93" s="167">
        <f t="shared" si="1130"/>
        <v>0</v>
      </c>
      <c r="CL93" s="163">
        <f t="shared" si="1131"/>
        <v>46327</v>
      </c>
      <c r="CM93" s="163">
        <f t="shared" si="1132"/>
        <v>46356</v>
      </c>
      <c r="CN93" s="167">
        <f t="shared" si="1133"/>
        <v>0</v>
      </c>
      <c r="CO93" s="163">
        <f t="shared" si="1134"/>
        <v>46357</v>
      </c>
      <c r="CP93" s="163">
        <f t="shared" si="1135"/>
        <v>46387</v>
      </c>
      <c r="CQ93" s="167">
        <f t="shared" si="1136"/>
        <v>0</v>
      </c>
    </row>
    <row r="94" s="89" customFormat="1" ht="24" hidden="1" customHeight="1" outlineLevel="4" spans="1:95">
      <c r="A94" s="132" t="s">
        <v>2813</v>
      </c>
      <c r="B94" s="133"/>
      <c r="C94" s="133"/>
      <c r="D94" s="133"/>
      <c r="E94" s="133"/>
      <c r="F94" s="133"/>
      <c r="G94" s="134"/>
      <c r="H94" s="135"/>
      <c r="I94" s="135"/>
      <c r="J94" s="135"/>
      <c r="K94" s="135"/>
      <c r="L94" s="158"/>
      <c r="M94" s="158"/>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5"/>
      <c r="CK94" s="135"/>
      <c r="CL94" s="135"/>
      <c r="CM94" s="135"/>
      <c r="CN94" s="135"/>
      <c r="CO94" s="135"/>
      <c r="CP94" s="135"/>
      <c r="CQ94" s="135"/>
    </row>
    <row r="95" ht="24" customHeight="1" outlineLevel="2" collapsed="1" spans="1:95">
      <c r="A95" s="43"/>
      <c r="B95" s="121" t="s">
        <v>787</v>
      </c>
      <c r="C95" s="122" t="s">
        <v>1027</v>
      </c>
      <c r="D95" s="43" t="s">
        <v>1028</v>
      </c>
      <c r="E95" s="121"/>
      <c r="F95" s="121"/>
      <c r="G95" s="121"/>
      <c r="H95" s="123">
        <f>X95+AA95+AD95+AG95+AJ95+AM95+AP95+AS95+AV95+AY95+BB95+BE95</f>
        <v>479722.8</v>
      </c>
      <c r="I95" s="123">
        <f>Y95+AB95+AE95+AH95+AK95+AN95+AQ95+AT95+AW95+AZ95+BC95+BF95</f>
        <v>479722.8</v>
      </c>
      <c r="J95" s="123">
        <f t="shared" si="814"/>
        <v>0</v>
      </c>
      <c r="K95" s="123"/>
      <c r="L95" s="154"/>
      <c r="M95" s="154"/>
      <c r="N95" s="123"/>
      <c r="O95" s="123"/>
      <c r="P95" s="123"/>
      <c r="Q95" s="123"/>
      <c r="R95" s="123"/>
      <c r="S95" s="123"/>
      <c r="T95" s="123"/>
      <c r="U95" s="123"/>
      <c r="V95" s="123"/>
      <c r="W95" s="123"/>
      <c r="X95" s="123">
        <f>VLOOKUP($C95,'1 预算编制表单'!$C:$BJ,27,FALSE)</f>
        <v>39976.9</v>
      </c>
      <c r="Y95" s="123">
        <f>X95-Z95</f>
        <v>39976.9</v>
      </c>
      <c r="Z95" s="123">
        <f>Z96+Z102+Z108</f>
        <v>0</v>
      </c>
      <c r="AA95" s="123">
        <f>VLOOKUP($C95,'1 预算编制表单'!$C:$BJ,30,FALSE)</f>
        <v>39976.9</v>
      </c>
      <c r="AB95" s="123">
        <f>AA95-AC95</f>
        <v>39976.9</v>
      </c>
      <c r="AC95" s="123">
        <f>AC96+AC102+AC108</f>
        <v>0</v>
      </c>
      <c r="AD95" s="123">
        <f>VLOOKUP($C95,'1 预算编制表单'!$C:$BJ,33,FALSE)</f>
        <v>39976.9</v>
      </c>
      <c r="AE95" s="123">
        <f>AD95-AF95</f>
        <v>39976.9</v>
      </c>
      <c r="AF95" s="123">
        <f>AF96+AF102+AF108</f>
        <v>0</v>
      </c>
      <c r="AG95" s="123">
        <f>VLOOKUP($C95,'1 预算编制表单'!$C:$BJ,36,FALSE)</f>
        <v>39976.9</v>
      </c>
      <c r="AH95" s="123">
        <f>AG95-AI95</f>
        <v>39976.9</v>
      </c>
      <c r="AI95" s="123">
        <f>AI96+AI102+AI108</f>
        <v>0</v>
      </c>
      <c r="AJ95" s="123">
        <f>VLOOKUP($C95,'1 预算编制表单'!$C:$BJ,39,FALSE)</f>
        <v>39976.9</v>
      </c>
      <c r="AK95" s="123">
        <f>AJ95-AL95</f>
        <v>39976.9</v>
      </c>
      <c r="AL95" s="123">
        <f>AL96+AL102+AL108</f>
        <v>0</v>
      </c>
      <c r="AM95" s="123">
        <f>VLOOKUP($C95,'1 预算编制表单'!$C:$BJ,42,FALSE)</f>
        <v>39976.9</v>
      </c>
      <c r="AN95" s="123">
        <f>AM95-AO95</f>
        <v>39976.9</v>
      </c>
      <c r="AO95" s="123">
        <f>AO96+AO102+AO108</f>
        <v>0</v>
      </c>
      <c r="AP95" s="123">
        <f>VLOOKUP($C95,'1 预算编制表单'!$C:$BJ,45,FALSE)</f>
        <v>39976.9</v>
      </c>
      <c r="AQ95" s="123">
        <f>AP95-AR95</f>
        <v>39976.9</v>
      </c>
      <c r="AR95" s="123">
        <f>AR96+AR102+AR108</f>
        <v>0</v>
      </c>
      <c r="AS95" s="123">
        <f>VLOOKUP($C95,'1 预算编制表单'!$C:$BJ,48,FALSE)</f>
        <v>39976.9</v>
      </c>
      <c r="AT95" s="123">
        <f>AS95-AU95</f>
        <v>39976.9</v>
      </c>
      <c r="AU95" s="123">
        <f>AU96+AU102+AU108</f>
        <v>0</v>
      </c>
      <c r="AV95" s="123">
        <f>VLOOKUP($C95,'1 预算编制表单'!$C:$BJ,51,FALSE)</f>
        <v>39976.9</v>
      </c>
      <c r="AW95" s="123">
        <f>AV95-AX95</f>
        <v>39976.9</v>
      </c>
      <c r="AX95" s="123">
        <f>AX96+AX102+AX108</f>
        <v>0</v>
      </c>
      <c r="AY95" s="123">
        <f>VLOOKUP($C95,'1 预算编制表单'!$C:$BJ,54,FALSE)</f>
        <v>39976.9</v>
      </c>
      <c r="AZ95" s="123">
        <f>AY95-BA95</f>
        <v>39976.9</v>
      </c>
      <c r="BA95" s="123">
        <f>BA96+BA102+BA108</f>
        <v>0</v>
      </c>
      <c r="BB95" s="123">
        <f>VLOOKUP($C95,'1 预算编制表单'!$C:$BJ,57,FALSE)</f>
        <v>39976.9</v>
      </c>
      <c r="BC95" s="123">
        <f>BB95-BD95</f>
        <v>39976.9</v>
      </c>
      <c r="BD95" s="123">
        <f>BD96+BD102+BD108</f>
        <v>0</v>
      </c>
      <c r="BE95" s="123">
        <f>VLOOKUP($C95,'1 预算编制表单'!$C:$BJ,60,FALSE)</f>
        <v>39976.9</v>
      </c>
      <c r="BF95" s="123">
        <f>BE95-BG95</f>
        <v>39976.9</v>
      </c>
      <c r="BG95" s="123">
        <f>BG96+BG102+BG108</f>
        <v>0</v>
      </c>
      <c r="BH95" s="123">
        <f>VLOOKUP($C95,'1 预算编制表单'!$C:$BJ,27,FALSE)</f>
        <v>39976.9</v>
      </c>
      <c r="BI95" s="123">
        <f>BH95-BJ95</f>
        <v>39976.9</v>
      </c>
      <c r="BJ95" s="123">
        <f>BJ96+BJ102+BJ108</f>
        <v>0</v>
      </c>
      <c r="BK95" s="123">
        <f>VLOOKUP($C95,'1 预算编制表单'!$C:$BJ,30,FALSE)</f>
        <v>39976.9</v>
      </c>
      <c r="BL95" s="123">
        <f>BK95-BM95</f>
        <v>39976.9</v>
      </c>
      <c r="BM95" s="123">
        <f>BM96+BM102+BM108</f>
        <v>0</v>
      </c>
      <c r="BN95" s="123">
        <f>VLOOKUP($C95,'1 预算编制表单'!$C:$BJ,33,FALSE)</f>
        <v>39976.9</v>
      </c>
      <c r="BO95" s="123">
        <f>BN95-BP95</f>
        <v>39976.9</v>
      </c>
      <c r="BP95" s="123">
        <f>BP96+BP102+BP108</f>
        <v>0</v>
      </c>
      <c r="BQ95" s="123">
        <f>VLOOKUP($C95,'1 预算编制表单'!$C:$BJ,36,FALSE)</f>
        <v>39976.9</v>
      </c>
      <c r="BR95" s="123">
        <f>BQ95-BS95</f>
        <v>39976.9</v>
      </c>
      <c r="BS95" s="123">
        <f>BS96+BS102+BS108</f>
        <v>0</v>
      </c>
      <c r="BT95" s="123">
        <f>VLOOKUP($C95,'1 预算编制表单'!$C:$BJ,39,FALSE)</f>
        <v>39976.9</v>
      </c>
      <c r="BU95" s="123">
        <f>BT95-BV95</f>
        <v>39976.9</v>
      </c>
      <c r="BV95" s="123">
        <f>BV96+BV102+BV108</f>
        <v>0</v>
      </c>
      <c r="BW95" s="123">
        <f>VLOOKUP($C95,'1 预算编制表单'!$C:$BJ,42,FALSE)</f>
        <v>39976.9</v>
      </c>
      <c r="BX95" s="123">
        <f>BW95-BY95</f>
        <v>39976.9</v>
      </c>
      <c r="BY95" s="123">
        <f>BY96+BY102+BY108</f>
        <v>0</v>
      </c>
      <c r="BZ95" s="123">
        <f>VLOOKUP($C95,'1 预算编制表单'!$C:$BJ,45,FALSE)</f>
        <v>39976.9</v>
      </c>
      <c r="CA95" s="123">
        <f>BZ95-CB95</f>
        <v>39976.9</v>
      </c>
      <c r="CB95" s="123">
        <f>CB96+CB102+CB108</f>
        <v>0</v>
      </c>
      <c r="CC95" s="123">
        <f>VLOOKUP($C95,'1 预算编制表单'!$C:$BJ,48,FALSE)</f>
        <v>39976.9</v>
      </c>
      <c r="CD95" s="123">
        <f>CC95-CE95</f>
        <v>39976.9</v>
      </c>
      <c r="CE95" s="123">
        <f>CE96+CE102+CE108</f>
        <v>0</v>
      </c>
      <c r="CF95" s="123">
        <f>VLOOKUP($C95,'1 预算编制表单'!$C:$BJ,51,FALSE)</f>
        <v>39976.9</v>
      </c>
      <c r="CG95" s="123">
        <f>CF95-CH95</f>
        <v>39976.9</v>
      </c>
      <c r="CH95" s="123">
        <f>CH96+CH102+CH108</f>
        <v>0</v>
      </c>
      <c r="CI95" s="123">
        <f>VLOOKUP($C95,'1 预算编制表单'!$C:$BJ,54,FALSE)</f>
        <v>39976.9</v>
      </c>
      <c r="CJ95" s="123">
        <f>CI95-CK95</f>
        <v>39976.9</v>
      </c>
      <c r="CK95" s="123">
        <f>CK96+CK102+CK108</f>
        <v>0</v>
      </c>
      <c r="CL95" s="123">
        <f>VLOOKUP($C95,'1 预算编制表单'!$C:$BJ,57,FALSE)</f>
        <v>39976.9</v>
      </c>
      <c r="CM95" s="123">
        <f>CL95-CN95</f>
        <v>39976.9</v>
      </c>
      <c r="CN95" s="123">
        <f>CN96+CN102+CN108</f>
        <v>0</v>
      </c>
      <c r="CO95" s="123">
        <f>VLOOKUP($C95,'1 预算编制表单'!$C:$BJ,60,FALSE)</f>
        <v>39976.9</v>
      </c>
      <c r="CP95" s="123">
        <f>CO95-CQ95</f>
        <v>39976.9</v>
      </c>
      <c r="CQ95" s="123">
        <f>CQ96+CQ102+CQ108</f>
        <v>0</v>
      </c>
    </row>
    <row r="96" ht="24" hidden="1" customHeight="1" outlineLevel="3" collapsed="1" spans="1:95">
      <c r="A96" s="124"/>
      <c r="B96" s="125" t="s">
        <v>792</v>
      </c>
      <c r="C96" s="126" t="s">
        <v>121</v>
      </c>
      <c r="D96" s="124" t="s">
        <v>109</v>
      </c>
      <c r="E96" s="125"/>
      <c r="F96" s="125"/>
      <c r="G96" s="125"/>
      <c r="H96" s="127">
        <f>X96+AA96+AD96+AG96+AJ96+AM96+AP96+AS96+AV96+AY96+BB96+BE96</f>
        <v>479722.8</v>
      </c>
      <c r="I96" s="127">
        <f>Y96+AB96+AE96+AH96+AK96+AN96+AQ96+AT96+AW96+AZ96+BC96+BF96</f>
        <v>479722.8</v>
      </c>
      <c r="J96" s="127">
        <f t="shared" si="814"/>
        <v>0</v>
      </c>
      <c r="K96" s="127"/>
      <c r="L96" s="155"/>
      <c r="M96" s="155"/>
      <c r="N96" s="127"/>
      <c r="O96" s="127"/>
      <c r="P96" s="127"/>
      <c r="Q96" s="127"/>
      <c r="R96" s="127"/>
      <c r="S96" s="127"/>
      <c r="T96" s="127"/>
      <c r="U96" s="127"/>
      <c r="V96" s="127"/>
      <c r="W96" s="127"/>
      <c r="X96" s="127">
        <f>VLOOKUP($C96,'1 预算编制表单'!$C:$BJ,27,FALSE)</f>
        <v>39976.9</v>
      </c>
      <c r="Y96" s="127">
        <f>X96-Z96</f>
        <v>39976.9</v>
      </c>
      <c r="Z96" s="127">
        <f>SUM(Z97:Z101)</f>
        <v>0</v>
      </c>
      <c r="AA96" s="127">
        <f>VLOOKUP($C96,'1 预算编制表单'!$C:$BJ,30,FALSE)</f>
        <v>39976.9</v>
      </c>
      <c r="AB96" s="127">
        <f>AA96-AC96</f>
        <v>39976.9</v>
      </c>
      <c r="AC96" s="127">
        <f>SUM(AC97:AC101)</f>
        <v>0</v>
      </c>
      <c r="AD96" s="127">
        <f>VLOOKUP($C96,'1 预算编制表单'!$C:$BJ,33,FALSE)</f>
        <v>39976.9</v>
      </c>
      <c r="AE96" s="127">
        <f>AD96-AF96</f>
        <v>39976.9</v>
      </c>
      <c r="AF96" s="127">
        <f>SUM(AF97:AF101)</f>
        <v>0</v>
      </c>
      <c r="AG96" s="127">
        <f>VLOOKUP($C96,'1 预算编制表单'!$C:$BJ,36,FALSE)</f>
        <v>39976.9</v>
      </c>
      <c r="AH96" s="127">
        <f>AG96-AI96</f>
        <v>39976.9</v>
      </c>
      <c r="AI96" s="127">
        <f>SUM(AI97:AI101)</f>
        <v>0</v>
      </c>
      <c r="AJ96" s="127">
        <f>VLOOKUP($C96,'1 预算编制表单'!$C:$BJ,39,FALSE)</f>
        <v>39976.9</v>
      </c>
      <c r="AK96" s="127">
        <f>AJ96-AL96</f>
        <v>39976.9</v>
      </c>
      <c r="AL96" s="127">
        <f>SUM(AL97:AL101)</f>
        <v>0</v>
      </c>
      <c r="AM96" s="127">
        <f>VLOOKUP($C96,'1 预算编制表单'!$C:$BJ,42,FALSE)</f>
        <v>39976.9</v>
      </c>
      <c r="AN96" s="127">
        <f>AM96-AO96</f>
        <v>39976.9</v>
      </c>
      <c r="AO96" s="127">
        <f>SUM(AO97:AO101)</f>
        <v>0</v>
      </c>
      <c r="AP96" s="127">
        <f>VLOOKUP($C96,'1 预算编制表单'!$C:$BJ,45,FALSE)</f>
        <v>39976.9</v>
      </c>
      <c r="AQ96" s="127">
        <f>AP96-AR96</f>
        <v>39976.9</v>
      </c>
      <c r="AR96" s="127">
        <f>SUM(AR97:AR101)</f>
        <v>0</v>
      </c>
      <c r="AS96" s="127">
        <f>VLOOKUP($C96,'1 预算编制表单'!$C:$BJ,48,FALSE)</f>
        <v>39976.9</v>
      </c>
      <c r="AT96" s="127">
        <f>AS96-AU96</f>
        <v>39976.9</v>
      </c>
      <c r="AU96" s="127">
        <f>SUM(AU97:AU101)</f>
        <v>0</v>
      </c>
      <c r="AV96" s="127">
        <f>VLOOKUP($C96,'1 预算编制表单'!$C:$BJ,51,FALSE)</f>
        <v>39976.9</v>
      </c>
      <c r="AW96" s="127">
        <f>AV96-AX96</f>
        <v>39976.9</v>
      </c>
      <c r="AX96" s="127">
        <f>SUM(AX97:AX101)</f>
        <v>0</v>
      </c>
      <c r="AY96" s="127">
        <f>VLOOKUP($C96,'1 预算编制表单'!$C:$BJ,54,FALSE)</f>
        <v>39976.9</v>
      </c>
      <c r="AZ96" s="127">
        <f>AY96-BA96</f>
        <v>39976.9</v>
      </c>
      <c r="BA96" s="127">
        <f>SUM(BA97:BA101)</f>
        <v>0</v>
      </c>
      <c r="BB96" s="127">
        <f>VLOOKUP($C96,'1 预算编制表单'!$C:$BJ,57,FALSE)</f>
        <v>39976.9</v>
      </c>
      <c r="BC96" s="127">
        <f>BB96-BD96</f>
        <v>39976.9</v>
      </c>
      <c r="BD96" s="127">
        <f>SUM(BD97:BD101)</f>
        <v>0</v>
      </c>
      <c r="BE96" s="127">
        <f>VLOOKUP($C96,'1 预算编制表单'!$C:$BJ,60,FALSE)</f>
        <v>39976.9</v>
      </c>
      <c r="BF96" s="127">
        <f>BE96-BG96</f>
        <v>39976.9</v>
      </c>
      <c r="BG96" s="127">
        <f>SUM(BG97:BG101)</f>
        <v>0</v>
      </c>
      <c r="BH96" s="127">
        <f>VLOOKUP($C96,'1 预算编制表单'!$C:$BJ,27,FALSE)</f>
        <v>39976.9</v>
      </c>
      <c r="BI96" s="127">
        <f>BH96-BJ96</f>
        <v>39976.9</v>
      </c>
      <c r="BJ96" s="127">
        <f>SUM(BJ97:BJ101)</f>
        <v>0</v>
      </c>
      <c r="BK96" s="127">
        <f>VLOOKUP($C96,'1 预算编制表单'!$C:$BJ,30,FALSE)</f>
        <v>39976.9</v>
      </c>
      <c r="BL96" s="127">
        <f>BK96-BM96</f>
        <v>39976.9</v>
      </c>
      <c r="BM96" s="127">
        <f>SUM(BM97:BM101)</f>
        <v>0</v>
      </c>
      <c r="BN96" s="127">
        <f>VLOOKUP($C96,'1 预算编制表单'!$C:$BJ,33,FALSE)</f>
        <v>39976.9</v>
      </c>
      <c r="BO96" s="127">
        <f>BN96-BP96</f>
        <v>39976.9</v>
      </c>
      <c r="BP96" s="127">
        <f>SUM(BP97:BP101)</f>
        <v>0</v>
      </c>
      <c r="BQ96" s="127">
        <f>VLOOKUP($C96,'1 预算编制表单'!$C:$BJ,36,FALSE)</f>
        <v>39976.9</v>
      </c>
      <c r="BR96" s="127">
        <f>BQ96-BS96</f>
        <v>39976.9</v>
      </c>
      <c r="BS96" s="127">
        <f>SUM(BS97:BS101)</f>
        <v>0</v>
      </c>
      <c r="BT96" s="127">
        <f>VLOOKUP($C96,'1 预算编制表单'!$C:$BJ,39,FALSE)</f>
        <v>39976.9</v>
      </c>
      <c r="BU96" s="127">
        <f>BT96-BV96</f>
        <v>39976.9</v>
      </c>
      <c r="BV96" s="127">
        <f>SUM(BV97:BV101)</f>
        <v>0</v>
      </c>
      <c r="BW96" s="127">
        <f>VLOOKUP($C96,'1 预算编制表单'!$C:$BJ,42,FALSE)</f>
        <v>39976.9</v>
      </c>
      <c r="BX96" s="127">
        <f>BW96-BY96</f>
        <v>39976.9</v>
      </c>
      <c r="BY96" s="127">
        <f>SUM(BY97:BY101)</f>
        <v>0</v>
      </c>
      <c r="BZ96" s="127">
        <f>VLOOKUP($C96,'1 预算编制表单'!$C:$BJ,45,FALSE)</f>
        <v>39976.9</v>
      </c>
      <c r="CA96" s="127">
        <f>BZ96-CB96</f>
        <v>39976.9</v>
      </c>
      <c r="CB96" s="127">
        <f>SUM(CB97:CB101)</f>
        <v>0</v>
      </c>
      <c r="CC96" s="127">
        <f>VLOOKUP($C96,'1 预算编制表单'!$C:$BJ,48,FALSE)</f>
        <v>39976.9</v>
      </c>
      <c r="CD96" s="127">
        <f>CC96-CE96</f>
        <v>39976.9</v>
      </c>
      <c r="CE96" s="127">
        <f>SUM(CE97:CE101)</f>
        <v>0</v>
      </c>
      <c r="CF96" s="127">
        <f>VLOOKUP($C96,'1 预算编制表单'!$C:$BJ,51,FALSE)</f>
        <v>39976.9</v>
      </c>
      <c r="CG96" s="127">
        <f>CF96-CH96</f>
        <v>39976.9</v>
      </c>
      <c r="CH96" s="127">
        <f>SUM(CH97:CH101)</f>
        <v>0</v>
      </c>
      <c r="CI96" s="127">
        <f>VLOOKUP($C96,'1 预算编制表单'!$C:$BJ,54,FALSE)</f>
        <v>39976.9</v>
      </c>
      <c r="CJ96" s="127">
        <f>CI96-CK96</f>
        <v>39976.9</v>
      </c>
      <c r="CK96" s="127">
        <f>SUM(CK97:CK101)</f>
        <v>0</v>
      </c>
      <c r="CL96" s="127">
        <f>VLOOKUP($C96,'1 预算编制表单'!$C:$BJ,57,FALSE)</f>
        <v>39976.9</v>
      </c>
      <c r="CM96" s="127">
        <f>CL96-CN96</f>
        <v>39976.9</v>
      </c>
      <c r="CN96" s="127">
        <f>SUM(CN97:CN101)</f>
        <v>0</v>
      </c>
      <c r="CO96" s="127">
        <f>VLOOKUP($C96,'1 预算编制表单'!$C:$BJ,60,FALSE)</f>
        <v>39976.9</v>
      </c>
      <c r="CP96" s="127">
        <f>CO96-CQ96</f>
        <v>39976.9</v>
      </c>
      <c r="CQ96" s="127">
        <f>SUM(CQ97:CQ101)</f>
        <v>0</v>
      </c>
    </row>
    <row r="97" s="89" customFormat="1" ht="24" hidden="1" customHeight="1" outlineLevel="4" spans="1:95">
      <c r="A97" s="128"/>
      <c r="B97" s="129"/>
      <c r="C97" s="130"/>
      <c r="D97" s="128"/>
      <c r="E97" s="129"/>
      <c r="F97" s="129"/>
      <c r="G97" s="129"/>
      <c r="H97" s="131"/>
      <c r="I97" s="131"/>
      <c r="J97" s="131">
        <f t="shared" si="814"/>
        <v>0</v>
      </c>
      <c r="K97" s="131">
        <v>1</v>
      </c>
      <c r="L97" s="156"/>
      <c r="M97" s="157">
        <f>IFERROR(VLOOKUP($L97,'2-2 引出数据_合同数据仓库'!$B$5:$BP$200,3,FALSE),0)</f>
        <v>0</v>
      </c>
      <c r="N97" s="131"/>
      <c r="O97" s="157">
        <f>IFERROR(VLOOKUP((LEFT(VLOOKUP($L97,'2-2 引出数据_合同数据仓库'!$B$5:$BP$200,64,FALSE),15)&amp;(RIGHT(VLOOKUP($L97,'2-2 引出数据_合同数据仓库'!$B$5:$BP$200,64,FALSE),4)+1)),'2-2 引出数据_合同数据仓库'!$B$5:$BP$200,3,FALSE),0)</f>
        <v>0</v>
      </c>
      <c r="P97" s="131"/>
      <c r="Q97" s="131">
        <f>IFERROR(VLOOKUP($L97,'2-2 引出数据_合同数据仓库'!$B$5:$BP$200,28,FALSE),0)</f>
        <v>0</v>
      </c>
      <c r="R97" s="131">
        <f>IFERROR(VLOOKUP($L97,'2-2 引出数据_合同数据仓库'!$B$5:$BP$200,29,FALSE),0)</f>
        <v>0</v>
      </c>
      <c r="S97" s="131">
        <f>IFERROR(VLOOKUP($L97,'2-2 引出数据_合同数据仓库'!$B$5:$BP$200,4,FALSE),0)</f>
        <v>0</v>
      </c>
      <c r="T97" s="131"/>
      <c r="U97" s="131">
        <f>IFERROR(VLOOKUP($L97,'2-2 引出数据_合同数据仓库'!$B$5:$BP$200,15,FALSE),0)</f>
        <v>0</v>
      </c>
      <c r="V97" s="131">
        <f t="shared" ref="V97:V100" si="1138">U97/(S97-R97+1)*365</f>
        <v>0</v>
      </c>
      <c r="W97" s="131"/>
      <c r="X97" s="163">
        <v>45658</v>
      </c>
      <c r="Y97" s="163">
        <f t="shared" ref="Y97:Y100" si="1139">X97+30</f>
        <v>45688</v>
      </c>
      <c r="Z97" s="167">
        <f t="shared" ref="Z97:Z100" si="1140">IFERROR(IF(($R97-Y97)&gt;=0,0,IF(($S97-X97)&lt;0,0,IF(AND(($S97-Y97)&gt;0,(X97-$R97)&gt;0),$V97/365*(Y97-X97+1),IF(AND(($S97-Y97)&lt;=0,(X97-$R97)&gt;0),$V97/365*($S97-X97+1),$V97/365*(Y97-$R97+1))))),0)</f>
        <v>0</v>
      </c>
      <c r="AA97" s="163">
        <f t="shared" ref="AA97:AA100" si="1141">Y97+1</f>
        <v>45689</v>
      </c>
      <c r="AB97" s="163">
        <f t="shared" ref="AB97:AB100" si="1142">AA97+27</f>
        <v>45716</v>
      </c>
      <c r="AC97" s="167">
        <f t="shared" ref="AC97:AC100" si="1143">IFERROR(IF(($R97-AB97)&gt;=0,0,IF(($S97-AA97)&lt;0,0,IF(AND(($S97-AB97)&gt;0,(AA97-$R97)&gt;0),$V97/365*(AB97-AA97+1),IF(AND(($S97-AB97)&lt;=0,(AA97-$R97)&gt;0),$V97/365*($S97-AA97+1),$V97/365*(AB97-$R97+1))))),0)</f>
        <v>0</v>
      </c>
      <c r="AD97" s="163">
        <f t="shared" ref="AD97:AD100" si="1144">AB97+1</f>
        <v>45717</v>
      </c>
      <c r="AE97" s="163">
        <f t="shared" ref="AE97:AE100" si="1145">AD97+30</f>
        <v>45747</v>
      </c>
      <c r="AF97" s="167">
        <f t="shared" ref="AF97:AF100" si="1146">IFERROR(IF(($R97-AE97)&gt;=0,0,IF(($S97-AD97)&lt;0,0,IF(AND(($S97-AE97)&gt;0,(AD97-$R97)&gt;0),$V97/365*(AE97-AD97+1),IF(AND(($S97-AE97)&lt;=0,(AD97-$R97)&gt;0),$V97/365*($S97-AD97+1),$V97/365*(AE97-$R97+1))))),0)</f>
        <v>0</v>
      </c>
      <c r="AG97" s="163">
        <f t="shared" ref="AG97:AG100" si="1147">AE97+1</f>
        <v>45748</v>
      </c>
      <c r="AH97" s="163">
        <f t="shared" ref="AH97:AH100" si="1148">AG97+29</f>
        <v>45777</v>
      </c>
      <c r="AI97" s="167">
        <f t="shared" ref="AI97:AI100" si="1149">IFERROR(IF(($R97-AH97)&gt;=0,0,IF(($S97-AG97)&lt;0,0,IF(AND(($S97-AH97)&gt;0,(AG97-$R97)&gt;0),$V97/365*(AH97-AG97+1),IF(AND(($S97-AH97)&lt;=0,(AG97-$R97)&gt;0),$V97/365*($S97-AG97+1),$V97/365*(AH97-$R97+1))))),0)</f>
        <v>0</v>
      </c>
      <c r="AJ97" s="163">
        <f t="shared" ref="AJ97:AJ100" si="1150">AH97+1</f>
        <v>45778</v>
      </c>
      <c r="AK97" s="163">
        <f t="shared" ref="AK97:AK100" si="1151">AJ97+30</f>
        <v>45808</v>
      </c>
      <c r="AL97" s="167">
        <f t="shared" ref="AL97:AL100" si="1152">IFERROR(IF(($R97-AK97)&gt;=0,0,IF(($S97-AJ97)&lt;0,0,IF(AND(($S97-AK97)&gt;0,(AJ97-$R97)&gt;0),$V97/365*(AK97-AJ97+1),IF(AND(($S97-AK97)&lt;=0,(AJ97-$R97)&gt;0),$V97/365*($S97-AJ97+1),$V97/365*(AK97-$R97+1))))),0)</f>
        <v>0</v>
      </c>
      <c r="AM97" s="163">
        <f t="shared" ref="AM97:AM100" si="1153">AK97+1</f>
        <v>45809</v>
      </c>
      <c r="AN97" s="163">
        <f t="shared" ref="AN97:AN100" si="1154">AM97+29</f>
        <v>45838</v>
      </c>
      <c r="AO97" s="167">
        <f t="shared" ref="AO97:AO100" si="1155">IFERROR(IF(($R97-AN97)&gt;=0,0,IF(($S97-AM97)&lt;0,0,IF(AND(($S97-AN97)&gt;0,(AM97-$R97)&gt;0),$V97/365*(AN97-AM97+1),IF(AND(($S97-AN97)&lt;=0,(AM97-$R97)&gt;0),$V97/365*($S97-AM97+1),$V97/365*(AN97-$R97+1))))),0)</f>
        <v>0</v>
      </c>
      <c r="AP97" s="163">
        <f t="shared" ref="AP97:AP100" si="1156">AN97+1</f>
        <v>45839</v>
      </c>
      <c r="AQ97" s="163">
        <f t="shared" ref="AQ97:AQ100" si="1157">AP97+30</f>
        <v>45869</v>
      </c>
      <c r="AR97" s="167">
        <f t="shared" ref="AR97:AR100" si="1158">IFERROR(IF(($R97-AQ97)&gt;=0,0,IF(($S97-AP97)&lt;0,0,IF(AND(($S97-AQ97)&gt;0,(AP97-$R97)&gt;0),$V97/365*(AQ97-AP97+1),IF(AND(($S97-AQ97)&lt;=0,(AP97-$R97)&gt;0),$V97/365*($S97-AP97+1),$V97/365*(AQ97-$R97+1))))),0)</f>
        <v>0</v>
      </c>
      <c r="AS97" s="163">
        <f t="shared" ref="AS97:AS100" si="1159">AQ97+1</f>
        <v>45870</v>
      </c>
      <c r="AT97" s="163">
        <f t="shared" ref="AT97:AT100" si="1160">AS97+30</f>
        <v>45900</v>
      </c>
      <c r="AU97" s="167">
        <f t="shared" ref="AU97:AU100" si="1161">IFERROR(IF(($R97-AT97)&gt;=0,0,IF(($S97-AS97)&lt;0,0,IF(AND(($S97-AT97)&gt;0,(AS97-$R97)&gt;0),$V97/365*(AT97-AS97+1),IF(AND(($S97-AT97)&lt;=0,(AS97-$R97)&gt;0),$V97/365*($S97-AS97+1),$V97/365*(AT97-$R97+1))))),0)</f>
        <v>0</v>
      </c>
      <c r="AV97" s="163">
        <f t="shared" ref="AV97:AV100" si="1162">AT97+1</f>
        <v>45901</v>
      </c>
      <c r="AW97" s="163">
        <f t="shared" ref="AW97:AW100" si="1163">AV97+29</f>
        <v>45930</v>
      </c>
      <c r="AX97" s="167">
        <f t="shared" ref="AX97:AX100" si="1164">IFERROR(IF(($R97-AW97)&gt;=0,0,IF(($S97-AV97)&lt;0,0,IF(AND(($S97-AW97)&gt;0,(AV97-$R97)&gt;0),$V97/365*(AW97-AV97+1),IF(AND(($S97-AW97)&lt;=0,(AV97-$R97)&gt;0),$V97/365*($S97-AV97+1),$V97/365*(AW97-$R97+1))))),0)</f>
        <v>0</v>
      </c>
      <c r="AY97" s="163">
        <f t="shared" ref="AY97:AY100" si="1165">AW97+1</f>
        <v>45931</v>
      </c>
      <c r="AZ97" s="163">
        <f t="shared" ref="AZ97:AZ100" si="1166">AY97+30</f>
        <v>45961</v>
      </c>
      <c r="BA97" s="167">
        <f t="shared" ref="BA97:BA100" si="1167">IFERROR(IF(($R97-AZ97)&gt;=0,0,IF(($S97-AY97)&lt;0,0,IF(AND(($S97-AZ97)&gt;0,(AY97-$R97)&gt;0),$V97/365*(AZ97-AY97+1),IF(AND(($S97-AZ97)&lt;=0,(AY97-$R97)&gt;0),$V97/365*($S97-AY97+1),$V97/365*(AZ97-$R97+1))))),0)</f>
        <v>0</v>
      </c>
      <c r="BB97" s="163">
        <f t="shared" ref="BB97:BB100" si="1168">AZ97+1</f>
        <v>45962</v>
      </c>
      <c r="BC97" s="163">
        <f t="shared" ref="BC97:BC100" si="1169">BB97+29</f>
        <v>45991</v>
      </c>
      <c r="BD97" s="167">
        <f t="shared" ref="BD97:BD100" si="1170">IFERROR(IF(($R97-BC97)&gt;=0,0,IF(($S97-BB97)&lt;0,0,IF(AND(($S97-BC97)&gt;0,(BB97-$R97)&gt;0),$V97/365*(BC97-BB97+1),IF(AND(($S97-BC97)&lt;=0,(BB97-$R97)&gt;0),$V97/365*($S97-BB97+1),$V97/365*(BC97-$R97+1))))),0)</f>
        <v>0</v>
      </c>
      <c r="BE97" s="163">
        <f t="shared" ref="BE97:BE100" si="1171">BC97+1</f>
        <v>45992</v>
      </c>
      <c r="BF97" s="163">
        <f t="shared" ref="BF97:BF100" si="1172">BE97+30</f>
        <v>46022</v>
      </c>
      <c r="BG97" s="167">
        <f t="shared" ref="BG97:BG100" si="1173">IFERROR(IF(($R97-BF97)&gt;=0,0,IF(($S97-BE97)&lt;0,0,IF(AND(($S97-BF97)&gt;0,(BE97-$R97)&gt;0),$V97/365*(BF97-BE97+1),IF(AND(($S97-BF97)&lt;=0,(BE97-$R97)&gt;0),$V97/365*($S97-BE97+1),$V97/365*(BF97-$R97+1))))),0)</f>
        <v>0</v>
      </c>
      <c r="BH97" s="163">
        <v>46023</v>
      </c>
      <c r="BI97" s="163">
        <f t="shared" ref="BI97:BI100" si="1174">BH97+30</f>
        <v>46053</v>
      </c>
      <c r="BJ97" s="167">
        <f t="shared" ref="BJ97:BJ100" si="1175">IFERROR(IF(($R97-BI97)&gt;=0,0,IF(($S97-BH97)&lt;0,0,IF(AND(($S97-BI97)&gt;0,(BH97-$R97)&gt;0),$V97/365*(BI97-BH97+1),IF(AND(($S97-BI97)&lt;=0,(BH97-$R97)&gt;0),$V97/365*($S97-BH97+1),$V97/365*(BI97-$R97+1))))),0)</f>
        <v>0</v>
      </c>
      <c r="BK97" s="163">
        <f t="shared" ref="BK97:BK100" si="1176">BI97+1</f>
        <v>46054</v>
      </c>
      <c r="BL97" s="163">
        <f t="shared" ref="BL97:BL100" si="1177">BK97+27</f>
        <v>46081</v>
      </c>
      <c r="BM97" s="167">
        <f t="shared" ref="BM97:BM100" si="1178">IFERROR(IF(($R97-BL97)&gt;=0,0,IF(($S97-BK97)&lt;0,0,IF(AND(($S97-BL97)&gt;0,(BK97-$R97)&gt;0),$V97/365*(BL97-BK97+1),IF(AND(($S97-BL97)&lt;=0,(BK97-$R97)&gt;0),$V97/365*($S97-BK97+1),$V97/365*(BL97-$R97+1))))),0)</f>
        <v>0</v>
      </c>
      <c r="BN97" s="163">
        <f t="shared" ref="BN97:BN100" si="1179">BL97+1</f>
        <v>46082</v>
      </c>
      <c r="BO97" s="163">
        <f t="shared" ref="BO97:BO100" si="1180">BN97+30</f>
        <v>46112</v>
      </c>
      <c r="BP97" s="167">
        <f t="shared" ref="BP97:BP100" si="1181">IFERROR(IF(($R97-BO97)&gt;=0,0,IF(($S97-BN97)&lt;0,0,IF(AND(($S97-BO97)&gt;0,(BN97-$R97)&gt;0),$V97/365*(BO97-BN97+1),IF(AND(($S97-BO97)&lt;=0,(BN97-$R97)&gt;0),$V97/365*($S97-BN97+1),$V97/365*(BO97-$R97+1))))),0)</f>
        <v>0</v>
      </c>
      <c r="BQ97" s="163">
        <f t="shared" ref="BQ97:BQ100" si="1182">BO97+1</f>
        <v>46113</v>
      </c>
      <c r="BR97" s="163">
        <f t="shared" ref="BR97:BR100" si="1183">BQ97+29</f>
        <v>46142</v>
      </c>
      <c r="BS97" s="167">
        <f t="shared" ref="BS97:BS100" si="1184">IFERROR(IF(($R97-BR97)&gt;=0,0,IF(($S97-BQ97)&lt;0,0,IF(AND(($S97-BR97)&gt;0,(BQ97-$R97)&gt;0),$V97/365*(BR97-BQ97+1),IF(AND(($S97-BR97)&lt;=0,(BQ97-$R97)&gt;0),$V97/365*($S97-BQ97+1),$V97/365*(BR97-$R97+1))))),0)</f>
        <v>0</v>
      </c>
      <c r="BT97" s="163">
        <f t="shared" ref="BT97:BT100" si="1185">BR97+1</f>
        <v>46143</v>
      </c>
      <c r="BU97" s="163">
        <f t="shared" ref="BU97:BU100" si="1186">BT97+30</f>
        <v>46173</v>
      </c>
      <c r="BV97" s="167">
        <f t="shared" ref="BV97:BV100" si="1187">IFERROR(IF(($R97-BU97)&gt;=0,0,IF(($S97-BT97)&lt;0,0,IF(AND(($S97-BU97)&gt;0,(BT97-$R97)&gt;0),$V97/365*(BU97-BT97+1),IF(AND(($S97-BU97)&lt;=0,(BT97-$R97)&gt;0),$V97/365*($S97-BT97+1),$V97/365*(BU97-$R97+1))))),0)</f>
        <v>0</v>
      </c>
      <c r="BW97" s="163">
        <f t="shared" ref="BW97:BW100" si="1188">BU97+1</f>
        <v>46174</v>
      </c>
      <c r="BX97" s="163">
        <f t="shared" ref="BX97:BX100" si="1189">BW97+29</f>
        <v>46203</v>
      </c>
      <c r="BY97" s="167">
        <f t="shared" ref="BY97:BY100" si="1190">IFERROR(IF(($R97-BX97)&gt;=0,0,IF(($S97-BW97)&lt;0,0,IF(AND(($S97-BX97)&gt;0,(BW97-$R97)&gt;0),$V97/365*(BX97-BW97+1),IF(AND(($S97-BX97)&lt;=0,(BW97-$R97)&gt;0),$V97/365*($S97-BW97+1),$V97/365*(BX97-$R97+1))))),0)</f>
        <v>0</v>
      </c>
      <c r="BZ97" s="163">
        <f t="shared" ref="BZ97:BZ100" si="1191">BX97+1</f>
        <v>46204</v>
      </c>
      <c r="CA97" s="163">
        <f t="shared" ref="CA97:CA100" si="1192">BZ97+30</f>
        <v>46234</v>
      </c>
      <c r="CB97" s="167">
        <f t="shared" ref="CB97:CB100" si="1193">IFERROR(IF(($R97-CA97)&gt;=0,0,IF(($S97-BZ97)&lt;0,0,IF(AND(($S97-CA97)&gt;0,(BZ97-$R97)&gt;0),$V97/365*(CA97-BZ97+1),IF(AND(($S97-CA97)&lt;=0,(BZ97-$R97)&gt;0),$V97/365*($S97-BZ97+1),$V97/365*(CA97-$R97+1))))),0)</f>
        <v>0</v>
      </c>
      <c r="CC97" s="163">
        <f t="shared" ref="CC97:CC100" si="1194">CA97+1</f>
        <v>46235</v>
      </c>
      <c r="CD97" s="163">
        <f t="shared" ref="CD97:CD100" si="1195">CC97+30</f>
        <v>46265</v>
      </c>
      <c r="CE97" s="167">
        <f t="shared" ref="CE97:CE100" si="1196">IFERROR(IF(($R97-CD97)&gt;=0,0,IF(($S97-CC97)&lt;0,0,IF(AND(($S97-CD97)&gt;0,(CC97-$R97)&gt;0),$V97/365*(CD97-CC97+1),IF(AND(($S97-CD97)&lt;=0,(CC97-$R97)&gt;0),$V97/365*($S97-CC97+1),$V97/365*(CD97-$R97+1))))),0)</f>
        <v>0</v>
      </c>
      <c r="CF97" s="163">
        <f t="shared" ref="CF97:CF100" si="1197">CD97+1</f>
        <v>46266</v>
      </c>
      <c r="CG97" s="163">
        <f t="shared" ref="CG97:CG100" si="1198">CF97+29</f>
        <v>46295</v>
      </c>
      <c r="CH97" s="167">
        <f t="shared" ref="CH97:CH100" si="1199">IFERROR(IF(($R97-CG97)&gt;=0,0,IF(($S97-CF97)&lt;0,0,IF(AND(($S97-CG97)&gt;0,(CF97-$R97)&gt;0),$V97/365*(CG97-CF97+1),IF(AND(($S97-CG97)&lt;=0,(CF97-$R97)&gt;0),$V97/365*($S97-CF97+1),$V97/365*(CG97-$R97+1))))),0)</f>
        <v>0</v>
      </c>
      <c r="CI97" s="163">
        <f t="shared" ref="CI97:CI100" si="1200">CG97+1</f>
        <v>46296</v>
      </c>
      <c r="CJ97" s="163">
        <f t="shared" ref="CJ97:CJ100" si="1201">CI97+30</f>
        <v>46326</v>
      </c>
      <c r="CK97" s="167">
        <f t="shared" ref="CK97:CK100" si="1202">IFERROR(IF(($R97-CJ97)&gt;=0,0,IF(($S97-CI97)&lt;0,0,IF(AND(($S97-CJ97)&gt;0,(CI97-$R97)&gt;0),$V97/365*(CJ97-CI97+1),IF(AND(($S97-CJ97)&lt;=0,(CI97-$R97)&gt;0),$V97/365*($S97-CI97+1),$V97/365*(CJ97-$R97+1))))),0)</f>
        <v>0</v>
      </c>
      <c r="CL97" s="163">
        <f t="shared" ref="CL97:CL100" si="1203">CJ97+1</f>
        <v>46327</v>
      </c>
      <c r="CM97" s="163">
        <f t="shared" ref="CM97:CM100" si="1204">CL97+29</f>
        <v>46356</v>
      </c>
      <c r="CN97" s="167">
        <f t="shared" ref="CN97:CN100" si="1205">IFERROR(IF(($R97-CM97)&gt;=0,0,IF(($S97-CL97)&lt;0,0,IF(AND(($S97-CM97)&gt;0,(CL97-$R97)&gt;0),$V97/365*(CM97-CL97+1),IF(AND(($S97-CM97)&lt;=0,(CL97-$R97)&gt;0),$V97/365*($S97-CL97+1),$V97/365*(CM97-$R97+1))))),0)</f>
        <v>0</v>
      </c>
      <c r="CO97" s="163">
        <f t="shared" ref="CO97:CO100" si="1206">CM97+1</f>
        <v>46357</v>
      </c>
      <c r="CP97" s="163">
        <f t="shared" ref="CP97:CP100" si="1207">CO97+30</f>
        <v>46387</v>
      </c>
      <c r="CQ97" s="167">
        <f t="shared" ref="CQ97:CQ100" si="1208">IFERROR(IF(($R97-CP97)&gt;=0,0,IF(($S97-CO97)&lt;0,0,IF(AND(($S97-CP97)&gt;0,(CO97-$R97)&gt;0),$V97/365*(CP97-CO97+1),IF(AND(($S97-CP97)&lt;=0,(CO97-$R97)&gt;0),$V97/365*($S97-CO97+1),$V97/365*(CP97-$R97+1))))),0)</f>
        <v>0</v>
      </c>
    </row>
    <row r="98" s="89" customFormat="1" ht="24" hidden="1" customHeight="1" outlineLevel="4" spans="1:95">
      <c r="A98" s="128"/>
      <c r="B98" s="129"/>
      <c r="C98" s="130"/>
      <c r="D98" s="128"/>
      <c r="E98" s="129"/>
      <c r="F98" s="129"/>
      <c r="G98" s="129"/>
      <c r="H98" s="131"/>
      <c r="I98" s="131"/>
      <c r="J98" s="131">
        <f t="shared" si="814"/>
        <v>0</v>
      </c>
      <c r="K98" s="131">
        <f t="shared" ref="K98:K100" si="1209">K97+1</f>
        <v>2</v>
      </c>
      <c r="L98" s="156"/>
      <c r="M98" s="157">
        <f>IFERROR(VLOOKUP($L98,'2-2 引出数据_合同数据仓库'!$B$5:$BP$200,3,FALSE),0)</f>
        <v>0</v>
      </c>
      <c r="N98" s="131"/>
      <c r="O98" s="157">
        <f>IFERROR(VLOOKUP((LEFT(VLOOKUP($L98,'2-2 引出数据_合同数据仓库'!$B$5:$BP$200,64,FALSE),15)&amp;(RIGHT(VLOOKUP($L98,'2-2 引出数据_合同数据仓库'!$B$5:$BP$200,64,FALSE),4)+1)),'2-2 引出数据_合同数据仓库'!$B$5:$BP$200,3,FALSE),0)</f>
        <v>0</v>
      </c>
      <c r="P98" s="131"/>
      <c r="Q98" s="131">
        <f>IFERROR(VLOOKUP($L98,'2-2 引出数据_合同数据仓库'!$B$5:$BP$200,28,FALSE),0)</f>
        <v>0</v>
      </c>
      <c r="R98" s="131">
        <f>IFERROR(VLOOKUP($L98,'2-2 引出数据_合同数据仓库'!$B$5:$BP$200,29,FALSE),0)</f>
        <v>0</v>
      </c>
      <c r="S98" s="131">
        <f>IFERROR(VLOOKUP($L98,'2-2 引出数据_合同数据仓库'!$B$5:$BP$200,4,FALSE),0)</f>
        <v>0</v>
      </c>
      <c r="T98" s="131"/>
      <c r="U98" s="131">
        <f>IFERROR(VLOOKUP($L98,'2-2 引出数据_合同数据仓库'!$B$5:$BP$200,15,FALSE),0)</f>
        <v>0</v>
      </c>
      <c r="V98" s="131">
        <f t="shared" si="1138"/>
        <v>0</v>
      </c>
      <c r="W98" s="131"/>
      <c r="X98" s="163">
        <v>45658</v>
      </c>
      <c r="Y98" s="163">
        <f t="shared" si="1139"/>
        <v>45688</v>
      </c>
      <c r="Z98" s="167">
        <f t="shared" si="1140"/>
        <v>0</v>
      </c>
      <c r="AA98" s="163">
        <f t="shared" si="1141"/>
        <v>45689</v>
      </c>
      <c r="AB98" s="163">
        <f t="shared" si="1142"/>
        <v>45716</v>
      </c>
      <c r="AC98" s="167">
        <f t="shared" si="1143"/>
        <v>0</v>
      </c>
      <c r="AD98" s="163">
        <f t="shared" si="1144"/>
        <v>45717</v>
      </c>
      <c r="AE98" s="163">
        <f t="shared" si="1145"/>
        <v>45747</v>
      </c>
      <c r="AF98" s="167">
        <f t="shared" si="1146"/>
        <v>0</v>
      </c>
      <c r="AG98" s="163">
        <f t="shared" si="1147"/>
        <v>45748</v>
      </c>
      <c r="AH98" s="163">
        <f t="shared" si="1148"/>
        <v>45777</v>
      </c>
      <c r="AI98" s="167">
        <f t="shared" si="1149"/>
        <v>0</v>
      </c>
      <c r="AJ98" s="163">
        <f t="shared" si="1150"/>
        <v>45778</v>
      </c>
      <c r="AK98" s="163">
        <f t="shared" si="1151"/>
        <v>45808</v>
      </c>
      <c r="AL98" s="167">
        <f t="shared" si="1152"/>
        <v>0</v>
      </c>
      <c r="AM98" s="163">
        <f t="shared" si="1153"/>
        <v>45809</v>
      </c>
      <c r="AN98" s="163">
        <f t="shared" si="1154"/>
        <v>45838</v>
      </c>
      <c r="AO98" s="167">
        <f t="shared" si="1155"/>
        <v>0</v>
      </c>
      <c r="AP98" s="163">
        <f t="shared" si="1156"/>
        <v>45839</v>
      </c>
      <c r="AQ98" s="163">
        <f t="shared" si="1157"/>
        <v>45869</v>
      </c>
      <c r="AR98" s="167">
        <f t="shared" si="1158"/>
        <v>0</v>
      </c>
      <c r="AS98" s="163">
        <f t="shared" si="1159"/>
        <v>45870</v>
      </c>
      <c r="AT98" s="163">
        <f t="shared" si="1160"/>
        <v>45900</v>
      </c>
      <c r="AU98" s="167">
        <f t="shared" si="1161"/>
        <v>0</v>
      </c>
      <c r="AV98" s="163">
        <f t="shared" si="1162"/>
        <v>45901</v>
      </c>
      <c r="AW98" s="163">
        <f t="shared" si="1163"/>
        <v>45930</v>
      </c>
      <c r="AX98" s="167">
        <f t="shared" si="1164"/>
        <v>0</v>
      </c>
      <c r="AY98" s="163">
        <f t="shared" si="1165"/>
        <v>45931</v>
      </c>
      <c r="AZ98" s="163">
        <f t="shared" si="1166"/>
        <v>45961</v>
      </c>
      <c r="BA98" s="167">
        <f t="shared" si="1167"/>
        <v>0</v>
      </c>
      <c r="BB98" s="163">
        <f t="shared" si="1168"/>
        <v>45962</v>
      </c>
      <c r="BC98" s="163">
        <f t="shared" si="1169"/>
        <v>45991</v>
      </c>
      <c r="BD98" s="167">
        <f t="shared" si="1170"/>
        <v>0</v>
      </c>
      <c r="BE98" s="163">
        <f t="shared" si="1171"/>
        <v>45992</v>
      </c>
      <c r="BF98" s="163">
        <f t="shared" si="1172"/>
        <v>46022</v>
      </c>
      <c r="BG98" s="167">
        <f t="shared" si="1173"/>
        <v>0</v>
      </c>
      <c r="BH98" s="163">
        <v>46023</v>
      </c>
      <c r="BI98" s="163">
        <f t="shared" si="1174"/>
        <v>46053</v>
      </c>
      <c r="BJ98" s="167">
        <f t="shared" si="1175"/>
        <v>0</v>
      </c>
      <c r="BK98" s="163">
        <f t="shared" si="1176"/>
        <v>46054</v>
      </c>
      <c r="BL98" s="163">
        <f t="shared" si="1177"/>
        <v>46081</v>
      </c>
      <c r="BM98" s="167">
        <f t="shared" si="1178"/>
        <v>0</v>
      </c>
      <c r="BN98" s="163">
        <f t="shared" si="1179"/>
        <v>46082</v>
      </c>
      <c r="BO98" s="163">
        <f t="shared" si="1180"/>
        <v>46112</v>
      </c>
      <c r="BP98" s="167">
        <f t="shared" si="1181"/>
        <v>0</v>
      </c>
      <c r="BQ98" s="163">
        <f t="shared" si="1182"/>
        <v>46113</v>
      </c>
      <c r="BR98" s="163">
        <f t="shared" si="1183"/>
        <v>46142</v>
      </c>
      <c r="BS98" s="167">
        <f t="shared" si="1184"/>
        <v>0</v>
      </c>
      <c r="BT98" s="163">
        <f t="shared" si="1185"/>
        <v>46143</v>
      </c>
      <c r="BU98" s="163">
        <f t="shared" si="1186"/>
        <v>46173</v>
      </c>
      <c r="BV98" s="167">
        <f t="shared" si="1187"/>
        <v>0</v>
      </c>
      <c r="BW98" s="163">
        <f t="shared" si="1188"/>
        <v>46174</v>
      </c>
      <c r="BX98" s="163">
        <f t="shared" si="1189"/>
        <v>46203</v>
      </c>
      <c r="BY98" s="167">
        <f t="shared" si="1190"/>
        <v>0</v>
      </c>
      <c r="BZ98" s="163">
        <f t="shared" si="1191"/>
        <v>46204</v>
      </c>
      <c r="CA98" s="163">
        <f t="shared" si="1192"/>
        <v>46234</v>
      </c>
      <c r="CB98" s="167">
        <f t="shared" si="1193"/>
        <v>0</v>
      </c>
      <c r="CC98" s="163">
        <f t="shared" si="1194"/>
        <v>46235</v>
      </c>
      <c r="CD98" s="163">
        <f t="shared" si="1195"/>
        <v>46265</v>
      </c>
      <c r="CE98" s="167">
        <f t="shared" si="1196"/>
        <v>0</v>
      </c>
      <c r="CF98" s="163">
        <f t="shared" si="1197"/>
        <v>46266</v>
      </c>
      <c r="CG98" s="163">
        <f t="shared" si="1198"/>
        <v>46295</v>
      </c>
      <c r="CH98" s="167">
        <f t="shared" si="1199"/>
        <v>0</v>
      </c>
      <c r="CI98" s="163">
        <f t="shared" si="1200"/>
        <v>46296</v>
      </c>
      <c r="CJ98" s="163">
        <f t="shared" si="1201"/>
        <v>46326</v>
      </c>
      <c r="CK98" s="167">
        <f t="shared" si="1202"/>
        <v>0</v>
      </c>
      <c r="CL98" s="163">
        <f t="shared" si="1203"/>
        <v>46327</v>
      </c>
      <c r="CM98" s="163">
        <f t="shared" si="1204"/>
        <v>46356</v>
      </c>
      <c r="CN98" s="167">
        <f t="shared" si="1205"/>
        <v>0</v>
      </c>
      <c r="CO98" s="163">
        <f t="shared" si="1206"/>
        <v>46357</v>
      </c>
      <c r="CP98" s="163">
        <f t="shared" si="1207"/>
        <v>46387</v>
      </c>
      <c r="CQ98" s="167">
        <f t="shared" si="1208"/>
        <v>0</v>
      </c>
    </row>
    <row r="99" s="89" customFormat="1" ht="24" hidden="1" customHeight="1" outlineLevel="4" spans="1:95">
      <c r="A99" s="128"/>
      <c r="B99" s="129"/>
      <c r="C99" s="130"/>
      <c r="D99" s="128"/>
      <c r="E99" s="129"/>
      <c r="F99" s="129"/>
      <c r="G99" s="129"/>
      <c r="H99" s="131"/>
      <c r="I99" s="131"/>
      <c r="J99" s="131">
        <f t="shared" si="814"/>
        <v>0</v>
      </c>
      <c r="K99" s="131">
        <f t="shared" si="1209"/>
        <v>3</v>
      </c>
      <c r="L99" s="156"/>
      <c r="M99" s="157">
        <f>IFERROR(VLOOKUP($L99,'2-2 引出数据_合同数据仓库'!$B$5:$BP$200,3,FALSE),0)</f>
        <v>0</v>
      </c>
      <c r="N99" s="131"/>
      <c r="O99" s="157">
        <f>IFERROR(VLOOKUP((LEFT(VLOOKUP($L99,'2-2 引出数据_合同数据仓库'!$B$5:$BP$200,64,FALSE),15)&amp;(RIGHT(VLOOKUP($L99,'2-2 引出数据_合同数据仓库'!$B$5:$BP$200,64,FALSE),4)+1)),'2-2 引出数据_合同数据仓库'!$B$5:$BP$200,3,FALSE),0)</f>
        <v>0</v>
      </c>
      <c r="P99" s="131"/>
      <c r="Q99" s="131">
        <f>IFERROR(VLOOKUP($L99,'2-2 引出数据_合同数据仓库'!$B$5:$BP$200,28,FALSE),0)</f>
        <v>0</v>
      </c>
      <c r="R99" s="131">
        <f>IFERROR(VLOOKUP($L99,'2-2 引出数据_合同数据仓库'!$B$5:$BP$200,29,FALSE),0)</f>
        <v>0</v>
      </c>
      <c r="S99" s="131">
        <f>IFERROR(VLOOKUP($L99,'2-2 引出数据_合同数据仓库'!$B$5:$BP$200,4,FALSE),0)</f>
        <v>0</v>
      </c>
      <c r="T99" s="131"/>
      <c r="U99" s="131">
        <f>IFERROR(VLOOKUP($L99,'2-2 引出数据_合同数据仓库'!$B$5:$BP$200,15,FALSE),0)</f>
        <v>0</v>
      </c>
      <c r="V99" s="131">
        <f t="shared" si="1138"/>
        <v>0</v>
      </c>
      <c r="W99" s="131"/>
      <c r="X99" s="163">
        <v>45658</v>
      </c>
      <c r="Y99" s="163">
        <f t="shared" si="1139"/>
        <v>45688</v>
      </c>
      <c r="Z99" s="167">
        <f t="shared" si="1140"/>
        <v>0</v>
      </c>
      <c r="AA99" s="163">
        <f t="shared" si="1141"/>
        <v>45689</v>
      </c>
      <c r="AB99" s="163">
        <f t="shared" si="1142"/>
        <v>45716</v>
      </c>
      <c r="AC99" s="167">
        <f t="shared" si="1143"/>
        <v>0</v>
      </c>
      <c r="AD99" s="163">
        <f t="shared" si="1144"/>
        <v>45717</v>
      </c>
      <c r="AE99" s="163">
        <f t="shared" si="1145"/>
        <v>45747</v>
      </c>
      <c r="AF99" s="167">
        <f t="shared" si="1146"/>
        <v>0</v>
      </c>
      <c r="AG99" s="163">
        <f t="shared" si="1147"/>
        <v>45748</v>
      </c>
      <c r="AH99" s="163">
        <f t="shared" si="1148"/>
        <v>45777</v>
      </c>
      <c r="AI99" s="167">
        <f t="shared" si="1149"/>
        <v>0</v>
      </c>
      <c r="AJ99" s="163">
        <f t="shared" si="1150"/>
        <v>45778</v>
      </c>
      <c r="AK99" s="163">
        <f t="shared" si="1151"/>
        <v>45808</v>
      </c>
      <c r="AL99" s="167">
        <f t="shared" si="1152"/>
        <v>0</v>
      </c>
      <c r="AM99" s="163">
        <f t="shared" si="1153"/>
        <v>45809</v>
      </c>
      <c r="AN99" s="163">
        <f t="shared" si="1154"/>
        <v>45838</v>
      </c>
      <c r="AO99" s="167">
        <f t="shared" si="1155"/>
        <v>0</v>
      </c>
      <c r="AP99" s="163">
        <f t="shared" si="1156"/>
        <v>45839</v>
      </c>
      <c r="AQ99" s="163">
        <f t="shared" si="1157"/>
        <v>45869</v>
      </c>
      <c r="AR99" s="167">
        <f t="shared" si="1158"/>
        <v>0</v>
      </c>
      <c r="AS99" s="163">
        <f t="shared" si="1159"/>
        <v>45870</v>
      </c>
      <c r="AT99" s="163">
        <f t="shared" si="1160"/>
        <v>45900</v>
      </c>
      <c r="AU99" s="167">
        <f t="shared" si="1161"/>
        <v>0</v>
      </c>
      <c r="AV99" s="163">
        <f t="shared" si="1162"/>
        <v>45901</v>
      </c>
      <c r="AW99" s="163">
        <f t="shared" si="1163"/>
        <v>45930</v>
      </c>
      <c r="AX99" s="167">
        <f t="shared" si="1164"/>
        <v>0</v>
      </c>
      <c r="AY99" s="163">
        <f t="shared" si="1165"/>
        <v>45931</v>
      </c>
      <c r="AZ99" s="163">
        <f t="shared" si="1166"/>
        <v>45961</v>
      </c>
      <c r="BA99" s="167">
        <f t="shared" si="1167"/>
        <v>0</v>
      </c>
      <c r="BB99" s="163">
        <f t="shared" si="1168"/>
        <v>45962</v>
      </c>
      <c r="BC99" s="163">
        <f t="shared" si="1169"/>
        <v>45991</v>
      </c>
      <c r="BD99" s="167">
        <f t="shared" si="1170"/>
        <v>0</v>
      </c>
      <c r="BE99" s="163">
        <f t="shared" si="1171"/>
        <v>45992</v>
      </c>
      <c r="BF99" s="163">
        <f t="shared" si="1172"/>
        <v>46022</v>
      </c>
      <c r="BG99" s="167">
        <f t="shared" si="1173"/>
        <v>0</v>
      </c>
      <c r="BH99" s="163">
        <v>46023</v>
      </c>
      <c r="BI99" s="163">
        <f t="shared" si="1174"/>
        <v>46053</v>
      </c>
      <c r="BJ99" s="167">
        <f t="shared" si="1175"/>
        <v>0</v>
      </c>
      <c r="BK99" s="163">
        <f t="shared" si="1176"/>
        <v>46054</v>
      </c>
      <c r="BL99" s="163">
        <f t="shared" si="1177"/>
        <v>46081</v>
      </c>
      <c r="BM99" s="167">
        <f t="shared" si="1178"/>
        <v>0</v>
      </c>
      <c r="BN99" s="163">
        <f t="shared" si="1179"/>
        <v>46082</v>
      </c>
      <c r="BO99" s="163">
        <f t="shared" si="1180"/>
        <v>46112</v>
      </c>
      <c r="BP99" s="167">
        <f t="shared" si="1181"/>
        <v>0</v>
      </c>
      <c r="BQ99" s="163">
        <f t="shared" si="1182"/>
        <v>46113</v>
      </c>
      <c r="BR99" s="163">
        <f t="shared" si="1183"/>
        <v>46142</v>
      </c>
      <c r="BS99" s="167">
        <f t="shared" si="1184"/>
        <v>0</v>
      </c>
      <c r="BT99" s="163">
        <f t="shared" si="1185"/>
        <v>46143</v>
      </c>
      <c r="BU99" s="163">
        <f t="shared" si="1186"/>
        <v>46173</v>
      </c>
      <c r="BV99" s="167">
        <f t="shared" si="1187"/>
        <v>0</v>
      </c>
      <c r="BW99" s="163">
        <f t="shared" si="1188"/>
        <v>46174</v>
      </c>
      <c r="BX99" s="163">
        <f t="shared" si="1189"/>
        <v>46203</v>
      </c>
      <c r="BY99" s="167">
        <f t="shared" si="1190"/>
        <v>0</v>
      </c>
      <c r="BZ99" s="163">
        <f t="shared" si="1191"/>
        <v>46204</v>
      </c>
      <c r="CA99" s="163">
        <f t="shared" si="1192"/>
        <v>46234</v>
      </c>
      <c r="CB99" s="167">
        <f t="shared" si="1193"/>
        <v>0</v>
      </c>
      <c r="CC99" s="163">
        <f t="shared" si="1194"/>
        <v>46235</v>
      </c>
      <c r="CD99" s="163">
        <f t="shared" si="1195"/>
        <v>46265</v>
      </c>
      <c r="CE99" s="167">
        <f t="shared" si="1196"/>
        <v>0</v>
      </c>
      <c r="CF99" s="163">
        <f t="shared" si="1197"/>
        <v>46266</v>
      </c>
      <c r="CG99" s="163">
        <f t="shared" si="1198"/>
        <v>46295</v>
      </c>
      <c r="CH99" s="167">
        <f t="shared" si="1199"/>
        <v>0</v>
      </c>
      <c r="CI99" s="163">
        <f t="shared" si="1200"/>
        <v>46296</v>
      </c>
      <c r="CJ99" s="163">
        <f t="shared" si="1201"/>
        <v>46326</v>
      </c>
      <c r="CK99" s="167">
        <f t="shared" si="1202"/>
        <v>0</v>
      </c>
      <c r="CL99" s="163">
        <f t="shared" si="1203"/>
        <v>46327</v>
      </c>
      <c r="CM99" s="163">
        <f t="shared" si="1204"/>
        <v>46356</v>
      </c>
      <c r="CN99" s="167">
        <f t="shared" si="1205"/>
        <v>0</v>
      </c>
      <c r="CO99" s="163">
        <f t="shared" si="1206"/>
        <v>46357</v>
      </c>
      <c r="CP99" s="163">
        <f t="shared" si="1207"/>
        <v>46387</v>
      </c>
      <c r="CQ99" s="167">
        <f t="shared" si="1208"/>
        <v>0</v>
      </c>
    </row>
    <row r="100" s="89" customFormat="1" ht="24" hidden="1" customHeight="1" outlineLevel="4" spans="1:95">
      <c r="A100" s="128"/>
      <c r="B100" s="129"/>
      <c r="C100" s="130"/>
      <c r="D100" s="128"/>
      <c r="E100" s="129"/>
      <c r="F100" s="129"/>
      <c r="G100" s="129"/>
      <c r="H100" s="131"/>
      <c r="I100" s="131"/>
      <c r="J100" s="131">
        <f t="shared" si="814"/>
        <v>0</v>
      </c>
      <c r="K100" s="131">
        <f t="shared" si="1209"/>
        <v>4</v>
      </c>
      <c r="L100" s="156"/>
      <c r="M100" s="157">
        <f>IFERROR(VLOOKUP($L100,'2-2 引出数据_合同数据仓库'!$B$5:$BP$200,3,FALSE),0)</f>
        <v>0</v>
      </c>
      <c r="N100" s="131"/>
      <c r="O100" s="157">
        <f>IFERROR(VLOOKUP((LEFT(VLOOKUP($L100,'2-2 引出数据_合同数据仓库'!$B$5:$BP$200,64,FALSE),15)&amp;(RIGHT(VLOOKUP($L100,'2-2 引出数据_合同数据仓库'!$B$5:$BP$200,64,FALSE),4)+1)),'2-2 引出数据_合同数据仓库'!$B$5:$BP$200,3,FALSE),0)</f>
        <v>0</v>
      </c>
      <c r="P100" s="131"/>
      <c r="Q100" s="131">
        <f>IFERROR(VLOOKUP($L100,'2-2 引出数据_合同数据仓库'!$B$5:$BP$200,28,FALSE),0)</f>
        <v>0</v>
      </c>
      <c r="R100" s="131">
        <f>IFERROR(VLOOKUP($L100,'2-2 引出数据_合同数据仓库'!$B$5:$BP$200,29,FALSE),0)</f>
        <v>0</v>
      </c>
      <c r="S100" s="131">
        <f>IFERROR(VLOOKUP($L100,'2-2 引出数据_合同数据仓库'!$B$5:$BP$200,4,FALSE),0)</f>
        <v>0</v>
      </c>
      <c r="T100" s="131"/>
      <c r="U100" s="131">
        <f>IFERROR(VLOOKUP($L100,'2-2 引出数据_合同数据仓库'!$B$5:$BP$200,15,FALSE),0)</f>
        <v>0</v>
      </c>
      <c r="V100" s="131">
        <f t="shared" si="1138"/>
        <v>0</v>
      </c>
      <c r="W100" s="131"/>
      <c r="X100" s="163">
        <v>45658</v>
      </c>
      <c r="Y100" s="163">
        <f t="shared" si="1139"/>
        <v>45688</v>
      </c>
      <c r="Z100" s="167">
        <f t="shared" si="1140"/>
        <v>0</v>
      </c>
      <c r="AA100" s="163">
        <f t="shared" si="1141"/>
        <v>45689</v>
      </c>
      <c r="AB100" s="163">
        <f t="shared" si="1142"/>
        <v>45716</v>
      </c>
      <c r="AC100" s="167">
        <f t="shared" si="1143"/>
        <v>0</v>
      </c>
      <c r="AD100" s="163">
        <f t="shared" si="1144"/>
        <v>45717</v>
      </c>
      <c r="AE100" s="163">
        <f t="shared" si="1145"/>
        <v>45747</v>
      </c>
      <c r="AF100" s="167">
        <f t="shared" si="1146"/>
        <v>0</v>
      </c>
      <c r="AG100" s="163">
        <f t="shared" si="1147"/>
        <v>45748</v>
      </c>
      <c r="AH100" s="163">
        <f t="shared" si="1148"/>
        <v>45777</v>
      </c>
      <c r="AI100" s="167">
        <f t="shared" si="1149"/>
        <v>0</v>
      </c>
      <c r="AJ100" s="163">
        <f t="shared" si="1150"/>
        <v>45778</v>
      </c>
      <c r="AK100" s="163">
        <f t="shared" si="1151"/>
        <v>45808</v>
      </c>
      <c r="AL100" s="167">
        <f t="shared" si="1152"/>
        <v>0</v>
      </c>
      <c r="AM100" s="163">
        <f t="shared" si="1153"/>
        <v>45809</v>
      </c>
      <c r="AN100" s="163">
        <f t="shared" si="1154"/>
        <v>45838</v>
      </c>
      <c r="AO100" s="167">
        <f t="shared" si="1155"/>
        <v>0</v>
      </c>
      <c r="AP100" s="163">
        <f t="shared" si="1156"/>
        <v>45839</v>
      </c>
      <c r="AQ100" s="163">
        <f t="shared" si="1157"/>
        <v>45869</v>
      </c>
      <c r="AR100" s="167">
        <f t="shared" si="1158"/>
        <v>0</v>
      </c>
      <c r="AS100" s="163">
        <f t="shared" si="1159"/>
        <v>45870</v>
      </c>
      <c r="AT100" s="163">
        <f t="shared" si="1160"/>
        <v>45900</v>
      </c>
      <c r="AU100" s="167">
        <f t="shared" si="1161"/>
        <v>0</v>
      </c>
      <c r="AV100" s="163">
        <f t="shared" si="1162"/>
        <v>45901</v>
      </c>
      <c r="AW100" s="163">
        <f t="shared" si="1163"/>
        <v>45930</v>
      </c>
      <c r="AX100" s="167">
        <f t="shared" si="1164"/>
        <v>0</v>
      </c>
      <c r="AY100" s="163">
        <f t="shared" si="1165"/>
        <v>45931</v>
      </c>
      <c r="AZ100" s="163">
        <f t="shared" si="1166"/>
        <v>45961</v>
      </c>
      <c r="BA100" s="167">
        <f t="shared" si="1167"/>
        <v>0</v>
      </c>
      <c r="BB100" s="163">
        <f t="shared" si="1168"/>
        <v>45962</v>
      </c>
      <c r="BC100" s="163">
        <f t="shared" si="1169"/>
        <v>45991</v>
      </c>
      <c r="BD100" s="167">
        <f t="shared" si="1170"/>
        <v>0</v>
      </c>
      <c r="BE100" s="163">
        <f t="shared" si="1171"/>
        <v>45992</v>
      </c>
      <c r="BF100" s="163">
        <f t="shared" si="1172"/>
        <v>46022</v>
      </c>
      <c r="BG100" s="167">
        <f t="shared" si="1173"/>
        <v>0</v>
      </c>
      <c r="BH100" s="163">
        <v>46023</v>
      </c>
      <c r="BI100" s="163">
        <f t="shared" si="1174"/>
        <v>46053</v>
      </c>
      <c r="BJ100" s="167">
        <f t="shared" si="1175"/>
        <v>0</v>
      </c>
      <c r="BK100" s="163">
        <f t="shared" si="1176"/>
        <v>46054</v>
      </c>
      <c r="BL100" s="163">
        <f t="shared" si="1177"/>
        <v>46081</v>
      </c>
      <c r="BM100" s="167">
        <f t="shared" si="1178"/>
        <v>0</v>
      </c>
      <c r="BN100" s="163">
        <f t="shared" si="1179"/>
        <v>46082</v>
      </c>
      <c r="BO100" s="163">
        <f t="shared" si="1180"/>
        <v>46112</v>
      </c>
      <c r="BP100" s="167">
        <f t="shared" si="1181"/>
        <v>0</v>
      </c>
      <c r="BQ100" s="163">
        <f t="shared" si="1182"/>
        <v>46113</v>
      </c>
      <c r="BR100" s="163">
        <f t="shared" si="1183"/>
        <v>46142</v>
      </c>
      <c r="BS100" s="167">
        <f t="shared" si="1184"/>
        <v>0</v>
      </c>
      <c r="BT100" s="163">
        <f t="shared" si="1185"/>
        <v>46143</v>
      </c>
      <c r="BU100" s="163">
        <f t="shared" si="1186"/>
        <v>46173</v>
      </c>
      <c r="BV100" s="167">
        <f t="shared" si="1187"/>
        <v>0</v>
      </c>
      <c r="BW100" s="163">
        <f t="shared" si="1188"/>
        <v>46174</v>
      </c>
      <c r="BX100" s="163">
        <f t="shared" si="1189"/>
        <v>46203</v>
      </c>
      <c r="BY100" s="167">
        <f t="shared" si="1190"/>
        <v>0</v>
      </c>
      <c r="BZ100" s="163">
        <f t="shared" si="1191"/>
        <v>46204</v>
      </c>
      <c r="CA100" s="163">
        <f t="shared" si="1192"/>
        <v>46234</v>
      </c>
      <c r="CB100" s="167">
        <f t="shared" si="1193"/>
        <v>0</v>
      </c>
      <c r="CC100" s="163">
        <f t="shared" si="1194"/>
        <v>46235</v>
      </c>
      <c r="CD100" s="163">
        <f t="shared" si="1195"/>
        <v>46265</v>
      </c>
      <c r="CE100" s="167">
        <f t="shared" si="1196"/>
        <v>0</v>
      </c>
      <c r="CF100" s="163">
        <f t="shared" si="1197"/>
        <v>46266</v>
      </c>
      <c r="CG100" s="163">
        <f t="shared" si="1198"/>
        <v>46295</v>
      </c>
      <c r="CH100" s="167">
        <f t="shared" si="1199"/>
        <v>0</v>
      </c>
      <c r="CI100" s="163">
        <f t="shared" si="1200"/>
        <v>46296</v>
      </c>
      <c r="CJ100" s="163">
        <f t="shared" si="1201"/>
        <v>46326</v>
      </c>
      <c r="CK100" s="167">
        <f t="shared" si="1202"/>
        <v>0</v>
      </c>
      <c r="CL100" s="163">
        <f t="shared" si="1203"/>
        <v>46327</v>
      </c>
      <c r="CM100" s="163">
        <f t="shared" si="1204"/>
        <v>46356</v>
      </c>
      <c r="CN100" s="167">
        <f t="shared" si="1205"/>
        <v>0</v>
      </c>
      <c r="CO100" s="163">
        <f t="shared" si="1206"/>
        <v>46357</v>
      </c>
      <c r="CP100" s="163">
        <f t="shared" si="1207"/>
        <v>46387</v>
      </c>
      <c r="CQ100" s="167">
        <f t="shared" si="1208"/>
        <v>0</v>
      </c>
    </row>
    <row r="101" s="89" customFormat="1" ht="24" hidden="1" customHeight="1" outlineLevel="4" spans="1:95">
      <c r="A101" s="132" t="s">
        <v>2813</v>
      </c>
      <c r="B101" s="133"/>
      <c r="C101" s="133"/>
      <c r="D101" s="133"/>
      <c r="E101" s="133"/>
      <c r="F101" s="133"/>
      <c r="G101" s="134"/>
      <c r="H101" s="135"/>
      <c r="I101" s="135"/>
      <c r="J101" s="135"/>
      <c r="K101" s="135"/>
      <c r="L101" s="158"/>
      <c r="M101" s="158"/>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c r="CL101" s="135"/>
      <c r="CM101" s="135"/>
      <c r="CN101" s="135"/>
      <c r="CO101" s="135"/>
      <c r="CP101" s="135"/>
      <c r="CQ101" s="135"/>
    </row>
    <row r="102" ht="24" hidden="1" customHeight="1" outlineLevel="3" collapsed="1" spans="1:95">
      <c r="A102" s="124"/>
      <c r="B102" s="125" t="s">
        <v>792</v>
      </c>
      <c r="C102" s="126" t="s">
        <v>72</v>
      </c>
      <c r="D102" s="124" t="s">
        <v>68</v>
      </c>
      <c r="E102" s="125"/>
      <c r="F102" s="125"/>
      <c r="G102" s="125"/>
      <c r="H102" s="127">
        <f>X102+AA102+AD102+AG102+AJ102+AM102+AP102+AS102+AV102+AY102+BB102+BE102</f>
        <v>0</v>
      </c>
      <c r="I102" s="127">
        <f>Y102+AB102+AE102+AH102+AK102+AN102+AQ102+AT102+AW102+AZ102+BC102+BF102</f>
        <v>0</v>
      </c>
      <c r="J102" s="127">
        <f t="shared" si="814"/>
        <v>0</v>
      </c>
      <c r="K102" s="127"/>
      <c r="L102" s="155"/>
      <c r="M102" s="155"/>
      <c r="N102" s="127"/>
      <c r="O102" s="127"/>
      <c r="P102" s="127"/>
      <c r="Q102" s="127"/>
      <c r="R102" s="127"/>
      <c r="S102" s="127"/>
      <c r="T102" s="127"/>
      <c r="U102" s="127"/>
      <c r="V102" s="127"/>
      <c r="W102" s="127"/>
      <c r="X102" s="127">
        <f>VLOOKUP($C102,'1 预算编制表单'!$C:$BJ,27,FALSE)</f>
        <v>0</v>
      </c>
      <c r="Y102" s="127">
        <f>X102-Z102</f>
        <v>0</v>
      </c>
      <c r="Z102" s="127">
        <f>SUM(Z103:Z107)</f>
        <v>0</v>
      </c>
      <c r="AA102" s="127">
        <f>VLOOKUP($C102,'1 预算编制表单'!$C:$BJ,30,FALSE)</f>
        <v>0</v>
      </c>
      <c r="AB102" s="127">
        <f>AA102-AC102</f>
        <v>0</v>
      </c>
      <c r="AC102" s="127">
        <f>SUM(AC103:AC107)</f>
        <v>0</v>
      </c>
      <c r="AD102" s="127">
        <f>VLOOKUP($C102,'1 预算编制表单'!$C:$BJ,33,FALSE)</f>
        <v>0</v>
      </c>
      <c r="AE102" s="127">
        <f>AD102-AF102</f>
        <v>0</v>
      </c>
      <c r="AF102" s="127">
        <f>SUM(AF103:AF107)</f>
        <v>0</v>
      </c>
      <c r="AG102" s="127">
        <f>VLOOKUP($C102,'1 预算编制表单'!$C:$BJ,36,FALSE)</f>
        <v>0</v>
      </c>
      <c r="AH102" s="127">
        <f>AG102-AI102</f>
        <v>0</v>
      </c>
      <c r="AI102" s="127">
        <f>SUM(AI103:AI107)</f>
        <v>0</v>
      </c>
      <c r="AJ102" s="127">
        <f>VLOOKUP($C102,'1 预算编制表单'!$C:$BJ,39,FALSE)</f>
        <v>0</v>
      </c>
      <c r="AK102" s="127">
        <f>AJ102-AL102</f>
        <v>0</v>
      </c>
      <c r="AL102" s="127">
        <f>SUM(AL103:AL107)</f>
        <v>0</v>
      </c>
      <c r="AM102" s="127">
        <f>VLOOKUP($C102,'1 预算编制表单'!$C:$BJ,42,FALSE)</f>
        <v>0</v>
      </c>
      <c r="AN102" s="127">
        <f>AM102-AO102</f>
        <v>0</v>
      </c>
      <c r="AO102" s="127">
        <f>SUM(AO103:AO107)</f>
        <v>0</v>
      </c>
      <c r="AP102" s="127">
        <f>VLOOKUP($C102,'1 预算编制表单'!$C:$BJ,45,FALSE)</f>
        <v>0</v>
      </c>
      <c r="AQ102" s="127">
        <f>AP102-AR102</f>
        <v>0</v>
      </c>
      <c r="AR102" s="127">
        <f>SUM(AR103:AR107)</f>
        <v>0</v>
      </c>
      <c r="AS102" s="127">
        <f>VLOOKUP($C102,'1 预算编制表单'!$C:$BJ,48,FALSE)</f>
        <v>0</v>
      </c>
      <c r="AT102" s="127">
        <f>AS102-AU102</f>
        <v>0</v>
      </c>
      <c r="AU102" s="127">
        <f>SUM(AU103:AU107)</f>
        <v>0</v>
      </c>
      <c r="AV102" s="127">
        <f>VLOOKUP($C102,'1 预算编制表单'!$C:$BJ,51,FALSE)</f>
        <v>0</v>
      </c>
      <c r="AW102" s="127">
        <f>AV102-AX102</f>
        <v>0</v>
      </c>
      <c r="AX102" s="127">
        <f>SUM(AX103:AX107)</f>
        <v>0</v>
      </c>
      <c r="AY102" s="127">
        <f>VLOOKUP($C102,'1 预算编制表单'!$C:$BJ,54,FALSE)</f>
        <v>0</v>
      </c>
      <c r="AZ102" s="127">
        <f>AY102-BA102</f>
        <v>0</v>
      </c>
      <c r="BA102" s="127">
        <f>SUM(BA103:BA107)</f>
        <v>0</v>
      </c>
      <c r="BB102" s="127">
        <f>VLOOKUP($C102,'1 预算编制表单'!$C:$BJ,57,FALSE)</f>
        <v>0</v>
      </c>
      <c r="BC102" s="127">
        <f>BB102-BD102</f>
        <v>0</v>
      </c>
      <c r="BD102" s="127">
        <f>SUM(BD103:BD107)</f>
        <v>0</v>
      </c>
      <c r="BE102" s="127">
        <f>VLOOKUP($C102,'1 预算编制表单'!$C:$BJ,60,FALSE)</f>
        <v>0</v>
      </c>
      <c r="BF102" s="127">
        <f>BE102-BG102</f>
        <v>0</v>
      </c>
      <c r="BG102" s="127">
        <f>SUM(BG103:BG107)</f>
        <v>0</v>
      </c>
      <c r="BH102" s="127">
        <f>VLOOKUP($C102,'1 预算编制表单'!$C:$BJ,27,FALSE)</f>
        <v>0</v>
      </c>
      <c r="BI102" s="127">
        <f>BH102-BJ102</f>
        <v>0</v>
      </c>
      <c r="BJ102" s="127">
        <f>SUM(BJ103:BJ107)</f>
        <v>0</v>
      </c>
      <c r="BK102" s="127">
        <f>VLOOKUP($C102,'1 预算编制表单'!$C:$BJ,30,FALSE)</f>
        <v>0</v>
      </c>
      <c r="BL102" s="127">
        <f>BK102-BM102</f>
        <v>0</v>
      </c>
      <c r="BM102" s="127">
        <f>SUM(BM103:BM107)</f>
        <v>0</v>
      </c>
      <c r="BN102" s="127">
        <f>VLOOKUP($C102,'1 预算编制表单'!$C:$BJ,33,FALSE)</f>
        <v>0</v>
      </c>
      <c r="BO102" s="127">
        <f>BN102-BP102</f>
        <v>0</v>
      </c>
      <c r="BP102" s="127">
        <f>SUM(BP103:BP107)</f>
        <v>0</v>
      </c>
      <c r="BQ102" s="127">
        <f>VLOOKUP($C102,'1 预算编制表单'!$C:$BJ,36,FALSE)</f>
        <v>0</v>
      </c>
      <c r="BR102" s="127">
        <f>BQ102-BS102</f>
        <v>0</v>
      </c>
      <c r="BS102" s="127">
        <f>SUM(BS103:BS107)</f>
        <v>0</v>
      </c>
      <c r="BT102" s="127">
        <f>VLOOKUP($C102,'1 预算编制表单'!$C:$BJ,39,FALSE)</f>
        <v>0</v>
      </c>
      <c r="BU102" s="127">
        <f>BT102-BV102</f>
        <v>0</v>
      </c>
      <c r="BV102" s="127">
        <f>SUM(BV103:BV107)</f>
        <v>0</v>
      </c>
      <c r="BW102" s="127">
        <f>VLOOKUP($C102,'1 预算编制表单'!$C:$BJ,42,FALSE)</f>
        <v>0</v>
      </c>
      <c r="BX102" s="127">
        <f>BW102-BY102</f>
        <v>0</v>
      </c>
      <c r="BY102" s="127">
        <f>SUM(BY103:BY107)</f>
        <v>0</v>
      </c>
      <c r="BZ102" s="127">
        <f>VLOOKUP($C102,'1 预算编制表单'!$C:$BJ,45,FALSE)</f>
        <v>0</v>
      </c>
      <c r="CA102" s="127">
        <f>BZ102-CB102</f>
        <v>0</v>
      </c>
      <c r="CB102" s="127">
        <f>SUM(CB103:CB107)</f>
        <v>0</v>
      </c>
      <c r="CC102" s="127">
        <f>VLOOKUP($C102,'1 预算编制表单'!$C:$BJ,48,FALSE)</f>
        <v>0</v>
      </c>
      <c r="CD102" s="127">
        <f>CC102-CE102</f>
        <v>0</v>
      </c>
      <c r="CE102" s="127">
        <f>SUM(CE103:CE107)</f>
        <v>0</v>
      </c>
      <c r="CF102" s="127">
        <f>VLOOKUP($C102,'1 预算编制表单'!$C:$BJ,51,FALSE)</f>
        <v>0</v>
      </c>
      <c r="CG102" s="127">
        <f>CF102-CH102</f>
        <v>0</v>
      </c>
      <c r="CH102" s="127">
        <f>SUM(CH103:CH107)</f>
        <v>0</v>
      </c>
      <c r="CI102" s="127">
        <f>VLOOKUP($C102,'1 预算编制表单'!$C:$BJ,54,FALSE)</f>
        <v>0</v>
      </c>
      <c r="CJ102" s="127">
        <f>CI102-CK102</f>
        <v>0</v>
      </c>
      <c r="CK102" s="127">
        <f>SUM(CK103:CK107)</f>
        <v>0</v>
      </c>
      <c r="CL102" s="127">
        <f>VLOOKUP($C102,'1 预算编制表单'!$C:$BJ,57,FALSE)</f>
        <v>0</v>
      </c>
      <c r="CM102" s="127">
        <f>CL102-CN102</f>
        <v>0</v>
      </c>
      <c r="CN102" s="127">
        <f>SUM(CN103:CN107)</f>
        <v>0</v>
      </c>
      <c r="CO102" s="127">
        <f>VLOOKUP($C102,'1 预算编制表单'!$C:$BJ,60,FALSE)</f>
        <v>0</v>
      </c>
      <c r="CP102" s="127">
        <f>CO102-CQ102</f>
        <v>0</v>
      </c>
      <c r="CQ102" s="127">
        <f>SUM(CQ103:CQ107)</f>
        <v>0</v>
      </c>
    </row>
    <row r="103" s="89" customFormat="1" ht="24" hidden="1" customHeight="1" outlineLevel="4" spans="1:95">
      <c r="A103" s="128"/>
      <c r="B103" s="129"/>
      <c r="C103" s="130"/>
      <c r="D103" s="128"/>
      <c r="E103" s="129"/>
      <c r="F103" s="129"/>
      <c r="G103" s="129"/>
      <c r="H103" s="131"/>
      <c r="I103" s="131"/>
      <c r="J103" s="131">
        <f t="shared" si="814"/>
        <v>0</v>
      </c>
      <c r="K103" s="131">
        <v>1</v>
      </c>
      <c r="L103" s="156"/>
      <c r="M103" s="157">
        <f>IFERROR(VLOOKUP($L103,'2-2 引出数据_合同数据仓库'!$B$5:$BP$200,3,FALSE),0)</f>
        <v>0</v>
      </c>
      <c r="N103" s="131"/>
      <c r="O103" s="157">
        <f>IFERROR(VLOOKUP((LEFT(VLOOKUP($L103,'2-2 引出数据_合同数据仓库'!$B$5:$BP$200,64,FALSE),15)&amp;(RIGHT(VLOOKUP($L103,'2-2 引出数据_合同数据仓库'!$B$5:$BP$200,64,FALSE),4)+1)),'2-2 引出数据_合同数据仓库'!$B$5:$BP$200,3,FALSE),0)</f>
        <v>0</v>
      </c>
      <c r="P103" s="131"/>
      <c r="Q103" s="131">
        <f>IFERROR(VLOOKUP($L103,'2-2 引出数据_合同数据仓库'!$B$5:$BP$200,28,FALSE),0)</f>
        <v>0</v>
      </c>
      <c r="R103" s="131">
        <f>IFERROR(VLOOKUP($L103,'2-2 引出数据_合同数据仓库'!$B$5:$BP$200,29,FALSE),0)</f>
        <v>0</v>
      </c>
      <c r="S103" s="131">
        <f>IFERROR(VLOOKUP($L103,'2-2 引出数据_合同数据仓库'!$B$5:$BP$200,4,FALSE),0)</f>
        <v>0</v>
      </c>
      <c r="T103" s="131"/>
      <c r="U103" s="131">
        <f>IFERROR(VLOOKUP($L103,'2-2 引出数据_合同数据仓库'!$B$5:$BP$200,15,FALSE),0)</f>
        <v>0</v>
      </c>
      <c r="V103" s="131">
        <f t="shared" ref="V103:V106" si="1210">U103/(S103-R103+1)*365</f>
        <v>0</v>
      </c>
      <c r="W103" s="131"/>
      <c r="X103" s="163">
        <v>45658</v>
      </c>
      <c r="Y103" s="163">
        <f t="shared" ref="Y103:Y106" si="1211">X103+30</f>
        <v>45688</v>
      </c>
      <c r="Z103" s="167">
        <f t="shared" ref="Z103:Z106" si="1212">IFERROR(IF(($R103-Y103)&gt;=0,0,IF(($S103-X103)&lt;0,0,IF(AND(($S103-Y103)&gt;0,(X103-$R103)&gt;0),$V103/365*(Y103-X103+1),IF(AND(($S103-Y103)&lt;=0,(X103-$R103)&gt;0),$V103/365*($S103-X103+1),$V103/365*(Y103-$R103+1))))),0)</f>
        <v>0</v>
      </c>
      <c r="AA103" s="163">
        <f t="shared" ref="AA103:AA106" si="1213">Y103+1</f>
        <v>45689</v>
      </c>
      <c r="AB103" s="163">
        <f t="shared" ref="AB103:AB106" si="1214">AA103+27</f>
        <v>45716</v>
      </c>
      <c r="AC103" s="167">
        <f t="shared" ref="AC103:AC106" si="1215">IFERROR(IF(($R103-AB103)&gt;=0,0,IF(($S103-AA103)&lt;0,0,IF(AND(($S103-AB103)&gt;0,(AA103-$R103)&gt;0),$V103/365*(AB103-AA103+1),IF(AND(($S103-AB103)&lt;=0,(AA103-$R103)&gt;0),$V103/365*($S103-AA103+1),$V103/365*(AB103-$R103+1))))),0)</f>
        <v>0</v>
      </c>
      <c r="AD103" s="163">
        <f t="shared" ref="AD103:AD106" si="1216">AB103+1</f>
        <v>45717</v>
      </c>
      <c r="AE103" s="163">
        <f t="shared" ref="AE103:AE106" si="1217">AD103+30</f>
        <v>45747</v>
      </c>
      <c r="AF103" s="167">
        <f t="shared" ref="AF103:AF106" si="1218">IFERROR(IF(($R103-AE103)&gt;=0,0,IF(($S103-AD103)&lt;0,0,IF(AND(($S103-AE103)&gt;0,(AD103-$R103)&gt;0),$V103/365*(AE103-AD103+1),IF(AND(($S103-AE103)&lt;=0,(AD103-$R103)&gt;0),$V103/365*($S103-AD103+1),$V103/365*(AE103-$R103+1))))),0)</f>
        <v>0</v>
      </c>
      <c r="AG103" s="163">
        <f t="shared" ref="AG103:AG106" si="1219">AE103+1</f>
        <v>45748</v>
      </c>
      <c r="AH103" s="163">
        <f t="shared" ref="AH103:AH106" si="1220">AG103+29</f>
        <v>45777</v>
      </c>
      <c r="AI103" s="167">
        <f t="shared" ref="AI103:AI106" si="1221">IFERROR(IF(($R103-AH103)&gt;=0,0,IF(($S103-AG103)&lt;0,0,IF(AND(($S103-AH103)&gt;0,(AG103-$R103)&gt;0),$V103/365*(AH103-AG103+1),IF(AND(($S103-AH103)&lt;=0,(AG103-$R103)&gt;0),$V103/365*($S103-AG103+1),$V103/365*(AH103-$R103+1))))),0)</f>
        <v>0</v>
      </c>
      <c r="AJ103" s="163">
        <f t="shared" ref="AJ103:AJ106" si="1222">AH103+1</f>
        <v>45778</v>
      </c>
      <c r="AK103" s="163">
        <f t="shared" ref="AK103:AK106" si="1223">AJ103+30</f>
        <v>45808</v>
      </c>
      <c r="AL103" s="167">
        <f t="shared" ref="AL103:AL106" si="1224">IFERROR(IF(($R103-AK103)&gt;=0,0,IF(($S103-AJ103)&lt;0,0,IF(AND(($S103-AK103)&gt;0,(AJ103-$R103)&gt;0),$V103/365*(AK103-AJ103+1),IF(AND(($S103-AK103)&lt;=0,(AJ103-$R103)&gt;0),$V103/365*($S103-AJ103+1),$V103/365*(AK103-$R103+1))))),0)</f>
        <v>0</v>
      </c>
      <c r="AM103" s="163">
        <f t="shared" ref="AM103:AM106" si="1225">AK103+1</f>
        <v>45809</v>
      </c>
      <c r="AN103" s="163">
        <f t="shared" ref="AN103:AN106" si="1226">AM103+29</f>
        <v>45838</v>
      </c>
      <c r="AO103" s="167">
        <f t="shared" ref="AO103:AO106" si="1227">IFERROR(IF(($R103-AN103)&gt;=0,0,IF(($S103-AM103)&lt;0,0,IF(AND(($S103-AN103)&gt;0,(AM103-$R103)&gt;0),$V103/365*(AN103-AM103+1),IF(AND(($S103-AN103)&lt;=0,(AM103-$R103)&gt;0),$V103/365*($S103-AM103+1),$V103/365*(AN103-$R103+1))))),0)</f>
        <v>0</v>
      </c>
      <c r="AP103" s="163">
        <f t="shared" ref="AP103:AP106" si="1228">AN103+1</f>
        <v>45839</v>
      </c>
      <c r="AQ103" s="163">
        <f t="shared" ref="AQ103:AQ106" si="1229">AP103+30</f>
        <v>45869</v>
      </c>
      <c r="AR103" s="167">
        <f t="shared" ref="AR103:AR106" si="1230">IFERROR(IF(($R103-AQ103)&gt;=0,0,IF(($S103-AP103)&lt;0,0,IF(AND(($S103-AQ103)&gt;0,(AP103-$R103)&gt;0),$V103/365*(AQ103-AP103+1),IF(AND(($S103-AQ103)&lt;=0,(AP103-$R103)&gt;0),$V103/365*($S103-AP103+1),$V103/365*(AQ103-$R103+1))))),0)</f>
        <v>0</v>
      </c>
      <c r="AS103" s="163">
        <f t="shared" ref="AS103:AS106" si="1231">AQ103+1</f>
        <v>45870</v>
      </c>
      <c r="AT103" s="163">
        <f t="shared" ref="AT103:AT106" si="1232">AS103+30</f>
        <v>45900</v>
      </c>
      <c r="AU103" s="167">
        <f t="shared" ref="AU103:AU106" si="1233">IFERROR(IF(($R103-AT103)&gt;=0,0,IF(($S103-AS103)&lt;0,0,IF(AND(($S103-AT103)&gt;0,(AS103-$R103)&gt;0),$V103/365*(AT103-AS103+1),IF(AND(($S103-AT103)&lt;=0,(AS103-$R103)&gt;0),$V103/365*($S103-AS103+1),$V103/365*(AT103-$R103+1))))),0)</f>
        <v>0</v>
      </c>
      <c r="AV103" s="163">
        <f t="shared" ref="AV103:AV106" si="1234">AT103+1</f>
        <v>45901</v>
      </c>
      <c r="AW103" s="163">
        <f t="shared" ref="AW103:AW106" si="1235">AV103+29</f>
        <v>45930</v>
      </c>
      <c r="AX103" s="167">
        <f t="shared" ref="AX103:AX106" si="1236">IFERROR(IF(($R103-AW103)&gt;=0,0,IF(($S103-AV103)&lt;0,0,IF(AND(($S103-AW103)&gt;0,(AV103-$R103)&gt;0),$V103/365*(AW103-AV103+1),IF(AND(($S103-AW103)&lt;=0,(AV103-$R103)&gt;0),$V103/365*($S103-AV103+1),$V103/365*(AW103-$R103+1))))),0)</f>
        <v>0</v>
      </c>
      <c r="AY103" s="163">
        <f t="shared" ref="AY103:AY106" si="1237">AW103+1</f>
        <v>45931</v>
      </c>
      <c r="AZ103" s="163">
        <f t="shared" ref="AZ103:AZ106" si="1238">AY103+30</f>
        <v>45961</v>
      </c>
      <c r="BA103" s="167">
        <f t="shared" ref="BA103:BA106" si="1239">IFERROR(IF(($R103-AZ103)&gt;=0,0,IF(($S103-AY103)&lt;0,0,IF(AND(($S103-AZ103)&gt;0,(AY103-$R103)&gt;0),$V103/365*(AZ103-AY103+1),IF(AND(($S103-AZ103)&lt;=0,(AY103-$R103)&gt;0),$V103/365*($S103-AY103+1),$V103/365*(AZ103-$R103+1))))),0)</f>
        <v>0</v>
      </c>
      <c r="BB103" s="163">
        <f t="shared" ref="BB103:BB106" si="1240">AZ103+1</f>
        <v>45962</v>
      </c>
      <c r="BC103" s="163">
        <f t="shared" ref="BC103:BC106" si="1241">BB103+29</f>
        <v>45991</v>
      </c>
      <c r="BD103" s="167">
        <f t="shared" ref="BD103:BD106" si="1242">IFERROR(IF(($R103-BC103)&gt;=0,0,IF(($S103-BB103)&lt;0,0,IF(AND(($S103-BC103)&gt;0,(BB103-$R103)&gt;0),$V103/365*(BC103-BB103+1),IF(AND(($S103-BC103)&lt;=0,(BB103-$R103)&gt;0),$V103/365*($S103-BB103+1),$V103/365*(BC103-$R103+1))))),0)</f>
        <v>0</v>
      </c>
      <c r="BE103" s="163">
        <f t="shared" ref="BE103:BE106" si="1243">BC103+1</f>
        <v>45992</v>
      </c>
      <c r="BF103" s="163">
        <f t="shared" ref="BF103:BF106" si="1244">BE103+30</f>
        <v>46022</v>
      </c>
      <c r="BG103" s="167">
        <f t="shared" ref="BG103:BG106" si="1245">IFERROR(IF(($R103-BF103)&gt;=0,0,IF(($S103-BE103)&lt;0,0,IF(AND(($S103-BF103)&gt;0,(BE103-$R103)&gt;0),$V103/365*(BF103-BE103+1),IF(AND(($S103-BF103)&lt;=0,(BE103-$R103)&gt;0),$V103/365*($S103-BE103+1),$V103/365*(BF103-$R103+1))))),0)</f>
        <v>0</v>
      </c>
      <c r="BH103" s="163">
        <v>46023</v>
      </c>
      <c r="BI103" s="163">
        <f t="shared" ref="BI103:BI106" si="1246">BH103+30</f>
        <v>46053</v>
      </c>
      <c r="BJ103" s="167">
        <f t="shared" ref="BJ103:BJ106" si="1247">IFERROR(IF(($R103-BI103)&gt;=0,0,IF(($S103-BH103)&lt;0,0,IF(AND(($S103-BI103)&gt;0,(BH103-$R103)&gt;0),$V103/365*(BI103-BH103+1),IF(AND(($S103-BI103)&lt;=0,(BH103-$R103)&gt;0),$V103/365*($S103-BH103+1),$V103/365*(BI103-$R103+1))))),0)</f>
        <v>0</v>
      </c>
      <c r="BK103" s="163">
        <f t="shared" ref="BK103:BK106" si="1248">BI103+1</f>
        <v>46054</v>
      </c>
      <c r="BL103" s="163">
        <f t="shared" ref="BL103:BL106" si="1249">BK103+27</f>
        <v>46081</v>
      </c>
      <c r="BM103" s="167">
        <f t="shared" ref="BM103:BM106" si="1250">IFERROR(IF(($R103-BL103)&gt;=0,0,IF(($S103-BK103)&lt;0,0,IF(AND(($S103-BL103)&gt;0,(BK103-$R103)&gt;0),$V103/365*(BL103-BK103+1),IF(AND(($S103-BL103)&lt;=0,(BK103-$R103)&gt;0),$V103/365*($S103-BK103+1),$V103/365*(BL103-$R103+1))))),0)</f>
        <v>0</v>
      </c>
      <c r="BN103" s="163">
        <f t="shared" ref="BN103:BN106" si="1251">BL103+1</f>
        <v>46082</v>
      </c>
      <c r="BO103" s="163">
        <f t="shared" ref="BO103:BO106" si="1252">BN103+30</f>
        <v>46112</v>
      </c>
      <c r="BP103" s="167">
        <f t="shared" ref="BP103:BP106" si="1253">IFERROR(IF(($R103-BO103)&gt;=0,0,IF(($S103-BN103)&lt;0,0,IF(AND(($S103-BO103)&gt;0,(BN103-$R103)&gt;0),$V103/365*(BO103-BN103+1),IF(AND(($S103-BO103)&lt;=0,(BN103-$R103)&gt;0),$V103/365*($S103-BN103+1),$V103/365*(BO103-$R103+1))))),0)</f>
        <v>0</v>
      </c>
      <c r="BQ103" s="163">
        <f t="shared" ref="BQ103:BQ106" si="1254">BO103+1</f>
        <v>46113</v>
      </c>
      <c r="BR103" s="163">
        <f t="shared" ref="BR103:BR106" si="1255">BQ103+29</f>
        <v>46142</v>
      </c>
      <c r="BS103" s="167">
        <f t="shared" ref="BS103:BS106" si="1256">IFERROR(IF(($R103-BR103)&gt;=0,0,IF(($S103-BQ103)&lt;0,0,IF(AND(($S103-BR103)&gt;0,(BQ103-$R103)&gt;0),$V103/365*(BR103-BQ103+1),IF(AND(($S103-BR103)&lt;=0,(BQ103-$R103)&gt;0),$V103/365*($S103-BQ103+1),$V103/365*(BR103-$R103+1))))),0)</f>
        <v>0</v>
      </c>
      <c r="BT103" s="163">
        <f t="shared" ref="BT103:BT106" si="1257">BR103+1</f>
        <v>46143</v>
      </c>
      <c r="BU103" s="163">
        <f t="shared" ref="BU103:BU106" si="1258">BT103+30</f>
        <v>46173</v>
      </c>
      <c r="BV103" s="167">
        <f t="shared" ref="BV103:BV106" si="1259">IFERROR(IF(($R103-BU103)&gt;=0,0,IF(($S103-BT103)&lt;0,0,IF(AND(($S103-BU103)&gt;0,(BT103-$R103)&gt;0),$V103/365*(BU103-BT103+1),IF(AND(($S103-BU103)&lt;=0,(BT103-$R103)&gt;0),$V103/365*($S103-BT103+1),$V103/365*(BU103-$R103+1))))),0)</f>
        <v>0</v>
      </c>
      <c r="BW103" s="163">
        <f t="shared" ref="BW103:BW106" si="1260">BU103+1</f>
        <v>46174</v>
      </c>
      <c r="BX103" s="163">
        <f t="shared" ref="BX103:BX106" si="1261">BW103+29</f>
        <v>46203</v>
      </c>
      <c r="BY103" s="167">
        <f t="shared" ref="BY103:BY106" si="1262">IFERROR(IF(($R103-BX103)&gt;=0,0,IF(($S103-BW103)&lt;0,0,IF(AND(($S103-BX103)&gt;0,(BW103-$R103)&gt;0),$V103/365*(BX103-BW103+1),IF(AND(($S103-BX103)&lt;=0,(BW103-$R103)&gt;0),$V103/365*($S103-BW103+1),$V103/365*(BX103-$R103+1))))),0)</f>
        <v>0</v>
      </c>
      <c r="BZ103" s="163">
        <f t="shared" ref="BZ103:BZ106" si="1263">BX103+1</f>
        <v>46204</v>
      </c>
      <c r="CA103" s="163">
        <f t="shared" ref="CA103:CA106" si="1264">BZ103+30</f>
        <v>46234</v>
      </c>
      <c r="CB103" s="167">
        <f t="shared" ref="CB103:CB106" si="1265">IFERROR(IF(($R103-CA103)&gt;=0,0,IF(($S103-BZ103)&lt;0,0,IF(AND(($S103-CA103)&gt;0,(BZ103-$R103)&gt;0),$V103/365*(CA103-BZ103+1),IF(AND(($S103-CA103)&lt;=0,(BZ103-$R103)&gt;0),$V103/365*($S103-BZ103+1),$V103/365*(CA103-$R103+1))))),0)</f>
        <v>0</v>
      </c>
      <c r="CC103" s="163">
        <f t="shared" ref="CC103:CC106" si="1266">CA103+1</f>
        <v>46235</v>
      </c>
      <c r="CD103" s="163">
        <f t="shared" ref="CD103:CD106" si="1267">CC103+30</f>
        <v>46265</v>
      </c>
      <c r="CE103" s="167">
        <f t="shared" ref="CE103:CE106" si="1268">IFERROR(IF(($R103-CD103)&gt;=0,0,IF(($S103-CC103)&lt;0,0,IF(AND(($S103-CD103)&gt;0,(CC103-$R103)&gt;0),$V103/365*(CD103-CC103+1),IF(AND(($S103-CD103)&lt;=0,(CC103-$R103)&gt;0),$V103/365*($S103-CC103+1),$V103/365*(CD103-$R103+1))))),0)</f>
        <v>0</v>
      </c>
      <c r="CF103" s="163">
        <f t="shared" ref="CF103:CF106" si="1269">CD103+1</f>
        <v>46266</v>
      </c>
      <c r="CG103" s="163">
        <f t="shared" ref="CG103:CG106" si="1270">CF103+29</f>
        <v>46295</v>
      </c>
      <c r="CH103" s="167">
        <f t="shared" ref="CH103:CH106" si="1271">IFERROR(IF(($R103-CG103)&gt;=0,0,IF(($S103-CF103)&lt;0,0,IF(AND(($S103-CG103)&gt;0,(CF103-$R103)&gt;0),$V103/365*(CG103-CF103+1),IF(AND(($S103-CG103)&lt;=0,(CF103-$R103)&gt;0),$V103/365*($S103-CF103+1),$V103/365*(CG103-$R103+1))))),0)</f>
        <v>0</v>
      </c>
      <c r="CI103" s="163">
        <f t="shared" ref="CI103:CI106" si="1272">CG103+1</f>
        <v>46296</v>
      </c>
      <c r="CJ103" s="163">
        <f t="shared" ref="CJ103:CJ106" si="1273">CI103+30</f>
        <v>46326</v>
      </c>
      <c r="CK103" s="167">
        <f t="shared" ref="CK103:CK106" si="1274">IFERROR(IF(($R103-CJ103)&gt;=0,0,IF(($S103-CI103)&lt;0,0,IF(AND(($S103-CJ103)&gt;0,(CI103-$R103)&gt;0),$V103/365*(CJ103-CI103+1),IF(AND(($S103-CJ103)&lt;=0,(CI103-$R103)&gt;0),$V103/365*($S103-CI103+1),$V103/365*(CJ103-$R103+1))))),0)</f>
        <v>0</v>
      </c>
      <c r="CL103" s="163">
        <f t="shared" ref="CL103:CL106" si="1275">CJ103+1</f>
        <v>46327</v>
      </c>
      <c r="CM103" s="163">
        <f t="shared" ref="CM103:CM106" si="1276">CL103+29</f>
        <v>46356</v>
      </c>
      <c r="CN103" s="167">
        <f t="shared" ref="CN103:CN106" si="1277">IFERROR(IF(($R103-CM103)&gt;=0,0,IF(($S103-CL103)&lt;0,0,IF(AND(($S103-CM103)&gt;0,(CL103-$R103)&gt;0),$V103/365*(CM103-CL103+1),IF(AND(($S103-CM103)&lt;=0,(CL103-$R103)&gt;0),$V103/365*($S103-CL103+1),$V103/365*(CM103-$R103+1))))),0)</f>
        <v>0</v>
      </c>
      <c r="CO103" s="163">
        <f t="shared" ref="CO103:CO106" si="1278">CM103+1</f>
        <v>46357</v>
      </c>
      <c r="CP103" s="163">
        <f t="shared" ref="CP103:CP106" si="1279">CO103+30</f>
        <v>46387</v>
      </c>
      <c r="CQ103" s="167">
        <f t="shared" ref="CQ103:CQ106" si="1280">IFERROR(IF(($R103-CP103)&gt;=0,0,IF(($S103-CO103)&lt;0,0,IF(AND(($S103-CP103)&gt;0,(CO103-$R103)&gt;0),$V103/365*(CP103-CO103+1),IF(AND(($S103-CP103)&lt;=0,(CO103-$R103)&gt;0),$V103/365*($S103-CO103+1),$V103/365*(CP103-$R103+1))))),0)</f>
        <v>0</v>
      </c>
    </row>
    <row r="104" s="89" customFormat="1" ht="24" hidden="1" customHeight="1" outlineLevel="4" spans="1:95">
      <c r="A104" s="128"/>
      <c r="B104" s="129"/>
      <c r="C104" s="130"/>
      <c r="D104" s="128"/>
      <c r="E104" s="129"/>
      <c r="F104" s="129"/>
      <c r="G104" s="129"/>
      <c r="H104" s="131"/>
      <c r="I104" s="131"/>
      <c r="J104" s="131">
        <f t="shared" si="814"/>
        <v>0</v>
      </c>
      <c r="K104" s="131">
        <f t="shared" ref="K104:K106" si="1281">K103+1</f>
        <v>2</v>
      </c>
      <c r="L104" s="156"/>
      <c r="M104" s="157">
        <f>IFERROR(VLOOKUP($L104,'2-2 引出数据_合同数据仓库'!$B$5:$BP$200,3,FALSE),0)</f>
        <v>0</v>
      </c>
      <c r="N104" s="131"/>
      <c r="O104" s="157">
        <f>IFERROR(VLOOKUP((LEFT(VLOOKUP($L104,'2-2 引出数据_合同数据仓库'!$B$5:$BP$200,64,FALSE),15)&amp;(RIGHT(VLOOKUP($L104,'2-2 引出数据_合同数据仓库'!$B$5:$BP$200,64,FALSE),4)+1)),'2-2 引出数据_合同数据仓库'!$B$5:$BP$200,3,FALSE),0)</f>
        <v>0</v>
      </c>
      <c r="P104" s="131"/>
      <c r="Q104" s="131">
        <f>IFERROR(VLOOKUP($L104,'2-2 引出数据_合同数据仓库'!$B$5:$BP$200,28,FALSE),0)</f>
        <v>0</v>
      </c>
      <c r="R104" s="131">
        <f>IFERROR(VLOOKUP($L104,'2-2 引出数据_合同数据仓库'!$B$5:$BP$200,29,FALSE),0)</f>
        <v>0</v>
      </c>
      <c r="S104" s="131">
        <f>IFERROR(VLOOKUP($L104,'2-2 引出数据_合同数据仓库'!$B$5:$BP$200,4,FALSE),0)</f>
        <v>0</v>
      </c>
      <c r="T104" s="131"/>
      <c r="U104" s="131">
        <f>IFERROR(VLOOKUP($L104,'2-2 引出数据_合同数据仓库'!$B$5:$BP$200,15,FALSE),0)</f>
        <v>0</v>
      </c>
      <c r="V104" s="131">
        <f t="shared" si="1210"/>
        <v>0</v>
      </c>
      <c r="W104" s="131"/>
      <c r="X104" s="163">
        <v>45658</v>
      </c>
      <c r="Y104" s="163">
        <f t="shared" si="1211"/>
        <v>45688</v>
      </c>
      <c r="Z104" s="167">
        <f t="shared" si="1212"/>
        <v>0</v>
      </c>
      <c r="AA104" s="163">
        <f t="shared" si="1213"/>
        <v>45689</v>
      </c>
      <c r="AB104" s="163">
        <f t="shared" si="1214"/>
        <v>45716</v>
      </c>
      <c r="AC104" s="167">
        <f t="shared" si="1215"/>
        <v>0</v>
      </c>
      <c r="AD104" s="163">
        <f t="shared" si="1216"/>
        <v>45717</v>
      </c>
      <c r="AE104" s="163">
        <f t="shared" si="1217"/>
        <v>45747</v>
      </c>
      <c r="AF104" s="167">
        <f t="shared" si="1218"/>
        <v>0</v>
      </c>
      <c r="AG104" s="163">
        <f t="shared" si="1219"/>
        <v>45748</v>
      </c>
      <c r="AH104" s="163">
        <f t="shared" si="1220"/>
        <v>45777</v>
      </c>
      <c r="AI104" s="167">
        <f t="shared" si="1221"/>
        <v>0</v>
      </c>
      <c r="AJ104" s="163">
        <f t="shared" si="1222"/>
        <v>45778</v>
      </c>
      <c r="AK104" s="163">
        <f t="shared" si="1223"/>
        <v>45808</v>
      </c>
      <c r="AL104" s="167">
        <f t="shared" si="1224"/>
        <v>0</v>
      </c>
      <c r="AM104" s="163">
        <f t="shared" si="1225"/>
        <v>45809</v>
      </c>
      <c r="AN104" s="163">
        <f t="shared" si="1226"/>
        <v>45838</v>
      </c>
      <c r="AO104" s="167">
        <f t="shared" si="1227"/>
        <v>0</v>
      </c>
      <c r="AP104" s="163">
        <f t="shared" si="1228"/>
        <v>45839</v>
      </c>
      <c r="AQ104" s="163">
        <f t="shared" si="1229"/>
        <v>45869</v>
      </c>
      <c r="AR104" s="167">
        <f t="shared" si="1230"/>
        <v>0</v>
      </c>
      <c r="AS104" s="163">
        <f t="shared" si="1231"/>
        <v>45870</v>
      </c>
      <c r="AT104" s="163">
        <f t="shared" si="1232"/>
        <v>45900</v>
      </c>
      <c r="AU104" s="167">
        <f t="shared" si="1233"/>
        <v>0</v>
      </c>
      <c r="AV104" s="163">
        <f t="shared" si="1234"/>
        <v>45901</v>
      </c>
      <c r="AW104" s="163">
        <f t="shared" si="1235"/>
        <v>45930</v>
      </c>
      <c r="AX104" s="167">
        <f t="shared" si="1236"/>
        <v>0</v>
      </c>
      <c r="AY104" s="163">
        <f t="shared" si="1237"/>
        <v>45931</v>
      </c>
      <c r="AZ104" s="163">
        <f t="shared" si="1238"/>
        <v>45961</v>
      </c>
      <c r="BA104" s="167">
        <f t="shared" si="1239"/>
        <v>0</v>
      </c>
      <c r="BB104" s="163">
        <f t="shared" si="1240"/>
        <v>45962</v>
      </c>
      <c r="BC104" s="163">
        <f t="shared" si="1241"/>
        <v>45991</v>
      </c>
      <c r="BD104" s="167">
        <f t="shared" si="1242"/>
        <v>0</v>
      </c>
      <c r="BE104" s="163">
        <f t="shared" si="1243"/>
        <v>45992</v>
      </c>
      <c r="BF104" s="163">
        <f t="shared" si="1244"/>
        <v>46022</v>
      </c>
      <c r="BG104" s="167">
        <f t="shared" si="1245"/>
        <v>0</v>
      </c>
      <c r="BH104" s="163">
        <v>46023</v>
      </c>
      <c r="BI104" s="163">
        <f t="shared" si="1246"/>
        <v>46053</v>
      </c>
      <c r="BJ104" s="167">
        <f t="shared" si="1247"/>
        <v>0</v>
      </c>
      <c r="BK104" s="163">
        <f t="shared" si="1248"/>
        <v>46054</v>
      </c>
      <c r="BL104" s="163">
        <f t="shared" si="1249"/>
        <v>46081</v>
      </c>
      <c r="BM104" s="167">
        <f t="shared" si="1250"/>
        <v>0</v>
      </c>
      <c r="BN104" s="163">
        <f t="shared" si="1251"/>
        <v>46082</v>
      </c>
      <c r="BO104" s="163">
        <f t="shared" si="1252"/>
        <v>46112</v>
      </c>
      <c r="BP104" s="167">
        <f t="shared" si="1253"/>
        <v>0</v>
      </c>
      <c r="BQ104" s="163">
        <f t="shared" si="1254"/>
        <v>46113</v>
      </c>
      <c r="BR104" s="163">
        <f t="shared" si="1255"/>
        <v>46142</v>
      </c>
      <c r="BS104" s="167">
        <f t="shared" si="1256"/>
        <v>0</v>
      </c>
      <c r="BT104" s="163">
        <f t="shared" si="1257"/>
        <v>46143</v>
      </c>
      <c r="BU104" s="163">
        <f t="shared" si="1258"/>
        <v>46173</v>
      </c>
      <c r="BV104" s="167">
        <f t="shared" si="1259"/>
        <v>0</v>
      </c>
      <c r="BW104" s="163">
        <f t="shared" si="1260"/>
        <v>46174</v>
      </c>
      <c r="BX104" s="163">
        <f t="shared" si="1261"/>
        <v>46203</v>
      </c>
      <c r="BY104" s="167">
        <f t="shared" si="1262"/>
        <v>0</v>
      </c>
      <c r="BZ104" s="163">
        <f t="shared" si="1263"/>
        <v>46204</v>
      </c>
      <c r="CA104" s="163">
        <f t="shared" si="1264"/>
        <v>46234</v>
      </c>
      <c r="CB104" s="167">
        <f t="shared" si="1265"/>
        <v>0</v>
      </c>
      <c r="CC104" s="163">
        <f t="shared" si="1266"/>
        <v>46235</v>
      </c>
      <c r="CD104" s="163">
        <f t="shared" si="1267"/>
        <v>46265</v>
      </c>
      <c r="CE104" s="167">
        <f t="shared" si="1268"/>
        <v>0</v>
      </c>
      <c r="CF104" s="163">
        <f t="shared" si="1269"/>
        <v>46266</v>
      </c>
      <c r="CG104" s="163">
        <f t="shared" si="1270"/>
        <v>46295</v>
      </c>
      <c r="CH104" s="167">
        <f t="shared" si="1271"/>
        <v>0</v>
      </c>
      <c r="CI104" s="163">
        <f t="shared" si="1272"/>
        <v>46296</v>
      </c>
      <c r="CJ104" s="163">
        <f t="shared" si="1273"/>
        <v>46326</v>
      </c>
      <c r="CK104" s="167">
        <f t="shared" si="1274"/>
        <v>0</v>
      </c>
      <c r="CL104" s="163">
        <f t="shared" si="1275"/>
        <v>46327</v>
      </c>
      <c r="CM104" s="163">
        <f t="shared" si="1276"/>
        <v>46356</v>
      </c>
      <c r="CN104" s="167">
        <f t="shared" si="1277"/>
        <v>0</v>
      </c>
      <c r="CO104" s="163">
        <f t="shared" si="1278"/>
        <v>46357</v>
      </c>
      <c r="CP104" s="163">
        <f t="shared" si="1279"/>
        <v>46387</v>
      </c>
      <c r="CQ104" s="167">
        <f t="shared" si="1280"/>
        <v>0</v>
      </c>
    </row>
    <row r="105" s="89" customFormat="1" ht="24" hidden="1" customHeight="1" outlineLevel="4" spans="1:95">
      <c r="A105" s="128"/>
      <c r="B105" s="129"/>
      <c r="C105" s="130"/>
      <c r="D105" s="128"/>
      <c r="E105" s="129"/>
      <c r="F105" s="129"/>
      <c r="G105" s="129"/>
      <c r="H105" s="131"/>
      <c r="I105" s="131"/>
      <c r="J105" s="131">
        <f t="shared" si="814"/>
        <v>0</v>
      </c>
      <c r="K105" s="131">
        <f t="shared" si="1281"/>
        <v>3</v>
      </c>
      <c r="L105" s="156"/>
      <c r="M105" s="157">
        <f>IFERROR(VLOOKUP($L105,'2-2 引出数据_合同数据仓库'!$B$5:$BP$200,3,FALSE),0)</f>
        <v>0</v>
      </c>
      <c r="N105" s="131"/>
      <c r="O105" s="157">
        <f>IFERROR(VLOOKUP((LEFT(VLOOKUP($L105,'2-2 引出数据_合同数据仓库'!$B$5:$BP$200,64,FALSE),15)&amp;(RIGHT(VLOOKUP($L105,'2-2 引出数据_合同数据仓库'!$B$5:$BP$200,64,FALSE),4)+1)),'2-2 引出数据_合同数据仓库'!$B$5:$BP$200,3,FALSE),0)</f>
        <v>0</v>
      </c>
      <c r="P105" s="131"/>
      <c r="Q105" s="131">
        <f>IFERROR(VLOOKUP($L105,'2-2 引出数据_合同数据仓库'!$B$5:$BP$200,28,FALSE),0)</f>
        <v>0</v>
      </c>
      <c r="R105" s="131">
        <f>IFERROR(VLOOKUP($L105,'2-2 引出数据_合同数据仓库'!$B$5:$BP$200,29,FALSE),0)</f>
        <v>0</v>
      </c>
      <c r="S105" s="131">
        <f>IFERROR(VLOOKUP($L105,'2-2 引出数据_合同数据仓库'!$B$5:$BP$200,4,FALSE),0)</f>
        <v>0</v>
      </c>
      <c r="T105" s="131"/>
      <c r="U105" s="131">
        <f>IFERROR(VLOOKUP($L105,'2-2 引出数据_合同数据仓库'!$B$5:$BP$200,15,FALSE),0)</f>
        <v>0</v>
      </c>
      <c r="V105" s="131">
        <f t="shared" si="1210"/>
        <v>0</v>
      </c>
      <c r="W105" s="131"/>
      <c r="X105" s="163">
        <v>45658</v>
      </c>
      <c r="Y105" s="163">
        <f t="shared" si="1211"/>
        <v>45688</v>
      </c>
      <c r="Z105" s="167">
        <f t="shared" si="1212"/>
        <v>0</v>
      </c>
      <c r="AA105" s="163">
        <f t="shared" si="1213"/>
        <v>45689</v>
      </c>
      <c r="AB105" s="163">
        <f t="shared" si="1214"/>
        <v>45716</v>
      </c>
      <c r="AC105" s="167">
        <f t="shared" si="1215"/>
        <v>0</v>
      </c>
      <c r="AD105" s="163">
        <f t="shared" si="1216"/>
        <v>45717</v>
      </c>
      <c r="AE105" s="163">
        <f t="shared" si="1217"/>
        <v>45747</v>
      </c>
      <c r="AF105" s="167">
        <f t="shared" si="1218"/>
        <v>0</v>
      </c>
      <c r="AG105" s="163">
        <f t="shared" si="1219"/>
        <v>45748</v>
      </c>
      <c r="AH105" s="163">
        <f t="shared" si="1220"/>
        <v>45777</v>
      </c>
      <c r="AI105" s="167">
        <f t="shared" si="1221"/>
        <v>0</v>
      </c>
      <c r="AJ105" s="163">
        <f t="shared" si="1222"/>
        <v>45778</v>
      </c>
      <c r="AK105" s="163">
        <f t="shared" si="1223"/>
        <v>45808</v>
      </c>
      <c r="AL105" s="167">
        <f t="shared" si="1224"/>
        <v>0</v>
      </c>
      <c r="AM105" s="163">
        <f t="shared" si="1225"/>
        <v>45809</v>
      </c>
      <c r="AN105" s="163">
        <f t="shared" si="1226"/>
        <v>45838</v>
      </c>
      <c r="AO105" s="167">
        <f t="shared" si="1227"/>
        <v>0</v>
      </c>
      <c r="AP105" s="163">
        <f t="shared" si="1228"/>
        <v>45839</v>
      </c>
      <c r="AQ105" s="163">
        <f t="shared" si="1229"/>
        <v>45869</v>
      </c>
      <c r="AR105" s="167">
        <f t="shared" si="1230"/>
        <v>0</v>
      </c>
      <c r="AS105" s="163">
        <f t="shared" si="1231"/>
        <v>45870</v>
      </c>
      <c r="AT105" s="163">
        <f t="shared" si="1232"/>
        <v>45900</v>
      </c>
      <c r="AU105" s="167">
        <f t="shared" si="1233"/>
        <v>0</v>
      </c>
      <c r="AV105" s="163">
        <f t="shared" si="1234"/>
        <v>45901</v>
      </c>
      <c r="AW105" s="163">
        <f t="shared" si="1235"/>
        <v>45930</v>
      </c>
      <c r="AX105" s="167">
        <f t="shared" si="1236"/>
        <v>0</v>
      </c>
      <c r="AY105" s="163">
        <f t="shared" si="1237"/>
        <v>45931</v>
      </c>
      <c r="AZ105" s="163">
        <f t="shared" si="1238"/>
        <v>45961</v>
      </c>
      <c r="BA105" s="167">
        <f t="shared" si="1239"/>
        <v>0</v>
      </c>
      <c r="BB105" s="163">
        <f t="shared" si="1240"/>
        <v>45962</v>
      </c>
      <c r="BC105" s="163">
        <f t="shared" si="1241"/>
        <v>45991</v>
      </c>
      <c r="BD105" s="167">
        <f t="shared" si="1242"/>
        <v>0</v>
      </c>
      <c r="BE105" s="163">
        <f t="shared" si="1243"/>
        <v>45992</v>
      </c>
      <c r="BF105" s="163">
        <f t="shared" si="1244"/>
        <v>46022</v>
      </c>
      <c r="BG105" s="167">
        <f t="shared" si="1245"/>
        <v>0</v>
      </c>
      <c r="BH105" s="163">
        <v>46023</v>
      </c>
      <c r="BI105" s="163">
        <f t="shared" si="1246"/>
        <v>46053</v>
      </c>
      <c r="BJ105" s="167">
        <f t="shared" si="1247"/>
        <v>0</v>
      </c>
      <c r="BK105" s="163">
        <f t="shared" si="1248"/>
        <v>46054</v>
      </c>
      <c r="BL105" s="163">
        <f t="shared" si="1249"/>
        <v>46081</v>
      </c>
      <c r="BM105" s="167">
        <f t="shared" si="1250"/>
        <v>0</v>
      </c>
      <c r="BN105" s="163">
        <f t="shared" si="1251"/>
        <v>46082</v>
      </c>
      <c r="BO105" s="163">
        <f t="shared" si="1252"/>
        <v>46112</v>
      </c>
      <c r="BP105" s="167">
        <f t="shared" si="1253"/>
        <v>0</v>
      </c>
      <c r="BQ105" s="163">
        <f t="shared" si="1254"/>
        <v>46113</v>
      </c>
      <c r="BR105" s="163">
        <f t="shared" si="1255"/>
        <v>46142</v>
      </c>
      <c r="BS105" s="167">
        <f t="shared" si="1256"/>
        <v>0</v>
      </c>
      <c r="BT105" s="163">
        <f t="shared" si="1257"/>
        <v>46143</v>
      </c>
      <c r="BU105" s="163">
        <f t="shared" si="1258"/>
        <v>46173</v>
      </c>
      <c r="BV105" s="167">
        <f t="shared" si="1259"/>
        <v>0</v>
      </c>
      <c r="BW105" s="163">
        <f t="shared" si="1260"/>
        <v>46174</v>
      </c>
      <c r="BX105" s="163">
        <f t="shared" si="1261"/>
        <v>46203</v>
      </c>
      <c r="BY105" s="167">
        <f t="shared" si="1262"/>
        <v>0</v>
      </c>
      <c r="BZ105" s="163">
        <f t="shared" si="1263"/>
        <v>46204</v>
      </c>
      <c r="CA105" s="163">
        <f t="shared" si="1264"/>
        <v>46234</v>
      </c>
      <c r="CB105" s="167">
        <f t="shared" si="1265"/>
        <v>0</v>
      </c>
      <c r="CC105" s="163">
        <f t="shared" si="1266"/>
        <v>46235</v>
      </c>
      <c r="CD105" s="163">
        <f t="shared" si="1267"/>
        <v>46265</v>
      </c>
      <c r="CE105" s="167">
        <f t="shared" si="1268"/>
        <v>0</v>
      </c>
      <c r="CF105" s="163">
        <f t="shared" si="1269"/>
        <v>46266</v>
      </c>
      <c r="CG105" s="163">
        <f t="shared" si="1270"/>
        <v>46295</v>
      </c>
      <c r="CH105" s="167">
        <f t="shared" si="1271"/>
        <v>0</v>
      </c>
      <c r="CI105" s="163">
        <f t="shared" si="1272"/>
        <v>46296</v>
      </c>
      <c r="CJ105" s="163">
        <f t="shared" si="1273"/>
        <v>46326</v>
      </c>
      <c r="CK105" s="167">
        <f t="shared" si="1274"/>
        <v>0</v>
      </c>
      <c r="CL105" s="163">
        <f t="shared" si="1275"/>
        <v>46327</v>
      </c>
      <c r="CM105" s="163">
        <f t="shared" si="1276"/>
        <v>46356</v>
      </c>
      <c r="CN105" s="167">
        <f t="shared" si="1277"/>
        <v>0</v>
      </c>
      <c r="CO105" s="163">
        <f t="shared" si="1278"/>
        <v>46357</v>
      </c>
      <c r="CP105" s="163">
        <f t="shared" si="1279"/>
        <v>46387</v>
      </c>
      <c r="CQ105" s="167">
        <f t="shared" si="1280"/>
        <v>0</v>
      </c>
    </row>
    <row r="106" s="89" customFormat="1" ht="24" hidden="1" customHeight="1" outlineLevel="4" spans="1:95">
      <c r="A106" s="128"/>
      <c r="B106" s="129"/>
      <c r="C106" s="130"/>
      <c r="D106" s="128"/>
      <c r="E106" s="129"/>
      <c r="F106" s="129"/>
      <c r="G106" s="129"/>
      <c r="H106" s="131"/>
      <c r="I106" s="131"/>
      <c r="J106" s="131">
        <f t="shared" si="814"/>
        <v>0</v>
      </c>
      <c r="K106" s="131">
        <f t="shared" si="1281"/>
        <v>4</v>
      </c>
      <c r="L106" s="156"/>
      <c r="M106" s="157">
        <f>IFERROR(VLOOKUP($L106,'2-2 引出数据_合同数据仓库'!$B$5:$BP$200,3,FALSE),0)</f>
        <v>0</v>
      </c>
      <c r="N106" s="131"/>
      <c r="O106" s="157">
        <f>IFERROR(VLOOKUP((LEFT(VLOOKUP($L106,'2-2 引出数据_合同数据仓库'!$B$5:$BP$200,64,FALSE),15)&amp;(RIGHT(VLOOKUP($L106,'2-2 引出数据_合同数据仓库'!$B$5:$BP$200,64,FALSE),4)+1)),'2-2 引出数据_合同数据仓库'!$B$5:$BP$200,3,FALSE),0)</f>
        <v>0</v>
      </c>
      <c r="P106" s="131"/>
      <c r="Q106" s="131">
        <f>IFERROR(VLOOKUP($L106,'2-2 引出数据_合同数据仓库'!$B$5:$BP$200,28,FALSE),0)</f>
        <v>0</v>
      </c>
      <c r="R106" s="131">
        <f>IFERROR(VLOOKUP($L106,'2-2 引出数据_合同数据仓库'!$B$5:$BP$200,29,FALSE),0)</f>
        <v>0</v>
      </c>
      <c r="S106" s="131">
        <f>IFERROR(VLOOKUP($L106,'2-2 引出数据_合同数据仓库'!$B$5:$BP$200,4,FALSE),0)</f>
        <v>0</v>
      </c>
      <c r="T106" s="131"/>
      <c r="U106" s="131">
        <f>IFERROR(VLOOKUP($L106,'2-2 引出数据_合同数据仓库'!$B$5:$BP$200,15,FALSE),0)</f>
        <v>0</v>
      </c>
      <c r="V106" s="131">
        <f t="shared" si="1210"/>
        <v>0</v>
      </c>
      <c r="W106" s="131"/>
      <c r="X106" s="163">
        <v>45658</v>
      </c>
      <c r="Y106" s="163">
        <f t="shared" si="1211"/>
        <v>45688</v>
      </c>
      <c r="Z106" s="167">
        <f t="shared" si="1212"/>
        <v>0</v>
      </c>
      <c r="AA106" s="163">
        <f t="shared" si="1213"/>
        <v>45689</v>
      </c>
      <c r="AB106" s="163">
        <f t="shared" si="1214"/>
        <v>45716</v>
      </c>
      <c r="AC106" s="167">
        <f t="shared" si="1215"/>
        <v>0</v>
      </c>
      <c r="AD106" s="163">
        <f t="shared" si="1216"/>
        <v>45717</v>
      </c>
      <c r="AE106" s="163">
        <f t="shared" si="1217"/>
        <v>45747</v>
      </c>
      <c r="AF106" s="167">
        <f t="shared" si="1218"/>
        <v>0</v>
      </c>
      <c r="AG106" s="163">
        <f t="shared" si="1219"/>
        <v>45748</v>
      </c>
      <c r="AH106" s="163">
        <f t="shared" si="1220"/>
        <v>45777</v>
      </c>
      <c r="AI106" s="167">
        <f t="shared" si="1221"/>
        <v>0</v>
      </c>
      <c r="AJ106" s="163">
        <f t="shared" si="1222"/>
        <v>45778</v>
      </c>
      <c r="AK106" s="163">
        <f t="shared" si="1223"/>
        <v>45808</v>
      </c>
      <c r="AL106" s="167">
        <f t="shared" si="1224"/>
        <v>0</v>
      </c>
      <c r="AM106" s="163">
        <f t="shared" si="1225"/>
        <v>45809</v>
      </c>
      <c r="AN106" s="163">
        <f t="shared" si="1226"/>
        <v>45838</v>
      </c>
      <c r="AO106" s="167">
        <f t="shared" si="1227"/>
        <v>0</v>
      </c>
      <c r="AP106" s="163">
        <f t="shared" si="1228"/>
        <v>45839</v>
      </c>
      <c r="AQ106" s="163">
        <f t="shared" si="1229"/>
        <v>45869</v>
      </c>
      <c r="AR106" s="167">
        <f t="shared" si="1230"/>
        <v>0</v>
      </c>
      <c r="AS106" s="163">
        <f t="shared" si="1231"/>
        <v>45870</v>
      </c>
      <c r="AT106" s="163">
        <f t="shared" si="1232"/>
        <v>45900</v>
      </c>
      <c r="AU106" s="167">
        <f t="shared" si="1233"/>
        <v>0</v>
      </c>
      <c r="AV106" s="163">
        <f t="shared" si="1234"/>
        <v>45901</v>
      </c>
      <c r="AW106" s="163">
        <f t="shared" si="1235"/>
        <v>45930</v>
      </c>
      <c r="AX106" s="167">
        <f t="shared" si="1236"/>
        <v>0</v>
      </c>
      <c r="AY106" s="163">
        <f t="shared" si="1237"/>
        <v>45931</v>
      </c>
      <c r="AZ106" s="163">
        <f t="shared" si="1238"/>
        <v>45961</v>
      </c>
      <c r="BA106" s="167">
        <f t="shared" si="1239"/>
        <v>0</v>
      </c>
      <c r="BB106" s="163">
        <f t="shared" si="1240"/>
        <v>45962</v>
      </c>
      <c r="BC106" s="163">
        <f t="shared" si="1241"/>
        <v>45991</v>
      </c>
      <c r="BD106" s="167">
        <f t="shared" si="1242"/>
        <v>0</v>
      </c>
      <c r="BE106" s="163">
        <f t="shared" si="1243"/>
        <v>45992</v>
      </c>
      <c r="BF106" s="163">
        <f t="shared" si="1244"/>
        <v>46022</v>
      </c>
      <c r="BG106" s="167">
        <f t="shared" si="1245"/>
        <v>0</v>
      </c>
      <c r="BH106" s="163">
        <v>46023</v>
      </c>
      <c r="BI106" s="163">
        <f t="shared" si="1246"/>
        <v>46053</v>
      </c>
      <c r="BJ106" s="167">
        <f t="shared" si="1247"/>
        <v>0</v>
      </c>
      <c r="BK106" s="163">
        <f t="shared" si="1248"/>
        <v>46054</v>
      </c>
      <c r="BL106" s="163">
        <f t="shared" si="1249"/>
        <v>46081</v>
      </c>
      <c r="BM106" s="167">
        <f t="shared" si="1250"/>
        <v>0</v>
      </c>
      <c r="BN106" s="163">
        <f t="shared" si="1251"/>
        <v>46082</v>
      </c>
      <c r="BO106" s="163">
        <f t="shared" si="1252"/>
        <v>46112</v>
      </c>
      <c r="BP106" s="167">
        <f t="shared" si="1253"/>
        <v>0</v>
      </c>
      <c r="BQ106" s="163">
        <f t="shared" si="1254"/>
        <v>46113</v>
      </c>
      <c r="BR106" s="163">
        <f t="shared" si="1255"/>
        <v>46142</v>
      </c>
      <c r="BS106" s="167">
        <f t="shared" si="1256"/>
        <v>0</v>
      </c>
      <c r="BT106" s="163">
        <f t="shared" si="1257"/>
        <v>46143</v>
      </c>
      <c r="BU106" s="163">
        <f t="shared" si="1258"/>
        <v>46173</v>
      </c>
      <c r="BV106" s="167">
        <f t="shared" si="1259"/>
        <v>0</v>
      </c>
      <c r="BW106" s="163">
        <f t="shared" si="1260"/>
        <v>46174</v>
      </c>
      <c r="BX106" s="163">
        <f t="shared" si="1261"/>
        <v>46203</v>
      </c>
      <c r="BY106" s="167">
        <f t="shared" si="1262"/>
        <v>0</v>
      </c>
      <c r="BZ106" s="163">
        <f t="shared" si="1263"/>
        <v>46204</v>
      </c>
      <c r="CA106" s="163">
        <f t="shared" si="1264"/>
        <v>46234</v>
      </c>
      <c r="CB106" s="167">
        <f t="shared" si="1265"/>
        <v>0</v>
      </c>
      <c r="CC106" s="163">
        <f t="shared" si="1266"/>
        <v>46235</v>
      </c>
      <c r="CD106" s="163">
        <f t="shared" si="1267"/>
        <v>46265</v>
      </c>
      <c r="CE106" s="167">
        <f t="shared" si="1268"/>
        <v>0</v>
      </c>
      <c r="CF106" s="163">
        <f t="shared" si="1269"/>
        <v>46266</v>
      </c>
      <c r="CG106" s="163">
        <f t="shared" si="1270"/>
        <v>46295</v>
      </c>
      <c r="CH106" s="167">
        <f t="shared" si="1271"/>
        <v>0</v>
      </c>
      <c r="CI106" s="163">
        <f t="shared" si="1272"/>
        <v>46296</v>
      </c>
      <c r="CJ106" s="163">
        <f t="shared" si="1273"/>
        <v>46326</v>
      </c>
      <c r="CK106" s="167">
        <f t="shared" si="1274"/>
        <v>0</v>
      </c>
      <c r="CL106" s="163">
        <f t="shared" si="1275"/>
        <v>46327</v>
      </c>
      <c r="CM106" s="163">
        <f t="shared" si="1276"/>
        <v>46356</v>
      </c>
      <c r="CN106" s="167">
        <f t="shared" si="1277"/>
        <v>0</v>
      </c>
      <c r="CO106" s="163">
        <f t="shared" si="1278"/>
        <v>46357</v>
      </c>
      <c r="CP106" s="163">
        <f t="shared" si="1279"/>
        <v>46387</v>
      </c>
      <c r="CQ106" s="167">
        <f t="shared" si="1280"/>
        <v>0</v>
      </c>
    </row>
    <row r="107" s="89" customFormat="1" ht="24" hidden="1" customHeight="1" outlineLevel="4" spans="1:95">
      <c r="A107" s="132" t="s">
        <v>2813</v>
      </c>
      <c r="B107" s="133"/>
      <c r="C107" s="133"/>
      <c r="D107" s="133"/>
      <c r="E107" s="133"/>
      <c r="F107" s="133"/>
      <c r="G107" s="134"/>
      <c r="H107" s="135"/>
      <c r="I107" s="135"/>
      <c r="J107" s="135"/>
      <c r="K107" s="135"/>
      <c r="L107" s="158"/>
      <c r="M107" s="158"/>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5"/>
      <c r="CK107" s="135"/>
      <c r="CL107" s="135"/>
      <c r="CM107" s="135"/>
      <c r="CN107" s="135"/>
      <c r="CO107" s="135"/>
      <c r="CP107" s="135"/>
      <c r="CQ107" s="135"/>
    </row>
    <row r="108" ht="24" hidden="1" customHeight="1" outlineLevel="3" collapsed="1" spans="1:95">
      <c r="A108" s="124"/>
      <c r="B108" s="125" t="s">
        <v>792</v>
      </c>
      <c r="C108" s="126" t="s">
        <v>1049</v>
      </c>
      <c r="D108" s="124" t="s">
        <v>19</v>
      </c>
      <c r="E108" s="125"/>
      <c r="F108" s="125"/>
      <c r="G108" s="125"/>
      <c r="H108" s="127">
        <f>X108+AA108+AD108+AG108+AJ108+AM108+AP108+AS108+AV108+AY108+BB108+BE108</f>
        <v>0</v>
      </c>
      <c r="I108" s="127">
        <f>Y108+AB108+AE108+AH108+AK108+AN108+AQ108+AT108+AW108+AZ108+BC108+BF108</f>
        <v>0</v>
      </c>
      <c r="J108" s="127">
        <f t="shared" si="814"/>
        <v>0</v>
      </c>
      <c r="K108" s="127"/>
      <c r="L108" s="155"/>
      <c r="M108" s="155"/>
      <c r="N108" s="127"/>
      <c r="O108" s="127"/>
      <c r="P108" s="127"/>
      <c r="Q108" s="127"/>
      <c r="R108" s="127"/>
      <c r="S108" s="127"/>
      <c r="T108" s="127"/>
      <c r="U108" s="127"/>
      <c r="V108" s="127"/>
      <c r="W108" s="127"/>
      <c r="X108" s="127">
        <f>VLOOKUP($C108,'1 预算编制表单'!$C:$BJ,27,FALSE)</f>
        <v>0</v>
      </c>
      <c r="Y108" s="127">
        <f>X108-Z108</f>
        <v>0</v>
      </c>
      <c r="Z108" s="127">
        <f>SUM(Z109:Z113)</f>
        <v>0</v>
      </c>
      <c r="AA108" s="127">
        <f>VLOOKUP($C108,'1 预算编制表单'!$C:$BJ,30,FALSE)</f>
        <v>0</v>
      </c>
      <c r="AB108" s="127">
        <f>AA108-AC108</f>
        <v>0</v>
      </c>
      <c r="AC108" s="127">
        <f>SUM(AC109:AC113)</f>
        <v>0</v>
      </c>
      <c r="AD108" s="127">
        <f>VLOOKUP($C108,'1 预算编制表单'!$C:$BJ,33,FALSE)</f>
        <v>0</v>
      </c>
      <c r="AE108" s="127">
        <f>AD108-AF108</f>
        <v>0</v>
      </c>
      <c r="AF108" s="127">
        <f>SUM(AF109:AF113)</f>
        <v>0</v>
      </c>
      <c r="AG108" s="127">
        <f>VLOOKUP($C108,'1 预算编制表单'!$C:$BJ,36,FALSE)</f>
        <v>0</v>
      </c>
      <c r="AH108" s="127">
        <f>AG108-AI108</f>
        <v>0</v>
      </c>
      <c r="AI108" s="127">
        <f>SUM(AI109:AI113)</f>
        <v>0</v>
      </c>
      <c r="AJ108" s="127">
        <f>VLOOKUP($C108,'1 预算编制表单'!$C:$BJ,39,FALSE)</f>
        <v>0</v>
      </c>
      <c r="AK108" s="127">
        <f>AJ108-AL108</f>
        <v>0</v>
      </c>
      <c r="AL108" s="127">
        <f>SUM(AL109:AL113)</f>
        <v>0</v>
      </c>
      <c r="AM108" s="127">
        <f>VLOOKUP($C108,'1 预算编制表单'!$C:$BJ,42,FALSE)</f>
        <v>0</v>
      </c>
      <c r="AN108" s="127">
        <f>AM108-AO108</f>
        <v>0</v>
      </c>
      <c r="AO108" s="127">
        <f>SUM(AO109:AO113)</f>
        <v>0</v>
      </c>
      <c r="AP108" s="127">
        <f>VLOOKUP($C108,'1 预算编制表单'!$C:$BJ,45,FALSE)</f>
        <v>0</v>
      </c>
      <c r="AQ108" s="127">
        <f>AP108-AR108</f>
        <v>0</v>
      </c>
      <c r="AR108" s="127">
        <f>SUM(AR109:AR113)</f>
        <v>0</v>
      </c>
      <c r="AS108" s="127">
        <f>VLOOKUP($C108,'1 预算编制表单'!$C:$BJ,48,FALSE)</f>
        <v>0</v>
      </c>
      <c r="AT108" s="127">
        <f>AS108-AU108</f>
        <v>0</v>
      </c>
      <c r="AU108" s="127">
        <f>SUM(AU109:AU113)</f>
        <v>0</v>
      </c>
      <c r="AV108" s="127">
        <f>VLOOKUP($C108,'1 预算编制表单'!$C:$BJ,51,FALSE)</f>
        <v>0</v>
      </c>
      <c r="AW108" s="127">
        <f>AV108-AX108</f>
        <v>0</v>
      </c>
      <c r="AX108" s="127">
        <f>SUM(AX109:AX113)</f>
        <v>0</v>
      </c>
      <c r="AY108" s="127">
        <f>VLOOKUP($C108,'1 预算编制表单'!$C:$BJ,54,FALSE)</f>
        <v>0</v>
      </c>
      <c r="AZ108" s="127">
        <f>AY108-BA108</f>
        <v>0</v>
      </c>
      <c r="BA108" s="127">
        <f>SUM(BA109:BA113)</f>
        <v>0</v>
      </c>
      <c r="BB108" s="127">
        <f>VLOOKUP($C108,'1 预算编制表单'!$C:$BJ,57,FALSE)</f>
        <v>0</v>
      </c>
      <c r="BC108" s="127">
        <f>BB108-BD108</f>
        <v>0</v>
      </c>
      <c r="BD108" s="127">
        <f>SUM(BD109:BD113)</f>
        <v>0</v>
      </c>
      <c r="BE108" s="127">
        <f>VLOOKUP($C108,'1 预算编制表单'!$C:$BJ,60,FALSE)</f>
        <v>0</v>
      </c>
      <c r="BF108" s="127">
        <f>BE108-BG108</f>
        <v>0</v>
      </c>
      <c r="BG108" s="127">
        <f>SUM(BG109:BG113)</f>
        <v>0</v>
      </c>
      <c r="BH108" s="127">
        <f>VLOOKUP($C108,'1 预算编制表单'!$C:$BJ,27,FALSE)</f>
        <v>0</v>
      </c>
      <c r="BI108" s="127">
        <f>BH108-BJ108</f>
        <v>0</v>
      </c>
      <c r="BJ108" s="127">
        <f>SUM(BJ109:BJ113)</f>
        <v>0</v>
      </c>
      <c r="BK108" s="127">
        <f>VLOOKUP($C108,'1 预算编制表单'!$C:$BJ,30,FALSE)</f>
        <v>0</v>
      </c>
      <c r="BL108" s="127">
        <f>BK108-BM108</f>
        <v>0</v>
      </c>
      <c r="BM108" s="127">
        <f>SUM(BM109:BM113)</f>
        <v>0</v>
      </c>
      <c r="BN108" s="127">
        <f>VLOOKUP($C108,'1 预算编制表单'!$C:$BJ,33,FALSE)</f>
        <v>0</v>
      </c>
      <c r="BO108" s="127">
        <f>BN108-BP108</f>
        <v>0</v>
      </c>
      <c r="BP108" s="127">
        <f>SUM(BP109:BP113)</f>
        <v>0</v>
      </c>
      <c r="BQ108" s="127">
        <f>VLOOKUP($C108,'1 预算编制表单'!$C:$BJ,36,FALSE)</f>
        <v>0</v>
      </c>
      <c r="BR108" s="127">
        <f>BQ108-BS108</f>
        <v>0</v>
      </c>
      <c r="BS108" s="127">
        <f>SUM(BS109:BS113)</f>
        <v>0</v>
      </c>
      <c r="BT108" s="127">
        <f>VLOOKUP($C108,'1 预算编制表单'!$C:$BJ,39,FALSE)</f>
        <v>0</v>
      </c>
      <c r="BU108" s="127">
        <f>BT108-BV108</f>
        <v>0</v>
      </c>
      <c r="BV108" s="127">
        <f>SUM(BV109:BV113)</f>
        <v>0</v>
      </c>
      <c r="BW108" s="127">
        <f>VLOOKUP($C108,'1 预算编制表单'!$C:$BJ,42,FALSE)</f>
        <v>0</v>
      </c>
      <c r="BX108" s="127">
        <f>BW108-BY108</f>
        <v>0</v>
      </c>
      <c r="BY108" s="127">
        <f>SUM(BY109:BY113)</f>
        <v>0</v>
      </c>
      <c r="BZ108" s="127">
        <f>VLOOKUP($C108,'1 预算编制表单'!$C:$BJ,45,FALSE)</f>
        <v>0</v>
      </c>
      <c r="CA108" s="127">
        <f>BZ108-CB108</f>
        <v>0</v>
      </c>
      <c r="CB108" s="127">
        <f>SUM(CB109:CB113)</f>
        <v>0</v>
      </c>
      <c r="CC108" s="127">
        <f>VLOOKUP($C108,'1 预算编制表单'!$C:$BJ,48,FALSE)</f>
        <v>0</v>
      </c>
      <c r="CD108" s="127">
        <f>CC108-CE108</f>
        <v>0</v>
      </c>
      <c r="CE108" s="127">
        <f>SUM(CE109:CE113)</f>
        <v>0</v>
      </c>
      <c r="CF108" s="127">
        <f>VLOOKUP($C108,'1 预算编制表单'!$C:$BJ,51,FALSE)</f>
        <v>0</v>
      </c>
      <c r="CG108" s="127">
        <f>CF108-CH108</f>
        <v>0</v>
      </c>
      <c r="CH108" s="127">
        <f>SUM(CH109:CH113)</f>
        <v>0</v>
      </c>
      <c r="CI108" s="127">
        <f>VLOOKUP($C108,'1 预算编制表单'!$C:$BJ,54,FALSE)</f>
        <v>0</v>
      </c>
      <c r="CJ108" s="127">
        <f>CI108-CK108</f>
        <v>0</v>
      </c>
      <c r="CK108" s="127">
        <f>SUM(CK109:CK113)</f>
        <v>0</v>
      </c>
      <c r="CL108" s="127">
        <f>VLOOKUP($C108,'1 预算编制表单'!$C:$BJ,57,FALSE)</f>
        <v>0</v>
      </c>
      <c r="CM108" s="127">
        <f>CL108-CN108</f>
        <v>0</v>
      </c>
      <c r="CN108" s="127">
        <f>SUM(CN109:CN113)</f>
        <v>0</v>
      </c>
      <c r="CO108" s="127">
        <f>VLOOKUP($C108,'1 预算编制表单'!$C:$BJ,60,FALSE)</f>
        <v>0</v>
      </c>
      <c r="CP108" s="127">
        <f>CO108-CQ108</f>
        <v>0</v>
      </c>
      <c r="CQ108" s="127">
        <f>SUM(CQ109:CQ113)</f>
        <v>0</v>
      </c>
    </row>
    <row r="109" s="89" customFormat="1" ht="24" hidden="1" customHeight="1" outlineLevel="4" spans="1:95">
      <c r="A109" s="128"/>
      <c r="B109" s="129"/>
      <c r="C109" s="130"/>
      <c r="D109" s="128"/>
      <c r="E109" s="129"/>
      <c r="F109" s="129"/>
      <c r="G109" s="129"/>
      <c r="H109" s="131"/>
      <c r="I109" s="131"/>
      <c r="J109" s="131">
        <f t="shared" si="814"/>
        <v>0</v>
      </c>
      <c r="K109" s="131">
        <v>1</v>
      </c>
      <c r="L109" s="156"/>
      <c r="M109" s="157">
        <f>IFERROR(VLOOKUP($L109,'2-2 引出数据_合同数据仓库'!$B$5:$BP$200,3,FALSE),0)</f>
        <v>0</v>
      </c>
      <c r="N109" s="131"/>
      <c r="O109" s="157">
        <f>IFERROR(VLOOKUP((LEFT(VLOOKUP($L109,'2-2 引出数据_合同数据仓库'!$B$5:$BP$200,64,FALSE),15)&amp;(RIGHT(VLOOKUP($L109,'2-2 引出数据_合同数据仓库'!$B$5:$BP$200,64,FALSE),4)+1)),'2-2 引出数据_合同数据仓库'!$B$5:$BP$200,3,FALSE),0)</f>
        <v>0</v>
      </c>
      <c r="P109" s="131"/>
      <c r="Q109" s="131">
        <f>IFERROR(VLOOKUP($L109,'2-2 引出数据_合同数据仓库'!$B$5:$BP$200,28,FALSE),0)</f>
        <v>0</v>
      </c>
      <c r="R109" s="131">
        <f>IFERROR(VLOOKUP($L109,'2-2 引出数据_合同数据仓库'!$B$5:$BP$200,29,FALSE),0)</f>
        <v>0</v>
      </c>
      <c r="S109" s="131">
        <f>IFERROR(VLOOKUP($L109,'2-2 引出数据_合同数据仓库'!$B$5:$BP$200,4,FALSE),0)</f>
        <v>0</v>
      </c>
      <c r="T109" s="131"/>
      <c r="U109" s="131">
        <f>IFERROR(VLOOKUP($L109,'2-2 引出数据_合同数据仓库'!$B$5:$BP$200,15,FALSE),0)</f>
        <v>0</v>
      </c>
      <c r="V109" s="131">
        <f t="shared" ref="V109:V112" si="1282">U109/(S109-R109+1)*365</f>
        <v>0</v>
      </c>
      <c r="W109" s="131"/>
      <c r="X109" s="163">
        <v>45658</v>
      </c>
      <c r="Y109" s="163">
        <f t="shared" ref="Y109:Y112" si="1283">X109+30</f>
        <v>45688</v>
      </c>
      <c r="Z109" s="167">
        <f t="shared" ref="Z109:Z112" si="1284">IFERROR(IF(($R109-Y109)&gt;=0,0,IF(($S109-X109)&lt;0,0,IF(AND(($S109-Y109)&gt;0,(X109-$R109)&gt;0),$V109/365*(Y109-X109+1),IF(AND(($S109-Y109)&lt;=0,(X109-$R109)&gt;0),$V109/365*($S109-X109+1),$V109/365*(Y109-$R109+1))))),0)</f>
        <v>0</v>
      </c>
      <c r="AA109" s="163">
        <f t="shared" ref="AA109:AA112" si="1285">Y109+1</f>
        <v>45689</v>
      </c>
      <c r="AB109" s="163">
        <f t="shared" ref="AB109:AB112" si="1286">AA109+27</f>
        <v>45716</v>
      </c>
      <c r="AC109" s="167">
        <f t="shared" ref="AC109:AC112" si="1287">IFERROR(IF(($R109-AB109)&gt;=0,0,IF(($S109-AA109)&lt;0,0,IF(AND(($S109-AB109)&gt;0,(AA109-$R109)&gt;0),$V109/365*(AB109-AA109+1),IF(AND(($S109-AB109)&lt;=0,(AA109-$R109)&gt;0),$V109/365*($S109-AA109+1),$V109/365*(AB109-$R109+1))))),0)</f>
        <v>0</v>
      </c>
      <c r="AD109" s="163">
        <f t="shared" ref="AD109:AD112" si="1288">AB109+1</f>
        <v>45717</v>
      </c>
      <c r="AE109" s="163">
        <f t="shared" ref="AE109:AE112" si="1289">AD109+30</f>
        <v>45747</v>
      </c>
      <c r="AF109" s="167">
        <f t="shared" ref="AF109:AF112" si="1290">IFERROR(IF(($R109-AE109)&gt;=0,0,IF(($S109-AD109)&lt;0,0,IF(AND(($S109-AE109)&gt;0,(AD109-$R109)&gt;0),$V109/365*(AE109-AD109+1),IF(AND(($S109-AE109)&lt;=0,(AD109-$R109)&gt;0),$V109/365*($S109-AD109+1),$V109/365*(AE109-$R109+1))))),0)</f>
        <v>0</v>
      </c>
      <c r="AG109" s="163">
        <f t="shared" ref="AG109:AG112" si="1291">AE109+1</f>
        <v>45748</v>
      </c>
      <c r="AH109" s="163">
        <f t="shared" ref="AH109:AH112" si="1292">AG109+29</f>
        <v>45777</v>
      </c>
      <c r="AI109" s="167">
        <f t="shared" ref="AI109:AI112" si="1293">IFERROR(IF(($R109-AH109)&gt;=0,0,IF(($S109-AG109)&lt;0,0,IF(AND(($S109-AH109)&gt;0,(AG109-$R109)&gt;0),$V109/365*(AH109-AG109+1),IF(AND(($S109-AH109)&lt;=0,(AG109-$R109)&gt;0),$V109/365*($S109-AG109+1),$V109/365*(AH109-$R109+1))))),0)</f>
        <v>0</v>
      </c>
      <c r="AJ109" s="163">
        <f t="shared" ref="AJ109:AJ112" si="1294">AH109+1</f>
        <v>45778</v>
      </c>
      <c r="AK109" s="163">
        <f t="shared" ref="AK109:AK112" si="1295">AJ109+30</f>
        <v>45808</v>
      </c>
      <c r="AL109" s="167">
        <f t="shared" ref="AL109:AL112" si="1296">IFERROR(IF(($R109-AK109)&gt;=0,0,IF(($S109-AJ109)&lt;0,0,IF(AND(($S109-AK109)&gt;0,(AJ109-$R109)&gt;0),$V109/365*(AK109-AJ109+1),IF(AND(($S109-AK109)&lt;=0,(AJ109-$R109)&gt;0),$V109/365*($S109-AJ109+1),$V109/365*(AK109-$R109+1))))),0)</f>
        <v>0</v>
      </c>
      <c r="AM109" s="163">
        <f t="shared" ref="AM109:AM112" si="1297">AK109+1</f>
        <v>45809</v>
      </c>
      <c r="AN109" s="163">
        <f t="shared" ref="AN109:AN112" si="1298">AM109+29</f>
        <v>45838</v>
      </c>
      <c r="AO109" s="167">
        <f t="shared" ref="AO109:AO112" si="1299">IFERROR(IF(($R109-AN109)&gt;=0,0,IF(($S109-AM109)&lt;0,0,IF(AND(($S109-AN109)&gt;0,(AM109-$R109)&gt;0),$V109/365*(AN109-AM109+1),IF(AND(($S109-AN109)&lt;=0,(AM109-$R109)&gt;0),$V109/365*($S109-AM109+1),$V109/365*(AN109-$R109+1))))),0)</f>
        <v>0</v>
      </c>
      <c r="AP109" s="163">
        <f t="shared" ref="AP109:AP112" si="1300">AN109+1</f>
        <v>45839</v>
      </c>
      <c r="AQ109" s="163">
        <f t="shared" ref="AQ109:AQ112" si="1301">AP109+30</f>
        <v>45869</v>
      </c>
      <c r="AR109" s="167">
        <f t="shared" ref="AR109:AR112" si="1302">IFERROR(IF(($R109-AQ109)&gt;=0,0,IF(($S109-AP109)&lt;0,0,IF(AND(($S109-AQ109)&gt;0,(AP109-$R109)&gt;0),$V109/365*(AQ109-AP109+1),IF(AND(($S109-AQ109)&lt;=0,(AP109-$R109)&gt;0),$V109/365*($S109-AP109+1),$V109/365*(AQ109-$R109+1))))),0)</f>
        <v>0</v>
      </c>
      <c r="AS109" s="163">
        <f t="shared" ref="AS109:AS112" si="1303">AQ109+1</f>
        <v>45870</v>
      </c>
      <c r="AT109" s="163">
        <f t="shared" ref="AT109:AT112" si="1304">AS109+30</f>
        <v>45900</v>
      </c>
      <c r="AU109" s="167">
        <f t="shared" ref="AU109:AU112" si="1305">IFERROR(IF(($R109-AT109)&gt;=0,0,IF(($S109-AS109)&lt;0,0,IF(AND(($S109-AT109)&gt;0,(AS109-$R109)&gt;0),$V109/365*(AT109-AS109+1),IF(AND(($S109-AT109)&lt;=0,(AS109-$R109)&gt;0),$V109/365*($S109-AS109+1),$V109/365*(AT109-$R109+1))))),0)</f>
        <v>0</v>
      </c>
      <c r="AV109" s="163">
        <f t="shared" ref="AV109:AV112" si="1306">AT109+1</f>
        <v>45901</v>
      </c>
      <c r="AW109" s="163">
        <f t="shared" ref="AW109:AW112" si="1307">AV109+29</f>
        <v>45930</v>
      </c>
      <c r="AX109" s="167">
        <f t="shared" ref="AX109:AX112" si="1308">IFERROR(IF(($R109-AW109)&gt;=0,0,IF(($S109-AV109)&lt;0,0,IF(AND(($S109-AW109)&gt;0,(AV109-$R109)&gt;0),$V109/365*(AW109-AV109+1),IF(AND(($S109-AW109)&lt;=0,(AV109-$R109)&gt;0),$V109/365*($S109-AV109+1),$V109/365*(AW109-$R109+1))))),0)</f>
        <v>0</v>
      </c>
      <c r="AY109" s="163">
        <f t="shared" ref="AY109:AY112" si="1309">AW109+1</f>
        <v>45931</v>
      </c>
      <c r="AZ109" s="163">
        <f t="shared" ref="AZ109:AZ112" si="1310">AY109+30</f>
        <v>45961</v>
      </c>
      <c r="BA109" s="167">
        <f t="shared" ref="BA109:BA112" si="1311">IFERROR(IF(($R109-AZ109)&gt;=0,0,IF(($S109-AY109)&lt;0,0,IF(AND(($S109-AZ109)&gt;0,(AY109-$R109)&gt;0),$V109/365*(AZ109-AY109+1),IF(AND(($S109-AZ109)&lt;=0,(AY109-$R109)&gt;0),$V109/365*($S109-AY109+1),$V109/365*(AZ109-$R109+1))))),0)</f>
        <v>0</v>
      </c>
      <c r="BB109" s="163">
        <f t="shared" ref="BB109:BB112" si="1312">AZ109+1</f>
        <v>45962</v>
      </c>
      <c r="BC109" s="163">
        <f t="shared" ref="BC109:BC112" si="1313">BB109+29</f>
        <v>45991</v>
      </c>
      <c r="BD109" s="167">
        <f t="shared" ref="BD109:BD112" si="1314">IFERROR(IF(($R109-BC109)&gt;=0,0,IF(($S109-BB109)&lt;0,0,IF(AND(($S109-BC109)&gt;0,(BB109-$R109)&gt;0),$V109/365*(BC109-BB109+1),IF(AND(($S109-BC109)&lt;=0,(BB109-$R109)&gt;0),$V109/365*($S109-BB109+1),$V109/365*(BC109-$R109+1))))),0)</f>
        <v>0</v>
      </c>
      <c r="BE109" s="163">
        <f t="shared" ref="BE109:BE112" si="1315">BC109+1</f>
        <v>45992</v>
      </c>
      <c r="BF109" s="163">
        <f t="shared" ref="BF109:BF112" si="1316">BE109+30</f>
        <v>46022</v>
      </c>
      <c r="BG109" s="167">
        <f t="shared" ref="BG109:BG112" si="1317">IFERROR(IF(($R109-BF109)&gt;=0,0,IF(($S109-BE109)&lt;0,0,IF(AND(($S109-BF109)&gt;0,(BE109-$R109)&gt;0),$V109/365*(BF109-BE109+1),IF(AND(($S109-BF109)&lt;=0,(BE109-$R109)&gt;0),$V109/365*($S109-BE109+1),$V109/365*(BF109-$R109+1))))),0)</f>
        <v>0</v>
      </c>
      <c r="BH109" s="163">
        <v>46023</v>
      </c>
      <c r="BI109" s="163">
        <f t="shared" ref="BI109:BI112" si="1318">BH109+30</f>
        <v>46053</v>
      </c>
      <c r="BJ109" s="167">
        <f t="shared" ref="BJ109:BJ112" si="1319">IFERROR(IF(($R109-BI109)&gt;=0,0,IF(($S109-BH109)&lt;0,0,IF(AND(($S109-BI109)&gt;0,(BH109-$R109)&gt;0),$V109/365*(BI109-BH109+1),IF(AND(($S109-BI109)&lt;=0,(BH109-$R109)&gt;0),$V109/365*($S109-BH109+1),$V109/365*(BI109-$R109+1))))),0)</f>
        <v>0</v>
      </c>
      <c r="BK109" s="163">
        <f t="shared" ref="BK109:BK112" si="1320">BI109+1</f>
        <v>46054</v>
      </c>
      <c r="BL109" s="163">
        <f t="shared" ref="BL109:BL112" si="1321">BK109+27</f>
        <v>46081</v>
      </c>
      <c r="BM109" s="167">
        <f t="shared" ref="BM109:BM112" si="1322">IFERROR(IF(($R109-BL109)&gt;=0,0,IF(($S109-BK109)&lt;0,0,IF(AND(($S109-BL109)&gt;0,(BK109-$R109)&gt;0),$V109/365*(BL109-BK109+1),IF(AND(($S109-BL109)&lt;=0,(BK109-$R109)&gt;0),$V109/365*($S109-BK109+1),$V109/365*(BL109-$R109+1))))),0)</f>
        <v>0</v>
      </c>
      <c r="BN109" s="163">
        <f t="shared" ref="BN109:BN112" si="1323">BL109+1</f>
        <v>46082</v>
      </c>
      <c r="BO109" s="163">
        <f t="shared" ref="BO109:BO112" si="1324">BN109+30</f>
        <v>46112</v>
      </c>
      <c r="BP109" s="167">
        <f t="shared" ref="BP109:BP112" si="1325">IFERROR(IF(($R109-BO109)&gt;=0,0,IF(($S109-BN109)&lt;0,0,IF(AND(($S109-BO109)&gt;0,(BN109-$R109)&gt;0),$V109/365*(BO109-BN109+1),IF(AND(($S109-BO109)&lt;=0,(BN109-$R109)&gt;0),$V109/365*($S109-BN109+1),$V109/365*(BO109-$R109+1))))),0)</f>
        <v>0</v>
      </c>
      <c r="BQ109" s="163">
        <f t="shared" ref="BQ109:BQ112" si="1326">BO109+1</f>
        <v>46113</v>
      </c>
      <c r="BR109" s="163">
        <f t="shared" ref="BR109:BR112" si="1327">BQ109+29</f>
        <v>46142</v>
      </c>
      <c r="BS109" s="167">
        <f t="shared" ref="BS109:BS112" si="1328">IFERROR(IF(($R109-BR109)&gt;=0,0,IF(($S109-BQ109)&lt;0,0,IF(AND(($S109-BR109)&gt;0,(BQ109-$R109)&gt;0),$V109/365*(BR109-BQ109+1),IF(AND(($S109-BR109)&lt;=0,(BQ109-$R109)&gt;0),$V109/365*($S109-BQ109+1),$V109/365*(BR109-$R109+1))))),0)</f>
        <v>0</v>
      </c>
      <c r="BT109" s="163">
        <f t="shared" ref="BT109:BT112" si="1329">BR109+1</f>
        <v>46143</v>
      </c>
      <c r="BU109" s="163">
        <f t="shared" ref="BU109:BU112" si="1330">BT109+30</f>
        <v>46173</v>
      </c>
      <c r="BV109" s="167">
        <f t="shared" ref="BV109:BV112" si="1331">IFERROR(IF(($R109-BU109)&gt;=0,0,IF(($S109-BT109)&lt;0,0,IF(AND(($S109-BU109)&gt;0,(BT109-$R109)&gt;0),$V109/365*(BU109-BT109+1),IF(AND(($S109-BU109)&lt;=0,(BT109-$R109)&gt;0),$V109/365*($S109-BT109+1),$V109/365*(BU109-$R109+1))))),0)</f>
        <v>0</v>
      </c>
      <c r="BW109" s="163">
        <f t="shared" ref="BW109:BW112" si="1332">BU109+1</f>
        <v>46174</v>
      </c>
      <c r="BX109" s="163">
        <f t="shared" ref="BX109:BX112" si="1333">BW109+29</f>
        <v>46203</v>
      </c>
      <c r="BY109" s="167">
        <f t="shared" ref="BY109:BY112" si="1334">IFERROR(IF(($R109-BX109)&gt;=0,0,IF(($S109-BW109)&lt;0,0,IF(AND(($S109-BX109)&gt;0,(BW109-$R109)&gt;0),$V109/365*(BX109-BW109+1),IF(AND(($S109-BX109)&lt;=0,(BW109-$R109)&gt;0),$V109/365*($S109-BW109+1),$V109/365*(BX109-$R109+1))))),0)</f>
        <v>0</v>
      </c>
      <c r="BZ109" s="163">
        <f t="shared" ref="BZ109:BZ112" si="1335">BX109+1</f>
        <v>46204</v>
      </c>
      <c r="CA109" s="163">
        <f t="shared" ref="CA109:CA112" si="1336">BZ109+30</f>
        <v>46234</v>
      </c>
      <c r="CB109" s="167">
        <f t="shared" ref="CB109:CB112" si="1337">IFERROR(IF(($R109-CA109)&gt;=0,0,IF(($S109-BZ109)&lt;0,0,IF(AND(($S109-CA109)&gt;0,(BZ109-$R109)&gt;0),$V109/365*(CA109-BZ109+1),IF(AND(($S109-CA109)&lt;=0,(BZ109-$R109)&gt;0),$V109/365*($S109-BZ109+1),$V109/365*(CA109-$R109+1))))),0)</f>
        <v>0</v>
      </c>
      <c r="CC109" s="163">
        <f t="shared" ref="CC109:CC112" si="1338">CA109+1</f>
        <v>46235</v>
      </c>
      <c r="CD109" s="163">
        <f t="shared" ref="CD109:CD112" si="1339">CC109+30</f>
        <v>46265</v>
      </c>
      <c r="CE109" s="167">
        <f t="shared" ref="CE109:CE112" si="1340">IFERROR(IF(($R109-CD109)&gt;=0,0,IF(($S109-CC109)&lt;0,0,IF(AND(($S109-CD109)&gt;0,(CC109-$R109)&gt;0),$V109/365*(CD109-CC109+1),IF(AND(($S109-CD109)&lt;=0,(CC109-$R109)&gt;0),$V109/365*($S109-CC109+1),$V109/365*(CD109-$R109+1))))),0)</f>
        <v>0</v>
      </c>
      <c r="CF109" s="163">
        <f t="shared" ref="CF109:CF112" si="1341">CD109+1</f>
        <v>46266</v>
      </c>
      <c r="CG109" s="163">
        <f t="shared" ref="CG109:CG112" si="1342">CF109+29</f>
        <v>46295</v>
      </c>
      <c r="CH109" s="167">
        <f t="shared" ref="CH109:CH112" si="1343">IFERROR(IF(($R109-CG109)&gt;=0,0,IF(($S109-CF109)&lt;0,0,IF(AND(($S109-CG109)&gt;0,(CF109-$R109)&gt;0),$V109/365*(CG109-CF109+1),IF(AND(($S109-CG109)&lt;=0,(CF109-$R109)&gt;0),$V109/365*($S109-CF109+1),$V109/365*(CG109-$R109+1))))),0)</f>
        <v>0</v>
      </c>
      <c r="CI109" s="163">
        <f t="shared" ref="CI109:CI112" si="1344">CG109+1</f>
        <v>46296</v>
      </c>
      <c r="CJ109" s="163">
        <f t="shared" ref="CJ109:CJ112" si="1345">CI109+30</f>
        <v>46326</v>
      </c>
      <c r="CK109" s="167">
        <f t="shared" ref="CK109:CK112" si="1346">IFERROR(IF(($R109-CJ109)&gt;=0,0,IF(($S109-CI109)&lt;0,0,IF(AND(($S109-CJ109)&gt;0,(CI109-$R109)&gt;0),$V109/365*(CJ109-CI109+1),IF(AND(($S109-CJ109)&lt;=0,(CI109-$R109)&gt;0),$V109/365*($S109-CI109+1),$V109/365*(CJ109-$R109+1))))),0)</f>
        <v>0</v>
      </c>
      <c r="CL109" s="163">
        <f t="shared" ref="CL109:CL112" si="1347">CJ109+1</f>
        <v>46327</v>
      </c>
      <c r="CM109" s="163">
        <f t="shared" ref="CM109:CM112" si="1348">CL109+29</f>
        <v>46356</v>
      </c>
      <c r="CN109" s="167">
        <f t="shared" ref="CN109:CN112" si="1349">IFERROR(IF(($R109-CM109)&gt;=0,0,IF(($S109-CL109)&lt;0,0,IF(AND(($S109-CM109)&gt;0,(CL109-$R109)&gt;0),$V109/365*(CM109-CL109+1),IF(AND(($S109-CM109)&lt;=0,(CL109-$R109)&gt;0),$V109/365*($S109-CL109+1),$V109/365*(CM109-$R109+1))))),0)</f>
        <v>0</v>
      </c>
      <c r="CO109" s="163">
        <f t="shared" ref="CO109:CO112" si="1350">CM109+1</f>
        <v>46357</v>
      </c>
      <c r="CP109" s="163">
        <f t="shared" ref="CP109:CP112" si="1351">CO109+30</f>
        <v>46387</v>
      </c>
      <c r="CQ109" s="167">
        <f t="shared" ref="CQ109:CQ112" si="1352">IFERROR(IF(($R109-CP109)&gt;=0,0,IF(($S109-CO109)&lt;0,0,IF(AND(($S109-CP109)&gt;0,(CO109-$R109)&gt;0),$V109/365*(CP109-CO109+1),IF(AND(($S109-CP109)&lt;=0,(CO109-$R109)&gt;0),$V109/365*($S109-CO109+1),$V109/365*(CP109-$R109+1))))),0)</f>
        <v>0</v>
      </c>
    </row>
    <row r="110" s="89" customFormat="1" ht="24" hidden="1" customHeight="1" outlineLevel="4" spans="1:95">
      <c r="A110" s="128"/>
      <c r="B110" s="129"/>
      <c r="C110" s="130"/>
      <c r="D110" s="128"/>
      <c r="E110" s="129"/>
      <c r="F110" s="129"/>
      <c r="G110" s="129"/>
      <c r="H110" s="131"/>
      <c r="I110" s="131"/>
      <c r="J110" s="131">
        <f t="shared" si="814"/>
        <v>0</v>
      </c>
      <c r="K110" s="131">
        <f t="shared" ref="K110:K112" si="1353">K109+1</f>
        <v>2</v>
      </c>
      <c r="L110" s="156"/>
      <c r="M110" s="157">
        <f>IFERROR(VLOOKUP($L110,'2-2 引出数据_合同数据仓库'!$B$5:$BP$200,3,FALSE),0)</f>
        <v>0</v>
      </c>
      <c r="N110" s="131"/>
      <c r="O110" s="157">
        <f>IFERROR(VLOOKUP((LEFT(VLOOKUP($L110,'2-2 引出数据_合同数据仓库'!$B$5:$BP$200,64,FALSE),15)&amp;(RIGHT(VLOOKUP($L110,'2-2 引出数据_合同数据仓库'!$B$5:$BP$200,64,FALSE),4)+1)),'2-2 引出数据_合同数据仓库'!$B$5:$BP$200,3,FALSE),0)</f>
        <v>0</v>
      </c>
      <c r="P110" s="131"/>
      <c r="Q110" s="131">
        <f>IFERROR(VLOOKUP($L110,'2-2 引出数据_合同数据仓库'!$B$5:$BP$200,28,FALSE),0)</f>
        <v>0</v>
      </c>
      <c r="R110" s="131">
        <f>IFERROR(VLOOKUP($L110,'2-2 引出数据_合同数据仓库'!$B$5:$BP$200,29,FALSE),0)</f>
        <v>0</v>
      </c>
      <c r="S110" s="131">
        <f>IFERROR(VLOOKUP($L110,'2-2 引出数据_合同数据仓库'!$B$5:$BP$200,4,FALSE),0)</f>
        <v>0</v>
      </c>
      <c r="T110" s="131"/>
      <c r="U110" s="131">
        <f>IFERROR(VLOOKUP($L110,'2-2 引出数据_合同数据仓库'!$B$5:$BP$200,15,FALSE),0)</f>
        <v>0</v>
      </c>
      <c r="V110" s="131">
        <f t="shared" si="1282"/>
        <v>0</v>
      </c>
      <c r="W110" s="131"/>
      <c r="X110" s="163">
        <v>45658</v>
      </c>
      <c r="Y110" s="163">
        <f t="shared" si="1283"/>
        <v>45688</v>
      </c>
      <c r="Z110" s="167">
        <f t="shared" si="1284"/>
        <v>0</v>
      </c>
      <c r="AA110" s="163">
        <f t="shared" si="1285"/>
        <v>45689</v>
      </c>
      <c r="AB110" s="163">
        <f t="shared" si="1286"/>
        <v>45716</v>
      </c>
      <c r="AC110" s="167">
        <f t="shared" si="1287"/>
        <v>0</v>
      </c>
      <c r="AD110" s="163">
        <f t="shared" si="1288"/>
        <v>45717</v>
      </c>
      <c r="AE110" s="163">
        <f t="shared" si="1289"/>
        <v>45747</v>
      </c>
      <c r="AF110" s="167">
        <f t="shared" si="1290"/>
        <v>0</v>
      </c>
      <c r="AG110" s="163">
        <f t="shared" si="1291"/>
        <v>45748</v>
      </c>
      <c r="AH110" s="163">
        <f t="shared" si="1292"/>
        <v>45777</v>
      </c>
      <c r="AI110" s="167">
        <f t="shared" si="1293"/>
        <v>0</v>
      </c>
      <c r="AJ110" s="163">
        <f t="shared" si="1294"/>
        <v>45778</v>
      </c>
      <c r="AK110" s="163">
        <f t="shared" si="1295"/>
        <v>45808</v>
      </c>
      <c r="AL110" s="167">
        <f t="shared" si="1296"/>
        <v>0</v>
      </c>
      <c r="AM110" s="163">
        <f t="shared" si="1297"/>
        <v>45809</v>
      </c>
      <c r="AN110" s="163">
        <f t="shared" si="1298"/>
        <v>45838</v>
      </c>
      <c r="AO110" s="167">
        <f t="shared" si="1299"/>
        <v>0</v>
      </c>
      <c r="AP110" s="163">
        <f t="shared" si="1300"/>
        <v>45839</v>
      </c>
      <c r="AQ110" s="163">
        <f t="shared" si="1301"/>
        <v>45869</v>
      </c>
      <c r="AR110" s="167">
        <f t="shared" si="1302"/>
        <v>0</v>
      </c>
      <c r="AS110" s="163">
        <f t="shared" si="1303"/>
        <v>45870</v>
      </c>
      <c r="AT110" s="163">
        <f t="shared" si="1304"/>
        <v>45900</v>
      </c>
      <c r="AU110" s="167">
        <f t="shared" si="1305"/>
        <v>0</v>
      </c>
      <c r="AV110" s="163">
        <f t="shared" si="1306"/>
        <v>45901</v>
      </c>
      <c r="AW110" s="163">
        <f t="shared" si="1307"/>
        <v>45930</v>
      </c>
      <c r="AX110" s="167">
        <f t="shared" si="1308"/>
        <v>0</v>
      </c>
      <c r="AY110" s="163">
        <f t="shared" si="1309"/>
        <v>45931</v>
      </c>
      <c r="AZ110" s="163">
        <f t="shared" si="1310"/>
        <v>45961</v>
      </c>
      <c r="BA110" s="167">
        <f t="shared" si="1311"/>
        <v>0</v>
      </c>
      <c r="BB110" s="163">
        <f t="shared" si="1312"/>
        <v>45962</v>
      </c>
      <c r="BC110" s="163">
        <f t="shared" si="1313"/>
        <v>45991</v>
      </c>
      <c r="BD110" s="167">
        <f t="shared" si="1314"/>
        <v>0</v>
      </c>
      <c r="BE110" s="163">
        <f t="shared" si="1315"/>
        <v>45992</v>
      </c>
      <c r="BF110" s="163">
        <f t="shared" si="1316"/>
        <v>46022</v>
      </c>
      <c r="BG110" s="167">
        <f t="shared" si="1317"/>
        <v>0</v>
      </c>
      <c r="BH110" s="163">
        <v>46023</v>
      </c>
      <c r="BI110" s="163">
        <f t="shared" si="1318"/>
        <v>46053</v>
      </c>
      <c r="BJ110" s="167">
        <f t="shared" si="1319"/>
        <v>0</v>
      </c>
      <c r="BK110" s="163">
        <f t="shared" si="1320"/>
        <v>46054</v>
      </c>
      <c r="BL110" s="163">
        <f t="shared" si="1321"/>
        <v>46081</v>
      </c>
      <c r="BM110" s="167">
        <f t="shared" si="1322"/>
        <v>0</v>
      </c>
      <c r="BN110" s="163">
        <f t="shared" si="1323"/>
        <v>46082</v>
      </c>
      <c r="BO110" s="163">
        <f t="shared" si="1324"/>
        <v>46112</v>
      </c>
      <c r="BP110" s="167">
        <f t="shared" si="1325"/>
        <v>0</v>
      </c>
      <c r="BQ110" s="163">
        <f t="shared" si="1326"/>
        <v>46113</v>
      </c>
      <c r="BR110" s="163">
        <f t="shared" si="1327"/>
        <v>46142</v>
      </c>
      <c r="BS110" s="167">
        <f t="shared" si="1328"/>
        <v>0</v>
      </c>
      <c r="BT110" s="163">
        <f t="shared" si="1329"/>
        <v>46143</v>
      </c>
      <c r="BU110" s="163">
        <f t="shared" si="1330"/>
        <v>46173</v>
      </c>
      <c r="BV110" s="167">
        <f t="shared" si="1331"/>
        <v>0</v>
      </c>
      <c r="BW110" s="163">
        <f t="shared" si="1332"/>
        <v>46174</v>
      </c>
      <c r="BX110" s="163">
        <f t="shared" si="1333"/>
        <v>46203</v>
      </c>
      <c r="BY110" s="167">
        <f t="shared" si="1334"/>
        <v>0</v>
      </c>
      <c r="BZ110" s="163">
        <f t="shared" si="1335"/>
        <v>46204</v>
      </c>
      <c r="CA110" s="163">
        <f t="shared" si="1336"/>
        <v>46234</v>
      </c>
      <c r="CB110" s="167">
        <f t="shared" si="1337"/>
        <v>0</v>
      </c>
      <c r="CC110" s="163">
        <f t="shared" si="1338"/>
        <v>46235</v>
      </c>
      <c r="CD110" s="163">
        <f t="shared" si="1339"/>
        <v>46265</v>
      </c>
      <c r="CE110" s="167">
        <f t="shared" si="1340"/>
        <v>0</v>
      </c>
      <c r="CF110" s="163">
        <f t="shared" si="1341"/>
        <v>46266</v>
      </c>
      <c r="CG110" s="163">
        <f t="shared" si="1342"/>
        <v>46295</v>
      </c>
      <c r="CH110" s="167">
        <f t="shared" si="1343"/>
        <v>0</v>
      </c>
      <c r="CI110" s="163">
        <f t="shared" si="1344"/>
        <v>46296</v>
      </c>
      <c r="CJ110" s="163">
        <f t="shared" si="1345"/>
        <v>46326</v>
      </c>
      <c r="CK110" s="167">
        <f t="shared" si="1346"/>
        <v>0</v>
      </c>
      <c r="CL110" s="163">
        <f t="shared" si="1347"/>
        <v>46327</v>
      </c>
      <c r="CM110" s="163">
        <f t="shared" si="1348"/>
        <v>46356</v>
      </c>
      <c r="CN110" s="167">
        <f t="shared" si="1349"/>
        <v>0</v>
      </c>
      <c r="CO110" s="163">
        <f t="shared" si="1350"/>
        <v>46357</v>
      </c>
      <c r="CP110" s="163">
        <f t="shared" si="1351"/>
        <v>46387</v>
      </c>
      <c r="CQ110" s="167">
        <f t="shared" si="1352"/>
        <v>0</v>
      </c>
    </row>
    <row r="111" s="89" customFormat="1" ht="24" hidden="1" customHeight="1" outlineLevel="4" spans="1:95">
      <c r="A111" s="128"/>
      <c r="B111" s="129"/>
      <c r="C111" s="130"/>
      <c r="D111" s="128"/>
      <c r="E111" s="129"/>
      <c r="F111" s="129"/>
      <c r="G111" s="129"/>
      <c r="H111" s="131"/>
      <c r="I111" s="131"/>
      <c r="J111" s="131">
        <f t="shared" si="814"/>
        <v>0</v>
      </c>
      <c r="K111" s="131">
        <f t="shared" si="1353"/>
        <v>3</v>
      </c>
      <c r="L111" s="156"/>
      <c r="M111" s="157">
        <f>IFERROR(VLOOKUP($L111,'2-2 引出数据_合同数据仓库'!$B$5:$BP$200,3,FALSE),0)</f>
        <v>0</v>
      </c>
      <c r="N111" s="131"/>
      <c r="O111" s="157">
        <f>IFERROR(VLOOKUP((LEFT(VLOOKUP($L111,'2-2 引出数据_合同数据仓库'!$B$5:$BP$200,64,FALSE),15)&amp;(RIGHT(VLOOKUP($L111,'2-2 引出数据_合同数据仓库'!$B$5:$BP$200,64,FALSE),4)+1)),'2-2 引出数据_合同数据仓库'!$B$5:$BP$200,3,FALSE),0)</f>
        <v>0</v>
      </c>
      <c r="P111" s="131"/>
      <c r="Q111" s="131">
        <f>IFERROR(VLOOKUP($L111,'2-2 引出数据_合同数据仓库'!$B$5:$BP$200,28,FALSE),0)</f>
        <v>0</v>
      </c>
      <c r="R111" s="131">
        <f>IFERROR(VLOOKUP($L111,'2-2 引出数据_合同数据仓库'!$B$5:$BP$200,29,FALSE),0)</f>
        <v>0</v>
      </c>
      <c r="S111" s="131">
        <f>IFERROR(VLOOKUP($L111,'2-2 引出数据_合同数据仓库'!$B$5:$BP$200,4,FALSE),0)</f>
        <v>0</v>
      </c>
      <c r="T111" s="131"/>
      <c r="U111" s="131">
        <f>IFERROR(VLOOKUP($L111,'2-2 引出数据_合同数据仓库'!$B$5:$BP$200,15,FALSE),0)</f>
        <v>0</v>
      </c>
      <c r="V111" s="131">
        <f t="shared" si="1282"/>
        <v>0</v>
      </c>
      <c r="W111" s="131"/>
      <c r="X111" s="163">
        <v>45658</v>
      </c>
      <c r="Y111" s="163">
        <f t="shared" si="1283"/>
        <v>45688</v>
      </c>
      <c r="Z111" s="167">
        <f t="shared" si="1284"/>
        <v>0</v>
      </c>
      <c r="AA111" s="163">
        <f t="shared" si="1285"/>
        <v>45689</v>
      </c>
      <c r="AB111" s="163">
        <f t="shared" si="1286"/>
        <v>45716</v>
      </c>
      <c r="AC111" s="167">
        <f t="shared" si="1287"/>
        <v>0</v>
      </c>
      <c r="AD111" s="163">
        <f t="shared" si="1288"/>
        <v>45717</v>
      </c>
      <c r="AE111" s="163">
        <f t="shared" si="1289"/>
        <v>45747</v>
      </c>
      <c r="AF111" s="167">
        <f t="shared" si="1290"/>
        <v>0</v>
      </c>
      <c r="AG111" s="163">
        <f t="shared" si="1291"/>
        <v>45748</v>
      </c>
      <c r="AH111" s="163">
        <f t="shared" si="1292"/>
        <v>45777</v>
      </c>
      <c r="AI111" s="167">
        <f t="shared" si="1293"/>
        <v>0</v>
      </c>
      <c r="AJ111" s="163">
        <f t="shared" si="1294"/>
        <v>45778</v>
      </c>
      <c r="AK111" s="163">
        <f t="shared" si="1295"/>
        <v>45808</v>
      </c>
      <c r="AL111" s="167">
        <f t="shared" si="1296"/>
        <v>0</v>
      </c>
      <c r="AM111" s="163">
        <f t="shared" si="1297"/>
        <v>45809</v>
      </c>
      <c r="AN111" s="163">
        <f t="shared" si="1298"/>
        <v>45838</v>
      </c>
      <c r="AO111" s="167">
        <f t="shared" si="1299"/>
        <v>0</v>
      </c>
      <c r="AP111" s="163">
        <f t="shared" si="1300"/>
        <v>45839</v>
      </c>
      <c r="AQ111" s="163">
        <f t="shared" si="1301"/>
        <v>45869</v>
      </c>
      <c r="AR111" s="167">
        <f t="shared" si="1302"/>
        <v>0</v>
      </c>
      <c r="AS111" s="163">
        <f t="shared" si="1303"/>
        <v>45870</v>
      </c>
      <c r="AT111" s="163">
        <f t="shared" si="1304"/>
        <v>45900</v>
      </c>
      <c r="AU111" s="167">
        <f t="shared" si="1305"/>
        <v>0</v>
      </c>
      <c r="AV111" s="163">
        <f t="shared" si="1306"/>
        <v>45901</v>
      </c>
      <c r="AW111" s="163">
        <f t="shared" si="1307"/>
        <v>45930</v>
      </c>
      <c r="AX111" s="167">
        <f t="shared" si="1308"/>
        <v>0</v>
      </c>
      <c r="AY111" s="163">
        <f t="shared" si="1309"/>
        <v>45931</v>
      </c>
      <c r="AZ111" s="163">
        <f t="shared" si="1310"/>
        <v>45961</v>
      </c>
      <c r="BA111" s="167">
        <f t="shared" si="1311"/>
        <v>0</v>
      </c>
      <c r="BB111" s="163">
        <f t="shared" si="1312"/>
        <v>45962</v>
      </c>
      <c r="BC111" s="163">
        <f t="shared" si="1313"/>
        <v>45991</v>
      </c>
      <c r="BD111" s="167">
        <f t="shared" si="1314"/>
        <v>0</v>
      </c>
      <c r="BE111" s="163">
        <f t="shared" si="1315"/>
        <v>45992</v>
      </c>
      <c r="BF111" s="163">
        <f t="shared" si="1316"/>
        <v>46022</v>
      </c>
      <c r="BG111" s="167">
        <f t="shared" si="1317"/>
        <v>0</v>
      </c>
      <c r="BH111" s="163">
        <v>46023</v>
      </c>
      <c r="BI111" s="163">
        <f t="shared" si="1318"/>
        <v>46053</v>
      </c>
      <c r="BJ111" s="167">
        <f t="shared" si="1319"/>
        <v>0</v>
      </c>
      <c r="BK111" s="163">
        <f t="shared" si="1320"/>
        <v>46054</v>
      </c>
      <c r="BL111" s="163">
        <f t="shared" si="1321"/>
        <v>46081</v>
      </c>
      <c r="BM111" s="167">
        <f t="shared" si="1322"/>
        <v>0</v>
      </c>
      <c r="BN111" s="163">
        <f t="shared" si="1323"/>
        <v>46082</v>
      </c>
      <c r="BO111" s="163">
        <f t="shared" si="1324"/>
        <v>46112</v>
      </c>
      <c r="BP111" s="167">
        <f t="shared" si="1325"/>
        <v>0</v>
      </c>
      <c r="BQ111" s="163">
        <f t="shared" si="1326"/>
        <v>46113</v>
      </c>
      <c r="BR111" s="163">
        <f t="shared" si="1327"/>
        <v>46142</v>
      </c>
      <c r="BS111" s="167">
        <f t="shared" si="1328"/>
        <v>0</v>
      </c>
      <c r="BT111" s="163">
        <f t="shared" si="1329"/>
        <v>46143</v>
      </c>
      <c r="BU111" s="163">
        <f t="shared" si="1330"/>
        <v>46173</v>
      </c>
      <c r="BV111" s="167">
        <f t="shared" si="1331"/>
        <v>0</v>
      </c>
      <c r="BW111" s="163">
        <f t="shared" si="1332"/>
        <v>46174</v>
      </c>
      <c r="BX111" s="163">
        <f t="shared" si="1333"/>
        <v>46203</v>
      </c>
      <c r="BY111" s="167">
        <f t="shared" si="1334"/>
        <v>0</v>
      </c>
      <c r="BZ111" s="163">
        <f t="shared" si="1335"/>
        <v>46204</v>
      </c>
      <c r="CA111" s="163">
        <f t="shared" si="1336"/>
        <v>46234</v>
      </c>
      <c r="CB111" s="167">
        <f t="shared" si="1337"/>
        <v>0</v>
      </c>
      <c r="CC111" s="163">
        <f t="shared" si="1338"/>
        <v>46235</v>
      </c>
      <c r="CD111" s="163">
        <f t="shared" si="1339"/>
        <v>46265</v>
      </c>
      <c r="CE111" s="167">
        <f t="shared" si="1340"/>
        <v>0</v>
      </c>
      <c r="CF111" s="163">
        <f t="shared" si="1341"/>
        <v>46266</v>
      </c>
      <c r="CG111" s="163">
        <f t="shared" si="1342"/>
        <v>46295</v>
      </c>
      <c r="CH111" s="167">
        <f t="shared" si="1343"/>
        <v>0</v>
      </c>
      <c r="CI111" s="163">
        <f t="shared" si="1344"/>
        <v>46296</v>
      </c>
      <c r="CJ111" s="163">
        <f t="shared" si="1345"/>
        <v>46326</v>
      </c>
      <c r="CK111" s="167">
        <f t="shared" si="1346"/>
        <v>0</v>
      </c>
      <c r="CL111" s="163">
        <f t="shared" si="1347"/>
        <v>46327</v>
      </c>
      <c r="CM111" s="163">
        <f t="shared" si="1348"/>
        <v>46356</v>
      </c>
      <c r="CN111" s="167">
        <f t="shared" si="1349"/>
        <v>0</v>
      </c>
      <c r="CO111" s="163">
        <f t="shared" si="1350"/>
        <v>46357</v>
      </c>
      <c r="CP111" s="163">
        <f t="shared" si="1351"/>
        <v>46387</v>
      </c>
      <c r="CQ111" s="167">
        <f t="shared" si="1352"/>
        <v>0</v>
      </c>
    </row>
    <row r="112" s="89" customFormat="1" ht="24" hidden="1" customHeight="1" outlineLevel="4" spans="1:95">
      <c r="A112" s="128"/>
      <c r="B112" s="129"/>
      <c r="C112" s="130"/>
      <c r="D112" s="128"/>
      <c r="E112" s="129"/>
      <c r="F112" s="129"/>
      <c r="G112" s="129"/>
      <c r="H112" s="131"/>
      <c r="I112" s="131"/>
      <c r="J112" s="131">
        <f t="shared" si="814"/>
        <v>0</v>
      </c>
      <c r="K112" s="131">
        <f t="shared" si="1353"/>
        <v>4</v>
      </c>
      <c r="L112" s="156"/>
      <c r="M112" s="157">
        <f>IFERROR(VLOOKUP($L112,'2-2 引出数据_合同数据仓库'!$B$5:$BP$200,3,FALSE),0)</f>
        <v>0</v>
      </c>
      <c r="N112" s="131"/>
      <c r="O112" s="157">
        <f>IFERROR(VLOOKUP((LEFT(VLOOKUP($L112,'2-2 引出数据_合同数据仓库'!$B$5:$BP$200,64,FALSE),15)&amp;(RIGHT(VLOOKUP($L112,'2-2 引出数据_合同数据仓库'!$B$5:$BP$200,64,FALSE),4)+1)),'2-2 引出数据_合同数据仓库'!$B$5:$BP$200,3,FALSE),0)</f>
        <v>0</v>
      </c>
      <c r="P112" s="131"/>
      <c r="Q112" s="131">
        <f>IFERROR(VLOOKUP($L112,'2-2 引出数据_合同数据仓库'!$B$5:$BP$200,28,FALSE),0)</f>
        <v>0</v>
      </c>
      <c r="R112" s="131">
        <f>IFERROR(VLOOKUP($L112,'2-2 引出数据_合同数据仓库'!$B$5:$BP$200,29,FALSE),0)</f>
        <v>0</v>
      </c>
      <c r="S112" s="131">
        <f>IFERROR(VLOOKUP($L112,'2-2 引出数据_合同数据仓库'!$B$5:$BP$200,4,FALSE),0)</f>
        <v>0</v>
      </c>
      <c r="T112" s="131"/>
      <c r="U112" s="131">
        <f>IFERROR(VLOOKUP($L112,'2-2 引出数据_合同数据仓库'!$B$5:$BP$200,15,FALSE),0)</f>
        <v>0</v>
      </c>
      <c r="V112" s="131">
        <f t="shared" si="1282"/>
        <v>0</v>
      </c>
      <c r="W112" s="131"/>
      <c r="X112" s="163">
        <v>45658</v>
      </c>
      <c r="Y112" s="163">
        <f t="shared" si="1283"/>
        <v>45688</v>
      </c>
      <c r="Z112" s="167">
        <f t="shared" si="1284"/>
        <v>0</v>
      </c>
      <c r="AA112" s="163">
        <f t="shared" si="1285"/>
        <v>45689</v>
      </c>
      <c r="AB112" s="163">
        <f t="shared" si="1286"/>
        <v>45716</v>
      </c>
      <c r="AC112" s="167">
        <f t="shared" si="1287"/>
        <v>0</v>
      </c>
      <c r="AD112" s="163">
        <f t="shared" si="1288"/>
        <v>45717</v>
      </c>
      <c r="AE112" s="163">
        <f t="shared" si="1289"/>
        <v>45747</v>
      </c>
      <c r="AF112" s="167">
        <f t="shared" si="1290"/>
        <v>0</v>
      </c>
      <c r="AG112" s="163">
        <f t="shared" si="1291"/>
        <v>45748</v>
      </c>
      <c r="AH112" s="163">
        <f t="shared" si="1292"/>
        <v>45777</v>
      </c>
      <c r="AI112" s="167">
        <f t="shared" si="1293"/>
        <v>0</v>
      </c>
      <c r="AJ112" s="163">
        <f t="shared" si="1294"/>
        <v>45778</v>
      </c>
      <c r="AK112" s="163">
        <f t="shared" si="1295"/>
        <v>45808</v>
      </c>
      <c r="AL112" s="167">
        <f t="shared" si="1296"/>
        <v>0</v>
      </c>
      <c r="AM112" s="163">
        <f t="shared" si="1297"/>
        <v>45809</v>
      </c>
      <c r="AN112" s="163">
        <f t="shared" si="1298"/>
        <v>45838</v>
      </c>
      <c r="AO112" s="167">
        <f t="shared" si="1299"/>
        <v>0</v>
      </c>
      <c r="AP112" s="163">
        <f t="shared" si="1300"/>
        <v>45839</v>
      </c>
      <c r="AQ112" s="163">
        <f t="shared" si="1301"/>
        <v>45869</v>
      </c>
      <c r="AR112" s="167">
        <f t="shared" si="1302"/>
        <v>0</v>
      </c>
      <c r="AS112" s="163">
        <f t="shared" si="1303"/>
        <v>45870</v>
      </c>
      <c r="AT112" s="163">
        <f t="shared" si="1304"/>
        <v>45900</v>
      </c>
      <c r="AU112" s="167">
        <f t="shared" si="1305"/>
        <v>0</v>
      </c>
      <c r="AV112" s="163">
        <f t="shared" si="1306"/>
        <v>45901</v>
      </c>
      <c r="AW112" s="163">
        <f t="shared" si="1307"/>
        <v>45930</v>
      </c>
      <c r="AX112" s="167">
        <f t="shared" si="1308"/>
        <v>0</v>
      </c>
      <c r="AY112" s="163">
        <f t="shared" si="1309"/>
        <v>45931</v>
      </c>
      <c r="AZ112" s="163">
        <f t="shared" si="1310"/>
        <v>45961</v>
      </c>
      <c r="BA112" s="167">
        <f t="shared" si="1311"/>
        <v>0</v>
      </c>
      <c r="BB112" s="163">
        <f t="shared" si="1312"/>
        <v>45962</v>
      </c>
      <c r="BC112" s="163">
        <f t="shared" si="1313"/>
        <v>45991</v>
      </c>
      <c r="BD112" s="167">
        <f t="shared" si="1314"/>
        <v>0</v>
      </c>
      <c r="BE112" s="163">
        <f t="shared" si="1315"/>
        <v>45992</v>
      </c>
      <c r="BF112" s="163">
        <f t="shared" si="1316"/>
        <v>46022</v>
      </c>
      <c r="BG112" s="167">
        <f t="shared" si="1317"/>
        <v>0</v>
      </c>
      <c r="BH112" s="163">
        <v>46023</v>
      </c>
      <c r="BI112" s="163">
        <f t="shared" si="1318"/>
        <v>46053</v>
      </c>
      <c r="BJ112" s="167">
        <f t="shared" si="1319"/>
        <v>0</v>
      </c>
      <c r="BK112" s="163">
        <f t="shared" si="1320"/>
        <v>46054</v>
      </c>
      <c r="BL112" s="163">
        <f t="shared" si="1321"/>
        <v>46081</v>
      </c>
      <c r="BM112" s="167">
        <f t="shared" si="1322"/>
        <v>0</v>
      </c>
      <c r="BN112" s="163">
        <f t="shared" si="1323"/>
        <v>46082</v>
      </c>
      <c r="BO112" s="163">
        <f t="shared" si="1324"/>
        <v>46112</v>
      </c>
      <c r="BP112" s="167">
        <f t="shared" si="1325"/>
        <v>0</v>
      </c>
      <c r="BQ112" s="163">
        <f t="shared" si="1326"/>
        <v>46113</v>
      </c>
      <c r="BR112" s="163">
        <f t="shared" si="1327"/>
        <v>46142</v>
      </c>
      <c r="BS112" s="167">
        <f t="shared" si="1328"/>
        <v>0</v>
      </c>
      <c r="BT112" s="163">
        <f t="shared" si="1329"/>
        <v>46143</v>
      </c>
      <c r="BU112" s="163">
        <f t="shared" si="1330"/>
        <v>46173</v>
      </c>
      <c r="BV112" s="167">
        <f t="shared" si="1331"/>
        <v>0</v>
      </c>
      <c r="BW112" s="163">
        <f t="shared" si="1332"/>
        <v>46174</v>
      </c>
      <c r="BX112" s="163">
        <f t="shared" si="1333"/>
        <v>46203</v>
      </c>
      <c r="BY112" s="167">
        <f t="shared" si="1334"/>
        <v>0</v>
      </c>
      <c r="BZ112" s="163">
        <f t="shared" si="1335"/>
        <v>46204</v>
      </c>
      <c r="CA112" s="163">
        <f t="shared" si="1336"/>
        <v>46234</v>
      </c>
      <c r="CB112" s="167">
        <f t="shared" si="1337"/>
        <v>0</v>
      </c>
      <c r="CC112" s="163">
        <f t="shared" si="1338"/>
        <v>46235</v>
      </c>
      <c r="CD112" s="163">
        <f t="shared" si="1339"/>
        <v>46265</v>
      </c>
      <c r="CE112" s="167">
        <f t="shared" si="1340"/>
        <v>0</v>
      </c>
      <c r="CF112" s="163">
        <f t="shared" si="1341"/>
        <v>46266</v>
      </c>
      <c r="CG112" s="163">
        <f t="shared" si="1342"/>
        <v>46295</v>
      </c>
      <c r="CH112" s="167">
        <f t="shared" si="1343"/>
        <v>0</v>
      </c>
      <c r="CI112" s="163">
        <f t="shared" si="1344"/>
        <v>46296</v>
      </c>
      <c r="CJ112" s="163">
        <f t="shared" si="1345"/>
        <v>46326</v>
      </c>
      <c r="CK112" s="167">
        <f t="shared" si="1346"/>
        <v>0</v>
      </c>
      <c r="CL112" s="163">
        <f t="shared" si="1347"/>
        <v>46327</v>
      </c>
      <c r="CM112" s="163">
        <f t="shared" si="1348"/>
        <v>46356</v>
      </c>
      <c r="CN112" s="167">
        <f t="shared" si="1349"/>
        <v>0</v>
      </c>
      <c r="CO112" s="163">
        <f t="shared" si="1350"/>
        <v>46357</v>
      </c>
      <c r="CP112" s="163">
        <f t="shared" si="1351"/>
        <v>46387</v>
      </c>
      <c r="CQ112" s="167">
        <f t="shared" si="1352"/>
        <v>0</v>
      </c>
    </row>
    <row r="113" s="89" customFormat="1" ht="24" hidden="1" customHeight="1" outlineLevel="4" spans="1:95">
      <c r="A113" s="132" t="s">
        <v>2813</v>
      </c>
      <c r="B113" s="133"/>
      <c r="C113" s="133"/>
      <c r="D113" s="133"/>
      <c r="E113" s="133"/>
      <c r="F113" s="133"/>
      <c r="G113" s="134"/>
      <c r="H113" s="135"/>
      <c r="I113" s="135"/>
      <c r="J113" s="135"/>
      <c r="K113" s="135"/>
      <c r="L113" s="158"/>
      <c r="M113" s="158"/>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c r="CL113" s="135"/>
      <c r="CM113" s="135"/>
      <c r="CN113" s="135"/>
      <c r="CO113" s="135"/>
      <c r="CP113" s="135"/>
      <c r="CQ113" s="135"/>
    </row>
    <row r="114" ht="24" customHeight="1" outlineLevel="2" collapsed="1" spans="1:95">
      <c r="A114" s="43"/>
      <c r="B114" s="121" t="s">
        <v>787</v>
      </c>
      <c r="C114" s="122" t="s">
        <v>1059</v>
      </c>
      <c r="D114" s="43" t="s">
        <v>1060</v>
      </c>
      <c r="E114" s="121"/>
      <c r="F114" s="121"/>
      <c r="G114" s="121"/>
      <c r="H114" s="123">
        <f>X114+AA114+AD114+AG114+AJ114+AM114+AP114+AS114+AV114+AY114+BB114+BE114</f>
        <v>0</v>
      </c>
      <c r="I114" s="123">
        <f>Y114+AB114+AE114+AH114+AK114+AN114+AQ114+AT114+AW114+AZ114+BC114+BF114</f>
        <v>0</v>
      </c>
      <c r="J114" s="123">
        <f t="shared" si="814"/>
        <v>0</v>
      </c>
      <c r="K114" s="123"/>
      <c r="L114" s="154"/>
      <c r="M114" s="154"/>
      <c r="N114" s="123"/>
      <c r="O114" s="123"/>
      <c r="P114" s="123"/>
      <c r="Q114" s="123"/>
      <c r="R114" s="123"/>
      <c r="S114" s="123"/>
      <c r="T114" s="123"/>
      <c r="U114" s="123"/>
      <c r="V114" s="123"/>
      <c r="W114" s="123"/>
      <c r="X114" s="123">
        <f>VLOOKUP($C114,'1 预算编制表单'!$C:$BJ,27,FALSE)</f>
        <v>0</v>
      </c>
      <c r="Y114" s="123">
        <f>X114-Z114</f>
        <v>0</v>
      </c>
      <c r="Z114" s="123">
        <f>Z115+Z121+Z127+Z133</f>
        <v>0</v>
      </c>
      <c r="AA114" s="123">
        <f>VLOOKUP($C114,'1 预算编制表单'!$C:$BJ,30,FALSE)</f>
        <v>0</v>
      </c>
      <c r="AB114" s="123">
        <f>AA114-AC114</f>
        <v>0</v>
      </c>
      <c r="AC114" s="123">
        <f>AC115+AC121+AC127+AC133</f>
        <v>0</v>
      </c>
      <c r="AD114" s="123">
        <f>VLOOKUP($C114,'1 预算编制表单'!$C:$BJ,33,FALSE)</f>
        <v>0</v>
      </c>
      <c r="AE114" s="123">
        <f>AD114-AF114</f>
        <v>0</v>
      </c>
      <c r="AF114" s="123">
        <f>AF115+AF121+AF127+AF133</f>
        <v>0</v>
      </c>
      <c r="AG114" s="123">
        <f>VLOOKUP($C114,'1 预算编制表单'!$C:$BJ,36,FALSE)</f>
        <v>0</v>
      </c>
      <c r="AH114" s="123">
        <f>AG114-AI114</f>
        <v>0</v>
      </c>
      <c r="AI114" s="123">
        <f>AI115+AI121+AI127+AI133</f>
        <v>0</v>
      </c>
      <c r="AJ114" s="123">
        <f>VLOOKUP($C114,'1 预算编制表单'!$C:$BJ,39,FALSE)</f>
        <v>0</v>
      </c>
      <c r="AK114" s="123">
        <f>AJ114-AL114</f>
        <v>0</v>
      </c>
      <c r="AL114" s="123">
        <f>AL115+AL121+AL127+AL133</f>
        <v>0</v>
      </c>
      <c r="AM114" s="123">
        <f>VLOOKUP($C114,'1 预算编制表单'!$C:$BJ,42,FALSE)</f>
        <v>0</v>
      </c>
      <c r="AN114" s="123">
        <f>AM114-AO114</f>
        <v>0</v>
      </c>
      <c r="AO114" s="123">
        <f>AO115+AO121+AO127+AO133</f>
        <v>0</v>
      </c>
      <c r="AP114" s="123">
        <f>VLOOKUP($C114,'1 预算编制表单'!$C:$BJ,45,FALSE)</f>
        <v>0</v>
      </c>
      <c r="AQ114" s="123">
        <f>AP114-AR114</f>
        <v>0</v>
      </c>
      <c r="AR114" s="123">
        <f>AR115+AR121+AR127+AR133</f>
        <v>0</v>
      </c>
      <c r="AS114" s="123">
        <f>VLOOKUP($C114,'1 预算编制表单'!$C:$BJ,48,FALSE)</f>
        <v>0</v>
      </c>
      <c r="AT114" s="123">
        <f>AS114-AU114</f>
        <v>0</v>
      </c>
      <c r="AU114" s="123">
        <f>AU115+AU121+AU127+AU133</f>
        <v>0</v>
      </c>
      <c r="AV114" s="123">
        <f>VLOOKUP($C114,'1 预算编制表单'!$C:$BJ,51,FALSE)</f>
        <v>0</v>
      </c>
      <c r="AW114" s="123">
        <f>AV114-AX114</f>
        <v>0</v>
      </c>
      <c r="AX114" s="123">
        <f>AX115+AX121+AX127+AX133</f>
        <v>0</v>
      </c>
      <c r="AY114" s="123">
        <f>VLOOKUP($C114,'1 预算编制表单'!$C:$BJ,54,FALSE)</f>
        <v>0</v>
      </c>
      <c r="AZ114" s="123">
        <f>AY114-BA114</f>
        <v>0</v>
      </c>
      <c r="BA114" s="123">
        <f>BA115+BA121+BA127+BA133</f>
        <v>0</v>
      </c>
      <c r="BB114" s="123">
        <f>VLOOKUP($C114,'1 预算编制表单'!$C:$BJ,57,FALSE)</f>
        <v>0</v>
      </c>
      <c r="BC114" s="123">
        <f>BB114-BD114</f>
        <v>0</v>
      </c>
      <c r="BD114" s="123">
        <f>BD115+BD121+BD127+BD133</f>
        <v>0</v>
      </c>
      <c r="BE114" s="123">
        <f>VLOOKUP($C114,'1 预算编制表单'!$C:$BJ,60,FALSE)</f>
        <v>0</v>
      </c>
      <c r="BF114" s="123">
        <f>BE114-BG114</f>
        <v>0</v>
      </c>
      <c r="BG114" s="123">
        <f>BG115+BG121+BG127+BG133</f>
        <v>0</v>
      </c>
      <c r="BH114" s="123">
        <f>VLOOKUP($C114,'1 预算编制表单'!$C:$BJ,27,FALSE)</f>
        <v>0</v>
      </c>
      <c r="BI114" s="123">
        <f>BH114-BJ114</f>
        <v>0</v>
      </c>
      <c r="BJ114" s="123">
        <f>BJ115+BJ121+BJ127+BJ133</f>
        <v>0</v>
      </c>
      <c r="BK114" s="123">
        <f>VLOOKUP($C114,'1 预算编制表单'!$C:$BJ,30,FALSE)</f>
        <v>0</v>
      </c>
      <c r="BL114" s="123">
        <f>BK114-BM114</f>
        <v>0</v>
      </c>
      <c r="BM114" s="123">
        <f>BM115+BM121+BM127+BM133</f>
        <v>0</v>
      </c>
      <c r="BN114" s="123">
        <f>VLOOKUP($C114,'1 预算编制表单'!$C:$BJ,33,FALSE)</f>
        <v>0</v>
      </c>
      <c r="BO114" s="123">
        <f>BN114-BP114</f>
        <v>0</v>
      </c>
      <c r="BP114" s="123">
        <f>BP115+BP121+BP127+BP133</f>
        <v>0</v>
      </c>
      <c r="BQ114" s="123">
        <f>VLOOKUP($C114,'1 预算编制表单'!$C:$BJ,36,FALSE)</f>
        <v>0</v>
      </c>
      <c r="BR114" s="123">
        <f>BQ114-BS114</f>
        <v>0</v>
      </c>
      <c r="BS114" s="123">
        <f>BS115+BS121+BS127+BS133</f>
        <v>0</v>
      </c>
      <c r="BT114" s="123">
        <f>VLOOKUP($C114,'1 预算编制表单'!$C:$BJ,39,FALSE)</f>
        <v>0</v>
      </c>
      <c r="BU114" s="123">
        <f>BT114-BV114</f>
        <v>0</v>
      </c>
      <c r="BV114" s="123">
        <f>BV115+BV121+BV127+BV133</f>
        <v>0</v>
      </c>
      <c r="BW114" s="123">
        <f>VLOOKUP($C114,'1 预算编制表单'!$C:$BJ,42,FALSE)</f>
        <v>0</v>
      </c>
      <c r="BX114" s="123">
        <f>BW114-BY114</f>
        <v>0</v>
      </c>
      <c r="BY114" s="123">
        <f>BY115+BY121+BY127+BY133</f>
        <v>0</v>
      </c>
      <c r="BZ114" s="123">
        <f>VLOOKUP($C114,'1 预算编制表单'!$C:$BJ,45,FALSE)</f>
        <v>0</v>
      </c>
      <c r="CA114" s="123">
        <f>BZ114-CB114</f>
        <v>0</v>
      </c>
      <c r="CB114" s="123">
        <f>CB115+CB121+CB127+CB133</f>
        <v>0</v>
      </c>
      <c r="CC114" s="123">
        <f>VLOOKUP($C114,'1 预算编制表单'!$C:$BJ,48,FALSE)</f>
        <v>0</v>
      </c>
      <c r="CD114" s="123">
        <f>CC114-CE114</f>
        <v>0</v>
      </c>
      <c r="CE114" s="123">
        <f>CE115+CE121+CE127+CE133</f>
        <v>0</v>
      </c>
      <c r="CF114" s="123">
        <f>VLOOKUP($C114,'1 预算编制表单'!$C:$BJ,51,FALSE)</f>
        <v>0</v>
      </c>
      <c r="CG114" s="123">
        <f>CF114-CH114</f>
        <v>0</v>
      </c>
      <c r="CH114" s="123">
        <f>CH115+CH121+CH127+CH133</f>
        <v>0</v>
      </c>
      <c r="CI114" s="123">
        <f>VLOOKUP($C114,'1 预算编制表单'!$C:$BJ,54,FALSE)</f>
        <v>0</v>
      </c>
      <c r="CJ114" s="123">
        <f>CI114-CK114</f>
        <v>0</v>
      </c>
      <c r="CK114" s="123">
        <f>CK115+CK121+CK127+CK133</f>
        <v>0</v>
      </c>
      <c r="CL114" s="123">
        <f>VLOOKUP($C114,'1 预算编制表单'!$C:$BJ,57,FALSE)</f>
        <v>0</v>
      </c>
      <c r="CM114" s="123">
        <f>CL114-CN114</f>
        <v>0</v>
      </c>
      <c r="CN114" s="123">
        <f>CN115+CN121+CN127+CN133</f>
        <v>0</v>
      </c>
      <c r="CO114" s="123">
        <f>VLOOKUP($C114,'1 预算编制表单'!$C:$BJ,60,FALSE)</f>
        <v>0</v>
      </c>
      <c r="CP114" s="123">
        <f>CO114-CQ114</f>
        <v>0</v>
      </c>
      <c r="CQ114" s="123">
        <f>CQ115+CQ121+CQ127+CQ133</f>
        <v>0</v>
      </c>
    </row>
    <row r="115" ht="24" hidden="1" customHeight="1" outlineLevel="3" collapsed="1" spans="1:95">
      <c r="A115" s="124"/>
      <c r="B115" s="125" t="s">
        <v>792</v>
      </c>
      <c r="C115" s="126" t="s">
        <v>124</v>
      </c>
      <c r="D115" s="124" t="s">
        <v>109</v>
      </c>
      <c r="E115" s="125"/>
      <c r="F115" s="125"/>
      <c r="G115" s="125"/>
      <c r="H115" s="127">
        <f>X115+AA115+AD115+AG115+AJ115+AM115+AP115+AS115+AV115+AY115+BB115+BE115</f>
        <v>0</v>
      </c>
      <c r="I115" s="127">
        <f>Y115+AB115+AE115+AH115+AK115+AN115+AQ115+AT115+AW115+AZ115+BC115+BF115</f>
        <v>0</v>
      </c>
      <c r="J115" s="127">
        <f t="shared" si="814"/>
        <v>0</v>
      </c>
      <c r="K115" s="127"/>
      <c r="L115" s="155"/>
      <c r="M115" s="155"/>
      <c r="N115" s="127"/>
      <c r="O115" s="127"/>
      <c r="P115" s="127"/>
      <c r="Q115" s="127"/>
      <c r="R115" s="127"/>
      <c r="S115" s="127"/>
      <c r="T115" s="127"/>
      <c r="U115" s="127"/>
      <c r="V115" s="127"/>
      <c r="W115" s="127"/>
      <c r="X115" s="127">
        <f>VLOOKUP($C115,'1 预算编制表单'!$C:$BJ,27,FALSE)</f>
        <v>0</v>
      </c>
      <c r="Y115" s="127">
        <f>X115-Z115</f>
        <v>0</v>
      </c>
      <c r="Z115" s="127">
        <f>SUM(Z116:Z120)</f>
        <v>0</v>
      </c>
      <c r="AA115" s="127">
        <f>VLOOKUP($C115,'1 预算编制表单'!$C:$BJ,30,FALSE)</f>
        <v>0</v>
      </c>
      <c r="AB115" s="127">
        <f>AA115-AC115</f>
        <v>0</v>
      </c>
      <c r="AC115" s="127">
        <f>SUM(AC116:AC120)</f>
        <v>0</v>
      </c>
      <c r="AD115" s="127">
        <f>VLOOKUP($C115,'1 预算编制表单'!$C:$BJ,33,FALSE)</f>
        <v>0</v>
      </c>
      <c r="AE115" s="127">
        <f>AD115-AF115</f>
        <v>0</v>
      </c>
      <c r="AF115" s="127">
        <f>SUM(AF116:AF120)</f>
        <v>0</v>
      </c>
      <c r="AG115" s="127">
        <f>VLOOKUP($C115,'1 预算编制表单'!$C:$BJ,36,FALSE)</f>
        <v>0</v>
      </c>
      <c r="AH115" s="127">
        <f>AG115-AI115</f>
        <v>0</v>
      </c>
      <c r="AI115" s="127">
        <f>SUM(AI116:AI120)</f>
        <v>0</v>
      </c>
      <c r="AJ115" s="127">
        <f>VLOOKUP($C115,'1 预算编制表单'!$C:$BJ,39,FALSE)</f>
        <v>0</v>
      </c>
      <c r="AK115" s="127">
        <f>AJ115-AL115</f>
        <v>0</v>
      </c>
      <c r="AL115" s="127">
        <f>SUM(AL116:AL120)</f>
        <v>0</v>
      </c>
      <c r="AM115" s="127">
        <f>VLOOKUP($C115,'1 预算编制表单'!$C:$BJ,42,FALSE)</f>
        <v>0</v>
      </c>
      <c r="AN115" s="127">
        <f>AM115-AO115</f>
        <v>0</v>
      </c>
      <c r="AO115" s="127">
        <f>SUM(AO116:AO120)</f>
        <v>0</v>
      </c>
      <c r="AP115" s="127">
        <f>VLOOKUP($C115,'1 预算编制表单'!$C:$BJ,45,FALSE)</f>
        <v>0</v>
      </c>
      <c r="AQ115" s="127">
        <f>AP115-AR115</f>
        <v>0</v>
      </c>
      <c r="AR115" s="127">
        <f>SUM(AR116:AR120)</f>
        <v>0</v>
      </c>
      <c r="AS115" s="127">
        <f>VLOOKUP($C115,'1 预算编制表单'!$C:$BJ,48,FALSE)</f>
        <v>0</v>
      </c>
      <c r="AT115" s="127">
        <f>AS115-AU115</f>
        <v>0</v>
      </c>
      <c r="AU115" s="127">
        <f>SUM(AU116:AU120)</f>
        <v>0</v>
      </c>
      <c r="AV115" s="127">
        <f>VLOOKUP($C115,'1 预算编制表单'!$C:$BJ,51,FALSE)</f>
        <v>0</v>
      </c>
      <c r="AW115" s="127">
        <f>AV115-AX115</f>
        <v>0</v>
      </c>
      <c r="AX115" s="127">
        <f>SUM(AX116:AX120)</f>
        <v>0</v>
      </c>
      <c r="AY115" s="127">
        <f>VLOOKUP($C115,'1 预算编制表单'!$C:$BJ,54,FALSE)</f>
        <v>0</v>
      </c>
      <c r="AZ115" s="127">
        <f>AY115-BA115</f>
        <v>0</v>
      </c>
      <c r="BA115" s="127">
        <f>SUM(BA116:BA120)</f>
        <v>0</v>
      </c>
      <c r="BB115" s="127">
        <f>VLOOKUP($C115,'1 预算编制表单'!$C:$BJ,57,FALSE)</f>
        <v>0</v>
      </c>
      <c r="BC115" s="127">
        <f>BB115-BD115</f>
        <v>0</v>
      </c>
      <c r="BD115" s="127">
        <f>SUM(BD116:BD120)</f>
        <v>0</v>
      </c>
      <c r="BE115" s="127">
        <f>VLOOKUP($C115,'1 预算编制表单'!$C:$BJ,60,FALSE)</f>
        <v>0</v>
      </c>
      <c r="BF115" s="127">
        <f>BE115-BG115</f>
        <v>0</v>
      </c>
      <c r="BG115" s="127">
        <f>SUM(BG116:BG120)</f>
        <v>0</v>
      </c>
      <c r="BH115" s="127">
        <f>VLOOKUP($C115,'1 预算编制表单'!$C:$BJ,27,FALSE)</f>
        <v>0</v>
      </c>
      <c r="BI115" s="127">
        <f>BH115-BJ115</f>
        <v>0</v>
      </c>
      <c r="BJ115" s="127">
        <f>SUM(BJ116:BJ120)</f>
        <v>0</v>
      </c>
      <c r="BK115" s="127">
        <f>VLOOKUP($C115,'1 预算编制表单'!$C:$BJ,30,FALSE)</f>
        <v>0</v>
      </c>
      <c r="BL115" s="127">
        <f>BK115-BM115</f>
        <v>0</v>
      </c>
      <c r="BM115" s="127">
        <f>SUM(BM116:BM120)</f>
        <v>0</v>
      </c>
      <c r="BN115" s="127">
        <f>VLOOKUP($C115,'1 预算编制表单'!$C:$BJ,33,FALSE)</f>
        <v>0</v>
      </c>
      <c r="BO115" s="127">
        <f>BN115-BP115</f>
        <v>0</v>
      </c>
      <c r="BP115" s="127">
        <f>SUM(BP116:BP120)</f>
        <v>0</v>
      </c>
      <c r="BQ115" s="127">
        <f>VLOOKUP($C115,'1 预算编制表单'!$C:$BJ,36,FALSE)</f>
        <v>0</v>
      </c>
      <c r="BR115" s="127">
        <f>BQ115-BS115</f>
        <v>0</v>
      </c>
      <c r="BS115" s="127">
        <f>SUM(BS116:BS120)</f>
        <v>0</v>
      </c>
      <c r="BT115" s="127">
        <f>VLOOKUP($C115,'1 预算编制表单'!$C:$BJ,39,FALSE)</f>
        <v>0</v>
      </c>
      <c r="BU115" s="127">
        <f>BT115-BV115</f>
        <v>0</v>
      </c>
      <c r="BV115" s="127">
        <f>SUM(BV116:BV120)</f>
        <v>0</v>
      </c>
      <c r="BW115" s="127">
        <f>VLOOKUP($C115,'1 预算编制表单'!$C:$BJ,42,FALSE)</f>
        <v>0</v>
      </c>
      <c r="BX115" s="127">
        <f>BW115-BY115</f>
        <v>0</v>
      </c>
      <c r="BY115" s="127">
        <f>SUM(BY116:BY120)</f>
        <v>0</v>
      </c>
      <c r="BZ115" s="127">
        <f>VLOOKUP($C115,'1 预算编制表单'!$C:$BJ,45,FALSE)</f>
        <v>0</v>
      </c>
      <c r="CA115" s="127">
        <f>BZ115-CB115</f>
        <v>0</v>
      </c>
      <c r="CB115" s="127">
        <f>SUM(CB116:CB120)</f>
        <v>0</v>
      </c>
      <c r="CC115" s="127">
        <f>VLOOKUP($C115,'1 预算编制表单'!$C:$BJ,48,FALSE)</f>
        <v>0</v>
      </c>
      <c r="CD115" s="127">
        <f>CC115-CE115</f>
        <v>0</v>
      </c>
      <c r="CE115" s="127">
        <f>SUM(CE116:CE120)</f>
        <v>0</v>
      </c>
      <c r="CF115" s="127">
        <f>VLOOKUP($C115,'1 预算编制表单'!$C:$BJ,51,FALSE)</f>
        <v>0</v>
      </c>
      <c r="CG115" s="127">
        <f>CF115-CH115</f>
        <v>0</v>
      </c>
      <c r="CH115" s="127">
        <f>SUM(CH116:CH120)</f>
        <v>0</v>
      </c>
      <c r="CI115" s="127">
        <f>VLOOKUP($C115,'1 预算编制表单'!$C:$BJ,54,FALSE)</f>
        <v>0</v>
      </c>
      <c r="CJ115" s="127">
        <f>CI115-CK115</f>
        <v>0</v>
      </c>
      <c r="CK115" s="127">
        <f>SUM(CK116:CK120)</f>
        <v>0</v>
      </c>
      <c r="CL115" s="127">
        <f>VLOOKUP($C115,'1 预算编制表单'!$C:$BJ,57,FALSE)</f>
        <v>0</v>
      </c>
      <c r="CM115" s="127">
        <f>CL115-CN115</f>
        <v>0</v>
      </c>
      <c r="CN115" s="127">
        <f>SUM(CN116:CN120)</f>
        <v>0</v>
      </c>
      <c r="CO115" s="127">
        <f>VLOOKUP($C115,'1 预算编制表单'!$C:$BJ,60,FALSE)</f>
        <v>0</v>
      </c>
      <c r="CP115" s="127">
        <f>CO115-CQ115</f>
        <v>0</v>
      </c>
      <c r="CQ115" s="127">
        <f>SUM(CQ116:CQ120)</f>
        <v>0</v>
      </c>
    </row>
    <row r="116" s="89" customFormat="1" ht="24" hidden="1" customHeight="1" outlineLevel="4" spans="1:95">
      <c r="A116" s="128"/>
      <c r="B116" s="129"/>
      <c r="C116" s="130"/>
      <c r="D116" s="128"/>
      <c r="E116" s="129"/>
      <c r="F116" s="129"/>
      <c r="G116" s="129"/>
      <c r="H116" s="131"/>
      <c r="I116" s="131"/>
      <c r="J116" s="131">
        <f t="shared" si="814"/>
        <v>0</v>
      </c>
      <c r="K116" s="131">
        <v>1</v>
      </c>
      <c r="L116" s="156"/>
      <c r="M116" s="157">
        <f>IFERROR(VLOOKUP($L116,'2-2 引出数据_合同数据仓库'!$B$5:$BP$200,3,FALSE),0)</f>
        <v>0</v>
      </c>
      <c r="N116" s="131"/>
      <c r="O116" s="157">
        <f>IFERROR(VLOOKUP((LEFT(VLOOKUP($L116,'2-2 引出数据_合同数据仓库'!$B$5:$BP$200,64,FALSE),15)&amp;(RIGHT(VLOOKUP($L116,'2-2 引出数据_合同数据仓库'!$B$5:$BP$200,64,FALSE),4)+1)),'2-2 引出数据_合同数据仓库'!$B$5:$BP$200,3,FALSE),0)</f>
        <v>0</v>
      </c>
      <c r="P116" s="131"/>
      <c r="Q116" s="131">
        <f>IFERROR(VLOOKUP($L116,'2-2 引出数据_合同数据仓库'!$B$5:$BP$200,28,FALSE),0)</f>
        <v>0</v>
      </c>
      <c r="R116" s="131">
        <f>IFERROR(VLOOKUP($L116,'2-2 引出数据_合同数据仓库'!$B$5:$BP$200,29,FALSE),0)</f>
        <v>0</v>
      </c>
      <c r="S116" s="131">
        <f>IFERROR(VLOOKUP($L116,'2-2 引出数据_合同数据仓库'!$B$5:$BP$200,4,FALSE),0)</f>
        <v>0</v>
      </c>
      <c r="T116" s="131"/>
      <c r="U116" s="131">
        <f>IFERROR(VLOOKUP($L116,'2-2 引出数据_合同数据仓库'!$B$5:$BP$200,15,FALSE),0)</f>
        <v>0</v>
      </c>
      <c r="V116" s="131">
        <f t="shared" ref="V116:V119" si="1354">U116/(S116-R116+1)*365</f>
        <v>0</v>
      </c>
      <c r="W116" s="131"/>
      <c r="X116" s="163">
        <v>45658</v>
      </c>
      <c r="Y116" s="163">
        <f t="shared" ref="Y116:Y119" si="1355">X116+30</f>
        <v>45688</v>
      </c>
      <c r="Z116" s="167">
        <f t="shared" ref="Z116:Z119" si="1356">IFERROR(IF(($R116-Y116)&gt;=0,0,IF(($S116-X116)&lt;0,0,IF(AND(($S116-Y116)&gt;0,(X116-$R116)&gt;0),$V116/365*(Y116-X116+1),IF(AND(($S116-Y116)&lt;=0,(X116-$R116)&gt;0),$V116/365*($S116-X116+1),$V116/365*(Y116-$R116+1))))),0)</f>
        <v>0</v>
      </c>
      <c r="AA116" s="163">
        <f t="shared" ref="AA116:AA119" si="1357">Y116+1</f>
        <v>45689</v>
      </c>
      <c r="AB116" s="163">
        <f t="shared" ref="AB116:AB119" si="1358">AA116+27</f>
        <v>45716</v>
      </c>
      <c r="AC116" s="167">
        <f t="shared" ref="AC116:AC119" si="1359">IFERROR(IF(($R116-AB116)&gt;=0,0,IF(($S116-AA116)&lt;0,0,IF(AND(($S116-AB116)&gt;0,(AA116-$R116)&gt;0),$V116/365*(AB116-AA116+1),IF(AND(($S116-AB116)&lt;=0,(AA116-$R116)&gt;0),$V116/365*($S116-AA116+1),$V116/365*(AB116-$R116+1))))),0)</f>
        <v>0</v>
      </c>
      <c r="AD116" s="163">
        <f t="shared" ref="AD116:AD119" si="1360">AB116+1</f>
        <v>45717</v>
      </c>
      <c r="AE116" s="163">
        <f t="shared" ref="AE116:AE119" si="1361">AD116+30</f>
        <v>45747</v>
      </c>
      <c r="AF116" s="167">
        <f t="shared" ref="AF116:AF119" si="1362">IFERROR(IF(($R116-AE116)&gt;=0,0,IF(($S116-AD116)&lt;0,0,IF(AND(($S116-AE116)&gt;0,(AD116-$R116)&gt;0),$V116/365*(AE116-AD116+1),IF(AND(($S116-AE116)&lt;=0,(AD116-$R116)&gt;0),$V116/365*($S116-AD116+1),$V116/365*(AE116-$R116+1))))),0)</f>
        <v>0</v>
      </c>
      <c r="AG116" s="163">
        <f t="shared" ref="AG116:AG119" si="1363">AE116+1</f>
        <v>45748</v>
      </c>
      <c r="AH116" s="163">
        <f t="shared" ref="AH116:AH119" si="1364">AG116+29</f>
        <v>45777</v>
      </c>
      <c r="AI116" s="167">
        <f t="shared" ref="AI116:AI119" si="1365">IFERROR(IF(($R116-AH116)&gt;=0,0,IF(($S116-AG116)&lt;0,0,IF(AND(($S116-AH116)&gt;0,(AG116-$R116)&gt;0),$V116/365*(AH116-AG116+1),IF(AND(($S116-AH116)&lt;=0,(AG116-$R116)&gt;0),$V116/365*($S116-AG116+1),$V116/365*(AH116-$R116+1))))),0)</f>
        <v>0</v>
      </c>
      <c r="AJ116" s="163">
        <f t="shared" ref="AJ116:AJ119" si="1366">AH116+1</f>
        <v>45778</v>
      </c>
      <c r="AK116" s="163">
        <f t="shared" ref="AK116:AK119" si="1367">AJ116+30</f>
        <v>45808</v>
      </c>
      <c r="AL116" s="167">
        <f t="shared" ref="AL116:AL119" si="1368">IFERROR(IF(($R116-AK116)&gt;=0,0,IF(($S116-AJ116)&lt;0,0,IF(AND(($S116-AK116)&gt;0,(AJ116-$R116)&gt;0),$V116/365*(AK116-AJ116+1),IF(AND(($S116-AK116)&lt;=0,(AJ116-$R116)&gt;0),$V116/365*($S116-AJ116+1),$V116/365*(AK116-$R116+1))))),0)</f>
        <v>0</v>
      </c>
      <c r="AM116" s="163">
        <f t="shared" ref="AM116:AM119" si="1369">AK116+1</f>
        <v>45809</v>
      </c>
      <c r="AN116" s="163">
        <f t="shared" ref="AN116:AN119" si="1370">AM116+29</f>
        <v>45838</v>
      </c>
      <c r="AO116" s="167">
        <f t="shared" ref="AO116:AO119" si="1371">IFERROR(IF(($R116-AN116)&gt;=0,0,IF(($S116-AM116)&lt;0,0,IF(AND(($S116-AN116)&gt;0,(AM116-$R116)&gt;0),$V116/365*(AN116-AM116+1),IF(AND(($S116-AN116)&lt;=0,(AM116-$R116)&gt;0),$V116/365*($S116-AM116+1),$V116/365*(AN116-$R116+1))))),0)</f>
        <v>0</v>
      </c>
      <c r="AP116" s="163">
        <f t="shared" ref="AP116:AP119" si="1372">AN116+1</f>
        <v>45839</v>
      </c>
      <c r="AQ116" s="163">
        <f t="shared" ref="AQ116:AQ119" si="1373">AP116+30</f>
        <v>45869</v>
      </c>
      <c r="AR116" s="167">
        <f t="shared" ref="AR116:AR119" si="1374">IFERROR(IF(($R116-AQ116)&gt;=0,0,IF(($S116-AP116)&lt;0,0,IF(AND(($S116-AQ116)&gt;0,(AP116-$R116)&gt;0),$V116/365*(AQ116-AP116+1),IF(AND(($S116-AQ116)&lt;=0,(AP116-$R116)&gt;0),$V116/365*($S116-AP116+1),$V116/365*(AQ116-$R116+1))))),0)</f>
        <v>0</v>
      </c>
      <c r="AS116" s="163">
        <f t="shared" ref="AS116:AS119" si="1375">AQ116+1</f>
        <v>45870</v>
      </c>
      <c r="AT116" s="163">
        <f t="shared" ref="AT116:AT119" si="1376">AS116+30</f>
        <v>45900</v>
      </c>
      <c r="AU116" s="167">
        <f t="shared" ref="AU116:AU119" si="1377">IFERROR(IF(($R116-AT116)&gt;=0,0,IF(($S116-AS116)&lt;0,0,IF(AND(($S116-AT116)&gt;0,(AS116-$R116)&gt;0),$V116/365*(AT116-AS116+1),IF(AND(($S116-AT116)&lt;=0,(AS116-$R116)&gt;0),$V116/365*($S116-AS116+1),$V116/365*(AT116-$R116+1))))),0)</f>
        <v>0</v>
      </c>
      <c r="AV116" s="163">
        <f t="shared" ref="AV116:AV119" si="1378">AT116+1</f>
        <v>45901</v>
      </c>
      <c r="AW116" s="163">
        <f t="shared" ref="AW116:AW119" si="1379">AV116+29</f>
        <v>45930</v>
      </c>
      <c r="AX116" s="167">
        <f t="shared" ref="AX116:AX119" si="1380">IFERROR(IF(($R116-AW116)&gt;=0,0,IF(($S116-AV116)&lt;0,0,IF(AND(($S116-AW116)&gt;0,(AV116-$R116)&gt;0),$V116/365*(AW116-AV116+1),IF(AND(($S116-AW116)&lt;=0,(AV116-$R116)&gt;0),$V116/365*($S116-AV116+1),$V116/365*(AW116-$R116+1))))),0)</f>
        <v>0</v>
      </c>
      <c r="AY116" s="163">
        <f t="shared" ref="AY116:AY119" si="1381">AW116+1</f>
        <v>45931</v>
      </c>
      <c r="AZ116" s="163">
        <f t="shared" ref="AZ116:AZ119" si="1382">AY116+30</f>
        <v>45961</v>
      </c>
      <c r="BA116" s="167">
        <f t="shared" ref="BA116:BA119" si="1383">IFERROR(IF(($R116-AZ116)&gt;=0,0,IF(($S116-AY116)&lt;0,0,IF(AND(($S116-AZ116)&gt;0,(AY116-$R116)&gt;0),$V116/365*(AZ116-AY116+1),IF(AND(($S116-AZ116)&lt;=0,(AY116-$R116)&gt;0),$V116/365*($S116-AY116+1),$V116/365*(AZ116-$R116+1))))),0)</f>
        <v>0</v>
      </c>
      <c r="BB116" s="163">
        <f t="shared" ref="BB116:BB119" si="1384">AZ116+1</f>
        <v>45962</v>
      </c>
      <c r="BC116" s="163">
        <f t="shared" ref="BC116:BC119" si="1385">BB116+29</f>
        <v>45991</v>
      </c>
      <c r="BD116" s="167">
        <f t="shared" ref="BD116:BD119" si="1386">IFERROR(IF(($R116-BC116)&gt;=0,0,IF(($S116-BB116)&lt;0,0,IF(AND(($S116-BC116)&gt;0,(BB116-$R116)&gt;0),$V116/365*(BC116-BB116+1),IF(AND(($S116-BC116)&lt;=0,(BB116-$R116)&gt;0),$V116/365*($S116-BB116+1),$V116/365*(BC116-$R116+1))))),0)</f>
        <v>0</v>
      </c>
      <c r="BE116" s="163">
        <f t="shared" ref="BE116:BE119" si="1387">BC116+1</f>
        <v>45992</v>
      </c>
      <c r="BF116" s="163">
        <f t="shared" ref="BF116:BF119" si="1388">BE116+30</f>
        <v>46022</v>
      </c>
      <c r="BG116" s="167">
        <f t="shared" ref="BG116:BG119" si="1389">IFERROR(IF(($R116-BF116)&gt;=0,0,IF(($S116-BE116)&lt;0,0,IF(AND(($S116-BF116)&gt;0,(BE116-$R116)&gt;0),$V116/365*(BF116-BE116+1),IF(AND(($S116-BF116)&lt;=0,(BE116-$R116)&gt;0),$V116/365*($S116-BE116+1),$V116/365*(BF116-$R116+1))))),0)</f>
        <v>0</v>
      </c>
      <c r="BH116" s="163">
        <v>46023</v>
      </c>
      <c r="BI116" s="163">
        <f t="shared" ref="BI116:BI119" si="1390">BH116+30</f>
        <v>46053</v>
      </c>
      <c r="BJ116" s="167">
        <f t="shared" ref="BJ116:BJ119" si="1391">IFERROR(IF(($R116-BI116)&gt;=0,0,IF(($S116-BH116)&lt;0,0,IF(AND(($S116-BI116)&gt;0,(BH116-$R116)&gt;0),$V116/365*(BI116-BH116+1),IF(AND(($S116-BI116)&lt;=0,(BH116-$R116)&gt;0),$V116/365*($S116-BH116+1),$V116/365*(BI116-$R116+1))))),0)</f>
        <v>0</v>
      </c>
      <c r="BK116" s="163">
        <f t="shared" ref="BK116:BK119" si="1392">BI116+1</f>
        <v>46054</v>
      </c>
      <c r="BL116" s="163">
        <f t="shared" ref="BL116:BL119" si="1393">BK116+27</f>
        <v>46081</v>
      </c>
      <c r="BM116" s="167">
        <f t="shared" ref="BM116:BM119" si="1394">IFERROR(IF(($R116-BL116)&gt;=0,0,IF(($S116-BK116)&lt;0,0,IF(AND(($S116-BL116)&gt;0,(BK116-$R116)&gt;0),$V116/365*(BL116-BK116+1),IF(AND(($S116-BL116)&lt;=0,(BK116-$R116)&gt;0),$V116/365*($S116-BK116+1),$V116/365*(BL116-$R116+1))))),0)</f>
        <v>0</v>
      </c>
      <c r="BN116" s="163">
        <f t="shared" ref="BN116:BN119" si="1395">BL116+1</f>
        <v>46082</v>
      </c>
      <c r="BO116" s="163">
        <f t="shared" ref="BO116:BO119" si="1396">BN116+30</f>
        <v>46112</v>
      </c>
      <c r="BP116" s="167">
        <f t="shared" ref="BP116:BP119" si="1397">IFERROR(IF(($R116-BO116)&gt;=0,0,IF(($S116-BN116)&lt;0,0,IF(AND(($S116-BO116)&gt;0,(BN116-$R116)&gt;0),$V116/365*(BO116-BN116+1),IF(AND(($S116-BO116)&lt;=0,(BN116-$R116)&gt;0),$V116/365*($S116-BN116+1),$V116/365*(BO116-$R116+1))))),0)</f>
        <v>0</v>
      </c>
      <c r="BQ116" s="163">
        <f t="shared" ref="BQ116:BQ119" si="1398">BO116+1</f>
        <v>46113</v>
      </c>
      <c r="BR116" s="163">
        <f t="shared" ref="BR116:BR119" si="1399">BQ116+29</f>
        <v>46142</v>
      </c>
      <c r="BS116" s="167">
        <f t="shared" ref="BS116:BS119" si="1400">IFERROR(IF(($R116-BR116)&gt;=0,0,IF(($S116-BQ116)&lt;0,0,IF(AND(($S116-BR116)&gt;0,(BQ116-$R116)&gt;0),$V116/365*(BR116-BQ116+1),IF(AND(($S116-BR116)&lt;=0,(BQ116-$R116)&gt;0),$V116/365*($S116-BQ116+1),$V116/365*(BR116-$R116+1))))),0)</f>
        <v>0</v>
      </c>
      <c r="BT116" s="163">
        <f t="shared" ref="BT116:BT119" si="1401">BR116+1</f>
        <v>46143</v>
      </c>
      <c r="BU116" s="163">
        <f t="shared" ref="BU116:BU119" si="1402">BT116+30</f>
        <v>46173</v>
      </c>
      <c r="BV116" s="167">
        <f t="shared" ref="BV116:BV119" si="1403">IFERROR(IF(($R116-BU116)&gt;=0,0,IF(($S116-BT116)&lt;0,0,IF(AND(($S116-BU116)&gt;0,(BT116-$R116)&gt;0),$V116/365*(BU116-BT116+1),IF(AND(($S116-BU116)&lt;=0,(BT116-$R116)&gt;0),$V116/365*($S116-BT116+1),$V116/365*(BU116-$R116+1))))),0)</f>
        <v>0</v>
      </c>
      <c r="BW116" s="163">
        <f t="shared" ref="BW116:BW119" si="1404">BU116+1</f>
        <v>46174</v>
      </c>
      <c r="BX116" s="163">
        <f t="shared" ref="BX116:BX119" si="1405">BW116+29</f>
        <v>46203</v>
      </c>
      <c r="BY116" s="167">
        <f t="shared" ref="BY116:BY119" si="1406">IFERROR(IF(($R116-BX116)&gt;=0,0,IF(($S116-BW116)&lt;0,0,IF(AND(($S116-BX116)&gt;0,(BW116-$R116)&gt;0),$V116/365*(BX116-BW116+1),IF(AND(($S116-BX116)&lt;=0,(BW116-$R116)&gt;0),$V116/365*($S116-BW116+1),$V116/365*(BX116-$R116+1))))),0)</f>
        <v>0</v>
      </c>
      <c r="BZ116" s="163">
        <f t="shared" ref="BZ116:BZ119" si="1407">BX116+1</f>
        <v>46204</v>
      </c>
      <c r="CA116" s="163">
        <f t="shared" ref="CA116:CA119" si="1408">BZ116+30</f>
        <v>46234</v>
      </c>
      <c r="CB116" s="167">
        <f t="shared" ref="CB116:CB119" si="1409">IFERROR(IF(($R116-CA116)&gt;=0,0,IF(($S116-BZ116)&lt;0,0,IF(AND(($S116-CA116)&gt;0,(BZ116-$R116)&gt;0),$V116/365*(CA116-BZ116+1),IF(AND(($S116-CA116)&lt;=0,(BZ116-$R116)&gt;0),$V116/365*($S116-BZ116+1),$V116/365*(CA116-$R116+1))))),0)</f>
        <v>0</v>
      </c>
      <c r="CC116" s="163">
        <f t="shared" ref="CC116:CC119" si="1410">CA116+1</f>
        <v>46235</v>
      </c>
      <c r="CD116" s="163">
        <f t="shared" ref="CD116:CD119" si="1411">CC116+30</f>
        <v>46265</v>
      </c>
      <c r="CE116" s="167">
        <f t="shared" ref="CE116:CE119" si="1412">IFERROR(IF(($R116-CD116)&gt;=0,0,IF(($S116-CC116)&lt;0,0,IF(AND(($S116-CD116)&gt;0,(CC116-$R116)&gt;0),$V116/365*(CD116-CC116+1),IF(AND(($S116-CD116)&lt;=0,(CC116-$R116)&gt;0),$V116/365*($S116-CC116+1),$V116/365*(CD116-$R116+1))))),0)</f>
        <v>0</v>
      </c>
      <c r="CF116" s="163">
        <f t="shared" ref="CF116:CF119" si="1413">CD116+1</f>
        <v>46266</v>
      </c>
      <c r="CG116" s="163">
        <f t="shared" ref="CG116:CG119" si="1414">CF116+29</f>
        <v>46295</v>
      </c>
      <c r="CH116" s="167">
        <f t="shared" ref="CH116:CH119" si="1415">IFERROR(IF(($R116-CG116)&gt;=0,0,IF(($S116-CF116)&lt;0,0,IF(AND(($S116-CG116)&gt;0,(CF116-$R116)&gt;0),$V116/365*(CG116-CF116+1),IF(AND(($S116-CG116)&lt;=0,(CF116-$R116)&gt;0),$V116/365*($S116-CF116+1),$V116/365*(CG116-$R116+1))))),0)</f>
        <v>0</v>
      </c>
      <c r="CI116" s="163">
        <f t="shared" ref="CI116:CI119" si="1416">CG116+1</f>
        <v>46296</v>
      </c>
      <c r="CJ116" s="163">
        <f t="shared" ref="CJ116:CJ119" si="1417">CI116+30</f>
        <v>46326</v>
      </c>
      <c r="CK116" s="167">
        <f t="shared" ref="CK116:CK119" si="1418">IFERROR(IF(($R116-CJ116)&gt;=0,0,IF(($S116-CI116)&lt;0,0,IF(AND(($S116-CJ116)&gt;0,(CI116-$R116)&gt;0),$V116/365*(CJ116-CI116+1),IF(AND(($S116-CJ116)&lt;=0,(CI116-$R116)&gt;0),$V116/365*($S116-CI116+1),$V116/365*(CJ116-$R116+1))))),0)</f>
        <v>0</v>
      </c>
      <c r="CL116" s="163">
        <f t="shared" ref="CL116:CL119" si="1419">CJ116+1</f>
        <v>46327</v>
      </c>
      <c r="CM116" s="163">
        <f t="shared" ref="CM116:CM119" si="1420">CL116+29</f>
        <v>46356</v>
      </c>
      <c r="CN116" s="167">
        <f t="shared" ref="CN116:CN119" si="1421">IFERROR(IF(($R116-CM116)&gt;=0,0,IF(($S116-CL116)&lt;0,0,IF(AND(($S116-CM116)&gt;0,(CL116-$R116)&gt;0),$V116/365*(CM116-CL116+1),IF(AND(($S116-CM116)&lt;=0,(CL116-$R116)&gt;0),$V116/365*($S116-CL116+1),$V116/365*(CM116-$R116+1))))),0)</f>
        <v>0</v>
      </c>
      <c r="CO116" s="163">
        <f t="shared" ref="CO116:CO119" si="1422">CM116+1</f>
        <v>46357</v>
      </c>
      <c r="CP116" s="163">
        <f t="shared" ref="CP116:CP119" si="1423">CO116+30</f>
        <v>46387</v>
      </c>
      <c r="CQ116" s="167">
        <f t="shared" ref="CQ116:CQ119" si="1424">IFERROR(IF(($R116-CP116)&gt;=0,0,IF(($S116-CO116)&lt;0,0,IF(AND(($S116-CP116)&gt;0,(CO116-$R116)&gt;0),$V116/365*(CP116-CO116+1),IF(AND(($S116-CP116)&lt;=0,(CO116-$R116)&gt;0),$V116/365*($S116-CO116+1),$V116/365*(CP116-$R116+1))))),0)</f>
        <v>0</v>
      </c>
    </row>
    <row r="117" s="89" customFormat="1" ht="24" hidden="1" customHeight="1" outlineLevel="4" spans="1:95">
      <c r="A117" s="128"/>
      <c r="B117" s="129"/>
      <c r="C117" s="130"/>
      <c r="D117" s="128"/>
      <c r="E117" s="129"/>
      <c r="F117" s="129"/>
      <c r="G117" s="129"/>
      <c r="H117" s="131"/>
      <c r="I117" s="131"/>
      <c r="J117" s="131">
        <f t="shared" si="814"/>
        <v>0</v>
      </c>
      <c r="K117" s="131">
        <f t="shared" ref="K117:K119" si="1425">K116+1</f>
        <v>2</v>
      </c>
      <c r="L117" s="156"/>
      <c r="M117" s="157">
        <f>IFERROR(VLOOKUP($L117,'2-2 引出数据_合同数据仓库'!$B$5:$BP$200,3,FALSE),0)</f>
        <v>0</v>
      </c>
      <c r="N117" s="131"/>
      <c r="O117" s="157">
        <f>IFERROR(VLOOKUP((LEFT(VLOOKUP($L117,'2-2 引出数据_合同数据仓库'!$B$5:$BP$200,64,FALSE),15)&amp;(RIGHT(VLOOKUP($L117,'2-2 引出数据_合同数据仓库'!$B$5:$BP$200,64,FALSE),4)+1)),'2-2 引出数据_合同数据仓库'!$B$5:$BP$200,3,FALSE),0)</f>
        <v>0</v>
      </c>
      <c r="P117" s="131"/>
      <c r="Q117" s="131">
        <f>IFERROR(VLOOKUP($L117,'2-2 引出数据_合同数据仓库'!$B$5:$BP$200,28,FALSE),0)</f>
        <v>0</v>
      </c>
      <c r="R117" s="131">
        <f>IFERROR(VLOOKUP($L117,'2-2 引出数据_合同数据仓库'!$B$5:$BP$200,29,FALSE),0)</f>
        <v>0</v>
      </c>
      <c r="S117" s="131">
        <f>IFERROR(VLOOKUP($L117,'2-2 引出数据_合同数据仓库'!$B$5:$BP$200,4,FALSE),0)</f>
        <v>0</v>
      </c>
      <c r="T117" s="131"/>
      <c r="U117" s="131">
        <f>IFERROR(VLOOKUP($L117,'2-2 引出数据_合同数据仓库'!$B$5:$BP$200,15,FALSE),0)</f>
        <v>0</v>
      </c>
      <c r="V117" s="131">
        <f t="shared" si="1354"/>
        <v>0</v>
      </c>
      <c r="W117" s="131"/>
      <c r="X117" s="163">
        <v>45658</v>
      </c>
      <c r="Y117" s="163">
        <f t="shared" si="1355"/>
        <v>45688</v>
      </c>
      <c r="Z117" s="167">
        <f t="shared" si="1356"/>
        <v>0</v>
      </c>
      <c r="AA117" s="163">
        <f t="shared" si="1357"/>
        <v>45689</v>
      </c>
      <c r="AB117" s="163">
        <f t="shared" si="1358"/>
        <v>45716</v>
      </c>
      <c r="AC117" s="167">
        <f t="shared" si="1359"/>
        <v>0</v>
      </c>
      <c r="AD117" s="163">
        <f t="shared" si="1360"/>
        <v>45717</v>
      </c>
      <c r="AE117" s="163">
        <f t="shared" si="1361"/>
        <v>45747</v>
      </c>
      <c r="AF117" s="167">
        <f t="shared" si="1362"/>
        <v>0</v>
      </c>
      <c r="AG117" s="163">
        <f t="shared" si="1363"/>
        <v>45748</v>
      </c>
      <c r="AH117" s="163">
        <f t="shared" si="1364"/>
        <v>45777</v>
      </c>
      <c r="AI117" s="167">
        <f t="shared" si="1365"/>
        <v>0</v>
      </c>
      <c r="AJ117" s="163">
        <f t="shared" si="1366"/>
        <v>45778</v>
      </c>
      <c r="AK117" s="163">
        <f t="shared" si="1367"/>
        <v>45808</v>
      </c>
      <c r="AL117" s="167">
        <f t="shared" si="1368"/>
        <v>0</v>
      </c>
      <c r="AM117" s="163">
        <f t="shared" si="1369"/>
        <v>45809</v>
      </c>
      <c r="AN117" s="163">
        <f t="shared" si="1370"/>
        <v>45838</v>
      </c>
      <c r="AO117" s="167">
        <f t="shared" si="1371"/>
        <v>0</v>
      </c>
      <c r="AP117" s="163">
        <f t="shared" si="1372"/>
        <v>45839</v>
      </c>
      <c r="AQ117" s="163">
        <f t="shared" si="1373"/>
        <v>45869</v>
      </c>
      <c r="AR117" s="167">
        <f t="shared" si="1374"/>
        <v>0</v>
      </c>
      <c r="AS117" s="163">
        <f t="shared" si="1375"/>
        <v>45870</v>
      </c>
      <c r="AT117" s="163">
        <f t="shared" si="1376"/>
        <v>45900</v>
      </c>
      <c r="AU117" s="167">
        <f t="shared" si="1377"/>
        <v>0</v>
      </c>
      <c r="AV117" s="163">
        <f t="shared" si="1378"/>
        <v>45901</v>
      </c>
      <c r="AW117" s="163">
        <f t="shared" si="1379"/>
        <v>45930</v>
      </c>
      <c r="AX117" s="167">
        <f t="shared" si="1380"/>
        <v>0</v>
      </c>
      <c r="AY117" s="163">
        <f t="shared" si="1381"/>
        <v>45931</v>
      </c>
      <c r="AZ117" s="163">
        <f t="shared" si="1382"/>
        <v>45961</v>
      </c>
      <c r="BA117" s="167">
        <f t="shared" si="1383"/>
        <v>0</v>
      </c>
      <c r="BB117" s="163">
        <f t="shared" si="1384"/>
        <v>45962</v>
      </c>
      <c r="BC117" s="163">
        <f t="shared" si="1385"/>
        <v>45991</v>
      </c>
      <c r="BD117" s="167">
        <f t="shared" si="1386"/>
        <v>0</v>
      </c>
      <c r="BE117" s="163">
        <f t="shared" si="1387"/>
        <v>45992</v>
      </c>
      <c r="BF117" s="163">
        <f t="shared" si="1388"/>
        <v>46022</v>
      </c>
      <c r="BG117" s="167">
        <f t="shared" si="1389"/>
        <v>0</v>
      </c>
      <c r="BH117" s="163">
        <v>46023</v>
      </c>
      <c r="BI117" s="163">
        <f t="shared" si="1390"/>
        <v>46053</v>
      </c>
      <c r="BJ117" s="167">
        <f t="shared" si="1391"/>
        <v>0</v>
      </c>
      <c r="BK117" s="163">
        <f t="shared" si="1392"/>
        <v>46054</v>
      </c>
      <c r="BL117" s="163">
        <f t="shared" si="1393"/>
        <v>46081</v>
      </c>
      <c r="BM117" s="167">
        <f t="shared" si="1394"/>
        <v>0</v>
      </c>
      <c r="BN117" s="163">
        <f t="shared" si="1395"/>
        <v>46082</v>
      </c>
      <c r="BO117" s="163">
        <f t="shared" si="1396"/>
        <v>46112</v>
      </c>
      <c r="BP117" s="167">
        <f t="shared" si="1397"/>
        <v>0</v>
      </c>
      <c r="BQ117" s="163">
        <f t="shared" si="1398"/>
        <v>46113</v>
      </c>
      <c r="BR117" s="163">
        <f t="shared" si="1399"/>
        <v>46142</v>
      </c>
      <c r="BS117" s="167">
        <f t="shared" si="1400"/>
        <v>0</v>
      </c>
      <c r="BT117" s="163">
        <f t="shared" si="1401"/>
        <v>46143</v>
      </c>
      <c r="BU117" s="163">
        <f t="shared" si="1402"/>
        <v>46173</v>
      </c>
      <c r="BV117" s="167">
        <f t="shared" si="1403"/>
        <v>0</v>
      </c>
      <c r="BW117" s="163">
        <f t="shared" si="1404"/>
        <v>46174</v>
      </c>
      <c r="BX117" s="163">
        <f t="shared" si="1405"/>
        <v>46203</v>
      </c>
      <c r="BY117" s="167">
        <f t="shared" si="1406"/>
        <v>0</v>
      </c>
      <c r="BZ117" s="163">
        <f t="shared" si="1407"/>
        <v>46204</v>
      </c>
      <c r="CA117" s="163">
        <f t="shared" si="1408"/>
        <v>46234</v>
      </c>
      <c r="CB117" s="167">
        <f t="shared" si="1409"/>
        <v>0</v>
      </c>
      <c r="CC117" s="163">
        <f t="shared" si="1410"/>
        <v>46235</v>
      </c>
      <c r="CD117" s="163">
        <f t="shared" si="1411"/>
        <v>46265</v>
      </c>
      <c r="CE117" s="167">
        <f t="shared" si="1412"/>
        <v>0</v>
      </c>
      <c r="CF117" s="163">
        <f t="shared" si="1413"/>
        <v>46266</v>
      </c>
      <c r="CG117" s="163">
        <f t="shared" si="1414"/>
        <v>46295</v>
      </c>
      <c r="CH117" s="167">
        <f t="shared" si="1415"/>
        <v>0</v>
      </c>
      <c r="CI117" s="163">
        <f t="shared" si="1416"/>
        <v>46296</v>
      </c>
      <c r="CJ117" s="163">
        <f t="shared" si="1417"/>
        <v>46326</v>
      </c>
      <c r="CK117" s="167">
        <f t="shared" si="1418"/>
        <v>0</v>
      </c>
      <c r="CL117" s="163">
        <f t="shared" si="1419"/>
        <v>46327</v>
      </c>
      <c r="CM117" s="163">
        <f t="shared" si="1420"/>
        <v>46356</v>
      </c>
      <c r="CN117" s="167">
        <f t="shared" si="1421"/>
        <v>0</v>
      </c>
      <c r="CO117" s="163">
        <f t="shared" si="1422"/>
        <v>46357</v>
      </c>
      <c r="CP117" s="163">
        <f t="shared" si="1423"/>
        <v>46387</v>
      </c>
      <c r="CQ117" s="167">
        <f t="shared" si="1424"/>
        <v>0</v>
      </c>
    </row>
    <row r="118" s="89" customFormat="1" ht="24" hidden="1" customHeight="1" outlineLevel="4" spans="1:95">
      <c r="A118" s="128"/>
      <c r="B118" s="129"/>
      <c r="C118" s="130"/>
      <c r="D118" s="128"/>
      <c r="E118" s="129"/>
      <c r="F118" s="129"/>
      <c r="G118" s="129"/>
      <c r="H118" s="131"/>
      <c r="I118" s="131"/>
      <c r="J118" s="131">
        <f t="shared" si="814"/>
        <v>0</v>
      </c>
      <c r="K118" s="131">
        <f t="shared" si="1425"/>
        <v>3</v>
      </c>
      <c r="L118" s="156"/>
      <c r="M118" s="157">
        <f>IFERROR(VLOOKUP($L118,'2-2 引出数据_合同数据仓库'!$B$5:$BP$200,3,FALSE),0)</f>
        <v>0</v>
      </c>
      <c r="N118" s="131"/>
      <c r="O118" s="157">
        <f>IFERROR(VLOOKUP((LEFT(VLOOKUP($L118,'2-2 引出数据_合同数据仓库'!$B$5:$BP$200,64,FALSE),15)&amp;(RIGHT(VLOOKUP($L118,'2-2 引出数据_合同数据仓库'!$B$5:$BP$200,64,FALSE),4)+1)),'2-2 引出数据_合同数据仓库'!$B$5:$BP$200,3,FALSE),0)</f>
        <v>0</v>
      </c>
      <c r="P118" s="131"/>
      <c r="Q118" s="131">
        <f>IFERROR(VLOOKUP($L118,'2-2 引出数据_合同数据仓库'!$B$5:$BP$200,28,FALSE),0)</f>
        <v>0</v>
      </c>
      <c r="R118" s="131">
        <f>IFERROR(VLOOKUP($L118,'2-2 引出数据_合同数据仓库'!$B$5:$BP$200,29,FALSE),0)</f>
        <v>0</v>
      </c>
      <c r="S118" s="131">
        <f>IFERROR(VLOOKUP($L118,'2-2 引出数据_合同数据仓库'!$B$5:$BP$200,4,FALSE),0)</f>
        <v>0</v>
      </c>
      <c r="T118" s="131"/>
      <c r="U118" s="131">
        <f>IFERROR(VLOOKUP($L118,'2-2 引出数据_合同数据仓库'!$B$5:$BP$200,15,FALSE),0)</f>
        <v>0</v>
      </c>
      <c r="V118" s="131">
        <f t="shared" si="1354"/>
        <v>0</v>
      </c>
      <c r="W118" s="131"/>
      <c r="X118" s="163">
        <v>45658</v>
      </c>
      <c r="Y118" s="163">
        <f t="shared" si="1355"/>
        <v>45688</v>
      </c>
      <c r="Z118" s="167">
        <f t="shared" si="1356"/>
        <v>0</v>
      </c>
      <c r="AA118" s="163">
        <f t="shared" si="1357"/>
        <v>45689</v>
      </c>
      <c r="AB118" s="163">
        <f t="shared" si="1358"/>
        <v>45716</v>
      </c>
      <c r="AC118" s="167">
        <f t="shared" si="1359"/>
        <v>0</v>
      </c>
      <c r="AD118" s="163">
        <f t="shared" si="1360"/>
        <v>45717</v>
      </c>
      <c r="AE118" s="163">
        <f t="shared" si="1361"/>
        <v>45747</v>
      </c>
      <c r="AF118" s="167">
        <f t="shared" si="1362"/>
        <v>0</v>
      </c>
      <c r="AG118" s="163">
        <f t="shared" si="1363"/>
        <v>45748</v>
      </c>
      <c r="AH118" s="163">
        <f t="shared" si="1364"/>
        <v>45777</v>
      </c>
      <c r="AI118" s="167">
        <f t="shared" si="1365"/>
        <v>0</v>
      </c>
      <c r="AJ118" s="163">
        <f t="shared" si="1366"/>
        <v>45778</v>
      </c>
      <c r="AK118" s="163">
        <f t="shared" si="1367"/>
        <v>45808</v>
      </c>
      <c r="AL118" s="167">
        <f t="shared" si="1368"/>
        <v>0</v>
      </c>
      <c r="AM118" s="163">
        <f t="shared" si="1369"/>
        <v>45809</v>
      </c>
      <c r="AN118" s="163">
        <f t="shared" si="1370"/>
        <v>45838</v>
      </c>
      <c r="AO118" s="167">
        <f t="shared" si="1371"/>
        <v>0</v>
      </c>
      <c r="AP118" s="163">
        <f t="shared" si="1372"/>
        <v>45839</v>
      </c>
      <c r="AQ118" s="163">
        <f t="shared" si="1373"/>
        <v>45869</v>
      </c>
      <c r="AR118" s="167">
        <f t="shared" si="1374"/>
        <v>0</v>
      </c>
      <c r="AS118" s="163">
        <f t="shared" si="1375"/>
        <v>45870</v>
      </c>
      <c r="AT118" s="163">
        <f t="shared" si="1376"/>
        <v>45900</v>
      </c>
      <c r="AU118" s="167">
        <f t="shared" si="1377"/>
        <v>0</v>
      </c>
      <c r="AV118" s="163">
        <f t="shared" si="1378"/>
        <v>45901</v>
      </c>
      <c r="AW118" s="163">
        <f t="shared" si="1379"/>
        <v>45930</v>
      </c>
      <c r="AX118" s="167">
        <f t="shared" si="1380"/>
        <v>0</v>
      </c>
      <c r="AY118" s="163">
        <f t="shared" si="1381"/>
        <v>45931</v>
      </c>
      <c r="AZ118" s="163">
        <f t="shared" si="1382"/>
        <v>45961</v>
      </c>
      <c r="BA118" s="167">
        <f t="shared" si="1383"/>
        <v>0</v>
      </c>
      <c r="BB118" s="163">
        <f t="shared" si="1384"/>
        <v>45962</v>
      </c>
      <c r="BC118" s="163">
        <f t="shared" si="1385"/>
        <v>45991</v>
      </c>
      <c r="BD118" s="167">
        <f t="shared" si="1386"/>
        <v>0</v>
      </c>
      <c r="BE118" s="163">
        <f t="shared" si="1387"/>
        <v>45992</v>
      </c>
      <c r="BF118" s="163">
        <f t="shared" si="1388"/>
        <v>46022</v>
      </c>
      <c r="BG118" s="167">
        <f t="shared" si="1389"/>
        <v>0</v>
      </c>
      <c r="BH118" s="163">
        <v>46023</v>
      </c>
      <c r="BI118" s="163">
        <f t="shared" si="1390"/>
        <v>46053</v>
      </c>
      <c r="BJ118" s="167">
        <f t="shared" si="1391"/>
        <v>0</v>
      </c>
      <c r="BK118" s="163">
        <f t="shared" si="1392"/>
        <v>46054</v>
      </c>
      <c r="BL118" s="163">
        <f t="shared" si="1393"/>
        <v>46081</v>
      </c>
      <c r="BM118" s="167">
        <f t="shared" si="1394"/>
        <v>0</v>
      </c>
      <c r="BN118" s="163">
        <f t="shared" si="1395"/>
        <v>46082</v>
      </c>
      <c r="BO118" s="163">
        <f t="shared" si="1396"/>
        <v>46112</v>
      </c>
      <c r="BP118" s="167">
        <f t="shared" si="1397"/>
        <v>0</v>
      </c>
      <c r="BQ118" s="163">
        <f t="shared" si="1398"/>
        <v>46113</v>
      </c>
      <c r="BR118" s="163">
        <f t="shared" si="1399"/>
        <v>46142</v>
      </c>
      <c r="BS118" s="167">
        <f t="shared" si="1400"/>
        <v>0</v>
      </c>
      <c r="BT118" s="163">
        <f t="shared" si="1401"/>
        <v>46143</v>
      </c>
      <c r="BU118" s="163">
        <f t="shared" si="1402"/>
        <v>46173</v>
      </c>
      <c r="BV118" s="167">
        <f t="shared" si="1403"/>
        <v>0</v>
      </c>
      <c r="BW118" s="163">
        <f t="shared" si="1404"/>
        <v>46174</v>
      </c>
      <c r="BX118" s="163">
        <f t="shared" si="1405"/>
        <v>46203</v>
      </c>
      <c r="BY118" s="167">
        <f t="shared" si="1406"/>
        <v>0</v>
      </c>
      <c r="BZ118" s="163">
        <f t="shared" si="1407"/>
        <v>46204</v>
      </c>
      <c r="CA118" s="163">
        <f t="shared" si="1408"/>
        <v>46234</v>
      </c>
      <c r="CB118" s="167">
        <f t="shared" si="1409"/>
        <v>0</v>
      </c>
      <c r="CC118" s="163">
        <f t="shared" si="1410"/>
        <v>46235</v>
      </c>
      <c r="CD118" s="163">
        <f t="shared" si="1411"/>
        <v>46265</v>
      </c>
      <c r="CE118" s="167">
        <f t="shared" si="1412"/>
        <v>0</v>
      </c>
      <c r="CF118" s="163">
        <f t="shared" si="1413"/>
        <v>46266</v>
      </c>
      <c r="CG118" s="163">
        <f t="shared" si="1414"/>
        <v>46295</v>
      </c>
      <c r="CH118" s="167">
        <f t="shared" si="1415"/>
        <v>0</v>
      </c>
      <c r="CI118" s="163">
        <f t="shared" si="1416"/>
        <v>46296</v>
      </c>
      <c r="CJ118" s="163">
        <f t="shared" si="1417"/>
        <v>46326</v>
      </c>
      <c r="CK118" s="167">
        <f t="shared" si="1418"/>
        <v>0</v>
      </c>
      <c r="CL118" s="163">
        <f t="shared" si="1419"/>
        <v>46327</v>
      </c>
      <c r="CM118" s="163">
        <f t="shared" si="1420"/>
        <v>46356</v>
      </c>
      <c r="CN118" s="167">
        <f t="shared" si="1421"/>
        <v>0</v>
      </c>
      <c r="CO118" s="163">
        <f t="shared" si="1422"/>
        <v>46357</v>
      </c>
      <c r="CP118" s="163">
        <f t="shared" si="1423"/>
        <v>46387</v>
      </c>
      <c r="CQ118" s="167">
        <f t="shared" si="1424"/>
        <v>0</v>
      </c>
    </row>
    <row r="119" s="89" customFormat="1" ht="24" hidden="1" customHeight="1" outlineLevel="4" spans="1:95">
      <c r="A119" s="128"/>
      <c r="B119" s="129"/>
      <c r="C119" s="130"/>
      <c r="D119" s="128"/>
      <c r="E119" s="129"/>
      <c r="F119" s="129"/>
      <c r="G119" s="129"/>
      <c r="H119" s="131"/>
      <c r="I119" s="131"/>
      <c r="J119" s="131">
        <f t="shared" si="814"/>
        <v>0</v>
      </c>
      <c r="K119" s="131">
        <f t="shared" si="1425"/>
        <v>4</v>
      </c>
      <c r="L119" s="156"/>
      <c r="M119" s="157">
        <f>IFERROR(VLOOKUP($L119,'2-2 引出数据_合同数据仓库'!$B$5:$BP$200,3,FALSE),0)</f>
        <v>0</v>
      </c>
      <c r="N119" s="131"/>
      <c r="O119" s="157">
        <f>IFERROR(VLOOKUP((LEFT(VLOOKUP($L119,'2-2 引出数据_合同数据仓库'!$B$5:$BP$200,64,FALSE),15)&amp;(RIGHT(VLOOKUP($L119,'2-2 引出数据_合同数据仓库'!$B$5:$BP$200,64,FALSE),4)+1)),'2-2 引出数据_合同数据仓库'!$B$5:$BP$200,3,FALSE),0)</f>
        <v>0</v>
      </c>
      <c r="P119" s="131"/>
      <c r="Q119" s="131">
        <f>IFERROR(VLOOKUP($L119,'2-2 引出数据_合同数据仓库'!$B$5:$BP$200,28,FALSE),0)</f>
        <v>0</v>
      </c>
      <c r="R119" s="131">
        <f>IFERROR(VLOOKUP($L119,'2-2 引出数据_合同数据仓库'!$B$5:$BP$200,29,FALSE),0)</f>
        <v>0</v>
      </c>
      <c r="S119" s="131">
        <f>IFERROR(VLOOKUP($L119,'2-2 引出数据_合同数据仓库'!$B$5:$BP$200,4,FALSE),0)</f>
        <v>0</v>
      </c>
      <c r="T119" s="131"/>
      <c r="U119" s="131">
        <f>IFERROR(VLOOKUP($L119,'2-2 引出数据_合同数据仓库'!$B$5:$BP$200,15,FALSE),0)</f>
        <v>0</v>
      </c>
      <c r="V119" s="131">
        <f t="shared" si="1354"/>
        <v>0</v>
      </c>
      <c r="W119" s="131"/>
      <c r="X119" s="163">
        <v>45658</v>
      </c>
      <c r="Y119" s="163">
        <f t="shared" si="1355"/>
        <v>45688</v>
      </c>
      <c r="Z119" s="167">
        <f t="shared" si="1356"/>
        <v>0</v>
      </c>
      <c r="AA119" s="163">
        <f t="shared" si="1357"/>
        <v>45689</v>
      </c>
      <c r="AB119" s="163">
        <f t="shared" si="1358"/>
        <v>45716</v>
      </c>
      <c r="AC119" s="167">
        <f t="shared" si="1359"/>
        <v>0</v>
      </c>
      <c r="AD119" s="163">
        <f t="shared" si="1360"/>
        <v>45717</v>
      </c>
      <c r="AE119" s="163">
        <f t="shared" si="1361"/>
        <v>45747</v>
      </c>
      <c r="AF119" s="167">
        <f t="shared" si="1362"/>
        <v>0</v>
      </c>
      <c r="AG119" s="163">
        <f t="shared" si="1363"/>
        <v>45748</v>
      </c>
      <c r="AH119" s="163">
        <f t="shared" si="1364"/>
        <v>45777</v>
      </c>
      <c r="AI119" s="167">
        <f t="shared" si="1365"/>
        <v>0</v>
      </c>
      <c r="AJ119" s="163">
        <f t="shared" si="1366"/>
        <v>45778</v>
      </c>
      <c r="AK119" s="163">
        <f t="shared" si="1367"/>
        <v>45808</v>
      </c>
      <c r="AL119" s="167">
        <f t="shared" si="1368"/>
        <v>0</v>
      </c>
      <c r="AM119" s="163">
        <f t="shared" si="1369"/>
        <v>45809</v>
      </c>
      <c r="AN119" s="163">
        <f t="shared" si="1370"/>
        <v>45838</v>
      </c>
      <c r="AO119" s="167">
        <f t="shared" si="1371"/>
        <v>0</v>
      </c>
      <c r="AP119" s="163">
        <f t="shared" si="1372"/>
        <v>45839</v>
      </c>
      <c r="AQ119" s="163">
        <f t="shared" si="1373"/>
        <v>45869</v>
      </c>
      <c r="AR119" s="167">
        <f t="shared" si="1374"/>
        <v>0</v>
      </c>
      <c r="AS119" s="163">
        <f t="shared" si="1375"/>
        <v>45870</v>
      </c>
      <c r="AT119" s="163">
        <f t="shared" si="1376"/>
        <v>45900</v>
      </c>
      <c r="AU119" s="167">
        <f t="shared" si="1377"/>
        <v>0</v>
      </c>
      <c r="AV119" s="163">
        <f t="shared" si="1378"/>
        <v>45901</v>
      </c>
      <c r="AW119" s="163">
        <f t="shared" si="1379"/>
        <v>45930</v>
      </c>
      <c r="AX119" s="167">
        <f t="shared" si="1380"/>
        <v>0</v>
      </c>
      <c r="AY119" s="163">
        <f t="shared" si="1381"/>
        <v>45931</v>
      </c>
      <c r="AZ119" s="163">
        <f t="shared" si="1382"/>
        <v>45961</v>
      </c>
      <c r="BA119" s="167">
        <f t="shared" si="1383"/>
        <v>0</v>
      </c>
      <c r="BB119" s="163">
        <f t="shared" si="1384"/>
        <v>45962</v>
      </c>
      <c r="BC119" s="163">
        <f t="shared" si="1385"/>
        <v>45991</v>
      </c>
      <c r="BD119" s="167">
        <f t="shared" si="1386"/>
        <v>0</v>
      </c>
      <c r="BE119" s="163">
        <f t="shared" si="1387"/>
        <v>45992</v>
      </c>
      <c r="BF119" s="163">
        <f t="shared" si="1388"/>
        <v>46022</v>
      </c>
      <c r="BG119" s="167">
        <f t="shared" si="1389"/>
        <v>0</v>
      </c>
      <c r="BH119" s="163">
        <v>46023</v>
      </c>
      <c r="BI119" s="163">
        <f t="shared" si="1390"/>
        <v>46053</v>
      </c>
      <c r="BJ119" s="167">
        <f t="shared" si="1391"/>
        <v>0</v>
      </c>
      <c r="BK119" s="163">
        <f t="shared" si="1392"/>
        <v>46054</v>
      </c>
      <c r="BL119" s="163">
        <f t="shared" si="1393"/>
        <v>46081</v>
      </c>
      <c r="BM119" s="167">
        <f t="shared" si="1394"/>
        <v>0</v>
      </c>
      <c r="BN119" s="163">
        <f t="shared" si="1395"/>
        <v>46082</v>
      </c>
      <c r="BO119" s="163">
        <f t="shared" si="1396"/>
        <v>46112</v>
      </c>
      <c r="BP119" s="167">
        <f t="shared" si="1397"/>
        <v>0</v>
      </c>
      <c r="BQ119" s="163">
        <f t="shared" si="1398"/>
        <v>46113</v>
      </c>
      <c r="BR119" s="163">
        <f t="shared" si="1399"/>
        <v>46142</v>
      </c>
      <c r="BS119" s="167">
        <f t="shared" si="1400"/>
        <v>0</v>
      </c>
      <c r="BT119" s="163">
        <f t="shared" si="1401"/>
        <v>46143</v>
      </c>
      <c r="BU119" s="163">
        <f t="shared" si="1402"/>
        <v>46173</v>
      </c>
      <c r="BV119" s="167">
        <f t="shared" si="1403"/>
        <v>0</v>
      </c>
      <c r="BW119" s="163">
        <f t="shared" si="1404"/>
        <v>46174</v>
      </c>
      <c r="BX119" s="163">
        <f t="shared" si="1405"/>
        <v>46203</v>
      </c>
      <c r="BY119" s="167">
        <f t="shared" si="1406"/>
        <v>0</v>
      </c>
      <c r="BZ119" s="163">
        <f t="shared" si="1407"/>
        <v>46204</v>
      </c>
      <c r="CA119" s="163">
        <f t="shared" si="1408"/>
        <v>46234</v>
      </c>
      <c r="CB119" s="167">
        <f t="shared" si="1409"/>
        <v>0</v>
      </c>
      <c r="CC119" s="163">
        <f t="shared" si="1410"/>
        <v>46235</v>
      </c>
      <c r="CD119" s="163">
        <f t="shared" si="1411"/>
        <v>46265</v>
      </c>
      <c r="CE119" s="167">
        <f t="shared" si="1412"/>
        <v>0</v>
      </c>
      <c r="CF119" s="163">
        <f t="shared" si="1413"/>
        <v>46266</v>
      </c>
      <c r="CG119" s="163">
        <f t="shared" si="1414"/>
        <v>46295</v>
      </c>
      <c r="CH119" s="167">
        <f t="shared" si="1415"/>
        <v>0</v>
      </c>
      <c r="CI119" s="163">
        <f t="shared" si="1416"/>
        <v>46296</v>
      </c>
      <c r="CJ119" s="163">
        <f t="shared" si="1417"/>
        <v>46326</v>
      </c>
      <c r="CK119" s="167">
        <f t="shared" si="1418"/>
        <v>0</v>
      </c>
      <c r="CL119" s="163">
        <f t="shared" si="1419"/>
        <v>46327</v>
      </c>
      <c r="CM119" s="163">
        <f t="shared" si="1420"/>
        <v>46356</v>
      </c>
      <c r="CN119" s="167">
        <f t="shared" si="1421"/>
        <v>0</v>
      </c>
      <c r="CO119" s="163">
        <f t="shared" si="1422"/>
        <v>46357</v>
      </c>
      <c r="CP119" s="163">
        <f t="shared" si="1423"/>
        <v>46387</v>
      </c>
      <c r="CQ119" s="167">
        <f t="shared" si="1424"/>
        <v>0</v>
      </c>
    </row>
    <row r="120" s="89" customFormat="1" ht="24" hidden="1" customHeight="1" outlineLevel="4" spans="1:95">
      <c r="A120" s="132" t="s">
        <v>2813</v>
      </c>
      <c r="B120" s="133"/>
      <c r="C120" s="133"/>
      <c r="D120" s="133"/>
      <c r="E120" s="133"/>
      <c r="F120" s="133"/>
      <c r="G120" s="134"/>
      <c r="H120" s="135"/>
      <c r="I120" s="135"/>
      <c r="J120" s="135"/>
      <c r="K120" s="135"/>
      <c r="L120" s="158"/>
      <c r="M120" s="158"/>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row>
    <row r="121" ht="24" hidden="1" customHeight="1" outlineLevel="3" spans="1:95">
      <c r="A121" s="124"/>
      <c r="B121" s="125" t="s">
        <v>792</v>
      </c>
      <c r="C121" s="126" t="s">
        <v>73</v>
      </c>
      <c r="D121" s="124" t="s">
        <v>68</v>
      </c>
      <c r="E121" s="125"/>
      <c r="F121" s="125"/>
      <c r="G121" s="125"/>
      <c r="H121" s="127">
        <f>X121+AA121+AD121+AG121+AJ121+AM121+AP121+AS121+AV121+AY121+BB121+BE121</f>
        <v>0</v>
      </c>
      <c r="I121" s="127">
        <f>Y121+AB121+AE121+AH121+AK121+AN121+AQ121+AT121+AW121+AZ121+BC121+BF121</f>
        <v>0</v>
      </c>
      <c r="J121" s="127">
        <f t="shared" si="814"/>
        <v>0</v>
      </c>
      <c r="K121" s="127"/>
      <c r="L121" s="155"/>
      <c r="M121" s="155"/>
      <c r="N121" s="127"/>
      <c r="O121" s="127"/>
      <c r="P121" s="127"/>
      <c r="Q121" s="127"/>
      <c r="R121" s="127"/>
      <c r="S121" s="127"/>
      <c r="T121" s="127"/>
      <c r="U121" s="127"/>
      <c r="V121" s="127"/>
      <c r="W121" s="127"/>
      <c r="X121" s="127">
        <f>VLOOKUP($C121,'1 预算编制表单'!$C:$BJ,27,FALSE)</f>
        <v>0</v>
      </c>
      <c r="Y121" s="127">
        <f>X121-Z121</f>
        <v>0</v>
      </c>
      <c r="Z121" s="127">
        <f>SUM(Z122:Z126)</f>
        <v>0</v>
      </c>
      <c r="AA121" s="127">
        <f>VLOOKUP($C121,'1 预算编制表单'!$C:$BJ,30,FALSE)</f>
        <v>0</v>
      </c>
      <c r="AB121" s="127">
        <f>AA121-AC121</f>
        <v>0</v>
      </c>
      <c r="AC121" s="127">
        <f>SUM(AC122:AC126)</f>
        <v>0</v>
      </c>
      <c r="AD121" s="127">
        <f>VLOOKUP($C121,'1 预算编制表单'!$C:$BJ,33,FALSE)</f>
        <v>0</v>
      </c>
      <c r="AE121" s="127">
        <f>AD121-AF121</f>
        <v>0</v>
      </c>
      <c r="AF121" s="127">
        <f>SUM(AF122:AF126)</f>
        <v>0</v>
      </c>
      <c r="AG121" s="127">
        <f>VLOOKUP($C121,'1 预算编制表单'!$C:$BJ,36,FALSE)</f>
        <v>0</v>
      </c>
      <c r="AH121" s="127">
        <f>AG121-AI121</f>
        <v>0</v>
      </c>
      <c r="AI121" s="127">
        <f>SUM(AI122:AI126)</f>
        <v>0</v>
      </c>
      <c r="AJ121" s="127">
        <f>VLOOKUP($C121,'1 预算编制表单'!$C:$BJ,39,FALSE)</f>
        <v>0</v>
      </c>
      <c r="AK121" s="127">
        <f>AJ121-AL121</f>
        <v>0</v>
      </c>
      <c r="AL121" s="127">
        <f>SUM(AL122:AL126)</f>
        <v>0</v>
      </c>
      <c r="AM121" s="127">
        <f>VLOOKUP($C121,'1 预算编制表单'!$C:$BJ,42,FALSE)</f>
        <v>0</v>
      </c>
      <c r="AN121" s="127">
        <f>AM121-AO121</f>
        <v>0</v>
      </c>
      <c r="AO121" s="127">
        <f>SUM(AO122:AO126)</f>
        <v>0</v>
      </c>
      <c r="AP121" s="127">
        <f>VLOOKUP($C121,'1 预算编制表单'!$C:$BJ,45,FALSE)</f>
        <v>0</v>
      </c>
      <c r="AQ121" s="127">
        <f>AP121-AR121</f>
        <v>0</v>
      </c>
      <c r="AR121" s="127">
        <f>SUM(AR122:AR126)</f>
        <v>0</v>
      </c>
      <c r="AS121" s="127">
        <f>VLOOKUP($C121,'1 预算编制表单'!$C:$BJ,48,FALSE)</f>
        <v>0</v>
      </c>
      <c r="AT121" s="127">
        <f>AS121-AU121</f>
        <v>0</v>
      </c>
      <c r="AU121" s="127">
        <f>SUM(AU122:AU126)</f>
        <v>0</v>
      </c>
      <c r="AV121" s="127">
        <f>VLOOKUP($C121,'1 预算编制表单'!$C:$BJ,51,FALSE)</f>
        <v>0</v>
      </c>
      <c r="AW121" s="127">
        <f>AV121-AX121</f>
        <v>0</v>
      </c>
      <c r="AX121" s="127">
        <f>SUM(AX122:AX126)</f>
        <v>0</v>
      </c>
      <c r="AY121" s="127">
        <f>VLOOKUP($C121,'1 预算编制表单'!$C:$BJ,54,FALSE)</f>
        <v>0</v>
      </c>
      <c r="AZ121" s="127">
        <f>AY121-BA121</f>
        <v>0</v>
      </c>
      <c r="BA121" s="127">
        <f>SUM(BA122:BA126)</f>
        <v>0</v>
      </c>
      <c r="BB121" s="127">
        <f>VLOOKUP($C121,'1 预算编制表单'!$C:$BJ,57,FALSE)</f>
        <v>0</v>
      </c>
      <c r="BC121" s="127">
        <f>BB121-BD121</f>
        <v>0</v>
      </c>
      <c r="BD121" s="127">
        <f>SUM(BD122:BD126)</f>
        <v>0</v>
      </c>
      <c r="BE121" s="127">
        <f>VLOOKUP($C121,'1 预算编制表单'!$C:$BJ,60,FALSE)</f>
        <v>0</v>
      </c>
      <c r="BF121" s="127">
        <f>BE121-BG121</f>
        <v>0</v>
      </c>
      <c r="BG121" s="127">
        <f>SUM(BG122:BG126)</f>
        <v>0</v>
      </c>
      <c r="BH121" s="127">
        <f>VLOOKUP($C121,'1 预算编制表单'!$C:$BJ,27,FALSE)</f>
        <v>0</v>
      </c>
      <c r="BI121" s="127">
        <f>BH121-BJ121</f>
        <v>0</v>
      </c>
      <c r="BJ121" s="127">
        <f>SUM(BJ122:BJ126)</f>
        <v>0</v>
      </c>
      <c r="BK121" s="127">
        <f>VLOOKUP($C121,'1 预算编制表单'!$C:$BJ,30,FALSE)</f>
        <v>0</v>
      </c>
      <c r="BL121" s="127">
        <f>BK121-BM121</f>
        <v>0</v>
      </c>
      <c r="BM121" s="127">
        <f>SUM(BM122:BM126)</f>
        <v>0</v>
      </c>
      <c r="BN121" s="127">
        <f>VLOOKUP($C121,'1 预算编制表单'!$C:$BJ,33,FALSE)</f>
        <v>0</v>
      </c>
      <c r="BO121" s="127">
        <f>BN121-BP121</f>
        <v>0</v>
      </c>
      <c r="BP121" s="127">
        <f>SUM(BP122:BP126)</f>
        <v>0</v>
      </c>
      <c r="BQ121" s="127">
        <f>VLOOKUP($C121,'1 预算编制表单'!$C:$BJ,36,FALSE)</f>
        <v>0</v>
      </c>
      <c r="BR121" s="127">
        <f>BQ121-BS121</f>
        <v>0</v>
      </c>
      <c r="BS121" s="127">
        <f>SUM(BS122:BS126)</f>
        <v>0</v>
      </c>
      <c r="BT121" s="127">
        <f>VLOOKUP($C121,'1 预算编制表单'!$C:$BJ,39,FALSE)</f>
        <v>0</v>
      </c>
      <c r="BU121" s="127">
        <f>BT121-BV121</f>
        <v>0</v>
      </c>
      <c r="BV121" s="127">
        <f>SUM(BV122:BV126)</f>
        <v>0</v>
      </c>
      <c r="BW121" s="127">
        <f>VLOOKUP($C121,'1 预算编制表单'!$C:$BJ,42,FALSE)</f>
        <v>0</v>
      </c>
      <c r="BX121" s="127">
        <f>BW121-BY121</f>
        <v>0</v>
      </c>
      <c r="BY121" s="127">
        <f>SUM(BY122:BY126)</f>
        <v>0</v>
      </c>
      <c r="BZ121" s="127">
        <f>VLOOKUP($C121,'1 预算编制表单'!$C:$BJ,45,FALSE)</f>
        <v>0</v>
      </c>
      <c r="CA121" s="127">
        <f>BZ121-CB121</f>
        <v>0</v>
      </c>
      <c r="CB121" s="127">
        <f>SUM(CB122:CB126)</f>
        <v>0</v>
      </c>
      <c r="CC121" s="127">
        <f>VLOOKUP($C121,'1 预算编制表单'!$C:$BJ,48,FALSE)</f>
        <v>0</v>
      </c>
      <c r="CD121" s="127">
        <f>CC121-CE121</f>
        <v>0</v>
      </c>
      <c r="CE121" s="127">
        <f>SUM(CE122:CE126)</f>
        <v>0</v>
      </c>
      <c r="CF121" s="127">
        <f>VLOOKUP($C121,'1 预算编制表单'!$C:$BJ,51,FALSE)</f>
        <v>0</v>
      </c>
      <c r="CG121" s="127">
        <f>CF121-CH121</f>
        <v>0</v>
      </c>
      <c r="CH121" s="127">
        <f>SUM(CH122:CH126)</f>
        <v>0</v>
      </c>
      <c r="CI121" s="127">
        <f>VLOOKUP($C121,'1 预算编制表单'!$C:$BJ,54,FALSE)</f>
        <v>0</v>
      </c>
      <c r="CJ121" s="127">
        <f>CI121-CK121</f>
        <v>0</v>
      </c>
      <c r="CK121" s="127">
        <f>SUM(CK122:CK126)</f>
        <v>0</v>
      </c>
      <c r="CL121" s="127">
        <f>VLOOKUP($C121,'1 预算编制表单'!$C:$BJ,57,FALSE)</f>
        <v>0</v>
      </c>
      <c r="CM121" s="127">
        <f>CL121-CN121</f>
        <v>0</v>
      </c>
      <c r="CN121" s="127">
        <f>SUM(CN122:CN126)</f>
        <v>0</v>
      </c>
      <c r="CO121" s="127">
        <f>VLOOKUP($C121,'1 预算编制表单'!$C:$BJ,60,FALSE)</f>
        <v>0</v>
      </c>
      <c r="CP121" s="127">
        <f>CO121-CQ121</f>
        <v>0</v>
      </c>
      <c r="CQ121" s="127">
        <f>SUM(CQ122:CQ126)</f>
        <v>0</v>
      </c>
    </row>
    <row r="122" s="91" customFormat="1" ht="24" hidden="1" customHeight="1" outlineLevel="3" collapsed="1" spans="1:95">
      <c r="A122" s="139"/>
      <c r="B122" s="139"/>
      <c r="C122" s="139" t="s">
        <v>1073</v>
      </c>
      <c r="D122" s="137" t="s">
        <v>2814</v>
      </c>
      <c r="E122" s="138"/>
      <c r="F122" s="138"/>
      <c r="G122" s="138"/>
      <c r="H122" s="140"/>
      <c r="I122" s="140"/>
      <c r="J122" s="140"/>
      <c r="K122" s="131">
        <f t="shared" ref="K122:K125" si="1426">K121+1</f>
        <v>1</v>
      </c>
      <c r="L122" s="161"/>
      <c r="M122" s="161"/>
      <c r="N122" s="140"/>
      <c r="O122" s="140"/>
      <c r="P122" s="140"/>
      <c r="Q122" s="140"/>
      <c r="R122" s="140"/>
      <c r="S122" s="140"/>
      <c r="T122" s="140"/>
      <c r="U122" s="140"/>
      <c r="V122" s="140"/>
      <c r="W122" s="140"/>
      <c r="X122" s="140"/>
      <c r="Y122" s="140"/>
      <c r="Z122" s="140">
        <f>报销单计算表!B24</f>
        <v>0</v>
      </c>
      <c r="AA122" s="140"/>
      <c r="AB122" s="140"/>
      <c r="AC122" s="140">
        <f>报销单计算表!D24</f>
        <v>0</v>
      </c>
      <c r="AD122" s="140"/>
      <c r="AE122" s="140"/>
      <c r="AF122" s="140">
        <f>报销单计算表!D24</f>
        <v>0</v>
      </c>
      <c r="AG122" s="140"/>
      <c r="AH122" s="140"/>
      <c r="AI122" s="140">
        <f>报销单计算表!E24</f>
        <v>0</v>
      </c>
      <c r="AJ122" s="140"/>
      <c r="AK122" s="140"/>
      <c r="AL122" s="140">
        <f>报销单计算表!F24</f>
        <v>0</v>
      </c>
      <c r="AM122" s="140"/>
      <c r="AN122" s="140"/>
      <c r="AO122" s="140">
        <f>报销单计算表!G24</f>
        <v>0</v>
      </c>
      <c r="AP122" s="140"/>
      <c r="AQ122" s="140"/>
      <c r="AR122" s="140">
        <f>报销单计算表!H24</f>
        <v>0</v>
      </c>
      <c r="AS122" s="140"/>
      <c r="AT122" s="140"/>
      <c r="AU122" s="140">
        <f>报销单计算表!I24</f>
        <v>0</v>
      </c>
      <c r="AV122" s="140"/>
      <c r="AW122" s="140"/>
      <c r="AX122" s="140">
        <f>报销单计算表!J24</f>
        <v>0</v>
      </c>
      <c r="AY122" s="140"/>
      <c r="AZ122" s="140"/>
      <c r="BA122" s="140">
        <f>报销单计算表!K24</f>
        <v>0</v>
      </c>
      <c r="BB122" s="140"/>
      <c r="BC122" s="140"/>
      <c r="BD122" s="140">
        <f>报销单计算表!L24</f>
        <v>0</v>
      </c>
      <c r="BE122" s="140"/>
      <c r="BF122" s="140"/>
      <c r="BG122" s="140">
        <f>报销单计算表!M24</f>
        <v>0</v>
      </c>
      <c r="BH122" s="140"/>
      <c r="BI122" s="140"/>
      <c r="BJ122" s="140"/>
      <c r="BK122" s="140"/>
      <c r="BL122" s="140"/>
      <c r="BM122" s="140"/>
      <c r="BN122" s="140"/>
      <c r="BO122" s="140"/>
      <c r="BP122" s="140"/>
      <c r="BQ122" s="140"/>
      <c r="BR122" s="140"/>
      <c r="BS122" s="140"/>
      <c r="BT122" s="140"/>
      <c r="BU122" s="140"/>
      <c r="BV122" s="140"/>
      <c r="BW122" s="140"/>
      <c r="BX122" s="140"/>
      <c r="BY122" s="140"/>
      <c r="BZ122" s="140"/>
      <c r="CA122" s="140"/>
      <c r="CB122" s="140"/>
      <c r="CC122" s="140"/>
      <c r="CD122" s="140"/>
      <c r="CE122" s="140"/>
      <c r="CF122" s="140"/>
      <c r="CG122" s="140"/>
      <c r="CH122" s="140"/>
      <c r="CI122" s="140"/>
      <c r="CJ122" s="140"/>
      <c r="CK122" s="140"/>
      <c r="CL122" s="140"/>
      <c r="CM122" s="140"/>
      <c r="CN122" s="140"/>
      <c r="CO122" s="140"/>
      <c r="CP122" s="140"/>
      <c r="CQ122" s="140"/>
    </row>
    <row r="123" s="89" customFormat="1" ht="24" hidden="1" customHeight="1" outlineLevel="4" spans="1:95">
      <c r="A123" s="128"/>
      <c r="B123" s="129"/>
      <c r="C123" s="130"/>
      <c r="D123" s="128"/>
      <c r="E123" s="129"/>
      <c r="F123" s="129"/>
      <c r="G123" s="129"/>
      <c r="H123" s="131"/>
      <c r="I123" s="131"/>
      <c r="J123" s="131">
        <f t="shared" si="814"/>
        <v>0</v>
      </c>
      <c r="K123" s="131">
        <f t="shared" si="1426"/>
        <v>2</v>
      </c>
      <c r="L123" s="156"/>
      <c r="M123" s="157">
        <f>IFERROR(VLOOKUP($L123,'2-2 引出数据_合同数据仓库'!$B$5:$BP$200,3,FALSE),0)</f>
        <v>0</v>
      </c>
      <c r="N123" s="131"/>
      <c r="O123" s="157">
        <f>IFERROR(VLOOKUP((LEFT(VLOOKUP($L123,'2-2 引出数据_合同数据仓库'!$B$5:$BP$200,64,FALSE),15)&amp;(RIGHT(VLOOKUP($L123,'2-2 引出数据_合同数据仓库'!$B$5:$BP$200,64,FALSE),4)+1)),'2-2 引出数据_合同数据仓库'!$B$5:$BP$200,3,FALSE),0)</f>
        <v>0</v>
      </c>
      <c r="P123" s="131"/>
      <c r="Q123" s="131">
        <f>IFERROR(VLOOKUP($L123,'2-2 引出数据_合同数据仓库'!$B$5:$BP$200,28,FALSE),0)</f>
        <v>0</v>
      </c>
      <c r="R123" s="131">
        <f>IFERROR(VLOOKUP($L123,'2-2 引出数据_合同数据仓库'!$B$5:$BP$200,29,FALSE),0)</f>
        <v>0</v>
      </c>
      <c r="S123" s="131">
        <f>IFERROR(VLOOKUP($L123,'2-2 引出数据_合同数据仓库'!$B$5:$BP$200,4,FALSE),0)</f>
        <v>0</v>
      </c>
      <c r="T123" s="131"/>
      <c r="U123" s="131">
        <f>IFERROR(VLOOKUP($L123,'2-2 引出数据_合同数据仓库'!$B$5:$BP$200,15,FALSE),0)</f>
        <v>0</v>
      </c>
      <c r="V123" s="131">
        <f t="shared" ref="V123:V125" si="1427">U123/(S123-R123+1)*365</f>
        <v>0</v>
      </c>
      <c r="W123" s="131"/>
      <c r="X123" s="163">
        <v>45658</v>
      </c>
      <c r="Y123" s="163">
        <f t="shared" ref="Y123:Y125" si="1428">X123+30</f>
        <v>45688</v>
      </c>
      <c r="Z123" s="167">
        <f t="shared" ref="Z123:Z125" si="1429">IFERROR(IF(($R123-Y123)&gt;=0,0,IF(($S123-X123)&lt;0,0,IF(AND(($S123-Y123)&gt;0,(X123-$R123)&gt;0),$V123/365*(Y123-X123+1),IF(AND(($S123-Y123)&lt;=0,(X123-$R123)&gt;0),$V123/365*($S123-X123+1),$V123/365*(Y123-$R123+1))))),0)</f>
        <v>0</v>
      </c>
      <c r="AA123" s="163">
        <f t="shared" ref="AA123:AA125" si="1430">Y123+1</f>
        <v>45689</v>
      </c>
      <c r="AB123" s="163">
        <f t="shared" ref="AB123:AB125" si="1431">AA123+27</f>
        <v>45716</v>
      </c>
      <c r="AC123" s="167">
        <f t="shared" ref="AC123:AC125" si="1432">IFERROR(IF(($R123-AB123)&gt;=0,0,IF(($S123-AA123)&lt;0,0,IF(AND(($S123-AB123)&gt;0,(AA123-$R123)&gt;0),$V123/365*(AB123-AA123+1),IF(AND(($S123-AB123)&lt;=0,(AA123-$R123)&gt;0),$V123/365*($S123-AA123+1),$V123/365*(AB123-$R123+1))))),0)</f>
        <v>0</v>
      </c>
      <c r="AD123" s="163">
        <f t="shared" ref="AD123:AD125" si="1433">AB123+1</f>
        <v>45717</v>
      </c>
      <c r="AE123" s="163">
        <f t="shared" ref="AE123:AE125" si="1434">AD123+30</f>
        <v>45747</v>
      </c>
      <c r="AF123" s="167">
        <f t="shared" ref="AF123:AF125" si="1435">IFERROR(IF(($R123-AE123)&gt;=0,0,IF(($S123-AD123)&lt;0,0,IF(AND(($S123-AE123)&gt;0,(AD123-$R123)&gt;0),$V123/365*(AE123-AD123+1),IF(AND(($S123-AE123)&lt;=0,(AD123-$R123)&gt;0),$V123/365*($S123-AD123+1),$V123/365*(AE123-$R123+1))))),0)</f>
        <v>0</v>
      </c>
      <c r="AG123" s="163">
        <f t="shared" ref="AG123:AG125" si="1436">AE123+1</f>
        <v>45748</v>
      </c>
      <c r="AH123" s="163">
        <f t="shared" ref="AH123:AH125" si="1437">AG123+29</f>
        <v>45777</v>
      </c>
      <c r="AI123" s="167">
        <f t="shared" ref="AI123:AI125" si="1438">IFERROR(IF(($R123-AH123)&gt;=0,0,IF(($S123-AG123)&lt;0,0,IF(AND(($S123-AH123)&gt;0,(AG123-$R123)&gt;0),$V123/365*(AH123-AG123+1),IF(AND(($S123-AH123)&lt;=0,(AG123-$R123)&gt;0),$V123/365*($S123-AG123+1),$V123/365*(AH123-$R123+1))))),0)</f>
        <v>0</v>
      </c>
      <c r="AJ123" s="163">
        <f t="shared" ref="AJ123:AJ125" si="1439">AH123+1</f>
        <v>45778</v>
      </c>
      <c r="AK123" s="163">
        <f t="shared" ref="AK123:AK125" si="1440">AJ123+30</f>
        <v>45808</v>
      </c>
      <c r="AL123" s="167">
        <f t="shared" ref="AL123:AL125" si="1441">IFERROR(IF(($R123-AK123)&gt;=0,0,IF(($S123-AJ123)&lt;0,0,IF(AND(($S123-AK123)&gt;0,(AJ123-$R123)&gt;0),$V123/365*(AK123-AJ123+1),IF(AND(($S123-AK123)&lt;=0,(AJ123-$R123)&gt;0),$V123/365*($S123-AJ123+1),$V123/365*(AK123-$R123+1))))),0)</f>
        <v>0</v>
      </c>
      <c r="AM123" s="163">
        <f t="shared" ref="AM123:AM125" si="1442">AK123+1</f>
        <v>45809</v>
      </c>
      <c r="AN123" s="163">
        <f t="shared" ref="AN123:AN125" si="1443">AM123+29</f>
        <v>45838</v>
      </c>
      <c r="AO123" s="167">
        <f t="shared" ref="AO123:AO125" si="1444">IFERROR(IF(($R123-AN123)&gt;=0,0,IF(($S123-AM123)&lt;0,0,IF(AND(($S123-AN123)&gt;0,(AM123-$R123)&gt;0),$V123/365*(AN123-AM123+1),IF(AND(($S123-AN123)&lt;=0,(AM123-$R123)&gt;0),$V123/365*($S123-AM123+1),$V123/365*(AN123-$R123+1))))),0)</f>
        <v>0</v>
      </c>
      <c r="AP123" s="163">
        <f t="shared" ref="AP123:AP125" si="1445">AN123+1</f>
        <v>45839</v>
      </c>
      <c r="AQ123" s="163">
        <f t="shared" ref="AQ123:AQ125" si="1446">AP123+30</f>
        <v>45869</v>
      </c>
      <c r="AR123" s="167">
        <f t="shared" ref="AR123:AR125" si="1447">IFERROR(IF(($R123-AQ123)&gt;=0,0,IF(($S123-AP123)&lt;0,0,IF(AND(($S123-AQ123)&gt;0,(AP123-$R123)&gt;0),$V123/365*(AQ123-AP123+1),IF(AND(($S123-AQ123)&lt;=0,(AP123-$R123)&gt;0),$V123/365*($S123-AP123+1),$V123/365*(AQ123-$R123+1))))),0)</f>
        <v>0</v>
      </c>
      <c r="AS123" s="163">
        <f t="shared" ref="AS123:AS125" si="1448">AQ123+1</f>
        <v>45870</v>
      </c>
      <c r="AT123" s="163">
        <f t="shared" ref="AT123:AT125" si="1449">AS123+30</f>
        <v>45900</v>
      </c>
      <c r="AU123" s="167">
        <f t="shared" ref="AU123:AU125" si="1450">IFERROR(IF(($R123-AT123)&gt;=0,0,IF(($S123-AS123)&lt;0,0,IF(AND(($S123-AT123)&gt;0,(AS123-$R123)&gt;0),$V123/365*(AT123-AS123+1),IF(AND(($S123-AT123)&lt;=0,(AS123-$R123)&gt;0),$V123/365*($S123-AS123+1),$V123/365*(AT123-$R123+1))))),0)</f>
        <v>0</v>
      </c>
      <c r="AV123" s="163">
        <f t="shared" ref="AV123:AV125" si="1451">AT123+1</f>
        <v>45901</v>
      </c>
      <c r="AW123" s="163">
        <f t="shared" ref="AW123:AW125" si="1452">AV123+29</f>
        <v>45930</v>
      </c>
      <c r="AX123" s="167">
        <f t="shared" ref="AX123:AX125" si="1453">IFERROR(IF(($R123-AW123)&gt;=0,0,IF(($S123-AV123)&lt;0,0,IF(AND(($S123-AW123)&gt;0,(AV123-$R123)&gt;0),$V123/365*(AW123-AV123+1),IF(AND(($S123-AW123)&lt;=0,(AV123-$R123)&gt;0),$V123/365*($S123-AV123+1),$V123/365*(AW123-$R123+1))))),0)</f>
        <v>0</v>
      </c>
      <c r="AY123" s="163">
        <f t="shared" ref="AY123:AY125" si="1454">AW123+1</f>
        <v>45931</v>
      </c>
      <c r="AZ123" s="163">
        <f t="shared" ref="AZ123:AZ125" si="1455">AY123+30</f>
        <v>45961</v>
      </c>
      <c r="BA123" s="167">
        <f t="shared" ref="BA123:BA125" si="1456">IFERROR(IF(($R123-AZ123)&gt;=0,0,IF(($S123-AY123)&lt;0,0,IF(AND(($S123-AZ123)&gt;0,(AY123-$R123)&gt;0),$V123/365*(AZ123-AY123+1),IF(AND(($S123-AZ123)&lt;=0,(AY123-$R123)&gt;0),$V123/365*($S123-AY123+1),$V123/365*(AZ123-$R123+1))))),0)</f>
        <v>0</v>
      </c>
      <c r="BB123" s="163">
        <f t="shared" ref="BB123:BB125" si="1457">AZ123+1</f>
        <v>45962</v>
      </c>
      <c r="BC123" s="163">
        <f t="shared" ref="BC123:BC125" si="1458">BB123+29</f>
        <v>45991</v>
      </c>
      <c r="BD123" s="167">
        <f t="shared" ref="BD123:BD125" si="1459">IFERROR(IF(($R123-BC123)&gt;=0,0,IF(($S123-BB123)&lt;0,0,IF(AND(($S123-BC123)&gt;0,(BB123-$R123)&gt;0),$V123/365*(BC123-BB123+1),IF(AND(($S123-BC123)&lt;=0,(BB123-$R123)&gt;0),$V123/365*($S123-BB123+1),$V123/365*(BC123-$R123+1))))),0)</f>
        <v>0</v>
      </c>
      <c r="BE123" s="163">
        <f t="shared" ref="BE123:BE125" si="1460">BC123+1</f>
        <v>45992</v>
      </c>
      <c r="BF123" s="163">
        <f t="shared" ref="BF123:BF125" si="1461">BE123+30</f>
        <v>46022</v>
      </c>
      <c r="BG123" s="167">
        <f t="shared" ref="BG123:BG125" si="1462">IFERROR(IF(($R123-BF123)&gt;=0,0,IF(($S123-BE123)&lt;0,0,IF(AND(($S123-BF123)&gt;0,(BE123-$R123)&gt;0),$V123/365*(BF123-BE123+1),IF(AND(($S123-BF123)&lt;=0,(BE123-$R123)&gt;0),$V123/365*($S123-BE123+1),$V123/365*(BF123-$R123+1))))),0)</f>
        <v>0</v>
      </c>
      <c r="BH123" s="163">
        <v>46023</v>
      </c>
      <c r="BI123" s="163">
        <f t="shared" ref="BI123:BI125" si="1463">BH123+30</f>
        <v>46053</v>
      </c>
      <c r="BJ123" s="167">
        <f t="shared" ref="BJ123:BJ125" si="1464">IFERROR(IF(($R123-BI123)&gt;=0,0,IF(($S123-BH123)&lt;0,0,IF(AND(($S123-BI123)&gt;0,(BH123-$R123)&gt;0),$V123/365*(BI123-BH123+1),IF(AND(($S123-BI123)&lt;=0,(BH123-$R123)&gt;0),$V123/365*($S123-BH123+1),$V123/365*(BI123-$R123+1))))),0)</f>
        <v>0</v>
      </c>
      <c r="BK123" s="163">
        <f t="shared" ref="BK123:BK125" si="1465">BI123+1</f>
        <v>46054</v>
      </c>
      <c r="BL123" s="163">
        <f t="shared" ref="BL123:BL125" si="1466">BK123+27</f>
        <v>46081</v>
      </c>
      <c r="BM123" s="167">
        <f t="shared" ref="BM123:BM125" si="1467">IFERROR(IF(($R123-BL123)&gt;=0,0,IF(($S123-BK123)&lt;0,0,IF(AND(($S123-BL123)&gt;0,(BK123-$R123)&gt;0),$V123/365*(BL123-BK123+1),IF(AND(($S123-BL123)&lt;=0,(BK123-$R123)&gt;0),$V123/365*($S123-BK123+1),$V123/365*(BL123-$R123+1))))),0)</f>
        <v>0</v>
      </c>
      <c r="BN123" s="163">
        <f t="shared" ref="BN123:BN125" si="1468">BL123+1</f>
        <v>46082</v>
      </c>
      <c r="BO123" s="163">
        <f t="shared" ref="BO123:BO125" si="1469">BN123+30</f>
        <v>46112</v>
      </c>
      <c r="BP123" s="167">
        <f t="shared" ref="BP123:BP125" si="1470">IFERROR(IF(($R123-BO123)&gt;=0,0,IF(($S123-BN123)&lt;0,0,IF(AND(($S123-BO123)&gt;0,(BN123-$R123)&gt;0),$V123/365*(BO123-BN123+1),IF(AND(($S123-BO123)&lt;=0,(BN123-$R123)&gt;0),$V123/365*($S123-BN123+1),$V123/365*(BO123-$R123+1))))),0)</f>
        <v>0</v>
      </c>
      <c r="BQ123" s="163">
        <f t="shared" ref="BQ123:BQ125" si="1471">BO123+1</f>
        <v>46113</v>
      </c>
      <c r="BR123" s="163">
        <f t="shared" ref="BR123:BR125" si="1472">BQ123+29</f>
        <v>46142</v>
      </c>
      <c r="BS123" s="167">
        <f t="shared" ref="BS123:BS125" si="1473">IFERROR(IF(($R123-BR123)&gt;=0,0,IF(($S123-BQ123)&lt;0,0,IF(AND(($S123-BR123)&gt;0,(BQ123-$R123)&gt;0),$V123/365*(BR123-BQ123+1),IF(AND(($S123-BR123)&lt;=0,(BQ123-$R123)&gt;0),$V123/365*($S123-BQ123+1),$V123/365*(BR123-$R123+1))))),0)</f>
        <v>0</v>
      </c>
      <c r="BT123" s="163">
        <f t="shared" ref="BT123:BT125" si="1474">BR123+1</f>
        <v>46143</v>
      </c>
      <c r="BU123" s="163">
        <f t="shared" ref="BU123:BU125" si="1475">BT123+30</f>
        <v>46173</v>
      </c>
      <c r="BV123" s="167">
        <f t="shared" ref="BV123:BV125" si="1476">IFERROR(IF(($R123-BU123)&gt;=0,0,IF(($S123-BT123)&lt;0,0,IF(AND(($S123-BU123)&gt;0,(BT123-$R123)&gt;0),$V123/365*(BU123-BT123+1),IF(AND(($S123-BU123)&lt;=0,(BT123-$R123)&gt;0),$V123/365*($S123-BT123+1),$V123/365*(BU123-$R123+1))))),0)</f>
        <v>0</v>
      </c>
      <c r="BW123" s="163">
        <f t="shared" ref="BW123:BW125" si="1477">BU123+1</f>
        <v>46174</v>
      </c>
      <c r="BX123" s="163">
        <f t="shared" ref="BX123:BX125" si="1478">BW123+29</f>
        <v>46203</v>
      </c>
      <c r="BY123" s="167">
        <f t="shared" ref="BY123:BY125" si="1479">IFERROR(IF(($R123-BX123)&gt;=0,0,IF(($S123-BW123)&lt;0,0,IF(AND(($S123-BX123)&gt;0,(BW123-$R123)&gt;0),$V123/365*(BX123-BW123+1),IF(AND(($S123-BX123)&lt;=0,(BW123-$R123)&gt;0),$V123/365*($S123-BW123+1),$V123/365*(BX123-$R123+1))))),0)</f>
        <v>0</v>
      </c>
      <c r="BZ123" s="163">
        <f t="shared" ref="BZ123:BZ125" si="1480">BX123+1</f>
        <v>46204</v>
      </c>
      <c r="CA123" s="163">
        <f t="shared" ref="CA123:CA125" si="1481">BZ123+30</f>
        <v>46234</v>
      </c>
      <c r="CB123" s="167">
        <f t="shared" ref="CB123:CB125" si="1482">IFERROR(IF(($R123-CA123)&gt;=0,0,IF(($S123-BZ123)&lt;0,0,IF(AND(($S123-CA123)&gt;0,(BZ123-$R123)&gt;0),$V123/365*(CA123-BZ123+1),IF(AND(($S123-CA123)&lt;=0,(BZ123-$R123)&gt;0),$V123/365*($S123-BZ123+1),$V123/365*(CA123-$R123+1))))),0)</f>
        <v>0</v>
      </c>
      <c r="CC123" s="163">
        <f t="shared" ref="CC123:CC125" si="1483">CA123+1</f>
        <v>46235</v>
      </c>
      <c r="CD123" s="163">
        <f t="shared" ref="CD123:CD125" si="1484">CC123+30</f>
        <v>46265</v>
      </c>
      <c r="CE123" s="167">
        <f t="shared" ref="CE123:CE125" si="1485">IFERROR(IF(($R123-CD123)&gt;=0,0,IF(($S123-CC123)&lt;0,0,IF(AND(($S123-CD123)&gt;0,(CC123-$R123)&gt;0),$V123/365*(CD123-CC123+1),IF(AND(($S123-CD123)&lt;=0,(CC123-$R123)&gt;0),$V123/365*($S123-CC123+1),$V123/365*(CD123-$R123+1))))),0)</f>
        <v>0</v>
      </c>
      <c r="CF123" s="163">
        <f t="shared" ref="CF123:CF125" si="1486">CD123+1</f>
        <v>46266</v>
      </c>
      <c r="CG123" s="163">
        <f t="shared" ref="CG123:CG125" si="1487">CF123+29</f>
        <v>46295</v>
      </c>
      <c r="CH123" s="167">
        <f t="shared" ref="CH123:CH125" si="1488">IFERROR(IF(($R123-CG123)&gt;=0,0,IF(($S123-CF123)&lt;0,0,IF(AND(($S123-CG123)&gt;0,(CF123-$R123)&gt;0),$V123/365*(CG123-CF123+1),IF(AND(($S123-CG123)&lt;=0,(CF123-$R123)&gt;0),$V123/365*($S123-CF123+1),$V123/365*(CG123-$R123+1))))),0)</f>
        <v>0</v>
      </c>
      <c r="CI123" s="163">
        <f t="shared" ref="CI123:CI125" si="1489">CG123+1</f>
        <v>46296</v>
      </c>
      <c r="CJ123" s="163">
        <f t="shared" ref="CJ123:CJ125" si="1490">CI123+30</f>
        <v>46326</v>
      </c>
      <c r="CK123" s="167">
        <f t="shared" ref="CK123:CK125" si="1491">IFERROR(IF(($R123-CJ123)&gt;=0,0,IF(($S123-CI123)&lt;0,0,IF(AND(($S123-CJ123)&gt;0,(CI123-$R123)&gt;0),$V123/365*(CJ123-CI123+1),IF(AND(($S123-CJ123)&lt;=0,(CI123-$R123)&gt;0),$V123/365*($S123-CI123+1),$V123/365*(CJ123-$R123+1))))),0)</f>
        <v>0</v>
      </c>
      <c r="CL123" s="163">
        <f t="shared" ref="CL123:CL125" si="1492">CJ123+1</f>
        <v>46327</v>
      </c>
      <c r="CM123" s="163">
        <f t="shared" ref="CM123:CM125" si="1493">CL123+29</f>
        <v>46356</v>
      </c>
      <c r="CN123" s="167">
        <f t="shared" ref="CN123:CN125" si="1494">IFERROR(IF(($R123-CM123)&gt;=0,0,IF(($S123-CL123)&lt;0,0,IF(AND(($S123-CM123)&gt;0,(CL123-$R123)&gt;0),$V123/365*(CM123-CL123+1),IF(AND(($S123-CM123)&lt;=0,(CL123-$R123)&gt;0),$V123/365*($S123-CL123+1),$V123/365*(CM123-$R123+1))))),0)</f>
        <v>0</v>
      </c>
      <c r="CO123" s="163">
        <f t="shared" ref="CO123:CO125" si="1495">CM123+1</f>
        <v>46357</v>
      </c>
      <c r="CP123" s="163">
        <f t="shared" ref="CP123:CP125" si="1496">CO123+30</f>
        <v>46387</v>
      </c>
      <c r="CQ123" s="167">
        <f t="shared" ref="CQ123:CQ125" si="1497">IFERROR(IF(($R123-CP123)&gt;=0,0,IF(($S123-CO123)&lt;0,0,IF(AND(($S123-CP123)&gt;0,(CO123-$R123)&gt;0),$V123/365*(CP123-CO123+1),IF(AND(($S123-CP123)&lt;=0,(CO123-$R123)&gt;0),$V123/365*($S123-CO123+1),$V123/365*(CP123-$R123+1))))),0)</f>
        <v>0</v>
      </c>
    </row>
    <row r="124" s="89" customFormat="1" ht="24" hidden="1" customHeight="1" outlineLevel="4" spans="1:95">
      <c r="A124" s="128"/>
      <c r="B124" s="129"/>
      <c r="C124" s="130"/>
      <c r="D124" s="128"/>
      <c r="E124" s="129"/>
      <c r="F124" s="129"/>
      <c r="G124" s="129"/>
      <c r="H124" s="131"/>
      <c r="I124" s="131"/>
      <c r="J124" s="131">
        <f t="shared" si="814"/>
        <v>0</v>
      </c>
      <c r="K124" s="131">
        <f t="shared" si="1426"/>
        <v>3</v>
      </c>
      <c r="L124" s="156"/>
      <c r="M124" s="157">
        <f>IFERROR(VLOOKUP($L124,'2-2 引出数据_合同数据仓库'!$B$5:$BP$200,3,FALSE),0)</f>
        <v>0</v>
      </c>
      <c r="N124" s="131"/>
      <c r="O124" s="157">
        <f>IFERROR(VLOOKUP((LEFT(VLOOKUP($L124,'2-2 引出数据_合同数据仓库'!$B$5:$BP$200,64,FALSE),15)&amp;(RIGHT(VLOOKUP($L124,'2-2 引出数据_合同数据仓库'!$B$5:$BP$200,64,FALSE),4)+1)),'2-2 引出数据_合同数据仓库'!$B$5:$BP$200,3,FALSE),0)</f>
        <v>0</v>
      </c>
      <c r="P124" s="131"/>
      <c r="Q124" s="131">
        <f>IFERROR(VLOOKUP($L124,'2-2 引出数据_合同数据仓库'!$B$5:$BP$200,28,FALSE),0)</f>
        <v>0</v>
      </c>
      <c r="R124" s="131">
        <f>IFERROR(VLOOKUP($L124,'2-2 引出数据_合同数据仓库'!$B$5:$BP$200,29,FALSE),0)</f>
        <v>0</v>
      </c>
      <c r="S124" s="131">
        <f>IFERROR(VLOOKUP($L124,'2-2 引出数据_合同数据仓库'!$B$5:$BP$200,4,FALSE),0)</f>
        <v>0</v>
      </c>
      <c r="T124" s="131"/>
      <c r="U124" s="131">
        <f>IFERROR(VLOOKUP($L124,'2-2 引出数据_合同数据仓库'!$B$5:$BP$200,15,FALSE),0)</f>
        <v>0</v>
      </c>
      <c r="V124" s="131">
        <f t="shared" si="1427"/>
        <v>0</v>
      </c>
      <c r="W124" s="131"/>
      <c r="X124" s="163">
        <v>45658</v>
      </c>
      <c r="Y124" s="163">
        <f t="shared" si="1428"/>
        <v>45688</v>
      </c>
      <c r="Z124" s="167">
        <f t="shared" si="1429"/>
        <v>0</v>
      </c>
      <c r="AA124" s="163">
        <f t="shared" si="1430"/>
        <v>45689</v>
      </c>
      <c r="AB124" s="163">
        <f t="shared" si="1431"/>
        <v>45716</v>
      </c>
      <c r="AC124" s="167">
        <f t="shared" si="1432"/>
        <v>0</v>
      </c>
      <c r="AD124" s="163">
        <f t="shared" si="1433"/>
        <v>45717</v>
      </c>
      <c r="AE124" s="163">
        <f t="shared" si="1434"/>
        <v>45747</v>
      </c>
      <c r="AF124" s="167">
        <f t="shared" si="1435"/>
        <v>0</v>
      </c>
      <c r="AG124" s="163">
        <f t="shared" si="1436"/>
        <v>45748</v>
      </c>
      <c r="AH124" s="163">
        <f t="shared" si="1437"/>
        <v>45777</v>
      </c>
      <c r="AI124" s="167">
        <f t="shared" si="1438"/>
        <v>0</v>
      </c>
      <c r="AJ124" s="163">
        <f t="shared" si="1439"/>
        <v>45778</v>
      </c>
      <c r="AK124" s="163">
        <f t="shared" si="1440"/>
        <v>45808</v>
      </c>
      <c r="AL124" s="167">
        <f t="shared" si="1441"/>
        <v>0</v>
      </c>
      <c r="AM124" s="163">
        <f t="shared" si="1442"/>
        <v>45809</v>
      </c>
      <c r="AN124" s="163">
        <f t="shared" si="1443"/>
        <v>45838</v>
      </c>
      <c r="AO124" s="167">
        <f t="shared" si="1444"/>
        <v>0</v>
      </c>
      <c r="AP124" s="163">
        <f t="shared" si="1445"/>
        <v>45839</v>
      </c>
      <c r="AQ124" s="163">
        <f t="shared" si="1446"/>
        <v>45869</v>
      </c>
      <c r="AR124" s="167">
        <f t="shared" si="1447"/>
        <v>0</v>
      </c>
      <c r="AS124" s="163">
        <f t="shared" si="1448"/>
        <v>45870</v>
      </c>
      <c r="AT124" s="163">
        <f t="shared" si="1449"/>
        <v>45900</v>
      </c>
      <c r="AU124" s="167">
        <f t="shared" si="1450"/>
        <v>0</v>
      </c>
      <c r="AV124" s="163">
        <f t="shared" si="1451"/>
        <v>45901</v>
      </c>
      <c r="AW124" s="163">
        <f t="shared" si="1452"/>
        <v>45930</v>
      </c>
      <c r="AX124" s="167">
        <f t="shared" si="1453"/>
        <v>0</v>
      </c>
      <c r="AY124" s="163">
        <f t="shared" si="1454"/>
        <v>45931</v>
      </c>
      <c r="AZ124" s="163">
        <f t="shared" si="1455"/>
        <v>45961</v>
      </c>
      <c r="BA124" s="167">
        <f t="shared" si="1456"/>
        <v>0</v>
      </c>
      <c r="BB124" s="163">
        <f t="shared" si="1457"/>
        <v>45962</v>
      </c>
      <c r="BC124" s="163">
        <f t="shared" si="1458"/>
        <v>45991</v>
      </c>
      <c r="BD124" s="167">
        <f t="shared" si="1459"/>
        <v>0</v>
      </c>
      <c r="BE124" s="163">
        <f t="shared" si="1460"/>
        <v>45992</v>
      </c>
      <c r="BF124" s="163">
        <f t="shared" si="1461"/>
        <v>46022</v>
      </c>
      <c r="BG124" s="167">
        <f t="shared" si="1462"/>
        <v>0</v>
      </c>
      <c r="BH124" s="163">
        <v>46023</v>
      </c>
      <c r="BI124" s="163">
        <f t="shared" si="1463"/>
        <v>46053</v>
      </c>
      <c r="BJ124" s="167">
        <f t="shared" si="1464"/>
        <v>0</v>
      </c>
      <c r="BK124" s="163">
        <f t="shared" si="1465"/>
        <v>46054</v>
      </c>
      <c r="BL124" s="163">
        <f t="shared" si="1466"/>
        <v>46081</v>
      </c>
      <c r="BM124" s="167">
        <f t="shared" si="1467"/>
        <v>0</v>
      </c>
      <c r="BN124" s="163">
        <f t="shared" si="1468"/>
        <v>46082</v>
      </c>
      <c r="BO124" s="163">
        <f t="shared" si="1469"/>
        <v>46112</v>
      </c>
      <c r="BP124" s="167">
        <f t="shared" si="1470"/>
        <v>0</v>
      </c>
      <c r="BQ124" s="163">
        <f t="shared" si="1471"/>
        <v>46113</v>
      </c>
      <c r="BR124" s="163">
        <f t="shared" si="1472"/>
        <v>46142</v>
      </c>
      <c r="BS124" s="167">
        <f t="shared" si="1473"/>
        <v>0</v>
      </c>
      <c r="BT124" s="163">
        <f t="shared" si="1474"/>
        <v>46143</v>
      </c>
      <c r="BU124" s="163">
        <f t="shared" si="1475"/>
        <v>46173</v>
      </c>
      <c r="BV124" s="167">
        <f t="shared" si="1476"/>
        <v>0</v>
      </c>
      <c r="BW124" s="163">
        <f t="shared" si="1477"/>
        <v>46174</v>
      </c>
      <c r="BX124" s="163">
        <f t="shared" si="1478"/>
        <v>46203</v>
      </c>
      <c r="BY124" s="167">
        <f t="shared" si="1479"/>
        <v>0</v>
      </c>
      <c r="BZ124" s="163">
        <f t="shared" si="1480"/>
        <v>46204</v>
      </c>
      <c r="CA124" s="163">
        <f t="shared" si="1481"/>
        <v>46234</v>
      </c>
      <c r="CB124" s="167">
        <f t="shared" si="1482"/>
        <v>0</v>
      </c>
      <c r="CC124" s="163">
        <f t="shared" si="1483"/>
        <v>46235</v>
      </c>
      <c r="CD124" s="163">
        <f t="shared" si="1484"/>
        <v>46265</v>
      </c>
      <c r="CE124" s="167">
        <f t="shared" si="1485"/>
        <v>0</v>
      </c>
      <c r="CF124" s="163">
        <f t="shared" si="1486"/>
        <v>46266</v>
      </c>
      <c r="CG124" s="163">
        <f t="shared" si="1487"/>
        <v>46295</v>
      </c>
      <c r="CH124" s="167">
        <f t="shared" si="1488"/>
        <v>0</v>
      </c>
      <c r="CI124" s="163">
        <f t="shared" si="1489"/>
        <v>46296</v>
      </c>
      <c r="CJ124" s="163">
        <f t="shared" si="1490"/>
        <v>46326</v>
      </c>
      <c r="CK124" s="167">
        <f t="shared" si="1491"/>
        <v>0</v>
      </c>
      <c r="CL124" s="163">
        <f t="shared" si="1492"/>
        <v>46327</v>
      </c>
      <c r="CM124" s="163">
        <f t="shared" si="1493"/>
        <v>46356</v>
      </c>
      <c r="CN124" s="167">
        <f t="shared" si="1494"/>
        <v>0</v>
      </c>
      <c r="CO124" s="163">
        <f t="shared" si="1495"/>
        <v>46357</v>
      </c>
      <c r="CP124" s="163">
        <f t="shared" si="1496"/>
        <v>46387</v>
      </c>
      <c r="CQ124" s="167">
        <f t="shared" si="1497"/>
        <v>0</v>
      </c>
    </row>
    <row r="125" s="89" customFormat="1" ht="24" hidden="1" customHeight="1" outlineLevel="4" spans="1:95">
      <c r="A125" s="128"/>
      <c r="B125" s="129"/>
      <c r="C125" s="130"/>
      <c r="D125" s="128"/>
      <c r="E125" s="129"/>
      <c r="F125" s="129"/>
      <c r="G125" s="129"/>
      <c r="H125" s="131"/>
      <c r="I125" s="131"/>
      <c r="J125" s="131">
        <f t="shared" si="814"/>
        <v>0</v>
      </c>
      <c r="K125" s="131">
        <f t="shared" si="1426"/>
        <v>4</v>
      </c>
      <c r="L125" s="156"/>
      <c r="M125" s="157">
        <f>IFERROR(VLOOKUP($L125,'2-2 引出数据_合同数据仓库'!$B$5:$BP$200,3,FALSE),0)</f>
        <v>0</v>
      </c>
      <c r="N125" s="131"/>
      <c r="O125" s="157">
        <f>IFERROR(VLOOKUP((LEFT(VLOOKUP($L125,'2-2 引出数据_合同数据仓库'!$B$5:$BP$200,64,FALSE),15)&amp;(RIGHT(VLOOKUP($L125,'2-2 引出数据_合同数据仓库'!$B$5:$BP$200,64,FALSE),4)+1)),'2-2 引出数据_合同数据仓库'!$B$5:$BP$200,3,FALSE),0)</f>
        <v>0</v>
      </c>
      <c r="P125" s="131"/>
      <c r="Q125" s="131">
        <f>IFERROR(VLOOKUP($L125,'2-2 引出数据_合同数据仓库'!$B$5:$BP$200,28,FALSE),0)</f>
        <v>0</v>
      </c>
      <c r="R125" s="131">
        <f>IFERROR(VLOOKUP($L125,'2-2 引出数据_合同数据仓库'!$B$5:$BP$200,29,FALSE),0)</f>
        <v>0</v>
      </c>
      <c r="S125" s="131">
        <f>IFERROR(VLOOKUP($L125,'2-2 引出数据_合同数据仓库'!$B$5:$BP$200,4,FALSE),0)</f>
        <v>0</v>
      </c>
      <c r="T125" s="131"/>
      <c r="U125" s="131">
        <f>IFERROR(VLOOKUP($L125,'2-2 引出数据_合同数据仓库'!$B$5:$BP$200,15,FALSE),0)</f>
        <v>0</v>
      </c>
      <c r="V125" s="131">
        <f t="shared" si="1427"/>
        <v>0</v>
      </c>
      <c r="W125" s="131"/>
      <c r="X125" s="163">
        <v>45658</v>
      </c>
      <c r="Y125" s="163">
        <f t="shared" si="1428"/>
        <v>45688</v>
      </c>
      <c r="Z125" s="167">
        <f t="shared" si="1429"/>
        <v>0</v>
      </c>
      <c r="AA125" s="163">
        <f t="shared" si="1430"/>
        <v>45689</v>
      </c>
      <c r="AB125" s="163">
        <f t="shared" si="1431"/>
        <v>45716</v>
      </c>
      <c r="AC125" s="167">
        <f t="shared" si="1432"/>
        <v>0</v>
      </c>
      <c r="AD125" s="163">
        <f t="shared" si="1433"/>
        <v>45717</v>
      </c>
      <c r="AE125" s="163">
        <f t="shared" si="1434"/>
        <v>45747</v>
      </c>
      <c r="AF125" s="167">
        <f t="shared" si="1435"/>
        <v>0</v>
      </c>
      <c r="AG125" s="163">
        <f t="shared" si="1436"/>
        <v>45748</v>
      </c>
      <c r="AH125" s="163">
        <f t="shared" si="1437"/>
        <v>45777</v>
      </c>
      <c r="AI125" s="167">
        <f t="shared" si="1438"/>
        <v>0</v>
      </c>
      <c r="AJ125" s="163">
        <f t="shared" si="1439"/>
        <v>45778</v>
      </c>
      <c r="AK125" s="163">
        <f t="shared" si="1440"/>
        <v>45808</v>
      </c>
      <c r="AL125" s="167">
        <f t="shared" si="1441"/>
        <v>0</v>
      </c>
      <c r="AM125" s="163">
        <f t="shared" si="1442"/>
        <v>45809</v>
      </c>
      <c r="AN125" s="163">
        <f t="shared" si="1443"/>
        <v>45838</v>
      </c>
      <c r="AO125" s="167">
        <f t="shared" si="1444"/>
        <v>0</v>
      </c>
      <c r="AP125" s="163">
        <f t="shared" si="1445"/>
        <v>45839</v>
      </c>
      <c r="AQ125" s="163">
        <f t="shared" si="1446"/>
        <v>45869</v>
      </c>
      <c r="AR125" s="167">
        <f t="shared" si="1447"/>
        <v>0</v>
      </c>
      <c r="AS125" s="163">
        <f t="shared" si="1448"/>
        <v>45870</v>
      </c>
      <c r="AT125" s="163">
        <f t="shared" si="1449"/>
        <v>45900</v>
      </c>
      <c r="AU125" s="167">
        <f t="shared" si="1450"/>
        <v>0</v>
      </c>
      <c r="AV125" s="163">
        <f t="shared" si="1451"/>
        <v>45901</v>
      </c>
      <c r="AW125" s="163">
        <f t="shared" si="1452"/>
        <v>45930</v>
      </c>
      <c r="AX125" s="167">
        <f t="shared" si="1453"/>
        <v>0</v>
      </c>
      <c r="AY125" s="163">
        <f t="shared" si="1454"/>
        <v>45931</v>
      </c>
      <c r="AZ125" s="163">
        <f t="shared" si="1455"/>
        <v>45961</v>
      </c>
      <c r="BA125" s="167">
        <f t="shared" si="1456"/>
        <v>0</v>
      </c>
      <c r="BB125" s="163">
        <f t="shared" si="1457"/>
        <v>45962</v>
      </c>
      <c r="BC125" s="163">
        <f t="shared" si="1458"/>
        <v>45991</v>
      </c>
      <c r="BD125" s="167">
        <f t="shared" si="1459"/>
        <v>0</v>
      </c>
      <c r="BE125" s="163">
        <f t="shared" si="1460"/>
        <v>45992</v>
      </c>
      <c r="BF125" s="163">
        <f t="shared" si="1461"/>
        <v>46022</v>
      </c>
      <c r="BG125" s="167">
        <f t="shared" si="1462"/>
        <v>0</v>
      </c>
      <c r="BH125" s="163">
        <v>46023</v>
      </c>
      <c r="BI125" s="163">
        <f t="shared" si="1463"/>
        <v>46053</v>
      </c>
      <c r="BJ125" s="167">
        <f t="shared" si="1464"/>
        <v>0</v>
      </c>
      <c r="BK125" s="163">
        <f t="shared" si="1465"/>
        <v>46054</v>
      </c>
      <c r="BL125" s="163">
        <f t="shared" si="1466"/>
        <v>46081</v>
      </c>
      <c r="BM125" s="167">
        <f t="shared" si="1467"/>
        <v>0</v>
      </c>
      <c r="BN125" s="163">
        <f t="shared" si="1468"/>
        <v>46082</v>
      </c>
      <c r="BO125" s="163">
        <f t="shared" si="1469"/>
        <v>46112</v>
      </c>
      <c r="BP125" s="167">
        <f t="shared" si="1470"/>
        <v>0</v>
      </c>
      <c r="BQ125" s="163">
        <f t="shared" si="1471"/>
        <v>46113</v>
      </c>
      <c r="BR125" s="163">
        <f t="shared" si="1472"/>
        <v>46142</v>
      </c>
      <c r="BS125" s="167">
        <f t="shared" si="1473"/>
        <v>0</v>
      </c>
      <c r="BT125" s="163">
        <f t="shared" si="1474"/>
        <v>46143</v>
      </c>
      <c r="BU125" s="163">
        <f t="shared" si="1475"/>
        <v>46173</v>
      </c>
      <c r="BV125" s="167">
        <f t="shared" si="1476"/>
        <v>0</v>
      </c>
      <c r="BW125" s="163">
        <f t="shared" si="1477"/>
        <v>46174</v>
      </c>
      <c r="BX125" s="163">
        <f t="shared" si="1478"/>
        <v>46203</v>
      </c>
      <c r="BY125" s="167">
        <f t="shared" si="1479"/>
        <v>0</v>
      </c>
      <c r="BZ125" s="163">
        <f t="shared" si="1480"/>
        <v>46204</v>
      </c>
      <c r="CA125" s="163">
        <f t="shared" si="1481"/>
        <v>46234</v>
      </c>
      <c r="CB125" s="167">
        <f t="shared" si="1482"/>
        <v>0</v>
      </c>
      <c r="CC125" s="163">
        <f t="shared" si="1483"/>
        <v>46235</v>
      </c>
      <c r="CD125" s="163">
        <f t="shared" si="1484"/>
        <v>46265</v>
      </c>
      <c r="CE125" s="167">
        <f t="shared" si="1485"/>
        <v>0</v>
      </c>
      <c r="CF125" s="163">
        <f t="shared" si="1486"/>
        <v>46266</v>
      </c>
      <c r="CG125" s="163">
        <f t="shared" si="1487"/>
        <v>46295</v>
      </c>
      <c r="CH125" s="167">
        <f t="shared" si="1488"/>
        <v>0</v>
      </c>
      <c r="CI125" s="163">
        <f t="shared" si="1489"/>
        <v>46296</v>
      </c>
      <c r="CJ125" s="163">
        <f t="shared" si="1490"/>
        <v>46326</v>
      </c>
      <c r="CK125" s="167">
        <f t="shared" si="1491"/>
        <v>0</v>
      </c>
      <c r="CL125" s="163">
        <f t="shared" si="1492"/>
        <v>46327</v>
      </c>
      <c r="CM125" s="163">
        <f t="shared" si="1493"/>
        <v>46356</v>
      </c>
      <c r="CN125" s="167">
        <f t="shared" si="1494"/>
        <v>0</v>
      </c>
      <c r="CO125" s="163">
        <f t="shared" si="1495"/>
        <v>46357</v>
      </c>
      <c r="CP125" s="163">
        <f t="shared" si="1496"/>
        <v>46387</v>
      </c>
      <c r="CQ125" s="167">
        <f t="shared" si="1497"/>
        <v>0</v>
      </c>
    </row>
    <row r="126" s="89" customFormat="1" ht="24" hidden="1" customHeight="1" outlineLevel="4" spans="1:95">
      <c r="A126" s="132" t="s">
        <v>2813</v>
      </c>
      <c r="B126" s="133"/>
      <c r="C126" s="133"/>
      <c r="D126" s="133"/>
      <c r="E126" s="133"/>
      <c r="F126" s="133"/>
      <c r="G126" s="134"/>
      <c r="H126" s="135"/>
      <c r="I126" s="135"/>
      <c r="J126" s="135"/>
      <c r="K126" s="135"/>
      <c r="L126" s="158"/>
      <c r="M126" s="158"/>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c r="CL126" s="135"/>
      <c r="CM126" s="135"/>
      <c r="CN126" s="135"/>
      <c r="CO126" s="135"/>
      <c r="CP126" s="135"/>
      <c r="CQ126" s="135"/>
    </row>
    <row r="127" ht="24" hidden="1" customHeight="1" outlineLevel="3" collapsed="1" spans="1:95">
      <c r="A127" s="124"/>
      <c r="B127" s="125" t="s">
        <v>792</v>
      </c>
      <c r="C127" s="126" t="s">
        <v>22</v>
      </c>
      <c r="D127" s="124" t="s">
        <v>23</v>
      </c>
      <c r="E127" s="125"/>
      <c r="F127" s="125"/>
      <c r="G127" s="125"/>
      <c r="H127" s="127">
        <f>X127+AA127+AD127+AG127+AJ127+AM127+AP127+AS127+AV127+AY127+BB127+BE127</f>
        <v>0</v>
      </c>
      <c r="I127" s="127">
        <f>Y127+AB127+AE127+AH127+AK127+AN127+AQ127+AT127+AW127+AZ127+BC127+BF127</f>
        <v>0</v>
      </c>
      <c r="J127" s="127">
        <f t="shared" si="814"/>
        <v>0</v>
      </c>
      <c r="K127" s="127"/>
      <c r="L127" s="155"/>
      <c r="M127" s="155"/>
      <c r="N127" s="127"/>
      <c r="O127" s="127"/>
      <c r="P127" s="127"/>
      <c r="Q127" s="127"/>
      <c r="R127" s="127"/>
      <c r="S127" s="127"/>
      <c r="T127" s="127"/>
      <c r="U127" s="127"/>
      <c r="V127" s="127"/>
      <c r="W127" s="127"/>
      <c r="X127" s="127">
        <f>VLOOKUP($C127,'1 预算编制表单'!$C:$BJ,27,FALSE)</f>
        <v>0</v>
      </c>
      <c r="Y127" s="127">
        <f>X127-Z127</f>
        <v>0</v>
      </c>
      <c r="Z127" s="127">
        <f>SUM(Z128:Z132)</f>
        <v>0</v>
      </c>
      <c r="AA127" s="127">
        <f>VLOOKUP($C127,'1 预算编制表单'!$C:$BJ,30,FALSE)</f>
        <v>0</v>
      </c>
      <c r="AB127" s="127">
        <f>AA127-AC127</f>
        <v>0</v>
      </c>
      <c r="AC127" s="127">
        <f>SUM(AC128:AC132)</f>
        <v>0</v>
      </c>
      <c r="AD127" s="127">
        <f>VLOOKUP($C127,'1 预算编制表单'!$C:$BJ,33,FALSE)</f>
        <v>0</v>
      </c>
      <c r="AE127" s="127">
        <f>AD127-AF127</f>
        <v>0</v>
      </c>
      <c r="AF127" s="127">
        <f>SUM(AF128:AF132)</f>
        <v>0</v>
      </c>
      <c r="AG127" s="127">
        <f>VLOOKUP($C127,'1 预算编制表单'!$C:$BJ,36,FALSE)</f>
        <v>0</v>
      </c>
      <c r="AH127" s="127">
        <f>AG127-AI127</f>
        <v>0</v>
      </c>
      <c r="AI127" s="127">
        <f>SUM(AI128:AI132)</f>
        <v>0</v>
      </c>
      <c r="AJ127" s="127">
        <f>VLOOKUP($C127,'1 预算编制表单'!$C:$BJ,39,FALSE)</f>
        <v>0</v>
      </c>
      <c r="AK127" s="127">
        <f>AJ127-AL127</f>
        <v>0</v>
      </c>
      <c r="AL127" s="127">
        <f>SUM(AL128:AL132)</f>
        <v>0</v>
      </c>
      <c r="AM127" s="127">
        <f>VLOOKUP($C127,'1 预算编制表单'!$C:$BJ,42,FALSE)</f>
        <v>0</v>
      </c>
      <c r="AN127" s="127">
        <f>AM127-AO127</f>
        <v>0</v>
      </c>
      <c r="AO127" s="127">
        <f>SUM(AO128:AO132)</f>
        <v>0</v>
      </c>
      <c r="AP127" s="127">
        <f>VLOOKUP($C127,'1 预算编制表单'!$C:$BJ,45,FALSE)</f>
        <v>0</v>
      </c>
      <c r="AQ127" s="127">
        <f>AP127-AR127</f>
        <v>0</v>
      </c>
      <c r="AR127" s="127">
        <f>SUM(AR128:AR132)</f>
        <v>0</v>
      </c>
      <c r="AS127" s="127">
        <f>VLOOKUP($C127,'1 预算编制表单'!$C:$BJ,48,FALSE)</f>
        <v>0</v>
      </c>
      <c r="AT127" s="127">
        <f>AS127-AU127</f>
        <v>0</v>
      </c>
      <c r="AU127" s="127">
        <f>SUM(AU128:AU132)</f>
        <v>0</v>
      </c>
      <c r="AV127" s="127">
        <f>VLOOKUP($C127,'1 预算编制表单'!$C:$BJ,51,FALSE)</f>
        <v>0</v>
      </c>
      <c r="AW127" s="127">
        <f>AV127-AX127</f>
        <v>0</v>
      </c>
      <c r="AX127" s="127">
        <f>SUM(AX128:AX132)</f>
        <v>0</v>
      </c>
      <c r="AY127" s="127">
        <f>VLOOKUP($C127,'1 预算编制表单'!$C:$BJ,54,FALSE)</f>
        <v>0</v>
      </c>
      <c r="AZ127" s="127">
        <f>AY127-BA127</f>
        <v>0</v>
      </c>
      <c r="BA127" s="127">
        <f>SUM(BA128:BA132)</f>
        <v>0</v>
      </c>
      <c r="BB127" s="127">
        <f>VLOOKUP($C127,'1 预算编制表单'!$C:$BJ,57,FALSE)</f>
        <v>0</v>
      </c>
      <c r="BC127" s="127">
        <f>BB127-BD127</f>
        <v>0</v>
      </c>
      <c r="BD127" s="127">
        <f>SUM(BD128:BD132)</f>
        <v>0</v>
      </c>
      <c r="BE127" s="127">
        <f>VLOOKUP($C127,'1 预算编制表单'!$C:$BJ,60,FALSE)</f>
        <v>0</v>
      </c>
      <c r="BF127" s="127">
        <f>BE127-BG127</f>
        <v>0</v>
      </c>
      <c r="BG127" s="127">
        <f>SUM(BG128:BG132)</f>
        <v>0</v>
      </c>
      <c r="BH127" s="127">
        <f>VLOOKUP($C127,'1 预算编制表单'!$C:$BJ,27,FALSE)</f>
        <v>0</v>
      </c>
      <c r="BI127" s="127">
        <f>BH127-BJ127</f>
        <v>0</v>
      </c>
      <c r="BJ127" s="127">
        <f>SUM(BJ128:BJ132)</f>
        <v>0</v>
      </c>
      <c r="BK127" s="127">
        <f>VLOOKUP($C127,'1 预算编制表单'!$C:$BJ,30,FALSE)</f>
        <v>0</v>
      </c>
      <c r="BL127" s="127">
        <f>BK127-BM127</f>
        <v>0</v>
      </c>
      <c r="BM127" s="127">
        <f>SUM(BM128:BM132)</f>
        <v>0</v>
      </c>
      <c r="BN127" s="127">
        <f>VLOOKUP($C127,'1 预算编制表单'!$C:$BJ,33,FALSE)</f>
        <v>0</v>
      </c>
      <c r="BO127" s="127">
        <f>BN127-BP127</f>
        <v>0</v>
      </c>
      <c r="BP127" s="127">
        <f>SUM(BP128:BP132)</f>
        <v>0</v>
      </c>
      <c r="BQ127" s="127">
        <f>VLOOKUP($C127,'1 预算编制表单'!$C:$BJ,36,FALSE)</f>
        <v>0</v>
      </c>
      <c r="BR127" s="127">
        <f>BQ127-BS127</f>
        <v>0</v>
      </c>
      <c r="BS127" s="127">
        <f>SUM(BS128:BS132)</f>
        <v>0</v>
      </c>
      <c r="BT127" s="127">
        <f>VLOOKUP($C127,'1 预算编制表单'!$C:$BJ,39,FALSE)</f>
        <v>0</v>
      </c>
      <c r="BU127" s="127">
        <f>BT127-BV127</f>
        <v>0</v>
      </c>
      <c r="BV127" s="127">
        <f>SUM(BV128:BV132)</f>
        <v>0</v>
      </c>
      <c r="BW127" s="127">
        <f>VLOOKUP($C127,'1 预算编制表单'!$C:$BJ,42,FALSE)</f>
        <v>0</v>
      </c>
      <c r="BX127" s="127">
        <f>BW127-BY127</f>
        <v>0</v>
      </c>
      <c r="BY127" s="127">
        <f>SUM(BY128:BY132)</f>
        <v>0</v>
      </c>
      <c r="BZ127" s="127">
        <f>VLOOKUP($C127,'1 预算编制表单'!$C:$BJ,45,FALSE)</f>
        <v>0</v>
      </c>
      <c r="CA127" s="127">
        <f>BZ127-CB127</f>
        <v>0</v>
      </c>
      <c r="CB127" s="127">
        <f>SUM(CB128:CB132)</f>
        <v>0</v>
      </c>
      <c r="CC127" s="127">
        <f>VLOOKUP($C127,'1 预算编制表单'!$C:$BJ,48,FALSE)</f>
        <v>0</v>
      </c>
      <c r="CD127" s="127">
        <f>CC127-CE127</f>
        <v>0</v>
      </c>
      <c r="CE127" s="127">
        <f>SUM(CE128:CE132)</f>
        <v>0</v>
      </c>
      <c r="CF127" s="127">
        <f>VLOOKUP($C127,'1 预算编制表单'!$C:$BJ,51,FALSE)</f>
        <v>0</v>
      </c>
      <c r="CG127" s="127">
        <f>CF127-CH127</f>
        <v>0</v>
      </c>
      <c r="CH127" s="127">
        <f>SUM(CH128:CH132)</f>
        <v>0</v>
      </c>
      <c r="CI127" s="127">
        <f>VLOOKUP($C127,'1 预算编制表单'!$C:$BJ,54,FALSE)</f>
        <v>0</v>
      </c>
      <c r="CJ127" s="127">
        <f>CI127-CK127</f>
        <v>0</v>
      </c>
      <c r="CK127" s="127">
        <f>SUM(CK128:CK132)</f>
        <v>0</v>
      </c>
      <c r="CL127" s="127">
        <f>VLOOKUP($C127,'1 预算编制表单'!$C:$BJ,57,FALSE)</f>
        <v>0</v>
      </c>
      <c r="CM127" s="127">
        <f>CL127-CN127</f>
        <v>0</v>
      </c>
      <c r="CN127" s="127">
        <f>SUM(CN128:CN132)</f>
        <v>0</v>
      </c>
      <c r="CO127" s="127">
        <f>VLOOKUP($C127,'1 预算编制表单'!$C:$BJ,60,FALSE)</f>
        <v>0</v>
      </c>
      <c r="CP127" s="127">
        <f>CO127-CQ127</f>
        <v>0</v>
      </c>
      <c r="CQ127" s="127">
        <f>SUM(CQ128:CQ132)</f>
        <v>0</v>
      </c>
    </row>
    <row r="128" s="89" customFormat="1" ht="24" hidden="1" customHeight="1" outlineLevel="4" spans="1:95">
      <c r="A128" s="128"/>
      <c r="B128" s="129"/>
      <c r="C128" s="130"/>
      <c r="D128" s="128"/>
      <c r="E128" s="129"/>
      <c r="F128" s="129"/>
      <c r="G128" s="129"/>
      <c r="H128" s="131"/>
      <c r="I128" s="131"/>
      <c r="J128" s="131">
        <f t="shared" si="814"/>
        <v>0</v>
      </c>
      <c r="K128" s="131">
        <v>1</v>
      </c>
      <c r="L128" s="156"/>
      <c r="M128" s="157">
        <f>IFERROR(VLOOKUP($L128,'2-2 引出数据_合同数据仓库'!$B$5:$BP$200,3,FALSE),0)</f>
        <v>0</v>
      </c>
      <c r="N128" s="131"/>
      <c r="O128" s="157">
        <f>IFERROR(VLOOKUP((LEFT(VLOOKUP($L128,'2-2 引出数据_合同数据仓库'!$B$5:$BP$200,64,FALSE),15)&amp;(RIGHT(VLOOKUP($L128,'2-2 引出数据_合同数据仓库'!$B$5:$BP$200,64,FALSE),4)+1)),'2-2 引出数据_合同数据仓库'!$B$5:$BP$200,3,FALSE),0)</f>
        <v>0</v>
      </c>
      <c r="P128" s="131"/>
      <c r="Q128" s="131">
        <f>IFERROR(VLOOKUP($L128,'2-2 引出数据_合同数据仓库'!$B$5:$BP$200,28,FALSE),0)</f>
        <v>0</v>
      </c>
      <c r="R128" s="131">
        <f>IFERROR(VLOOKUP($L128,'2-2 引出数据_合同数据仓库'!$B$5:$BP$200,29,FALSE),0)</f>
        <v>0</v>
      </c>
      <c r="S128" s="131">
        <f>IFERROR(VLOOKUP($L128,'2-2 引出数据_合同数据仓库'!$B$5:$BP$200,4,FALSE),0)</f>
        <v>0</v>
      </c>
      <c r="T128" s="131"/>
      <c r="U128" s="131">
        <f>IFERROR(VLOOKUP($L128,'2-2 引出数据_合同数据仓库'!$B$5:$BP$200,15,FALSE),0)</f>
        <v>0</v>
      </c>
      <c r="V128" s="131">
        <f t="shared" ref="V128:V131" si="1498">U128/(S128-R128+1)*365</f>
        <v>0</v>
      </c>
      <c r="W128" s="131"/>
      <c r="X128" s="163">
        <v>45658</v>
      </c>
      <c r="Y128" s="163">
        <f t="shared" ref="Y128:Y131" si="1499">X128+30</f>
        <v>45688</v>
      </c>
      <c r="Z128" s="167">
        <f t="shared" ref="Z128:Z131" si="1500">IFERROR(IF(($R128-Y128)&gt;=0,0,IF(($S128-X128)&lt;0,0,IF(AND(($S128-Y128)&gt;0,(X128-$R128)&gt;0),$V128/365*(Y128-X128+1),IF(AND(($S128-Y128)&lt;=0,(X128-$R128)&gt;0),$V128/365*($S128-X128+1),$V128/365*(Y128-$R128+1))))),0)</f>
        <v>0</v>
      </c>
      <c r="AA128" s="163">
        <f t="shared" ref="AA128:AA131" si="1501">Y128+1</f>
        <v>45689</v>
      </c>
      <c r="AB128" s="163">
        <f t="shared" ref="AB128:AB131" si="1502">AA128+27</f>
        <v>45716</v>
      </c>
      <c r="AC128" s="167">
        <f t="shared" ref="AC128:AC131" si="1503">IFERROR(IF(($R128-AB128)&gt;=0,0,IF(($S128-AA128)&lt;0,0,IF(AND(($S128-AB128)&gt;0,(AA128-$R128)&gt;0),$V128/365*(AB128-AA128+1),IF(AND(($S128-AB128)&lt;=0,(AA128-$R128)&gt;0),$V128/365*($S128-AA128+1),$V128/365*(AB128-$R128+1))))),0)</f>
        <v>0</v>
      </c>
      <c r="AD128" s="163">
        <f t="shared" ref="AD128:AD131" si="1504">AB128+1</f>
        <v>45717</v>
      </c>
      <c r="AE128" s="163">
        <f t="shared" ref="AE128:AE131" si="1505">AD128+30</f>
        <v>45747</v>
      </c>
      <c r="AF128" s="167">
        <f t="shared" ref="AF128:AF131" si="1506">IFERROR(IF(($R128-AE128)&gt;=0,0,IF(($S128-AD128)&lt;0,0,IF(AND(($S128-AE128)&gt;0,(AD128-$R128)&gt;0),$V128/365*(AE128-AD128+1),IF(AND(($S128-AE128)&lt;=0,(AD128-$R128)&gt;0),$V128/365*($S128-AD128+1),$V128/365*(AE128-$R128+1))))),0)</f>
        <v>0</v>
      </c>
      <c r="AG128" s="163">
        <f t="shared" ref="AG128:AG131" si="1507">AE128+1</f>
        <v>45748</v>
      </c>
      <c r="AH128" s="163">
        <f t="shared" ref="AH128:AH131" si="1508">AG128+29</f>
        <v>45777</v>
      </c>
      <c r="AI128" s="167">
        <f t="shared" ref="AI128:AI131" si="1509">IFERROR(IF(($R128-AH128)&gt;=0,0,IF(($S128-AG128)&lt;0,0,IF(AND(($S128-AH128)&gt;0,(AG128-$R128)&gt;0),$V128/365*(AH128-AG128+1),IF(AND(($S128-AH128)&lt;=0,(AG128-$R128)&gt;0),$V128/365*($S128-AG128+1),$V128/365*(AH128-$R128+1))))),0)</f>
        <v>0</v>
      </c>
      <c r="AJ128" s="163">
        <f t="shared" ref="AJ128:AJ131" si="1510">AH128+1</f>
        <v>45778</v>
      </c>
      <c r="AK128" s="163">
        <f t="shared" ref="AK128:AK131" si="1511">AJ128+30</f>
        <v>45808</v>
      </c>
      <c r="AL128" s="167">
        <f t="shared" ref="AL128:AL131" si="1512">IFERROR(IF(($R128-AK128)&gt;=0,0,IF(($S128-AJ128)&lt;0,0,IF(AND(($S128-AK128)&gt;0,(AJ128-$R128)&gt;0),$V128/365*(AK128-AJ128+1),IF(AND(($S128-AK128)&lt;=0,(AJ128-$R128)&gt;0),$V128/365*($S128-AJ128+1),$V128/365*(AK128-$R128+1))))),0)</f>
        <v>0</v>
      </c>
      <c r="AM128" s="163">
        <f t="shared" ref="AM128:AM131" si="1513">AK128+1</f>
        <v>45809</v>
      </c>
      <c r="AN128" s="163">
        <f t="shared" ref="AN128:AN131" si="1514">AM128+29</f>
        <v>45838</v>
      </c>
      <c r="AO128" s="167">
        <f t="shared" ref="AO128:AO131" si="1515">IFERROR(IF(($R128-AN128)&gt;=0,0,IF(($S128-AM128)&lt;0,0,IF(AND(($S128-AN128)&gt;0,(AM128-$R128)&gt;0),$V128/365*(AN128-AM128+1),IF(AND(($S128-AN128)&lt;=0,(AM128-$R128)&gt;0),$V128/365*($S128-AM128+1),$V128/365*(AN128-$R128+1))))),0)</f>
        <v>0</v>
      </c>
      <c r="AP128" s="163">
        <f t="shared" ref="AP128:AP131" si="1516">AN128+1</f>
        <v>45839</v>
      </c>
      <c r="AQ128" s="163">
        <f t="shared" ref="AQ128:AQ131" si="1517">AP128+30</f>
        <v>45869</v>
      </c>
      <c r="AR128" s="167">
        <f t="shared" ref="AR128:AR131" si="1518">IFERROR(IF(($R128-AQ128)&gt;=0,0,IF(($S128-AP128)&lt;0,0,IF(AND(($S128-AQ128)&gt;0,(AP128-$R128)&gt;0),$V128/365*(AQ128-AP128+1),IF(AND(($S128-AQ128)&lt;=0,(AP128-$R128)&gt;0),$V128/365*($S128-AP128+1),$V128/365*(AQ128-$R128+1))))),0)</f>
        <v>0</v>
      </c>
      <c r="AS128" s="163">
        <f t="shared" ref="AS128:AS131" si="1519">AQ128+1</f>
        <v>45870</v>
      </c>
      <c r="AT128" s="163">
        <f t="shared" ref="AT128:AT131" si="1520">AS128+30</f>
        <v>45900</v>
      </c>
      <c r="AU128" s="167">
        <f t="shared" ref="AU128:AU131" si="1521">IFERROR(IF(($R128-AT128)&gt;=0,0,IF(($S128-AS128)&lt;0,0,IF(AND(($S128-AT128)&gt;0,(AS128-$R128)&gt;0),$V128/365*(AT128-AS128+1),IF(AND(($S128-AT128)&lt;=0,(AS128-$R128)&gt;0),$V128/365*($S128-AS128+1),$V128/365*(AT128-$R128+1))))),0)</f>
        <v>0</v>
      </c>
      <c r="AV128" s="163">
        <f t="shared" ref="AV128:AV131" si="1522">AT128+1</f>
        <v>45901</v>
      </c>
      <c r="AW128" s="163">
        <f t="shared" ref="AW128:AW131" si="1523">AV128+29</f>
        <v>45930</v>
      </c>
      <c r="AX128" s="167">
        <f t="shared" ref="AX128:AX131" si="1524">IFERROR(IF(($R128-AW128)&gt;=0,0,IF(($S128-AV128)&lt;0,0,IF(AND(($S128-AW128)&gt;0,(AV128-$R128)&gt;0),$V128/365*(AW128-AV128+1),IF(AND(($S128-AW128)&lt;=0,(AV128-$R128)&gt;0),$V128/365*($S128-AV128+1),$V128/365*(AW128-$R128+1))))),0)</f>
        <v>0</v>
      </c>
      <c r="AY128" s="163">
        <f t="shared" ref="AY128:AY131" si="1525">AW128+1</f>
        <v>45931</v>
      </c>
      <c r="AZ128" s="163">
        <f t="shared" ref="AZ128:AZ131" si="1526">AY128+30</f>
        <v>45961</v>
      </c>
      <c r="BA128" s="167">
        <f t="shared" ref="BA128:BA131" si="1527">IFERROR(IF(($R128-AZ128)&gt;=0,0,IF(($S128-AY128)&lt;0,0,IF(AND(($S128-AZ128)&gt;0,(AY128-$R128)&gt;0),$V128/365*(AZ128-AY128+1),IF(AND(($S128-AZ128)&lt;=0,(AY128-$R128)&gt;0),$V128/365*($S128-AY128+1),$V128/365*(AZ128-$R128+1))))),0)</f>
        <v>0</v>
      </c>
      <c r="BB128" s="163">
        <f t="shared" ref="BB128:BB131" si="1528">AZ128+1</f>
        <v>45962</v>
      </c>
      <c r="BC128" s="163">
        <f t="shared" ref="BC128:BC131" si="1529">BB128+29</f>
        <v>45991</v>
      </c>
      <c r="BD128" s="167">
        <f t="shared" ref="BD128:BD131" si="1530">IFERROR(IF(($R128-BC128)&gt;=0,0,IF(($S128-BB128)&lt;0,0,IF(AND(($S128-BC128)&gt;0,(BB128-$R128)&gt;0),$V128/365*(BC128-BB128+1),IF(AND(($S128-BC128)&lt;=0,(BB128-$R128)&gt;0),$V128/365*($S128-BB128+1),$V128/365*(BC128-$R128+1))))),0)</f>
        <v>0</v>
      </c>
      <c r="BE128" s="163">
        <f t="shared" ref="BE128:BE131" si="1531">BC128+1</f>
        <v>45992</v>
      </c>
      <c r="BF128" s="163">
        <f t="shared" ref="BF128:BF131" si="1532">BE128+30</f>
        <v>46022</v>
      </c>
      <c r="BG128" s="167">
        <f t="shared" ref="BG128:BG131" si="1533">IFERROR(IF(($R128-BF128)&gt;=0,0,IF(($S128-BE128)&lt;0,0,IF(AND(($S128-BF128)&gt;0,(BE128-$R128)&gt;0),$V128/365*(BF128-BE128+1),IF(AND(($S128-BF128)&lt;=0,(BE128-$R128)&gt;0),$V128/365*($S128-BE128+1),$V128/365*(BF128-$R128+1))))),0)</f>
        <v>0</v>
      </c>
      <c r="BH128" s="163">
        <v>46023</v>
      </c>
      <c r="BI128" s="163">
        <f t="shared" ref="BI128:BI131" si="1534">BH128+30</f>
        <v>46053</v>
      </c>
      <c r="BJ128" s="167">
        <f t="shared" ref="BJ128:BJ131" si="1535">IFERROR(IF(($R128-BI128)&gt;=0,0,IF(($S128-BH128)&lt;0,0,IF(AND(($S128-BI128)&gt;0,(BH128-$R128)&gt;0),$V128/365*(BI128-BH128+1),IF(AND(($S128-BI128)&lt;=0,(BH128-$R128)&gt;0),$V128/365*($S128-BH128+1),$V128/365*(BI128-$R128+1))))),0)</f>
        <v>0</v>
      </c>
      <c r="BK128" s="163">
        <f t="shared" ref="BK128:BK131" si="1536">BI128+1</f>
        <v>46054</v>
      </c>
      <c r="BL128" s="163">
        <f t="shared" ref="BL128:BL131" si="1537">BK128+27</f>
        <v>46081</v>
      </c>
      <c r="BM128" s="167">
        <f t="shared" ref="BM128:BM131" si="1538">IFERROR(IF(($R128-BL128)&gt;=0,0,IF(($S128-BK128)&lt;0,0,IF(AND(($S128-BL128)&gt;0,(BK128-$R128)&gt;0),$V128/365*(BL128-BK128+1),IF(AND(($S128-BL128)&lt;=0,(BK128-$R128)&gt;0),$V128/365*($S128-BK128+1),$V128/365*(BL128-$R128+1))))),0)</f>
        <v>0</v>
      </c>
      <c r="BN128" s="163">
        <f t="shared" ref="BN128:BN131" si="1539">BL128+1</f>
        <v>46082</v>
      </c>
      <c r="BO128" s="163">
        <f t="shared" ref="BO128:BO131" si="1540">BN128+30</f>
        <v>46112</v>
      </c>
      <c r="BP128" s="167">
        <f t="shared" ref="BP128:BP131" si="1541">IFERROR(IF(($R128-BO128)&gt;=0,0,IF(($S128-BN128)&lt;0,0,IF(AND(($S128-BO128)&gt;0,(BN128-$R128)&gt;0),$V128/365*(BO128-BN128+1),IF(AND(($S128-BO128)&lt;=0,(BN128-$R128)&gt;0),$V128/365*($S128-BN128+1),$V128/365*(BO128-$R128+1))))),0)</f>
        <v>0</v>
      </c>
      <c r="BQ128" s="163">
        <f t="shared" ref="BQ128:BQ131" si="1542">BO128+1</f>
        <v>46113</v>
      </c>
      <c r="BR128" s="163">
        <f t="shared" ref="BR128:BR131" si="1543">BQ128+29</f>
        <v>46142</v>
      </c>
      <c r="BS128" s="167">
        <f t="shared" ref="BS128:BS131" si="1544">IFERROR(IF(($R128-BR128)&gt;=0,0,IF(($S128-BQ128)&lt;0,0,IF(AND(($S128-BR128)&gt;0,(BQ128-$R128)&gt;0),$V128/365*(BR128-BQ128+1),IF(AND(($S128-BR128)&lt;=0,(BQ128-$R128)&gt;0),$V128/365*($S128-BQ128+1),$V128/365*(BR128-$R128+1))))),0)</f>
        <v>0</v>
      </c>
      <c r="BT128" s="163">
        <f t="shared" ref="BT128:BT131" si="1545">BR128+1</f>
        <v>46143</v>
      </c>
      <c r="BU128" s="163">
        <f t="shared" ref="BU128:BU131" si="1546">BT128+30</f>
        <v>46173</v>
      </c>
      <c r="BV128" s="167">
        <f t="shared" ref="BV128:BV131" si="1547">IFERROR(IF(($R128-BU128)&gt;=0,0,IF(($S128-BT128)&lt;0,0,IF(AND(($S128-BU128)&gt;0,(BT128-$R128)&gt;0),$V128/365*(BU128-BT128+1),IF(AND(($S128-BU128)&lt;=0,(BT128-$R128)&gt;0),$V128/365*($S128-BT128+1),$V128/365*(BU128-$R128+1))))),0)</f>
        <v>0</v>
      </c>
      <c r="BW128" s="163">
        <f t="shared" ref="BW128:BW131" si="1548">BU128+1</f>
        <v>46174</v>
      </c>
      <c r="BX128" s="163">
        <f t="shared" ref="BX128:BX131" si="1549">BW128+29</f>
        <v>46203</v>
      </c>
      <c r="BY128" s="167">
        <f t="shared" ref="BY128:BY131" si="1550">IFERROR(IF(($R128-BX128)&gt;=0,0,IF(($S128-BW128)&lt;0,0,IF(AND(($S128-BX128)&gt;0,(BW128-$R128)&gt;0),$V128/365*(BX128-BW128+1),IF(AND(($S128-BX128)&lt;=0,(BW128-$R128)&gt;0),$V128/365*($S128-BW128+1),$V128/365*(BX128-$R128+1))))),0)</f>
        <v>0</v>
      </c>
      <c r="BZ128" s="163">
        <f t="shared" ref="BZ128:BZ131" si="1551">BX128+1</f>
        <v>46204</v>
      </c>
      <c r="CA128" s="163">
        <f t="shared" ref="CA128:CA131" si="1552">BZ128+30</f>
        <v>46234</v>
      </c>
      <c r="CB128" s="167">
        <f t="shared" ref="CB128:CB131" si="1553">IFERROR(IF(($R128-CA128)&gt;=0,0,IF(($S128-BZ128)&lt;0,0,IF(AND(($S128-CA128)&gt;0,(BZ128-$R128)&gt;0),$V128/365*(CA128-BZ128+1),IF(AND(($S128-CA128)&lt;=0,(BZ128-$R128)&gt;0),$V128/365*($S128-BZ128+1),$V128/365*(CA128-$R128+1))))),0)</f>
        <v>0</v>
      </c>
      <c r="CC128" s="163">
        <f t="shared" ref="CC128:CC131" si="1554">CA128+1</f>
        <v>46235</v>
      </c>
      <c r="CD128" s="163">
        <f t="shared" ref="CD128:CD131" si="1555">CC128+30</f>
        <v>46265</v>
      </c>
      <c r="CE128" s="167">
        <f t="shared" ref="CE128:CE131" si="1556">IFERROR(IF(($R128-CD128)&gt;=0,0,IF(($S128-CC128)&lt;0,0,IF(AND(($S128-CD128)&gt;0,(CC128-$R128)&gt;0),$V128/365*(CD128-CC128+1),IF(AND(($S128-CD128)&lt;=0,(CC128-$R128)&gt;0),$V128/365*($S128-CC128+1),$V128/365*(CD128-$R128+1))))),0)</f>
        <v>0</v>
      </c>
      <c r="CF128" s="163">
        <f t="shared" ref="CF128:CF131" si="1557">CD128+1</f>
        <v>46266</v>
      </c>
      <c r="CG128" s="163">
        <f t="shared" ref="CG128:CG131" si="1558">CF128+29</f>
        <v>46295</v>
      </c>
      <c r="CH128" s="167">
        <f t="shared" ref="CH128:CH131" si="1559">IFERROR(IF(($R128-CG128)&gt;=0,0,IF(($S128-CF128)&lt;0,0,IF(AND(($S128-CG128)&gt;0,(CF128-$R128)&gt;0),$V128/365*(CG128-CF128+1),IF(AND(($S128-CG128)&lt;=0,(CF128-$R128)&gt;0),$V128/365*($S128-CF128+1),$V128/365*(CG128-$R128+1))))),0)</f>
        <v>0</v>
      </c>
      <c r="CI128" s="163">
        <f t="shared" ref="CI128:CI131" si="1560">CG128+1</f>
        <v>46296</v>
      </c>
      <c r="CJ128" s="163">
        <f t="shared" ref="CJ128:CJ131" si="1561">CI128+30</f>
        <v>46326</v>
      </c>
      <c r="CK128" s="167">
        <f t="shared" ref="CK128:CK131" si="1562">IFERROR(IF(($R128-CJ128)&gt;=0,0,IF(($S128-CI128)&lt;0,0,IF(AND(($S128-CJ128)&gt;0,(CI128-$R128)&gt;0),$V128/365*(CJ128-CI128+1),IF(AND(($S128-CJ128)&lt;=0,(CI128-$R128)&gt;0),$V128/365*($S128-CI128+1),$V128/365*(CJ128-$R128+1))))),0)</f>
        <v>0</v>
      </c>
      <c r="CL128" s="163">
        <f t="shared" ref="CL128:CL131" si="1563">CJ128+1</f>
        <v>46327</v>
      </c>
      <c r="CM128" s="163">
        <f t="shared" ref="CM128:CM131" si="1564">CL128+29</f>
        <v>46356</v>
      </c>
      <c r="CN128" s="167">
        <f t="shared" ref="CN128:CN131" si="1565">IFERROR(IF(($R128-CM128)&gt;=0,0,IF(($S128-CL128)&lt;0,0,IF(AND(($S128-CM128)&gt;0,(CL128-$R128)&gt;0),$V128/365*(CM128-CL128+1),IF(AND(($S128-CM128)&lt;=0,(CL128-$R128)&gt;0),$V128/365*($S128-CL128+1),$V128/365*(CM128-$R128+1))))),0)</f>
        <v>0</v>
      </c>
      <c r="CO128" s="163">
        <f t="shared" ref="CO128:CO131" si="1566">CM128+1</f>
        <v>46357</v>
      </c>
      <c r="CP128" s="163">
        <f t="shared" ref="CP128:CP131" si="1567">CO128+30</f>
        <v>46387</v>
      </c>
      <c r="CQ128" s="167">
        <f t="shared" ref="CQ128:CQ131" si="1568">IFERROR(IF(($R128-CP128)&gt;=0,0,IF(($S128-CO128)&lt;0,0,IF(AND(($S128-CP128)&gt;0,(CO128-$R128)&gt;0),$V128/365*(CP128-CO128+1),IF(AND(($S128-CP128)&lt;=0,(CO128-$R128)&gt;0),$V128/365*($S128-CO128+1),$V128/365*(CP128-$R128+1))))),0)</f>
        <v>0</v>
      </c>
    </row>
    <row r="129" s="89" customFormat="1" ht="24" hidden="1" customHeight="1" outlineLevel="4" spans="1:95">
      <c r="A129" s="128"/>
      <c r="B129" s="129"/>
      <c r="C129" s="130"/>
      <c r="D129" s="128"/>
      <c r="E129" s="129"/>
      <c r="F129" s="129"/>
      <c r="G129" s="129"/>
      <c r="H129" s="131"/>
      <c r="I129" s="131"/>
      <c r="J129" s="131">
        <f t="shared" si="814"/>
        <v>0</v>
      </c>
      <c r="K129" s="131">
        <f t="shared" ref="K129:K131" si="1569">K128+1</f>
        <v>2</v>
      </c>
      <c r="L129" s="156"/>
      <c r="M129" s="157">
        <f>IFERROR(VLOOKUP($L129,'2-2 引出数据_合同数据仓库'!$B$5:$BP$200,3,FALSE),0)</f>
        <v>0</v>
      </c>
      <c r="N129" s="131"/>
      <c r="O129" s="157">
        <f>IFERROR(VLOOKUP((LEFT(VLOOKUP($L129,'2-2 引出数据_合同数据仓库'!$B$5:$BP$200,64,FALSE),15)&amp;(RIGHT(VLOOKUP($L129,'2-2 引出数据_合同数据仓库'!$B$5:$BP$200,64,FALSE),4)+1)),'2-2 引出数据_合同数据仓库'!$B$5:$BP$200,3,FALSE),0)</f>
        <v>0</v>
      </c>
      <c r="P129" s="131"/>
      <c r="Q129" s="131">
        <f>IFERROR(VLOOKUP($L129,'2-2 引出数据_合同数据仓库'!$B$5:$BP$200,28,FALSE),0)</f>
        <v>0</v>
      </c>
      <c r="R129" s="131">
        <f>IFERROR(VLOOKUP($L129,'2-2 引出数据_合同数据仓库'!$B$5:$BP$200,29,FALSE),0)</f>
        <v>0</v>
      </c>
      <c r="S129" s="131">
        <f>IFERROR(VLOOKUP($L129,'2-2 引出数据_合同数据仓库'!$B$5:$BP$200,4,FALSE),0)</f>
        <v>0</v>
      </c>
      <c r="T129" s="131"/>
      <c r="U129" s="131">
        <f>IFERROR(VLOOKUP($L129,'2-2 引出数据_合同数据仓库'!$B$5:$BP$200,15,FALSE),0)</f>
        <v>0</v>
      </c>
      <c r="V129" s="131">
        <f t="shared" si="1498"/>
        <v>0</v>
      </c>
      <c r="W129" s="131"/>
      <c r="X129" s="163">
        <v>45658</v>
      </c>
      <c r="Y129" s="163">
        <f t="shared" si="1499"/>
        <v>45688</v>
      </c>
      <c r="Z129" s="167">
        <f t="shared" si="1500"/>
        <v>0</v>
      </c>
      <c r="AA129" s="163">
        <f t="shared" si="1501"/>
        <v>45689</v>
      </c>
      <c r="AB129" s="163">
        <f t="shared" si="1502"/>
        <v>45716</v>
      </c>
      <c r="AC129" s="167">
        <f t="shared" si="1503"/>
        <v>0</v>
      </c>
      <c r="AD129" s="163">
        <f t="shared" si="1504"/>
        <v>45717</v>
      </c>
      <c r="AE129" s="163">
        <f t="shared" si="1505"/>
        <v>45747</v>
      </c>
      <c r="AF129" s="167">
        <f t="shared" si="1506"/>
        <v>0</v>
      </c>
      <c r="AG129" s="163">
        <f t="shared" si="1507"/>
        <v>45748</v>
      </c>
      <c r="AH129" s="163">
        <f t="shared" si="1508"/>
        <v>45777</v>
      </c>
      <c r="AI129" s="167">
        <f t="shared" si="1509"/>
        <v>0</v>
      </c>
      <c r="AJ129" s="163">
        <f t="shared" si="1510"/>
        <v>45778</v>
      </c>
      <c r="AK129" s="163">
        <f t="shared" si="1511"/>
        <v>45808</v>
      </c>
      <c r="AL129" s="167">
        <f t="shared" si="1512"/>
        <v>0</v>
      </c>
      <c r="AM129" s="163">
        <f t="shared" si="1513"/>
        <v>45809</v>
      </c>
      <c r="AN129" s="163">
        <f t="shared" si="1514"/>
        <v>45838</v>
      </c>
      <c r="AO129" s="167">
        <f t="shared" si="1515"/>
        <v>0</v>
      </c>
      <c r="AP129" s="163">
        <f t="shared" si="1516"/>
        <v>45839</v>
      </c>
      <c r="AQ129" s="163">
        <f t="shared" si="1517"/>
        <v>45869</v>
      </c>
      <c r="AR129" s="167">
        <f t="shared" si="1518"/>
        <v>0</v>
      </c>
      <c r="AS129" s="163">
        <f t="shared" si="1519"/>
        <v>45870</v>
      </c>
      <c r="AT129" s="163">
        <f t="shared" si="1520"/>
        <v>45900</v>
      </c>
      <c r="AU129" s="167">
        <f t="shared" si="1521"/>
        <v>0</v>
      </c>
      <c r="AV129" s="163">
        <f t="shared" si="1522"/>
        <v>45901</v>
      </c>
      <c r="AW129" s="163">
        <f t="shared" si="1523"/>
        <v>45930</v>
      </c>
      <c r="AX129" s="167">
        <f t="shared" si="1524"/>
        <v>0</v>
      </c>
      <c r="AY129" s="163">
        <f t="shared" si="1525"/>
        <v>45931</v>
      </c>
      <c r="AZ129" s="163">
        <f t="shared" si="1526"/>
        <v>45961</v>
      </c>
      <c r="BA129" s="167">
        <f t="shared" si="1527"/>
        <v>0</v>
      </c>
      <c r="BB129" s="163">
        <f t="shared" si="1528"/>
        <v>45962</v>
      </c>
      <c r="BC129" s="163">
        <f t="shared" si="1529"/>
        <v>45991</v>
      </c>
      <c r="BD129" s="167">
        <f t="shared" si="1530"/>
        <v>0</v>
      </c>
      <c r="BE129" s="163">
        <f t="shared" si="1531"/>
        <v>45992</v>
      </c>
      <c r="BF129" s="163">
        <f t="shared" si="1532"/>
        <v>46022</v>
      </c>
      <c r="BG129" s="167">
        <f t="shared" si="1533"/>
        <v>0</v>
      </c>
      <c r="BH129" s="163">
        <v>46023</v>
      </c>
      <c r="BI129" s="163">
        <f t="shared" si="1534"/>
        <v>46053</v>
      </c>
      <c r="BJ129" s="167">
        <f t="shared" si="1535"/>
        <v>0</v>
      </c>
      <c r="BK129" s="163">
        <f t="shared" si="1536"/>
        <v>46054</v>
      </c>
      <c r="BL129" s="163">
        <f t="shared" si="1537"/>
        <v>46081</v>
      </c>
      <c r="BM129" s="167">
        <f t="shared" si="1538"/>
        <v>0</v>
      </c>
      <c r="BN129" s="163">
        <f t="shared" si="1539"/>
        <v>46082</v>
      </c>
      <c r="BO129" s="163">
        <f t="shared" si="1540"/>
        <v>46112</v>
      </c>
      <c r="BP129" s="167">
        <f t="shared" si="1541"/>
        <v>0</v>
      </c>
      <c r="BQ129" s="163">
        <f t="shared" si="1542"/>
        <v>46113</v>
      </c>
      <c r="BR129" s="163">
        <f t="shared" si="1543"/>
        <v>46142</v>
      </c>
      <c r="BS129" s="167">
        <f t="shared" si="1544"/>
        <v>0</v>
      </c>
      <c r="BT129" s="163">
        <f t="shared" si="1545"/>
        <v>46143</v>
      </c>
      <c r="BU129" s="163">
        <f t="shared" si="1546"/>
        <v>46173</v>
      </c>
      <c r="BV129" s="167">
        <f t="shared" si="1547"/>
        <v>0</v>
      </c>
      <c r="BW129" s="163">
        <f t="shared" si="1548"/>
        <v>46174</v>
      </c>
      <c r="BX129" s="163">
        <f t="shared" si="1549"/>
        <v>46203</v>
      </c>
      <c r="BY129" s="167">
        <f t="shared" si="1550"/>
        <v>0</v>
      </c>
      <c r="BZ129" s="163">
        <f t="shared" si="1551"/>
        <v>46204</v>
      </c>
      <c r="CA129" s="163">
        <f t="shared" si="1552"/>
        <v>46234</v>
      </c>
      <c r="CB129" s="167">
        <f t="shared" si="1553"/>
        <v>0</v>
      </c>
      <c r="CC129" s="163">
        <f t="shared" si="1554"/>
        <v>46235</v>
      </c>
      <c r="CD129" s="163">
        <f t="shared" si="1555"/>
        <v>46265</v>
      </c>
      <c r="CE129" s="167">
        <f t="shared" si="1556"/>
        <v>0</v>
      </c>
      <c r="CF129" s="163">
        <f t="shared" si="1557"/>
        <v>46266</v>
      </c>
      <c r="CG129" s="163">
        <f t="shared" si="1558"/>
        <v>46295</v>
      </c>
      <c r="CH129" s="167">
        <f t="shared" si="1559"/>
        <v>0</v>
      </c>
      <c r="CI129" s="163">
        <f t="shared" si="1560"/>
        <v>46296</v>
      </c>
      <c r="CJ129" s="163">
        <f t="shared" si="1561"/>
        <v>46326</v>
      </c>
      <c r="CK129" s="167">
        <f t="shared" si="1562"/>
        <v>0</v>
      </c>
      <c r="CL129" s="163">
        <f t="shared" si="1563"/>
        <v>46327</v>
      </c>
      <c r="CM129" s="163">
        <f t="shared" si="1564"/>
        <v>46356</v>
      </c>
      <c r="CN129" s="167">
        <f t="shared" si="1565"/>
        <v>0</v>
      </c>
      <c r="CO129" s="163">
        <f t="shared" si="1566"/>
        <v>46357</v>
      </c>
      <c r="CP129" s="163">
        <f t="shared" si="1567"/>
        <v>46387</v>
      </c>
      <c r="CQ129" s="167">
        <f t="shared" si="1568"/>
        <v>0</v>
      </c>
    </row>
    <row r="130" s="89" customFormat="1" ht="24" hidden="1" customHeight="1" outlineLevel="4" spans="1:95">
      <c r="A130" s="128"/>
      <c r="B130" s="129"/>
      <c r="C130" s="130"/>
      <c r="D130" s="128"/>
      <c r="E130" s="129"/>
      <c r="F130" s="129"/>
      <c r="G130" s="129"/>
      <c r="H130" s="131"/>
      <c r="I130" s="131"/>
      <c r="J130" s="131">
        <f t="shared" si="814"/>
        <v>0</v>
      </c>
      <c r="K130" s="131">
        <f t="shared" si="1569"/>
        <v>3</v>
      </c>
      <c r="L130" s="156"/>
      <c r="M130" s="157">
        <f>IFERROR(VLOOKUP($L130,'2-2 引出数据_合同数据仓库'!$B$5:$BP$200,3,FALSE),0)</f>
        <v>0</v>
      </c>
      <c r="N130" s="131"/>
      <c r="O130" s="157">
        <f>IFERROR(VLOOKUP((LEFT(VLOOKUP($L130,'2-2 引出数据_合同数据仓库'!$B$5:$BP$200,64,FALSE),15)&amp;(RIGHT(VLOOKUP($L130,'2-2 引出数据_合同数据仓库'!$B$5:$BP$200,64,FALSE),4)+1)),'2-2 引出数据_合同数据仓库'!$B$5:$BP$200,3,FALSE),0)</f>
        <v>0</v>
      </c>
      <c r="P130" s="131"/>
      <c r="Q130" s="131">
        <f>IFERROR(VLOOKUP($L130,'2-2 引出数据_合同数据仓库'!$B$5:$BP$200,28,FALSE),0)</f>
        <v>0</v>
      </c>
      <c r="R130" s="131">
        <f>IFERROR(VLOOKUP($L130,'2-2 引出数据_合同数据仓库'!$B$5:$BP$200,29,FALSE),0)</f>
        <v>0</v>
      </c>
      <c r="S130" s="131">
        <f>IFERROR(VLOOKUP($L130,'2-2 引出数据_合同数据仓库'!$B$5:$BP$200,4,FALSE),0)</f>
        <v>0</v>
      </c>
      <c r="T130" s="131"/>
      <c r="U130" s="131">
        <f>IFERROR(VLOOKUP($L130,'2-2 引出数据_合同数据仓库'!$B$5:$BP$200,15,FALSE),0)</f>
        <v>0</v>
      </c>
      <c r="V130" s="131">
        <f t="shared" si="1498"/>
        <v>0</v>
      </c>
      <c r="W130" s="131"/>
      <c r="X130" s="163">
        <v>45658</v>
      </c>
      <c r="Y130" s="163">
        <f t="shared" si="1499"/>
        <v>45688</v>
      </c>
      <c r="Z130" s="167">
        <f t="shared" si="1500"/>
        <v>0</v>
      </c>
      <c r="AA130" s="163">
        <f t="shared" si="1501"/>
        <v>45689</v>
      </c>
      <c r="AB130" s="163">
        <f t="shared" si="1502"/>
        <v>45716</v>
      </c>
      <c r="AC130" s="167">
        <f t="shared" si="1503"/>
        <v>0</v>
      </c>
      <c r="AD130" s="163">
        <f t="shared" si="1504"/>
        <v>45717</v>
      </c>
      <c r="AE130" s="163">
        <f t="shared" si="1505"/>
        <v>45747</v>
      </c>
      <c r="AF130" s="167">
        <f t="shared" si="1506"/>
        <v>0</v>
      </c>
      <c r="AG130" s="163">
        <f t="shared" si="1507"/>
        <v>45748</v>
      </c>
      <c r="AH130" s="163">
        <f t="shared" si="1508"/>
        <v>45777</v>
      </c>
      <c r="AI130" s="167">
        <f t="shared" si="1509"/>
        <v>0</v>
      </c>
      <c r="AJ130" s="163">
        <f t="shared" si="1510"/>
        <v>45778</v>
      </c>
      <c r="AK130" s="163">
        <f t="shared" si="1511"/>
        <v>45808</v>
      </c>
      <c r="AL130" s="167">
        <f t="shared" si="1512"/>
        <v>0</v>
      </c>
      <c r="AM130" s="163">
        <f t="shared" si="1513"/>
        <v>45809</v>
      </c>
      <c r="AN130" s="163">
        <f t="shared" si="1514"/>
        <v>45838</v>
      </c>
      <c r="AO130" s="167">
        <f t="shared" si="1515"/>
        <v>0</v>
      </c>
      <c r="AP130" s="163">
        <f t="shared" si="1516"/>
        <v>45839</v>
      </c>
      <c r="AQ130" s="163">
        <f t="shared" si="1517"/>
        <v>45869</v>
      </c>
      <c r="AR130" s="167">
        <f t="shared" si="1518"/>
        <v>0</v>
      </c>
      <c r="AS130" s="163">
        <f t="shared" si="1519"/>
        <v>45870</v>
      </c>
      <c r="AT130" s="163">
        <f t="shared" si="1520"/>
        <v>45900</v>
      </c>
      <c r="AU130" s="167">
        <f t="shared" si="1521"/>
        <v>0</v>
      </c>
      <c r="AV130" s="163">
        <f t="shared" si="1522"/>
        <v>45901</v>
      </c>
      <c r="AW130" s="163">
        <f t="shared" si="1523"/>
        <v>45930</v>
      </c>
      <c r="AX130" s="167">
        <f t="shared" si="1524"/>
        <v>0</v>
      </c>
      <c r="AY130" s="163">
        <f t="shared" si="1525"/>
        <v>45931</v>
      </c>
      <c r="AZ130" s="163">
        <f t="shared" si="1526"/>
        <v>45961</v>
      </c>
      <c r="BA130" s="167">
        <f t="shared" si="1527"/>
        <v>0</v>
      </c>
      <c r="BB130" s="163">
        <f t="shared" si="1528"/>
        <v>45962</v>
      </c>
      <c r="BC130" s="163">
        <f t="shared" si="1529"/>
        <v>45991</v>
      </c>
      <c r="BD130" s="167">
        <f t="shared" si="1530"/>
        <v>0</v>
      </c>
      <c r="BE130" s="163">
        <f t="shared" si="1531"/>
        <v>45992</v>
      </c>
      <c r="BF130" s="163">
        <f t="shared" si="1532"/>
        <v>46022</v>
      </c>
      <c r="BG130" s="167">
        <f t="shared" si="1533"/>
        <v>0</v>
      </c>
      <c r="BH130" s="163">
        <v>46023</v>
      </c>
      <c r="BI130" s="163">
        <f t="shared" si="1534"/>
        <v>46053</v>
      </c>
      <c r="BJ130" s="167">
        <f t="shared" si="1535"/>
        <v>0</v>
      </c>
      <c r="BK130" s="163">
        <f t="shared" si="1536"/>
        <v>46054</v>
      </c>
      <c r="BL130" s="163">
        <f t="shared" si="1537"/>
        <v>46081</v>
      </c>
      <c r="BM130" s="167">
        <f t="shared" si="1538"/>
        <v>0</v>
      </c>
      <c r="BN130" s="163">
        <f t="shared" si="1539"/>
        <v>46082</v>
      </c>
      <c r="BO130" s="163">
        <f t="shared" si="1540"/>
        <v>46112</v>
      </c>
      <c r="BP130" s="167">
        <f t="shared" si="1541"/>
        <v>0</v>
      </c>
      <c r="BQ130" s="163">
        <f t="shared" si="1542"/>
        <v>46113</v>
      </c>
      <c r="BR130" s="163">
        <f t="shared" si="1543"/>
        <v>46142</v>
      </c>
      <c r="BS130" s="167">
        <f t="shared" si="1544"/>
        <v>0</v>
      </c>
      <c r="BT130" s="163">
        <f t="shared" si="1545"/>
        <v>46143</v>
      </c>
      <c r="BU130" s="163">
        <f t="shared" si="1546"/>
        <v>46173</v>
      </c>
      <c r="BV130" s="167">
        <f t="shared" si="1547"/>
        <v>0</v>
      </c>
      <c r="BW130" s="163">
        <f t="shared" si="1548"/>
        <v>46174</v>
      </c>
      <c r="BX130" s="163">
        <f t="shared" si="1549"/>
        <v>46203</v>
      </c>
      <c r="BY130" s="167">
        <f t="shared" si="1550"/>
        <v>0</v>
      </c>
      <c r="BZ130" s="163">
        <f t="shared" si="1551"/>
        <v>46204</v>
      </c>
      <c r="CA130" s="163">
        <f t="shared" si="1552"/>
        <v>46234</v>
      </c>
      <c r="CB130" s="167">
        <f t="shared" si="1553"/>
        <v>0</v>
      </c>
      <c r="CC130" s="163">
        <f t="shared" si="1554"/>
        <v>46235</v>
      </c>
      <c r="CD130" s="163">
        <f t="shared" si="1555"/>
        <v>46265</v>
      </c>
      <c r="CE130" s="167">
        <f t="shared" si="1556"/>
        <v>0</v>
      </c>
      <c r="CF130" s="163">
        <f t="shared" si="1557"/>
        <v>46266</v>
      </c>
      <c r="CG130" s="163">
        <f t="shared" si="1558"/>
        <v>46295</v>
      </c>
      <c r="CH130" s="167">
        <f t="shared" si="1559"/>
        <v>0</v>
      </c>
      <c r="CI130" s="163">
        <f t="shared" si="1560"/>
        <v>46296</v>
      </c>
      <c r="CJ130" s="163">
        <f t="shared" si="1561"/>
        <v>46326</v>
      </c>
      <c r="CK130" s="167">
        <f t="shared" si="1562"/>
        <v>0</v>
      </c>
      <c r="CL130" s="163">
        <f t="shared" si="1563"/>
        <v>46327</v>
      </c>
      <c r="CM130" s="163">
        <f t="shared" si="1564"/>
        <v>46356</v>
      </c>
      <c r="CN130" s="167">
        <f t="shared" si="1565"/>
        <v>0</v>
      </c>
      <c r="CO130" s="163">
        <f t="shared" si="1566"/>
        <v>46357</v>
      </c>
      <c r="CP130" s="163">
        <f t="shared" si="1567"/>
        <v>46387</v>
      </c>
      <c r="CQ130" s="167">
        <f t="shared" si="1568"/>
        <v>0</v>
      </c>
    </row>
    <row r="131" s="89" customFormat="1" ht="24" hidden="1" customHeight="1" outlineLevel="4" spans="1:95">
      <c r="A131" s="128"/>
      <c r="B131" s="129"/>
      <c r="C131" s="130"/>
      <c r="D131" s="128"/>
      <c r="E131" s="129"/>
      <c r="F131" s="129"/>
      <c r="G131" s="129"/>
      <c r="H131" s="131"/>
      <c r="I131" s="131"/>
      <c r="J131" s="131">
        <f t="shared" si="814"/>
        <v>0</v>
      </c>
      <c r="K131" s="131">
        <f t="shared" si="1569"/>
        <v>4</v>
      </c>
      <c r="L131" s="156"/>
      <c r="M131" s="157">
        <f>IFERROR(VLOOKUP($L131,'2-2 引出数据_合同数据仓库'!$B$5:$BP$200,3,FALSE),0)</f>
        <v>0</v>
      </c>
      <c r="N131" s="131"/>
      <c r="O131" s="157">
        <f>IFERROR(VLOOKUP((LEFT(VLOOKUP($L131,'2-2 引出数据_合同数据仓库'!$B$5:$BP$200,64,FALSE),15)&amp;(RIGHT(VLOOKUP($L131,'2-2 引出数据_合同数据仓库'!$B$5:$BP$200,64,FALSE),4)+1)),'2-2 引出数据_合同数据仓库'!$B$5:$BP$200,3,FALSE),0)</f>
        <v>0</v>
      </c>
      <c r="P131" s="131"/>
      <c r="Q131" s="131">
        <f>IFERROR(VLOOKUP($L131,'2-2 引出数据_合同数据仓库'!$B$5:$BP$200,28,FALSE),0)</f>
        <v>0</v>
      </c>
      <c r="R131" s="131">
        <f>IFERROR(VLOOKUP($L131,'2-2 引出数据_合同数据仓库'!$B$5:$BP$200,29,FALSE),0)</f>
        <v>0</v>
      </c>
      <c r="S131" s="131">
        <f>IFERROR(VLOOKUP($L131,'2-2 引出数据_合同数据仓库'!$B$5:$BP$200,4,FALSE),0)</f>
        <v>0</v>
      </c>
      <c r="T131" s="131"/>
      <c r="U131" s="131">
        <f>IFERROR(VLOOKUP($L131,'2-2 引出数据_合同数据仓库'!$B$5:$BP$200,15,FALSE),0)</f>
        <v>0</v>
      </c>
      <c r="V131" s="131">
        <f t="shared" si="1498"/>
        <v>0</v>
      </c>
      <c r="W131" s="131"/>
      <c r="X131" s="163">
        <v>45658</v>
      </c>
      <c r="Y131" s="163">
        <f t="shared" si="1499"/>
        <v>45688</v>
      </c>
      <c r="Z131" s="167">
        <f t="shared" si="1500"/>
        <v>0</v>
      </c>
      <c r="AA131" s="163">
        <f t="shared" si="1501"/>
        <v>45689</v>
      </c>
      <c r="AB131" s="163">
        <f t="shared" si="1502"/>
        <v>45716</v>
      </c>
      <c r="AC131" s="167">
        <f t="shared" si="1503"/>
        <v>0</v>
      </c>
      <c r="AD131" s="163">
        <f t="shared" si="1504"/>
        <v>45717</v>
      </c>
      <c r="AE131" s="163">
        <f t="shared" si="1505"/>
        <v>45747</v>
      </c>
      <c r="AF131" s="167">
        <f t="shared" si="1506"/>
        <v>0</v>
      </c>
      <c r="AG131" s="163">
        <f t="shared" si="1507"/>
        <v>45748</v>
      </c>
      <c r="AH131" s="163">
        <f t="shared" si="1508"/>
        <v>45777</v>
      </c>
      <c r="AI131" s="167">
        <f t="shared" si="1509"/>
        <v>0</v>
      </c>
      <c r="AJ131" s="163">
        <f t="shared" si="1510"/>
        <v>45778</v>
      </c>
      <c r="AK131" s="163">
        <f t="shared" si="1511"/>
        <v>45808</v>
      </c>
      <c r="AL131" s="167">
        <f t="shared" si="1512"/>
        <v>0</v>
      </c>
      <c r="AM131" s="163">
        <f t="shared" si="1513"/>
        <v>45809</v>
      </c>
      <c r="AN131" s="163">
        <f t="shared" si="1514"/>
        <v>45838</v>
      </c>
      <c r="AO131" s="167">
        <f t="shared" si="1515"/>
        <v>0</v>
      </c>
      <c r="AP131" s="163">
        <f t="shared" si="1516"/>
        <v>45839</v>
      </c>
      <c r="AQ131" s="163">
        <f t="shared" si="1517"/>
        <v>45869</v>
      </c>
      <c r="AR131" s="167">
        <f t="shared" si="1518"/>
        <v>0</v>
      </c>
      <c r="AS131" s="163">
        <f t="shared" si="1519"/>
        <v>45870</v>
      </c>
      <c r="AT131" s="163">
        <f t="shared" si="1520"/>
        <v>45900</v>
      </c>
      <c r="AU131" s="167">
        <f t="shared" si="1521"/>
        <v>0</v>
      </c>
      <c r="AV131" s="163">
        <f t="shared" si="1522"/>
        <v>45901</v>
      </c>
      <c r="AW131" s="163">
        <f t="shared" si="1523"/>
        <v>45930</v>
      </c>
      <c r="AX131" s="167">
        <f t="shared" si="1524"/>
        <v>0</v>
      </c>
      <c r="AY131" s="163">
        <f t="shared" si="1525"/>
        <v>45931</v>
      </c>
      <c r="AZ131" s="163">
        <f t="shared" si="1526"/>
        <v>45961</v>
      </c>
      <c r="BA131" s="167">
        <f t="shared" si="1527"/>
        <v>0</v>
      </c>
      <c r="BB131" s="163">
        <f t="shared" si="1528"/>
        <v>45962</v>
      </c>
      <c r="BC131" s="163">
        <f t="shared" si="1529"/>
        <v>45991</v>
      </c>
      <c r="BD131" s="167">
        <f t="shared" si="1530"/>
        <v>0</v>
      </c>
      <c r="BE131" s="163">
        <f t="shared" si="1531"/>
        <v>45992</v>
      </c>
      <c r="BF131" s="163">
        <f t="shared" si="1532"/>
        <v>46022</v>
      </c>
      <c r="BG131" s="167">
        <f t="shared" si="1533"/>
        <v>0</v>
      </c>
      <c r="BH131" s="163">
        <v>46023</v>
      </c>
      <c r="BI131" s="163">
        <f t="shared" si="1534"/>
        <v>46053</v>
      </c>
      <c r="BJ131" s="167">
        <f t="shared" si="1535"/>
        <v>0</v>
      </c>
      <c r="BK131" s="163">
        <f t="shared" si="1536"/>
        <v>46054</v>
      </c>
      <c r="BL131" s="163">
        <f t="shared" si="1537"/>
        <v>46081</v>
      </c>
      <c r="BM131" s="167">
        <f t="shared" si="1538"/>
        <v>0</v>
      </c>
      <c r="BN131" s="163">
        <f t="shared" si="1539"/>
        <v>46082</v>
      </c>
      <c r="BO131" s="163">
        <f t="shared" si="1540"/>
        <v>46112</v>
      </c>
      <c r="BP131" s="167">
        <f t="shared" si="1541"/>
        <v>0</v>
      </c>
      <c r="BQ131" s="163">
        <f t="shared" si="1542"/>
        <v>46113</v>
      </c>
      <c r="BR131" s="163">
        <f t="shared" si="1543"/>
        <v>46142</v>
      </c>
      <c r="BS131" s="167">
        <f t="shared" si="1544"/>
        <v>0</v>
      </c>
      <c r="BT131" s="163">
        <f t="shared" si="1545"/>
        <v>46143</v>
      </c>
      <c r="BU131" s="163">
        <f t="shared" si="1546"/>
        <v>46173</v>
      </c>
      <c r="BV131" s="167">
        <f t="shared" si="1547"/>
        <v>0</v>
      </c>
      <c r="BW131" s="163">
        <f t="shared" si="1548"/>
        <v>46174</v>
      </c>
      <c r="BX131" s="163">
        <f t="shared" si="1549"/>
        <v>46203</v>
      </c>
      <c r="BY131" s="167">
        <f t="shared" si="1550"/>
        <v>0</v>
      </c>
      <c r="BZ131" s="163">
        <f t="shared" si="1551"/>
        <v>46204</v>
      </c>
      <c r="CA131" s="163">
        <f t="shared" si="1552"/>
        <v>46234</v>
      </c>
      <c r="CB131" s="167">
        <f t="shared" si="1553"/>
        <v>0</v>
      </c>
      <c r="CC131" s="163">
        <f t="shared" si="1554"/>
        <v>46235</v>
      </c>
      <c r="CD131" s="163">
        <f t="shared" si="1555"/>
        <v>46265</v>
      </c>
      <c r="CE131" s="167">
        <f t="shared" si="1556"/>
        <v>0</v>
      </c>
      <c r="CF131" s="163">
        <f t="shared" si="1557"/>
        <v>46266</v>
      </c>
      <c r="CG131" s="163">
        <f t="shared" si="1558"/>
        <v>46295</v>
      </c>
      <c r="CH131" s="167">
        <f t="shared" si="1559"/>
        <v>0</v>
      </c>
      <c r="CI131" s="163">
        <f t="shared" si="1560"/>
        <v>46296</v>
      </c>
      <c r="CJ131" s="163">
        <f t="shared" si="1561"/>
        <v>46326</v>
      </c>
      <c r="CK131" s="167">
        <f t="shared" si="1562"/>
        <v>0</v>
      </c>
      <c r="CL131" s="163">
        <f t="shared" si="1563"/>
        <v>46327</v>
      </c>
      <c r="CM131" s="163">
        <f t="shared" si="1564"/>
        <v>46356</v>
      </c>
      <c r="CN131" s="167">
        <f t="shared" si="1565"/>
        <v>0</v>
      </c>
      <c r="CO131" s="163">
        <f t="shared" si="1566"/>
        <v>46357</v>
      </c>
      <c r="CP131" s="163">
        <f t="shared" si="1567"/>
        <v>46387</v>
      </c>
      <c r="CQ131" s="167">
        <f t="shared" si="1568"/>
        <v>0</v>
      </c>
    </row>
    <row r="132" s="89" customFormat="1" ht="24" hidden="1" customHeight="1" outlineLevel="4" spans="1:95">
      <c r="A132" s="132" t="s">
        <v>2813</v>
      </c>
      <c r="B132" s="133"/>
      <c r="C132" s="133"/>
      <c r="D132" s="133"/>
      <c r="E132" s="133"/>
      <c r="F132" s="133"/>
      <c r="G132" s="134"/>
      <c r="H132" s="135"/>
      <c r="I132" s="135"/>
      <c r="J132" s="135"/>
      <c r="K132" s="135"/>
      <c r="L132" s="158"/>
      <c r="M132" s="158"/>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row>
    <row r="133" ht="24" hidden="1" customHeight="1" outlineLevel="3" collapsed="1" spans="1:95">
      <c r="A133" s="124"/>
      <c r="B133" s="125" t="s">
        <v>792</v>
      </c>
      <c r="C133" s="126" t="s">
        <v>24</v>
      </c>
      <c r="D133" s="124" t="s">
        <v>25</v>
      </c>
      <c r="E133" s="125"/>
      <c r="F133" s="125"/>
      <c r="G133" s="125"/>
      <c r="H133" s="127">
        <f>X133+AA133+AD133+AG133+AJ133+AM133+AP133+AS133+AV133+AY133+BB133+BE133</f>
        <v>0</v>
      </c>
      <c r="I133" s="127">
        <f>Y133+AB133+AE133+AH133+AK133+AN133+AQ133+AT133+AW133+AZ133+BC133+BF133</f>
        <v>0</v>
      </c>
      <c r="J133" s="127">
        <f t="shared" ref="J133:J195" si="1570">Z133+AC133+AF133+AI133+AL133+AO133+AR133+AU133+AX133+BA133+BD133+BG133</f>
        <v>0</v>
      </c>
      <c r="K133" s="127"/>
      <c r="L133" s="155"/>
      <c r="M133" s="155"/>
      <c r="N133" s="127"/>
      <c r="O133" s="127"/>
      <c r="P133" s="127"/>
      <c r="Q133" s="127"/>
      <c r="R133" s="127"/>
      <c r="S133" s="127"/>
      <c r="T133" s="127"/>
      <c r="U133" s="127"/>
      <c r="V133" s="127"/>
      <c r="W133" s="127"/>
      <c r="X133" s="127">
        <f>VLOOKUP($C133,'1 预算编制表单'!$C:$BJ,27,FALSE)</f>
        <v>0</v>
      </c>
      <c r="Y133" s="127">
        <f>X133-Z133</f>
        <v>0</v>
      </c>
      <c r="Z133" s="127">
        <f>SUM(Z134:Z138)</f>
        <v>0</v>
      </c>
      <c r="AA133" s="127">
        <f>VLOOKUP($C133,'1 预算编制表单'!$C:$BJ,30,FALSE)</f>
        <v>0</v>
      </c>
      <c r="AB133" s="127">
        <f>AA133-AC133</f>
        <v>0</v>
      </c>
      <c r="AC133" s="127">
        <f>SUM(AC134:AC138)</f>
        <v>0</v>
      </c>
      <c r="AD133" s="127">
        <f>VLOOKUP($C133,'1 预算编制表单'!$C:$BJ,33,FALSE)</f>
        <v>0</v>
      </c>
      <c r="AE133" s="127">
        <f>AD133-AF133</f>
        <v>0</v>
      </c>
      <c r="AF133" s="127">
        <f>SUM(AF134:AF138)</f>
        <v>0</v>
      </c>
      <c r="AG133" s="127">
        <f>VLOOKUP($C133,'1 预算编制表单'!$C:$BJ,36,FALSE)</f>
        <v>0</v>
      </c>
      <c r="AH133" s="127">
        <f>AG133-AI133</f>
        <v>0</v>
      </c>
      <c r="AI133" s="127">
        <f>SUM(AI134:AI138)</f>
        <v>0</v>
      </c>
      <c r="AJ133" s="127">
        <f>VLOOKUP($C133,'1 预算编制表单'!$C:$BJ,39,FALSE)</f>
        <v>0</v>
      </c>
      <c r="AK133" s="127">
        <f>AJ133-AL133</f>
        <v>0</v>
      </c>
      <c r="AL133" s="127">
        <f>SUM(AL134:AL138)</f>
        <v>0</v>
      </c>
      <c r="AM133" s="127">
        <f>VLOOKUP($C133,'1 预算编制表单'!$C:$BJ,42,FALSE)</f>
        <v>0</v>
      </c>
      <c r="AN133" s="127">
        <f>AM133-AO133</f>
        <v>0</v>
      </c>
      <c r="AO133" s="127">
        <f>SUM(AO134:AO138)</f>
        <v>0</v>
      </c>
      <c r="AP133" s="127">
        <f>VLOOKUP($C133,'1 预算编制表单'!$C:$BJ,45,FALSE)</f>
        <v>0</v>
      </c>
      <c r="AQ133" s="127">
        <f>AP133-AR133</f>
        <v>0</v>
      </c>
      <c r="AR133" s="127">
        <f>SUM(AR134:AR138)</f>
        <v>0</v>
      </c>
      <c r="AS133" s="127">
        <f>VLOOKUP($C133,'1 预算编制表单'!$C:$BJ,48,FALSE)</f>
        <v>0</v>
      </c>
      <c r="AT133" s="127">
        <f>AS133-AU133</f>
        <v>0</v>
      </c>
      <c r="AU133" s="127">
        <f>SUM(AU134:AU138)</f>
        <v>0</v>
      </c>
      <c r="AV133" s="127">
        <f>VLOOKUP($C133,'1 预算编制表单'!$C:$BJ,51,FALSE)</f>
        <v>0</v>
      </c>
      <c r="AW133" s="127">
        <f>AV133-AX133</f>
        <v>0</v>
      </c>
      <c r="AX133" s="127">
        <f>SUM(AX134:AX138)</f>
        <v>0</v>
      </c>
      <c r="AY133" s="127">
        <f>VLOOKUP($C133,'1 预算编制表单'!$C:$BJ,54,FALSE)</f>
        <v>0</v>
      </c>
      <c r="AZ133" s="127">
        <f>AY133-BA133</f>
        <v>0</v>
      </c>
      <c r="BA133" s="127">
        <f>SUM(BA134:BA138)</f>
        <v>0</v>
      </c>
      <c r="BB133" s="127">
        <f>VLOOKUP($C133,'1 预算编制表单'!$C:$BJ,57,FALSE)</f>
        <v>0</v>
      </c>
      <c r="BC133" s="127">
        <f>BB133-BD133</f>
        <v>0</v>
      </c>
      <c r="BD133" s="127">
        <f>SUM(BD134:BD138)</f>
        <v>0</v>
      </c>
      <c r="BE133" s="127">
        <f>VLOOKUP($C133,'1 预算编制表单'!$C:$BJ,60,FALSE)</f>
        <v>0</v>
      </c>
      <c r="BF133" s="127">
        <f>BE133-BG133</f>
        <v>0</v>
      </c>
      <c r="BG133" s="127">
        <f>SUM(BG134:BG138)</f>
        <v>0</v>
      </c>
      <c r="BH133" s="127">
        <f>VLOOKUP($C133,'1 预算编制表单'!$C:$BJ,27,FALSE)</f>
        <v>0</v>
      </c>
      <c r="BI133" s="127">
        <f>BH133-BJ133</f>
        <v>0</v>
      </c>
      <c r="BJ133" s="127">
        <f>SUM(BJ134:BJ138)</f>
        <v>0</v>
      </c>
      <c r="BK133" s="127">
        <f>VLOOKUP($C133,'1 预算编制表单'!$C:$BJ,30,FALSE)</f>
        <v>0</v>
      </c>
      <c r="BL133" s="127">
        <f>BK133-BM133</f>
        <v>0</v>
      </c>
      <c r="BM133" s="127">
        <f>SUM(BM134:BM138)</f>
        <v>0</v>
      </c>
      <c r="BN133" s="127">
        <f>VLOOKUP($C133,'1 预算编制表单'!$C:$BJ,33,FALSE)</f>
        <v>0</v>
      </c>
      <c r="BO133" s="127">
        <f>BN133-BP133</f>
        <v>0</v>
      </c>
      <c r="BP133" s="127">
        <f>SUM(BP134:BP138)</f>
        <v>0</v>
      </c>
      <c r="BQ133" s="127">
        <f>VLOOKUP($C133,'1 预算编制表单'!$C:$BJ,36,FALSE)</f>
        <v>0</v>
      </c>
      <c r="BR133" s="127">
        <f>BQ133-BS133</f>
        <v>0</v>
      </c>
      <c r="BS133" s="127">
        <f>SUM(BS134:BS138)</f>
        <v>0</v>
      </c>
      <c r="BT133" s="127">
        <f>VLOOKUP($C133,'1 预算编制表单'!$C:$BJ,39,FALSE)</f>
        <v>0</v>
      </c>
      <c r="BU133" s="127">
        <f>BT133-BV133</f>
        <v>0</v>
      </c>
      <c r="BV133" s="127">
        <f>SUM(BV134:BV138)</f>
        <v>0</v>
      </c>
      <c r="BW133" s="127">
        <f>VLOOKUP($C133,'1 预算编制表单'!$C:$BJ,42,FALSE)</f>
        <v>0</v>
      </c>
      <c r="BX133" s="127">
        <f>BW133-BY133</f>
        <v>0</v>
      </c>
      <c r="BY133" s="127">
        <f>SUM(BY134:BY138)</f>
        <v>0</v>
      </c>
      <c r="BZ133" s="127">
        <f>VLOOKUP($C133,'1 预算编制表单'!$C:$BJ,45,FALSE)</f>
        <v>0</v>
      </c>
      <c r="CA133" s="127">
        <f>BZ133-CB133</f>
        <v>0</v>
      </c>
      <c r="CB133" s="127">
        <f>SUM(CB134:CB138)</f>
        <v>0</v>
      </c>
      <c r="CC133" s="127">
        <f>VLOOKUP($C133,'1 预算编制表单'!$C:$BJ,48,FALSE)</f>
        <v>0</v>
      </c>
      <c r="CD133" s="127">
        <f>CC133-CE133</f>
        <v>0</v>
      </c>
      <c r="CE133" s="127">
        <f>SUM(CE134:CE138)</f>
        <v>0</v>
      </c>
      <c r="CF133" s="127">
        <f>VLOOKUP($C133,'1 预算编制表单'!$C:$BJ,51,FALSE)</f>
        <v>0</v>
      </c>
      <c r="CG133" s="127">
        <f>CF133-CH133</f>
        <v>0</v>
      </c>
      <c r="CH133" s="127">
        <f>SUM(CH134:CH138)</f>
        <v>0</v>
      </c>
      <c r="CI133" s="127">
        <f>VLOOKUP($C133,'1 预算编制表单'!$C:$BJ,54,FALSE)</f>
        <v>0</v>
      </c>
      <c r="CJ133" s="127">
        <f>CI133-CK133</f>
        <v>0</v>
      </c>
      <c r="CK133" s="127">
        <f>SUM(CK134:CK138)</f>
        <v>0</v>
      </c>
      <c r="CL133" s="127">
        <f>VLOOKUP($C133,'1 预算编制表单'!$C:$BJ,57,FALSE)</f>
        <v>0</v>
      </c>
      <c r="CM133" s="127">
        <f>CL133-CN133</f>
        <v>0</v>
      </c>
      <c r="CN133" s="127">
        <f>SUM(CN134:CN138)</f>
        <v>0</v>
      </c>
      <c r="CO133" s="127">
        <f>VLOOKUP($C133,'1 预算编制表单'!$C:$BJ,60,FALSE)</f>
        <v>0</v>
      </c>
      <c r="CP133" s="127">
        <f>CO133-CQ133</f>
        <v>0</v>
      </c>
      <c r="CQ133" s="127">
        <f>SUM(CQ134:CQ138)</f>
        <v>0</v>
      </c>
    </row>
    <row r="134" s="89" customFormat="1" ht="24" hidden="1" customHeight="1" outlineLevel="4" spans="1:95">
      <c r="A134" s="128"/>
      <c r="B134" s="129"/>
      <c r="C134" s="130"/>
      <c r="D134" s="128"/>
      <c r="E134" s="129"/>
      <c r="F134" s="129"/>
      <c r="G134" s="129"/>
      <c r="H134" s="131"/>
      <c r="I134" s="131"/>
      <c r="J134" s="131">
        <f t="shared" si="1570"/>
        <v>0</v>
      </c>
      <c r="K134" s="131">
        <v>1</v>
      </c>
      <c r="L134" s="156"/>
      <c r="M134" s="157">
        <f>IFERROR(VLOOKUP($L134,'2-2 引出数据_合同数据仓库'!$B$5:$BP$200,3,FALSE),0)</f>
        <v>0</v>
      </c>
      <c r="N134" s="131"/>
      <c r="O134" s="157">
        <f>IFERROR(VLOOKUP((LEFT(VLOOKUP($L134,'2-2 引出数据_合同数据仓库'!$B$5:$BP$200,64,FALSE),15)&amp;(RIGHT(VLOOKUP($L134,'2-2 引出数据_合同数据仓库'!$B$5:$BP$200,64,FALSE),4)+1)),'2-2 引出数据_合同数据仓库'!$B$5:$BP$200,3,FALSE),0)</f>
        <v>0</v>
      </c>
      <c r="P134" s="131"/>
      <c r="Q134" s="131">
        <f>IFERROR(VLOOKUP($L134,'2-2 引出数据_合同数据仓库'!$B$5:$BP$200,28,FALSE),0)</f>
        <v>0</v>
      </c>
      <c r="R134" s="131">
        <f>IFERROR(VLOOKUP($L134,'2-2 引出数据_合同数据仓库'!$B$5:$BP$200,29,FALSE),0)</f>
        <v>0</v>
      </c>
      <c r="S134" s="131">
        <f>IFERROR(VLOOKUP($L134,'2-2 引出数据_合同数据仓库'!$B$5:$BP$200,4,FALSE),0)</f>
        <v>0</v>
      </c>
      <c r="T134" s="131"/>
      <c r="U134" s="131">
        <f>IFERROR(VLOOKUP($L134,'2-2 引出数据_合同数据仓库'!$B$5:$BP$200,15,FALSE),0)</f>
        <v>0</v>
      </c>
      <c r="V134" s="131">
        <f t="shared" ref="V134:V137" si="1571">U134/(S134-R134+1)*365</f>
        <v>0</v>
      </c>
      <c r="W134" s="131"/>
      <c r="X134" s="163">
        <v>45658</v>
      </c>
      <c r="Y134" s="163">
        <f t="shared" ref="Y134:Y137" si="1572">X134+30</f>
        <v>45688</v>
      </c>
      <c r="Z134" s="167">
        <f t="shared" ref="Z134:Z137" si="1573">IFERROR(IF(($R134-Y134)&gt;=0,0,IF(($S134-X134)&lt;0,0,IF(AND(($S134-Y134)&gt;0,(X134-$R134)&gt;0),$V134/365*(Y134-X134+1),IF(AND(($S134-Y134)&lt;=0,(X134-$R134)&gt;0),$V134/365*($S134-X134+1),$V134/365*(Y134-$R134+1))))),0)</f>
        <v>0</v>
      </c>
      <c r="AA134" s="163">
        <f t="shared" ref="AA134:AA137" si="1574">Y134+1</f>
        <v>45689</v>
      </c>
      <c r="AB134" s="163">
        <f t="shared" ref="AB134:AB137" si="1575">AA134+27</f>
        <v>45716</v>
      </c>
      <c r="AC134" s="167">
        <f t="shared" ref="AC134:AC137" si="1576">IFERROR(IF(($R134-AB134)&gt;=0,0,IF(($S134-AA134)&lt;0,0,IF(AND(($S134-AB134)&gt;0,(AA134-$R134)&gt;0),$V134/365*(AB134-AA134+1),IF(AND(($S134-AB134)&lt;=0,(AA134-$R134)&gt;0),$V134/365*($S134-AA134+1),$V134/365*(AB134-$R134+1))))),0)</f>
        <v>0</v>
      </c>
      <c r="AD134" s="163">
        <f t="shared" ref="AD134:AD137" si="1577">AB134+1</f>
        <v>45717</v>
      </c>
      <c r="AE134" s="163">
        <f t="shared" ref="AE134:AE137" si="1578">AD134+30</f>
        <v>45747</v>
      </c>
      <c r="AF134" s="167">
        <f t="shared" ref="AF134:AF137" si="1579">IFERROR(IF(($R134-AE134)&gt;=0,0,IF(($S134-AD134)&lt;0,0,IF(AND(($S134-AE134)&gt;0,(AD134-$R134)&gt;0),$V134/365*(AE134-AD134+1),IF(AND(($S134-AE134)&lt;=0,(AD134-$R134)&gt;0),$V134/365*($S134-AD134+1),$V134/365*(AE134-$R134+1))))),0)</f>
        <v>0</v>
      </c>
      <c r="AG134" s="163">
        <f t="shared" ref="AG134:AG137" si="1580">AE134+1</f>
        <v>45748</v>
      </c>
      <c r="AH134" s="163">
        <f t="shared" ref="AH134:AH137" si="1581">AG134+29</f>
        <v>45777</v>
      </c>
      <c r="AI134" s="167">
        <f t="shared" ref="AI134:AI137" si="1582">IFERROR(IF(($R134-AH134)&gt;=0,0,IF(($S134-AG134)&lt;0,0,IF(AND(($S134-AH134)&gt;0,(AG134-$R134)&gt;0),$V134/365*(AH134-AG134+1),IF(AND(($S134-AH134)&lt;=0,(AG134-$R134)&gt;0),$V134/365*($S134-AG134+1),$V134/365*(AH134-$R134+1))))),0)</f>
        <v>0</v>
      </c>
      <c r="AJ134" s="163">
        <f t="shared" ref="AJ134:AJ137" si="1583">AH134+1</f>
        <v>45778</v>
      </c>
      <c r="AK134" s="163">
        <f t="shared" ref="AK134:AK137" si="1584">AJ134+30</f>
        <v>45808</v>
      </c>
      <c r="AL134" s="167">
        <f t="shared" ref="AL134:AL137" si="1585">IFERROR(IF(($R134-AK134)&gt;=0,0,IF(($S134-AJ134)&lt;0,0,IF(AND(($S134-AK134)&gt;0,(AJ134-$R134)&gt;0),$V134/365*(AK134-AJ134+1),IF(AND(($S134-AK134)&lt;=0,(AJ134-$R134)&gt;0),$V134/365*($S134-AJ134+1),$V134/365*(AK134-$R134+1))))),0)</f>
        <v>0</v>
      </c>
      <c r="AM134" s="163">
        <f t="shared" ref="AM134:AM137" si="1586">AK134+1</f>
        <v>45809</v>
      </c>
      <c r="AN134" s="163">
        <f t="shared" ref="AN134:AN137" si="1587">AM134+29</f>
        <v>45838</v>
      </c>
      <c r="AO134" s="167">
        <f t="shared" ref="AO134:AO137" si="1588">IFERROR(IF(($R134-AN134)&gt;=0,0,IF(($S134-AM134)&lt;0,0,IF(AND(($S134-AN134)&gt;0,(AM134-$R134)&gt;0),$V134/365*(AN134-AM134+1),IF(AND(($S134-AN134)&lt;=0,(AM134-$R134)&gt;0),$V134/365*($S134-AM134+1),$V134/365*(AN134-$R134+1))))),0)</f>
        <v>0</v>
      </c>
      <c r="AP134" s="163">
        <f t="shared" ref="AP134:AP137" si="1589">AN134+1</f>
        <v>45839</v>
      </c>
      <c r="AQ134" s="163">
        <f t="shared" ref="AQ134:AQ137" si="1590">AP134+30</f>
        <v>45869</v>
      </c>
      <c r="AR134" s="167">
        <f t="shared" ref="AR134:AR137" si="1591">IFERROR(IF(($R134-AQ134)&gt;=0,0,IF(($S134-AP134)&lt;0,0,IF(AND(($S134-AQ134)&gt;0,(AP134-$R134)&gt;0),$V134/365*(AQ134-AP134+1),IF(AND(($S134-AQ134)&lt;=0,(AP134-$R134)&gt;0),$V134/365*($S134-AP134+1),$V134/365*(AQ134-$R134+1))))),0)</f>
        <v>0</v>
      </c>
      <c r="AS134" s="163">
        <f t="shared" ref="AS134:AS137" si="1592">AQ134+1</f>
        <v>45870</v>
      </c>
      <c r="AT134" s="163">
        <f t="shared" ref="AT134:AT137" si="1593">AS134+30</f>
        <v>45900</v>
      </c>
      <c r="AU134" s="167">
        <f t="shared" ref="AU134:AU137" si="1594">IFERROR(IF(($R134-AT134)&gt;=0,0,IF(($S134-AS134)&lt;0,0,IF(AND(($S134-AT134)&gt;0,(AS134-$R134)&gt;0),$V134/365*(AT134-AS134+1),IF(AND(($S134-AT134)&lt;=0,(AS134-$R134)&gt;0),$V134/365*($S134-AS134+1),$V134/365*(AT134-$R134+1))))),0)</f>
        <v>0</v>
      </c>
      <c r="AV134" s="163">
        <f t="shared" ref="AV134:AV137" si="1595">AT134+1</f>
        <v>45901</v>
      </c>
      <c r="AW134" s="163">
        <f t="shared" ref="AW134:AW137" si="1596">AV134+29</f>
        <v>45930</v>
      </c>
      <c r="AX134" s="167">
        <f t="shared" ref="AX134:AX137" si="1597">IFERROR(IF(($R134-AW134)&gt;=0,0,IF(($S134-AV134)&lt;0,0,IF(AND(($S134-AW134)&gt;0,(AV134-$R134)&gt;0),$V134/365*(AW134-AV134+1),IF(AND(($S134-AW134)&lt;=0,(AV134-$R134)&gt;0),$V134/365*($S134-AV134+1),$V134/365*(AW134-$R134+1))))),0)</f>
        <v>0</v>
      </c>
      <c r="AY134" s="163">
        <f t="shared" ref="AY134:AY137" si="1598">AW134+1</f>
        <v>45931</v>
      </c>
      <c r="AZ134" s="163">
        <f t="shared" ref="AZ134:AZ137" si="1599">AY134+30</f>
        <v>45961</v>
      </c>
      <c r="BA134" s="167">
        <f t="shared" ref="BA134:BA137" si="1600">IFERROR(IF(($R134-AZ134)&gt;=0,0,IF(($S134-AY134)&lt;0,0,IF(AND(($S134-AZ134)&gt;0,(AY134-$R134)&gt;0),$V134/365*(AZ134-AY134+1),IF(AND(($S134-AZ134)&lt;=0,(AY134-$R134)&gt;0),$V134/365*($S134-AY134+1),$V134/365*(AZ134-$R134+1))))),0)</f>
        <v>0</v>
      </c>
      <c r="BB134" s="163">
        <f t="shared" ref="BB134:BB137" si="1601">AZ134+1</f>
        <v>45962</v>
      </c>
      <c r="BC134" s="163">
        <f t="shared" ref="BC134:BC137" si="1602">BB134+29</f>
        <v>45991</v>
      </c>
      <c r="BD134" s="167">
        <f t="shared" ref="BD134:BD137" si="1603">IFERROR(IF(($R134-BC134)&gt;=0,0,IF(($S134-BB134)&lt;0,0,IF(AND(($S134-BC134)&gt;0,(BB134-$R134)&gt;0),$V134/365*(BC134-BB134+1),IF(AND(($S134-BC134)&lt;=0,(BB134-$R134)&gt;0),$V134/365*($S134-BB134+1),$V134/365*(BC134-$R134+1))))),0)</f>
        <v>0</v>
      </c>
      <c r="BE134" s="163">
        <f t="shared" ref="BE134:BE137" si="1604">BC134+1</f>
        <v>45992</v>
      </c>
      <c r="BF134" s="163">
        <f t="shared" ref="BF134:BF137" si="1605">BE134+30</f>
        <v>46022</v>
      </c>
      <c r="BG134" s="167">
        <f t="shared" ref="BG134:BG137" si="1606">IFERROR(IF(($R134-BF134)&gt;=0,0,IF(($S134-BE134)&lt;0,0,IF(AND(($S134-BF134)&gt;0,(BE134-$R134)&gt;0),$V134/365*(BF134-BE134+1),IF(AND(($S134-BF134)&lt;=0,(BE134-$R134)&gt;0),$V134/365*($S134-BE134+1),$V134/365*(BF134-$R134+1))))),0)</f>
        <v>0</v>
      </c>
      <c r="BH134" s="163">
        <v>46023</v>
      </c>
      <c r="BI134" s="163">
        <f t="shared" ref="BI134:BI137" si="1607">BH134+30</f>
        <v>46053</v>
      </c>
      <c r="BJ134" s="167">
        <f t="shared" ref="BJ134:BJ137" si="1608">IFERROR(IF(($R134-BI134)&gt;=0,0,IF(($S134-BH134)&lt;0,0,IF(AND(($S134-BI134)&gt;0,(BH134-$R134)&gt;0),$V134/365*(BI134-BH134+1),IF(AND(($S134-BI134)&lt;=0,(BH134-$R134)&gt;0),$V134/365*($S134-BH134+1),$V134/365*(BI134-$R134+1))))),0)</f>
        <v>0</v>
      </c>
      <c r="BK134" s="163">
        <f t="shared" ref="BK134:BK137" si="1609">BI134+1</f>
        <v>46054</v>
      </c>
      <c r="BL134" s="163">
        <f t="shared" ref="BL134:BL137" si="1610">BK134+27</f>
        <v>46081</v>
      </c>
      <c r="BM134" s="167">
        <f t="shared" ref="BM134:BM137" si="1611">IFERROR(IF(($R134-BL134)&gt;=0,0,IF(($S134-BK134)&lt;0,0,IF(AND(($S134-BL134)&gt;0,(BK134-$R134)&gt;0),$V134/365*(BL134-BK134+1),IF(AND(($S134-BL134)&lt;=0,(BK134-$R134)&gt;0),$V134/365*($S134-BK134+1),$V134/365*(BL134-$R134+1))))),0)</f>
        <v>0</v>
      </c>
      <c r="BN134" s="163">
        <f t="shared" ref="BN134:BN137" si="1612">BL134+1</f>
        <v>46082</v>
      </c>
      <c r="BO134" s="163">
        <f t="shared" ref="BO134:BO137" si="1613">BN134+30</f>
        <v>46112</v>
      </c>
      <c r="BP134" s="167">
        <f t="shared" ref="BP134:BP137" si="1614">IFERROR(IF(($R134-BO134)&gt;=0,0,IF(($S134-BN134)&lt;0,0,IF(AND(($S134-BO134)&gt;0,(BN134-$R134)&gt;0),$V134/365*(BO134-BN134+1),IF(AND(($S134-BO134)&lt;=0,(BN134-$R134)&gt;0),$V134/365*($S134-BN134+1),$V134/365*(BO134-$R134+1))))),0)</f>
        <v>0</v>
      </c>
      <c r="BQ134" s="163">
        <f t="shared" ref="BQ134:BQ137" si="1615">BO134+1</f>
        <v>46113</v>
      </c>
      <c r="BR134" s="163">
        <f t="shared" ref="BR134:BR137" si="1616">BQ134+29</f>
        <v>46142</v>
      </c>
      <c r="BS134" s="167">
        <f t="shared" ref="BS134:BS137" si="1617">IFERROR(IF(($R134-BR134)&gt;=0,0,IF(($S134-BQ134)&lt;0,0,IF(AND(($S134-BR134)&gt;0,(BQ134-$R134)&gt;0),$V134/365*(BR134-BQ134+1),IF(AND(($S134-BR134)&lt;=0,(BQ134-$R134)&gt;0),$V134/365*($S134-BQ134+1),$V134/365*(BR134-$R134+1))))),0)</f>
        <v>0</v>
      </c>
      <c r="BT134" s="163">
        <f t="shared" ref="BT134:BT137" si="1618">BR134+1</f>
        <v>46143</v>
      </c>
      <c r="BU134" s="163">
        <f t="shared" ref="BU134:BU137" si="1619">BT134+30</f>
        <v>46173</v>
      </c>
      <c r="BV134" s="167">
        <f t="shared" ref="BV134:BV137" si="1620">IFERROR(IF(($R134-BU134)&gt;=0,0,IF(($S134-BT134)&lt;0,0,IF(AND(($S134-BU134)&gt;0,(BT134-$R134)&gt;0),$V134/365*(BU134-BT134+1),IF(AND(($S134-BU134)&lt;=0,(BT134-$R134)&gt;0),$V134/365*($S134-BT134+1),$V134/365*(BU134-$R134+1))))),0)</f>
        <v>0</v>
      </c>
      <c r="BW134" s="163">
        <f t="shared" ref="BW134:BW137" si="1621">BU134+1</f>
        <v>46174</v>
      </c>
      <c r="BX134" s="163">
        <f t="shared" ref="BX134:BX137" si="1622">BW134+29</f>
        <v>46203</v>
      </c>
      <c r="BY134" s="167">
        <f t="shared" ref="BY134:BY137" si="1623">IFERROR(IF(($R134-BX134)&gt;=0,0,IF(($S134-BW134)&lt;0,0,IF(AND(($S134-BX134)&gt;0,(BW134-$R134)&gt;0),$V134/365*(BX134-BW134+1),IF(AND(($S134-BX134)&lt;=0,(BW134-$R134)&gt;0),$V134/365*($S134-BW134+1),$V134/365*(BX134-$R134+1))))),0)</f>
        <v>0</v>
      </c>
      <c r="BZ134" s="163">
        <f t="shared" ref="BZ134:BZ137" si="1624">BX134+1</f>
        <v>46204</v>
      </c>
      <c r="CA134" s="163">
        <f t="shared" ref="CA134:CA137" si="1625">BZ134+30</f>
        <v>46234</v>
      </c>
      <c r="CB134" s="167">
        <f t="shared" ref="CB134:CB137" si="1626">IFERROR(IF(($R134-CA134)&gt;=0,0,IF(($S134-BZ134)&lt;0,0,IF(AND(($S134-CA134)&gt;0,(BZ134-$R134)&gt;0),$V134/365*(CA134-BZ134+1),IF(AND(($S134-CA134)&lt;=0,(BZ134-$R134)&gt;0),$V134/365*($S134-BZ134+1),$V134/365*(CA134-$R134+1))))),0)</f>
        <v>0</v>
      </c>
      <c r="CC134" s="163">
        <f t="shared" ref="CC134:CC137" si="1627">CA134+1</f>
        <v>46235</v>
      </c>
      <c r="CD134" s="163">
        <f t="shared" ref="CD134:CD137" si="1628">CC134+30</f>
        <v>46265</v>
      </c>
      <c r="CE134" s="167">
        <f t="shared" ref="CE134:CE137" si="1629">IFERROR(IF(($R134-CD134)&gt;=0,0,IF(($S134-CC134)&lt;0,0,IF(AND(($S134-CD134)&gt;0,(CC134-$R134)&gt;0),$V134/365*(CD134-CC134+1),IF(AND(($S134-CD134)&lt;=0,(CC134-$R134)&gt;0),$V134/365*($S134-CC134+1),$V134/365*(CD134-$R134+1))))),0)</f>
        <v>0</v>
      </c>
      <c r="CF134" s="163">
        <f t="shared" ref="CF134:CF137" si="1630">CD134+1</f>
        <v>46266</v>
      </c>
      <c r="CG134" s="163">
        <f t="shared" ref="CG134:CG137" si="1631">CF134+29</f>
        <v>46295</v>
      </c>
      <c r="CH134" s="167">
        <f t="shared" ref="CH134:CH137" si="1632">IFERROR(IF(($R134-CG134)&gt;=0,0,IF(($S134-CF134)&lt;0,0,IF(AND(($S134-CG134)&gt;0,(CF134-$R134)&gt;0),$V134/365*(CG134-CF134+1),IF(AND(($S134-CG134)&lt;=0,(CF134-$R134)&gt;0),$V134/365*($S134-CF134+1),$V134/365*(CG134-$R134+1))))),0)</f>
        <v>0</v>
      </c>
      <c r="CI134" s="163">
        <f t="shared" ref="CI134:CI137" si="1633">CG134+1</f>
        <v>46296</v>
      </c>
      <c r="CJ134" s="163">
        <f t="shared" ref="CJ134:CJ137" si="1634">CI134+30</f>
        <v>46326</v>
      </c>
      <c r="CK134" s="167">
        <f t="shared" ref="CK134:CK137" si="1635">IFERROR(IF(($R134-CJ134)&gt;=0,0,IF(($S134-CI134)&lt;0,0,IF(AND(($S134-CJ134)&gt;0,(CI134-$R134)&gt;0),$V134/365*(CJ134-CI134+1),IF(AND(($S134-CJ134)&lt;=0,(CI134-$R134)&gt;0),$V134/365*($S134-CI134+1),$V134/365*(CJ134-$R134+1))))),0)</f>
        <v>0</v>
      </c>
      <c r="CL134" s="163">
        <f t="shared" ref="CL134:CL137" si="1636">CJ134+1</f>
        <v>46327</v>
      </c>
      <c r="CM134" s="163">
        <f t="shared" ref="CM134:CM137" si="1637">CL134+29</f>
        <v>46356</v>
      </c>
      <c r="CN134" s="167">
        <f t="shared" ref="CN134:CN137" si="1638">IFERROR(IF(($R134-CM134)&gt;=0,0,IF(($S134-CL134)&lt;0,0,IF(AND(($S134-CM134)&gt;0,(CL134-$R134)&gt;0),$V134/365*(CM134-CL134+1),IF(AND(($S134-CM134)&lt;=0,(CL134-$R134)&gt;0),$V134/365*($S134-CL134+1),$V134/365*(CM134-$R134+1))))),0)</f>
        <v>0</v>
      </c>
      <c r="CO134" s="163">
        <f t="shared" ref="CO134:CO137" si="1639">CM134+1</f>
        <v>46357</v>
      </c>
      <c r="CP134" s="163">
        <f t="shared" ref="CP134:CP137" si="1640">CO134+30</f>
        <v>46387</v>
      </c>
      <c r="CQ134" s="167">
        <f t="shared" ref="CQ134:CQ137" si="1641">IFERROR(IF(($R134-CP134)&gt;=0,0,IF(($S134-CO134)&lt;0,0,IF(AND(($S134-CP134)&gt;0,(CO134-$R134)&gt;0),$V134/365*(CP134-CO134+1),IF(AND(($S134-CP134)&lt;=0,(CO134-$R134)&gt;0),$V134/365*($S134-CO134+1),$V134/365*(CP134-$R134+1))))),0)</f>
        <v>0</v>
      </c>
    </row>
    <row r="135" s="89" customFormat="1" ht="24" hidden="1" customHeight="1" outlineLevel="4" spans="1:95">
      <c r="A135" s="128"/>
      <c r="B135" s="129"/>
      <c r="C135" s="130"/>
      <c r="D135" s="128"/>
      <c r="E135" s="129"/>
      <c r="F135" s="129"/>
      <c r="G135" s="129"/>
      <c r="H135" s="131"/>
      <c r="I135" s="131"/>
      <c r="J135" s="131">
        <f t="shared" si="1570"/>
        <v>0</v>
      </c>
      <c r="K135" s="131">
        <f t="shared" ref="K135:K137" si="1642">K134+1</f>
        <v>2</v>
      </c>
      <c r="L135" s="156"/>
      <c r="M135" s="157">
        <f>IFERROR(VLOOKUP($L135,'2-2 引出数据_合同数据仓库'!$B$5:$BP$200,3,FALSE),0)</f>
        <v>0</v>
      </c>
      <c r="N135" s="131"/>
      <c r="O135" s="157">
        <f>IFERROR(VLOOKUP((LEFT(VLOOKUP($L135,'2-2 引出数据_合同数据仓库'!$B$5:$BP$200,64,FALSE),15)&amp;(RIGHT(VLOOKUP($L135,'2-2 引出数据_合同数据仓库'!$B$5:$BP$200,64,FALSE),4)+1)),'2-2 引出数据_合同数据仓库'!$B$5:$BP$200,3,FALSE),0)</f>
        <v>0</v>
      </c>
      <c r="P135" s="131"/>
      <c r="Q135" s="131">
        <f>IFERROR(VLOOKUP($L135,'2-2 引出数据_合同数据仓库'!$B$5:$BP$200,28,FALSE),0)</f>
        <v>0</v>
      </c>
      <c r="R135" s="131">
        <f>IFERROR(VLOOKUP($L135,'2-2 引出数据_合同数据仓库'!$B$5:$BP$200,29,FALSE),0)</f>
        <v>0</v>
      </c>
      <c r="S135" s="131">
        <f>IFERROR(VLOOKUP($L135,'2-2 引出数据_合同数据仓库'!$B$5:$BP$200,4,FALSE),0)</f>
        <v>0</v>
      </c>
      <c r="T135" s="131"/>
      <c r="U135" s="131">
        <f>IFERROR(VLOOKUP($L135,'2-2 引出数据_合同数据仓库'!$B$5:$BP$200,15,FALSE),0)</f>
        <v>0</v>
      </c>
      <c r="V135" s="131">
        <f t="shared" si="1571"/>
        <v>0</v>
      </c>
      <c r="W135" s="131"/>
      <c r="X135" s="163">
        <v>45658</v>
      </c>
      <c r="Y135" s="163">
        <f t="shared" si="1572"/>
        <v>45688</v>
      </c>
      <c r="Z135" s="167">
        <f t="shared" si="1573"/>
        <v>0</v>
      </c>
      <c r="AA135" s="163">
        <f t="shared" si="1574"/>
        <v>45689</v>
      </c>
      <c r="AB135" s="163">
        <f t="shared" si="1575"/>
        <v>45716</v>
      </c>
      <c r="AC135" s="167">
        <f t="shared" si="1576"/>
        <v>0</v>
      </c>
      <c r="AD135" s="163">
        <f t="shared" si="1577"/>
        <v>45717</v>
      </c>
      <c r="AE135" s="163">
        <f t="shared" si="1578"/>
        <v>45747</v>
      </c>
      <c r="AF135" s="167">
        <f t="shared" si="1579"/>
        <v>0</v>
      </c>
      <c r="AG135" s="163">
        <f t="shared" si="1580"/>
        <v>45748</v>
      </c>
      <c r="AH135" s="163">
        <f t="shared" si="1581"/>
        <v>45777</v>
      </c>
      <c r="AI135" s="167">
        <f t="shared" si="1582"/>
        <v>0</v>
      </c>
      <c r="AJ135" s="163">
        <f t="shared" si="1583"/>
        <v>45778</v>
      </c>
      <c r="AK135" s="163">
        <f t="shared" si="1584"/>
        <v>45808</v>
      </c>
      <c r="AL135" s="167">
        <f t="shared" si="1585"/>
        <v>0</v>
      </c>
      <c r="AM135" s="163">
        <f t="shared" si="1586"/>
        <v>45809</v>
      </c>
      <c r="AN135" s="163">
        <f t="shared" si="1587"/>
        <v>45838</v>
      </c>
      <c r="AO135" s="167">
        <f t="shared" si="1588"/>
        <v>0</v>
      </c>
      <c r="AP135" s="163">
        <f t="shared" si="1589"/>
        <v>45839</v>
      </c>
      <c r="AQ135" s="163">
        <f t="shared" si="1590"/>
        <v>45869</v>
      </c>
      <c r="AR135" s="167">
        <f t="shared" si="1591"/>
        <v>0</v>
      </c>
      <c r="AS135" s="163">
        <f t="shared" si="1592"/>
        <v>45870</v>
      </c>
      <c r="AT135" s="163">
        <f t="shared" si="1593"/>
        <v>45900</v>
      </c>
      <c r="AU135" s="167">
        <f t="shared" si="1594"/>
        <v>0</v>
      </c>
      <c r="AV135" s="163">
        <f t="shared" si="1595"/>
        <v>45901</v>
      </c>
      <c r="AW135" s="163">
        <f t="shared" si="1596"/>
        <v>45930</v>
      </c>
      <c r="AX135" s="167">
        <f t="shared" si="1597"/>
        <v>0</v>
      </c>
      <c r="AY135" s="163">
        <f t="shared" si="1598"/>
        <v>45931</v>
      </c>
      <c r="AZ135" s="163">
        <f t="shared" si="1599"/>
        <v>45961</v>
      </c>
      <c r="BA135" s="167">
        <f t="shared" si="1600"/>
        <v>0</v>
      </c>
      <c r="BB135" s="163">
        <f t="shared" si="1601"/>
        <v>45962</v>
      </c>
      <c r="BC135" s="163">
        <f t="shared" si="1602"/>
        <v>45991</v>
      </c>
      <c r="BD135" s="167">
        <f t="shared" si="1603"/>
        <v>0</v>
      </c>
      <c r="BE135" s="163">
        <f t="shared" si="1604"/>
        <v>45992</v>
      </c>
      <c r="BF135" s="163">
        <f t="shared" si="1605"/>
        <v>46022</v>
      </c>
      <c r="BG135" s="167">
        <f t="shared" si="1606"/>
        <v>0</v>
      </c>
      <c r="BH135" s="163">
        <v>46023</v>
      </c>
      <c r="BI135" s="163">
        <f t="shared" si="1607"/>
        <v>46053</v>
      </c>
      <c r="BJ135" s="167">
        <f t="shared" si="1608"/>
        <v>0</v>
      </c>
      <c r="BK135" s="163">
        <f t="shared" si="1609"/>
        <v>46054</v>
      </c>
      <c r="BL135" s="163">
        <f t="shared" si="1610"/>
        <v>46081</v>
      </c>
      <c r="BM135" s="167">
        <f t="shared" si="1611"/>
        <v>0</v>
      </c>
      <c r="BN135" s="163">
        <f t="shared" si="1612"/>
        <v>46082</v>
      </c>
      <c r="BO135" s="163">
        <f t="shared" si="1613"/>
        <v>46112</v>
      </c>
      <c r="BP135" s="167">
        <f t="shared" si="1614"/>
        <v>0</v>
      </c>
      <c r="BQ135" s="163">
        <f t="shared" si="1615"/>
        <v>46113</v>
      </c>
      <c r="BR135" s="163">
        <f t="shared" si="1616"/>
        <v>46142</v>
      </c>
      <c r="BS135" s="167">
        <f t="shared" si="1617"/>
        <v>0</v>
      </c>
      <c r="BT135" s="163">
        <f t="shared" si="1618"/>
        <v>46143</v>
      </c>
      <c r="BU135" s="163">
        <f t="shared" si="1619"/>
        <v>46173</v>
      </c>
      <c r="BV135" s="167">
        <f t="shared" si="1620"/>
        <v>0</v>
      </c>
      <c r="BW135" s="163">
        <f t="shared" si="1621"/>
        <v>46174</v>
      </c>
      <c r="BX135" s="163">
        <f t="shared" si="1622"/>
        <v>46203</v>
      </c>
      <c r="BY135" s="167">
        <f t="shared" si="1623"/>
        <v>0</v>
      </c>
      <c r="BZ135" s="163">
        <f t="shared" si="1624"/>
        <v>46204</v>
      </c>
      <c r="CA135" s="163">
        <f t="shared" si="1625"/>
        <v>46234</v>
      </c>
      <c r="CB135" s="167">
        <f t="shared" si="1626"/>
        <v>0</v>
      </c>
      <c r="CC135" s="163">
        <f t="shared" si="1627"/>
        <v>46235</v>
      </c>
      <c r="CD135" s="163">
        <f t="shared" si="1628"/>
        <v>46265</v>
      </c>
      <c r="CE135" s="167">
        <f t="shared" si="1629"/>
        <v>0</v>
      </c>
      <c r="CF135" s="163">
        <f t="shared" si="1630"/>
        <v>46266</v>
      </c>
      <c r="CG135" s="163">
        <f t="shared" si="1631"/>
        <v>46295</v>
      </c>
      <c r="CH135" s="167">
        <f t="shared" si="1632"/>
        <v>0</v>
      </c>
      <c r="CI135" s="163">
        <f t="shared" si="1633"/>
        <v>46296</v>
      </c>
      <c r="CJ135" s="163">
        <f t="shared" si="1634"/>
        <v>46326</v>
      </c>
      <c r="CK135" s="167">
        <f t="shared" si="1635"/>
        <v>0</v>
      </c>
      <c r="CL135" s="163">
        <f t="shared" si="1636"/>
        <v>46327</v>
      </c>
      <c r="CM135" s="163">
        <f t="shared" si="1637"/>
        <v>46356</v>
      </c>
      <c r="CN135" s="167">
        <f t="shared" si="1638"/>
        <v>0</v>
      </c>
      <c r="CO135" s="163">
        <f t="shared" si="1639"/>
        <v>46357</v>
      </c>
      <c r="CP135" s="163">
        <f t="shared" si="1640"/>
        <v>46387</v>
      </c>
      <c r="CQ135" s="167">
        <f t="shared" si="1641"/>
        <v>0</v>
      </c>
    </row>
    <row r="136" s="89" customFormat="1" ht="24" hidden="1" customHeight="1" outlineLevel="4" spans="1:95">
      <c r="A136" s="128"/>
      <c r="B136" s="129"/>
      <c r="C136" s="130"/>
      <c r="D136" s="128"/>
      <c r="E136" s="129"/>
      <c r="F136" s="129"/>
      <c r="G136" s="129"/>
      <c r="H136" s="131"/>
      <c r="I136" s="131"/>
      <c r="J136" s="131">
        <f t="shared" si="1570"/>
        <v>0</v>
      </c>
      <c r="K136" s="131">
        <f t="shared" si="1642"/>
        <v>3</v>
      </c>
      <c r="L136" s="156"/>
      <c r="M136" s="157">
        <f>IFERROR(VLOOKUP($L136,'2-2 引出数据_合同数据仓库'!$B$5:$BP$200,3,FALSE),0)</f>
        <v>0</v>
      </c>
      <c r="N136" s="131"/>
      <c r="O136" s="157">
        <f>IFERROR(VLOOKUP((LEFT(VLOOKUP($L136,'2-2 引出数据_合同数据仓库'!$B$5:$BP$200,64,FALSE),15)&amp;(RIGHT(VLOOKUP($L136,'2-2 引出数据_合同数据仓库'!$B$5:$BP$200,64,FALSE),4)+1)),'2-2 引出数据_合同数据仓库'!$B$5:$BP$200,3,FALSE),0)</f>
        <v>0</v>
      </c>
      <c r="P136" s="131"/>
      <c r="Q136" s="131">
        <f>IFERROR(VLOOKUP($L136,'2-2 引出数据_合同数据仓库'!$B$5:$BP$200,28,FALSE),0)</f>
        <v>0</v>
      </c>
      <c r="R136" s="131">
        <f>IFERROR(VLOOKUP($L136,'2-2 引出数据_合同数据仓库'!$B$5:$BP$200,29,FALSE),0)</f>
        <v>0</v>
      </c>
      <c r="S136" s="131">
        <f>IFERROR(VLOOKUP($L136,'2-2 引出数据_合同数据仓库'!$B$5:$BP$200,4,FALSE),0)</f>
        <v>0</v>
      </c>
      <c r="T136" s="131"/>
      <c r="U136" s="131">
        <f>IFERROR(VLOOKUP($L136,'2-2 引出数据_合同数据仓库'!$B$5:$BP$200,15,FALSE),0)</f>
        <v>0</v>
      </c>
      <c r="V136" s="131">
        <f t="shared" si="1571"/>
        <v>0</v>
      </c>
      <c r="W136" s="131"/>
      <c r="X136" s="163">
        <v>45658</v>
      </c>
      <c r="Y136" s="163">
        <f t="shared" si="1572"/>
        <v>45688</v>
      </c>
      <c r="Z136" s="167">
        <f t="shared" si="1573"/>
        <v>0</v>
      </c>
      <c r="AA136" s="163">
        <f t="shared" si="1574"/>
        <v>45689</v>
      </c>
      <c r="AB136" s="163">
        <f t="shared" si="1575"/>
        <v>45716</v>
      </c>
      <c r="AC136" s="167">
        <f t="shared" si="1576"/>
        <v>0</v>
      </c>
      <c r="AD136" s="163">
        <f t="shared" si="1577"/>
        <v>45717</v>
      </c>
      <c r="AE136" s="163">
        <f t="shared" si="1578"/>
        <v>45747</v>
      </c>
      <c r="AF136" s="167">
        <f t="shared" si="1579"/>
        <v>0</v>
      </c>
      <c r="AG136" s="163">
        <f t="shared" si="1580"/>
        <v>45748</v>
      </c>
      <c r="AH136" s="163">
        <f t="shared" si="1581"/>
        <v>45777</v>
      </c>
      <c r="AI136" s="167">
        <f t="shared" si="1582"/>
        <v>0</v>
      </c>
      <c r="AJ136" s="163">
        <f t="shared" si="1583"/>
        <v>45778</v>
      </c>
      <c r="AK136" s="163">
        <f t="shared" si="1584"/>
        <v>45808</v>
      </c>
      <c r="AL136" s="167">
        <f t="shared" si="1585"/>
        <v>0</v>
      </c>
      <c r="AM136" s="163">
        <f t="shared" si="1586"/>
        <v>45809</v>
      </c>
      <c r="AN136" s="163">
        <f t="shared" si="1587"/>
        <v>45838</v>
      </c>
      <c r="AO136" s="167">
        <f t="shared" si="1588"/>
        <v>0</v>
      </c>
      <c r="AP136" s="163">
        <f t="shared" si="1589"/>
        <v>45839</v>
      </c>
      <c r="AQ136" s="163">
        <f t="shared" si="1590"/>
        <v>45869</v>
      </c>
      <c r="AR136" s="167">
        <f t="shared" si="1591"/>
        <v>0</v>
      </c>
      <c r="AS136" s="163">
        <f t="shared" si="1592"/>
        <v>45870</v>
      </c>
      <c r="AT136" s="163">
        <f t="shared" si="1593"/>
        <v>45900</v>
      </c>
      <c r="AU136" s="167">
        <f t="shared" si="1594"/>
        <v>0</v>
      </c>
      <c r="AV136" s="163">
        <f t="shared" si="1595"/>
        <v>45901</v>
      </c>
      <c r="AW136" s="163">
        <f t="shared" si="1596"/>
        <v>45930</v>
      </c>
      <c r="AX136" s="167">
        <f t="shared" si="1597"/>
        <v>0</v>
      </c>
      <c r="AY136" s="163">
        <f t="shared" si="1598"/>
        <v>45931</v>
      </c>
      <c r="AZ136" s="163">
        <f t="shared" si="1599"/>
        <v>45961</v>
      </c>
      <c r="BA136" s="167">
        <f t="shared" si="1600"/>
        <v>0</v>
      </c>
      <c r="BB136" s="163">
        <f t="shared" si="1601"/>
        <v>45962</v>
      </c>
      <c r="BC136" s="163">
        <f t="shared" si="1602"/>
        <v>45991</v>
      </c>
      <c r="BD136" s="167">
        <f t="shared" si="1603"/>
        <v>0</v>
      </c>
      <c r="BE136" s="163">
        <f t="shared" si="1604"/>
        <v>45992</v>
      </c>
      <c r="BF136" s="163">
        <f t="shared" si="1605"/>
        <v>46022</v>
      </c>
      <c r="BG136" s="167">
        <f t="shared" si="1606"/>
        <v>0</v>
      </c>
      <c r="BH136" s="163">
        <v>46023</v>
      </c>
      <c r="BI136" s="163">
        <f t="shared" si="1607"/>
        <v>46053</v>
      </c>
      <c r="BJ136" s="167">
        <f t="shared" si="1608"/>
        <v>0</v>
      </c>
      <c r="BK136" s="163">
        <f t="shared" si="1609"/>
        <v>46054</v>
      </c>
      <c r="BL136" s="163">
        <f t="shared" si="1610"/>
        <v>46081</v>
      </c>
      <c r="BM136" s="167">
        <f t="shared" si="1611"/>
        <v>0</v>
      </c>
      <c r="BN136" s="163">
        <f t="shared" si="1612"/>
        <v>46082</v>
      </c>
      <c r="BO136" s="163">
        <f t="shared" si="1613"/>
        <v>46112</v>
      </c>
      <c r="BP136" s="167">
        <f t="shared" si="1614"/>
        <v>0</v>
      </c>
      <c r="BQ136" s="163">
        <f t="shared" si="1615"/>
        <v>46113</v>
      </c>
      <c r="BR136" s="163">
        <f t="shared" si="1616"/>
        <v>46142</v>
      </c>
      <c r="BS136" s="167">
        <f t="shared" si="1617"/>
        <v>0</v>
      </c>
      <c r="BT136" s="163">
        <f t="shared" si="1618"/>
        <v>46143</v>
      </c>
      <c r="BU136" s="163">
        <f t="shared" si="1619"/>
        <v>46173</v>
      </c>
      <c r="BV136" s="167">
        <f t="shared" si="1620"/>
        <v>0</v>
      </c>
      <c r="BW136" s="163">
        <f t="shared" si="1621"/>
        <v>46174</v>
      </c>
      <c r="BX136" s="163">
        <f t="shared" si="1622"/>
        <v>46203</v>
      </c>
      <c r="BY136" s="167">
        <f t="shared" si="1623"/>
        <v>0</v>
      </c>
      <c r="BZ136" s="163">
        <f t="shared" si="1624"/>
        <v>46204</v>
      </c>
      <c r="CA136" s="163">
        <f t="shared" si="1625"/>
        <v>46234</v>
      </c>
      <c r="CB136" s="167">
        <f t="shared" si="1626"/>
        <v>0</v>
      </c>
      <c r="CC136" s="163">
        <f t="shared" si="1627"/>
        <v>46235</v>
      </c>
      <c r="CD136" s="163">
        <f t="shared" si="1628"/>
        <v>46265</v>
      </c>
      <c r="CE136" s="167">
        <f t="shared" si="1629"/>
        <v>0</v>
      </c>
      <c r="CF136" s="163">
        <f t="shared" si="1630"/>
        <v>46266</v>
      </c>
      <c r="CG136" s="163">
        <f t="shared" si="1631"/>
        <v>46295</v>
      </c>
      <c r="CH136" s="167">
        <f t="shared" si="1632"/>
        <v>0</v>
      </c>
      <c r="CI136" s="163">
        <f t="shared" si="1633"/>
        <v>46296</v>
      </c>
      <c r="CJ136" s="163">
        <f t="shared" si="1634"/>
        <v>46326</v>
      </c>
      <c r="CK136" s="167">
        <f t="shared" si="1635"/>
        <v>0</v>
      </c>
      <c r="CL136" s="163">
        <f t="shared" si="1636"/>
        <v>46327</v>
      </c>
      <c r="CM136" s="163">
        <f t="shared" si="1637"/>
        <v>46356</v>
      </c>
      <c r="CN136" s="167">
        <f t="shared" si="1638"/>
        <v>0</v>
      </c>
      <c r="CO136" s="163">
        <f t="shared" si="1639"/>
        <v>46357</v>
      </c>
      <c r="CP136" s="163">
        <f t="shared" si="1640"/>
        <v>46387</v>
      </c>
      <c r="CQ136" s="167">
        <f t="shared" si="1641"/>
        <v>0</v>
      </c>
    </row>
    <row r="137" s="89" customFormat="1" ht="24" hidden="1" customHeight="1" outlineLevel="4" spans="1:95">
      <c r="A137" s="128"/>
      <c r="B137" s="129"/>
      <c r="C137" s="130"/>
      <c r="D137" s="128"/>
      <c r="E137" s="129"/>
      <c r="F137" s="129"/>
      <c r="G137" s="129"/>
      <c r="H137" s="131"/>
      <c r="I137" s="131"/>
      <c r="J137" s="131">
        <f t="shared" si="1570"/>
        <v>0</v>
      </c>
      <c r="K137" s="131">
        <f t="shared" si="1642"/>
        <v>4</v>
      </c>
      <c r="L137" s="156"/>
      <c r="M137" s="157">
        <f>IFERROR(VLOOKUP($L137,'2-2 引出数据_合同数据仓库'!$B$5:$BP$200,3,FALSE),0)</f>
        <v>0</v>
      </c>
      <c r="N137" s="131"/>
      <c r="O137" s="157">
        <f>IFERROR(VLOOKUP((LEFT(VLOOKUP($L137,'2-2 引出数据_合同数据仓库'!$B$5:$BP$200,64,FALSE),15)&amp;(RIGHT(VLOOKUP($L137,'2-2 引出数据_合同数据仓库'!$B$5:$BP$200,64,FALSE),4)+1)),'2-2 引出数据_合同数据仓库'!$B$5:$BP$200,3,FALSE),0)</f>
        <v>0</v>
      </c>
      <c r="P137" s="131"/>
      <c r="Q137" s="131">
        <f>IFERROR(VLOOKUP($L137,'2-2 引出数据_合同数据仓库'!$B$5:$BP$200,28,FALSE),0)</f>
        <v>0</v>
      </c>
      <c r="R137" s="131">
        <f>IFERROR(VLOOKUP($L137,'2-2 引出数据_合同数据仓库'!$B$5:$BP$200,29,FALSE),0)</f>
        <v>0</v>
      </c>
      <c r="S137" s="131">
        <f>IFERROR(VLOOKUP($L137,'2-2 引出数据_合同数据仓库'!$B$5:$BP$200,4,FALSE),0)</f>
        <v>0</v>
      </c>
      <c r="T137" s="131"/>
      <c r="U137" s="131">
        <f>IFERROR(VLOOKUP($L137,'2-2 引出数据_合同数据仓库'!$B$5:$BP$200,15,FALSE),0)</f>
        <v>0</v>
      </c>
      <c r="V137" s="131">
        <f t="shared" si="1571"/>
        <v>0</v>
      </c>
      <c r="W137" s="131"/>
      <c r="X137" s="163">
        <v>45658</v>
      </c>
      <c r="Y137" s="163">
        <f t="shared" si="1572"/>
        <v>45688</v>
      </c>
      <c r="Z137" s="167">
        <f t="shared" si="1573"/>
        <v>0</v>
      </c>
      <c r="AA137" s="163">
        <f t="shared" si="1574"/>
        <v>45689</v>
      </c>
      <c r="AB137" s="163">
        <f t="shared" si="1575"/>
        <v>45716</v>
      </c>
      <c r="AC137" s="167">
        <f t="shared" si="1576"/>
        <v>0</v>
      </c>
      <c r="AD137" s="163">
        <f t="shared" si="1577"/>
        <v>45717</v>
      </c>
      <c r="AE137" s="163">
        <f t="shared" si="1578"/>
        <v>45747</v>
      </c>
      <c r="AF137" s="167">
        <f t="shared" si="1579"/>
        <v>0</v>
      </c>
      <c r="AG137" s="163">
        <f t="shared" si="1580"/>
        <v>45748</v>
      </c>
      <c r="AH137" s="163">
        <f t="shared" si="1581"/>
        <v>45777</v>
      </c>
      <c r="AI137" s="167">
        <f t="shared" si="1582"/>
        <v>0</v>
      </c>
      <c r="AJ137" s="163">
        <f t="shared" si="1583"/>
        <v>45778</v>
      </c>
      <c r="AK137" s="163">
        <f t="shared" si="1584"/>
        <v>45808</v>
      </c>
      <c r="AL137" s="167">
        <f t="shared" si="1585"/>
        <v>0</v>
      </c>
      <c r="AM137" s="163">
        <f t="shared" si="1586"/>
        <v>45809</v>
      </c>
      <c r="AN137" s="163">
        <f t="shared" si="1587"/>
        <v>45838</v>
      </c>
      <c r="AO137" s="167">
        <f t="shared" si="1588"/>
        <v>0</v>
      </c>
      <c r="AP137" s="163">
        <f t="shared" si="1589"/>
        <v>45839</v>
      </c>
      <c r="AQ137" s="163">
        <f t="shared" si="1590"/>
        <v>45869</v>
      </c>
      <c r="AR137" s="167">
        <f t="shared" si="1591"/>
        <v>0</v>
      </c>
      <c r="AS137" s="163">
        <f t="shared" si="1592"/>
        <v>45870</v>
      </c>
      <c r="AT137" s="163">
        <f t="shared" si="1593"/>
        <v>45900</v>
      </c>
      <c r="AU137" s="167">
        <f t="shared" si="1594"/>
        <v>0</v>
      </c>
      <c r="AV137" s="163">
        <f t="shared" si="1595"/>
        <v>45901</v>
      </c>
      <c r="AW137" s="163">
        <f t="shared" si="1596"/>
        <v>45930</v>
      </c>
      <c r="AX137" s="167">
        <f t="shared" si="1597"/>
        <v>0</v>
      </c>
      <c r="AY137" s="163">
        <f t="shared" si="1598"/>
        <v>45931</v>
      </c>
      <c r="AZ137" s="163">
        <f t="shared" si="1599"/>
        <v>45961</v>
      </c>
      <c r="BA137" s="167">
        <f t="shared" si="1600"/>
        <v>0</v>
      </c>
      <c r="BB137" s="163">
        <f t="shared" si="1601"/>
        <v>45962</v>
      </c>
      <c r="BC137" s="163">
        <f t="shared" si="1602"/>
        <v>45991</v>
      </c>
      <c r="BD137" s="167">
        <f t="shared" si="1603"/>
        <v>0</v>
      </c>
      <c r="BE137" s="163">
        <f t="shared" si="1604"/>
        <v>45992</v>
      </c>
      <c r="BF137" s="163">
        <f t="shared" si="1605"/>
        <v>46022</v>
      </c>
      <c r="BG137" s="167">
        <f t="shared" si="1606"/>
        <v>0</v>
      </c>
      <c r="BH137" s="163">
        <v>46023</v>
      </c>
      <c r="BI137" s="163">
        <f t="shared" si="1607"/>
        <v>46053</v>
      </c>
      <c r="BJ137" s="167">
        <f t="shared" si="1608"/>
        <v>0</v>
      </c>
      <c r="BK137" s="163">
        <f t="shared" si="1609"/>
        <v>46054</v>
      </c>
      <c r="BL137" s="163">
        <f t="shared" si="1610"/>
        <v>46081</v>
      </c>
      <c r="BM137" s="167">
        <f t="shared" si="1611"/>
        <v>0</v>
      </c>
      <c r="BN137" s="163">
        <f t="shared" si="1612"/>
        <v>46082</v>
      </c>
      <c r="BO137" s="163">
        <f t="shared" si="1613"/>
        <v>46112</v>
      </c>
      <c r="BP137" s="167">
        <f t="shared" si="1614"/>
        <v>0</v>
      </c>
      <c r="BQ137" s="163">
        <f t="shared" si="1615"/>
        <v>46113</v>
      </c>
      <c r="BR137" s="163">
        <f t="shared" si="1616"/>
        <v>46142</v>
      </c>
      <c r="BS137" s="167">
        <f t="shared" si="1617"/>
        <v>0</v>
      </c>
      <c r="BT137" s="163">
        <f t="shared" si="1618"/>
        <v>46143</v>
      </c>
      <c r="BU137" s="163">
        <f t="shared" si="1619"/>
        <v>46173</v>
      </c>
      <c r="BV137" s="167">
        <f t="shared" si="1620"/>
        <v>0</v>
      </c>
      <c r="BW137" s="163">
        <f t="shared" si="1621"/>
        <v>46174</v>
      </c>
      <c r="BX137" s="163">
        <f t="shared" si="1622"/>
        <v>46203</v>
      </c>
      <c r="BY137" s="167">
        <f t="shared" si="1623"/>
        <v>0</v>
      </c>
      <c r="BZ137" s="163">
        <f t="shared" si="1624"/>
        <v>46204</v>
      </c>
      <c r="CA137" s="163">
        <f t="shared" si="1625"/>
        <v>46234</v>
      </c>
      <c r="CB137" s="167">
        <f t="shared" si="1626"/>
        <v>0</v>
      </c>
      <c r="CC137" s="163">
        <f t="shared" si="1627"/>
        <v>46235</v>
      </c>
      <c r="CD137" s="163">
        <f t="shared" si="1628"/>
        <v>46265</v>
      </c>
      <c r="CE137" s="167">
        <f t="shared" si="1629"/>
        <v>0</v>
      </c>
      <c r="CF137" s="163">
        <f t="shared" si="1630"/>
        <v>46266</v>
      </c>
      <c r="CG137" s="163">
        <f t="shared" si="1631"/>
        <v>46295</v>
      </c>
      <c r="CH137" s="167">
        <f t="shared" si="1632"/>
        <v>0</v>
      </c>
      <c r="CI137" s="163">
        <f t="shared" si="1633"/>
        <v>46296</v>
      </c>
      <c r="CJ137" s="163">
        <f t="shared" si="1634"/>
        <v>46326</v>
      </c>
      <c r="CK137" s="167">
        <f t="shared" si="1635"/>
        <v>0</v>
      </c>
      <c r="CL137" s="163">
        <f t="shared" si="1636"/>
        <v>46327</v>
      </c>
      <c r="CM137" s="163">
        <f t="shared" si="1637"/>
        <v>46356</v>
      </c>
      <c r="CN137" s="167">
        <f t="shared" si="1638"/>
        <v>0</v>
      </c>
      <c r="CO137" s="163">
        <f t="shared" si="1639"/>
        <v>46357</v>
      </c>
      <c r="CP137" s="163">
        <f t="shared" si="1640"/>
        <v>46387</v>
      </c>
      <c r="CQ137" s="167">
        <f t="shared" si="1641"/>
        <v>0</v>
      </c>
    </row>
    <row r="138" s="89" customFormat="1" ht="24" hidden="1" customHeight="1" outlineLevel="4" spans="1:95">
      <c r="A138" s="132" t="s">
        <v>2813</v>
      </c>
      <c r="B138" s="133"/>
      <c r="C138" s="133"/>
      <c r="D138" s="133"/>
      <c r="E138" s="133"/>
      <c r="F138" s="133"/>
      <c r="G138" s="134"/>
      <c r="H138" s="135"/>
      <c r="I138" s="135"/>
      <c r="J138" s="135"/>
      <c r="K138" s="135"/>
      <c r="L138" s="158"/>
      <c r="M138" s="158"/>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c r="CL138" s="135"/>
      <c r="CM138" s="135"/>
      <c r="CN138" s="135"/>
      <c r="CO138" s="135"/>
      <c r="CP138" s="135"/>
      <c r="CQ138" s="135"/>
    </row>
    <row r="139" ht="24" customHeight="1" outlineLevel="2" collapsed="1" spans="1:95">
      <c r="A139" s="43"/>
      <c r="B139" s="121" t="s">
        <v>787</v>
      </c>
      <c r="C139" s="122" t="s">
        <v>1090</v>
      </c>
      <c r="D139" s="43" t="s">
        <v>1091</v>
      </c>
      <c r="E139" s="121"/>
      <c r="F139" s="121"/>
      <c r="G139" s="121"/>
      <c r="H139" s="123">
        <f>X139+AA139+AD139+AG139+AJ139+AM139+AP139+AS139+AV139+AY139+BB139+BE139</f>
        <v>25000</v>
      </c>
      <c r="I139" s="123">
        <f>Y139+AB139+AE139+AH139+AK139+AN139+AQ139+AT139+AW139+AZ139+BC139+BF139</f>
        <v>25000</v>
      </c>
      <c r="J139" s="123">
        <f t="shared" si="1570"/>
        <v>0</v>
      </c>
      <c r="K139" s="123"/>
      <c r="L139" s="154"/>
      <c r="M139" s="154"/>
      <c r="N139" s="123"/>
      <c r="O139" s="123"/>
      <c r="P139" s="123"/>
      <c r="Q139" s="123"/>
      <c r="R139" s="123"/>
      <c r="S139" s="123"/>
      <c r="T139" s="123"/>
      <c r="U139" s="123"/>
      <c r="V139" s="123"/>
      <c r="W139" s="123"/>
      <c r="X139" s="123">
        <f>VLOOKUP($C139,'1 预算编制表单'!$C:$BJ,27,FALSE)</f>
        <v>25000</v>
      </c>
      <c r="Y139" s="123">
        <f>X139-Z139</f>
        <v>25000</v>
      </c>
      <c r="Z139" s="123">
        <f>Z140+Z146+Z152</f>
        <v>0</v>
      </c>
      <c r="AA139" s="123">
        <f>VLOOKUP($C139,'1 预算编制表单'!$C:$BJ,30,FALSE)</f>
        <v>0</v>
      </c>
      <c r="AB139" s="123">
        <f>AA139-AC139</f>
        <v>0</v>
      </c>
      <c r="AC139" s="123">
        <f>AC140+AC146+AC152</f>
        <v>0</v>
      </c>
      <c r="AD139" s="123">
        <f>VLOOKUP($C139,'1 预算编制表单'!$C:$BJ,33,FALSE)</f>
        <v>0</v>
      </c>
      <c r="AE139" s="123">
        <f>AD139-AF139</f>
        <v>0</v>
      </c>
      <c r="AF139" s="123">
        <f>AF140+AF146+AF152</f>
        <v>0</v>
      </c>
      <c r="AG139" s="123">
        <f>VLOOKUP($C139,'1 预算编制表单'!$C:$BJ,36,FALSE)</f>
        <v>0</v>
      </c>
      <c r="AH139" s="123">
        <f>AG139-AI139</f>
        <v>0</v>
      </c>
      <c r="AI139" s="123">
        <f>AI140+AI146+AI152</f>
        <v>0</v>
      </c>
      <c r="AJ139" s="123">
        <f>VLOOKUP($C139,'1 预算编制表单'!$C:$BJ,39,FALSE)</f>
        <v>0</v>
      </c>
      <c r="AK139" s="123">
        <f>AJ139-AL139</f>
        <v>0</v>
      </c>
      <c r="AL139" s="123">
        <f>AL140+AL146+AL152</f>
        <v>0</v>
      </c>
      <c r="AM139" s="123">
        <f>VLOOKUP($C139,'1 预算编制表单'!$C:$BJ,42,FALSE)</f>
        <v>0</v>
      </c>
      <c r="AN139" s="123">
        <f>AM139-AO139</f>
        <v>0</v>
      </c>
      <c r="AO139" s="123">
        <f>AO140+AO146+AO152</f>
        <v>0</v>
      </c>
      <c r="AP139" s="123">
        <f>VLOOKUP($C139,'1 预算编制表单'!$C:$BJ,45,FALSE)</f>
        <v>0</v>
      </c>
      <c r="AQ139" s="123">
        <f>AP139-AR139</f>
        <v>0</v>
      </c>
      <c r="AR139" s="123">
        <f>AR140+AR146+AR152</f>
        <v>0</v>
      </c>
      <c r="AS139" s="123">
        <f>VLOOKUP($C139,'1 预算编制表单'!$C:$BJ,48,FALSE)</f>
        <v>0</v>
      </c>
      <c r="AT139" s="123">
        <f>AS139-AU139</f>
        <v>0</v>
      </c>
      <c r="AU139" s="123">
        <f>AU140+AU146+AU152</f>
        <v>0</v>
      </c>
      <c r="AV139" s="123">
        <f>VLOOKUP($C139,'1 预算编制表单'!$C:$BJ,51,FALSE)</f>
        <v>0</v>
      </c>
      <c r="AW139" s="123">
        <f>AV139-AX139</f>
        <v>0</v>
      </c>
      <c r="AX139" s="123">
        <f>AX140+AX146+AX152</f>
        <v>0</v>
      </c>
      <c r="AY139" s="123">
        <f>VLOOKUP($C139,'1 预算编制表单'!$C:$BJ,54,FALSE)</f>
        <v>0</v>
      </c>
      <c r="AZ139" s="123">
        <f>AY139-BA139</f>
        <v>0</v>
      </c>
      <c r="BA139" s="123">
        <f>BA140+BA146+BA152</f>
        <v>0</v>
      </c>
      <c r="BB139" s="123">
        <f>VLOOKUP($C139,'1 预算编制表单'!$C:$BJ,57,FALSE)</f>
        <v>0</v>
      </c>
      <c r="BC139" s="123">
        <f>BB139-BD139</f>
        <v>0</v>
      </c>
      <c r="BD139" s="123">
        <f>BD140+BD146+BD152</f>
        <v>0</v>
      </c>
      <c r="BE139" s="123">
        <f>VLOOKUP($C139,'1 预算编制表单'!$C:$BJ,60,FALSE)</f>
        <v>0</v>
      </c>
      <c r="BF139" s="123">
        <f>BE139-BG139</f>
        <v>0</v>
      </c>
      <c r="BG139" s="123">
        <f>BG140+BG146+BG152</f>
        <v>0</v>
      </c>
      <c r="BH139" s="123">
        <f>VLOOKUP($C139,'1 预算编制表单'!$C:$BJ,27,FALSE)</f>
        <v>25000</v>
      </c>
      <c r="BI139" s="123">
        <f>BH139-BJ139</f>
        <v>25000</v>
      </c>
      <c r="BJ139" s="123">
        <f>BJ140+BJ146+BJ152</f>
        <v>0</v>
      </c>
      <c r="BK139" s="123">
        <f>VLOOKUP($C139,'1 预算编制表单'!$C:$BJ,30,FALSE)</f>
        <v>0</v>
      </c>
      <c r="BL139" s="123">
        <f>BK139-BM139</f>
        <v>0</v>
      </c>
      <c r="BM139" s="123">
        <f>BM140+BM146+BM152</f>
        <v>0</v>
      </c>
      <c r="BN139" s="123">
        <f>VLOOKUP($C139,'1 预算编制表单'!$C:$BJ,33,FALSE)</f>
        <v>0</v>
      </c>
      <c r="BO139" s="123">
        <f>BN139-BP139</f>
        <v>0</v>
      </c>
      <c r="BP139" s="123">
        <f>BP140+BP146+BP152</f>
        <v>0</v>
      </c>
      <c r="BQ139" s="123">
        <f>VLOOKUP($C139,'1 预算编制表单'!$C:$BJ,36,FALSE)</f>
        <v>0</v>
      </c>
      <c r="BR139" s="123">
        <f>BQ139-BS139</f>
        <v>0</v>
      </c>
      <c r="BS139" s="123">
        <f>BS140+BS146+BS152</f>
        <v>0</v>
      </c>
      <c r="BT139" s="123">
        <f>VLOOKUP($C139,'1 预算编制表单'!$C:$BJ,39,FALSE)</f>
        <v>0</v>
      </c>
      <c r="BU139" s="123">
        <f>BT139-BV139</f>
        <v>0</v>
      </c>
      <c r="BV139" s="123">
        <f>BV140+BV146+BV152</f>
        <v>0</v>
      </c>
      <c r="BW139" s="123">
        <f>VLOOKUP($C139,'1 预算编制表单'!$C:$BJ,42,FALSE)</f>
        <v>0</v>
      </c>
      <c r="BX139" s="123">
        <f>BW139-BY139</f>
        <v>0</v>
      </c>
      <c r="BY139" s="123">
        <f>BY140+BY146+BY152</f>
        <v>0</v>
      </c>
      <c r="BZ139" s="123">
        <f>VLOOKUP($C139,'1 预算编制表单'!$C:$BJ,45,FALSE)</f>
        <v>0</v>
      </c>
      <c r="CA139" s="123">
        <f>BZ139-CB139</f>
        <v>0</v>
      </c>
      <c r="CB139" s="123">
        <f>CB140+CB146+CB152</f>
        <v>0</v>
      </c>
      <c r="CC139" s="123">
        <f>VLOOKUP($C139,'1 预算编制表单'!$C:$BJ,48,FALSE)</f>
        <v>0</v>
      </c>
      <c r="CD139" s="123">
        <f>CC139-CE139</f>
        <v>0</v>
      </c>
      <c r="CE139" s="123">
        <f>CE140+CE146+CE152</f>
        <v>0</v>
      </c>
      <c r="CF139" s="123">
        <f>VLOOKUP($C139,'1 预算编制表单'!$C:$BJ,51,FALSE)</f>
        <v>0</v>
      </c>
      <c r="CG139" s="123">
        <f>CF139-CH139</f>
        <v>0</v>
      </c>
      <c r="CH139" s="123">
        <f>CH140+CH146+CH152</f>
        <v>0</v>
      </c>
      <c r="CI139" s="123">
        <f>VLOOKUP($C139,'1 预算编制表单'!$C:$BJ,54,FALSE)</f>
        <v>0</v>
      </c>
      <c r="CJ139" s="123">
        <f>CI139-CK139</f>
        <v>0</v>
      </c>
      <c r="CK139" s="123">
        <f>CK140+CK146+CK152</f>
        <v>0</v>
      </c>
      <c r="CL139" s="123">
        <f>VLOOKUP($C139,'1 预算编制表单'!$C:$BJ,57,FALSE)</f>
        <v>0</v>
      </c>
      <c r="CM139" s="123">
        <f>CL139-CN139</f>
        <v>0</v>
      </c>
      <c r="CN139" s="123">
        <f>CN140+CN146+CN152</f>
        <v>0</v>
      </c>
      <c r="CO139" s="123">
        <f>VLOOKUP($C139,'1 预算编制表单'!$C:$BJ,60,FALSE)</f>
        <v>0</v>
      </c>
      <c r="CP139" s="123">
        <f>CO139-CQ139</f>
        <v>0</v>
      </c>
      <c r="CQ139" s="123">
        <f>CQ140+CQ146+CQ152</f>
        <v>0</v>
      </c>
    </row>
    <row r="140" ht="24" hidden="1" customHeight="1" outlineLevel="3" collapsed="1" spans="1:95">
      <c r="A140" s="124"/>
      <c r="B140" s="125" t="s">
        <v>792</v>
      </c>
      <c r="C140" s="126" t="s">
        <v>127</v>
      </c>
      <c r="D140" s="124" t="s">
        <v>109</v>
      </c>
      <c r="E140" s="125"/>
      <c r="F140" s="125"/>
      <c r="G140" s="125"/>
      <c r="H140" s="127">
        <f>X140+AA140+AD140+AG140+AJ140+AM140+AP140+AS140+AV140+AY140+BB140+BE140</f>
        <v>25000</v>
      </c>
      <c r="I140" s="127">
        <f>Y140+AB140+AE140+AH140+AK140+AN140+AQ140+AT140+AW140+AZ140+BC140+BF140</f>
        <v>25000</v>
      </c>
      <c r="J140" s="127">
        <f t="shared" si="1570"/>
        <v>0</v>
      </c>
      <c r="K140" s="127"/>
      <c r="L140" s="155"/>
      <c r="M140" s="155"/>
      <c r="N140" s="127"/>
      <c r="O140" s="127"/>
      <c r="P140" s="127"/>
      <c r="Q140" s="127"/>
      <c r="R140" s="127"/>
      <c r="S140" s="127"/>
      <c r="T140" s="127"/>
      <c r="U140" s="127"/>
      <c r="V140" s="127"/>
      <c r="W140" s="127"/>
      <c r="X140" s="127">
        <f>VLOOKUP($C140,'1 预算编制表单'!$C:$BJ,27,FALSE)</f>
        <v>25000</v>
      </c>
      <c r="Y140" s="127">
        <f>X140-Z140</f>
        <v>25000</v>
      </c>
      <c r="Z140" s="127">
        <f>SUM(Z141:Z145)</f>
        <v>0</v>
      </c>
      <c r="AA140" s="127">
        <f>VLOOKUP($C140,'1 预算编制表单'!$C:$BJ,30,FALSE)</f>
        <v>0</v>
      </c>
      <c r="AB140" s="127">
        <f>AA140-AC140</f>
        <v>0</v>
      </c>
      <c r="AC140" s="127">
        <f>SUM(AC141:AC145)</f>
        <v>0</v>
      </c>
      <c r="AD140" s="127">
        <f>VLOOKUP($C140,'1 预算编制表单'!$C:$BJ,33,FALSE)</f>
        <v>0</v>
      </c>
      <c r="AE140" s="127">
        <f>AD140-AF140</f>
        <v>0</v>
      </c>
      <c r="AF140" s="127">
        <f>SUM(AF141:AF145)</f>
        <v>0</v>
      </c>
      <c r="AG140" s="127">
        <f>VLOOKUP($C140,'1 预算编制表单'!$C:$BJ,36,FALSE)</f>
        <v>0</v>
      </c>
      <c r="AH140" s="127">
        <f>AG140-AI140</f>
        <v>0</v>
      </c>
      <c r="AI140" s="127">
        <f>SUM(AI141:AI145)</f>
        <v>0</v>
      </c>
      <c r="AJ140" s="127">
        <f>VLOOKUP($C140,'1 预算编制表单'!$C:$BJ,39,FALSE)</f>
        <v>0</v>
      </c>
      <c r="AK140" s="127">
        <f>AJ140-AL140</f>
        <v>0</v>
      </c>
      <c r="AL140" s="127">
        <f>SUM(AL141:AL145)</f>
        <v>0</v>
      </c>
      <c r="AM140" s="127">
        <f>VLOOKUP($C140,'1 预算编制表单'!$C:$BJ,42,FALSE)</f>
        <v>0</v>
      </c>
      <c r="AN140" s="127">
        <f>AM140-AO140</f>
        <v>0</v>
      </c>
      <c r="AO140" s="127">
        <f>SUM(AO141:AO145)</f>
        <v>0</v>
      </c>
      <c r="AP140" s="127">
        <f>VLOOKUP($C140,'1 预算编制表单'!$C:$BJ,45,FALSE)</f>
        <v>0</v>
      </c>
      <c r="AQ140" s="127">
        <f>AP140-AR140</f>
        <v>0</v>
      </c>
      <c r="AR140" s="127">
        <f>SUM(AR141:AR145)</f>
        <v>0</v>
      </c>
      <c r="AS140" s="127">
        <f>VLOOKUP($C140,'1 预算编制表单'!$C:$BJ,48,FALSE)</f>
        <v>0</v>
      </c>
      <c r="AT140" s="127">
        <f>AS140-AU140</f>
        <v>0</v>
      </c>
      <c r="AU140" s="127">
        <f>SUM(AU141:AU145)</f>
        <v>0</v>
      </c>
      <c r="AV140" s="127">
        <f>VLOOKUP($C140,'1 预算编制表单'!$C:$BJ,51,FALSE)</f>
        <v>0</v>
      </c>
      <c r="AW140" s="127">
        <f>AV140-AX140</f>
        <v>0</v>
      </c>
      <c r="AX140" s="127">
        <f>SUM(AX141:AX145)</f>
        <v>0</v>
      </c>
      <c r="AY140" s="127">
        <f>VLOOKUP($C140,'1 预算编制表单'!$C:$BJ,54,FALSE)</f>
        <v>0</v>
      </c>
      <c r="AZ140" s="127">
        <f>AY140-BA140</f>
        <v>0</v>
      </c>
      <c r="BA140" s="127">
        <f>SUM(BA141:BA145)</f>
        <v>0</v>
      </c>
      <c r="BB140" s="127">
        <f>VLOOKUP($C140,'1 预算编制表单'!$C:$BJ,57,FALSE)</f>
        <v>0</v>
      </c>
      <c r="BC140" s="127">
        <f>BB140-BD140</f>
        <v>0</v>
      </c>
      <c r="BD140" s="127">
        <f>SUM(BD141:BD145)</f>
        <v>0</v>
      </c>
      <c r="BE140" s="127">
        <f>VLOOKUP($C140,'1 预算编制表单'!$C:$BJ,60,FALSE)</f>
        <v>0</v>
      </c>
      <c r="BF140" s="127">
        <f>BE140-BG140</f>
        <v>0</v>
      </c>
      <c r="BG140" s="127">
        <f>SUM(BG141:BG145)</f>
        <v>0</v>
      </c>
      <c r="BH140" s="127">
        <f>VLOOKUP($C140,'1 预算编制表单'!$C:$BJ,27,FALSE)</f>
        <v>25000</v>
      </c>
      <c r="BI140" s="127">
        <f>BH140-BJ140</f>
        <v>25000</v>
      </c>
      <c r="BJ140" s="127">
        <f>SUM(BJ141:BJ145)</f>
        <v>0</v>
      </c>
      <c r="BK140" s="127">
        <f>VLOOKUP($C140,'1 预算编制表单'!$C:$BJ,30,FALSE)</f>
        <v>0</v>
      </c>
      <c r="BL140" s="127">
        <f>BK140-BM140</f>
        <v>0</v>
      </c>
      <c r="BM140" s="127">
        <f>SUM(BM141:BM145)</f>
        <v>0</v>
      </c>
      <c r="BN140" s="127">
        <f>VLOOKUP($C140,'1 预算编制表单'!$C:$BJ,33,FALSE)</f>
        <v>0</v>
      </c>
      <c r="BO140" s="127">
        <f>BN140-BP140</f>
        <v>0</v>
      </c>
      <c r="BP140" s="127">
        <f>SUM(BP141:BP145)</f>
        <v>0</v>
      </c>
      <c r="BQ140" s="127">
        <f>VLOOKUP($C140,'1 预算编制表单'!$C:$BJ,36,FALSE)</f>
        <v>0</v>
      </c>
      <c r="BR140" s="127">
        <f>BQ140-BS140</f>
        <v>0</v>
      </c>
      <c r="BS140" s="127">
        <f>SUM(BS141:BS145)</f>
        <v>0</v>
      </c>
      <c r="BT140" s="127">
        <f>VLOOKUP($C140,'1 预算编制表单'!$C:$BJ,39,FALSE)</f>
        <v>0</v>
      </c>
      <c r="BU140" s="127">
        <f>BT140-BV140</f>
        <v>0</v>
      </c>
      <c r="BV140" s="127">
        <f>SUM(BV141:BV145)</f>
        <v>0</v>
      </c>
      <c r="BW140" s="127">
        <f>VLOOKUP($C140,'1 预算编制表单'!$C:$BJ,42,FALSE)</f>
        <v>0</v>
      </c>
      <c r="BX140" s="127">
        <f>BW140-BY140</f>
        <v>0</v>
      </c>
      <c r="BY140" s="127">
        <f>SUM(BY141:BY145)</f>
        <v>0</v>
      </c>
      <c r="BZ140" s="127">
        <f>VLOOKUP($C140,'1 预算编制表单'!$C:$BJ,45,FALSE)</f>
        <v>0</v>
      </c>
      <c r="CA140" s="127">
        <f>BZ140-CB140</f>
        <v>0</v>
      </c>
      <c r="CB140" s="127">
        <f>SUM(CB141:CB145)</f>
        <v>0</v>
      </c>
      <c r="CC140" s="127">
        <f>VLOOKUP($C140,'1 预算编制表单'!$C:$BJ,48,FALSE)</f>
        <v>0</v>
      </c>
      <c r="CD140" s="127">
        <f>CC140-CE140</f>
        <v>0</v>
      </c>
      <c r="CE140" s="127">
        <f>SUM(CE141:CE145)</f>
        <v>0</v>
      </c>
      <c r="CF140" s="127">
        <f>VLOOKUP($C140,'1 预算编制表单'!$C:$BJ,51,FALSE)</f>
        <v>0</v>
      </c>
      <c r="CG140" s="127">
        <f>CF140-CH140</f>
        <v>0</v>
      </c>
      <c r="CH140" s="127">
        <f>SUM(CH141:CH145)</f>
        <v>0</v>
      </c>
      <c r="CI140" s="127">
        <f>VLOOKUP($C140,'1 预算编制表单'!$C:$BJ,54,FALSE)</f>
        <v>0</v>
      </c>
      <c r="CJ140" s="127">
        <f>CI140-CK140</f>
        <v>0</v>
      </c>
      <c r="CK140" s="127">
        <f>SUM(CK141:CK145)</f>
        <v>0</v>
      </c>
      <c r="CL140" s="127">
        <f>VLOOKUP($C140,'1 预算编制表单'!$C:$BJ,57,FALSE)</f>
        <v>0</v>
      </c>
      <c r="CM140" s="127">
        <f>CL140-CN140</f>
        <v>0</v>
      </c>
      <c r="CN140" s="127">
        <f>SUM(CN141:CN145)</f>
        <v>0</v>
      </c>
      <c r="CO140" s="127">
        <f>VLOOKUP($C140,'1 预算编制表单'!$C:$BJ,60,FALSE)</f>
        <v>0</v>
      </c>
      <c r="CP140" s="127">
        <f>CO140-CQ140</f>
        <v>0</v>
      </c>
      <c r="CQ140" s="127">
        <f>SUM(CQ141:CQ145)</f>
        <v>0</v>
      </c>
    </row>
    <row r="141" s="89" customFormat="1" ht="24" hidden="1" customHeight="1" outlineLevel="4" spans="1:95">
      <c r="A141" s="128"/>
      <c r="B141" s="129"/>
      <c r="C141" s="130"/>
      <c r="D141" s="128"/>
      <c r="E141" s="129"/>
      <c r="F141" s="129"/>
      <c r="G141" s="129"/>
      <c r="H141" s="131"/>
      <c r="I141" s="131"/>
      <c r="J141" s="131">
        <f t="shared" si="1570"/>
        <v>0</v>
      </c>
      <c r="K141" s="131">
        <v>1</v>
      </c>
      <c r="L141" s="156"/>
      <c r="M141" s="157">
        <f>IFERROR(VLOOKUP($L141,'2-2 引出数据_合同数据仓库'!$B$5:$BP$200,3,FALSE),0)</f>
        <v>0</v>
      </c>
      <c r="N141" s="131"/>
      <c r="O141" s="157">
        <f>IFERROR(VLOOKUP((LEFT(VLOOKUP($L141,'2-2 引出数据_合同数据仓库'!$B$5:$BP$200,64,FALSE),15)&amp;(RIGHT(VLOOKUP($L141,'2-2 引出数据_合同数据仓库'!$B$5:$BP$200,64,FALSE),4)+1)),'2-2 引出数据_合同数据仓库'!$B$5:$BP$200,3,FALSE),0)</f>
        <v>0</v>
      </c>
      <c r="P141" s="131"/>
      <c r="Q141" s="131">
        <f>IFERROR(VLOOKUP($L141,'2-2 引出数据_合同数据仓库'!$B$5:$BP$200,28,FALSE),0)</f>
        <v>0</v>
      </c>
      <c r="R141" s="131">
        <f>IFERROR(VLOOKUP($L141,'2-2 引出数据_合同数据仓库'!$B$5:$BP$200,29,FALSE),0)</f>
        <v>0</v>
      </c>
      <c r="S141" s="131">
        <f>IFERROR(VLOOKUP($L141,'2-2 引出数据_合同数据仓库'!$B$5:$BP$200,4,FALSE),0)</f>
        <v>0</v>
      </c>
      <c r="T141" s="131"/>
      <c r="U141" s="131">
        <f>IFERROR(VLOOKUP($L141,'2-2 引出数据_合同数据仓库'!$B$5:$BP$200,15,FALSE),0)</f>
        <v>0</v>
      </c>
      <c r="V141" s="131">
        <f t="shared" ref="V141:V144" si="1643">U141/(S141-R141+1)*365</f>
        <v>0</v>
      </c>
      <c r="W141" s="131"/>
      <c r="X141" s="163">
        <v>45658</v>
      </c>
      <c r="Y141" s="163">
        <f t="shared" ref="Y141:Y144" si="1644">X141+30</f>
        <v>45688</v>
      </c>
      <c r="Z141" s="167">
        <f t="shared" ref="Z141:Z144" si="1645">IFERROR(IF(($R141-Y141)&gt;=0,0,IF(($S141-X141)&lt;0,0,IF(AND(($S141-Y141)&gt;0,(X141-$R141)&gt;0),$V141/365*(Y141-X141+1),IF(AND(($S141-Y141)&lt;=0,(X141-$R141)&gt;0),$V141/365*($S141-X141+1),$V141/365*(Y141-$R141+1))))),0)</f>
        <v>0</v>
      </c>
      <c r="AA141" s="163">
        <f t="shared" ref="AA141:AA144" si="1646">Y141+1</f>
        <v>45689</v>
      </c>
      <c r="AB141" s="163">
        <f t="shared" ref="AB141:AB144" si="1647">AA141+27</f>
        <v>45716</v>
      </c>
      <c r="AC141" s="167">
        <f t="shared" ref="AC141:AC144" si="1648">IFERROR(IF(($R141-AB141)&gt;=0,0,IF(($S141-AA141)&lt;0,0,IF(AND(($S141-AB141)&gt;0,(AA141-$R141)&gt;0),$V141/365*(AB141-AA141+1),IF(AND(($S141-AB141)&lt;=0,(AA141-$R141)&gt;0),$V141/365*($S141-AA141+1),$V141/365*(AB141-$R141+1))))),0)</f>
        <v>0</v>
      </c>
      <c r="AD141" s="163">
        <f t="shared" ref="AD141:AD144" si="1649">AB141+1</f>
        <v>45717</v>
      </c>
      <c r="AE141" s="163">
        <f t="shared" ref="AE141:AE144" si="1650">AD141+30</f>
        <v>45747</v>
      </c>
      <c r="AF141" s="167">
        <f t="shared" ref="AF141:AF144" si="1651">IFERROR(IF(($R141-AE141)&gt;=0,0,IF(($S141-AD141)&lt;0,0,IF(AND(($S141-AE141)&gt;0,(AD141-$R141)&gt;0),$V141/365*(AE141-AD141+1),IF(AND(($S141-AE141)&lt;=0,(AD141-$R141)&gt;0),$V141/365*($S141-AD141+1),$V141/365*(AE141-$R141+1))))),0)</f>
        <v>0</v>
      </c>
      <c r="AG141" s="163">
        <f t="shared" ref="AG141:AG144" si="1652">AE141+1</f>
        <v>45748</v>
      </c>
      <c r="AH141" s="163">
        <f t="shared" ref="AH141:AH144" si="1653">AG141+29</f>
        <v>45777</v>
      </c>
      <c r="AI141" s="167">
        <f t="shared" ref="AI141:AI144" si="1654">IFERROR(IF(($R141-AH141)&gt;=0,0,IF(($S141-AG141)&lt;0,0,IF(AND(($S141-AH141)&gt;0,(AG141-$R141)&gt;0),$V141/365*(AH141-AG141+1),IF(AND(($S141-AH141)&lt;=0,(AG141-$R141)&gt;0),$V141/365*($S141-AG141+1),$V141/365*(AH141-$R141+1))))),0)</f>
        <v>0</v>
      </c>
      <c r="AJ141" s="163">
        <f t="shared" ref="AJ141:AJ144" si="1655">AH141+1</f>
        <v>45778</v>
      </c>
      <c r="AK141" s="163">
        <f t="shared" ref="AK141:AK144" si="1656">AJ141+30</f>
        <v>45808</v>
      </c>
      <c r="AL141" s="167">
        <f t="shared" ref="AL141:AL144" si="1657">IFERROR(IF(($R141-AK141)&gt;=0,0,IF(($S141-AJ141)&lt;0,0,IF(AND(($S141-AK141)&gt;0,(AJ141-$R141)&gt;0),$V141/365*(AK141-AJ141+1),IF(AND(($S141-AK141)&lt;=0,(AJ141-$R141)&gt;0),$V141/365*($S141-AJ141+1),$V141/365*(AK141-$R141+1))))),0)</f>
        <v>0</v>
      </c>
      <c r="AM141" s="163">
        <f t="shared" ref="AM141:AM144" si="1658">AK141+1</f>
        <v>45809</v>
      </c>
      <c r="AN141" s="163">
        <f t="shared" ref="AN141:AN144" si="1659">AM141+29</f>
        <v>45838</v>
      </c>
      <c r="AO141" s="167">
        <f t="shared" ref="AO141:AO144" si="1660">IFERROR(IF(($R141-AN141)&gt;=0,0,IF(($S141-AM141)&lt;0,0,IF(AND(($S141-AN141)&gt;0,(AM141-$R141)&gt;0),$V141/365*(AN141-AM141+1),IF(AND(($S141-AN141)&lt;=0,(AM141-$R141)&gt;0),$V141/365*($S141-AM141+1),$V141/365*(AN141-$R141+1))))),0)</f>
        <v>0</v>
      </c>
      <c r="AP141" s="163">
        <f t="shared" ref="AP141:AP144" si="1661">AN141+1</f>
        <v>45839</v>
      </c>
      <c r="AQ141" s="163">
        <f t="shared" ref="AQ141:AQ144" si="1662">AP141+30</f>
        <v>45869</v>
      </c>
      <c r="AR141" s="167">
        <f t="shared" ref="AR141:AR144" si="1663">IFERROR(IF(($R141-AQ141)&gt;=0,0,IF(($S141-AP141)&lt;0,0,IF(AND(($S141-AQ141)&gt;0,(AP141-$R141)&gt;0),$V141/365*(AQ141-AP141+1),IF(AND(($S141-AQ141)&lt;=0,(AP141-$R141)&gt;0),$V141/365*($S141-AP141+1),$V141/365*(AQ141-$R141+1))))),0)</f>
        <v>0</v>
      </c>
      <c r="AS141" s="163">
        <f t="shared" ref="AS141:AS144" si="1664">AQ141+1</f>
        <v>45870</v>
      </c>
      <c r="AT141" s="163">
        <f t="shared" ref="AT141:AT144" si="1665">AS141+30</f>
        <v>45900</v>
      </c>
      <c r="AU141" s="167">
        <f t="shared" ref="AU141:AU144" si="1666">IFERROR(IF(($R141-AT141)&gt;=0,0,IF(($S141-AS141)&lt;0,0,IF(AND(($S141-AT141)&gt;0,(AS141-$R141)&gt;0),$V141/365*(AT141-AS141+1),IF(AND(($S141-AT141)&lt;=0,(AS141-$R141)&gt;0),$V141/365*($S141-AS141+1),$V141/365*(AT141-$R141+1))))),0)</f>
        <v>0</v>
      </c>
      <c r="AV141" s="163">
        <f t="shared" ref="AV141:AV144" si="1667">AT141+1</f>
        <v>45901</v>
      </c>
      <c r="AW141" s="163">
        <f t="shared" ref="AW141:AW144" si="1668">AV141+29</f>
        <v>45930</v>
      </c>
      <c r="AX141" s="167">
        <f t="shared" ref="AX141:AX144" si="1669">IFERROR(IF(($R141-AW141)&gt;=0,0,IF(($S141-AV141)&lt;0,0,IF(AND(($S141-AW141)&gt;0,(AV141-$R141)&gt;0),$V141/365*(AW141-AV141+1),IF(AND(($S141-AW141)&lt;=0,(AV141-$R141)&gt;0),$V141/365*($S141-AV141+1),$V141/365*(AW141-$R141+1))))),0)</f>
        <v>0</v>
      </c>
      <c r="AY141" s="163">
        <f t="shared" ref="AY141:AY144" si="1670">AW141+1</f>
        <v>45931</v>
      </c>
      <c r="AZ141" s="163">
        <f t="shared" ref="AZ141:AZ144" si="1671">AY141+30</f>
        <v>45961</v>
      </c>
      <c r="BA141" s="167">
        <f t="shared" ref="BA141:BA144" si="1672">IFERROR(IF(($R141-AZ141)&gt;=0,0,IF(($S141-AY141)&lt;0,0,IF(AND(($S141-AZ141)&gt;0,(AY141-$R141)&gt;0),$V141/365*(AZ141-AY141+1),IF(AND(($S141-AZ141)&lt;=0,(AY141-$R141)&gt;0),$V141/365*($S141-AY141+1),$V141/365*(AZ141-$R141+1))))),0)</f>
        <v>0</v>
      </c>
      <c r="BB141" s="163">
        <f t="shared" ref="BB141:BB144" si="1673">AZ141+1</f>
        <v>45962</v>
      </c>
      <c r="BC141" s="163">
        <f t="shared" ref="BC141:BC144" si="1674">BB141+29</f>
        <v>45991</v>
      </c>
      <c r="BD141" s="167">
        <f t="shared" ref="BD141:BD144" si="1675">IFERROR(IF(($R141-BC141)&gt;=0,0,IF(($S141-BB141)&lt;0,0,IF(AND(($S141-BC141)&gt;0,(BB141-$R141)&gt;0),$V141/365*(BC141-BB141+1),IF(AND(($S141-BC141)&lt;=0,(BB141-$R141)&gt;0),$V141/365*($S141-BB141+1),$V141/365*(BC141-$R141+1))))),0)</f>
        <v>0</v>
      </c>
      <c r="BE141" s="163">
        <f t="shared" ref="BE141:BE144" si="1676">BC141+1</f>
        <v>45992</v>
      </c>
      <c r="BF141" s="163">
        <f t="shared" ref="BF141:BF144" si="1677">BE141+30</f>
        <v>46022</v>
      </c>
      <c r="BG141" s="167">
        <f t="shared" ref="BG141:BG144" si="1678">IFERROR(IF(($R141-BF141)&gt;=0,0,IF(($S141-BE141)&lt;0,0,IF(AND(($S141-BF141)&gt;0,(BE141-$R141)&gt;0),$V141/365*(BF141-BE141+1),IF(AND(($S141-BF141)&lt;=0,(BE141-$R141)&gt;0),$V141/365*($S141-BE141+1),$V141/365*(BF141-$R141+1))))),0)</f>
        <v>0</v>
      </c>
      <c r="BH141" s="163">
        <v>46023</v>
      </c>
      <c r="BI141" s="163">
        <f t="shared" ref="BI141:BI144" si="1679">BH141+30</f>
        <v>46053</v>
      </c>
      <c r="BJ141" s="167">
        <f t="shared" ref="BJ141:BJ144" si="1680">IFERROR(IF(($R141-BI141)&gt;=0,0,IF(($S141-BH141)&lt;0,0,IF(AND(($S141-BI141)&gt;0,(BH141-$R141)&gt;0),$V141/365*(BI141-BH141+1),IF(AND(($S141-BI141)&lt;=0,(BH141-$R141)&gt;0),$V141/365*($S141-BH141+1),$V141/365*(BI141-$R141+1))))),0)</f>
        <v>0</v>
      </c>
      <c r="BK141" s="163">
        <f t="shared" ref="BK141:BK144" si="1681">BI141+1</f>
        <v>46054</v>
      </c>
      <c r="BL141" s="163">
        <f t="shared" ref="BL141:BL144" si="1682">BK141+27</f>
        <v>46081</v>
      </c>
      <c r="BM141" s="167">
        <f t="shared" ref="BM141:BM144" si="1683">IFERROR(IF(($R141-BL141)&gt;=0,0,IF(($S141-BK141)&lt;0,0,IF(AND(($S141-BL141)&gt;0,(BK141-$R141)&gt;0),$V141/365*(BL141-BK141+1),IF(AND(($S141-BL141)&lt;=0,(BK141-$R141)&gt;0),$V141/365*($S141-BK141+1),$V141/365*(BL141-$R141+1))))),0)</f>
        <v>0</v>
      </c>
      <c r="BN141" s="163">
        <f t="shared" ref="BN141:BN144" si="1684">BL141+1</f>
        <v>46082</v>
      </c>
      <c r="BO141" s="163">
        <f t="shared" ref="BO141:BO144" si="1685">BN141+30</f>
        <v>46112</v>
      </c>
      <c r="BP141" s="167">
        <f t="shared" ref="BP141:BP144" si="1686">IFERROR(IF(($R141-BO141)&gt;=0,0,IF(($S141-BN141)&lt;0,0,IF(AND(($S141-BO141)&gt;0,(BN141-$R141)&gt;0),$V141/365*(BO141-BN141+1),IF(AND(($S141-BO141)&lt;=0,(BN141-$R141)&gt;0),$V141/365*($S141-BN141+1),$V141/365*(BO141-$R141+1))))),0)</f>
        <v>0</v>
      </c>
      <c r="BQ141" s="163">
        <f t="shared" ref="BQ141:BQ144" si="1687">BO141+1</f>
        <v>46113</v>
      </c>
      <c r="BR141" s="163">
        <f t="shared" ref="BR141:BR144" si="1688">BQ141+29</f>
        <v>46142</v>
      </c>
      <c r="BS141" s="167">
        <f t="shared" ref="BS141:BS144" si="1689">IFERROR(IF(($R141-BR141)&gt;=0,0,IF(($S141-BQ141)&lt;0,0,IF(AND(($S141-BR141)&gt;0,(BQ141-$R141)&gt;0),$V141/365*(BR141-BQ141+1),IF(AND(($S141-BR141)&lt;=0,(BQ141-$R141)&gt;0),$V141/365*($S141-BQ141+1),$V141/365*(BR141-$R141+1))))),0)</f>
        <v>0</v>
      </c>
      <c r="BT141" s="163">
        <f t="shared" ref="BT141:BT144" si="1690">BR141+1</f>
        <v>46143</v>
      </c>
      <c r="BU141" s="163">
        <f t="shared" ref="BU141:BU144" si="1691">BT141+30</f>
        <v>46173</v>
      </c>
      <c r="BV141" s="167">
        <f t="shared" ref="BV141:BV144" si="1692">IFERROR(IF(($R141-BU141)&gt;=0,0,IF(($S141-BT141)&lt;0,0,IF(AND(($S141-BU141)&gt;0,(BT141-$R141)&gt;0),$V141/365*(BU141-BT141+1),IF(AND(($S141-BU141)&lt;=0,(BT141-$R141)&gt;0),$V141/365*($S141-BT141+1),$V141/365*(BU141-$R141+1))))),0)</f>
        <v>0</v>
      </c>
      <c r="BW141" s="163">
        <f t="shared" ref="BW141:BW144" si="1693">BU141+1</f>
        <v>46174</v>
      </c>
      <c r="BX141" s="163">
        <f t="shared" ref="BX141:BX144" si="1694">BW141+29</f>
        <v>46203</v>
      </c>
      <c r="BY141" s="167">
        <f t="shared" ref="BY141:BY144" si="1695">IFERROR(IF(($R141-BX141)&gt;=0,0,IF(($S141-BW141)&lt;0,0,IF(AND(($S141-BX141)&gt;0,(BW141-$R141)&gt;0),$V141/365*(BX141-BW141+1),IF(AND(($S141-BX141)&lt;=0,(BW141-$R141)&gt;0),$V141/365*($S141-BW141+1),$V141/365*(BX141-$R141+1))))),0)</f>
        <v>0</v>
      </c>
      <c r="BZ141" s="163">
        <f t="shared" ref="BZ141:BZ144" si="1696">BX141+1</f>
        <v>46204</v>
      </c>
      <c r="CA141" s="163">
        <f t="shared" ref="CA141:CA144" si="1697">BZ141+30</f>
        <v>46234</v>
      </c>
      <c r="CB141" s="167">
        <f t="shared" ref="CB141:CB144" si="1698">IFERROR(IF(($R141-CA141)&gt;=0,0,IF(($S141-BZ141)&lt;0,0,IF(AND(($S141-CA141)&gt;0,(BZ141-$R141)&gt;0),$V141/365*(CA141-BZ141+1),IF(AND(($S141-CA141)&lt;=0,(BZ141-$R141)&gt;0),$V141/365*($S141-BZ141+1),$V141/365*(CA141-$R141+1))))),0)</f>
        <v>0</v>
      </c>
      <c r="CC141" s="163">
        <f t="shared" ref="CC141:CC144" si="1699">CA141+1</f>
        <v>46235</v>
      </c>
      <c r="CD141" s="163">
        <f t="shared" ref="CD141:CD144" si="1700">CC141+30</f>
        <v>46265</v>
      </c>
      <c r="CE141" s="167">
        <f t="shared" ref="CE141:CE144" si="1701">IFERROR(IF(($R141-CD141)&gt;=0,0,IF(($S141-CC141)&lt;0,0,IF(AND(($S141-CD141)&gt;0,(CC141-$R141)&gt;0),$V141/365*(CD141-CC141+1),IF(AND(($S141-CD141)&lt;=0,(CC141-$R141)&gt;0),$V141/365*($S141-CC141+1),$V141/365*(CD141-$R141+1))))),0)</f>
        <v>0</v>
      </c>
      <c r="CF141" s="163">
        <f t="shared" ref="CF141:CF144" si="1702">CD141+1</f>
        <v>46266</v>
      </c>
      <c r="CG141" s="163">
        <f t="shared" ref="CG141:CG144" si="1703">CF141+29</f>
        <v>46295</v>
      </c>
      <c r="CH141" s="167">
        <f t="shared" ref="CH141:CH144" si="1704">IFERROR(IF(($R141-CG141)&gt;=0,0,IF(($S141-CF141)&lt;0,0,IF(AND(($S141-CG141)&gt;0,(CF141-$R141)&gt;0),$V141/365*(CG141-CF141+1),IF(AND(($S141-CG141)&lt;=0,(CF141-$R141)&gt;0),$V141/365*($S141-CF141+1),$V141/365*(CG141-$R141+1))))),0)</f>
        <v>0</v>
      </c>
      <c r="CI141" s="163">
        <f t="shared" ref="CI141:CI144" si="1705">CG141+1</f>
        <v>46296</v>
      </c>
      <c r="CJ141" s="163">
        <f t="shared" ref="CJ141:CJ144" si="1706">CI141+30</f>
        <v>46326</v>
      </c>
      <c r="CK141" s="167">
        <f t="shared" ref="CK141:CK144" si="1707">IFERROR(IF(($R141-CJ141)&gt;=0,0,IF(($S141-CI141)&lt;0,0,IF(AND(($S141-CJ141)&gt;0,(CI141-$R141)&gt;0),$V141/365*(CJ141-CI141+1),IF(AND(($S141-CJ141)&lt;=0,(CI141-$R141)&gt;0),$V141/365*($S141-CI141+1),$V141/365*(CJ141-$R141+1))))),0)</f>
        <v>0</v>
      </c>
      <c r="CL141" s="163">
        <f t="shared" ref="CL141:CL144" si="1708">CJ141+1</f>
        <v>46327</v>
      </c>
      <c r="CM141" s="163">
        <f t="shared" ref="CM141:CM144" si="1709">CL141+29</f>
        <v>46356</v>
      </c>
      <c r="CN141" s="167">
        <f t="shared" ref="CN141:CN144" si="1710">IFERROR(IF(($R141-CM141)&gt;=0,0,IF(($S141-CL141)&lt;0,0,IF(AND(($S141-CM141)&gt;0,(CL141-$R141)&gt;0),$V141/365*(CM141-CL141+1),IF(AND(($S141-CM141)&lt;=0,(CL141-$R141)&gt;0),$V141/365*($S141-CL141+1),$V141/365*(CM141-$R141+1))))),0)</f>
        <v>0</v>
      </c>
      <c r="CO141" s="163">
        <f t="shared" ref="CO141:CO144" si="1711">CM141+1</f>
        <v>46357</v>
      </c>
      <c r="CP141" s="163">
        <f t="shared" ref="CP141:CP144" si="1712">CO141+30</f>
        <v>46387</v>
      </c>
      <c r="CQ141" s="167">
        <f t="shared" ref="CQ141:CQ144" si="1713">IFERROR(IF(($R141-CP141)&gt;=0,0,IF(($S141-CO141)&lt;0,0,IF(AND(($S141-CP141)&gt;0,(CO141-$R141)&gt;0),$V141/365*(CP141-CO141+1),IF(AND(($S141-CP141)&lt;=0,(CO141-$R141)&gt;0),$V141/365*($S141-CO141+1),$V141/365*(CP141-$R141+1))))),0)</f>
        <v>0</v>
      </c>
    </row>
    <row r="142" s="89" customFormat="1" ht="24" hidden="1" customHeight="1" outlineLevel="4" spans="1:95">
      <c r="A142" s="128"/>
      <c r="B142" s="129"/>
      <c r="C142" s="130"/>
      <c r="D142" s="128"/>
      <c r="E142" s="129"/>
      <c r="F142" s="129"/>
      <c r="G142" s="129"/>
      <c r="H142" s="131"/>
      <c r="I142" s="131"/>
      <c r="J142" s="131">
        <f t="shared" si="1570"/>
        <v>0</v>
      </c>
      <c r="K142" s="131">
        <f t="shared" ref="K142:K144" si="1714">K141+1</f>
        <v>2</v>
      </c>
      <c r="L142" s="156"/>
      <c r="M142" s="157">
        <f>IFERROR(VLOOKUP($L142,'2-2 引出数据_合同数据仓库'!$B$5:$BP$200,3,FALSE),0)</f>
        <v>0</v>
      </c>
      <c r="N142" s="131"/>
      <c r="O142" s="157">
        <f>IFERROR(VLOOKUP((LEFT(VLOOKUP($L142,'2-2 引出数据_合同数据仓库'!$B$5:$BP$200,64,FALSE),15)&amp;(RIGHT(VLOOKUP($L142,'2-2 引出数据_合同数据仓库'!$B$5:$BP$200,64,FALSE),4)+1)),'2-2 引出数据_合同数据仓库'!$B$5:$BP$200,3,FALSE),0)</f>
        <v>0</v>
      </c>
      <c r="P142" s="131"/>
      <c r="Q142" s="131">
        <f>IFERROR(VLOOKUP($L142,'2-2 引出数据_合同数据仓库'!$B$5:$BP$200,28,FALSE),0)</f>
        <v>0</v>
      </c>
      <c r="R142" s="131">
        <f>IFERROR(VLOOKUP($L142,'2-2 引出数据_合同数据仓库'!$B$5:$BP$200,29,FALSE),0)</f>
        <v>0</v>
      </c>
      <c r="S142" s="131">
        <f>IFERROR(VLOOKUP($L142,'2-2 引出数据_合同数据仓库'!$B$5:$BP$200,4,FALSE),0)</f>
        <v>0</v>
      </c>
      <c r="T142" s="131"/>
      <c r="U142" s="131">
        <f>IFERROR(VLOOKUP($L142,'2-2 引出数据_合同数据仓库'!$B$5:$BP$200,15,FALSE),0)</f>
        <v>0</v>
      </c>
      <c r="V142" s="131">
        <f t="shared" si="1643"/>
        <v>0</v>
      </c>
      <c r="W142" s="131"/>
      <c r="X142" s="163">
        <v>45658</v>
      </c>
      <c r="Y142" s="163">
        <f t="shared" si="1644"/>
        <v>45688</v>
      </c>
      <c r="Z142" s="167">
        <f t="shared" si="1645"/>
        <v>0</v>
      </c>
      <c r="AA142" s="163">
        <f t="shared" si="1646"/>
        <v>45689</v>
      </c>
      <c r="AB142" s="163">
        <f t="shared" si="1647"/>
        <v>45716</v>
      </c>
      <c r="AC142" s="167">
        <f t="shared" si="1648"/>
        <v>0</v>
      </c>
      <c r="AD142" s="163">
        <f t="shared" si="1649"/>
        <v>45717</v>
      </c>
      <c r="AE142" s="163">
        <f t="shared" si="1650"/>
        <v>45747</v>
      </c>
      <c r="AF142" s="167">
        <f t="shared" si="1651"/>
        <v>0</v>
      </c>
      <c r="AG142" s="163">
        <f t="shared" si="1652"/>
        <v>45748</v>
      </c>
      <c r="AH142" s="163">
        <f t="shared" si="1653"/>
        <v>45777</v>
      </c>
      <c r="AI142" s="167">
        <f t="shared" si="1654"/>
        <v>0</v>
      </c>
      <c r="AJ142" s="163">
        <f t="shared" si="1655"/>
        <v>45778</v>
      </c>
      <c r="AK142" s="163">
        <f t="shared" si="1656"/>
        <v>45808</v>
      </c>
      <c r="AL142" s="167">
        <f t="shared" si="1657"/>
        <v>0</v>
      </c>
      <c r="AM142" s="163">
        <f t="shared" si="1658"/>
        <v>45809</v>
      </c>
      <c r="AN142" s="163">
        <f t="shared" si="1659"/>
        <v>45838</v>
      </c>
      <c r="AO142" s="167">
        <f t="shared" si="1660"/>
        <v>0</v>
      </c>
      <c r="AP142" s="163">
        <f t="shared" si="1661"/>
        <v>45839</v>
      </c>
      <c r="AQ142" s="163">
        <f t="shared" si="1662"/>
        <v>45869</v>
      </c>
      <c r="AR142" s="167">
        <f t="shared" si="1663"/>
        <v>0</v>
      </c>
      <c r="AS142" s="163">
        <f t="shared" si="1664"/>
        <v>45870</v>
      </c>
      <c r="AT142" s="163">
        <f t="shared" si="1665"/>
        <v>45900</v>
      </c>
      <c r="AU142" s="167">
        <f t="shared" si="1666"/>
        <v>0</v>
      </c>
      <c r="AV142" s="163">
        <f t="shared" si="1667"/>
        <v>45901</v>
      </c>
      <c r="AW142" s="163">
        <f t="shared" si="1668"/>
        <v>45930</v>
      </c>
      <c r="AX142" s="167">
        <f t="shared" si="1669"/>
        <v>0</v>
      </c>
      <c r="AY142" s="163">
        <f t="shared" si="1670"/>
        <v>45931</v>
      </c>
      <c r="AZ142" s="163">
        <f t="shared" si="1671"/>
        <v>45961</v>
      </c>
      <c r="BA142" s="167">
        <f t="shared" si="1672"/>
        <v>0</v>
      </c>
      <c r="BB142" s="163">
        <f t="shared" si="1673"/>
        <v>45962</v>
      </c>
      <c r="BC142" s="163">
        <f t="shared" si="1674"/>
        <v>45991</v>
      </c>
      <c r="BD142" s="167">
        <f t="shared" si="1675"/>
        <v>0</v>
      </c>
      <c r="BE142" s="163">
        <f t="shared" si="1676"/>
        <v>45992</v>
      </c>
      <c r="BF142" s="163">
        <f t="shared" si="1677"/>
        <v>46022</v>
      </c>
      <c r="BG142" s="167">
        <f t="shared" si="1678"/>
        <v>0</v>
      </c>
      <c r="BH142" s="163">
        <v>46023</v>
      </c>
      <c r="BI142" s="163">
        <f t="shared" si="1679"/>
        <v>46053</v>
      </c>
      <c r="BJ142" s="167">
        <f t="shared" si="1680"/>
        <v>0</v>
      </c>
      <c r="BK142" s="163">
        <f t="shared" si="1681"/>
        <v>46054</v>
      </c>
      <c r="BL142" s="163">
        <f t="shared" si="1682"/>
        <v>46081</v>
      </c>
      <c r="BM142" s="167">
        <f t="shared" si="1683"/>
        <v>0</v>
      </c>
      <c r="BN142" s="163">
        <f t="shared" si="1684"/>
        <v>46082</v>
      </c>
      <c r="BO142" s="163">
        <f t="shared" si="1685"/>
        <v>46112</v>
      </c>
      <c r="BP142" s="167">
        <f t="shared" si="1686"/>
        <v>0</v>
      </c>
      <c r="BQ142" s="163">
        <f t="shared" si="1687"/>
        <v>46113</v>
      </c>
      <c r="BR142" s="163">
        <f t="shared" si="1688"/>
        <v>46142</v>
      </c>
      <c r="BS142" s="167">
        <f t="shared" si="1689"/>
        <v>0</v>
      </c>
      <c r="BT142" s="163">
        <f t="shared" si="1690"/>
        <v>46143</v>
      </c>
      <c r="BU142" s="163">
        <f t="shared" si="1691"/>
        <v>46173</v>
      </c>
      <c r="BV142" s="167">
        <f t="shared" si="1692"/>
        <v>0</v>
      </c>
      <c r="BW142" s="163">
        <f t="shared" si="1693"/>
        <v>46174</v>
      </c>
      <c r="BX142" s="163">
        <f t="shared" si="1694"/>
        <v>46203</v>
      </c>
      <c r="BY142" s="167">
        <f t="shared" si="1695"/>
        <v>0</v>
      </c>
      <c r="BZ142" s="163">
        <f t="shared" si="1696"/>
        <v>46204</v>
      </c>
      <c r="CA142" s="163">
        <f t="shared" si="1697"/>
        <v>46234</v>
      </c>
      <c r="CB142" s="167">
        <f t="shared" si="1698"/>
        <v>0</v>
      </c>
      <c r="CC142" s="163">
        <f t="shared" si="1699"/>
        <v>46235</v>
      </c>
      <c r="CD142" s="163">
        <f t="shared" si="1700"/>
        <v>46265</v>
      </c>
      <c r="CE142" s="167">
        <f t="shared" si="1701"/>
        <v>0</v>
      </c>
      <c r="CF142" s="163">
        <f t="shared" si="1702"/>
        <v>46266</v>
      </c>
      <c r="CG142" s="163">
        <f t="shared" si="1703"/>
        <v>46295</v>
      </c>
      <c r="CH142" s="167">
        <f t="shared" si="1704"/>
        <v>0</v>
      </c>
      <c r="CI142" s="163">
        <f t="shared" si="1705"/>
        <v>46296</v>
      </c>
      <c r="CJ142" s="163">
        <f t="shared" si="1706"/>
        <v>46326</v>
      </c>
      <c r="CK142" s="167">
        <f t="shared" si="1707"/>
        <v>0</v>
      </c>
      <c r="CL142" s="163">
        <f t="shared" si="1708"/>
        <v>46327</v>
      </c>
      <c r="CM142" s="163">
        <f t="shared" si="1709"/>
        <v>46356</v>
      </c>
      <c r="CN142" s="167">
        <f t="shared" si="1710"/>
        <v>0</v>
      </c>
      <c r="CO142" s="163">
        <f t="shared" si="1711"/>
        <v>46357</v>
      </c>
      <c r="CP142" s="163">
        <f t="shared" si="1712"/>
        <v>46387</v>
      </c>
      <c r="CQ142" s="167">
        <f t="shared" si="1713"/>
        <v>0</v>
      </c>
    </row>
    <row r="143" s="89" customFormat="1" ht="24" hidden="1" customHeight="1" outlineLevel="4" spans="1:95">
      <c r="A143" s="128"/>
      <c r="B143" s="129"/>
      <c r="C143" s="130"/>
      <c r="D143" s="128"/>
      <c r="E143" s="129"/>
      <c r="F143" s="129"/>
      <c r="G143" s="129"/>
      <c r="H143" s="131"/>
      <c r="I143" s="131"/>
      <c r="J143" s="131">
        <f t="shared" si="1570"/>
        <v>0</v>
      </c>
      <c r="K143" s="131">
        <f t="shared" si="1714"/>
        <v>3</v>
      </c>
      <c r="L143" s="156"/>
      <c r="M143" s="157">
        <f>IFERROR(VLOOKUP($L143,'2-2 引出数据_合同数据仓库'!$B$5:$BP$200,3,FALSE),0)</f>
        <v>0</v>
      </c>
      <c r="N143" s="131"/>
      <c r="O143" s="157">
        <f>IFERROR(VLOOKUP((LEFT(VLOOKUP($L143,'2-2 引出数据_合同数据仓库'!$B$5:$BP$200,64,FALSE),15)&amp;(RIGHT(VLOOKUP($L143,'2-2 引出数据_合同数据仓库'!$B$5:$BP$200,64,FALSE),4)+1)),'2-2 引出数据_合同数据仓库'!$B$5:$BP$200,3,FALSE),0)</f>
        <v>0</v>
      </c>
      <c r="P143" s="131"/>
      <c r="Q143" s="131">
        <f>IFERROR(VLOOKUP($L143,'2-2 引出数据_合同数据仓库'!$B$5:$BP$200,28,FALSE),0)</f>
        <v>0</v>
      </c>
      <c r="R143" s="131">
        <f>IFERROR(VLOOKUP($L143,'2-2 引出数据_合同数据仓库'!$B$5:$BP$200,29,FALSE),0)</f>
        <v>0</v>
      </c>
      <c r="S143" s="131">
        <f>IFERROR(VLOOKUP($L143,'2-2 引出数据_合同数据仓库'!$B$5:$BP$200,4,FALSE),0)</f>
        <v>0</v>
      </c>
      <c r="T143" s="131"/>
      <c r="U143" s="131">
        <f>IFERROR(VLOOKUP($L143,'2-2 引出数据_合同数据仓库'!$B$5:$BP$200,15,FALSE),0)</f>
        <v>0</v>
      </c>
      <c r="V143" s="131">
        <f t="shared" si="1643"/>
        <v>0</v>
      </c>
      <c r="W143" s="131"/>
      <c r="X143" s="163">
        <v>45658</v>
      </c>
      <c r="Y143" s="163">
        <f t="shared" si="1644"/>
        <v>45688</v>
      </c>
      <c r="Z143" s="167">
        <f t="shared" si="1645"/>
        <v>0</v>
      </c>
      <c r="AA143" s="163">
        <f t="shared" si="1646"/>
        <v>45689</v>
      </c>
      <c r="AB143" s="163">
        <f t="shared" si="1647"/>
        <v>45716</v>
      </c>
      <c r="AC143" s="167">
        <f t="shared" si="1648"/>
        <v>0</v>
      </c>
      <c r="AD143" s="163">
        <f t="shared" si="1649"/>
        <v>45717</v>
      </c>
      <c r="AE143" s="163">
        <f t="shared" si="1650"/>
        <v>45747</v>
      </c>
      <c r="AF143" s="167">
        <f t="shared" si="1651"/>
        <v>0</v>
      </c>
      <c r="AG143" s="163">
        <f t="shared" si="1652"/>
        <v>45748</v>
      </c>
      <c r="AH143" s="163">
        <f t="shared" si="1653"/>
        <v>45777</v>
      </c>
      <c r="AI143" s="167">
        <f t="shared" si="1654"/>
        <v>0</v>
      </c>
      <c r="AJ143" s="163">
        <f t="shared" si="1655"/>
        <v>45778</v>
      </c>
      <c r="AK143" s="163">
        <f t="shared" si="1656"/>
        <v>45808</v>
      </c>
      <c r="AL143" s="167">
        <f t="shared" si="1657"/>
        <v>0</v>
      </c>
      <c r="AM143" s="163">
        <f t="shared" si="1658"/>
        <v>45809</v>
      </c>
      <c r="AN143" s="163">
        <f t="shared" si="1659"/>
        <v>45838</v>
      </c>
      <c r="AO143" s="167">
        <f t="shared" si="1660"/>
        <v>0</v>
      </c>
      <c r="AP143" s="163">
        <f t="shared" si="1661"/>
        <v>45839</v>
      </c>
      <c r="AQ143" s="163">
        <f t="shared" si="1662"/>
        <v>45869</v>
      </c>
      <c r="AR143" s="167">
        <f t="shared" si="1663"/>
        <v>0</v>
      </c>
      <c r="AS143" s="163">
        <f t="shared" si="1664"/>
        <v>45870</v>
      </c>
      <c r="AT143" s="163">
        <f t="shared" si="1665"/>
        <v>45900</v>
      </c>
      <c r="AU143" s="167">
        <f t="shared" si="1666"/>
        <v>0</v>
      </c>
      <c r="AV143" s="163">
        <f t="shared" si="1667"/>
        <v>45901</v>
      </c>
      <c r="AW143" s="163">
        <f t="shared" si="1668"/>
        <v>45930</v>
      </c>
      <c r="AX143" s="167">
        <f t="shared" si="1669"/>
        <v>0</v>
      </c>
      <c r="AY143" s="163">
        <f t="shared" si="1670"/>
        <v>45931</v>
      </c>
      <c r="AZ143" s="163">
        <f t="shared" si="1671"/>
        <v>45961</v>
      </c>
      <c r="BA143" s="167">
        <f t="shared" si="1672"/>
        <v>0</v>
      </c>
      <c r="BB143" s="163">
        <f t="shared" si="1673"/>
        <v>45962</v>
      </c>
      <c r="BC143" s="163">
        <f t="shared" si="1674"/>
        <v>45991</v>
      </c>
      <c r="BD143" s="167">
        <f t="shared" si="1675"/>
        <v>0</v>
      </c>
      <c r="BE143" s="163">
        <f t="shared" si="1676"/>
        <v>45992</v>
      </c>
      <c r="BF143" s="163">
        <f t="shared" si="1677"/>
        <v>46022</v>
      </c>
      <c r="BG143" s="167">
        <f t="shared" si="1678"/>
        <v>0</v>
      </c>
      <c r="BH143" s="163">
        <v>46023</v>
      </c>
      <c r="BI143" s="163">
        <f t="shared" si="1679"/>
        <v>46053</v>
      </c>
      <c r="BJ143" s="167">
        <f t="shared" si="1680"/>
        <v>0</v>
      </c>
      <c r="BK143" s="163">
        <f t="shared" si="1681"/>
        <v>46054</v>
      </c>
      <c r="BL143" s="163">
        <f t="shared" si="1682"/>
        <v>46081</v>
      </c>
      <c r="BM143" s="167">
        <f t="shared" si="1683"/>
        <v>0</v>
      </c>
      <c r="BN143" s="163">
        <f t="shared" si="1684"/>
        <v>46082</v>
      </c>
      <c r="BO143" s="163">
        <f t="shared" si="1685"/>
        <v>46112</v>
      </c>
      <c r="BP143" s="167">
        <f t="shared" si="1686"/>
        <v>0</v>
      </c>
      <c r="BQ143" s="163">
        <f t="shared" si="1687"/>
        <v>46113</v>
      </c>
      <c r="BR143" s="163">
        <f t="shared" si="1688"/>
        <v>46142</v>
      </c>
      <c r="BS143" s="167">
        <f t="shared" si="1689"/>
        <v>0</v>
      </c>
      <c r="BT143" s="163">
        <f t="shared" si="1690"/>
        <v>46143</v>
      </c>
      <c r="BU143" s="163">
        <f t="shared" si="1691"/>
        <v>46173</v>
      </c>
      <c r="BV143" s="167">
        <f t="shared" si="1692"/>
        <v>0</v>
      </c>
      <c r="BW143" s="163">
        <f t="shared" si="1693"/>
        <v>46174</v>
      </c>
      <c r="BX143" s="163">
        <f t="shared" si="1694"/>
        <v>46203</v>
      </c>
      <c r="BY143" s="167">
        <f t="shared" si="1695"/>
        <v>0</v>
      </c>
      <c r="BZ143" s="163">
        <f t="shared" si="1696"/>
        <v>46204</v>
      </c>
      <c r="CA143" s="163">
        <f t="shared" si="1697"/>
        <v>46234</v>
      </c>
      <c r="CB143" s="167">
        <f t="shared" si="1698"/>
        <v>0</v>
      </c>
      <c r="CC143" s="163">
        <f t="shared" si="1699"/>
        <v>46235</v>
      </c>
      <c r="CD143" s="163">
        <f t="shared" si="1700"/>
        <v>46265</v>
      </c>
      <c r="CE143" s="167">
        <f t="shared" si="1701"/>
        <v>0</v>
      </c>
      <c r="CF143" s="163">
        <f t="shared" si="1702"/>
        <v>46266</v>
      </c>
      <c r="CG143" s="163">
        <f t="shared" si="1703"/>
        <v>46295</v>
      </c>
      <c r="CH143" s="167">
        <f t="shared" si="1704"/>
        <v>0</v>
      </c>
      <c r="CI143" s="163">
        <f t="shared" si="1705"/>
        <v>46296</v>
      </c>
      <c r="CJ143" s="163">
        <f t="shared" si="1706"/>
        <v>46326</v>
      </c>
      <c r="CK143" s="167">
        <f t="shared" si="1707"/>
        <v>0</v>
      </c>
      <c r="CL143" s="163">
        <f t="shared" si="1708"/>
        <v>46327</v>
      </c>
      <c r="CM143" s="163">
        <f t="shared" si="1709"/>
        <v>46356</v>
      </c>
      <c r="CN143" s="167">
        <f t="shared" si="1710"/>
        <v>0</v>
      </c>
      <c r="CO143" s="163">
        <f t="shared" si="1711"/>
        <v>46357</v>
      </c>
      <c r="CP143" s="163">
        <f t="shared" si="1712"/>
        <v>46387</v>
      </c>
      <c r="CQ143" s="167">
        <f t="shared" si="1713"/>
        <v>0</v>
      </c>
    </row>
    <row r="144" s="89" customFormat="1" ht="24" hidden="1" customHeight="1" outlineLevel="4" spans="1:95">
      <c r="A144" s="128"/>
      <c r="B144" s="129"/>
      <c r="C144" s="130"/>
      <c r="D144" s="128"/>
      <c r="E144" s="129"/>
      <c r="F144" s="129"/>
      <c r="G144" s="129"/>
      <c r="H144" s="131"/>
      <c r="I144" s="131"/>
      <c r="J144" s="131">
        <f t="shared" si="1570"/>
        <v>0</v>
      </c>
      <c r="K144" s="131">
        <f t="shared" si="1714"/>
        <v>4</v>
      </c>
      <c r="L144" s="156"/>
      <c r="M144" s="157">
        <f>IFERROR(VLOOKUP($L144,'2-2 引出数据_合同数据仓库'!$B$5:$BP$200,3,FALSE),0)</f>
        <v>0</v>
      </c>
      <c r="N144" s="131"/>
      <c r="O144" s="157">
        <f>IFERROR(VLOOKUP((LEFT(VLOOKUP($L144,'2-2 引出数据_合同数据仓库'!$B$5:$BP$200,64,FALSE),15)&amp;(RIGHT(VLOOKUP($L144,'2-2 引出数据_合同数据仓库'!$B$5:$BP$200,64,FALSE),4)+1)),'2-2 引出数据_合同数据仓库'!$B$5:$BP$200,3,FALSE),0)</f>
        <v>0</v>
      </c>
      <c r="P144" s="131"/>
      <c r="Q144" s="131">
        <f>IFERROR(VLOOKUP($L144,'2-2 引出数据_合同数据仓库'!$B$5:$BP$200,28,FALSE),0)</f>
        <v>0</v>
      </c>
      <c r="R144" s="131">
        <f>IFERROR(VLOOKUP($L144,'2-2 引出数据_合同数据仓库'!$B$5:$BP$200,29,FALSE),0)</f>
        <v>0</v>
      </c>
      <c r="S144" s="131">
        <f>IFERROR(VLOOKUP($L144,'2-2 引出数据_合同数据仓库'!$B$5:$BP$200,4,FALSE),0)</f>
        <v>0</v>
      </c>
      <c r="T144" s="131"/>
      <c r="U144" s="131">
        <f>IFERROR(VLOOKUP($L144,'2-2 引出数据_合同数据仓库'!$B$5:$BP$200,15,FALSE),0)</f>
        <v>0</v>
      </c>
      <c r="V144" s="131">
        <f t="shared" si="1643"/>
        <v>0</v>
      </c>
      <c r="W144" s="131"/>
      <c r="X144" s="163">
        <v>45658</v>
      </c>
      <c r="Y144" s="163">
        <f t="shared" si="1644"/>
        <v>45688</v>
      </c>
      <c r="Z144" s="167">
        <f t="shared" si="1645"/>
        <v>0</v>
      </c>
      <c r="AA144" s="163">
        <f t="shared" si="1646"/>
        <v>45689</v>
      </c>
      <c r="AB144" s="163">
        <f t="shared" si="1647"/>
        <v>45716</v>
      </c>
      <c r="AC144" s="167">
        <f t="shared" si="1648"/>
        <v>0</v>
      </c>
      <c r="AD144" s="163">
        <f t="shared" si="1649"/>
        <v>45717</v>
      </c>
      <c r="AE144" s="163">
        <f t="shared" si="1650"/>
        <v>45747</v>
      </c>
      <c r="AF144" s="167">
        <f t="shared" si="1651"/>
        <v>0</v>
      </c>
      <c r="AG144" s="163">
        <f t="shared" si="1652"/>
        <v>45748</v>
      </c>
      <c r="AH144" s="163">
        <f t="shared" si="1653"/>
        <v>45777</v>
      </c>
      <c r="AI144" s="167">
        <f t="shared" si="1654"/>
        <v>0</v>
      </c>
      <c r="AJ144" s="163">
        <f t="shared" si="1655"/>
        <v>45778</v>
      </c>
      <c r="AK144" s="163">
        <f t="shared" si="1656"/>
        <v>45808</v>
      </c>
      <c r="AL144" s="167">
        <f t="shared" si="1657"/>
        <v>0</v>
      </c>
      <c r="AM144" s="163">
        <f t="shared" si="1658"/>
        <v>45809</v>
      </c>
      <c r="AN144" s="163">
        <f t="shared" si="1659"/>
        <v>45838</v>
      </c>
      <c r="AO144" s="167">
        <f t="shared" si="1660"/>
        <v>0</v>
      </c>
      <c r="AP144" s="163">
        <f t="shared" si="1661"/>
        <v>45839</v>
      </c>
      <c r="AQ144" s="163">
        <f t="shared" si="1662"/>
        <v>45869</v>
      </c>
      <c r="AR144" s="167">
        <f t="shared" si="1663"/>
        <v>0</v>
      </c>
      <c r="AS144" s="163">
        <f t="shared" si="1664"/>
        <v>45870</v>
      </c>
      <c r="AT144" s="163">
        <f t="shared" si="1665"/>
        <v>45900</v>
      </c>
      <c r="AU144" s="167">
        <f t="shared" si="1666"/>
        <v>0</v>
      </c>
      <c r="AV144" s="163">
        <f t="shared" si="1667"/>
        <v>45901</v>
      </c>
      <c r="AW144" s="163">
        <f t="shared" si="1668"/>
        <v>45930</v>
      </c>
      <c r="AX144" s="167">
        <f t="shared" si="1669"/>
        <v>0</v>
      </c>
      <c r="AY144" s="163">
        <f t="shared" si="1670"/>
        <v>45931</v>
      </c>
      <c r="AZ144" s="163">
        <f t="shared" si="1671"/>
        <v>45961</v>
      </c>
      <c r="BA144" s="167">
        <f t="shared" si="1672"/>
        <v>0</v>
      </c>
      <c r="BB144" s="163">
        <f t="shared" si="1673"/>
        <v>45962</v>
      </c>
      <c r="BC144" s="163">
        <f t="shared" si="1674"/>
        <v>45991</v>
      </c>
      <c r="BD144" s="167">
        <f t="shared" si="1675"/>
        <v>0</v>
      </c>
      <c r="BE144" s="163">
        <f t="shared" si="1676"/>
        <v>45992</v>
      </c>
      <c r="BF144" s="163">
        <f t="shared" si="1677"/>
        <v>46022</v>
      </c>
      <c r="BG144" s="167">
        <f t="shared" si="1678"/>
        <v>0</v>
      </c>
      <c r="BH144" s="163">
        <v>46023</v>
      </c>
      <c r="BI144" s="163">
        <f t="shared" si="1679"/>
        <v>46053</v>
      </c>
      <c r="BJ144" s="167">
        <f t="shared" si="1680"/>
        <v>0</v>
      </c>
      <c r="BK144" s="163">
        <f t="shared" si="1681"/>
        <v>46054</v>
      </c>
      <c r="BL144" s="163">
        <f t="shared" si="1682"/>
        <v>46081</v>
      </c>
      <c r="BM144" s="167">
        <f t="shared" si="1683"/>
        <v>0</v>
      </c>
      <c r="BN144" s="163">
        <f t="shared" si="1684"/>
        <v>46082</v>
      </c>
      <c r="BO144" s="163">
        <f t="shared" si="1685"/>
        <v>46112</v>
      </c>
      <c r="BP144" s="167">
        <f t="shared" si="1686"/>
        <v>0</v>
      </c>
      <c r="BQ144" s="163">
        <f t="shared" si="1687"/>
        <v>46113</v>
      </c>
      <c r="BR144" s="163">
        <f t="shared" si="1688"/>
        <v>46142</v>
      </c>
      <c r="BS144" s="167">
        <f t="shared" si="1689"/>
        <v>0</v>
      </c>
      <c r="BT144" s="163">
        <f t="shared" si="1690"/>
        <v>46143</v>
      </c>
      <c r="BU144" s="163">
        <f t="shared" si="1691"/>
        <v>46173</v>
      </c>
      <c r="BV144" s="167">
        <f t="shared" si="1692"/>
        <v>0</v>
      </c>
      <c r="BW144" s="163">
        <f t="shared" si="1693"/>
        <v>46174</v>
      </c>
      <c r="BX144" s="163">
        <f t="shared" si="1694"/>
        <v>46203</v>
      </c>
      <c r="BY144" s="167">
        <f t="shared" si="1695"/>
        <v>0</v>
      </c>
      <c r="BZ144" s="163">
        <f t="shared" si="1696"/>
        <v>46204</v>
      </c>
      <c r="CA144" s="163">
        <f t="shared" si="1697"/>
        <v>46234</v>
      </c>
      <c r="CB144" s="167">
        <f t="shared" si="1698"/>
        <v>0</v>
      </c>
      <c r="CC144" s="163">
        <f t="shared" si="1699"/>
        <v>46235</v>
      </c>
      <c r="CD144" s="163">
        <f t="shared" si="1700"/>
        <v>46265</v>
      </c>
      <c r="CE144" s="167">
        <f t="shared" si="1701"/>
        <v>0</v>
      </c>
      <c r="CF144" s="163">
        <f t="shared" si="1702"/>
        <v>46266</v>
      </c>
      <c r="CG144" s="163">
        <f t="shared" si="1703"/>
        <v>46295</v>
      </c>
      <c r="CH144" s="167">
        <f t="shared" si="1704"/>
        <v>0</v>
      </c>
      <c r="CI144" s="163">
        <f t="shared" si="1705"/>
        <v>46296</v>
      </c>
      <c r="CJ144" s="163">
        <f t="shared" si="1706"/>
        <v>46326</v>
      </c>
      <c r="CK144" s="167">
        <f t="shared" si="1707"/>
        <v>0</v>
      </c>
      <c r="CL144" s="163">
        <f t="shared" si="1708"/>
        <v>46327</v>
      </c>
      <c r="CM144" s="163">
        <f t="shared" si="1709"/>
        <v>46356</v>
      </c>
      <c r="CN144" s="167">
        <f t="shared" si="1710"/>
        <v>0</v>
      </c>
      <c r="CO144" s="163">
        <f t="shared" si="1711"/>
        <v>46357</v>
      </c>
      <c r="CP144" s="163">
        <f t="shared" si="1712"/>
        <v>46387</v>
      </c>
      <c r="CQ144" s="167">
        <f t="shared" si="1713"/>
        <v>0</v>
      </c>
    </row>
    <row r="145" s="89" customFormat="1" ht="24" hidden="1" customHeight="1" outlineLevel="4" spans="1:95">
      <c r="A145" s="132" t="s">
        <v>2813</v>
      </c>
      <c r="B145" s="133"/>
      <c r="C145" s="133"/>
      <c r="D145" s="133"/>
      <c r="E145" s="133"/>
      <c r="F145" s="133"/>
      <c r="G145" s="134"/>
      <c r="H145" s="135"/>
      <c r="I145" s="135"/>
      <c r="J145" s="135"/>
      <c r="K145" s="135"/>
      <c r="L145" s="158"/>
      <c r="M145" s="158"/>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c r="CL145" s="135"/>
      <c r="CM145" s="135"/>
      <c r="CN145" s="135"/>
      <c r="CO145" s="135"/>
      <c r="CP145" s="135"/>
      <c r="CQ145" s="135"/>
    </row>
    <row r="146" ht="24" hidden="1" customHeight="1" outlineLevel="3" collapsed="1" spans="1:95">
      <c r="A146" s="124"/>
      <c r="B146" s="125" t="s">
        <v>792</v>
      </c>
      <c r="C146" s="126" t="s">
        <v>74</v>
      </c>
      <c r="D146" s="124" t="s">
        <v>68</v>
      </c>
      <c r="E146" s="125"/>
      <c r="F146" s="125"/>
      <c r="G146" s="125"/>
      <c r="H146" s="127">
        <f>X146+AA146+AD146+AG146+AJ146+AM146+AP146+AS146+AV146+AY146+BB146+BE146</f>
        <v>0</v>
      </c>
      <c r="I146" s="127">
        <f>Y146+AB146+AE146+AH146+AK146+AN146+AQ146+AT146+AW146+AZ146+BC146+BF146</f>
        <v>0</v>
      </c>
      <c r="J146" s="127">
        <f t="shared" si="1570"/>
        <v>0</v>
      </c>
      <c r="K146" s="127"/>
      <c r="L146" s="155"/>
      <c r="M146" s="155"/>
      <c r="N146" s="127"/>
      <c r="O146" s="127"/>
      <c r="P146" s="127"/>
      <c r="Q146" s="127"/>
      <c r="R146" s="127"/>
      <c r="S146" s="127"/>
      <c r="T146" s="127"/>
      <c r="U146" s="127"/>
      <c r="V146" s="127"/>
      <c r="W146" s="127"/>
      <c r="X146" s="127">
        <f>VLOOKUP($C146,'1 预算编制表单'!$C:$BJ,27,FALSE)</f>
        <v>0</v>
      </c>
      <c r="Y146" s="127">
        <f>X146-Z146</f>
        <v>0</v>
      </c>
      <c r="Z146" s="127">
        <f>SUM(Z147:Z151)</f>
        <v>0</v>
      </c>
      <c r="AA146" s="127">
        <f>VLOOKUP($C146,'1 预算编制表单'!$C:$BJ,30,FALSE)</f>
        <v>0</v>
      </c>
      <c r="AB146" s="127">
        <f>AA146-AC146</f>
        <v>0</v>
      </c>
      <c r="AC146" s="127">
        <f>SUM(AC147:AC151)</f>
        <v>0</v>
      </c>
      <c r="AD146" s="127">
        <f>VLOOKUP($C146,'1 预算编制表单'!$C:$BJ,33,FALSE)</f>
        <v>0</v>
      </c>
      <c r="AE146" s="127">
        <f>AD146-AF146</f>
        <v>0</v>
      </c>
      <c r="AF146" s="127">
        <f>SUM(AF147:AF151)</f>
        <v>0</v>
      </c>
      <c r="AG146" s="127">
        <f>VLOOKUP($C146,'1 预算编制表单'!$C:$BJ,36,FALSE)</f>
        <v>0</v>
      </c>
      <c r="AH146" s="127">
        <f>AG146-AI146</f>
        <v>0</v>
      </c>
      <c r="AI146" s="127">
        <f>SUM(AI147:AI151)</f>
        <v>0</v>
      </c>
      <c r="AJ146" s="127">
        <f>VLOOKUP($C146,'1 预算编制表单'!$C:$BJ,39,FALSE)</f>
        <v>0</v>
      </c>
      <c r="AK146" s="127">
        <f>AJ146-AL146</f>
        <v>0</v>
      </c>
      <c r="AL146" s="127">
        <f>SUM(AL147:AL151)</f>
        <v>0</v>
      </c>
      <c r="AM146" s="127">
        <f>VLOOKUP($C146,'1 预算编制表单'!$C:$BJ,42,FALSE)</f>
        <v>0</v>
      </c>
      <c r="AN146" s="127">
        <f>AM146-AO146</f>
        <v>0</v>
      </c>
      <c r="AO146" s="127">
        <f>SUM(AO147:AO151)</f>
        <v>0</v>
      </c>
      <c r="AP146" s="127">
        <f>VLOOKUP($C146,'1 预算编制表单'!$C:$BJ,45,FALSE)</f>
        <v>0</v>
      </c>
      <c r="AQ146" s="127">
        <f>AP146-AR146</f>
        <v>0</v>
      </c>
      <c r="AR146" s="127">
        <f>SUM(AR147:AR151)</f>
        <v>0</v>
      </c>
      <c r="AS146" s="127">
        <f>VLOOKUP($C146,'1 预算编制表单'!$C:$BJ,48,FALSE)</f>
        <v>0</v>
      </c>
      <c r="AT146" s="127">
        <f>AS146-AU146</f>
        <v>0</v>
      </c>
      <c r="AU146" s="127">
        <f>SUM(AU147:AU151)</f>
        <v>0</v>
      </c>
      <c r="AV146" s="127">
        <f>VLOOKUP($C146,'1 预算编制表单'!$C:$BJ,51,FALSE)</f>
        <v>0</v>
      </c>
      <c r="AW146" s="127">
        <f>AV146-AX146</f>
        <v>0</v>
      </c>
      <c r="AX146" s="127">
        <f>SUM(AX147:AX151)</f>
        <v>0</v>
      </c>
      <c r="AY146" s="127">
        <f>VLOOKUP($C146,'1 预算编制表单'!$C:$BJ,54,FALSE)</f>
        <v>0</v>
      </c>
      <c r="AZ146" s="127">
        <f>AY146-BA146</f>
        <v>0</v>
      </c>
      <c r="BA146" s="127">
        <f>SUM(BA147:BA151)</f>
        <v>0</v>
      </c>
      <c r="BB146" s="127">
        <f>VLOOKUP($C146,'1 预算编制表单'!$C:$BJ,57,FALSE)</f>
        <v>0</v>
      </c>
      <c r="BC146" s="127">
        <f>BB146-BD146</f>
        <v>0</v>
      </c>
      <c r="BD146" s="127">
        <f>SUM(BD147:BD151)</f>
        <v>0</v>
      </c>
      <c r="BE146" s="127">
        <f>VLOOKUP($C146,'1 预算编制表单'!$C:$BJ,60,FALSE)</f>
        <v>0</v>
      </c>
      <c r="BF146" s="127">
        <f>BE146-BG146</f>
        <v>0</v>
      </c>
      <c r="BG146" s="127">
        <f>SUM(BG147:BG151)</f>
        <v>0</v>
      </c>
      <c r="BH146" s="127">
        <f>VLOOKUP($C146,'1 预算编制表单'!$C:$BJ,27,FALSE)</f>
        <v>0</v>
      </c>
      <c r="BI146" s="127">
        <f>BH146-BJ146</f>
        <v>0</v>
      </c>
      <c r="BJ146" s="127">
        <f>SUM(BJ147:BJ151)</f>
        <v>0</v>
      </c>
      <c r="BK146" s="127">
        <f>VLOOKUP($C146,'1 预算编制表单'!$C:$BJ,30,FALSE)</f>
        <v>0</v>
      </c>
      <c r="BL146" s="127">
        <f>BK146-BM146</f>
        <v>0</v>
      </c>
      <c r="BM146" s="127">
        <f>SUM(BM147:BM151)</f>
        <v>0</v>
      </c>
      <c r="BN146" s="127">
        <f>VLOOKUP($C146,'1 预算编制表单'!$C:$BJ,33,FALSE)</f>
        <v>0</v>
      </c>
      <c r="BO146" s="127">
        <f>BN146-BP146</f>
        <v>0</v>
      </c>
      <c r="BP146" s="127">
        <f>SUM(BP147:BP151)</f>
        <v>0</v>
      </c>
      <c r="BQ146" s="127">
        <f>VLOOKUP($C146,'1 预算编制表单'!$C:$BJ,36,FALSE)</f>
        <v>0</v>
      </c>
      <c r="BR146" s="127">
        <f>BQ146-BS146</f>
        <v>0</v>
      </c>
      <c r="BS146" s="127">
        <f>SUM(BS147:BS151)</f>
        <v>0</v>
      </c>
      <c r="BT146" s="127">
        <f>VLOOKUP($C146,'1 预算编制表单'!$C:$BJ,39,FALSE)</f>
        <v>0</v>
      </c>
      <c r="BU146" s="127">
        <f>BT146-BV146</f>
        <v>0</v>
      </c>
      <c r="BV146" s="127">
        <f>SUM(BV147:BV151)</f>
        <v>0</v>
      </c>
      <c r="BW146" s="127">
        <f>VLOOKUP($C146,'1 预算编制表单'!$C:$BJ,42,FALSE)</f>
        <v>0</v>
      </c>
      <c r="BX146" s="127">
        <f>BW146-BY146</f>
        <v>0</v>
      </c>
      <c r="BY146" s="127">
        <f>SUM(BY147:BY151)</f>
        <v>0</v>
      </c>
      <c r="BZ146" s="127">
        <f>VLOOKUP($C146,'1 预算编制表单'!$C:$BJ,45,FALSE)</f>
        <v>0</v>
      </c>
      <c r="CA146" s="127">
        <f>BZ146-CB146</f>
        <v>0</v>
      </c>
      <c r="CB146" s="127">
        <f>SUM(CB147:CB151)</f>
        <v>0</v>
      </c>
      <c r="CC146" s="127">
        <f>VLOOKUP($C146,'1 预算编制表单'!$C:$BJ,48,FALSE)</f>
        <v>0</v>
      </c>
      <c r="CD146" s="127">
        <f>CC146-CE146</f>
        <v>0</v>
      </c>
      <c r="CE146" s="127">
        <f>SUM(CE147:CE151)</f>
        <v>0</v>
      </c>
      <c r="CF146" s="127">
        <f>VLOOKUP($C146,'1 预算编制表单'!$C:$BJ,51,FALSE)</f>
        <v>0</v>
      </c>
      <c r="CG146" s="127">
        <f>CF146-CH146</f>
        <v>0</v>
      </c>
      <c r="CH146" s="127">
        <f>SUM(CH147:CH151)</f>
        <v>0</v>
      </c>
      <c r="CI146" s="127">
        <f>VLOOKUP($C146,'1 预算编制表单'!$C:$BJ,54,FALSE)</f>
        <v>0</v>
      </c>
      <c r="CJ146" s="127">
        <f>CI146-CK146</f>
        <v>0</v>
      </c>
      <c r="CK146" s="127">
        <f>SUM(CK147:CK151)</f>
        <v>0</v>
      </c>
      <c r="CL146" s="127">
        <f>VLOOKUP($C146,'1 预算编制表单'!$C:$BJ,57,FALSE)</f>
        <v>0</v>
      </c>
      <c r="CM146" s="127">
        <f>CL146-CN146</f>
        <v>0</v>
      </c>
      <c r="CN146" s="127">
        <f>SUM(CN147:CN151)</f>
        <v>0</v>
      </c>
      <c r="CO146" s="127">
        <f>VLOOKUP($C146,'1 预算编制表单'!$C:$BJ,60,FALSE)</f>
        <v>0</v>
      </c>
      <c r="CP146" s="127">
        <f>CO146-CQ146</f>
        <v>0</v>
      </c>
      <c r="CQ146" s="127">
        <f>SUM(CQ147:CQ151)</f>
        <v>0</v>
      </c>
    </row>
    <row r="147" s="89" customFormat="1" ht="24" hidden="1" customHeight="1" outlineLevel="4" spans="1:95">
      <c r="A147" s="128"/>
      <c r="B147" s="129"/>
      <c r="C147" s="130" t="s">
        <v>1100</v>
      </c>
      <c r="D147" s="137" t="s">
        <v>2814</v>
      </c>
      <c r="E147" s="129"/>
      <c r="F147" s="129"/>
      <c r="G147" s="129"/>
      <c r="H147" s="159"/>
      <c r="I147" s="159"/>
      <c r="J147" s="131">
        <f t="shared" si="1570"/>
        <v>0</v>
      </c>
      <c r="K147" s="159"/>
      <c r="L147" s="160"/>
      <c r="M147" s="160"/>
      <c r="N147" s="159"/>
      <c r="O147" s="160"/>
      <c r="P147" s="159"/>
      <c r="Q147" s="159"/>
      <c r="R147" s="159"/>
      <c r="S147" s="159"/>
      <c r="T147" s="159"/>
      <c r="U147" s="159"/>
      <c r="V147" s="159"/>
      <c r="W147" s="159"/>
      <c r="X147" s="168"/>
      <c r="Y147" s="168"/>
      <c r="Z147" s="159">
        <f>报销单计算表!B19</f>
        <v>0</v>
      </c>
      <c r="AA147" s="168"/>
      <c r="AB147" s="168"/>
      <c r="AC147" s="159">
        <f>报销单计算表!C22</f>
        <v>0</v>
      </c>
      <c r="AD147" s="168"/>
      <c r="AE147" s="168"/>
      <c r="AF147" s="159">
        <f>报销单计算表!D22</f>
        <v>0</v>
      </c>
      <c r="AG147" s="168"/>
      <c r="AH147" s="168"/>
      <c r="AI147" s="159">
        <f>报销单计算表!E22</f>
        <v>0</v>
      </c>
      <c r="AJ147" s="168"/>
      <c r="AK147" s="168"/>
      <c r="AL147" s="159">
        <f>报销单计算表!F22</f>
        <v>0</v>
      </c>
      <c r="AM147" s="168"/>
      <c r="AN147" s="168"/>
      <c r="AO147" s="159">
        <f>报销单计算表!G22</f>
        <v>0</v>
      </c>
      <c r="AP147" s="168"/>
      <c r="AQ147" s="168"/>
      <c r="AR147" s="159">
        <f>报销单计算表!H22</f>
        <v>0</v>
      </c>
      <c r="AS147" s="168"/>
      <c r="AT147" s="168"/>
      <c r="AU147" s="159">
        <f>报销单计算表!I22</f>
        <v>0</v>
      </c>
      <c r="AV147" s="168"/>
      <c r="AW147" s="168"/>
      <c r="AX147" s="159">
        <f>报销单计算表!J22</f>
        <v>0</v>
      </c>
      <c r="AY147" s="168"/>
      <c r="AZ147" s="168"/>
      <c r="BA147" s="159">
        <f>报销单计算表!L22</f>
        <v>0</v>
      </c>
      <c r="BB147" s="168"/>
      <c r="BC147" s="168"/>
      <c r="BD147" s="159">
        <f>报销单计算表!L22</f>
        <v>0</v>
      </c>
      <c r="BE147" s="168"/>
      <c r="BF147" s="168"/>
      <c r="BG147" s="159">
        <f>报销单计算表!M22</f>
        <v>0</v>
      </c>
      <c r="BH147" s="163">
        <v>46023</v>
      </c>
      <c r="BI147" s="163">
        <f t="shared" ref="BI147" si="1715">BH147+30</f>
        <v>46053</v>
      </c>
      <c r="BJ147" s="172">
        <f t="shared" ref="BJ147" si="1716">IFERROR(IF(($R147-BI147)&gt;=0,0,IF(($S147-BH147)&lt;0,0,IF(AND(($S147-BI147)&gt;0,(BH147-$R147)&gt;0),$V147/365*(BI147-BH147+1),IF(AND(($S147-BI147)&lt;=0,(BH147-$R147)&gt;0),$V147/365*($S147-BH147+1),$V147/365*(BI147-$R147+1))))),0)</f>
        <v>0</v>
      </c>
      <c r="BK147" s="163">
        <f t="shared" ref="BK147" si="1717">BI147+1</f>
        <v>46054</v>
      </c>
      <c r="BL147" s="163">
        <f t="shared" ref="BL147" si="1718">BK147+27</f>
        <v>46081</v>
      </c>
      <c r="BM147" s="172">
        <f t="shared" ref="BM147" si="1719">IFERROR(IF(($R147-BL147)&gt;=0,0,IF(($S147-BK147)&lt;0,0,IF(AND(($S147-BL147)&gt;0,(BK147-$R147)&gt;0),$V147/365*(BL147-BK147+1),IF(AND(($S147-BL147)&lt;=0,(BK147-$R147)&gt;0),$V147/365*($S147-BK147+1),$V147/365*(BL147-$R147+1))))),0)</f>
        <v>0</v>
      </c>
      <c r="BN147" s="163">
        <f t="shared" ref="BN147" si="1720">BL147+1</f>
        <v>46082</v>
      </c>
      <c r="BO147" s="163">
        <f t="shared" ref="BO147" si="1721">BN147+30</f>
        <v>46112</v>
      </c>
      <c r="BP147" s="172">
        <f t="shared" ref="BP147" si="1722">IFERROR(IF(($R147-BO147)&gt;=0,0,IF(($S147-BN147)&lt;0,0,IF(AND(($S147-BO147)&gt;0,(BN147-$R147)&gt;0),$V147/365*(BO147-BN147+1),IF(AND(($S147-BO147)&lt;=0,(BN147-$R147)&gt;0),$V147/365*($S147-BN147+1),$V147/365*(BO147-$R147+1))))),0)</f>
        <v>0</v>
      </c>
      <c r="BQ147" s="163">
        <f t="shared" ref="BQ147" si="1723">BO147+1</f>
        <v>46113</v>
      </c>
      <c r="BR147" s="163">
        <f t="shared" ref="BR147" si="1724">BQ147+29</f>
        <v>46142</v>
      </c>
      <c r="BS147" s="172">
        <f t="shared" ref="BS147" si="1725">IFERROR(IF(($R147-BR147)&gt;=0,0,IF(($S147-BQ147)&lt;0,0,IF(AND(($S147-BR147)&gt;0,(BQ147-$R147)&gt;0),$V147/365*(BR147-BQ147+1),IF(AND(($S147-BR147)&lt;=0,(BQ147-$R147)&gt;0),$V147/365*($S147-BQ147+1),$V147/365*(BR147-$R147+1))))),0)</f>
        <v>0</v>
      </c>
      <c r="BT147" s="163">
        <f t="shared" ref="BT147" si="1726">BR147+1</f>
        <v>46143</v>
      </c>
      <c r="BU147" s="163">
        <f t="shared" ref="BU147" si="1727">BT147+30</f>
        <v>46173</v>
      </c>
      <c r="BV147" s="172">
        <f t="shared" ref="BV147" si="1728">IFERROR(IF(($R147-BU147)&gt;=0,0,IF(($S147-BT147)&lt;0,0,IF(AND(($S147-BU147)&gt;0,(BT147-$R147)&gt;0),$V147/365*(BU147-BT147+1),IF(AND(($S147-BU147)&lt;=0,(BT147-$R147)&gt;0),$V147/365*($S147-BT147+1),$V147/365*(BU147-$R147+1))))),0)</f>
        <v>0</v>
      </c>
      <c r="BW147" s="163">
        <f t="shared" ref="BW147" si="1729">BU147+1</f>
        <v>46174</v>
      </c>
      <c r="BX147" s="163">
        <f t="shared" ref="BX147" si="1730">BW147+29</f>
        <v>46203</v>
      </c>
      <c r="BY147" s="172">
        <f t="shared" ref="BY147" si="1731">IFERROR(IF(($R147-BX147)&gt;=0,0,IF(($S147-BW147)&lt;0,0,IF(AND(($S147-BX147)&gt;0,(BW147-$R147)&gt;0),$V147/365*(BX147-BW147+1),IF(AND(($S147-BX147)&lt;=0,(BW147-$R147)&gt;0),$V147/365*($S147-BW147+1),$V147/365*(BX147-$R147+1))))),0)</f>
        <v>0</v>
      </c>
      <c r="BZ147" s="163">
        <f t="shared" ref="BZ147" si="1732">BX147+1</f>
        <v>46204</v>
      </c>
      <c r="CA147" s="163">
        <f t="shared" ref="CA147" si="1733">BZ147+30</f>
        <v>46234</v>
      </c>
      <c r="CB147" s="172">
        <f t="shared" ref="CB147" si="1734">IFERROR(IF(($R147-CA147)&gt;=0,0,IF(($S147-BZ147)&lt;0,0,IF(AND(($S147-CA147)&gt;0,(BZ147-$R147)&gt;0),$V147/365*(CA147-BZ147+1),IF(AND(($S147-CA147)&lt;=0,(BZ147-$R147)&gt;0),$V147/365*($S147-BZ147+1),$V147/365*(CA147-$R147+1))))),0)</f>
        <v>0</v>
      </c>
      <c r="CC147" s="163">
        <f t="shared" ref="CC147" si="1735">CA147+1</f>
        <v>46235</v>
      </c>
      <c r="CD147" s="163">
        <f t="shared" ref="CD147" si="1736">CC147+30</f>
        <v>46265</v>
      </c>
      <c r="CE147" s="172">
        <f t="shared" ref="CE147" si="1737">IFERROR(IF(($R147-CD147)&gt;=0,0,IF(($S147-CC147)&lt;0,0,IF(AND(($S147-CD147)&gt;0,(CC147-$R147)&gt;0),$V147/365*(CD147-CC147+1),IF(AND(($S147-CD147)&lt;=0,(CC147-$R147)&gt;0),$V147/365*($S147-CC147+1),$V147/365*(CD147-$R147+1))))),0)</f>
        <v>0</v>
      </c>
      <c r="CF147" s="163">
        <f t="shared" ref="CF147" si="1738">CD147+1</f>
        <v>46266</v>
      </c>
      <c r="CG147" s="163">
        <f t="shared" ref="CG147" si="1739">CF147+29</f>
        <v>46295</v>
      </c>
      <c r="CH147" s="172">
        <f t="shared" ref="CH147" si="1740">IFERROR(IF(($R147-CG147)&gt;=0,0,IF(($S147-CF147)&lt;0,0,IF(AND(($S147-CG147)&gt;0,(CF147-$R147)&gt;0),$V147/365*(CG147-CF147+1),IF(AND(($S147-CG147)&lt;=0,(CF147-$R147)&gt;0),$V147/365*($S147-CF147+1),$V147/365*(CG147-$R147+1))))),0)</f>
        <v>0</v>
      </c>
      <c r="CI147" s="163">
        <f t="shared" ref="CI147" si="1741">CG147+1</f>
        <v>46296</v>
      </c>
      <c r="CJ147" s="163">
        <f t="shared" ref="CJ147" si="1742">CI147+30</f>
        <v>46326</v>
      </c>
      <c r="CK147" s="172">
        <f t="shared" ref="CK147" si="1743">IFERROR(IF(($R147-CJ147)&gt;=0,0,IF(($S147-CI147)&lt;0,0,IF(AND(($S147-CJ147)&gt;0,(CI147-$R147)&gt;0),$V147/365*(CJ147-CI147+1),IF(AND(($S147-CJ147)&lt;=0,(CI147-$R147)&gt;0),$V147/365*($S147-CI147+1),$V147/365*(CJ147-$R147+1))))),0)</f>
        <v>0</v>
      </c>
      <c r="CL147" s="163">
        <f t="shared" ref="CL147" si="1744">CJ147+1</f>
        <v>46327</v>
      </c>
      <c r="CM147" s="163">
        <f t="shared" ref="CM147" si="1745">CL147+29</f>
        <v>46356</v>
      </c>
      <c r="CN147" s="172">
        <f t="shared" ref="CN147" si="1746">IFERROR(IF(($R147-CM147)&gt;=0,0,IF(($S147-CL147)&lt;0,0,IF(AND(($S147-CM147)&gt;0,(CL147-$R147)&gt;0),$V147/365*(CM147-CL147+1),IF(AND(($S147-CM147)&lt;=0,(CL147-$R147)&gt;0),$V147/365*($S147-CL147+1),$V147/365*(CM147-$R147+1))))),0)</f>
        <v>0</v>
      </c>
      <c r="CO147" s="163">
        <f t="shared" ref="CO147" si="1747">CM147+1</f>
        <v>46357</v>
      </c>
      <c r="CP147" s="163">
        <f t="shared" ref="CP147" si="1748">CO147+30</f>
        <v>46387</v>
      </c>
      <c r="CQ147" s="172">
        <f t="shared" ref="CQ147" si="1749">IFERROR(IF(($R147-CP147)&gt;=0,0,IF(($S147-CO147)&lt;0,0,IF(AND(($S147-CP147)&gt;0,(CO147-$R147)&gt;0),$V147/365*(CP147-CO147+1),IF(AND(($S147-CP147)&lt;=0,(CO147-$R147)&gt;0),$V147/365*($S147-CO147+1),$V147/365*(CP147-$R147+1))))),0)</f>
        <v>0</v>
      </c>
    </row>
    <row r="148" s="89" customFormat="1" ht="24" hidden="1" customHeight="1" outlineLevel="4" spans="1:95">
      <c r="A148" s="128"/>
      <c r="B148" s="129"/>
      <c r="C148" s="130"/>
      <c r="D148" s="128"/>
      <c r="E148" s="129"/>
      <c r="F148" s="129"/>
      <c r="G148" s="129"/>
      <c r="H148" s="131"/>
      <c r="I148" s="131"/>
      <c r="J148" s="131">
        <f t="shared" si="1570"/>
        <v>0</v>
      </c>
      <c r="K148" s="131">
        <f t="shared" ref="K148:K150" si="1750">K147+1</f>
        <v>1</v>
      </c>
      <c r="L148" s="156"/>
      <c r="M148" s="157">
        <f>IFERROR(VLOOKUP($L148,'2-2 引出数据_合同数据仓库'!$B$5:$BP$200,3,FALSE),0)</f>
        <v>0</v>
      </c>
      <c r="N148" s="131"/>
      <c r="O148" s="157">
        <f>IFERROR(VLOOKUP((LEFT(VLOOKUP($L148,'2-2 引出数据_合同数据仓库'!$B$5:$BP$200,64,FALSE),15)&amp;(RIGHT(VLOOKUP($L148,'2-2 引出数据_合同数据仓库'!$B$5:$BP$200,64,FALSE),4)+1)),'2-2 引出数据_合同数据仓库'!$B$5:$BP$200,3,FALSE),0)</f>
        <v>0</v>
      </c>
      <c r="P148" s="131"/>
      <c r="Q148" s="131">
        <f>IFERROR(VLOOKUP($L148,'2-2 引出数据_合同数据仓库'!$B$5:$BP$200,28,FALSE),0)</f>
        <v>0</v>
      </c>
      <c r="R148" s="131">
        <f>IFERROR(VLOOKUP($L148,'2-2 引出数据_合同数据仓库'!$B$5:$BP$200,29,FALSE),0)</f>
        <v>0</v>
      </c>
      <c r="S148" s="131">
        <f>IFERROR(VLOOKUP($L148,'2-2 引出数据_合同数据仓库'!$B$5:$BP$200,4,FALSE),0)</f>
        <v>0</v>
      </c>
      <c r="T148" s="131"/>
      <c r="U148" s="131">
        <f>IFERROR(VLOOKUP($L148,'2-2 引出数据_合同数据仓库'!$B$5:$BP$200,15,FALSE),0)</f>
        <v>0</v>
      </c>
      <c r="V148" s="131">
        <f t="shared" ref="V148:V150" si="1751">U148/(S148-R148+1)*365</f>
        <v>0</v>
      </c>
      <c r="W148" s="131"/>
      <c r="X148" s="163">
        <v>45658</v>
      </c>
      <c r="Y148" s="163">
        <f t="shared" ref="Y148:Y150" si="1752">X148+30</f>
        <v>45688</v>
      </c>
      <c r="Z148" s="167">
        <f t="shared" ref="Z148:Z150" si="1753">IFERROR(IF(($R148-Y148)&gt;=0,0,IF(($S148-X148)&lt;0,0,IF(AND(($S148-Y148)&gt;0,(X148-$R148)&gt;0),$V148/365*(Y148-X148+1),IF(AND(($S148-Y148)&lt;=0,(X148-$R148)&gt;0),$V148/365*($S148-X148+1),$V148/365*(Y148-$R148+1))))),0)</f>
        <v>0</v>
      </c>
      <c r="AA148" s="163">
        <f t="shared" ref="AA148:AA150" si="1754">Y148+1</f>
        <v>45689</v>
      </c>
      <c r="AB148" s="163">
        <f t="shared" ref="AB148:AB150" si="1755">AA148+27</f>
        <v>45716</v>
      </c>
      <c r="AC148" s="167">
        <f t="shared" ref="AC148:AC150" si="1756">IFERROR(IF(($R148-AB148)&gt;=0,0,IF(($S148-AA148)&lt;0,0,IF(AND(($S148-AB148)&gt;0,(AA148-$R148)&gt;0),$V148/365*(AB148-AA148+1),IF(AND(($S148-AB148)&lt;=0,(AA148-$R148)&gt;0),$V148/365*($S148-AA148+1),$V148/365*(AB148-$R148+1))))),0)</f>
        <v>0</v>
      </c>
      <c r="AD148" s="163">
        <f t="shared" ref="AD148:AD150" si="1757">AB148+1</f>
        <v>45717</v>
      </c>
      <c r="AE148" s="163">
        <f t="shared" ref="AE148:AE150" si="1758">AD148+30</f>
        <v>45747</v>
      </c>
      <c r="AF148" s="167">
        <f t="shared" ref="AF148:AF150" si="1759">IFERROR(IF(($R148-AE148)&gt;=0,0,IF(($S148-AD148)&lt;0,0,IF(AND(($S148-AE148)&gt;0,(AD148-$R148)&gt;0),$V148/365*(AE148-AD148+1),IF(AND(($S148-AE148)&lt;=0,(AD148-$R148)&gt;0),$V148/365*($S148-AD148+1),$V148/365*(AE148-$R148+1))))),0)</f>
        <v>0</v>
      </c>
      <c r="AG148" s="163">
        <f t="shared" ref="AG148:AG150" si="1760">AE148+1</f>
        <v>45748</v>
      </c>
      <c r="AH148" s="163">
        <f t="shared" ref="AH148:AH150" si="1761">AG148+29</f>
        <v>45777</v>
      </c>
      <c r="AI148" s="167">
        <f t="shared" ref="AI148:AI150" si="1762">IFERROR(IF(($R148-AH148)&gt;=0,0,IF(($S148-AG148)&lt;0,0,IF(AND(($S148-AH148)&gt;0,(AG148-$R148)&gt;0),$V148/365*(AH148-AG148+1),IF(AND(($S148-AH148)&lt;=0,(AG148-$R148)&gt;0),$V148/365*($S148-AG148+1),$V148/365*(AH148-$R148+1))))),0)</f>
        <v>0</v>
      </c>
      <c r="AJ148" s="163">
        <f t="shared" ref="AJ148:AJ150" si="1763">AH148+1</f>
        <v>45778</v>
      </c>
      <c r="AK148" s="163">
        <f t="shared" ref="AK148:AK150" si="1764">AJ148+30</f>
        <v>45808</v>
      </c>
      <c r="AL148" s="167">
        <f t="shared" ref="AL148:AL150" si="1765">IFERROR(IF(($R148-AK148)&gt;=0,0,IF(($S148-AJ148)&lt;0,0,IF(AND(($S148-AK148)&gt;0,(AJ148-$R148)&gt;0),$V148/365*(AK148-AJ148+1),IF(AND(($S148-AK148)&lt;=0,(AJ148-$R148)&gt;0),$V148/365*($S148-AJ148+1),$V148/365*(AK148-$R148+1))))),0)</f>
        <v>0</v>
      </c>
      <c r="AM148" s="163">
        <f t="shared" ref="AM148:AM150" si="1766">AK148+1</f>
        <v>45809</v>
      </c>
      <c r="AN148" s="163">
        <f t="shared" ref="AN148:AN150" si="1767">AM148+29</f>
        <v>45838</v>
      </c>
      <c r="AO148" s="167">
        <f t="shared" ref="AO148:AO150" si="1768">IFERROR(IF(($R148-AN148)&gt;=0,0,IF(($S148-AM148)&lt;0,0,IF(AND(($S148-AN148)&gt;0,(AM148-$R148)&gt;0),$V148/365*(AN148-AM148+1),IF(AND(($S148-AN148)&lt;=0,(AM148-$R148)&gt;0),$V148/365*($S148-AM148+1),$V148/365*(AN148-$R148+1))))),0)</f>
        <v>0</v>
      </c>
      <c r="AP148" s="163">
        <f t="shared" ref="AP148:AP150" si="1769">AN148+1</f>
        <v>45839</v>
      </c>
      <c r="AQ148" s="163">
        <f t="shared" ref="AQ148:AQ150" si="1770">AP148+30</f>
        <v>45869</v>
      </c>
      <c r="AR148" s="167">
        <f t="shared" ref="AR148:AR150" si="1771">IFERROR(IF(($R148-AQ148)&gt;=0,0,IF(($S148-AP148)&lt;0,0,IF(AND(($S148-AQ148)&gt;0,(AP148-$R148)&gt;0),$V148/365*(AQ148-AP148+1),IF(AND(($S148-AQ148)&lt;=0,(AP148-$R148)&gt;0),$V148/365*($S148-AP148+1),$V148/365*(AQ148-$R148+1))))),0)</f>
        <v>0</v>
      </c>
      <c r="AS148" s="163">
        <f t="shared" ref="AS148:AS150" si="1772">AQ148+1</f>
        <v>45870</v>
      </c>
      <c r="AT148" s="163">
        <f t="shared" ref="AT148:AT150" si="1773">AS148+30</f>
        <v>45900</v>
      </c>
      <c r="AU148" s="167">
        <f t="shared" ref="AU148:AU150" si="1774">IFERROR(IF(($R148-AT148)&gt;=0,0,IF(($S148-AS148)&lt;0,0,IF(AND(($S148-AT148)&gt;0,(AS148-$R148)&gt;0),$V148/365*(AT148-AS148+1),IF(AND(($S148-AT148)&lt;=0,(AS148-$R148)&gt;0),$V148/365*($S148-AS148+1),$V148/365*(AT148-$R148+1))))),0)</f>
        <v>0</v>
      </c>
      <c r="AV148" s="163">
        <f t="shared" ref="AV148:AV150" si="1775">AT148+1</f>
        <v>45901</v>
      </c>
      <c r="AW148" s="163">
        <f t="shared" ref="AW148:AW150" si="1776">AV148+29</f>
        <v>45930</v>
      </c>
      <c r="AX148" s="167">
        <f t="shared" ref="AX148:AX150" si="1777">IFERROR(IF(($R148-AW148)&gt;=0,0,IF(($S148-AV148)&lt;0,0,IF(AND(($S148-AW148)&gt;0,(AV148-$R148)&gt;0),$V148/365*(AW148-AV148+1),IF(AND(($S148-AW148)&lt;=0,(AV148-$R148)&gt;0),$V148/365*($S148-AV148+1),$V148/365*(AW148-$R148+1))))),0)</f>
        <v>0</v>
      </c>
      <c r="AY148" s="163">
        <f t="shared" ref="AY148:AY150" si="1778">AW148+1</f>
        <v>45931</v>
      </c>
      <c r="AZ148" s="163">
        <f t="shared" ref="AZ148:AZ150" si="1779">AY148+30</f>
        <v>45961</v>
      </c>
      <c r="BA148" s="167">
        <f t="shared" ref="BA148:BA150" si="1780">IFERROR(IF(($R148-AZ148)&gt;=0,0,IF(($S148-AY148)&lt;0,0,IF(AND(($S148-AZ148)&gt;0,(AY148-$R148)&gt;0),$V148/365*(AZ148-AY148+1),IF(AND(($S148-AZ148)&lt;=0,(AY148-$R148)&gt;0),$V148/365*($S148-AY148+1),$V148/365*(AZ148-$R148+1))))),0)</f>
        <v>0</v>
      </c>
      <c r="BB148" s="163">
        <f t="shared" ref="BB148:BB150" si="1781">AZ148+1</f>
        <v>45962</v>
      </c>
      <c r="BC148" s="163">
        <f t="shared" ref="BC148:BC150" si="1782">BB148+29</f>
        <v>45991</v>
      </c>
      <c r="BD148" s="167">
        <f t="shared" ref="BD148:BD150" si="1783">IFERROR(IF(($R148-BC148)&gt;=0,0,IF(($S148-BB148)&lt;0,0,IF(AND(($S148-BC148)&gt;0,(BB148-$R148)&gt;0),$V148/365*(BC148-BB148+1),IF(AND(($S148-BC148)&lt;=0,(BB148-$R148)&gt;0),$V148/365*($S148-BB148+1),$V148/365*(BC148-$R148+1))))),0)</f>
        <v>0</v>
      </c>
      <c r="BE148" s="163">
        <f t="shared" ref="BE148:BE150" si="1784">BC148+1</f>
        <v>45992</v>
      </c>
      <c r="BF148" s="163">
        <f t="shared" ref="BF148:BF150" si="1785">BE148+30</f>
        <v>46022</v>
      </c>
      <c r="BG148" s="167">
        <f t="shared" ref="BG148:BG150" si="1786">IFERROR(IF(($R148-BF148)&gt;=0,0,IF(($S148-BE148)&lt;0,0,IF(AND(($S148-BF148)&gt;0,(BE148-$R148)&gt;0),$V148/365*(BF148-BE148+1),IF(AND(($S148-BF148)&lt;=0,(BE148-$R148)&gt;0),$V148/365*($S148-BE148+1),$V148/365*(BF148-$R148+1))))),0)</f>
        <v>0</v>
      </c>
      <c r="BH148" s="163">
        <v>46023</v>
      </c>
      <c r="BI148" s="163">
        <f t="shared" ref="BI148:BI150" si="1787">BH148+30</f>
        <v>46053</v>
      </c>
      <c r="BJ148" s="167">
        <f t="shared" ref="BJ148:BJ150" si="1788">IFERROR(IF(($R148-BI148)&gt;=0,0,IF(($S148-BH148)&lt;0,0,IF(AND(($S148-BI148)&gt;0,(BH148-$R148)&gt;0),$V148/365*(BI148-BH148+1),IF(AND(($S148-BI148)&lt;=0,(BH148-$R148)&gt;0),$V148/365*($S148-BH148+1),$V148/365*(BI148-$R148+1))))),0)</f>
        <v>0</v>
      </c>
      <c r="BK148" s="163">
        <f t="shared" ref="BK148:BK150" si="1789">BI148+1</f>
        <v>46054</v>
      </c>
      <c r="BL148" s="163">
        <f t="shared" ref="BL148:BL150" si="1790">BK148+27</f>
        <v>46081</v>
      </c>
      <c r="BM148" s="167">
        <f t="shared" ref="BM148:BM150" si="1791">IFERROR(IF(($R148-BL148)&gt;=0,0,IF(($S148-BK148)&lt;0,0,IF(AND(($S148-BL148)&gt;0,(BK148-$R148)&gt;0),$V148/365*(BL148-BK148+1),IF(AND(($S148-BL148)&lt;=0,(BK148-$R148)&gt;0),$V148/365*($S148-BK148+1),$V148/365*(BL148-$R148+1))))),0)</f>
        <v>0</v>
      </c>
      <c r="BN148" s="163">
        <f t="shared" ref="BN148:BN150" si="1792">BL148+1</f>
        <v>46082</v>
      </c>
      <c r="BO148" s="163">
        <f t="shared" ref="BO148:BO150" si="1793">BN148+30</f>
        <v>46112</v>
      </c>
      <c r="BP148" s="167">
        <f t="shared" ref="BP148:BP150" si="1794">IFERROR(IF(($R148-BO148)&gt;=0,0,IF(($S148-BN148)&lt;0,0,IF(AND(($S148-BO148)&gt;0,(BN148-$R148)&gt;0),$V148/365*(BO148-BN148+1),IF(AND(($S148-BO148)&lt;=0,(BN148-$R148)&gt;0),$V148/365*($S148-BN148+1),$V148/365*(BO148-$R148+1))))),0)</f>
        <v>0</v>
      </c>
      <c r="BQ148" s="163">
        <f t="shared" ref="BQ148:BQ150" si="1795">BO148+1</f>
        <v>46113</v>
      </c>
      <c r="BR148" s="163">
        <f t="shared" ref="BR148:BR150" si="1796">BQ148+29</f>
        <v>46142</v>
      </c>
      <c r="BS148" s="167">
        <f t="shared" ref="BS148:BS150" si="1797">IFERROR(IF(($R148-BR148)&gt;=0,0,IF(($S148-BQ148)&lt;0,0,IF(AND(($S148-BR148)&gt;0,(BQ148-$R148)&gt;0),$V148/365*(BR148-BQ148+1),IF(AND(($S148-BR148)&lt;=0,(BQ148-$R148)&gt;0),$V148/365*($S148-BQ148+1),$V148/365*(BR148-$R148+1))))),0)</f>
        <v>0</v>
      </c>
      <c r="BT148" s="163">
        <f t="shared" ref="BT148:BT150" si="1798">BR148+1</f>
        <v>46143</v>
      </c>
      <c r="BU148" s="163">
        <f t="shared" ref="BU148:BU150" si="1799">BT148+30</f>
        <v>46173</v>
      </c>
      <c r="BV148" s="167">
        <f t="shared" ref="BV148:BV150" si="1800">IFERROR(IF(($R148-BU148)&gt;=0,0,IF(($S148-BT148)&lt;0,0,IF(AND(($S148-BU148)&gt;0,(BT148-$R148)&gt;0),$V148/365*(BU148-BT148+1),IF(AND(($S148-BU148)&lt;=0,(BT148-$R148)&gt;0),$V148/365*($S148-BT148+1),$V148/365*(BU148-$R148+1))))),0)</f>
        <v>0</v>
      </c>
      <c r="BW148" s="163">
        <f t="shared" ref="BW148:BW150" si="1801">BU148+1</f>
        <v>46174</v>
      </c>
      <c r="BX148" s="163">
        <f t="shared" ref="BX148:BX150" si="1802">BW148+29</f>
        <v>46203</v>
      </c>
      <c r="BY148" s="167">
        <f t="shared" ref="BY148:BY150" si="1803">IFERROR(IF(($R148-BX148)&gt;=0,0,IF(($S148-BW148)&lt;0,0,IF(AND(($S148-BX148)&gt;0,(BW148-$R148)&gt;0),$V148/365*(BX148-BW148+1),IF(AND(($S148-BX148)&lt;=0,(BW148-$R148)&gt;0),$V148/365*($S148-BW148+1),$V148/365*(BX148-$R148+1))))),0)</f>
        <v>0</v>
      </c>
      <c r="BZ148" s="163">
        <f t="shared" ref="BZ148:BZ150" si="1804">BX148+1</f>
        <v>46204</v>
      </c>
      <c r="CA148" s="163">
        <f t="shared" ref="CA148:CA150" si="1805">BZ148+30</f>
        <v>46234</v>
      </c>
      <c r="CB148" s="167">
        <f t="shared" ref="CB148:CB150" si="1806">IFERROR(IF(($R148-CA148)&gt;=0,0,IF(($S148-BZ148)&lt;0,0,IF(AND(($S148-CA148)&gt;0,(BZ148-$R148)&gt;0),$V148/365*(CA148-BZ148+1),IF(AND(($S148-CA148)&lt;=0,(BZ148-$R148)&gt;0),$V148/365*($S148-BZ148+1),$V148/365*(CA148-$R148+1))))),0)</f>
        <v>0</v>
      </c>
      <c r="CC148" s="163">
        <f t="shared" ref="CC148:CC150" si="1807">CA148+1</f>
        <v>46235</v>
      </c>
      <c r="CD148" s="163">
        <f t="shared" ref="CD148:CD150" si="1808">CC148+30</f>
        <v>46265</v>
      </c>
      <c r="CE148" s="167">
        <f t="shared" ref="CE148:CE150" si="1809">IFERROR(IF(($R148-CD148)&gt;=0,0,IF(($S148-CC148)&lt;0,0,IF(AND(($S148-CD148)&gt;0,(CC148-$R148)&gt;0),$V148/365*(CD148-CC148+1),IF(AND(($S148-CD148)&lt;=0,(CC148-$R148)&gt;0),$V148/365*($S148-CC148+1),$V148/365*(CD148-$R148+1))))),0)</f>
        <v>0</v>
      </c>
      <c r="CF148" s="163">
        <f t="shared" ref="CF148:CF150" si="1810">CD148+1</f>
        <v>46266</v>
      </c>
      <c r="CG148" s="163">
        <f t="shared" ref="CG148:CG150" si="1811">CF148+29</f>
        <v>46295</v>
      </c>
      <c r="CH148" s="167">
        <f t="shared" ref="CH148:CH150" si="1812">IFERROR(IF(($R148-CG148)&gt;=0,0,IF(($S148-CF148)&lt;0,0,IF(AND(($S148-CG148)&gt;0,(CF148-$R148)&gt;0),$V148/365*(CG148-CF148+1),IF(AND(($S148-CG148)&lt;=0,(CF148-$R148)&gt;0),$V148/365*($S148-CF148+1),$V148/365*(CG148-$R148+1))))),0)</f>
        <v>0</v>
      </c>
      <c r="CI148" s="163">
        <f t="shared" ref="CI148:CI150" si="1813">CG148+1</f>
        <v>46296</v>
      </c>
      <c r="CJ148" s="163">
        <f t="shared" ref="CJ148:CJ150" si="1814">CI148+30</f>
        <v>46326</v>
      </c>
      <c r="CK148" s="167">
        <f t="shared" ref="CK148:CK150" si="1815">IFERROR(IF(($R148-CJ148)&gt;=0,0,IF(($S148-CI148)&lt;0,0,IF(AND(($S148-CJ148)&gt;0,(CI148-$R148)&gt;0),$V148/365*(CJ148-CI148+1),IF(AND(($S148-CJ148)&lt;=0,(CI148-$R148)&gt;0),$V148/365*($S148-CI148+1),$V148/365*(CJ148-$R148+1))))),0)</f>
        <v>0</v>
      </c>
      <c r="CL148" s="163">
        <f t="shared" ref="CL148:CL150" si="1816">CJ148+1</f>
        <v>46327</v>
      </c>
      <c r="CM148" s="163">
        <f t="shared" ref="CM148:CM150" si="1817">CL148+29</f>
        <v>46356</v>
      </c>
      <c r="CN148" s="167">
        <f t="shared" ref="CN148:CN150" si="1818">IFERROR(IF(($R148-CM148)&gt;=0,0,IF(($S148-CL148)&lt;0,0,IF(AND(($S148-CM148)&gt;0,(CL148-$R148)&gt;0),$V148/365*(CM148-CL148+1),IF(AND(($S148-CM148)&lt;=0,(CL148-$R148)&gt;0),$V148/365*($S148-CL148+1),$V148/365*(CM148-$R148+1))))),0)</f>
        <v>0</v>
      </c>
      <c r="CO148" s="163">
        <f t="shared" ref="CO148:CO150" si="1819">CM148+1</f>
        <v>46357</v>
      </c>
      <c r="CP148" s="163">
        <f t="shared" ref="CP148:CP150" si="1820">CO148+30</f>
        <v>46387</v>
      </c>
      <c r="CQ148" s="167">
        <f t="shared" ref="CQ148:CQ150" si="1821">IFERROR(IF(($R148-CP148)&gt;=0,0,IF(($S148-CO148)&lt;0,0,IF(AND(($S148-CP148)&gt;0,(CO148-$R148)&gt;0),$V148/365*(CP148-CO148+1),IF(AND(($S148-CP148)&lt;=0,(CO148-$R148)&gt;0),$V148/365*($S148-CO148+1),$V148/365*(CP148-$R148+1))))),0)</f>
        <v>0</v>
      </c>
    </row>
    <row r="149" s="89" customFormat="1" ht="24" hidden="1" customHeight="1" outlineLevel="4" spans="1:95">
      <c r="A149" s="128"/>
      <c r="B149" s="129"/>
      <c r="C149" s="130"/>
      <c r="D149" s="128"/>
      <c r="E149" s="129"/>
      <c r="F149" s="129"/>
      <c r="G149" s="129"/>
      <c r="H149" s="131"/>
      <c r="I149" s="131"/>
      <c r="J149" s="131">
        <f t="shared" si="1570"/>
        <v>0</v>
      </c>
      <c r="K149" s="131">
        <f t="shared" si="1750"/>
        <v>2</v>
      </c>
      <c r="L149" s="156"/>
      <c r="M149" s="157">
        <f>IFERROR(VLOOKUP($L149,'2-2 引出数据_合同数据仓库'!$B$5:$BP$200,3,FALSE),0)</f>
        <v>0</v>
      </c>
      <c r="N149" s="131"/>
      <c r="O149" s="157">
        <f>IFERROR(VLOOKUP((LEFT(VLOOKUP($L149,'2-2 引出数据_合同数据仓库'!$B$5:$BP$200,64,FALSE),15)&amp;(RIGHT(VLOOKUP($L149,'2-2 引出数据_合同数据仓库'!$B$5:$BP$200,64,FALSE),4)+1)),'2-2 引出数据_合同数据仓库'!$B$5:$BP$200,3,FALSE),0)</f>
        <v>0</v>
      </c>
      <c r="P149" s="131"/>
      <c r="Q149" s="131">
        <f>IFERROR(VLOOKUP($L149,'2-2 引出数据_合同数据仓库'!$B$5:$BP$200,28,FALSE),0)</f>
        <v>0</v>
      </c>
      <c r="R149" s="131">
        <f>IFERROR(VLOOKUP($L149,'2-2 引出数据_合同数据仓库'!$B$5:$BP$200,29,FALSE),0)</f>
        <v>0</v>
      </c>
      <c r="S149" s="131">
        <f>IFERROR(VLOOKUP($L149,'2-2 引出数据_合同数据仓库'!$B$5:$BP$200,4,FALSE),0)</f>
        <v>0</v>
      </c>
      <c r="T149" s="131"/>
      <c r="U149" s="131">
        <f>IFERROR(VLOOKUP($L149,'2-2 引出数据_合同数据仓库'!$B$5:$BP$200,15,FALSE),0)</f>
        <v>0</v>
      </c>
      <c r="V149" s="131">
        <f t="shared" si="1751"/>
        <v>0</v>
      </c>
      <c r="W149" s="131"/>
      <c r="X149" s="163">
        <v>45658</v>
      </c>
      <c r="Y149" s="163">
        <f t="shared" si="1752"/>
        <v>45688</v>
      </c>
      <c r="Z149" s="167">
        <f t="shared" si="1753"/>
        <v>0</v>
      </c>
      <c r="AA149" s="163">
        <f t="shared" si="1754"/>
        <v>45689</v>
      </c>
      <c r="AB149" s="163">
        <f t="shared" si="1755"/>
        <v>45716</v>
      </c>
      <c r="AC149" s="167">
        <f t="shared" si="1756"/>
        <v>0</v>
      </c>
      <c r="AD149" s="163">
        <f t="shared" si="1757"/>
        <v>45717</v>
      </c>
      <c r="AE149" s="163">
        <f t="shared" si="1758"/>
        <v>45747</v>
      </c>
      <c r="AF149" s="167">
        <f t="shared" si="1759"/>
        <v>0</v>
      </c>
      <c r="AG149" s="163">
        <f t="shared" si="1760"/>
        <v>45748</v>
      </c>
      <c r="AH149" s="163">
        <f t="shared" si="1761"/>
        <v>45777</v>
      </c>
      <c r="AI149" s="167">
        <f t="shared" si="1762"/>
        <v>0</v>
      </c>
      <c r="AJ149" s="163">
        <f t="shared" si="1763"/>
        <v>45778</v>
      </c>
      <c r="AK149" s="163">
        <f t="shared" si="1764"/>
        <v>45808</v>
      </c>
      <c r="AL149" s="167">
        <f t="shared" si="1765"/>
        <v>0</v>
      </c>
      <c r="AM149" s="163">
        <f t="shared" si="1766"/>
        <v>45809</v>
      </c>
      <c r="AN149" s="163">
        <f t="shared" si="1767"/>
        <v>45838</v>
      </c>
      <c r="AO149" s="167">
        <f t="shared" si="1768"/>
        <v>0</v>
      </c>
      <c r="AP149" s="163">
        <f t="shared" si="1769"/>
        <v>45839</v>
      </c>
      <c r="AQ149" s="163">
        <f t="shared" si="1770"/>
        <v>45869</v>
      </c>
      <c r="AR149" s="167">
        <f t="shared" si="1771"/>
        <v>0</v>
      </c>
      <c r="AS149" s="163">
        <f t="shared" si="1772"/>
        <v>45870</v>
      </c>
      <c r="AT149" s="163">
        <f t="shared" si="1773"/>
        <v>45900</v>
      </c>
      <c r="AU149" s="167">
        <f t="shared" si="1774"/>
        <v>0</v>
      </c>
      <c r="AV149" s="163">
        <f t="shared" si="1775"/>
        <v>45901</v>
      </c>
      <c r="AW149" s="163">
        <f t="shared" si="1776"/>
        <v>45930</v>
      </c>
      <c r="AX149" s="167">
        <f t="shared" si="1777"/>
        <v>0</v>
      </c>
      <c r="AY149" s="163">
        <f t="shared" si="1778"/>
        <v>45931</v>
      </c>
      <c r="AZ149" s="163">
        <f t="shared" si="1779"/>
        <v>45961</v>
      </c>
      <c r="BA149" s="167">
        <f t="shared" si="1780"/>
        <v>0</v>
      </c>
      <c r="BB149" s="163">
        <f t="shared" si="1781"/>
        <v>45962</v>
      </c>
      <c r="BC149" s="163">
        <f t="shared" si="1782"/>
        <v>45991</v>
      </c>
      <c r="BD149" s="167">
        <f t="shared" si="1783"/>
        <v>0</v>
      </c>
      <c r="BE149" s="163">
        <f t="shared" si="1784"/>
        <v>45992</v>
      </c>
      <c r="BF149" s="163">
        <f t="shared" si="1785"/>
        <v>46022</v>
      </c>
      <c r="BG149" s="167">
        <f t="shared" si="1786"/>
        <v>0</v>
      </c>
      <c r="BH149" s="163">
        <v>46023</v>
      </c>
      <c r="BI149" s="163">
        <f t="shared" si="1787"/>
        <v>46053</v>
      </c>
      <c r="BJ149" s="167">
        <f t="shared" si="1788"/>
        <v>0</v>
      </c>
      <c r="BK149" s="163">
        <f t="shared" si="1789"/>
        <v>46054</v>
      </c>
      <c r="BL149" s="163">
        <f t="shared" si="1790"/>
        <v>46081</v>
      </c>
      <c r="BM149" s="167">
        <f t="shared" si="1791"/>
        <v>0</v>
      </c>
      <c r="BN149" s="163">
        <f t="shared" si="1792"/>
        <v>46082</v>
      </c>
      <c r="BO149" s="163">
        <f t="shared" si="1793"/>
        <v>46112</v>
      </c>
      <c r="BP149" s="167">
        <f t="shared" si="1794"/>
        <v>0</v>
      </c>
      <c r="BQ149" s="163">
        <f t="shared" si="1795"/>
        <v>46113</v>
      </c>
      <c r="BR149" s="163">
        <f t="shared" si="1796"/>
        <v>46142</v>
      </c>
      <c r="BS149" s="167">
        <f t="shared" si="1797"/>
        <v>0</v>
      </c>
      <c r="BT149" s="163">
        <f t="shared" si="1798"/>
        <v>46143</v>
      </c>
      <c r="BU149" s="163">
        <f t="shared" si="1799"/>
        <v>46173</v>
      </c>
      <c r="BV149" s="167">
        <f t="shared" si="1800"/>
        <v>0</v>
      </c>
      <c r="BW149" s="163">
        <f t="shared" si="1801"/>
        <v>46174</v>
      </c>
      <c r="BX149" s="163">
        <f t="shared" si="1802"/>
        <v>46203</v>
      </c>
      <c r="BY149" s="167">
        <f t="shared" si="1803"/>
        <v>0</v>
      </c>
      <c r="BZ149" s="163">
        <f t="shared" si="1804"/>
        <v>46204</v>
      </c>
      <c r="CA149" s="163">
        <f t="shared" si="1805"/>
        <v>46234</v>
      </c>
      <c r="CB149" s="167">
        <f t="shared" si="1806"/>
        <v>0</v>
      </c>
      <c r="CC149" s="163">
        <f t="shared" si="1807"/>
        <v>46235</v>
      </c>
      <c r="CD149" s="163">
        <f t="shared" si="1808"/>
        <v>46265</v>
      </c>
      <c r="CE149" s="167">
        <f t="shared" si="1809"/>
        <v>0</v>
      </c>
      <c r="CF149" s="163">
        <f t="shared" si="1810"/>
        <v>46266</v>
      </c>
      <c r="CG149" s="163">
        <f t="shared" si="1811"/>
        <v>46295</v>
      </c>
      <c r="CH149" s="167">
        <f t="shared" si="1812"/>
        <v>0</v>
      </c>
      <c r="CI149" s="163">
        <f t="shared" si="1813"/>
        <v>46296</v>
      </c>
      <c r="CJ149" s="163">
        <f t="shared" si="1814"/>
        <v>46326</v>
      </c>
      <c r="CK149" s="167">
        <f t="shared" si="1815"/>
        <v>0</v>
      </c>
      <c r="CL149" s="163">
        <f t="shared" si="1816"/>
        <v>46327</v>
      </c>
      <c r="CM149" s="163">
        <f t="shared" si="1817"/>
        <v>46356</v>
      </c>
      <c r="CN149" s="167">
        <f t="shared" si="1818"/>
        <v>0</v>
      </c>
      <c r="CO149" s="163">
        <f t="shared" si="1819"/>
        <v>46357</v>
      </c>
      <c r="CP149" s="163">
        <f t="shared" si="1820"/>
        <v>46387</v>
      </c>
      <c r="CQ149" s="167">
        <f t="shared" si="1821"/>
        <v>0</v>
      </c>
    </row>
    <row r="150" s="89" customFormat="1" ht="24" hidden="1" customHeight="1" outlineLevel="4" spans="1:95">
      <c r="A150" s="128"/>
      <c r="B150" s="129"/>
      <c r="C150" s="130"/>
      <c r="D150" s="128"/>
      <c r="E150" s="129"/>
      <c r="F150" s="129"/>
      <c r="G150" s="129"/>
      <c r="H150" s="131"/>
      <c r="I150" s="131"/>
      <c r="J150" s="131">
        <f t="shared" si="1570"/>
        <v>0</v>
      </c>
      <c r="K150" s="131">
        <f t="shared" si="1750"/>
        <v>3</v>
      </c>
      <c r="L150" s="156"/>
      <c r="M150" s="157">
        <f>IFERROR(VLOOKUP($L150,'2-2 引出数据_合同数据仓库'!$B$5:$BP$200,3,FALSE),0)</f>
        <v>0</v>
      </c>
      <c r="N150" s="131"/>
      <c r="O150" s="157">
        <f>IFERROR(VLOOKUP((LEFT(VLOOKUP($L150,'2-2 引出数据_合同数据仓库'!$B$5:$BP$200,64,FALSE),15)&amp;(RIGHT(VLOOKUP($L150,'2-2 引出数据_合同数据仓库'!$B$5:$BP$200,64,FALSE),4)+1)),'2-2 引出数据_合同数据仓库'!$B$5:$BP$200,3,FALSE),0)</f>
        <v>0</v>
      </c>
      <c r="P150" s="131"/>
      <c r="Q150" s="131">
        <f>IFERROR(VLOOKUP($L150,'2-2 引出数据_合同数据仓库'!$B$5:$BP$200,28,FALSE),0)</f>
        <v>0</v>
      </c>
      <c r="R150" s="131">
        <f>IFERROR(VLOOKUP($L150,'2-2 引出数据_合同数据仓库'!$B$5:$BP$200,29,FALSE),0)</f>
        <v>0</v>
      </c>
      <c r="S150" s="131">
        <f>IFERROR(VLOOKUP($L150,'2-2 引出数据_合同数据仓库'!$B$5:$BP$200,4,FALSE),0)</f>
        <v>0</v>
      </c>
      <c r="T150" s="131"/>
      <c r="U150" s="131">
        <f>IFERROR(VLOOKUP($L150,'2-2 引出数据_合同数据仓库'!$B$5:$BP$200,15,FALSE),0)</f>
        <v>0</v>
      </c>
      <c r="V150" s="131">
        <f t="shared" si="1751"/>
        <v>0</v>
      </c>
      <c r="W150" s="131"/>
      <c r="X150" s="163">
        <v>45658</v>
      </c>
      <c r="Y150" s="163">
        <f t="shared" si="1752"/>
        <v>45688</v>
      </c>
      <c r="Z150" s="167">
        <f t="shared" si="1753"/>
        <v>0</v>
      </c>
      <c r="AA150" s="163">
        <f t="shared" si="1754"/>
        <v>45689</v>
      </c>
      <c r="AB150" s="163">
        <f t="shared" si="1755"/>
        <v>45716</v>
      </c>
      <c r="AC150" s="167">
        <f t="shared" si="1756"/>
        <v>0</v>
      </c>
      <c r="AD150" s="163">
        <f t="shared" si="1757"/>
        <v>45717</v>
      </c>
      <c r="AE150" s="163">
        <f t="shared" si="1758"/>
        <v>45747</v>
      </c>
      <c r="AF150" s="167">
        <f t="shared" si="1759"/>
        <v>0</v>
      </c>
      <c r="AG150" s="163">
        <f t="shared" si="1760"/>
        <v>45748</v>
      </c>
      <c r="AH150" s="163">
        <f t="shared" si="1761"/>
        <v>45777</v>
      </c>
      <c r="AI150" s="167">
        <f t="shared" si="1762"/>
        <v>0</v>
      </c>
      <c r="AJ150" s="163">
        <f t="shared" si="1763"/>
        <v>45778</v>
      </c>
      <c r="AK150" s="163">
        <f t="shared" si="1764"/>
        <v>45808</v>
      </c>
      <c r="AL150" s="167">
        <f t="shared" si="1765"/>
        <v>0</v>
      </c>
      <c r="AM150" s="163">
        <f t="shared" si="1766"/>
        <v>45809</v>
      </c>
      <c r="AN150" s="163">
        <f t="shared" si="1767"/>
        <v>45838</v>
      </c>
      <c r="AO150" s="167">
        <f t="shared" si="1768"/>
        <v>0</v>
      </c>
      <c r="AP150" s="163">
        <f t="shared" si="1769"/>
        <v>45839</v>
      </c>
      <c r="AQ150" s="163">
        <f t="shared" si="1770"/>
        <v>45869</v>
      </c>
      <c r="AR150" s="167">
        <f t="shared" si="1771"/>
        <v>0</v>
      </c>
      <c r="AS150" s="163">
        <f t="shared" si="1772"/>
        <v>45870</v>
      </c>
      <c r="AT150" s="163">
        <f t="shared" si="1773"/>
        <v>45900</v>
      </c>
      <c r="AU150" s="167">
        <f t="shared" si="1774"/>
        <v>0</v>
      </c>
      <c r="AV150" s="163">
        <f t="shared" si="1775"/>
        <v>45901</v>
      </c>
      <c r="AW150" s="163">
        <f t="shared" si="1776"/>
        <v>45930</v>
      </c>
      <c r="AX150" s="167">
        <f t="shared" si="1777"/>
        <v>0</v>
      </c>
      <c r="AY150" s="163">
        <f t="shared" si="1778"/>
        <v>45931</v>
      </c>
      <c r="AZ150" s="163">
        <f t="shared" si="1779"/>
        <v>45961</v>
      </c>
      <c r="BA150" s="167">
        <f t="shared" si="1780"/>
        <v>0</v>
      </c>
      <c r="BB150" s="163">
        <f t="shared" si="1781"/>
        <v>45962</v>
      </c>
      <c r="BC150" s="163">
        <f t="shared" si="1782"/>
        <v>45991</v>
      </c>
      <c r="BD150" s="167">
        <f t="shared" si="1783"/>
        <v>0</v>
      </c>
      <c r="BE150" s="163">
        <f t="shared" si="1784"/>
        <v>45992</v>
      </c>
      <c r="BF150" s="163">
        <f t="shared" si="1785"/>
        <v>46022</v>
      </c>
      <c r="BG150" s="167">
        <f t="shared" si="1786"/>
        <v>0</v>
      </c>
      <c r="BH150" s="163">
        <v>46023</v>
      </c>
      <c r="BI150" s="163">
        <f t="shared" si="1787"/>
        <v>46053</v>
      </c>
      <c r="BJ150" s="167">
        <f t="shared" si="1788"/>
        <v>0</v>
      </c>
      <c r="BK150" s="163">
        <f t="shared" si="1789"/>
        <v>46054</v>
      </c>
      <c r="BL150" s="163">
        <f t="shared" si="1790"/>
        <v>46081</v>
      </c>
      <c r="BM150" s="167">
        <f t="shared" si="1791"/>
        <v>0</v>
      </c>
      <c r="BN150" s="163">
        <f t="shared" si="1792"/>
        <v>46082</v>
      </c>
      <c r="BO150" s="163">
        <f t="shared" si="1793"/>
        <v>46112</v>
      </c>
      <c r="BP150" s="167">
        <f t="shared" si="1794"/>
        <v>0</v>
      </c>
      <c r="BQ150" s="163">
        <f t="shared" si="1795"/>
        <v>46113</v>
      </c>
      <c r="BR150" s="163">
        <f t="shared" si="1796"/>
        <v>46142</v>
      </c>
      <c r="BS150" s="167">
        <f t="shared" si="1797"/>
        <v>0</v>
      </c>
      <c r="BT150" s="163">
        <f t="shared" si="1798"/>
        <v>46143</v>
      </c>
      <c r="BU150" s="163">
        <f t="shared" si="1799"/>
        <v>46173</v>
      </c>
      <c r="BV150" s="167">
        <f t="shared" si="1800"/>
        <v>0</v>
      </c>
      <c r="BW150" s="163">
        <f t="shared" si="1801"/>
        <v>46174</v>
      </c>
      <c r="BX150" s="163">
        <f t="shared" si="1802"/>
        <v>46203</v>
      </c>
      <c r="BY150" s="167">
        <f t="shared" si="1803"/>
        <v>0</v>
      </c>
      <c r="BZ150" s="163">
        <f t="shared" si="1804"/>
        <v>46204</v>
      </c>
      <c r="CA150" s="163">
        <f t="shared" si="1805"/>
        <v>46234</v>
      </c>
      <c r="CB150" s="167">
        <f t="shared" si="1806"/>
        <v>0</v>
      </c>
      <c r="CC150" s="163">
        <f t="shared" si="1807"/>
        <v>46235</v>
      </c>
      <c r="CD150" s="163">
        <f t="shared" si="1808"/>
        <v>46265</v>
      </c>
      <c r="CE150" s="167">
        <f t="shared" si="1809"/>
        <v>0</v>
      </c>
      <c r="CF150" s="163">
        <f t="shared" si="1810"/>
        <v>46266</v>
      </c>
      <c r="CG150" s="163">
        <f t="shared" si="1811"/>
        <v>46295</v>
      </c>
      <c r="CH150" s="167">
        <f t="shared" si="1812"/>
        <v>0</v>
      </c>
      <c r="CI150" s="163">
        <f t="shared" si="1813"/>
        <v>46296</v>
      </c>
      <c r="CJ150" s="163">
        <f t="shared" si="1814"/>
        <v>46326</v>
      </c>
      <c r="CK150" s="167">
        <f t="shared" si="1815"/>
        <v>0</v>
      </c>
      <c r="CL150" s="163">
        <f t="shared" si="1816"/>
        <v>46327</v>
      </c>
      <c r="CM150" s="163">
        <f t="shared" si="1817"/>
        <v>46356</v>
      </c>
      <c r="CN150" s="167">
        <f t="shared" si="1818"/>
        <v>0</v>
      </c>
      <c r="CO150" s="163">
        <f t="shared" si="1819"/>
        <v>46357</v>
      </c>
      <c r="CP150" s="163">
        <f t="shared" si="1820"/>
        <v>46387</v>
      </c>
      <c r="CQ150" s="167">
        <f t="shared" si="1821"/>
        <v>0</v>
      </c>
    </row>
    <row r="151" s="89" customFormat="1" ht="24" hidden="1" customHeight="1" outlineLevel="4" spans="1:95">
      <c r="A151" s="132" t="s">
        <v>2813</v>
      </c>
      <c r="B151" s="133"/>
      <c r="C151" s="133"/>
      <c r="D151" s="133"/>
      <c r="E151" s="133"/>
      <c r="F151" s="133"/>
      <c r="G151" s="134"/>
      <c r="H151" s="135"/>
      <c r="I151" s="135"/>
      <c r="J151" s="135"/>
      <c r="K151" s="135"/>
      <c r="L151" s="158"/>
      <c r="M151" s="158"/>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c r="CL151" s="135"/>
      <c r="CM151" s="135"/>
      <c r="CN151" s="135"/>
      <c r="CO151" s="135"/>
      <c r="CP151" s="135"/>
      <c r="CQ151" s="135"/>
    </row>
    <row r="152" ht="24" hidden="1" customHeight="1" outlineLevel="3" collapsed="1" spans="1:95">
      <c r="A152" s="124"/>
      <c r="B152" s="125" t="s">
        <v>792</v>
      </c>
      <c r="C152" s="126" t="s">
        <v>1106</v>
      </c>
      <c r="D152" s="124" t="s">
        <v>19</v>
      </c>
      <c r="E152" s="125"/>
      <c r="F152" s="125"/>
      <c r="G152" s="125"/>
      <c r="H152" s="127">
        <f>X152+AA152+AD152+AG152+AJ152+AM152+AP152+AS152+AV152+AY152+BB152+BE152</f>
        <v>0</v>
      </c>
      <c r="I152" s="127">
        <f>Y152+AB152+AE152+AH152+AK152+AN152+AQ152+AT152+AW152+AZ152+BC152+BF152</f>
        <v>0</v>
      </c>
      <c r="J152" s="127">
        <f t="shared" si="1570"/>
        <v>0</v>
      </c>
      <c r="K152" s="127"/>
      <c r="L152" s="155"/>
      <c r="M152" s="155"/>
      <c r="N152" s="127"/>
      <c r="O152" s="127"/>
      <c r="P152" s="127"/>
      <c r="Q152" s="127"/>
      <c r="R152" s="127"/>
      <c r="S152" s="127"/>
      <c r="T152" s="127"/>
      <c r="U152" s="127"/>
      <c r="V152" s="127"/>
      <c r="W152" s="127"/>
      <c r="X152" s="127">
        <f>VLOOKUP($C152,'1 预算编制表单'!$C:$BJ,27,FALSE)</f>
        <v>0</v>
      </c>
      <c r="Y152" s="127">
        <f>X152-Z152</f>
        <v>0</v>
      </c>
      <c r="Z152" s="127">
        <f>SUM(Z153:Z157)</f>
        <v>0</v>
      </c>
      <c r="AA152" s="127">
        <f>VLOOKUP($C152,'1 预算编制表单'!$C:$BJ,30,FALSE)</f>
        <v>0</v>
      </c>
      <c r="AB152" s="127">
        <f>AA152-AC152</f>
        <v>0</v>
      </c>
      <c r="AC152" s="127">
        <f>SUM(AC153:AC157)</f>
        <v>0</v>
      </c>
      <c r="AD152" s="127">
        <f>VLOOKUP($C152,'1 预算编制表单'!$C:$BJ,33,FALSE)</f>
        <v>0</v>
      </c>
      <c r="AE152" s="127">
        <f>AD152-AF152</f>
        <v>0</v>
      </c>
      <c r="AF152" s="127">
        <f>SUM(AF153:AF157)</f>
        <v>0</v>
      </c>
      <c r="AG152" s="127">
        <f>VLOOKUP($C152,'1 预算编制表单'!$C:$BJ,36,FALSE)</f>
        <v>0</v>
      </c>
      <c r="AH152" s="127">
        <f>AG152-AI152</f>
        <v>0</v>
      </c>
      <c r="AI152" s="127">
        <f>SUM(AI153:AI157)</f>
        <v>0</v>
      </c>
      <c r="AJ152" s="127">
        <f>VLOOKUP($C152,'1 预算编制表单'!$C:$BJ,39,FALSE)</f>
        <v>0</v>
      </c>
      <c r="AK152" s="127">
        <f>AJ152-AL152</f>
        <v>0</v>
      </c>
      <c r="AL152" s="127">
        <f>SUM(AL153:AL157)</f>
        <v>0</v>
      </c>
      <c r="AM152" s="127">
        <f>VLOOKUP($C152,'1 预算编制表单'!$C:$BJ,42,FALSE)</f>
        <v>0</v>
      </c>
      <c r="AN152" s="127">
        <f>AM152-AO152</f>
        <v>0</v>
      </c>
      <c r="AO152" s="127">
        <f>SUM(AO153:AO157)</f>
        <v>0</v>
      </c>
      <c r="AP152" s="127">
        <f>VLOOKUP($C152,'1 预算编制表单'!$C:$BJ,45,FALSE)</f>
        <v>0</v>
      </c>
      <c r="AQ152" s="127">
        <f>AP152-AR152</f>
        <v>0</v>
      </c>
      <c r="AR152" s="127">
        <f>SUM(AR153:AR157)</f>
        <v>0</v>
      </c>
      <c r="AS152" s="127">
        <f>VLOOKUP($C152,'1 预算编制表单'!$C:$BJ,48,FALSE)</f>
        <v>0</v>
      </c>
      <c r="AT152" s="127">
        <f>AS152-AU152</f>
        <v>0</v>
      </c>
      <c r="AU152" s="127">
        <f>SUM(AU153:AU157)</f>
        <v>0</v>
      </c>
      <c r="AV152" s="127">
        <f>VLOOKUP($C152,'1 预算编制表单'!$C:$BJ,51,FALSE)</f>
        <v>0</v>
      </c>
      <c r="AW152" s="127">
        <f>AV152-AX152</f>
        <v>0</v>
      </c>
      <c r="AX152" s="127">
        <f>SUM(AX153:AX157)</f>
        <v>0</v>
      </c>
      <c r="AY152" s="127">
        <f>VLOOKUP($C152,'1 预算编制表单'!$C:$BJ,54,FALSE)</f>
        <v>0</v>
      </c>
      <c r="AZ152" s="127">
        <f>AY152-BA152</f>
        <v>0</v>
      </c>
      <c r="BA152" s="127">
        <f>SUM(BA153:BA157)</f>
        <v>0</v>
      </c>
      <c r="BB152" s="127">
        <f>VLOOKUP($C152,'1 预算编制表单'!$C:$BJ,57,FALSE)</f>
        <v>0</v>
      </c>
      <c r="BC152" s="127">
        <f>BB152-BD152</f>
        <v>0</v>
      </c>
      <c r="BD152" s="127">
        <f>SUM(BD153:BD157)</f>
        <v>0</v>
      </c>
      <c r="BE152" s="127">
        <f>VLOOKUP($C152,'1 预算编制表单'!$C:$BJ,60,FALSE)</f>
        <v>0</v>
      </c>
      <c r="BF152" s="127">
        <f>BE152-BG152</f>
        <v>0</v>
      </c>
      <c r="BG152" s="127">
        <f>SUM(BG153:BG157)</f>
        <v>0</v>
      </c>
      <c r="BH152" s="127">
        <f>VLOOKUP($C152,'1 预算编制表单'!$C:$BJ,27,FALSE)</f>
        <v>0</v>
      </c>
      <c r="BI152" s="127">
        <f>BH152-BJ152</f>
        <v>0</v>
      </c>
      <c r="BJ152" s="127">
        <f>SUM(BJ153:BJ157)</f>
        <v>0</v>
      </c>
      <c r="BK152" s="127">
        <f>VLOOKUP($C152,'1 预算编制表单'!$C:$BJ,30,FALSE)</f>
        <v>0</v>
      </c>
      <c r="BL152" s="127">
        <f>BK152-BM152</f>
        <v>0</v>
      </c>
      <c r="BM152" s="127">
        <f>SUM(BM153:BM157)</f>
        <v>0</v>
      </c>
      <c r="BN152" s="127">
        <f>VLOOKUP($C152,'1 预算编制表单'!$C:$BJ,33,FALSE)</f>
        <v>0</v>
      </c>
      <c r="BO152" s="127">
        <f>BN152-BP152</f>
        <v>0</v>
      </c>
      <c r="BP152" s="127">
        <f>SUM(BP153:BP157)</f>
        <v>0</v>
      </c>
      <c r="BQ152" s="127">
        <f>VLOOKUP($C152,'1 预算编制表单'!$C:$BJ,36,FALSE)</f>
        <v>0</v>
      </c>
      <c r="BR152" s="127">
        <f>BQ152-BS152</f>
        <v>0</v>
      </c>
      <c r="BS152" s="127">
        <f>SUM(BS153:BS157)</f>
        <v>0</v>
      </c>
      <c r="BT152" s="127">
        <f>VLOOKUP($C152,'1 预算编制表单'!$C:$BJ,39,FALSE)</f>
        <v>0</v>
      </c>
      <c r="BU152" s="127">
        <f>BT152-BV152</f>
        <v>0</v>
      </c>
      <c r="BV152" s="127">
        <f>SUM(BV153:BV157)</f>
        <v>0</v>
      </c>
      <c r="BW152" s="127">
        <f>VLOOKUP($C152,'1 预算编制表单'!$C:$BJ,42,FALSE)</f>
        <v>0</v>
      </c>
      <c r="BX152" s="127">
        <f>BW152-BY152</f>
        <v>0</v>
      </c>
      <c r="BY152" s="127">
        <f>SUM(BY153:BY157)</f>
        <v>0</v>
      </c>
      <c r="BZ152" s="127">
        <f>VLOOKUP($C152,'1 预算编制表单'!$C:$BJ,45,FALSE)</f>
        <v>0</v>
      </c>
      <c r="CA152" s="127">
        <f>BZ152-CB152</f>
        <v>0</v>
      </c>
      <c r="CB152" s="127">
        <f>SUM(CB153:CB157)</f>
        <v>0</v>
      </c>
      <c r="CC152" s="127">
        <f>VLOOKUP($C152,'1 预算编制表单'!$C:$BJ,48,FALSE)</f>
        <v>0</v>
      </c>
      <c r="CD152" s="127">
        <f>CC152-CE152</f>
        <v>0</v>
      </c>
      <c r="CE152" s="127">
        <f>SUM(CE153:CE157)</f>
        <v>0</v>
      </c>
      <c r="CF152" s="127">
        <f>VLOOKUP($C152,'1 预算编制表单'!$C:$BJ,51,FALSE)</f>
        <v>0</v>
      </c>
      <c r="CG152" s="127">
        <f>CF152-CH152</f>
        <v>0</v>
      </c>
      <c r="CH152" s="127">
        <f>SUM(CH153:CH157)</f>
        <v>0</v>
      </c>
      <c r="CI152" s="127">
        <f>VLOOKUP($C152,'1 预算编制表单'!$C:$BJ,54,FALSE)</f>
        <v>0</v>
      </c>
      <c r="CJ152" s="127">
        <f>CI152-CK152</f>
        <v>0</v>
      </c>
      <c r="CK152" s="127">
        <f>SUM(CK153:CK157)</f>
        <v>0</v>
      </c>
      <c r="CL152" s="127">
        <f>VLOOKUP($C152,'1 预算编制表单'!$C:$BJ,57,FALSE)</f>
        <v>0</v>
      </c>
      <c r="CM152" s="127">
        <f>CL152-CN152</f>
        <v>0</v>
      </c>
      <c r="CN152" s="127">
        <f>SUM(CN153:CN157)</f>
        <v>0</v>
      </c>
      <c r="CO152" s="127">
        <f>VLOOKUP($C152,'1 预算编制表单'!$C:$BJ,60,FALSE)</f>
        <v>0</v>
      </c>
      <c r="CP152" s="127">
        <f>CO152-CQ152</f>
        <v>0</v>
      </c>
      <c r="CQ152" s="127">
        <f>SUM(CQ153:CQ157)</f>
        <v>0</v>
      </c>
    </row>
    <row r="153" s="89" customFormat="1" ht="24" hidden="1" customHeight="1" outlineLevel="4" spans="1:95">
      <c r="A153" s="128"/>
      <c r="B153" s="129"/>
      <c r="C153" s="130"/>
      <c r="D153" s="128"/>
      <c r="E153" s="129"/>
      <c r="F153" s="129"/>
      <c r="G153" s="129"/>
      <c r="H153" s="131"/>
      <c r="I153" s="131"/>
      <c r="J153" s="131">
        <f t="shared" si="1570"/>
        <v>0</v>
      </c>
      <c r="K153" s="131">
        <v>1</v>
      </c>
      <c r="L153" s="156"/>
      <c r="M153" s="157">
        <f>IFERROR(VLOOKUP($L153,'2-2 引出数据_合同数据仓库'!$B$5:$BP$200,3,FALSE),0)</f>
        <v>0</v>
      </c>
      <c r="N153" s="131"/>
      <c r="O153" s="157">
        <f>IFERROR(VLOOKUP((LEFT(VLOOKUP($L153,'2-2 引出数据_合同数据仓库'!$B$5:$BP$200,64,FALSE),15)&amp;(RIGHT(VLOOKUP($L153,'2-2 引出数据_合同数据仓库'!$B$5:$BP$200,64,FALSE),4)+1)),'2-2 引出数据_合同数据仓库'!$B$5:$BP$200,3,FALSE),0)</f>
        <v>0</v>
      </c>
      <c r="P153" s="131"/>
      <c r="Q153" s="131">
        <f>IFERROR(VLOOKUP($L153,'2-2 引出数据_合同数据仓库'!$B$5:$BP$200,28,FALSE),0)</f>
        <v>0</v>
      </c>
      <c r="R153" s="131">
        <f>IFERROR(VLOOKUP($L153,'2-2 引出数据_合同数据仓库'!$B$5:$BP$200,29,FALSE),0)</f>
        <v>0</v>
      </c>
      <c r="S153" s="131">
        <f>IFERROR(VLOOKUP($L153,'2-2 引出数据_合同数据仓库'!$B$5:$BP$200,4,FALSE),0)</f>
        <v>0</v>
      </c>
      <c r="T153" s="131"/>
      <c r="U153" s="131">
        <f>IFERROR(VLOOKUP($L153,'2-2 引出数据_合同数据仓库'!$B$5:$BP$200,15,FALSE),0)</f>
        <v>0</v>
      </c>
      <c r="V153" s="131">
        <f t="shared" ref="V153:V156" si="1822">U153/(S153-R153+1)*365</f>
        <v>0</v>
      </c>
      <c r="W153" s="131"/>
      <c r="X153" s="163">
        <v>45658</v>
      </c>
      <c r="Y153" s="163">
        <f t="shared" ref="Y153:Y156" si="1823">X153+30</f>
        <v>45688</v>
      </c>
      <c r="Z153" s="167">
        <f t="shared" ref="Z153:Z156" si="1824">IFERROR(IF(($R153-Y153)&gt;=0,0,IF(($S153-X153)&lt;0,0,IF(AND(($S153-Y153)&gt;0,(X153-$R153)&gt;0),$V153/365*(Y153-X153+1),IF(AND(($S153-Y153)&lt;=0,(X153-$R153)&gt;0),$V153/365*($S153-X153+1),$V153/365*(Y153-$R153+1))))),0)</f>
        <v>0</v>
      </c>
      <c r="AA153" s="163">
        <f t="shared" ref="AA153:AA156" si="1825">Y153+1</f>
        <v>45689</v>
      </c>
      <c r="AB153" s="163">
        <f t="shared" ref="AB153:AB156" si="1826">AA153+27</f>
        <v>45716</v>
      </c>
      <c r="AC153" s="167">
        <f t="shared" ref="AC153:AC156" si="1827">IFERROR(IF(($R153-AB153)&gt;=0,0,IF(($S153-AA153)&lt;0,0,IF(AND(($S153-AB153)&gt;0,(AA153-$R153)&gt;0),$V153/365*(AB153-AA153+1),IF(AND(($S153-AB153)&lt;=0,(AA153-$R153)&gt;0),$V153/365*($S153-AA153+1),$V153/365*(AB153-$R153+1))))),0)</f>
        <v>0</v>
      </c>
      <c r="AD153" s="163">
        <f t="shared" ref="AD153:AD156" si="1828">AB153+1</f>
        <v>45717</v>
      </c>
      <c r="AE153" s="163">
        <f t="shared" ref="AE153:AE156" si="1829">AD153+30</f>
        <v>45747</v>
      </c>
      <c r="AF153" s="167">
        <f t="shared" ref="AF153:AF156" si="1830">IFERROR(IF(($R153-AE153)&gt;=0,0,IF(($S153-AD153)&lt;0,0,IF(AND(($S153-AE153)&gt;0,(AD153-$R153)&gt;0),$V153/365*(AE153-AD153+1),IF(AND(($S153-AE153)&lt;=0,(AD153-$R153)&gt;0),$V153/365*($S153-AD153+1),$V153/365*(AE153-$R153+1))))),0)</f>
        <v>0</v>
      </c>
      <c r="AG153" s="163">
        <f t="shared" ref="AG153:AG156" si="1831">AE153+1</f>
        <v>45748</v>
      </c>
      <c r="AH153" s="163">
        <f t="shared" ref="AH153:AH156" si="1832">AG153+29</f>
        <v>45777</v>
      </c>
      <c r="AI153" s="167">
        <f t="shared" ref="AI153:AI156" si="1833">IFERROR(IF(($R153-AH153)&gt;=0,0,IF(($S153-AG153)&lt;0,0,IF(AND(($S153-AH153)&gt;0,(AG153-$R153)&gt;0),$V153/365*(AH153-AG153+1),IF(AND(($S153-AH153)&lt;=0,(AG153-$R153)&gt;0),$V153/365*($S153-AG153+1),$V153/365*(AH153-$R153+1))))),0)</f>
        <v>0</v>
      </c>
      <c r="AJ153" s="163">
        <f t="shared" ref="AJ153:AJ156" si="1834">AH153+1</f>
        <v>45778</v>
      </c>
      <c r="AK153" s="163">
        <f t="shared" ref="AK153:AK156" si="1835">AJ153+30</f>
        <v>45808</v>
      </c>
      <c r="AL153" s="167">
        <f t="shared" ref="AL153:AL156" si="1836">IFERROR(IF(($R153-AK153)&gt;=0,0,IF(($S153-AJ153)&lt;0,0,IF(AND(($S153-AK153)&gt;0,(AJ153-$R153)&gt;0),$V153/365*(AK153-AJ153+1),IF(AND(($S153-AK153)&lt;=0,(AJ153-$R153)&gt;0),$V153/365*($S153-AJ153+1),$V153/365*(AK153-$R153+1))))),0)</f>
        <v>0</v>
      </c>
      <c r="AM153" s="163">
        <f t="shared" ref="AM153:AM156" si="1837">AK153+1</f>
        <v>45809</v>
      </c>
      <c r="AN153" s="163">
        <f t="shared" ref="AN153:AN156" si="1838">AM153+29</f>
        <v>45838</v>
      </c>
      <c r="AO153" s="167">
        <f t="shared" ref="AO153:AO156" si="1839">IFERROR(IF(($R153-AN153)&gt;=0,0,IF(($S153-AM153)&lt;0,0,IF(AND(($S153-AN153)&gt;0,(AM153-$R153)&gt;0),$V153/365*(AN153-AM153+1),IF(AND(($S153-AN153)&lt;=0,(AM153-$R153)&gt;0),$V153/365*($S153-AM153+1),$V153/365*(AN153-$R153+1))))),0)</f>
        <v>0</v>
      </c>
      <c r="AP153" s="163">
        <f t="shared" ref="AP153:AP156" si="1840">AN153+1</f>
        <v>45839</v>
      </c>
      <c r="AQ153" s="163">
        <f t="shared" ref="AQ153:AQ156" si="1841">AP153+30</f>
        <v>45869</v>
      </c>
      <c r="AR153" s="167">
        <f t="shared" ref="AR153:AR156" si="1842">IFERROR(IF(($R153-AQ153)&gt;=0,0,IF(($S153-AP153)&lt;0,0,IF(AND(($S153-AQ153)&gt;0,(AP153-$R153)&gt;0),$V153/365*(AQ153-AP153+1),IF(AND(($S153-AQ153)&lt;=0,(AP153-$R153)&gt;0),$V153/365*($S153-AP153+1),$V153/365*(AQ153-$R153+1))))),0)</f>
        <v>0</v>
      </c>
      <c r="AS153" s="163">
        <f t="shared" ref="AS153:AS156" si="1843">AQ153+1</f>
        <v>45870</v>
      </c>
      <c r="AT153" s="163">
        <f t="shared" ref="AT153:AT156" si="1844">AS153+30</f>
        <v>45900</v>
      </c>
      <c r="AU153" s="167">
        <f t="shared" ref="AU153:AU156" si="1845">IFERROR(IF(($R153-AT153)&gt;=0,0,IF(($S153-AS153)&lt;0,0,IF(AND(($S153-AT153)&gt;0,(AS153-$R153)&gt;0),$V153/365*(AT153-AS153+1),IF(AND(($S153-AT153)&lt;=0,(AS153-$R153)&gt;0),$V153/365*($S153-AS153+1),$V153/365*(AT153-$R153+1))))),0)</f>
        <v>0</v>
      </c>
      <c r="AV153" s="163">
        <f t="shared" ref="AV153:AV156" si="1846">AT153+1</f>
        <v>45901</v>
      </c>
      <c r="AW153" s="163">
        <f t="shared" ref="AW153:AW156" si="1847">AV153+29</f>
        <v>45930</v>
      </c>
      <c r="AX153" s="167">
        <f t="shared" ref="AX153:AX156" si="1848">IFERROR(IF(($R153-AW153)&gt;=0,0,IF(($S153-AV153)&lt;0,0,IF(AND(($S153-AW153)&gt;0,(AV153-$R153)&gt;0),$V153/365*(AW153-AV153+1),IF(AND(($S153-AW153)&lt;=0,(AV153-$R153)&gt;0),$V153/365*($S153-AV153+1),$V153/365*(AW153-$R153+1))))),0)</f>
        <v>0</v>
      </c>
      <c r="AY153" s="163">
        <f t="shared" ref="AY153:AY156" si="1849">AW153+1</f>
        <v>45931</v>
      </c>
      <c r="AZ153" s="163">
        <f t="shared" ref="AZ153:AZ156" si="1850">AY153+30</f>
        <v>45961</v>
      </c>
      <c r="BA153" s="167">
        <f t="shared" ref="BA153:BA156" si="1851">IFERROR(IF(($R153-AZ153)&gt;=0,0,IF(($S153-AY153)&lt;0,0,IF(AND(($S153-AZ153)&gt;0,(AY153-$R153)&gt;0),$V153/365*(AZ153-AY153+1),IF(AND(($S153-AZ153)&lt;=0,(AY153-$R153)&gt;0),$V153/365*($S153-AY153+1),$V153/365*(AZ153-$R153+1))))),0)</f>
        <v>0</v>
      </c>
      <c r="BB153" s="163">
        <f t="shared" ref="BB153:BB156" si="1852">AZ153+1</f>
        <v>45962</v>
      </c>
      <c r="BC153" s="163">
        <f t="shared" ref="BC153:BC156" si="1853">BB153+29</f>
        <v>45991</v>
      </c>
      <c r="BD153" s="167">
        <f t="shared" ref="BD153:BD156" si="1854">IFERROR(IF(($R153-BC153)&gt;=0,0,IF(($S153-BB153)&lt;0,0,IF(AND(($S153-BC153)&gt;0,(BB153-$R153)&gt;0),$V153/365*(BC153-BB153+1),IF(AND(($S153-BC153)&lt;=0,(BB153-$R153)&gt;0),$V153/365*($S153-BB153+1),$V153/365*(BC153-$R153+1))))),0)</f>
        <v>0</v>
      </c>
      <c r="BE153" s="163">
        <f t="shared" ref="BE153:BE156" si="1855">BC153+1</f>
        <v>45992</v>
      </c>
      <c r="BF153" s="163">
        <f t="shared" ref="BF153:BF156" si="1856">BE153+30</f>
        <v>46022</v>
      </c>
      <c r="BG153" s="167">
        <f t="shared" ref="BG153:BG156" si="1857">IFERROR(IF(($R153-BF153)&gt;=0,0,IF(($S153-BE153)&lt;0,0,IF(AND(($S153-BF153)&gt;0,(BE153-$R153)&gt;0),$V153/365*(BF153-BE153+1),IF(AND(($S153-BF153)&lt;=0,(BE153-$R153)&gt;0),$V153/365*($S153-BE153+1),$V153/365*(BF153-$R153+1))))),0)</f>
        <v>0</v>
      </c>
      <c r="BH153" s="163">
        <v>46023</v>
      </c>
      <c r="BI153" s="163">
        <f t="shared" ref="BI153:BI156" si="1858">BH153+30</f>
        <v>46053</v>
      </c>
      <c r="BJ153" s="167">
        <f t="shared" ref="BJ153:BJ156" si="1859">IFERROR(IF(($R153-BI153)&gt;=0,0,IF(($S153-BH153)&lt;0,0,IF(AND(($S153-BI153)&gt;0,(BH153-$R153)&gt;0),$V153/365*(BI153-BH153+1),IF(AND(($S153-BI153)&lt;=0,(BH153-$R153)&gt;0),$V153/365*($S153-BH153+1),$V153/365*(BI153-$R153+1))))),0)</f>
        <v>0</v>
      </c>
      <c r="BK153" s="163">
        <f t="shared" ref="BK153:BK156" si="1860">BI153+1</f>
        <v>46054</v>
      </c>
      <c r="BL153" s="163">
        <f t="shared" ref="BL153:BL156" si="1861">BK153+27</f>
        <v>46081</v>
      </c>
      <c r="BM153" s="167">
        <f t="shared" ref="BM153:BM156" si="1862">IFERROR(IF(($R153-BL153)&gt;=0,0,IF(($S153-BK153)&lt;0,0,IF(AND(($S153-BL153)&gt;0,(BK153-$R153)&gt;0),$V153/365*(BL153-BK153+1),IF(AND(($S153-BL153)&lt;=0,(BK153-$R153)&gt;0),$V153/365*($S153-BK153+1),$V153/365*(BL153-$R153+1))))),0)</f>
        <v>0</v>
      </c>
      <c r="BN153" s="163">
        <f t="shared" ref="BN153:BN156" si="1863">BL153+1</f>
        <v>46082</v>
      </c>
      <c r="BO153" s="163">
        <f t="shared" ref="BO153:BO156" si="1864">BN153+30</f>
        <v>46112</v>
      </c>
      <c r="BP153" s="167">
        <f t="shared" ref="BP153:BP156" si="1865">IFERROR(IF(($R153-BO153)&gt;=0,0,IF(($S153-BN153)&lt;0,0,IF(AND(($S153-BO153)&gt;0,(BN153-$R153)&gt;0),$V153/365*(BO153-BN153+1),IF(AND(($S153-BO153)&lt;=0,(BN153-$R153)&gt;0),$V153/365*($S153-BN153+1),$V153/365*(BO153-$R153+1))))),0)</f>
        <v>0</v>
      </c>
      <c r="BQ153" s="163">
        <f t="shared" ref="BQ153:BQ156" si="1866">BO153+1</f>
        <v>46113</v>
      </c>
      <c r="BR153" s="163">
        <f t="shared" ref="BR153:BR156" si="1867">BQ153+29</f>
        <v>46142</v>
      </c>
      <c r="BS153" s="167">
        <f t="shared" ref="BS153:BS156" si="1868">IFERROR(IF(($R153-BR153)&gt;=0,0,IF(($S153-BQ153)&lt;0,0,IF(AND(($S153-BR153)&gt;0,(BQ153-$R153)&gt;0),$V153/365*(BR153-BQ153+1),IF(AND(($S153-BR153)&lt;=0,(BQ153-$R153)&gt;0),$V153/365*($S153-BQ153+1),$V153/365*(BR153-$R153+1))))),0)</f>
        <v>0</v>
      </c>
      <c r="BT153" s="163">
        <f t="shared" ref="BT153:BT156" si="1869">BR153+1</f>
        <v>46143</v>
      </c>
      <c r="BU153" s="163">
        <f t="shared" ref="BU153:BU156" si="1870">BT153+30</f>
        <v>46173</v>
      </c>
      <c r="BV153" s="167">
        <f t="shared" ref="BV153:BV156" si="1871">IFERROR(IF(($R153-BU153)&gt;=0,0,IF(($S153-BT153)&lt;0,0,IF(AND(($S153-BU153)&gt;0,(BT153-$R153)&gt;0),$V153/365*(BU153-BT153+1),IF(AND(($S153-BU153)&lt;=0,(BT153-$R153)&gt;0),$V153/365*($S153-BT153+1),$V153/365*(BU153-$R153+1))))),0)</f>
        <v>0</v>
      </c>
      <c r="BW153" s="163">
        <f t="shared" ref="BW153:BW156" si="1872">BU153+1</f>
        <v>46174</v>
      </c>
      <c r="BX153" s="163">
        <f t="shared" ref="BX153:BX156" si="1873">BW153+29</f>
        <v>46203</v>
      </c>
      <c r="BY153" s="167">
        <f t="shared" ref="BY153:BY156" si="1874">IFERROR(IF(($R153-BX153)&gt;=0,0,IF(($S153-BW153)&lt;0,0,IF(AND(($S153-BX153)&gt;0,(BW153-$R153)&gt;0),$V153/365*(BX153-BW153+1),IF(AND(($S153-BX153)&lt;=0,(BW153-$R153)&gt;0),$V153/365*($S153-BW153+1),$V153/365*(BX153-$R153+1))))),0)</f>
        <v>0</v>
      </c>
      <c r="BZ153" s="163">
        <f t="shared" ref="BZ153:BZ156" si="1875">BX153+1</f>
        <v>46204</v>
      </c>
      <c r="CA153" s="163">
        <f t="shared" ref="CA153:CA156" si="1876">BZ153+30</f>
        <v>46234</v>
      </c>
      <c r="CB153" s="167">
        <f t="shared" ref="CB153:CB156" si="1877">IFERROR(IF(($R153-CA153)&gt;=0,0,IF(($S153-BZ153)&lt;0,0,IF(AND(($S153-CA153)&gt;0,(BZ153-$R153)&gt;0),$V153/365*(CA153-BZ153+1),IF(AND(($S153-CA153)&lt;=0,(BZ153-$R153)&gt;0),$V153/365*($S153-BZ153+1),$V153/365*(CA153-$R153+1))))),0)</f>
        <v>0</v>
      </c>
      <c r="CC153" s="163">
        <f t="shared" ref="CC153:CC156" si="1878">CA153+1</f>
        <v>46235</v>
      </c>
      <c r="CD153" s="163">
        <f t="shared" ref="CD153:CD156" si="1879">CC153+30</f>
        <v>46265</v>
      </c>
      <c r="CE153" s="167">
        <f t="shared" ref="CE153:CE156" si="1880">IFERROR(IF(($R153-CD153)&gt;=0,0,IF(($S153-CC153)&lt;0,0,IF(AND(($S153-CD153)&gt;0,(CC153-$R153)&gt;0),$V153/365*(CD153-CC153+1),IF(AND(($S153-CD153)&lt;=0,(CC153-$R153)&gt;0),$V153/365*($S153-CC153+1),$V153/365*(CD153-$R153+1))))),0)</f>
        <v>0</v>
      </c>
      <c r="CF153" s="163">
        <f t="shared" ref="CF153:CF156" si="1881">CD153+1</f>
        <v>46266</v>
      </c>
      <c r="CG153" s="163">
        <f t="shared" ref="CG153:CG156" si="1882">CF153+29</f>
        <v>46295</v>
      </c>
      <c r="CH153" s="167">
        <f t="shared" ref="CH153:CH156" si="1883">IFERROR(IF(($R153-CG153)&gt;=0,0,IF(($S153-CF153)&lt;0,0,IF(AND(($S153-CG153)&gt;0,(CF153-$R153)&gt;0),$V153/365*(CG153-CF153+1),IF(AND(($S153-CG153)&lt;=0,(CF153-$R153)&gt;0),$V153/365*($S153-CF153+1),$V153/365*(CG153-$R153+1))))),0)</f>
        <v>0</v>
      </c>
      <c r="CI153" s="163">
        <f t="shared" ref="CI153:CI156" si="1884">CG153+1</f>
        <v>46296</v>
      </c>
      <c r="CJ153" s="163">
        <f t="shared" ref="CJ153:CJ156" si="1885">CI153+30</f>
        <v>46326</v>
      </c>
      <c r="CK153" s="167">
        <f t="shared" ref="CK153:CK156" si="1886">IFERROR(IF(($R153-CJ153)&gt;=0,0,IF(($S153-CI153)&lt;0,0,IF(AND(($S153-CJ153)&gt;0,(CI153-$R153)&gt;0),$V153/365*(CJ153-CI153+1),IF(AND(($S153-CJ153)&lt;=0,(CI153-$R153)&gt;0),$V153/365*($S153-CI153+1),$V153/365*(CJ153-$R153+1))))),0)</f>
        <v>0</v>
      </c>
      <c r="CL153" s="163">
        <f t="shared" ref="CL153:CL156" si="1887">CJ153+1</f>
        <v>46327</v>
      </c>
      <c r="CM153" s="163">
        <f t="shared" ref="CM153:CM156" si="1888">CL153+29</f>
        <v>46356</v>
      </c>
      <c r="CN153" s="167">
        <f t="shared" ref="CN153:CN156" si="1889">IFERROR(IF(($R153-CM153)&gt;=0,0,IF(($S153-CL153)&lt;0,0,IF(AND(($S153-CM153)&gt;0,(CL153-$R153)&gt;0),$V153/365*(CM153-CL153+1),IF(AND(($S153-CM153)&lt;=0,(CL153-$R153)&gt;0),$V153/365*($S153-CL153+1),$V153/365*(CM153-$R153+1))))),0)</f>
        <v>0</v>
      </c>
      <c r="CO153" s="163">
        <f t="shared" ref="CO153:CO156" si="1890">CM153+1</f>
        <v>46357</v>
      </c>
      <c r="CP153" s="163">
        <f t="shared" ref="CP153:CP156" si="1891">CO153+30</f>
        <v>46387</v>
      </c>
      <c r="CQ153" s="167">
        <f t="shared" ref="CQ153:CQ156" si="1892">IFERROR(IF(($R153-CP153)&gt;=0,0,IF(($S153-CO153)&lt;0,0,IF(AND(($S153-CP153)&gt;0,(CO153-$R153)&gt;0),$V153/365*(CP153-CO153+1),IF(AND(($S153-CP153)&lt;=0,(CO153-$R153)&gt;0),$V153/365*($S153-CO153+1),$V153/365*(CP153-$R153+1))))),0)</f>
        <v>0</v>
      </c>
    </row>
    <row r="154" s="89" customFormat="1" ht="24" hidden="1" customHeight="1" outlineLevel="4" spans="1:95">
      <c r="A154" s="128"/>
      <c r="B154" s="129"/>
      <c r="C154" s="130"/>
      <c r="D154" s="128"/>
      <c r="E154" s="129"/>
      <c r="F154" s="129"/>
      <c r="G154" s="129"/>
      <c r="H154" s="131"/>
      <c r="I154" s="131"/>
      <c r="J154" s="131">
        <f t="shared" si="1570"/>
        <v>0</v>
      </c>
      <c r="K154" s="131">
        <f t="shared" ref="K154:K156" si="1893">K153+1</f>
        <v>2</v>
      </c>
      <c r="L154" s="156"/>
      <c r="M154" s="157">
        <f>IFERROR(VLOOKUP($L154,'2-2 引出数据_合同数据仓库'!$B$5:$BP$200,3,FALSE),0)</f>
        <v>0</v>
      </c>
      <c r="N154" s="131"/>
      <c r="O154" s="157">
        <f>IFERROR(VLOOKUP((LEFT(VLOOKUP($L154,'2-2 引出数据_合同数据仓库'!$B$5:$BP$200,64,FALSE),15)&amp;(RIGHT(VLOOKUP($L154,'2-2 引出数据_合同数据仓库'!$B$5:$BP$200,64,FALSE),4)+1)),'2-2 引出数据_合同数据仓库'!$B$5:$BP$200,3,FALSE),0)</f>
        <v>0</v>
      </c>
      <c r="P154" s="131"/>
      <c r="Q154" s="131">
        <f>IFERROR(VLOOKUP($L154,'2-2 引出数据_合同数据仓库'!$B$5:$BP$200,28,FALSE),0)</f>
        <v>0</v>
      </c>
      <c r="R154" s="131">
        <f>IFERROR(VLOOKUP($L154,'2-2 引出数据_合同数据仓库'!$B$5:$BP$200,29,FALSE),0)</f>
        <v>0</v>
      </c>
      <c r="S154" s="131">
        <f>IFERROR(VLOOKUP($L154,'2-2 引出数据_合同数据仓库'!$B$5:$BP$200,4,FALSE),0)</f>
        <v>0</v>
      </c>
      <c r="T154" s="131"/>
      <c r="U154" s="131">
        <f>IFERROR(VLOOKUP($L154,'2-2 引出数据_合同数据仓库'!$B$5:$BP$200,15,FALSE),0)</f>
        <v>0</v>
      </c>
      <c r="V154" s="131">
        <f t="shared" si="1822"/>
        <v>0</v>
      </c>
      <c r="W154" s="131"/>
      <c r="X154" s="163">
        <v>45658</v>
      </c>
      <c r="Y154" s="163">
        <f t="shared" si="1823"/>
        <v>45688</v>
      </c>
      <c r="Z154" s="167">
        <f t="shared" si="1824"/>
        <v>0</v>
      </c>
      <c r="AA154" s="163">
        <f t="shared" si="1825"/>
        <v>45689</v>
      </c>
      <c r="AB154" s="163">
        <f t="shared" si="1826"/>
        <v>45716</v>
      </c>
      <c r="AC154" s="167">
        <f t="shared" si="1827"/>
        <v>0</v>
      </c>
      <c r="AD154" s="163">
        <f t="shared" si="1828"/>
        <v>45717</v>
      </c>
      <c r="AE154" s="163">
        <f t="shared" si="1829"/>
        <v>45747</v>
      </c>
      <c r="AF154" s="167">
        <f t="shared" si="1830"/>
        <v>0</v>
      </c>
      <c r="AG154" s="163">
        <f t="shared" si="1831"/>
        <v>45748</v>
      </c>
      <c r="AH154" s="163">
        <f t="shared" si="1832"/>
        <v>45777</v>
      </c>
      <c r="AI154" s="167">
        <f t="shared" si="1833"/>
        <v>0</v>
      </c>
      <c r="AJ154" s="163">
        <f t="shared" si="1834"/>
        <v>45778</v>
      </c>
      <c r="AK154" s="163">
        <f t="shared" si="1835"/>
        <v>45808</v>
      </c>
      <c r="AL154" s="167">
        <f t="shared" si="1836"/>
        <v>0</v>
      </c>
      <c r="AM154" s="163">
        <f t="shared" si="1837"/>
        <v>45809</v>
      </c>
      <c r="AN154" s="163">
        <f t="shared" si="1838"/>
        <v>45838</v>
      </c>
      <c r="AO154" s="167">
        <f t="shared" si="1839"/>
        <v>0</v>
      </c>
      <c r="AP154" s="163">
        <f t="shared" si="1840"/>
        <v>45839</v>
      </c>
      <c r="AQ154" s="163">
        <f t="shared" si="1841"/>
        <v>45869</v>
      </c>
      <c r="AR154" s="167">
        <f t="shared" si="1842"/>
        <v>0</v>
      </c>
      <c r="AS154" s="163">
        <f t="shared" si="1843"/>
        <v>45870</v>
      </c>
      <c r="AT154" s="163">
        <f t="shared" si="1844"/>
        <v>45900</v>
      </c>
      <c r="AU154" s="167">
        <f t="shared" si="1845"/>
        <v>0</v>
      </c>
      <c r="AV154" s="163">
        <f t="shared" si="1846"/>
        <v>45901</v>
      </c>
      <c r="AW154" s="163">
        <f t="shared" si="1847"/>
        <v>45930</v>
      </c>
      <c r="AX154" s="167">
        <f t="shared" si="1848"/>
        <v>0</v>
      </c>
      <c r="AY154" s="163">
        <f t="shared" si="1849"/>
        <v>45931</v>
      </c>
      <c r="AZ154" s="163">
        <f t="shared" si="1850"/>
        <v>45961</v>
      </c>
      <c r="BA154" s="167">
        <f t="shared" si="1851"/>
        <v>0</v>
      </c>
      <c r="BB154" s="163">
        <f t="shared" si="1852"/>
        <v>45962</v>
      </c>
      <c r="BC154" s="163">
        <f t="shared" si="1853"/>
        <v>45991</v>
      </c>
      <c r="BD154" s="167">
        <f t="shared" si="1854"/>
        <v>0</v>
      </c>
      <c r="BE154" s="163">
        <f t="shared" si="1855"/>
        <v>45992</v>
      </c>
      <c r="BF154" s="163">
        <f t="shared" si="1856"/>
        <v>46022</v>
      </c>
      <c r="BG154" s="167">
        <f t="shared" si="1857"/>
        <v>0</v>
      </c>
      <c r="BH154" s="163">
        <v>46023</v>
      </c>
      <c r="BI154" s="163">
        <f t="shared" si="1858"/>
        <v>46053</v>
      </c>
      <c r="BJ154" s="167">
        <f t="shared" si="1859"/>
        <v>0</v>
      </c>
      <c r="BK154" s="163">
        <f t="shared" si="1860"/>
        <v>46054</v>
      </c>
      <c r="BL154" s="163">
        <f t="shared" si="1861"/>
        <v>46081</v>
      </c>
      <c r="BM154" s="167">
        <f t="shared" si="1862"/>
        <v>0</v>
      </c>
      <c r="BN154" s="163">
        <f t="shared" si="1863"/>
        <v>46082</v>
      </c>
      <c r="BO154" s="163">
        <f t="shared" si="1864"/>
        <v>46112</v>
      </c>
      <c r="BP154" s="167">
        <f t="shared" si="1865"/>
        <v>0</v>
      </c>
      <c r="BQ154" s="163">
        <f t="shared" si="1866"/>
        <v>46113</v>
      </c>
      <c r="BR154" s="163">
        <f t="shared" si="1867"/>
        <v>46142</v>
      </c>
      <c r="BS154" s="167">
        <f t="shared" si="1868"/>
        <v>0</v>
      </c>
      <c r="BT154" s="163">
        <f t="shared" si="1869"/>
        <v>46143</v>
      </c>
      <c r="BU154" s="163">
        <f t="shared" si="1870"/>
        <v>46173</v>
      </c>
      <c r="BV154" s="167">
        <f t="shared" si="1871"/>
        <v>0</v>
      </c>
      <c r="BW154" s="163">
        <f t="shared" si="1872"/>
        <v>46174</v>
      </c>
      <c r="BX154" s="163">
        <f t="shared" si="1873"/>
        <v>46203</v>
      </c>
      <c r="BY154" s="167">
        <f t="shared" si="1874"/>
        <v>0</v>
      </c>
      <c r="BZ154" s="163">
        <f t="shared" si="1875"/>
        <v>46204</v>
      </c>
      <c r="CA154" s="163">
        <f t="shared" si="1876"/>
        <v>46234</v>
      </c>
      <c r="CB154" s="167">
        <f t="shared" si="1877"/>
        <v>0</v>
      </c>
      <c r="CC154" s="163">
        <f t="shared" si="1878"/>
        <v>46235</v>
      </c>
      <c r="CD154" s="163">
        <f t="shared" si="1879"/>
        <v>46265</v>
      </c>
      <c r="CE154" s="167">
        <f t="shared" si="1880"/>
        <v>0</v>
      </c>
      <c r="CF154" s="163">
        <f t="shared" si="1881"/>
        <v>46266</v>
      </c>
      <c r="CG154" s="163">
        <f t="shared" si="1882"/>
        <v>46295</v>
      </c>
      <c r="CH154" s="167">
        <f t="shared" si="1883"/>
        <v>0</v>
      </c>
      <c r="CI154" s="163">
        <f t="shared" si="1884"/>
        <v>46296</v>
      </c>
      <c r="CJ154" s="163">
        <f t="shared" si="1885"/>
        <v>46326</v>
      </c>
      <c r="CK154" s="167">
        <f t="shared" si="1886"/>
        <v>0</v>
      </c>
      <c r="CL154" s="163">
        <f t="shared" si="1887"/>
        <v>46327</v>
      </c>
      <c r="CM154" s="163">
        <f t="shared" si="1888"/>
        <v>46356</v>
      </c>
      <c r="CN154" s="167">
        <f t="shared" si="1889"/>
        <v>0</v>
      </c>
      <c r="CO154" s="163">
        <f t="shared" si="1890"/>
        <v>46357</v>
      </c>
      <c r="CP154" s="163">
        <f t="shared" si="1891"/>
        <v>46387</v>
      </c>
      <c r="CQ154" s="167">
        <f t="shared" si="1892"/>
        <v>0</v>
      </c>
    </row>
    <row r="155" s="89" customFormat="1" ht="24" hidden="1" customHeight="1" outlineLevel="4" spans="1:95">
      <c r="A155" s="128"/>
      <c r="B155" s="129"/>
      <c r="C155" s="130"/>
      <c r="D155" s="128"/>
      <c r="E155" s="129"/>
      <c r="F155" s="129"/>
      <c r="G155" s="129"/>
      <c r="H155" s="131"/>
      <c r="I155" s="131"/>
      <c r="J155" s="131">
        <f t="shared" si="1570"/>
        <v>0</v>
      </c>
      <c r="K155" s="131">
        <f t="shared" si="1893"/>
        <v>3</v>
      </c>
      <c r="L155" s="156"/>
      <c r="M155" s="157">
        <f>IFERROR(VLOOKUP($L155,'2-2 引出数据_合同数据仓库'!$B$5:$BP$200,3,FALSE),0)</f>
        <v>0</v>
      </c>
      <c r="N155" s="131"/>
      <c r="O155" s="157">
        <f>IFERROR(VLOOKUP((LEFT(VLOOKUP($L155,'2-2 引出数据_合同数据仓库'!$B$5:$BP$200,64,FALSE),15)&amp;(RIGHT(VLOOKUP($L155,'2-2 引出数据_合同数据仓库'!$B$5:$BP$200,64,FALSE),4)+1)),'2-2 引出数据_合同数据仓库'!$B$5:$BP$200,3,FALSE),0)</f>
        <v>0</v>
      </c>
      <c r="P155" s="131"/>
      <c r="Q155" s="131">
        <f>IFERROR(VLOOKUP($L155,'2-2 引出数据_合同数据仓库'!$B$5:$BP$200,28,FALSE),0)</f>
        <v>0</v>
      </c>
      <c r="R155" s="131">
        <f>IFERROR(VLOOKUP($L155,'2-2 引出数据_合同数据仓库'!$B$5:$BP$200,29,FALSE),0)</f>
        <v>0</v>
      </c>
      <c r="S155" s="131">
        <f>IFERROR(VLOOKUP($L155,'2-2 引出数据_合同数据仓库'!$B$5:$BP$200,4,FALSE),0)</f>
        <v>0</v>
      </c>
      <c r="T155" s="131"/>
      <c r="U155" s="131">
        <f>IFERROR(VLOOKUP($L155,'2-2 引出数据_合同数据仓库'!$B$5:$BP$200,15,FALSE),0)</f>
        <v>0</v>
      </c>
      <c r="V155" s="131">
        <f t="shared" si="1822"/>
        <v>0</v>
      </c>
      <c r="W155" s="131"/>
      <c r="X155" s="163">
        <v>45658</v>
      </c>
      <c r="Y155" s="163">
        <f t="shared" si="1823"/>
        <v>45688</v>
      </c>
      <c r="Z155" s="167">
        <f t="shared" si="1824"/>
        <v>0</v>
      </c>
      <c r="AA155" s="163">
        <f t="shared" si="1825"/>
        <v>45689</v>
      </c>
      <c r="AB155" s="163">
        <f t="shared" si="1826"/>
        <v>45716</v>
      </c>
      <c r="AC155" s="167">
        <f t="shared" si="1827"/>
        <v>0</v>
      </c>
      <c r="AD155" s="163">
        <f t="shared" si="1828"/>
        <v>45717</v>
      </c>
      <c r="AE155" s="163">
        <f t="shared" si="1829"/>
        <v>45747</v>
      </c>
      <c r="AF155" s="167">
        <f t="shared" si="1830"/>
        <v>0</v>
      </c>
      <c r="AG155" s="163">
        <f t="shared" si="1831"/>
        <v>45748</v>
      </c>
      <c r="AH155" s="163">
        <f t="shared" si="1832"/>
        <v>45777</v>
      </c>
      <c r="AI155" s="167">
        <f t="shared" si="1833"/>
        <v>0</v>
      </c>
      <c r="AJ155" s="163">
        <f t="shared" si="1834"/>
        <v>45778</v>
      </c>
      <c r="AK155" s="163">
        <f t="shared" si="1835"/>
        <v>45808</v>
      </c>
      <c r="AL155" s="167">
        <f t="shared" si="1836"/>
        <v>0</v>
      </c>
      <c r="AM155" s="163">
        <f t="shared" si="1837"/>
        <v>45809</v>
      </c>
      <c r="AN155" s="163">
        <f t="shared" si="1838"/>
        <v>45838</v>
      </c>
      <c r="AO155" s="167">
        <f t="shared" si="1839"/>
        <v>0</v>
      </c>
      <c r="AP155" s="163">
        <f t="shared" si="1840"/>
        <v>45839</v>
      </c>
      <c r="AQ155" s="163">
        <f t="shared" si="1841"/>
        <v>45869</v>
      </c>
      <c r="AR155" s="167">
        <f t="shared" si="1842"/>
        <v>0</v>
      </c>
      <c r="AS155" s="163">
        <f t="shared" si="1843"/>
        <v>45870</v>
      </c>
      <c r="AT155" s="163">
        <f t="shared" si="1844"/>
        <v>45900</v>
      </c>
      <c r="AU155" s="167">
        <f t="shared" si="1845"/>
        <v>0</v>
      </c>
      <c r="AV155" s="163">
        <f t="shared" si="1846"/>
        <v>45901</v>
      </c>
      <c r="AW155" s="163">
        <f t="shared" si="1847"/>
        <v>45930</v>
      </c>
      <c r="AX155" s="167">
        <f t="shared" si="1848"/>
        <v>0</v>
      </c>
      <c r="AY155" s="163">
        <f t="shared" si="1849"/>
        <v>45931</v>
      </c>
      <c r="AZ155" s="163">
        <f t="shared" si="1850"/>
        <v>45961</v>
      </c>
      <c r="BA155" s="167">
        <f t="shared" si="1851"/>
        <v>0</v>
      </c>
      <c r="BB155" s="163">
        <f t="shared" si="1852"/>
        <v>45962</v>
      </c>
      <c r="BC155" s="163">
        <f t="shared" si="1853"/>
        <v>45991</v>
      </c>
      <c r="BD155" s="167">
        <f t="shared" si="1854"/>
        <v>0</v>
      </c>
      <c r="BE155" s="163">
        <f t="shared" si="1855"/>
        <v>45992</v>
      </c>
      <c r="BF155" s="163">
        <f t="shared" si="1856"/>
        <v>46022</v>
      </c>
      <c r="BG155" s="167">
        <f t="shared" si="1857"/>
        <v>0</v>
      </c>
      <c r="BH155" s="163">
        <v>46023</v>
      </c>
      <c r="BI155" s="163">
        <f t="shared" si="1858"/>
        <v>46053</v>
      </c>
      <c r="BJ155" s="167">
        <f t="shared" si="1859"/>
        <v>0</v>
      </c>
      <c r="BK155" s="163">
        <f t="shared" si="1860"/>
        <v>46054</v>
      </c>
      <c r="BL155" s="163">
        <f t="shared" si="1861"/>
        <v>46081</v>
      </c>
      <c r="BM155" s="167">
        <f t="shared" si="1862"/>
        <v>0</v>
      </c>
      <c r="BN155" s="163">
        <f t="shared" si="1863"/>
        <v>46082</v>
      </c>
      <c r="BO155" s="163">
        <f t="shared" si="1864"/>
        <v>46112</v>
      </c>
      <c r="BP155" s="167">
        <f t="shared" si="1865"/>
        <v>0</v>
      </c>
      <c r="BQ155" s="163">
        <f t="shared" si="1866"/>
        <v>46113</v>
      </c>
      <c r="BR155" s="163">
        <f t="shared" si="1867"/>
        <v>46142</v>
      </c>
      <c r="BS155" s="167">
        <f t="shared" si="1868"/>
        <v>0</v>
      </c>
      <c r="BT155" s="163">
        <f t="shared" si="1869"/>
        <v>46143</v>
      </c>
      <c r="BU155" s="163">
        <f t="shared" si="1870"/>
        <v>46173</v>
      </c>
      <c r="BV155" s="167">
        <f t="shared" si="1871"/>
        <v>0</v>
      </c>
      <c r="BW155" s="163">
        <f t="shared" si="1872"/>
        <v>46174</v>
      </c>
      <c r="BX155" s="163">
        <f t="shared" si="1873"/>
        <v>46203</v>
      </c>
      <c r="BY155" s="167">
        <f t="shared" si="1874"/>
        <v>0</v>
      </c>
      <c r="BZ155" s="163">
        <f t="shared" si="1875"/>
        <v>46204</v>
      </c>
      <c r="CA155" s="163">
        <f t="shared" si="1876"/>
        <v>46234</v>
      </c>
      <c r="CB155" s="167">
        <f t="shared" si="1877"/>
        <v>0</v>
      </c>
      <c r="CC155" s="163">
        <f t="shared" si="1878"/>
        <v>46235</v>
      </c>
      <c r="CD155" s="163">
        <f t="shared" si="1879"/>
        <v>46265</v>
      </c>
      <c r="CE155" s="167">
        <f t="shared" si="1880"/>
        <v>0</v>
      </c>
      <c r="CF155" s="163">
        <f t="shared" si="1881"/>
        <v>46266</v>
      </c>
      <c r="CG155" s="163">
        <f t="shared" si="1882"/>
        <v>46295</v>
      </c>
      <c r="CH155" s="167">
        <f t="shared" si="1883"/>
        <v>0</v>
      </c>
      <c r="CI155" s="163">
        <f t="shared" si="1884"/>
        <v>46296</v>
      </c>
      <c r="CJ155" s="163">
        <f t="shared" si="1885"/>
        <v>46326</v>
      </c>
      <c r="CK155" s="167">
        <f t="shared" si="1886"/>
        <v>0</v>
      </c>
      <c r="CL155" s="163">
        <f t="shared" si="1887"/>
        <v>46327</v>
      </c>
      <c r="CM155" s="163">
        <f t="shared" si="1888"/>
        <v>46356</v>
      </c>
      <c r="CN155" s="167">
        <f t="shared" si="1889"/>
        <v>0</v>
      </c>
      <c r="CO155" s="163">
        <f t="shared" si="1890"/>
        <v>46357</v>
      </c>
      <c r="CP155" s="163">
        <f t="shared" si="1891"/>
        <v>46387</v>
      </c>
      <c r="CQ155" s="167">
        <f t="shared" si="1892"/>
        <v>0</v>
      </c>
    </row>
    <row r="156" s="89" customFormat="1" ht="24" hidden="1" customHeight="1" outlineLevel="4" spans="1:95">
      <c r="A156" s="128"/>
      <c r="B156" s="129"/>
      <c r="C156" s="130"/>
      <c r="D156" s="128"/>
      <c r="E156" s="129"/>
      <c r="F156" s="129"/>
      <c r="G156" s="129"/>
      <c r="H156" s="131"/>
      <c r="I156" s="131"/>
      <c r="J156" s="131">
        <f t="shared" si="1570"/>
        <v>0</v>
      </c>
      <c r="K156" s="131">
        <f t="shared" si="1893"/>
        <v>4</v>
      </c>
      <c r="L156" s="156"/>
      <c r="M156" s="157">
        <f>IFERROR(VLOOKUP($L156,'2-2 引出数据_合同数据仓库'!$B$5:$BP$200,3,FALSE),0)</f>
        <v>0</v>
      </c>
      <c r="N156" s="131"/>
      <c r="O156" s="157">
        <f>IFERROR(VLOOKUP((LEFT(VLOOKUP($L156,'2-2 引出数据_合同数据仓库'!$B$5:$BP$200,64,FALSE),15)&amp;(RIGHT(VLOOKUP($L156,'2-2 引出数据_合同数据仓库'!$B$5:$BP$200,64,FALSE),4)+1)),'2-2 引出数据_合同数据仓库'!$B$5:$BP$200,3,FALSE),0)</f>
        <v>0</v>
      </c>
      <c r="P156" s="131"/>
      <c r="Q156" s="131">
        <f>IFERROR(VLOOKUP($L156,'2-2 引出数据_合同数据仓库'!$B$5:$BP$200,28,FALSE),0)</f>
        <v>0</v>
      </c>
      <c r="R156" s="131">
        <f>IFERROR(VLOOKUP($L156,'2-2 引出数据_合同数据仓库'!$B$5:$BP$200,29,FALSE),0)</f>
        <v>0</v>
      </c>
      <c r="S156" s="131">
        <f>IFERROR(VLOOKUP($L156,'2-2 引出数据_合同数据仓库'!$B$5:$BP$200,4,FALSE),0)</f>
        <v>0</v>
      </c>
      <c r="T156" s="131"/>
      <c r="U156" s="131">
        <f>IFERROR(VLOOKUP($L156,'2-2 引出数据_合同数据仓库'!$B$5:$BP$200,15,FALSE),0)</f>
        <v>0</v>
      </c>
      <c r="V156" s="131">
        <f t="shared" si="1822"/>
        <v>0</v>
      </c>
      <c r="W156" s="131"/>
      <c r="X156" s="163">
        <v>45658</v>
      </c>
      <c r="Y156" s="163">
        <f t="shared" si="1823"/>
        <v>45688</v>
      </c>
      <c r="Z156" s="167">
        <f t="shared" si="1824"/>
        <v>0</v>
      </c>
      <c r="AA156" s="163">
        <f t="shared" si="1825"/>
        <v>45689</v>
      </c>
      <c r="AB156" s="163">
        <f t="shared" si="1826"/>
        <v>45716</v>
      </c>
      <c r="AC156" s="167">
        <f t="shared" si="1827"/>
        <v>0</v>
      </c>
      <c r="AD156" s="163">
        <f t="shared" si="1828"/>
        <v>45717</v>
      </c>
      <c r="AE156" s="163">
        <f t="shared" si="1829"/>
        <v>45747</v>
      </c>
      <c r="AF156" s="167">
        <f t="shared" si="1830"/>
        <v>0</v>
      </c>
      <c r="AG156" s="163">
        <f t="shared" si="1831"/>
        <v>45748</v>
      </c>
      <c r="AH156" s="163">
        <f t="shared" si="1832"/>
        <v>45777</v>
      </c>
      <c r="AI156" s="167">
        <f t="shared" si="1833"/>
        <v>0</v>
      </c>
      <c r="AJ156" s="163">
        <f t="shared" si="1834"/>
        <v>45778</v>
      </c>
      <c r="AK156" s="163">
        <f t="shared" si="1835"/>
        <v>45808</v>
      </c>
      <c r="AL156" s="167">
        <f t="shared" si="1836"/>
        <v>0</v>
      </c>
      <c r="AM156" s="163">
        <f t="shared" si="1837"/>
        <v>45809</v>
      </c>
      <c r="AN156" s="163">
        <f t="shared" si="1838"/>
        <v>45838</v>
      </c>
      <c r="AO156" s="167">
        <f t="shared" si="1839"/>
        <v>0</v>
      </c>
      <c r="AP156" s="163">
        <f t="shared" si="1840"/>
        <v>45839</v>
      </c>
      <c r="AQ156" s="163">
        <f t="shared" si="1841"/>
        <v>45869</v>
      </c>
      <c r="AR156" s="167">
        <f t="shared" si="1842"/>
        <v>0</v>
      </c>
      <c r="AS156" s="163">
        <f t="shared" si="1843"/>
        <v>45870</v>
      </c>
      <c r="AT156" s="163">
        <f t="shared" si="1844"/>
        <v>45900</v>
      </c>
      <c r="AU156" s="167">
        <f t="shared" si="1845"/>
        <v>0</v>
      </c>
      <c r="AV156" s="163">
        <f t="shared" si="1846"/>
        <v>45901</v>
      </c>
      <c r="AW156" s="163">
        <f t="shared" si="1847"/>
        <v>45930</v>
      </c>
      <c r="AX156" s="167">
        <f t="shared" si="1848"/>
        <v>0</v>
      </c>
      <c r="AY156" s="163">
        <f t="shared" si="1849"/>
        <v>45931</v>
      </c>
      <c r="AZ156" s="163">
        <f t="shared" si="1850"/>
        <v>45961</v>
      </c>
      <c r="BA156" s="167">
        <f t="shared" si="1851"/>
        <v>0</v>
      </c>
      <c r="BB156" s="163">
        <f t="shared" si="1852"/>
        <v>45962</v>
      </c>
      <c r="BC156" s="163">
        <f t="shared" si="1853"/>
        <v>45991</v>
      </c>
      <c r="BD156" s="167">
        <f t="shared" si="1854"/>
        <v>0</v>
      </c>
      <c r="BE156" s="163">
        <f t="shared" si="1855"/>
        <v>45992</v>
      </c>
      <c r="BF156" s="163">
        <f t="shared" si="1856"/>
        <v>46022</v>
      </c>
      <c r="BG156" s="167">
        <f t="shared" si="1857"/>
        <v>0</v>
      </c>
      <c r="BH156" s="163">
        <v>46023</v>
      </c>
      <c r="BI156" s="163">
        <f t="shared" si="1858"/>
        <v>46053</v>
      </c>
      <c r="BJ156" s="167">
        <f t="shared" si="1859"/>
        <v>0</v>
      </c>
      <c r="BK156" s="163">
        <f t="shared" si="1860"/>
        <v>46054</v>
      </c>
      <c r="BL156" s="163">
        <f t="shared" si="1861"/>
        <v>46081</v>
      </c>
      <c r="BM156" s="167">
        <f t="shared" si="1862"/>
        <v>0</v>
      </c>
      <c r="BN156" s="163">
        <f t="shared" si="1863"/>
        <v>46082</v>
      </c>
      <c r="BO156" s="163">
        <f t="shared" si="1864"/>
        <v>46112</v>
      </c>
      <c r="BP156" s="167">
        <f t="shared" si="1865"/>
        <v>0</v>
      </c>
      <c r="BQ156" s="163">
        <f t="shared" si="1866"/>
        <v>46113</v>
      </c>
      <c r="BR156" s="163">
        <f t="shared" si="1867"/>
        <v>46142</v>
      </c>
      <c r="BS156" s="167">
        <f t="shared" si="1868"/>
        <v>0</v>
      </c>
      <c r="BT156" s="163">
        <f t="shared" si="1869"/>
        <v>46143</v>
      </c>
      <c r="BU156" s="163">
        <f t="shared" si="1870"/>
        <v>46173</v>
      </c>
      <c r="BV156" s="167">
        <f t="shared" si="1871"/>
        <v>0</v>
      </c>
      <c r="BW156" s="163">
        <f t="shared" si="1872"/>
        <v>46174</v>
      </c>
      <c r="BX156" s="163">
        <f t="shared" si="1873"/>
        <v>46203</v>
      </c>
      <c r="BY156" s="167">
        <f t="shared" si="1874"/>
        <v>0</v>
      </c>
      <c r="BZ156" s="163">
        <f t="shared" si="1875"/>
        <v>46204</v>
      </c>
      <c r="CA156" s="163">
        <f t="shared" si="1876"/>
        <v>46234</v>
      </c>
      <c r="CB156" s="167">
        <f t="shared" si="1877"/>
        <v>0</v>
      </c>
      <c r="CC156" s="163">
        <f t="shared" si="1878"/>
        <v>46235</v>
      </c>
      <c r="CD156" s="163">
        <f t="shared" si="1879"/>
        <v>46265</v>
      </c>
      <c r="CE156" s="167">
        <f t="shared" si="1880"/>
        <v>0</v>
      </c>
      <c r="CF156" s="163">
        <f t="shared" si="1881"/>
        <v>46266</v>
      </c>
      <c r="CG156" s="163">
        <f t="shared" si="1882"/>
        <v>46295</v>
      </c>
      <c r="CH156" s="167">
        <f t="shared" si="1883"/>
        <v>0</v>
      </c>
      <c r="CI156" s="163">
        <f t="shared" si="1884"/>
        <v>46296</v>
      </c>
      <c r="CJ156" s="163">
        <f t="shared" si="1885"/>
        <v>46326</v>
      </c>
      <c r="CK156" s="167">
        <f t="shared" si="1886"/>
        <v>0</v>
      </c>
      <c r="CL156" s="163">
        <f t="shared" si="1887"/>
        <v>46327</v>
      </c>
      <c r="CM156" s="163">
        <f t="shared" si="1888"/>
        <v>46356</v>
      </c>
      <c r="CN156" s="167">
        <f t="shared" si="1889"/>
        <v>0</v>
      </c>
      <c r="CO156" s="163">
        <f t="shared" si="1890"/>
        <v>46357</v>
      </c>
      <c r="CP156" s="163">
        <f t="shared" si="1891"/>
        <v>46387</v>
      </c>
      <c r="CQ156" s="167">
        <f t="shared" si="1892"/>
        <v>0</v>
      </c>
    </row>
    <row r="157" s="89" customFormat="1" ht="24" hidden="1" customHeight="1" outlineLevel="4" spans="1:95">
      <c r="A157" s="132" t="s">
        <v>2813</v>
      </c>
      <c r="B157" s="133"/>
      <c r="C157" s="133"/>
      <c r="D157" s="133"/>
      <c r="E157" s="133"/>
      <c r="F157" s="133"/>
      <c r="G157" s="134"/>
      <c r="H157" s="135"/>
      <c r="I157" s="135"/>
      <c r="J157" s="135"/>
      <c r="K157" s="135"/>
      <c r="L157" s="158"/>
      <c r="M157" s="158"/>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c r="CL157" s="135"/>
      <c r="CM157" s="135"/>
      <c r="CN157" s="135"/>
      <c r="CO157" s="135"/>
      <c r="CP157" s="135"/>
      <c r="CQ157" s="135"/>
    </row>
    <row r="158" ht="24" customHeight="1" outlineLevel="2" collapsed="1" spans="1:95">
      <c r="A158" s="43"/>
      <c r="B158" s="121" t="s">
        <v>787</v>
      </c>
      <c r="C158" s="122" t="s">
        <v>1113</v>
      </c>
      <c r="D158" s="43" t="s">
        <v>1114</v>
      </c>
      <c r="E158" s="121"/>
      <c r="F158" s="121"/>
      <c r="G158" s="121"/>
      <c r="H158" s="123">
        <f>X158+AA158+AD158+AG158+AJ158+AM158+AP158+AS158+AV158+AY158+BB158+BE158</f>
        <v>38800</v>
      </c>
      <c r="I158" s="123">
        <f>Y158+AB158+AE158+AH158+AK158+AN158+AQ158+AT158+AW158+AZ158+BC158+BF158</f>
        <v>38800</v>
      </c>
      <c r="J158" s="123">
        <f t="shared" si="1570"/>
        <v>0</v>
      </c>
      <c r="K158" s="123"/>
      <c r="L158" s="154"/>
      <c r="M158" s="154"/>
      <c r="N158" s="123"/>
      <c r="O158" s="123"/>
      <c r="P158" s="123"/>
      <c r="Q158" s="123"/>
      <c r="R158" s="123"/>
      <c r="S158" s="123"/>
      <c r="T158" s="123"/>
      <c r="U158" s="123"/>
      <c r="V158" s="123"/>
      <c r="W158" s="123"/>
      <c r="X158" s="123">
        <f>VLOOKUP($C158,'1 预算编制表单'!$C:$BJ,27,FALSE)</f>
        <v>38800</v>
      </c>
      <c r="Y158" s="123">
        <f>X158-Z158</f>
        <v>38800</v>
      </c>
      <c r="Z158" s="123">
        <f>Z159+Z165+Z171</f>
        <v>0</v>
      </c>
      <c r="AA158" s="123">
        <f>VLOOKUP($C158,'1 预算编制表单'!$C:$BJ,30,FALSE)</f>
        <v>0</v>
      </c>
      <c r="AB158" s="123">
        <f>AA158-AC158</f>
        <v>0</v>
      </c>
      <c r="AC158" s="123">
        <f>AC159+AC165+AC171</f>
        <v>0</v>
      </c>
      <c r="AD158" s="123">
        <f>VLOOKUP($C158,'1 预算编制表单'!$C:$BJ,33,FALSE)</f>
        <v>0</v>
      </c>
      <c r="AE158" s="123">
        <f>AD158-AF158</f>
        <v>0</v>
      </c>
      <c r="AF158" s="123">
        <f>AF159+AF165+AF171</f>
        <v>0</v>
      </c>
      <c r="AG158" s="123">
        <f>VLOOKUP($C158,'1 预算编制表单'!$C:$BJ,36,FALSE)</f>
        <v>0</v>
      </c>
      <c r="AH158" s="123">
        <f>AG158-AI158</f>
        <v>0</v>
      </c>
      <c r="AI158" s="123">
        <f>AI159+AI165+AI171</f>
        <v>0</v>
      </c>
      <c r="AJ158" s="123">
        <f>VLOOKUP($C158,'1 预算编制表单'!$C:$BJ,39,FALSE)</f>
        <v>0</v>
      </c>
      <c r="AK158" s="123">
        <f>AJ158-AL158</f>
        <v>0</v>
      </c>
      <c r="AL158" s="123">
        <f>AL159+AL165+AL171</f>
        <v>0</v>
      </c>
      <c r="AM158" s="123">
        <f>VLOOKUP($C158,'1 预算编制表单'!$C:$BJ,42,FALSE)</f>
        <v>0</v>
      </c>
      <c r="AN158" s="123">
        <f>AM158-AO158</f>
        <v>0</v>
      </c>
      <c r="AO158" s="123">
        <f>AO159+AO165+AO171</f>
        <v>0</v>
      </c>
      <c r="AP158" s="123">
        <f>VLOOKUP($C158,'1 预算编制表单'!$C:$BJ,45,FALSE)</f>
        <v>0</v>
      </c>
      <c r="AQ158" s="123">
        <f>AP158-AR158</f>
        <v>0</v>
      </c>
      <c r="AR158" s="123">
        <f>AR159+AR165+AR171</f>
        <v>0</v>
      </c>
      <c r="AS158" s="123">
        <f>VLOOKUP($C158,'1 预算编制表单'!$C:$BJ,48,FALSE)</f>
        <v>0</v>
      </c>
      <c r="AT158" s="123">
        <f>AS158-AU158</f>
        <v>0</v>
      </c>
      <c r="AU158" s="123">
        <f>AU159+AU165+AU171</f>
        <v>0</v>
      </c>
      <c r="AV158" s="123">
        <f>VLOOKUP($C158,'1 预算编制表单'!$C:$BJ,51,FALSE)</f>
        <v>0</v>
      </c>
      <c r="AW158" s="123">
        <f>AV158-AX158</f>
        <v>0</v>
      </c>
      <c r="AX158" s="123">
        <f>AX159+AX165+AX171</f>
        <v>0</v>
      </c>
      <c r="AY158" s="123">
        <f>VLOOKUP($C158,'1 预算编制表单'!$C:$BJ,54,FALSE)</f>
        <v>0</v>
      </c>
      <c r="AZ158" s="123">
        <f>AY158-BA158</f>
        <v>0</v>
      </c>
      <c r="BA158" s="123">
        <f>BA159+BA165+BA171</f>
        <v>0</v>
      </c>
      <c r="BB158" s="123">
        <f>VLOOKUP($C158,'1 预算编制表单'!$C:$BJ,57,FALSE)</f>
        <v>0</v>
      </c>
      <c r="BC158" s="123">
        <f>BB158-BD158</f>
        <v>0</v>
      </c>
      <c r="BD158" s="123">
        <f>BD159+BD165+BD171</f>
        <v>0</v>
      </c>
      <c r="BE158" s="123">
        <f>VLOOKUP($C158,'1 预算编制表单'!$C:$BJ,60,FALSE)</f>
        <v>0</v>
      </c>
      <c r="BF158" s="123">
        <f>BE158-BG158</f>
        <v>0</v>
      </c>
      <c r="BG158" s="123">
        <f>BG159+BG165+BG171</f>
        <v>0</v>
      </c>
      <c r="BH158" s="123">
        <f>VLOOKUP($C158,'1 预算编制表单'!$C:$BJ,27,FALSE)</f>
        <v>38800</v>
      </c>
      <c r="BI158" s="123">
        <f>BH158-BJ158</f>
        <v>38800</v>
      </c>
      <c r="BJ158" s="123">
        <f>BJ159+BJ165+BJ171</f>
        <v>0</v>
      </c>
      <c r="BK158" s="123">
        <f>VLOOKUP($C158,'1 预算编制表单'!$C:$BJ,30,FALSE)</f>
        <v>0</v>
      </c>
      <c r="BL158" s="123">
        <f>BK158-BM158</f>
        <v>0</v>
      </c>
      <c r="BM158" s="123">
        <f>BM159+BM165+BM171</f>
        <v>0</v>
      </c>
      <c r="BN158" s="123">
        <f>VLOOKUP($C158,'1 预算编制表单'!$C:$BJ,33,FALSE)</f>
        <v>0</v>
      </c>
      <c r="BO158" s="123">
        <f>BN158-BP158</f>
        <v>0</v>
      </c>
      <c r="BP158" s="123">
        <f>BP159+BP165+BP171</f>
        <v>0</v>
      </c>
      <c r="BQ158" s="123">
        <f>VLOOKUP($C158,'1 预算编制表单'!$C:$BJ,36,FALSE)</f>
        <v>0</v>
      </c>
      <c r="BR158" s="123">
        <f>BQ158-BS158</f>
        <v>0</v>
      </c>
      <c r="BS158" s="123">
        <f>BS159+BS165+BS171</f>
        <v>0</v>
      </c>
      <c r="BT158" s="123">
        <f>VLOOKUP($C158,'1 预算编制表单'!$C:$BJ,39,FALSE)</f>
        <v>0</v>
      </c>
      <c r="BU158" s="123">
        <f>BT158-BV158</f>
        <v>0</v>
      </c>
      <c r="BV158" s="123">
        <f>BV159+BV165+BV171</f>
        <v>0</v>
      </c>
      <c r="BW158" s="123">
        <f>VLOOKUP($C158,'1 预算编制表单'!$C:$BJ,42,FALSE)</f>
        <v>0</v>
      </c>
      <c r="BX158" s="123">
        <f>BW158-BY158</f>
        <v>0</v>
      </c>
      <c r="BY158" s="123">
        <f>BY159+BY165+BY171</f>
        <v>0</v>
      </c>
      <c r="BZ158" s="123">
        <f>VLOOKUP($C158,'1 预算编制表单'!$C:$BJ,45,FALSE)</f>
        <v>0</v>
      </c>
      <c r="CA158" s="123">
        <f>BZ158-CB158</f>
        <v>0</v>
      </c>
      <c r="CB158" s="123">
        <f>CB159+CB165+CB171</f>
        <v>0</v>
      </c>
      <c r="CC158" s="123">
        <f>VLOOKUP($C158,'1 预算编制表单'!$C:$BJ,48,FALSE)</f>
        <v>0</v>
      </c>
      <c r="CD158" s="123">
        <f>CC158-CE158</f>
        <v>0</v>
      </c>
      <c r="CE158" s="123">
        <f>CE159+CE165+CE171</f>
        <v>0</v>
      </c>
      <c r="CF158" s="123">
        <f>VLOOKUP($C158,'1 预算编制表单'!$C:$BJ,51,FALSE)</f>
        <v>0</v>
      </c>
      <c r="CG158" s="123">
        <f>CF158-CH158</f>
        <v>0</v>
      </c>
      <c r="CH158" s="123">
        <f>CH159+CH165+CH171</f>
        <v>0</v>
      </c>
      <c r="CI158" s="123">
        <f>VLOOKUP($C158,'1 预算编制表单'!$C:$BJ,54,FALSE)</f>
        <v>0</v>
      </c>
      <c r="CJ158" s="123">
        <f>CI158-CK158</f>
        <v>0</v>
      </c>
      <c r="CK158" s="123">
        <f>CK159+CK165+CK171</f>
        <v>0</v>
      </c>
      <c r="CL158" s="123">
        <f>VLOOKUP($C158,'1 预算编制表单'!$C:$BJ,57,FALSE)</f>
        <v>0</v>
      </c>
      <c r="CM158" s="123">
        <f>CL158-CN158</f>
        <v>0</v>
      </c>
      <c r="CN158" s="123">
        <f>CN159+CN165+CN171</f>
        <v>0</v>
      </c>
      <c r="CO158" s="123">
        <f>VLOOKUP($C158,'1 预算编制表单'!$C:$BJ,60,FALSE)</f>
        <v>0</v>
      </c>
      <c r="CP158" s="123">
        <f>CO158-CQ158</f>
        <v>0</v>
      </c>
      <c r="CQ158" s="123">
        <f>CQ159+CQ165+CQ171</f>
        <v>0</v>
      </c>
    </row>
    <row r="159" ht="24" hidden="1" customHeight="1" outlineLevel="3" collapsed="1" spans="1:95">
      <c r="A159" s="124"/>
      <c r="B159" s="125" t="s">
        <v>792</v>
      </c>
      <c r="C159" s="126" t="s">
        <v>130</v>
      </c>
      <c r="D159" s="124" t="s">
        <v>109</v>
      </c>
      <c r="E159" s="125"/>
      <c r="F159" s="125"/>
      <c r="G159" s="125"/>
      <c r="H159" s="127">
        <f>X159+AA159+AD159+AG159+AJ159+AM159+AP159+AS159+AV159+AY159+BB159+BE159</f>
        <v>38800</v>
      </c>
      <c r="I159" s="127">
        <f>Y159+AB159+AE159+AH159+AK159+AN159+AQ159+AT159+AW159+AZ159+BC159+BF159</f>
        <v>38800</v>
      </c>
      <c r="J159" s="127">
        <f t="shared" si="1570"/>
        <v>0</v>
      </c>
      <c r="K159" s="127"/>
      <c r="L159" s="155"/>
      <c r="M159" s="155"/>
      <c r="N159" s="127"/>
      <c r="O159" s="127"/>
      <c r="P159" s="127"/>
      <c r="Q159" s="127"/>
      <c r="R159" s="127"/>
      <c r="S159" s="127"/>
      <c r="T159" s="127"/>
      <c r="U159" s="127"/>
      <c r="V159" s="127"/>
      <c r="W159" s="127"/>
      <c r="X159" s="127">
        <f>VLOOKUP($C159,'1 预算编制表单'!$C:$BJ,27,FALSE)</f>
        <v>38800</v>
      </c>
      <c r="Y159" s="127">
        <f>X159-Z159</f>
        <v>38800</v>
      </c>
      <c r="Z159" s="127">
        <f>SUM(Z160:Z164)</f>
        <v>0</v>
      </c>
      <c r="AA159" s="127">
        <f>VLOOKUP($C159,'1 预算编制表单'!$C:$BJ,30,FALSE)</f>
        <v>0</v>
      </c>
      <c r="AB159" s="127">
        <f>AA159-AC159</f>
        <v>0</v>
      </c>
      <c r="AC159" s="127">
        <f>SUM(AC160:AC164)</f>
        <v>0</v>
      </c>
      <c r="AD159" s="127">
        <f>VLOOKUP($C159,'1 预算编制表单'!$C:$BJ,33,FALSE)</f>
        <v>0</v>
      </c>
      <c r="AE159" s="127">
        <f>AD159-AF159</f>
        <v>0</v>
      </c>
      <c r="AF159" s="127">
        <f>SUM(AF160:AF164)</f>
        <v>0</v>
      </c>
      <c r="AG159" s="127">
        <f>VLOOKUP($C159,'1 预算编制表单'!$C:$BJ,36,FALSE)</f>
        <v>0</v>
      </c>
      <c r="AH159" s="127">
        <f>AG159-AI159</f>
        <v>0</v>
      </c>
      <c r="AI159" s="127">
        <f>SUM(AI160:AI164)</f>
        <v>0</v>
      </c>
      <c r="AJ159" s="127">
        <f>VLOOKUP($C159,'1 预算编制表单'!$C:$BJ,39,FALSE)</f>
        <v>0</v>
      </c>
      <c r="AK159" s="127">
        <f>AJ159-AL159</f>
        <v>0</v>
      </c>
      <c r="AL159" s="127">
        <f>SUM(AL160:AL164)</f>
        <v>0</v>
      </c>
      <c r="AM159" s="127">
        <f>VLOOKUP($C159,'1 预算编制表单'!$C:$BJ,42,FALSE)</f>
        <v>0</v>
      </c>
      <c r="AN159" s="127">
        <f>AM159-AO159</f>
        <v>0</v>
      </c>
      <c r="AO159" s="127">
        <f>SUM(AO160:AO164)</f>
        <v>0</v>
      </c>
      <c r="AP159" s="127">
        <f>VLOOKUP($C159,'1 预算编制表单'!$C:$BJ,45,FALSE)</f>
        <v>0</v>
      </c>
      <c r="AQ159" s="127">
        <f>AP159-AR159</f>
        <v>0</v>
      </c>
      <c r="AR159" s="127">
        <f>SUM(AR160:AR164)</f>
        <v>0</v>
      </c>
      <c r="AS159" s="127">
        <f>VLOOKUP($C159,'1 预算编制表单'!$C:$BJ,48,FALSE)</f>
        <v>0</v>
      </c>
      <c r="AT159" s="127">
        <f>AS159-AU159</f>
        <v>0</v>
      </c>
      <c r="AU159" s="127">
        <f>SUM(AU160:AU164)</f>
        <v>0</v>
      </c>
      <c r="AV159" s="127">
        <f>VLOOKUP($C159,'1 预算编制表单'!$C:$BJ,51,FALSE)</f>
        <v>0</v>
      </c>
      <c r="AW159" s="127">
        <f>AV159-AX159</f>
        <v>0</v>
      </c>
      <c r="AX159" s="127">
        <f>SUM(AX160:AX164)</f>
        <v>0</v>
      </c>
      <c r="AY159" s="127">
        <f>VLOOKUP($C159,'1 预算编制表单'!$C:$BJ,54,FALSE)</f>
        <v>0</v>
      </c>
      <c r="AZ159" s="127">
        <f>AY159-BA159</f>
        <v>0</v>
      </c>
      <c r="BA159" s="127">
        <f>SUM(BA160:BA164)</f>
        <v>0</v>
      </c>
      <c r="BB159" s="127">
        <f>VLOOKUP($C159,'1 预算编制表单'!$C:$BJ,57,FALSE)</f>
        <v>0</v>
      </c>
      <c r="BC159" s="127">
        <f>BB159-BD159</f>
        <v>0</v>
      </c>
      <c r="BD159" s="127">
        <f>SUM(BD160:BD164)</f>
        <v>0</v>
      </c>
      <c r="BE159" s="127">
        <f>VLOOKUP($C159,'1 预算编制表单'!$C:$BJ,60,FALSE)</f>
        <v>0</v>
      </c>
      <c r="BF159" s="127">
        <f>BE159-BG159</f>
        <v>0</v>
      </c>
      <c r="BG159" s="127">
        <f>SUM(BG160:BG164)</f>
        <v>0</v>
      </c>
      <c r="BH159" s="127">
        <f>VLOOKUP($C159,'1 预算编制表单'!$C:$BJ,27,FALSE)</f>
        <v>38800</v>
      </c>
      <c r="BI159" s="127">
        <f>BH159-BJ159</f>
        <v>38800</v>
      </c>
      <c r="BJ159" s="127">
        <f>SUM(BJ160:BJ164)</f>
        <v>0</v>
      </c>
      <c r="BK159" s="127">
        <f>VLOOKUP($C159,'1 预算编制表单'!$C:$BJ,30,FALSE)</f>
        <v>0</v>
      </c>
      <c r="BL159" s="127">
        <f>BK159-BM159</f>
        <v>0</v>
      </c>
      <c r="BM159" s="127">
        <f>SUM(BM160:BM164)</f>
        <v>0</v>
      </c>
      <c r="BN159" s="127">
        <f>VLOOKUP($C159,'1 预算编制表单'!$C:$BJ,33,FALSE)</f>
        <v>0</v>
      </c>
      <c r="BO159" s="127">
        <f>BN159-BP159</f>
        <v>0</v>
      </c>
      <c r="BP159" s="127">
        <f>SUM(BP160:BP164)</f>
        <v>0</v>
      </c>
      <c r="BQ159" s="127">
        <f>VLOOKUP($C159,'1 预算编制表单'!$C:$BJ,36,FALSE)</f>
        <v>0</v>
      </c>
      <c r="BR159" s="127">
        <f>BQ159-BS159</f>
        <v>0</v>
      </c>
      <c r="BS159" s="127">
        <f>SUM(BS160:BS164)</f>
        <v>0</v>
      </c>
      <c r="BT159" s="127">
        <f>VLOOKUP($C159,'1 预算编制表单'!$C:$BJ,39,FALSE)</f>
        <v>0</v>
      </c>
      <c r="BU159" s="127">
        <f>BT159-BV159</f>
        <v>0</v>
      </c>
      <c r="BV159" s="127">
        <f>SUM(BV160:BV164)</f>
        <v>0</v>
      </c>
      <c r="BW159" s="127">
        <f>VLOOKUP($C159,'1 预算编制表单'!$C:$BJ,42,FALSE)</f>
        <v>0</v>
      </c>
      <c r="BX159" s="127">
        <f>BW159-BY159</f>
        <v>0</v>
      </c>
      <c r="BY159" s="127">
        <f>SUM(BY160:BY164)</f>
        <v>0</v>
      </c>
      <c r="BZ159" s="127">
        <f>VLOOKUP($C159,'1 预算编制表单'!$C:$BJ,45,FALSE)</f>
        <v>0</v>
      </c>
      <c r="CA159" s="127">
        <f>BZ159-CB159</f>
        <v>0</v>
      </c>
      <c r="CB159" s="127">
        <f>SUM(CB160:CB164)</f>
        <v>0</v>
      </c>
      <c r="CC159" s="127">
        <f>VLOOKUP($C159,'1 预算编制表单'!$C:$BJ,48,FALSE)</f>
        <v>0</v>
      </c>
      <c r="CD159" s="127">
        <f>CC159-CE159</f>
        <v>0</v>
      </c>
      <c r="CE159" s="127">
        <f>SUM(CE160:CE164)</f>
        <v>0</v>
      </c>
      <c r="CF159" s="127">
        <f>VLOOKUP($C159,'1 预算编制表单'!$C:$BJ,51,FALSE)</f>
        <v>0</v>
      </c>
      <c r="CG159" s="127">
        <f>CF159-CH159</f>
        <v>0</v>
      </c>
      <c r="CH159" s="127">
        <f>SUM(CH160:CH164)</f>
        <v>0</v>
      </c>
      <c r="CI159" s="127">
        <f>VLOOKUP($C159,'1 预算编制表单'!$C:$BJ,54,FALSE)</f>
        <v>0</v>
      </c>
      <c r="CJ159" s="127">
        <f>CI159-CK159</f>
        <v>0</v>
      </c>
      <c r="CK159" s="127">
        <f>SUM(CK160:CK164)</f>
        <v>0</v>
      </c>
      <c r="CL159" s="127">
        <f>VLOOKUP($C159,'1 预算编制表单'!$C:$BJ,57,FALSE)</f>
        <v>0</v>
      </c>
      <c r="CM159" s="127">
        <f>CL159-CN159</f>
        <v>0</v>
      </c>
      <c r="CN159" s="127">
        <f>SUM(CN160:CN164)</f>
        <v>0</v>
      </c>
      <c r="CO159" s="127">
        <f>VLOOKUP($C159,'1 预算编制表单'!$C:$BJ,60,FALSE)</f>
        <v>0</v>
      </c>
      <c r="CP159" s="127">
        <f>CO159-CQ159</f>
        <v>0</v>
      </c>
      <c r="CQ159" s="127">
        <f>SUM(CQ160:CQ164)</f>
        <v>0</v>
      </c>
    </row>
    <row r="160" s="89" customFormat="1" ht="24" hidden="1" customHeight="1" outlineLevel="4" spans="1:95">
      <c r="A160" s="128"/>
      <c r="B160" s="129"/>
      <c r="C160" s="130"/>
      <c r="D160" s="128"/>
      <c r="E160" s="129"/>
      <c r="F160" s="129"/>
      <c r="G160" s="129"/>
      <c r="H160" s="131"/>
      <c r="I160" s="131"/>
      <c r="J160" s="131">
        <f t="shared" si="1570"/>
        <v>0</v>
      </c>
      <c r="K160" s="131">
        <v>1</v>
      </c>
      <c r="L160" s="156"/>
      <c r="M160" s="157">
        <f>IFERROR(VLOOKUP($L160,'2-2 引出数据_合同数据仓库'!$B$5:$BP$200,3,FALSE),0)</f>
        <v>0</v>
      </c>
      <c r="N160" s="131"/>
      <c r="O160" s="157">
        <f>IFERROR(VLOOKUP((LEFT(VLOOKUP($L160,'2-2 引出数据_合同数据仓库'!$B$5:$BP$200,64,FALSE),15)&amp;(RIGHT(VLOOKUP($L160,'2-2 引出数据_合同数据仓库'!$B$5:$BP$200,64,FALSE),4)+1)),'2-2 引出数据_合同数据仓库'!$B$5:$BP$200,3,FALSE),0)</f>
        <v>0</v>
      </c>
      <c r="P160" s="131"/>
      <c r="Q160" s="131">
        <f>IFERROR(VLOOKUP($L160,'2-2 引出数据_合同数据仓库'!$B$5:$BP$200,28,FALSE),0)</f>
        <v>0</v>
      </c>
      <c r="R160" s="131">
        <f>IFERROR(VLOOKUP($L160,'2-2 引出数据_合同数据仓库'!$B$5:$BP$200,29,FALSE),0)</f>
        <v>0</v>
      </c>
      <c r="S160" s="131">
        <f>IFERROR(VLOOKUP($L160,'2-2 引出数据_合同数据仓库'!$B$5:$BP$200,4,FALSE),0)</f>
        <v>0</v>
      </c>
      <c r="T160" s="131"/>
      <c r="U160" s="131">
        <f>IFERROR(VLOOKUP($L160,'2-2 引出数据_合同数据仓库'!$B$5:$BP$200,15,FALSE),0)</f>
        <v>0</v>
      </c>
      <c r="V160" s="131">
        <f t="shared" ref="V160:V163" si="1894">U160/(S160-R160+1)*365</f>
        <v>0</v>
      </c>
      <c r="W160" s="131"/>
      <c r="X160" s="163">
        <v>45658</v>
      </c>
      <c r="Y160" s="163">
        <f t="shared" ref="Y160:Y163" si="1895">X160+30</f>
        <v>45688</v>
      </c>
      <c r="Z160" s="167">
        <f t="shared" ref="Z160:Z163" si="1896">IFERROR(IF(($R160-Y160)&gt;=0,0,IF(($S160-X160)&lt;0,0,IF(AND(($S160-Y160)&gt;0,(X160-$R160)&gt;0),$V160/365*(Y160-X160+1),IF(AND(($S160-Y160)&lt;=0,(X160-$R160)&gt;0),$V160/365*($S160-X160+1),$V160/365*(Y160-$R160+1))))),0)</f>
        <v>0</v>
      </c>
      <c r="AA160" s="163">
        <f t="shared" ref="AA160:AA163" si="1897">Y160+1</f>
        <v>45689</v>
      </c>
      <c r="AB160" s="163">
        <f t="shared" ref="AB160:AB163" si="1898">AA160+27</f>
        <v>45716</v>
      </c>
      <c r="AC160" s="167">
        <f t="shared" ref="AC160:AC163" si="1899">IFERROR(IF(($R160-AB160)&gt;=0,0,IF(($S160-AA160)&lt;0,0,IF(AND(($S160-AB160)&gt;0,(AA160-$R160)&gt;0),$V160/365*(AB160-AA160+1),IF(AND(($S160-AB160)&lt;=0,(AA160-$R160)&gt;0),$V160/365*($S160-AA160+1),$V160/365*(AB160-$R160+1))))),0)</f>
        <v>0</v>
      </c>
      <c r="AD160" s="163">
        <f t="shared" ref="AD160:AD163" si="1900">AB160+1</f>
        <v>45717</v>
      </c>
      <c r="AE160" s="163">
        <f t="shared" ref="AE160:AE163" si="1901">AD160+30</f>
        <v>45747</v>
      </c>
      <c r="AF160" s="167">
        <f t="shared" ref="AF160:AF163" si="1902">IFERROR(IF(($R160-AE160)&gt;=0,0,IF(($S160-AD160)&lt;0,0,IF(AND(($S160-AE160)&gt;0,(AD160-$R160)&gt;0),$V160/365*(AE160-AD160+1),IF(AND(($S160-AE160)&lt;=0,(AD160-$R160)&gt;0),$V160/365*($S160-AD160+1),$V160/365*(AE160-$R160+1))))),0)</f>
        <v>0</v>
      </c>
      <c r="AG160" s="163">
        <f t="shared" ref="AG160:AG163" si="1903">AE160+1</f>
        <v>45748</v>
      </c>
      <c r="AH160" s="163">
        <f t="shared" ref="AH160:AH163" si="1904">AG160+29</f>
        <v>45777</v>
      </c>
      <c r="AI160" s="167">
        <f t="shared" ref="AI160:AI163" si="1905">IFERROR(IF(($R160-AH160)&gt;=0,0,IF(($S160-AG160)&lt;0,0,IF(AND(($S160-AH160)&gt;0,(AG160-$R160)&gt;0),$V160/365*(AH160-AG160+1),IF(AND(($S160-AH160)&lt;=0,(AG160-$R160)&gt;0),$V160/365*($S160-AG160+1),$V160/365*(AH160-$R160+1))))),0)</f>
        <v>0</v>
      </c>
      <c r="AJ160" s="163">
        <f t="shared" ref="AJ160:AJ163" si="1906">AH160+1</f>
        <v>45778</v>
      </c>
      <c r="AK160" s="163">
        <f t="shared" ref="AK160:AK163" si="1907">AJ160+30</f>
        <v>45808</v>
      </c>
      <c r="AL160" s="167">
        <f t="shared" ref="AL160:AL163" si="1908">IFERROR(IF(($R160-AK160)&gt;=0,0,IF(($S160-AJ160)&lt;0,0,IF(AND(($S160-AK160)&gt;0,(AJ160-$R160)&gt;0),$V160/365*(AK160-AJ160+1),IF(AND(($S160-AK160)&lt;=0,(AJ160-$R160)&gt;0),$V160/365*($S160-AJ160+1),$V160/365*(AK160-$R160+1))))),0)</f>
        <v>0</v>
      </c>
      <c r="AM160" s="163">
        <f t="shared" ref="AM160:AM163" si="1909">AK160+1</f>
        <v>45809</v>
      </c>
      <c r="AN160" s="163">
        <f t="shared" ref="AN160:AN163" si="1910">AM160+29</f>
        <v>45838</v>
      </c>
      <c r="AO160" s="167">
        <f t="shared" ref="AO160:AO163" si="1911">IFERROR(IF(($R160-AN160)&gt;=0,0,IF(($S160-AM160)&lt;0,0,IF(AND(($S160-AN160)&gt;0,(AM160-$R160)&gt;0),$V160/365*(AN160-AM160+1),IF(AND(($S160-AN160)&lt;=0,(AM160-$R160)&gt;0),$V160/365*($S160-AM160+1),$V160/365*(AN160-$R160+1))))),0)</f>
        <v>0</v>
      </c>
      <c r="AP160" s="163">
        <f t="shared" ref="AP160:AP163" si="1912">AN160+1</f>
        <v>45839</v>
      </c>
      <c r="AQ160" s="163">
        <f t="shared" ref="AQ160:AQ163" si="1913">AP160+30</f>
        <v>45869</v>
      </c>
      <c r="AR160" s="167">
        <f t="shared" ref="AR160:AR163" si="1914">IFERROR(IF(($R160-AQ160)&gt;=0,0,IF(($S160-AP160)&lt;0,0,IF(AND(($S160-AQ160)&gt;0,(AP160-$R160)&gt;0),$V160/365*(AQ160-AP160+1),IF(AND(($S160-AQ160)&lt;=0,(AP160-$R160)&gt;0),$V160/365*($S160-AP160+1),$V160/365*(AQ160-$R160+1))))),0)</f>
        <v>0</v>
      </c>
      <c r="AS160" s="163">
        <f t="shared" ref="AS160:AS163" si="1915">AQ160+1</f>
        <v>45870</v>
      </c>
      <c r="AT160" s="163">
        <f t="shared" ref="AT160:AT163" si="1916">AS160+30</f>
        <v>45900</v>
      </c>
      <c r="AU160" s="167">
        <f t="shared" ref="AU160:AU163" si="1917">IFERROR(IF(($R160-AT160)&gt;=0,0,IF(($S160-AS160)&lt;0,0,IF(AND(($S160-AT160)&gt;0,(AS160-$R160)&gt;0),$V160/365*(AT160-AS160+1),IF(AND(($S160-AT160)&lt;=0,(AS160-$R160)&gt;0),$V160/365*($S160-AS160+1),$V160/365*(AT160-$R160+1))))),0)</f>
        <v>0</v>
      </c>
      <c r="AV160" s="163">
        <f t="shared" ref="AV160:AV163" si="1918">AT160+1</f>
        <v>45901</v>
      </c>
      <c r="AW160" s="163">
        <f t="shared" ref="AW160:AW163" si="1919">AV160+29</f>
        <v>45930</v>
      </c>
      <c r="AX160" s="167">
        <f t="shared" ref="AX160:AX163" si="1920">IFERROR(IF(($R160-AW160)&gt;=0,0,IF(($S160-AV160)&lt;0,0,IF(AND(($S160-AW160)&gt;0,(AV160-$R160)&gt;0),$V160/365*(AW160-AV160+1),IF(AND(($S160-AW160)&lt;=0,(AV160-$R160)&gt;0),$V160/365*($S160-AV160+1),$V160/365*(AW160-$R160+1))))),0)</f>
        <v>0</v>
      </c>
      <c r="AY160" s="163">
        <f t="shared" ref="AY160:AY163" si="1921">AW160+1</f>
        <v>45931</v>
      </c>
      <c r="AZ160" s="163">
        <f t="shared" ref="AZ160:AZ163" si="1922">AY160+30</f>
        <v>45961</v>
      </c>
      <c r="BA160" s="167">
        <f t="shared" ref="BA160:BA163" si="1923">IFERROR(IF(($R160-AZ160)&gt;=0,0,IF(($S160-AY160)&lt;0,0,IF(AND(($S160-AZ160)&gt;0,(AY160-$R160)&gt;0),$V160/365*(AZ160-AY160+1),IF(AND(($S160-AZ160)&lt;=0,(AY160-$R160)&gt;0),$V160/365*($S160-AY160+1),$V160/365*(AZ160-$R160+1))))),0)</f>
        <v>0</v>
      </c>
      <c r="BB160" s="163">
        <f t="shared" ref="BB160:BB163" si="1924">AZ160+1</f>
        <v>45962</v>
      </c>
      <c r="BC160" s="163">
        <f t="shared" ref="BC160:BC163" si="1925">BB160+29</f>
        <v>45991</v>
      </c>
      <c r="BD160" s="167">
        <f t="shared" ref="BD160:BD163" si="1926">IFERROR(IF(($R160-BC160)&gt;=0,0,IF(($S160-BB160)&lt;0,0,IF(AND(($S160-BC160)&gt;0,(BB160-$R160)&gt;0),$V160/365*(BC160-BB160+1),IF(AND(($S160-BC160)&lt;=0,(BB160-$R160)&gt;0),$V160/365*($S160-BB160+1),$V160/365*(BC160-$R160+1))))),0)</f>
        <v>0</v>
      </c>
      <c r="BE160" s="163">
        <f t="shared" ref="BE160:BE163" si="1927">BC160+1</f>
        <v>45992</v>
      </c>
      <c r="BF160" s="163">
        <f t="shared" ref="BF160:BF163" si="1928">BE160+30</f>
        <v>46022</v>
      </c>
      <c r="BG160" s="167">
        <f t="shared" ref="BG160:BG163" si="1929">IFERROR(IF(($R160-BF160)&gt;=0,0,IF(($S160-BE160)&lt;0,0,IF(AND(($S160-BF160)&gt;0,(BE160-$R160)&gt;0),$V160/365*(BF160-BE160+1),IF(AND(($S160-BF160)&lt;=0,(BE160-$R160)&gt;0),$V160/365*($S160-BE160+1),$V160/365*(BF160-$R160+1))))),0)</f>
        <v>0</v>
      </c>
      <c r="BH160" s="163">
        <v>46023</v>
      </c>
      <c r="BI160" s="163">
        <f t="shared" ref="BI160:BI163" si="1930">BH160+30</f>
        <v>46053</v>
      </c>
      <c r="BJ160" s="167">
        <f t="shared" ref="BJ160:BJ163" si="1931">IFERROR(IF(($R160-BI160)&gt;=0,0,IF(($S160-BH160)&lt;0,0,IF(AND(($S160-BI160)&gt;0,(BH160-$R160)&gt;0),$V160/365*(BI160-BH160+1),IF(AND(($S160-BI160)&lt;=0,(BH160-$R160)&gt;0),$V160/365*($S160-BH160+1),$V160/365*(BI160-$R160+1))))),0)</f>
        <v>0</v>
      </c>
      <c r="BK160" s="163">
        <f t="shared" ref="BK160:BK163" si="1932">BI160+1</f>
        <v>46054</v>
      </c>
      <c r="BL160" s="163">
        <f t="shared" ref="BL160:BL163" si="1933">BK160+27</f>
        <v>46081</v>
      </c>
      <c r="BM160" s="167">
        <f t="shared" ref="BM160:BM163" si="1934">IFERROR(IF(($R160-BL160)&gt;=0,0,IF(($S160-BK160)&lt;0,0,IF(AND(($S160-BL160)&gt;0,(BK160-$R160)&gt;0),$V160/365*(BL160-BK160+1),IF(AND(($S160-BL160)&lt;=0,(BK160-$R160)&gt;0),$V160/365*($S160-BK160+1),$V160/365*(BL160-$R160+1))))),0)</f>
        <v>0</v>
      </c>
      <c r="BN160" s="163">
        <f t="shared" ref="BN160:BN163" si="1935">BL160+1</f>
        <v>46082</v>
      </c>
      <c r="BO160" s="163">
        <f t="shared" ref="BO160:BO163" si="1936">BN160+30</f>
        <v>46112</v>
      </c>
      <c r="BP160" s="167">
        <f t="shared" ref="BP160:BP163" si="1937">IFERROR(IF(($R160-BO160)&gt;=0,0,IF(($S160-BN160)&lt;0,0,IF(AND(($S160-BO160)&gt;0,(BN160-$R160)&gt;0),$V160/365*(BO160-BN160+1),IF(AND(($S160-BO160)&lt;=0,(BN160-$R160)&gt;0),$V160/365*($S160-BN160+1),$V160/365*(BO160-$R160+1))))),0)</f>
        <v>0</v>
      </c>
      <c r="BQ160" s="163">
        <f t="shared" ref="BQ160:BQ163" si="1938">BO160+1</f>
        <v>46113</v>
      </c>
      <c r="BR160" s="163">
        <f t="shared" ref="BR160:BR163" si="1939">BQ160+29</f>
        <v>46142</v>
      </c>
      <c r="BS160" s="167">
        <f t="shared" ref="BS160:BS163" si="1940">IFERROR(IF(($R160-BR160)&gt;=0,0,IF(($S160-BQ160)&lt;0,0,IF(AND(($S160-BR160)&gt;0,(BQ160-$R160)&gt;0),$V160/365*(BR160-BQ160+1),IF(AND(($S160-BR160)&lt;=0,(BQ160-$R160)&gt;0),$V160/365*($S160-BQ160+1),$V160/365*(BR160-$R160+1))))),0)</f>
        <v>0</v>
      </c>
      <c r="BT160" s="163">
        <f t="shared" ref="BT160:BT163" si="1941">BR160+1</f>
        <v>46143</v>
      </c>
      <c r="BU160" s="163">
        <f t="shared" ref="BU160:BU163" si="1942">BT160+30</f>
        <v>46173</v>
      </c>
      <c r="BV160" s="167">
        <f t="shared" ref="BV160:BV163" si="1943">IFERROR(IF(($R160-BU160)&gt;=0,0,IF(($S160-BT160)&lt;0,0,IF(AND(($S160-BU160)&gt;0,(BT160-$R160)&gt;0),$V160/365*(BU160-BT160+1),IF(AND(($S160-BU160)&lt;=0,(BT160-$R160)&gt;0),$V160/365*($S160-BT160+1),$V160/365*(BU160-$R160+1))))),0)</f>
        <v>0</v>
      </c>
      <c r="BW160" s="163">
        <f t="shared" ref="BW160:BW163" si="1944">BU160+1</f>
        <v>46174</v>
      </c>
      <c r="BX160" s="163">
        <f t="shared" ref="BX160:BX163" si="1945">BW160+29</f>
        <v>46203</v>
      </c>
      <c r="BY160" s="167">
        <f t="shared" ref="BY160:BY163" si="1946">IFERROR(IF(($R160-BX160)&gt;=0,0,IF(($S160-BW160)&lt;0,0,IF(AND(($S160-BX160)&gt;0,(BW160-$R160)&gt;0),$V160/365*(BX160-BW160+1),IF(AND(($S160-BX160)&lt;=0,(BW160-$R160)&gt;0),$V160/365*($S160-BW160+1),$V160/365*(BX160-$R160+1))))),0)</f>
        <v>0</v>
      </c>
      <c r="BZ160" s="163">
        <f t="shared" ref="BZ160:BZ163" si="1947">BX160+1</f>
        <v>46204</v>
      </c>
      <c r="CA160" s="163">
        <f t="shared" ref="CA160:CA163" si="1948">BZ160+30</f>
        <v>46234</v>
      </c>
      <c r="CB160" s="167">
        <f t="shared" ref="CB160:CB163" si="1949">IFERROR(IF(($R160-CA160)&gt;=0,0,IF(($S160-BZ160)&lt;0,0,IF(AND(($S160-CA160)&gt;0,(BZ160-$R160)&gt;0),$V160/365*(CA160-BZ160+1),IF(AND(($S160-CA160)&lt;=0,(BZ160-$R160)&gt;0),$V160/365*($S160-BZ160+1),$V160/365*(CA160-$R160+1))))),0)</f>
        <v>0</v>
      </c>
      <c r="CC160" s="163">
        <f t="shared" ref="CC160:CC163" si="1950">CA160+1</f>
        <v>46235</v>
      </c>
      <c r="CD160" s="163">
        <f t="shared" ref="CD160:CD163" si="1951">CC160+30</f>
        <v>46265</v>
      </c>
      <c r="CE160" s="167">
        <f t="shared" ref="CE160:CE163" si="1952">IFERROR(IF(($R160-CD160)&gt;=0,0,IF(($S160-CC160)&lt;0,0,IF(AND(($S160-CD160)&gt;0,(CC160-$R160)&gt;0),$V160/365*(CD160-CC160+1),IF(AND(($S160-CD160)&lt;=0,(CC160-$R160)&gt;0),$V160/365*($S160-CC160+1),$V160/365*(CD160-$R160+1))))),0)</f>
        <v>0</v>
      </c>
      <c r="CF160" s="163">
        <f t="shared" ref="CF160:CF163" si="1953">CD160+1</f>
        <v>46266</v>
      </c>
      <c r="CG160" s="163">
        <f t="shared" ref="CG160:CG163" si="1954">CF160+29</f>
        <v>46295</v>
      </c>
      <c r="CH160" s="167">
        <f t="shared" ref="CH160:CH163" si="1955">IFERROR(IF(($R160-CG160)&gt;=0,0,IF(($S160-CF160)&lt;0,0,IF(AND(($S160-CG160)&gt;0,(CF160-$R160)&gt;0),$V160/365*(CG160-CF160+1),IF(AND(($S160-CG160)&lt;=0,(CF160-$R160)&gt;0),$V160/365*($S160-CF160+1),$V160/365*(CG160-$R160+1))))),0)</f>
        <v>0</v>
      </c>
      <c r="CI160" s="163">
        <f t="shared" ref="CI160:CI163" si="1956">CG160+1</f>
        <v>46296</v>
      </c>
      <c r="CJ160" s="163">
        <f t="shared" ref="CJ160:CJ163" si="1957">CI160+30</f>
        <v>46326</v>
      </c>
      <c r="CK160" s="167">
        <f t="shared" ref="CK160:CK163" si="1958">IFERROR(IF(($R160-CJ160)&gt;=0,0,IF(($S160-CI160)&lt;0,0,IF(AND(($S160-CJ160)&gt;0,(CI160-$R160)&gt;0),$V160/365*(CJ160-CI160+1),IF(AND(($S160-CJ160)&lt;=0,(CI160-$R160)&gt;0),$V160/365*($S160-CI160+1),$V160/365*(CJ160-$R160+1))))),0)</f>
        <v>0</v>
      </c>
      <c r="CL160" s="163">
        <f t="shared" ref="CL160:CL163" si="1959">CJ160+1</f>
        <v>46327</v>
      </c>
      <c r="CM160" s="163">
        <f t="shared" ref="CM160:CM163" si="1960">CL160+29</f>
        <v>46356</v>
      </c>
      <c r="CN160" s="167">
        <f t="shared" ref="CN160:CN163" si="1961">IFERROR(IF(($R160-CM160)&gt;=0,0,IF(($S160-CL160)&lt;0,0,IF(AND(($S160-CM160)&gt;0,(CL160-$R160)&gt;0),$V160/365*(CM160-CL160+1),IF(AND(($S160-CM160)&lt;=0,(CL160-$R160)&gt;0),$V160/365*($S160-CL160+1),$V160/365*(CM160-$R160+1))))),0)</f>
        <v>0</v>
      </c>
      <c r="CO160" s="163">
        <f t="shared" ref="CO160:CO163" si="1962">CM160+1</f>
        <v>46357</v>
      </c>
      <c r="CP160" s="163">
        <f t="shared" ref="CP160:CP163" si="1963">CO160+30</f>
        <v>46387</v>
      </c>
      <c r="CQ160" s="167">
        <f t="shared" ref="CQ160:CQ163" si="1964">IFERROR(IF(($R160-CP160)&gt;=0,0,IF(($S160-CO160)&lt;0,0,IF(AND(($S160-CP160)&gt;0,(CO160-$R160)&gt;0),$V160/365*(CP160-CO160+1),IF(AND(($S160-CP160)&lt;=0,(CO160-$R160)&gt;0),$V160/365*($S160-CO160+1),$V160/365*(CP160-$R160+1))))),0)</f>
        <v>0</v>
      </c>
    </row>
    <row r="161" s="89" customFormat="1" ht="24" hidden="1" customHeight="1" outlineLevel="4" spans="1:95">
      <c r="A161" s="128"/>
      <c r="B161" s="129"/>
      <c r="C161" s="130"/>
      <c r="D161" s="128"/>
      <c r="E161" s="129"/>
      <c r="F161" s="129"/>
      <c r="G161" s="129"/>
      <c r="H161" s="131"/>
      <c r="I161" s="131"/>
      <c r="J161" s="131">
        <f t="shared" si="1570"/>
        <v>0</v>
      </c>
      <c r="K161" s="131">
        <f t="shared" ref="K161:K163" si="1965">K160+1</f>
        <v>2</v>
      </c>
      <c r="L161" s="156"/>
      <c r="M161" s="157">
        <f>IFERROR(VLOOKUP($L161,'2-2 引出数据_合同数据仓库'!$B$5:$BP$200,3,FALSE),0)</f>
        <v>0</v>
      </c>
      <c r="N161" s="131"/>
      <c r="O161" s="157">
        <f>IFERROR(VLOOKUP((LEFT(VLOOKUP($L161,'2-2 引出数据_合同数据仓库'!$B$5:$BP$200,64,FALSE),15)&amp;(RIGHT(VLOOKUP($L161,'2-2 引出数据_合同数据仓库'!$B$5:$BP$200,64,FALSE),4)+1)),'2-2 引出数据_合同数据仓库'!$B$5:$BP$200,3,FALSE),0)</f>
        <v>0</v>
      </c>
      <c r="P161" s="131"/>
      <c r="Q161" s="131">
        <f>IFERROR(VLOOKUP($L161,'2-2 引出数据_合同数据仓库'!$B$5:$BP$200,28,FALSE),0)</f>
        <v>0</v>
      </c>
      <c r="R161" s="131">
        <f>IFERROR(VLOOKUP($L161,'2-2 引出数据_合同数据仓库'!$B$5:$BP$200,29,FALSE),0)</f>
        <v>0</v>
      </c>
      <c r="S161" s="131">
        <f>IFERROR(VLOOKUP($L161,'2-2 引出数据_合同数据仓库'!$B$5:$BP$200,4,FALSE),0)</f>
        <v>0</v>
      </c>
      <c r="T161" s="131"/>
      <c r="U161" s="131">
        <f>IFERROR(VLOOKUP($L161,'2-2 引出数据_合同数据仓库'!$B$5:$BP$200,15,FALSE),0)</f>
        <v>0</v>
      </c>
      <c r="V161" s="131">
        <f t="shared" si="1894"/>
        <v>0</v>
      </c>
      <c r="W161" s="131"/>
      <c r="X161" s="163">
        <v>45658</v>
      </c>
      <c r="Y161" s="163">
        <f t="shared" si="1895"/>
        <v>45688</v>
      </c>
      <c r="Z161" s="167">
        <f t="shared" si="1896"/>
        <v>0</v>
      </c>
      <c r="AA161" s="163">
        <f t="shared" si="1897"/>
        <v>45689</v>
      </c>
      <c r="AB161" s="163">
        <f t="shared" si="1898"/>
        <v>45716</v>
      </c>
      <c r="AC161" s="167">
        <f t="shared" si="1899"/>
        <v>0</v>
      </c>
      <c r="AD161" s="163">
        <f t="shared" si="1900"/>
        <v>45717</v>
      </c>
      <c r="AE161" s="163">
        <f t="shared" si="1901"/>
        <v>45747</v>
      </c>
      <c r="AF161" s="167">
        <f t="shared" si="1902"/>
        <v>0</v>
      </c>
      <c r="AG161" s="163">
        <f t="shared" si="1903"/>
        <v>45748</v>
      </c>
      <c r="AH161" s="163">
        <f t="shared" si="1904"/>
        <v>45777</v>
      </c>
      <c r="AI161" s="167">
        <f t="shared" si="1905"/>
        <v>0</v>
      </c>
      <c r="AJ161" s="163">
        <f t="shared" si="1906"/>
        <v>45778</v>
      </c>
      <c r="AK161" s="163">
        <f t="shared" si="1907"/>
        <v>45808</v>
      </c>
      <c r="AL161" s="167">
        <f t="shared" si="1908"/>
        <v>0</v>
      </c>
      <c r="AM161" s="163">
        <f t="shared" si="1909"/>
        <v>45809</v>
      </c>
      <c r="AN161" s="163">
        <f t="shared" si="1910"/>
        <v>45838</v>
      </c>
      <c r="AO161" s="167">
        <f t="shared" si="1911"/>
        <v>0</v>
      </c>
      <c r="AP161" s="163">
        <f t="shared" si="1912"/>
        <v>45839</v>
      </c>
      <c r="AQ161" s="163">
        <f t="shared" si="1913"/>
        <v>45869</v>
      </c>
      <c r="AR161" s="167">
        <f t="shared" si="1914"/>
        <v>0</v>
      </c>
      <c r="AS161" s="163">
        <f t="shared" si="1915"/>
        <v>45870</v>
      </c>
      <c r="AT161" s="163">
        <f t="shared" si="1916"/>
        <v>45900</v>
      </c>
      <c r="AU161" s="167">
        <f t="shared" si="1917"/>
        <v>0</v>
      </c>
      <c r="AV161" s="163">
        <f t="shared" si="1918"/>
        <v>45901</v>
      </c>
      <c r="AW161" s="163">
        <f t="shared" si="1919"/>
        <v>45930</v>
      </c>
      <c r="AX161" s="167">
        <f t="shared" si="1920"/>
        <v>0</v>
      </c>
      <c r="AY161" s="163">
        <f t="shared" si="1921"/>
        <v>45931</v>
      </c>
      <c r="AZ161" s="163">
        <f t="shared" si="1922"/>
        <v>45961</v>
      </c>
      <c r="BA161" s="167">
        <f t="shared" si="1923"/>
        <v>0</v>
      </c>
      <c r="BB161" s="163">
        <f t="shared" si="1924"/>
        <v>45962</v>
      </c>
      <c r="BC161" s="163">
        <f t="shared" si="1925"/>
        <v>45991</v>
      </c>
      <c r="BD161" s="167">
        <f t="shared" si="1926"/>
        <v>0</v>
      </c>
      <c r="BE161" s="163">
        <f t="shared" si="1927"/>
        <v>45992</v>
      </c>
      <c r="BF161" s="163">
        <f t="shared" si="1928"/>
        <v>46022</v>
      </c>
      <c r="BG161" s="167">
        <f t="shared" si="1929"/>
        <v>0</v>
      </c>
      <c r="BH161" s="163">
        <v>46023</v>
      </c>
      <c r="BI161" s="163">
        <f t="shared" si="1930"/>
        <v>46053</v>
      </c>
      <c r="BJ161" s="167">
        <f t="shared" si="1931"/>
        <v>0</v>
      </c>
      <c r="BK161" s="163">
        <f t="shared" si="1932"/>
        <v>46054</v>
      </c>
      <c r="BL161" s="163">
        <f t="shared" si="1933"/>
        <v>46081</v>
      </c>
      <c r="BM161" s="167">
        <f t="shared" si="1934"/>
        <v>0</v>
      </c>
      <c r="BN161" s="163">
        <f t="shared" si="1935"/>
        <v>46082</v>
      </c>
      <c r="BO161" s="163">
        <f t="shared" si="1936"/>
        <v>46112</v>
      </c>
      <c r="BP161" s="167">
        <f t="shared" si="1937"/>
        <v>0</v>
      </c>
      <c r="BQ161" s="163">
        <f t="shared" si="1938"/>
        <v>46113</v>
      </c>
      <c r="BR161" s="163">
        <f t="shared" si="1939"/>
        <v>46142</v>
      </c>
      <c r="BS161" s="167">
        <f t="shared" si="1940"/>
        <v>0</v>
      </c>
      <c r="BT161" s="163">
        <f t="shared" si="1941"/>
        <v>46143</v>
      </c>
      <c r="BU161" s="163">
        <f t="shared" si="1942"/>
        <v>46173</v>
      </c>
      <c r="BV161" s="167">
        <f t="shared" si="1943"/>
        <v>0</v>
      </c>
      <c r="BW161" s="163">
        <f t="shared" si="1944"/>
        <v>46174</v>
      </c>
      <c r="BX161" s="163">
        <f t="shared" si="1945"/>
        <v>46203</v>
      </c>
      <c r="BY161" s="167">
        <f t="shared" si="1946"/>
        <v>0</v>
      </c>
      <c r="BZ161" s="163">
        <f t="shared" si="1947"/>
        <v>46204</v>
      </c>
      <c r="CA161" s="163">
        <f t="shared" si="1948"/>
        <v>46234</v>
      </c>
      <c r="CB161" s="167">
        <f t="shared" si="1949"/>
        <v>0</v>
      </c>
      <c r="CC161" s="163">
        <f t="shared" si="1950"/>
        <v>46235</v>
      </c>
      <c r="CD161" s="163">
        <f t="shared" si="1951"/>
        <v>46265</v>
      </c>
      <c r="CE161" s="167">
        <f t="shared" si="1952"/>
        <v>0</v>
      </c>
      <c r="CF161" s="163">
        <f t="shared" si="1953"/>
        <v>46266</v>
      </c>
      <c r="CG161" s="163">
        <f t="shared" si="1954"/>
        <v>46295</v>
      </c>
      <c r="CH161" s="167">
        <f t="shared" si="1955"/>
        <v>0</v>
      </c>
      <c r="CI161" s="163">
        <f t="shared" si="1956"/>
        <v>46296</v>
      </c>
      <c r="CJ161" s="163">
        <f t="shared" si="1957"/>
        <v>46326</v>
      </c>
      <c r="CK161" s="167">
        <f t="shared" si="1958"/>
        <v>0</v>
      </c>
      <c r="CL161" s="163">
        <f t="shared" si="1959"/>
        <v>46327</v>
      </c>
      <c r="CM161" s="163">
        <f t="shared" si="1960"/>
        <v>46356</v>
      </c>
      <c r="CN161" s="167">
        <f t="shared" si="1961"/>
        <v>0</v>
      </c>
      <c r="CO161" s="163">
        <f t="shared" si="1962"/>
        <v>46357</v>
      </c>
      <c r="CP161" s="163">
        <f t="shared" si="1963"/>
        <v>46387</v>
      </c>
      <c r="CQ161" s="167">
        <f t="shared" si="1964"/>
        <v>0</v>
      </c>
    </row>
    <row r="162" s="89" customFormat="1" ht="24" hidden="1" customHeight="1" outlineLevel="4" spans="1:95">
      <c r="A162" s="128"/>
      <c r="B162" s="129"/>
      <c r="C162" s="130"/>
      <c r="D162" s="128"/>
      <c r="E162" s="129"/>
      <c r="F162" s="129"/>
      <c r="G162" s="129"/>
      <c r="H162" s="131"/>
      <c r="I162" s="131"/>
      <c r="J162" s="131">
        <f t="shared" si="1570"/>
        <v>0</v>
      </c>
      <c r="K162" s="131">
        <f t="shared" si="1965"/>
        <v>3</v>
      </c>
      <c r="L162" s="156"/>
      <c r="M162" s="157">
        <f>IFERROR(VLOOKUP($L162,'2-2 引出数据_合同数据仓库'!$B$5:$BP$200,3,FALSE),0)</f>
        <v>0</v>
      </c>
      <c r="N162" s="131"/>
      <c r="O162" s="157">
        <f>IFERROR(VLOOKUP((LEFT(VLOOKUP($L162,'2-2 引出数据_合同数据仓库'!$B$5:$BP$200,64,FALSE),15)&amp;(RIGHT(VLOOKUP($L162,'2-2 引出数据_合同数据仓库'!$B$5:$BP$200,64,FALSE),4)+1)),'2-2 引出数据_合同数据仓库'!$B$5:$BP$200,3,FALSE),0)</f>
        <v>0</v>
      </c>
      <c r="P162" s="131"/>
      <c r="Q162" s="131">
        <f>IFERROR(VLOOKUP($L162,'2-2 引出数据_合同数据仓库'!$B$5:$BP$200,28,FALSE),0)</f>
        <v>0</v>
      </c>
      <c r="R162" s="131">
        <f>IFERROR(VLOOKUP($L162,'2-2 引出数据_合同数据仓库'!$B$5:$BP$200,29,FALSE),0)</f>
        <v>0</v>
      </c>
      <c r="S162" s="131">
        <f>IFERROR(VLOOKUP($L162,'2-2 引出数据_合同数据仓库'!$B$5:$BP$200,4,FALSE),0)</f>
        <v>0</v>
      </c>
      <c r="T162" s="131"/>
      <c r="U162" s="131">
        <f>IFERROR(VLOOKUP($L162,'2-2 引出数据_合同数据仓库'!$B$5:$BP$200,15,FALSE),0)</f>
        <v>0</v>
      </c>
      <c r="V162" s="131">
        <f t="shared" si="1894"/>
        <v>0</v>
      </c>
      <c r="W162" s="131"/>
      <c r="X162" s="163">
        <v>45658</v>
      </c>
      <c r="Y162" s="163">
        <f t="shared" si="1895"/>
        <v>45688</v>
      </c>
      <c r="Z162" s="167">
        <f t="shared" si="1896"/>
        <v>0</v>
      </c>
      <c r="AA162" s="163">
        <f t="shared" si="1897"/>
        <v>45689</v>
      </c>
      <c r="AB162" s="163">
        <f t="shared" si="1898"/>
        <v>45716</v>
      </c>
      <c r="AC162" s="167">
        <f t="shared" si="1899"/>
        <v>0</v>
      </c>
      <c r="AD162" s="163">
        <f t="shared" si="1900"/>
        <v>45717</v>
      </c>
      <c r="AE162" s="163">
        <f t="shared" si="1901"/>
        <v>45747</v>
      </c>
      <c r="AF162" s="167">
        <f t="shared" si="1902"/>
        <v>0</v>
      </c>
      <c r="AG162" s="163">
        <f t="shared" si="1903"/>
        <v>45748</v>
      </c>
      <c r="AH162" s="163">
        <f t="shared" si="1904"/>
        <v>45777</v>
      </c>
      <c r="AI162" s="167">
        <f t="shared" si="1905"/>
        <v>0</v>
      </c>
      <c r="AJ162" s="163">
        <f t="shared" si="1906"/>
        <v>45778</v>
      </c>
      <c r="AK162" s="163">
        <f t="shared" si="1907"/>
        <v>45808</v>
      </c>
      <c r="AL162" s="167">
        <f t="shared" si="1908"/>
        <v>0</v>
      </c>
      <c r="AM162" s="163">
        <f t="shared" si="1909"/>
        <v>45809</v>
      </c>
      <c r="AN162" s="163">
        <f t="shared" si="1910"/>
        <v>45838</v>
      </c>
      <c r="AO162" s="167">
        <f t="shared" si="1911"/>
        <v>0</v>
      </c>
      <c r="AP162" s="163">
        <f t="shared" si="1912"/>
        <v>45839</v>
      </c>
      <c r="AQ162" s="163">
        <f t="shared" si="1913"/>
        <v>45869</v>
      </c>
      <c r="AR162" s="167">
        <f t="shared" si="1914"/>
        <v>0</v>
      </c>
      <c r="AS162" s="163">
        <f t="shared" si="1915"/>
        <v>45870</v>
      </c>
      <c r="AT162" s="163">
        <f t="shared" si="1916"/>
        <v>45900</v>
      </c>
      <c r="AU162" s="167">
        <f t="shared" si="1917"/>
        <v>0</v>
      </c>
      <c r="AV162" s="163">
        <f t="shared" si="1918"/>
        <v>45901</v>
      </c>
      <c r="AW162" s="163">
        <f t="shared" si="1919"/>
        <v>45930</v>
      </c>
      <c r="AX162" s="167">
        <f t="shared" si="1920"/>
        <v>0</v>
      </c>
      <c r="AY162" s="163">
        <f t="shared" si="1921"/>
        <v>45931</v>
      </c>
      <c r="AZ162" s="163">
        <f t="shared" si="1922"/>
        <v>45961</v>
      </c>
      <c r="BA162" s="167">
        <f t="shared" si="1923"/>
        <v>0</v>
      </c>
      <c r="BB162" s="163">
        <f t="shared" si="1924"/>
        <v>45962</v>
      </c>
      <c r="BC162" s="163">
        <f t="shared" si="1925"/>
        <v>45991</v>
      </c>
      <c r="BD162" s="167">
        <f t="shared" si="1926"/>
        <v>0</v>
      </c>
      <c r="BE162" s="163">
        <f t="shared" si="1927"/>
        <v>45992</v>
      </c>
      <c r="BF162" s="163">
        <f t="shared" si="1928"/>
        <v>46022</v>
      </c>
      <c r="BG162" s="167">
        <f t="shared" si="1929"/>
        <v>0</v>
      </c>
      <c r="BH162" s="163">
        <v>46023</v>
      </c>
      <c r="BI162" s="163">
        <f t="shared" si="1930"/>
        <v>46053</v>
      </c>
      <c r="BJ162" s="167">
        <f t="shared" si="1931"/>
        <v>0</v>
      </c>
      <c r="BK162" s="163">
        <f t="shared" si="1932"/>
        <v>46054</v>
      </c>
      <c r="BL162" s="163">
        <f t="shared" si="1933"/>
        <v>46081</v>
      </c>
      <c r="BM162" s="167">
        <f t="shared" si="1934"/>
        <v>0</v>
      </c>
      <c r="BN162" s="163">
        <f t="shared" si="1935"/>
        <v>46082</v>
      </c>
      <c r="BO162" s="163">
        <f t="shared" si="1936"/>
        <v>46112</v>
      </c>
      <c r="BP162" s="167">
        <f t="shared" si="1937"/>
        <v>0</v>
      </c>
      <c r="BQ162" s="163">
        <f t="shared" si="1938"/>
        <v>46113</v>
      </c>
      <c r="BR162" s="163">
        <f t="shared" si="1939"/>
        <v>46142</v>
      </c>
      <c r="BS162" s="167">
        <f t="shared" si="1940"/>
        <v>0</v>
      </c>
      <c r="BT162" s="163">
        <f t="shared" si="1941"/>
        <v>46143</v>
      </c>
      <c r="BU162" s="163">
        <f t="shared" si="1942"/>
        <v>46173</v>
      </c>
      <c r="BV162" s="167">
        <f t="shared" si="1943"/>
        <v>0</v>
      </c>
      <c r="BW162" s="163">
        <f t="shared" si="1944"/>
        <v>46174</v>
      </c>
      <c r="BX162" s="163">
        <f t="shared" si="1945"/>
        <v>46203</v>
      </c>
      <c r="BY162" s="167">
        <f t="shared" si="1946"/>
        <v>0</v>
      </c>
      <c r="BZ162" s="163">
        <f t="shared" si="1947"/>
        <v>46204</v>
      </c>
      <c r="CA162" s="163">
        <f t="shared" si="1948"/>
        <v>46234</v>
      </c>
      <c r="CB162" s="167">
        <f t="shared" si="1949"/>
        <v>0</v>
      </c>
      <c r="CC162" s="163">
        <f t="shared" si="1950"/>
        <v>46235</v>
      </c>
      <c r="CD162" s="163">
        <f t="shared" si="1951"/>
        <v>46265</v>
      </c>
      <c r="CE162" s="167">
        <f t="shared" si="1952"/>
        <v>0</v>
      </c>
      <c r="CF162" s="163">
        <f t="shared" si="1953"/>
        <v>46266</v>
      </c>
      <c r="CG162" s="163">
        <f t="shared" si="1954"/>
        <v>46295</v>
      </c>
      <c r="CH162" s="167">
        <f t="shared" si="1955"/>
        <v>0</v>
      </c>
      <c r="CI162" s="163">
        <f t="shared" si="1956"/>
        <v>46296</v>
      </c>
      <c r="CJ162" s="163">
        <f t="shared" si="1957"/>
        <v>46326</v>
      </c>
      <c r="CK162" s="167">
        <f t="shared" si="1958"/>
        <v>0</v>
      </c>
      <c r="CL162" s="163">
        <f t="shared" si="1959"/>
        <v>46327</v>
      </c>
      <c r="CM162" s="163">
        <f t="shared" si="1960"/>
        <v>46356</v>
      </c>
      <c r="CN162" s="167">
        <f t="shared" si="1961"/>
        <v>0</v>
      </c>
      <c r="CO162" s="163">
        <f t="shared" si="1962"/>
        <v>46357</v>
      </c>
      <c r="CP162" s="163">
        <f t="shared" si="1963"/>
        <v>46387</v>
      </c>
      <c r="CQ162" s="167">
        <f t="shared" si="1964"/>
        <v>0</v>
      </c>
    </row>
    <row r="163" s="89" customFormat="1" ht="24" hidden="1" customHeight="1" outlineLevel="4" spans="1:95">
      <c r="A163" s="128"/>
      <c r="B163" s="129"/>
      <c r="C163" s="130"/>
      <c r="D163" s="128"/>
      <c r="E163" s="129"/>
      <c r="F163" s="129"/>
      <c r="G163" s="129"/>
      <c r="H163" s="131"/>
      <c r="I163" s="131"/>
      <c r="J163" s="131">
        <f t="shared" si="1570"/>
        <v>0</v>
      </c>
      <c r="K163" s="131">
        <f t="shared" si="1965"/>
        <v>4</v>
      </c>
      <c r="L163" s="156"/>
      <c r="M163" s="157">
        <f>IFERROR(VLOOKUP($L163,'2-2 引出数据_合同数据仓库'!$B$5:$BP$200,3,FALSE),0)</f>
        <v>0</v>
      </c>
      <c r="N163" s="131"/>
      <c r="O163" s="157">
        <f>IFERROR(VLOOKUP((LEFT(VLOOKUP($L163,'2-2 引出数据_合同数据仓库'!$B$5:$BP$200,64,FALSE),15)&amp;(RIGHT(VLOOKUP($L163,'2-2 引出数据_合同数据仓库'!$B$5:$BP$200,64,FALSE),4)+1)),'2-2 引出数据_合同数据仓库'!$B$5:$BP$200,3,FALSE),0)</f>
        <v>0</v>
      </c>
      <c r="P163" s="131"/>
      <c r="Q163" s="131">
        <f>IFERROR(VLOOKUP($L163,'2-2 引出数据_合同数据仓库'!$B$5:$BP$200,28,FALSE),0)</f>
        <v>0</v>
      </c>
      <c r="R163" s="131">
        <f>IFERROR(VLOOKUP($L163,'2-2 引出数据_合同数据仓库'!$B$5:$BP$200,29,FALSE),0)</f>
        <v>0</v>
      </c>
      <c r="S163" s="131">
        <f>IFERROR(VLOOKUP($L163,'2-2 引出数据_合同数据仓库'!$B$5:$BP$200,4,FALSE),0)</f>
        <v>0</v>
      </c>
      <c r="T163" s="131"/>
      <c r="U163" s="131">
        <f>IFERROR(VLOOKUP($L163,'2-2 引出数据_合同数据仓库'!$B$5:$BP$200,15,FALSE),0)</f>
        <v>0</v>
      </c>
      <c r="V163" s="131">
        <f t="shared" si="1894"/>
        <v>0</v>
      </c>
      <c r="W163" s="131"/>
      <c r="X163" s="163">
        <v>45658</v>
      </c>
      <c r="Y163" s="163">
        <f t="shared" si="1895"/>
        <v>45688</v>
      </c>
      <c r="Z163" s="167">
        <f t="shared" si="1896"/>
        <v>0</v>
      </c>
      <c r="AA163" s="163">
        <f t="shared" si="1897"/>
        <v>45689</v>
      </c>
      <c r="AB163" s="163">
        <f t="shared" si="1898"/>
        <v>45716</v>
      </c>
      <c r="AC163" s="167">
        <f t="shared" si="1899"/>
        <v>0</v>
      </c>
      <c r="AD163" s="163">
        <f t="shared" si="1900"/>
        <v>45717</v>
      </c>
      <c r="AE163" s="163">
        <f t="shared" si="1901"/>
        <v>45747</v>
      </c>
      <c r="AF163" s="167">
        <f t="shared" si="1902"/>
        <v>0</v>
      </c>
      <c r="AG163" s="163">
        <f t="shared" si="1903"/>
        <v>45748</v>
      </c>
      <c r="AH163" s="163">
        <f t="shared" si="1904"/>
        <v>45777</v>
      </c>
      <c r="AI163" s="167">
        <f t="shared" si="1905"/>
        <v>0</v>
      </c>
      <c r="AJ163" s="163">
        <f t="shared" si="1906"/>
        <v>45778</v>
      </c>
      <c r="AK163" s="163">
        <f t="shared" si="1907"/>
        <v>45808</v>
      </c>
      <c r="AL163" s="167">
        <f t="shared" si="1908"/>
        <v>0</v>
      </c>
      <c r="AM163" s="163">
        <f t="shared" si="1909"/>
        <v>45809</v>
      </c>
      <c r="AN163" s="163">
        <f t="shared" si="1910"/>
        <v>45838</v>
      </c>
      <c r="AO163" s="167">
        <f t="shared" si="1911"/>
        <v>0</v>
      </c>
      <c r="AP163" s="163">
        <f t="shared" si="1912"/>
        <v>45839</v>
      </c>
      <c r="AQ163" s="163">
        <f t="shared" si="1913"/>
        <v>45869</v>
      </c>
      <c r="AR163" s="167">
        <f t="shared" si="1914"/>
        <v>0</v>
      </c>
      <c r="AS163" s="163">
        <f t="shared" si="1915"/>
        <v>45870</v>
      </c>
      <c r="AT163" s="163">
        <f t="shared" si="1916"/>
        <v>45900</v>
      </c>
      <c r="AU163" s="167">
        <f t="shared" si="1917"/>
        <v>0</v>
      </c>
      <c r="AV163" s="163">
        <f t="shared" si="1918"/>
        <v>45901</v>
      </c>
      <c r="AW163" s="163">
        <f t="shared" si="1919"/>
        <v>45930</v>
      </c>
      <c r="AX163" s="167">
        <f t="shared" si="1920"/>
        <v>0</v>
      </c>
      <c r="AY163" s="163">
        <f t="shared" si="1921"/>
        <v>45931</v>
      </c>
      <c r="AZ163" s="163">
        <f t="shared" si="1922"/>
        <v>45961</v>
      </c>
      <c r="BA163" s="167">
        <f t="shared" si="1923"/>
        <v>0</v>
      </c>
      <c r="BB163" s="163">
        <f t="shared" si="1924"/>
        <v>45962</v>
      </c>
      <c r="BC163" s="163">
        <f t="shared" si="1925"/>
        <v>45991</v>
      </c>
      <c r="BD163" s="167">
        <f t="shared" si="1926"/>
        <v>0</v>
      </c>
      <c r="BE163" s="163">
        <f t="shared" si="1927"/>
        <v>45992</v>
      </c>
      <c r="BF163" s="163">
        <f t="shared" si="1928"/>
        <v>46022</v>
      </c>
      <c r="BG163" s="167">
        <f t="shared" si="1929"/>
        <v>0</v>
      </c>
      <c r="BH163" s="163">
        <v>46023</v>
      </c>
      <c r="BI163" s="163">
        <f t="shared" si="1930"/>
        <v>46053</v>
      </c>
      <c r="BJ163" s="167">
        <f t="shared" si="1931"/>
        <v>0</v>
      </c>
      <c r="BK163" s="163">
        <f t="shared" si="1932"/>
        <v>46054</v>
      </c>
      <c r="BL163" s="163">
        <f t="shared" si="1933"/>
        <v>46081</v>
      </c>
      <c r="BM163" s="167">
        <f t="shared" si="1934"/>
        <v>0</v>
      </c>
      <c r="BN163" s="163">
        <f t="shared" si="1935"/>
        <v>46082</v>
      </c>
      <c r="BO163" s="163">
        <f t="shared" si="1936"/>
        <v>46112</v>
      </c>
      <c r="BP163" s="167">
        <f t="shared" si="1937"/>
        <v>0</v>
      </c>
      <c r="BQ163" s="163">
        <f t="shared" si="1938"/>
        <v>46113</v>
      </c>
      <c r="BR163" s="163">
        <f t="shared" si="1939"/>
        <v>46142</v>
      </c>
      <c r="BS163" s="167">
        <f t="shared" si="1940"/>
        <v>0</v>
      </c>
      <c r="BT163" s="163">
        <f t="shared" si="1941"/>
        <v>46143</v>
      </c>
      <c r="BU163" s="163">
        <f t="shared" si="1942"/>
        <v>46173</v>
      </c>
      <c r="BV163" s="167">
        <f t="shared" si="1943"/>
        <v>0</v>
      </c>
      <c r="BW163" s="163">
        <f t="shared" si="1944"/>
        <v>46174</v>
      </c>
      <c r="BX163" s="163">
        <f t="shared" si="1945"/>
        <v>46203</v>
      </c>
      <c r="BY163" s="167">
        <f t="shared" si="1946"/>
        <v>0</v>
      </c>
      <c r="BZ163" s="163">
        <f t="shared" si="1947"/>
        <v>46204</v>
      </c>
      <c r="CA163" s="163">
        <f t="shared" si="1948"/>
        <v>46234</v>
      </c>
      <c r="CB163" s="167">
        <f t="shared" si="1949"/>
        <v>0</v>
      </c>
      <c r="CC163" s="163">
        <f t="shared" si="1950"/>
        <v>46235</v>
      </c>
      <c r="CD163" s="163">
        <f t="shared" si="1951"/>
        <v>46265</v>
      </c>
      <c r="CE163" s="167">
        <f t="shared" si="1952"/>
        <v>0</v>
      </c>
      <c r="CF163" s="163">
        <f t="shared" si="1953"/>
        <v>46266</v>
      </c>
      <c r="CG163" s="163">
        <f t="shared" si="1954"/>
        <v>46295</v>
      </c>
      <c r="CH163" s="167">
        <f t="shared" si="1955"/>
        <v>0</v>
      </c>
      <c r="CI163" s="163">
        <f t="shared" si="1956"/>
        <v>46296</v>
      </c>
      <c r="CJ163" s="163">
        <f t="shared" si="1957"/>
        <v>46326</v>
      </c>
      <c r="CK163" s="167">
        <f t="shared" si="1958"/>
        <v>0</v>
      </c>
      <c r="CL163" s="163">
        <f t="shared" si="1959"/>
        <v>46327</v>
      </c>
      <c r="CM163" s="163">
        <f t="shared" si="1960"/>
        <v>46356</v>
      </c>
      <c r="CN163" s="167">
        <f t="shared" si="1961"/>
        <v>0</v>
      </c>
      <c r="CO163" s="163">
        <f t="shared" si="1962"/>
        <v>46357</v>
      </c>
      <c r="CP163" s="163">
        <f t="shared" si="1963"/>
        <v>46387</v>
      </c>
      <c r="CQ163" s="167">
        <f t="shared" si="1964"/>
        <v>0</v>
      </c>
    </row>
    <row r="164" s="89" customFormat="1" ht="24" hidden="1" customHeight="1" outlineLevel="4" spans="1:95">
      <c r="A164" s="132" t="s">
        <v>2813</v>
      </c>
      <c r="B164" s="133"/>
      <c r="C164" s="133"/>
      <c r="D164" s="133"/>
      <c r="E164" s="133"/>
      <c r="F164" s="133"/>
      <c r="G164" s="134"/>
      <c r="H164" s="135"/>
      <c r="I164" s="135"/>
      <c r="J164" s="135"/>
      <c r="K164" s="135"/>
      <c r="L164" s="158"/>
      <c r="M164" s="158"/>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c r="CL164" s="135"/>
      <c r="CM164" s="135"/>
      <c r="CN164" s="135"/>
      <c r="CO164" s="135"/>
      <c r="CP164" s="135"/>
      <c r="CQ164" s="135"/>
    </row>
    <row r="165" ht="24" hidden="1" customHeight="1" outlineLevel="3" collapsed="1" spans="1:95">
      <c r="A165" s="124"/>
      <c r="B165" s="125" t="s">
        <v>792</v>
      </c>
      <c r="C165" s="126" t="s">
        <v>75</v>
      </c>
      <c r="D165" s="124" t="s">
        <v>68</v>
      </c>
      <c r="E165" s="125"/>
      <c r="F165" s="125"/>
      <c r="G165" s="125"/>
      <c r="H165" s="127">
        <f>X165+AA165+AD165+AG165+AJ165+AM165+AP165+AS165+AV165+AY165+BB165+BE165</f>
        <v>0</v>
      </c>
      <c r="I165" s="127">
        <f>Y165+AB165+AE165+AH165+AK165+AN165+AQ165+AT165+AW165+AZ165+BC165+BF165</f>
        <v>0</v>
      </c>
      <c r="J165" s="127">
        <f t="shared" si="1570"/>
        <v>0</v>
      </c>
      <c r="K165" s="127"/>
      <c r="L165" s="155"/>
      <c r="M165" s="155"/>
      <c r="N165" s="127"/>
      <c r="O165" s="127"/>
      <c r="P165" s="127"/>
      <c r="Q165" s="127"/>
      <c r="R165" s="127"/>
      <c r="S165" s="127"/>
      <c r="T165" s="127"/>
      <c r="U165" s="127"/>
      <c r="V165" s="127"/>
      <c r="W165" s="127"/>
      <c r="X165" s="127">
        <f>VLOOKUP($C165,'1 预算编制表单'!$C:$BJ,27,FALSE)</f>
        <v>0</v>
      </c>
      <c r="Y165" s="127">
        <f>X165-Z165</f>
        <v>0</v>
      </c>
      <c r="Z165" s="127">
        <f>SUM(Z166:Z170)</f>
        <v>0</v>
      </c>
      <c r="AA165" s="127">
        <f>VLOOKUP($C165,'1 预算编制表单'!$C:$BJ,30,FALSE)</f>
        <v>0</v>
      </c>
      <c r="AB165" s="127">
        <f>AA165-AC165</f>
        <v>0</v>
      </c>
      <c r="AC165" s="127">
        <f>SUM(AC166:AC170)</f>
        <v>0</v>
      </c>
      <c r="AD165" s="127">
        <f>VLOOKUP($C165,'1 预算编制表单'!$C:$BJ,33,FALSE)</f>
        <v>0</v>
      </c>
      <c r="AE165" s="127">
        <f>AD165-AF165</f>
        <v>0</v>
      </c>
      <c r="AF165" s="127">
        <f>SUM(AF166:AF170)</f>
        <v>0</v>
      </c>
      <c r="AG165" s="127">
        <f>VLOOKUP($C165,'1 预算编制表单'!$C:$BJ,36,FALSE)</f>
        <v>0</v>
      </c>
      <c r="AH165" s="127">
        <f>AG165-AI165</f>
        <v>0</v>
      </c>
      <c r="AI165" s="127">
        <f>SUM(AI166:AI170)</f>
        <v>0</v>
      </c>
      <c r="AJ165" s="127">
        <f>VLOOKUP($C165,'1 预算编制表单'!$C:$BJ,39,FALSE)</f>
        <v>0</v>
      </c>
      <c r="AK165" s="127">
        <f>AJ165-AL165</f>
        <v>0</v>
      </c>
      <c r="AL165" s="127">
        <f>SUM(AL166:AL170)</f>
        <v>0</v>
      </c>
      <c r="AM165" s="127">
        <f>VLOOKUP($C165,'1 预算编制表单'!$C:$BJ,42,FALSE)</f>
        <v>0</v>
      </c>
      <c r="AN165" s="127">
        <f>AM165-AO165</f>
        <v>0</v>
      </c>
      <c r="AO165" s="127">
        <f>SUM(AO166:AO170)</f>
        <v>0</v>
      </c>
      <c r="AP165" s="127">
        <f>VLOOKUP($C165,'1 预算编制表单'!$C:$BJ,45,FALSE)</f>
        <v>0</v>
      </c>
      <c r="AQ165" s="127">
        <f>AP165-AR165</f>
        <v>0</v>
      </c>
      <c r="AR165" s="127">
        <f>SUM(AR166:AR170)</f>
        <v>0</v>
      </c>
      <c r="AS165" s="127">
        <f>VLOOKUP($C165,'1 预算编制表单'!$C:$BJ,48,FALSE)</f>
        <v>0</v>
      </c>
      <c r="AT165" s="127">
        <f>AS165-AU165</f>
        <v>0</v>
      </c>
      <c r="AU165" s="127">
        <f>SUM(AU166:AU170)</f>
        <v>0</v>
      </c>
      <c r="AV165" s="127">
        <f>VLOOKUP($C165,'1 预算编制表单'!$C:$BJ,51,FALSE)</f>
        <v>0</v>
      </c>
      <c r="AW165" s="127">
        <f>AV165-AX165</f>
        <v>0</v>
      </c>
      <c r="AX165" s="127">
        <f>SUM(AX166:AX170)</f>
        <v>0</v>
      </c>
      <c r="AY165" s="127">
        <f>VLOOKUP($C165,'1 预算编制表单'!$C:$BJ,54,FALSE)</f>
        <v>0</v>
      </c>
      <c r="AZ165" s="127">
        <f>AY165-BA165</f>
        <v>0</v>
      </c>
      <c r="BA165" s="127">
        <f>SUM(BA166:BA170)</f>
        <v>0</v>
      </c>
      <c r="BB165" s="127">
        <f>VLOOKUP($C165,'1 预算编制表单'!$C:$BJ,57,FALSE)</f>
        <v>0</v>
      </c>
      <c r="BC165" s="127">
        <f>BB165-BD165</f>
        <v>0</v>
      </c>
      <c r="BD165" s="127">
        <f>SUM(BD166:BD170)</f>
        <v>0</v>
      </c>
      <c r="BE165" s="127">
        <f>VLOOKUP($C165,'1 预算编制表单'!$C:$BJ,60,FALSE)</f>
        <v>0</v>
      </c>
      <c r="BF165" s="127">
        <f>BE165-BG165</f>
        <v>0</v>
      </c>
      <c r="BG165" s="127">
        <f>SUM(BG166:BG170)</f>
        <v>0</v>
      </c>
      <c r="BH165" s="127">
        <f>VLOOKUP($C165,'1 预算编制表单'!$C:$BJ,27,FALSE)</f>
        <v>0</v>
      </c>
      <c r="BI165" s="127">
        <f>BH165-BJ165</f>
        <v>0</v>
      </c>
      <c r="BJ165" s="127">
        <f>SUM(BJ166:BJ170)</f>
        <v>0</v>
      </c>
      <c r="BK165" s="127">
        <f>VLOOKUP($C165,'1 预算编制表单'!$C:$BJ,30,FALSE)</f>
        <v>0</v>
      </c>
      <c r="BL165" s="127">
        <f>BK165-BM165</f>
        <v>0</v>
      </c>
      <c r="BM165" s="127">
        <f>SUM(BM166:BM170)</f>
        <v>0</v>
      </c>
      <c r="BN165" s="127">
        <f>VLOOKUP($C165,'1 预算编制表单'!$C:$BJ,33,FALSE)</f>
        <v>0</v>
      </c>
      <c r="BO165" s="127">
        <f>BN165-BP165</f>
        <v>0</v>
      </c>
      <c r="BP165" s="127">
        <f>SUM(BP166:BP170)</f>
        <v>0</v>
      </c>
      <c r="BQ165" s="127">
        <f>VLOOKUP($C165,'1 预算编制表单'!$C:$BJ,36,FALSE)</f>
        <v>0</v>
      </c>
      <c r="BR165" s="127">
        <f>BQ165-BS165</f>
        <v>0</v>
      </c>
      <c r="BS165" s="127">
        <f>SUM(BS166:BS170)</f>
        <v>0</v>
      </c>
      <c r="BT165" s="127">
        <f>VLOOKUP($C165,'1 预算编制表单'!$C:$BJ,39,FALSE)</f>
        <v>0</v>
      </c>
      <c r="BU165" s="127">
        <f>BT165-BV165</f>
        <v>0</v>
      </c>
      <c r="BV165" s="127">
        <f>SUM(BV166:BV170)</f>
        <v>0</v>
      </c>
      <c r="BW165" s="127">
        <f>VLOOKUP($C165,'1 预算编制表单'!$C:$BJ,42,FALSE)</f>
        <v>0</v>
      </c>
      <c r="BX165" s="127">
        <f>BW165-BY165</f>
        <v>0</v>
      </c>
      <c r="BY165" s="127">
        <f>SUM(BY166:BY170)</f>
        <v>0</v>
      </c>
      <c r="BZ165" s="127">
        <f>VLOOKUP($C165,'1 预算编制表单'!$C:$BJ,45,FALSE)</f>
        <v>0</v>
      </c>
      <c r="CA165" s="127">
        <f>BZ165-CB165</f>
        <v>0</v>
      </c>
      <c r="CB165" s="127">
        <f>SUM(CB166:CB170)</f>
        <v>0</v>
      </c>
      <c r="CC165" s="127">
        <f>VLOOKUP($C165,'1 预算编制表单'!$C:$BJ,48,FALSE)</f>
        <v>0</v>
      </c>
      <c r="CD165" s="127">
        <f>CC165-CE165</f>
        <v>0</v>
      </c>
      <c r="CE165" s="127">
        <f>SUM(CE166:CE170)</f>
        <v>0</v>
      </c>
      <c r="CF165" s="127">
        <f>VLOOKUP($C165,'1 预算编制表单'!$C:$BJ,51,FALSE)</f>
        <v>0</v>
      </c>
      <c r="CG165" s="127">
        <f>CF165-CH165</f>
        <v>0</v>
      </c>
      <c r="CH165" s="127">
        <f>SUM(CH166:CH170)</f>
        <v>0</v>
      </c>
      <c r="CI165" s="127">
        <f>VLOOKUP($C165,'1 预算编制表单'!$C:$BJ,54,FALSE)</f>
        <v>0</v>
      </c>
      <c r="CJ165" s="127">
        <f>CI165-CK165</f>
        <v>0</v>
      </c>
      <c r="CK165" s="127">
        <f>SUM(CK166:CK170)</f>
        <v>0</v>
      </c>
      <c r="CL165" s="127">
        <f>VLOOKUP($C165,'1 预算编制表单'!$C:$BJ,57,FALSE)</f>
        <v>0</v>
      </c>
      <c r="CM165" s="127">
        <f>CL165-CN165</f>
        <v>0</v>
      </c>
      <c r="CN165" s="127">
        <f>SUM(CN166:CN170)</f>
        <v>0</v>
      </c>
      <c r="CO165" s="127">
        <f>VLOOKUP($C165,'1 预算编制表单'!$C:$BJ,60,FALSE)</f>
        <v>0</v>
      </c>
      <c r="CP165" s="127">
        <f>CO165-CQ165</f>
        <v>0</v>
      </c>
      <c r="CQ165" s="127">
        <f>SUM(CQ166:CQ170)</f>
        <v>0</v>
      </c>
    </row>
    <row r="166" s="89" customFormat="1" ht="24" hidden="1" customHeight="1" outlineLevel="4" spans="1:95">
      <c r="A166" s="128"/>
      <c r="B166" s="129"/>
      <c r="C166" s="130" t="s">
        <v>1126</v>
      </c>
      <c r="D166" s="128" t="s">
        <v>2817</v>
      </c>
      <c r="E166" s="129"/>
      <c r="F166" s="129"/>
      <c r="G166" s="129"/>
      <c r="H166" s="131"/>
      <c r="I166" s="131"/>
      <c r="J166" s="131">
        <f t="shared" si="1570"/>
        <v>0</v>
      </c>
      <c r="K166" s="131"/>
      <c r="L166" s="161"/>
      <c r="M166" s="157"/>
      <c r="N166" s="131"/>
      <c r="O166" s="157"/>
      <c r="P166" s="131"/>
      <c r="Q166" s="131"/>
      <c r="R166" s="131"/>
      <c r="S166" s="131"/>
      <c r="T166" s="131"/>
      <c r="U166" s="131"/>
      <c r="V166" s="131"/>
      <c r="W166" s="131"/>
      <c r="X166" s="164"/>
      <c r="Y166" s="164"/>
      <c r="Z166" s="140">
        <f>报销单计算表!B17</f>
        <v>0</v>
      </c>
      <c r="AA166" s="164"/>
      <c r="AB166" s="164"/>
      <c r="AC166" s="140">
        <f>报销单计算表!C17</f>
        <v>0</v>
      </c>
      <c r="AD166" s="164"/>
      <c r="AE166" s="164"/>
      <c r="AF166" s="140">
        <f>报销单计算表!D17</f>
        <v>0</v>
      </c>
      <c r="AG166" s="164"/>
      <c r="AH166" s="164"/>
      <c r="AI166" s="140">
        <f>报销单计算表!E17</f>
        <v>0</v>
      </c>
      <c r="AJ166" s="164"/>
      <c r="AK166" s="164"/>
      <c r="AL166" s="140">
        <f>报销单计算表!F17</f>
        <v>0</v>
      </c>
      <c r="AM166" s="164"/>
      <c r="AN166" s="164"/>
      <c r="AO166" s="140">
        <f>报销单计算表!G17</f>
        <v>0</v>
      </c>
      <c r="AP166" s="164"/>
      <c r="AQ166" s="164"/>
      <c r="AR166" s="140">
        <f>报销单计算表!H17</f>
        <v>0</v>
      </c>
      <c r="AS166" s="164"/>
      <c r="AT166" s="164"/>
      <c r="AU166" s="140">
        <f>报销单计算表!I17</f>
        <v>0</v>
      </c>
      <c r="AV166" s="164"/>
      <c r="AW166" s="164"/>
      <c r="AX166" s="140">
        <f>报销单计算表!J17</f>
        <v>0</v>
      </c>
      <c r="AY166" s="164"/>
      <c r="AZ166" s="164"/>
      <c r="BA166" s="140">
        <f>报销单计算表!K17</f>
        <v>0</v>
      </c>
      <c r="BB166" s="164"/>
      <c r="BC166" s="164"/>
      <c r="BD166" s="140">
        <f>报销单计算表!L17</f>
        <v>0</v>
      </c>
      <c r="BE166" s="164"/>
      <c r="BF166" s="164"/>
      <c r="BG166" s="140">
        <f>报销单计算表!M17</f>
        <v>0</v>
      </c>
      <c r="BH166" s="164"/>
      <c r="BI166" s="164"/>
      <c r="BJ166" s="140"/>
      <c r="BK166" s="164"/>
      <c r="BL166" s="164"/>
      <c r="BM166" s="140"/>
      <c r="BN166" s="164"/>
      <c r="BO166" s="164"/>
      <c r="BP166" s="140"/>
      <c r="BQ166" s="164"/>
      <c r="BR166" s="164"/>
      <c r="BS166" s="140"/>
      <c r="BT166" s="164"/>
      <c r="BU166" s="164"/>
      <c r="BV166" s="140"/>
      <c r="BW166" s="164"/>
      <c r="BX166" s="164"/>
      <c r="BY166" s="140"/>
      <c r="BZ166" s="164"/>
      <c r="CA166" s="164"/>
      <c r="CB166" s="140"/>
      <c r="CC166" s="164"/>
      <c r="CD166" s="164"/>
      <c r="CE166" s="140"/>
      <c r="CF166" s="164"/>
      <c r="CG166" s="164"/>
      <c r="CH166" s="140"/>
      <c r="CI166" s="164"/>
      <c r="CJ166" s="164"/>
      <c r="CK166" s="140"/>
      <c r="CL166" s="164"/>
      <c r="CM166" s="164"/>
      <c r="CN166" s="140"/>
      <c r="CO166" s="164"/>
      <c r="CP166" s="164"/>
      <c r="CQ166" s="140"/>
    </row>
    <row r="167" s="89" customFormat="1" ht="24" hidden="1" customHeight="1" outlineLevel="4" spans="1:95">
      <c r="A167" s="128"/>
      <c r="B167" s="129"/>
      <c r="C167" s="130"/>
      <c r="D167" s="128"/>
      <c r="E167" s="129"/>
      <c r="F167" s="129"/>
      <c r="G167" s="129"/>
      <c r="H167" s="131"/>
      <c r="I167" s="131"/>
      <c r="J167" s="131">
        <f t="shared" si="1570"/>
        <v>0</v>
      </c>
      <c r="K167" s="131">
        <f t="shared" ref="K167:K169" si="1966">K166+1</f>
        <v>1</v>
      </c>
      <c r="L167" s="156"/>
      <c r="M167" s="157">
        <f>IFERROR(VLOOKUP($L167,'2-2 引出数据_合同数据仓库'!$B$5:$BP$200,3,FALSE),0)</f>
        <v>0</v>
      </c>
      <c r="N167" s="131"/>
      <c r="O167" s="157">
        <f>IFERROR(VLOOKUP((LEFT(VLOOKUP($L167,'2-2 引出数据_合同数据仓库'!$B$5:$BP$200,64,FALSE),15)&amp;(RIGHT(VLOOKUP($L167,'2-2 引出数据_合同数据仓库'!$B$5:$BP$200,64,FALSE),4)+1)),'2-2 引出数据_合同数据仓库'!$B$5:$BP$200,3,FALSE),0)</f>
        <v>0</v>
      </c>
      <c r="P167" s="131"/>
      <c r="Q167" s="131">
        <f>IFERROR(VLOOKUP($L167,'2-2 引出数据_合同数据仓库'!$B$5:$BP$200,28,FALSE),0)</f>
        <v>0</v>
      </c>
      <c r="R167" s="131">
        <f>IFERROR(VLOOKUP($L167,'2-2 引出数据_合同数据仓库'!$B$5:$BP$200,29,FALSE),0)</f>
        <v>0</v>
      </c>
      <c r="S167" s="131">
        <f>IFERROR(VLOOKUP($L167,'2-2 引出数据_合同数据仓库'!$B$5:$BP$200,4,FALSE),0)</f>
        <v>0</v>
      </c>
      <c r="T167" s="131"/>
      <c r="U167" s="131">
        <f>IFERROR(VLOOKUP($L167,'2-2 引出数据_合同数据仓库'!$B$5:$BP$200,15,FALSE),0)</f>
        <v>0</v>
      </c>
      <c r="V167" s="131">
        <f t="shared" ref="V167:V169" si="1967">U167/(S167-R167+1)*365</f>
        <v>0</v>
      </c>
      <c r="W167" s="131"/>
      <c r="X167" s="163">
        <v>45658</v>
      </c>
      <c r="Y167" s="163">
        <f t="shared" ref="Y167:Y169" si="1968">X167+30</f>
        <v>45688</v>
      </c>
      <c r="Z167" s="167">
        <f t="shared" ref="Z167:Z169" si="1969">IFERROR(IF(($R167-Y167)&gt;=0,0,IF(($S167-X167)&lt;0,0,IF(AND(($S167-Y167)&gt;0,(X167-$R167)&gt;0),$V167/365*(Y167-X167+1),IF(AND(($S167-Y167)&lt;=0,(X167-$R167)&gt;0),$V167/365*($S167-X167+1),$V167/365*(Y167-$R167+1))))),0)</f>
        <v>0</v>
      </c>
      <c r="AA167" s="163">
        <f t="shared" ref="AA167:AA169" si="1970">Y167+1</f>
        <v>45689</v>
      </c>
      <c r="AB167" s="163">
        <f t="shared" ref="AB167:AB169" si="1971">AA167+27</f>
        <v>45716</v>
      </c>
      <c r="AC167" s="167">
        <f t="shared" ref="AC167:AC169" si="1972">IFERROR(IF(($R167-AB167)&gt;=0,0,IF(($S167-AA167)&lt;0,0,IF(AND(($S167-AB167)&gt;0,(AA167-$R167)&gt;0),$V167/365*(AB167-AA167+1),IF(AND(($S167-AB167)&lt;=0,(AA167-$R167)&gt;0),$V167/365*($S167-AA167+1),$V167/365*(AB167-$R167+1))))),0)</f>
        <v>0</v>
      </c>
      <c r="AD167" s="163">
        <f t="shared" ref="AD167:AD169" si="1973">AB167+1</f>
        <v>45717</v>
      </c>
      <c r="AE167" s="163">
        <f t="shared" ref="AE167:AE169" si="1974">AD167+30</f>
        <v>45747</v>
      </c>
      <c r="AF167" s="167">
        <f t="shared" ref="AF167:AF169" si="1975">IFERROR(IF(($R167-AE167)&gt;=0,0,IF(($S167-AD167)&lt;0,0,IF(AND(($S167-AE167)&gt;0,(AD167-$R167)&gt;0),$V167/365*(AE167-AD167+1),IF(AND(($S167-AE167)&lt;=0,(AD167-$R167)&gt;0),$V167/365*($S167-AD167+1),$V167/365*(AE167-$R167+1))))),0)</f>
        <v>0</v>
      </c>
      <c r="AG167" s="163">
        <f t="shared" ref="AG167:AG169" si="1976">AE167+1</f>
        <v>45748</v>
      </c>
      <c r="AH167" s="163">
        <f t="shared" ref="AH167:AH169" si="1977">AG167+29</f>
        <v>45777</v>
      </c>
      <c r="AI167" s="167">
        <f t="shared" ref="AI167:AI169" si="1978">IFERROR(IF(($R167-AH167)&gt;=0,0,IF(($S167-AG167)&lt;0,0,IF(AND(($S167-AH167)&gt;0,(AG167-$R167)&gt;0),$V167/365*(AH167-AG167+1),IF(AND(($S167-AH167)&lt;=0,(AG167-$R167)&gt;0),$V167/365*($S167-AG167+1),$V167/365*(AH167-$R167+1))))),0)</f>
        <v>0</v>
      </c>
      <c r="AJ167" s="163">
        <f t="shared" ref="AJ167:AJ169" si="1979">AH167+1</f>
        <v>45778</v>
      </c>
      <c r="AK167" s="163">
        <f t="shared" ref="AK167:AK169" si="1980">AJ167+30</f>
        <v>45808</v>
      </c>
      <c r="AL167" s="167">
        <f t="shared" ref="AL167:AL169" si="1981">IFERROR(IF(($R167-AK167)&gt;=0,0,IF(($S167-AJ167)&lt;0,0,IF(AND(($S167-AK167)&gt;0,(AJ167-$R167)&gt;0),$V167/365*(AK167-AJ167+1),IF(AND(($S167-AK167)&lt;=0,(AJ167-$R167)&gt;0),$V167/365*($S167-AJ167+1),$V167/365*(AK167-$R167+1))))),0)</f>
        <v>0</v>
      </c>
      <c r="AM167" s="163">
        <f t="shared" ref="AM167:AM169" si="1982">AK167+1</f>
        <v>45809</v>
      </c>
      <c r="AN167" s="163">
        <f t="shared" ref="AN167:AN169" si="1983">AM167+29</f>
        <v>45838</v>
      </c>
      <c r="AO167" s="167">
        <f t="shared" ref="AO167:AO169" si="1984">IFERROR(IF(($R167-AN167)&gt;=0,0,IF(($S167-AM167)&lt;0,0,IF(AND(($S167-AN167)&gt;0,(AM167-$R167)&gt;0),$V167/365*(AN167-AM167+1),IF(AND(($S167-AN167)&lt;=0,(AM167-$R167)&gt;0),$V167/365*($S167-AM167+1),$V167/365*(AN167-$R167+1))))),0)</f>
        <v>0</v>
      </c>
      <c r="AP167" s="163">
        <f t="shared" ref="AP167:AP169" si="1985">AN167+1</f>
        <v>45839</v>
      </c>
      <c r="AQ167" s="163">
        <f t="shared" ref="AQ167:AQ169" si="1986">AP167+30</f>
        <v>45869</v>
      </c>
      <c r="AR167" s="167">
        <f t="shared" ref="AR167:AR169" si="1987">IFERROR(IF(($R167-AQ167)&gt;=0,0,IF(($S167-AP167)&lt;0,0,IF(AND(($S167-AQ167)&gt;0,(AP167-$R167)&gt;0),$V167/365*(AQ167-AP167+1),IF(AND(($S167-AQ167)&lt;=0,(AP167-$R167)&gt;0),$V167/365*($S167-AP167+1),$V167/365*(AQ167-$R167+1))))),0)</f>
        <v>0</v>
      </c>
      <c r="AS167" s="163">
        <f t="shared" ref="AS167:AS169" si="1988">AQ167+1</f>
        <v>45870</v>
      </c>
      <c r="AT167" s="163">
        <f t="shared" ref="AT167:AT169" si="1989">AS167+30</f>
        <v>45900</v>
      </c>
      <c r="AU167" s="167">
        <f t="shared" ref="AU167:AU169" si="1990">IFERROR(IF(($R167-AT167)&gt;=0,0,IF(($S167-AS167)&lt;0,0,IF(AND(($S167-AT167)&gt;0,(AS167-$R167)&gt;0),$V167/365*(AT167-AS167+1),IF(AND(($S167-AT167)&lt;=0,(AS167-$R167)&gt;0),$V167/365*($S167-AS167+1),$V167/365*(AT167-$R167+1))))),0)</f>
        <v>0</v>
      </c>
      <c r="AV167" s="163">
        <f t="shared" ref="AV167:AV169" si="1991">AT167+1</f>
        <v>45901</v>
      </c>
      <c r="AW167" s="163">
        <f t="shared" ref="AW167:AW169" si="1992">AV167+29</f>
        <v>45930</v>
      </c>
      <c r="AX167" s="167">
        <f t="shared" ref="AX167:AX169" si="1993">IFERROR(IF(($R167-AW167)&gt;=0,0,IF(($S167-AV167)&lt;0,0,IF(AND(($S167-AW167)&gt;0,(AV167-$R167)&gt;0),$V167/365*(AW167-AV167+1),IF(AND(($S167-AW167)&lt;=0,(AV167-$R167)&gt;0),$V167/365*($S167-AV167+1),$V167/365*(AW167-$R167+1))))),0)</f>
        <v>0</v>
      </c>
      <c r="AY167" s="163">
        <f t="shared" ref="AY167:AY169" si="1994">AW167+1</f>
        <v>45931</v>
      </c>
      <c r="AZ167" s="163">
        <f t="shared" ref="AZ167:AZ169" si="1995">AY167+30</f>
        <v>45961</v>
      </c>
      <c r="BA167" s="167">
        <f t="shared" ref="BA167:BA169" si="1996">IFERROR(IF(($R167-AZ167)&gt;=0,0,IF(($S167-AY167)&lt;0,0,IF(AND(($S167-AZ167)&gt;0,(AY167-$R167)&gt;0),$V167/365*(AZ167-AY167+1),IF(AND(($S167-AZ167)&lt;=0,(AY167-$R167)&gt;0),$V167/365*($S167-AY167+1),$V167/365*(AZ167-$R167+1))))),0)</f>
        <v>0</v>
      </c>
      <c r="BB167" s="163">
        <f t="shared" ref="BB167:BB169" si="1997">AZ167+1</f>
        <v>45962</v>
      </c>
      <c r="BC167" s="163">
        <f t="shared" ref="BC167:BC169" si="1998">BB167+29</f>
        <v>45991</v>
      </c>
      <c r="BD167" s="167">
        <f t="shared" ref="BD167:BD169" si="1999">IFERROR(IF(($R167-BC167)&gt;=0,0,IF(($S167-BB167)&lt;0,0,IF(AND(($S167-BC167)&gt;0,(BB167-$R167)&gt;0),$V167/365*(BC167-BB167+1),IF(AND(($S167-BC167)&lt;=0,(BB167-$R167)&gt;0),$V167/365*($S167-BB167+1),$V167/365*(BC167-$R167+1))))),0)</f>
        <v>0</v>
      </c>
      <c r="BE167" s="163">
        <f t="shared" ref="BE167:BE169" si="2000">BC167+1</f>
        <v>45992</v>
      </c>
      <c r="BF167" s="163">
        <f t="shared" ref="BF167:BF169" si="2001">BE167+30</f>
        <v>46022</v>
      </c>
      <c r="BG167" s="167">
        <f t="shared" ref="BG167:BG169" si="2002">IFERROR(IF(($R167-BF167)&gt;=0,0,IF(($S167-BE167)&lt;0,0,IF(AND(($S167-BF167)&gt;0,(BE167-$R167)&gt;0),$V167/365*(BF167-BE167+1),IF(AND(($S167-BF167)&lt;=0,(BE167-$R167)&gt;0),$V167/365*($S167-BE167+1),$V167/365*(BF167-$R167+1))))),0)</f>
        <v>0</v>
      </c>
      <c r="BH167" s="163">
        <v>46023</v>
      </c>
      <c r="BI167" s="163">
        <f t="shared" ref="BI167:BI169" si="2003">BH167+30</f>
        <v>46053</v>
      </c>
      <c r="BJ167" s="167">
        <f t="shared" ref="BJ167:BJ169" si="2004">IFERROR(IF(($R167-BI167)&gt;=0,0,IF(($S167-BH167)&lt;0,0,IF(AND(($S167-BI167)&gt;0,(BH167-$R167)&gt;0),$V167/365*(BI167-BH167+1),IF(AND(($S167-BI167)&lt;=0,(BH167-$R167)&gt;0),$V167/365*($S167-BH167+1),$V167/365*(BI167-$R167+1))))),0)</f>
        <v>0</v>
      </c>
      <c r="BK167" s="163">
        <f t="shared" ref="BK167:BK169" si="2005">BI167+1</f>
        <v>46054</v>
      </c>
      <c r="BL167" s="163">
        <f t="shared" ref="BL167:BL169" si="2006">BK167+27</f>
        <v>46081</v>
      </c>
      <c r="BM167" s="167">
        <f t="shared" ref="BM167:BM169" si="2007">IFERROR(IF(($R167-BL167)&gt;=0,0,IF(($S167-BK167)&lt;0,0,IF(AND(($S167-BL167)&gt;0,(BK167-$R167)&gt;0),$V167/365*(BL167-BK167+1),IF(AND(($S167-BL167)&lt;=0,(BK167-$R167)&gt;0),$V167/365*($S167-BK167+1),$V167/365*(BL167-$R167+1))))),0)</f>
        <v>0</v>
      </c>
      <c r="BN167" s="163">
        <f t="shared" ref="BN167:BN169" si="2008">BL167+1</f>
        <v>46082</v>
      </c>
      <c r="BO167" s="163">
        <f t="shared" ref="BO167:BO169" si="2009">BN167+30</f>
        <v>46112</v>
      </c>
      <c r="BP167" s="167">
        <f t="shared" ref="BP167:BP169" si="2010">IFERROR(IF(($R167-BO167)&gt;=0,0,IF(($S167-BN167)&lt;0,0,IF(AND(($S167-BO167)&gt;0,(BN167-$R167)&gt;0),$V167/365*(BO167-BN167+1),IF(AND(($S167-BO167)&lt;=0,(BN167-$R167)&gt;0),$V167/365*($S167-BN167+1),$V167/365*(BO167-$R167+1))))),0)</f>
        <v>0</v>
      </c>
      <c r="BQ167" s="163">
        <f t="shared" ref="BQ167:BQ169" si="2011">BO167+1</f>
        <v>46113</v>
      </c>
      <c r="BR167" s="163">
        <f t="shared" ref="BR167:BR169" si="2012">BQ167+29</f>
        <v>46142</v>
      </c>
      <c r="BS167" s="167">
        <f t="shared" ref="BS167:BS169" si="2013">IFERROR(IF(($R167-BR167)&gt;=0,0,IF(($S167-BQ167)&lt;0,0,IF(AND(($S167-BR167)&gt;0,(BQ167-$R167)&gt;0),$V167/365*(BR167-BQ167+1),IF(AND(($S167-BR167)&lt;=0,(BQ167-$R167)&gt;0),$V167/365*($S167-BQ167+1),$V167/365*(BR167-$R167+1))))),0)</f>
        <v>0</v>
      </c>
      <c r="BT167" s="163">
        <f t="shared" ref="BT167:BT169" si="2014">BR167+1</f>
        <v>46143</v>
      </c>
      <c r="BU167" s="163">
        <f t="shared" ref="BU167:BU169" si="2015">BT167+30</f>
        <v>46173</v>
      </c>
      <c r="BV167" s="167">
        <f t="shared" ref="BV167:BV169" si="2016">IFERROR(IF(($R167-BU167)&gt;=0,0,IF(($S167-BT167)&lt;0,0,IF(AND(($S167-BU167)&gt;0,(BT167-$R167)&gt;0),$V167/365*(BU167-BT167+1),IF(AND(($S167-BU167)&lt;=0,(BT167-$R167)&gt;0),$V167/365*($S167-BT167+1),$V167/365*(BU167-$R167+1))))),0)</f>
        <v>0</v>
      </c>
      <c r="BW167" s="163">
        <f t="shared" ref="BW167:BW169" si="2017">BU167+1</f>
        <v>46174</v>
      </c>
      <c r="BX167" s="163">
        <f t="shared" ref="BX167:BX169" si="2018">BW167+29</f>
        <v>46203</v>
      </c>
      <c r="BY167" s="167">
        <f t="shared" ref="BY167:BY169" si="2019">IFERROR(IF(($R167-BX167)&gt;=0,0,IF(($S167-BW167)&lt;0,0,IF(AND(($S167-BX167)&gt;0,(BW167-$R167)&gt;0),$V167/365*(BX167-BW167+1),IF(AND(($S167-BX167)&lt;=0,(BW167-$R167)&gt;0),$V167/365*($S167-BW167+1),$V167/365*(BX167-$R167+1))))),0)</f>
        <v>0</v>
      </c>
      <c r="BZ167" s="163">
        <f t="shared" ref="BZ167:BZ169" si="2020">BX167+1</f>
        <v>46204</v>
      </c>
      <c r="CA167" s="163">
        <f t="shared" ref="CA167:CA169" si="2021">BZ167+30</f>
        <v>46234</v>
      </c>
      <c r="CB167" s="167">
        <f t="shared" ref="CB167:CB169" si="2022">IFERROR(IF(($R167-CA167)&gt;=0,0,IF(($S167-BZ167)&lt;0,0,IF(AND(($S167-CA167)&gt;0,(BZ167-$R167)&gt;0),$V167/365*(CA167-BZ167+1),IF(AND(($S167-CA167)&lt;=0,(BZ167-$R167)&gt;0),$V167/365*($S167-BZ167+1),$V167/365*(CA167-$R167+1))))),0)</f>
        <v>0</v>
      </c>
      <c r="CC167" s="163">
        <f t="shared" ref="CC167:CC169" si="2023">CA167+1</f>
        <v>46235</v>
      </c>
      <c r="CD167" s="163">
        <f t="shared" ref="CD167:CD169" si="2024">CC167+30</f>
        <v>46265</v>
      </c>
      <c r="CE167" s="167">
        <f t="shared" ref="CE167:CE169" si="2025">IFERROR(IF(($R167-CD167)&gt;=0,0,IF(($S167-CC167)&lt;0,0,IF(AND(($S167-CD167)&gt;0,(CC167-$R167)&gt;0),$V167/365*(CD167-CC167+1),IF(AND(($S167-CD167)&lt;=0,(CC167-$R167)&gt;0),$V167/365*($S167-CC167+1),$V167/365*(CD167-$R167+1))))),0)</f>
        <v>0</v>
      </c>
      <c r="CF167" s="163">
        <f t="shared" ref="CF167:CF169" si="2026">CD167+1</f>
        <v>46266</v>
      </c>
      <c r="CG167" s="163">
        <f t="shared" ref="CG167:CG169" si="2027">CF167+29</f>
        <v>46295</v>
      </c>
      <c r="CH167" s="167">
        <f t="shared" ref="CH167:CH169" si="2028">IFERROR(IF(($R167-CG167)&gt;=0,0,IF(($S167-CF167)&lt;0,0,IF(AND(($S167-CG167)&gt;0,(CF167-$R167)&gt;0),$V167/365*(CG167-CF167+1),IF(AND(($S167-CG167)&lt;=0,(CF167-$R167)&gt;0),$V167/365*($S167-CF167+1),$V167/365*(CG167-$R167+1))))),0)</f>
        <v>0</v>
      </c>
      <c r="CI167" s="163">
        <f t="shared" ref="CI167:CI169" si="2029">CG167+1</f>
        <v>46296</v>
      </c>
      <c r="CJ167" s="163">
        <f t="shared" ref="CJ167:CJ169" si="2030">CI167+30</f>
        <v>46326</v>
      </c>
      <c r="CK167" s="167">
        <f t="shared" ref="CK167:CK169" si="2031">IFERROR(IF(($R167-CJ167)&gt;=0,0,IF(($S167-CI167)&lt;0,0,IF(AND(($S167-CJ167)&gt;0,(CI167-$R167)&gt;0),$V167/365*(CJ167-CI167+1),IF(AND(($S167-CJ167)&lt;=0,(CI167-$R167)&gt;0),$V167/365*($S167-CI167+1),$V167/365*(CJ167-$R167+1))))),0)</f>
        <v>0</v>
      </c>
      <c r="CL167" s="163">
        <f t="shared" ref="CL167:CL169" si="2032">CJ167+1</f>
        <v>46327</v>
      </c>
      <c r="CM167" s="163">
        <f t="shared" ref="CM167:CM169" si="2033">CL167+29</f>
        <v>46356</v>
      </c>
      <c r="CN167" s="167">
        <f t="shared" ref="CN167:CN169" si="2034">IFERROR(IF(($R167-CM167)&gt;=0,0,IF(($S167-CL167)&lt;0,0,IF(AND(($S167-CM167)&gt;0,(CL167-$R167)&gt;0),$V167/365*(CM167-CL167+1),IF(AND(($S167-CM167)&lt;=0,(CL167-$R167)&gt;0),$V167/365*($S167-CL167+1),$V167/365*(CM167-$R167+1))))),0)</f>
        <v>0</v>
      </c>
      <c r="CO167" s="163">
        <f t="shared" ref="CO167:CO169" si="2035">CM167+1</f>
        <v>46357</v>
      </c>
      <c r="CP167" s="163">
        <f t="shared" ref="CP167:CP169" si="2036">CO167+30</f>
        <v>46387</v>
      </c>
      <c r="CQ167" s="167">
        <f t="shared" ref="CQ167:CQ169" si="2037">IFERROR(IF(($R167-CP167)&gt;=0,0,IF(($S167-CO167)&lt;0,0,IF(AND(($S167-CP167)&gt;0,(CO167-$R167)&gt;0),$V167/365*(CP167-CO167+1),IF(AND(($S167-CP167)&lt;=0,(CO167-$R167)&gt;0),$V167/365*($S167-CO167+1),$V167/365*(CP167-$R167+1))))),0)</f>
        <v>0</v>
      </c>
    </row>
    <row r="168" s="89" customFormat="1" ht="24" hidden="1" customHeight="1" outlineLevel="4" spans="1:95">
      <c r="A168" s="128"/>
      <c r="B168" s="129"/>
      <c r="C168" s="130"/>
      <c r="D168" s="128"/>
      <c r="E168" s="129"/>
      <c r="F168" s="129"/>
      <c r="G168" s="129"/>
      <c r="H168" s="131"/>
      <c r="I168" s="131"/>
      <c r="J168" s="131">
        <f t="shared" si="1570"/>
        <v>0</v>
      </c>
      <c r="K168" s="131">
        <f t="shared" si="1966"/>
        <v>2</v>
      </c>
      <c r="L168" s="156"/>
      <c r="M168" s="157">
        <f>IFERROR(VLOOKUP($L168,'2-2 引出数据_合同数据仓库'!$B$5:$BP$200,3,FALSE),0)</f>
        <v>0</v>
      </c>
      <c r="N168" s="131"/>
      <c r="O168" s="157">
        <f>IFERROR(VLOOKUP((LEFT(VLOOKUP($L168,'2-2 引出数据_合同数据仓库'!$B$5:$BP$200,64,FALSE),15)&amp;(RIGHT(VLOOKUP($L168,'2-2 引出数据_合同数据仓库'!$B$5:$BP$200,64,FALSE),4)+1)),'2-2 引出数据_合同数据仓库'!$B$5:$BP$200,3,FALSE),0)</f>
        <v>0</v>
      </c>
      <c r="P168" s="131"/>
      <c r="Q168" s="131">
        <f>IFERROR(VLOOKUP($L168,'2-2 引出数据_合同数据仓库'!$B$5:$BP$200,28,FALSE),0)</f>
        <v>0</v>
      </c>
      <c r="R168" s="131">
        <f>IFERROR(VLOOKUP($L168,'2-2 引出数据_合同数据仓库'!$B$5:$BP$200,29,FALSE),0)</f>
        <v>0</v>
      </c>
      <c r="S168" s="131">
        <f>IFERROR(VLOOKUP($L168,'2-2 引出数据_合同数据仓库'!$B$5:$BP$200,4,FALSE),0)</f>
        <v>0</v>
      </c>
      <c r="T168" s="131"/>
      <c r="U168" s="131">
        <f>IFERROR(VLOOKUP($L168,'2-2 引出数据_合同数据仓库'!$B$5:$BP$200,15,FALSE),0)</f>
        <v>0</v>
      </c>
      <c r="V168" s="131">
        <f t="shared" si="1967"/>
        <v>0</v>
      </c>
      <c r="W168" s="131"/>
      <c r="X168" s="163">
        <v>45658</v>
      </c>
      <c r="Y168" s="163">
        <f t="shared" si="1968"/>
        <v>45688</v>
      </c>
      <c r="Z168" s="167">
        <f t="shared" si="1969"/>
        <v>0</v>
      </c>
      <c r="AA168" s="163">
        <f t="shared" si="1970"/>
        <v>45689</v>
      </c>
      <c r="AB168" s="163">
        <f t="shared" si="1971"/>
        <v>45716</v>
      </c>
      <c r="AC168" s="167">
        <f t="shared" si="1972"/>
        <v>0</v>
      </c>
      <c r="AD168" s="163">
        <f t="shared" si="1973"/>
        <v>45717</v>
      </c>
      <c r="AE168" s="163">
        <f t="shared" si="1974"/>
        <v>45747</v>
      </c>
      <c r="AF168" s="167">
        <f t="shared" si="1975"/>
        <v>0</v>
      </c>
      <c r="AG168" s="163">
        <f t="shared" si="1976"/>
        <v>45748</v>
      </c>
      <c r="AH168" s="163">
        <f t="shared" si="1977"/>
        <v>45777</v>
      </c>
      <c r="AI168" s="167">
        <f t="shared" si="1978"/>
        <v>0</v>
      </c>
      <c r="AJ168" s="163">
        <f t="shared" si="1979"/>
        <v>45778</v>
      </c>
      <c r="AK168" s="163">
        <f t="shared" si="1980"/>
        <v>45808</v>
      </c>
      <c r="AL168" s="167">
        <f t="shared" si="1981"/>
        <v>0</v>
      </c>
      <c r="AM168" s="163">
        <f t="shared" si="1982"/>
        <v>45809</v>
      </c>
      <c r="AN168" s="163">
        <f t="shared" si="1983"/>
        <v>45838</v>
      </c>
      <c r="AO168" s="167">
        <f t="shared" si="1984"/>
        <v>0</v>
      </c>
      <c r="AP168" s="163">
        <f t="shared" si="1985"/>
        <v>45839</v>
      </c>
      <c r="AQ168" s="163">
        <f t="shared" si="1986"/>
        <v>45869</v>
      </c>
      <c r="AR168" s="167">
        <f t="shared" si="1987"/>
        <v>0</v>
      </c>
      <c r="AS168" s="163">
        <f t="shared" si="1988"/>
        <v>45870</v>
      </c>
      <c r="AT168" s="163">
        <f t="shared" si="1989"/>
        <v>45900</v>
      </c>
      <c r="AU168" s="167">
        <f t="shared" si="1990"/>
        <v>0</v>
      </c>
      <c r="AV168" s="163">
        <f t="shared" si="1991"/>
        <v>45901</v>
      </c>
      <c r="AW168" s="163">
        <f t="shared" si="1992"/>
        <v>45930</v>
      </c>
      <c r="AX168" s="167">
        <f t="shared" si="1993"/>
        <v>0</v>
      </c>
      <c r="AY168" s="163">
        <f t="shared" si="1994"/>
        <v>45931</v>
      </c>
      <c r="AZ168" s="163">
        <f t="shared" si="1995"/>
        <v>45961</v>
      </c>
      <c r="BA168" s="167">
        <f t="shared" si="1996"/>
        <v>0</v>
      </c>
      <c r="BB168" s="163">
        <f t="shared" si="1997"/>
        <v>45962</v>
      </c>
      <c r="BC168" s="163">
        <f t="shared" si="1998"/>
        <v>45991</v>
      </c>
      <c r="BD168" s="167">
        <f t="shared" si="1999"/>
        <v>0</v>
      </c>
      <c r="BE168" s="163">
        <f t="shared" si="2000"/>
        <v>45992</v>
      </c>
      <c r="BF168" s="163">
        <f t="shared" si="2001"/>
        <v>46022</v>
      </c>
      <c r="BG168" s="167">
        <f t="shared" si="2002"/>
        <v>0</v>
      </c>
      <c r="BH168" s="163">
        <v>46023</v>
      </c>
      <c r="BI168" s="163">
        <f t="shared" si="2003"/>
        <v>46053</v>
      </c>
      <c r="BJ168" s="167">
        <f t="shared" si="2004"/>
        <v>0</v>
      </c>
      <c r="BK168" s="163">
        <f t="shared" si="2005"/>
        <v>46054</v>
      </c>
      <c r="BL168" s="163">
        <f t="shared" si="2006"/>
        <v>46081</v>
      </c>
      <c r="BM168" s="167">
        <f t="shared" si="2007"/>
        <v>0</v>
      </c>
      <c r="BN168" s="163">
        <f t="shared" si="2008"/>
        <v>46082</v>
      </c>
      <c r="BO168" s="163">
        <f t="shared" si="2009"/>
        <v>46112</v>
      </c>
      <c r="BP168" s="167">
        <f t="shared" si="2010"/>
        <v>0</v>
      </c>
      <c r="BQ168" s="163">
        <f t="shared" si="2011"/>
        <v>46113</v>
      </c>
      <c r="BR168" s="163">
        <f t="shared" si="2012"/>
        <v>46142</v>
      </c>
      <c r="BS168" s="167">
        <f t="shared" si="2013"/>
        <v>0</v>
      </c>
      <c r="BT168" s="163">
        <f t="shared" si="2014"/>
        <v>46143</v>
      </c>
      <c r="BU168" s="163">
        <f t="shared" si="2015"/>
        <v>46173</v>
      </c>
      <c r="BV168" s="167">
        <f t="shared" si="2016"/>
        <v>0</v>
      </c>
      <c r="BW168" s="163">
        <f t="shared" si="2017"/>
        <v>46174</v>
      </c>
      <c r="BX168" s="163">
        <f t="shared" si="2018"/>
        <v>46203</v>
      </c>
      <c r="BY168" s="167">
        <f t="shared" si="2019"/>
        <v>0</v>
      </c>
      <c r="BZ168" s="163">
        <f t="shared" si="2020"/>
        <v>46204</v>
      </c>
      <c r="CA168" s="163">
        <f t="shared" si="2021"/>
        <v>46234</v>
      </c>
      <c r="CB168" s="167">
        <f t="shared" si="2022"/>
        <v>0</v>
      </c>
      <c r="CC168" s="163">
        <f t="shared" si="2023"/>
        <v>46235</v>
      </c>
      <c r="CD168" s="163">
        <f t="shared" si="2024"/>
        <v>46265</v>
      </c>
      <c r="CE168" s="167">
        <f t="shared" si="2025"/>
        <v>0</v>
      </c>
      <c r="CF168" s="163">
        <f t="shared" si="2026"/>
        <v>46266</v>
      </c>
      <c r="CG168" s="163">
        <f t="shared" si="2027"/>
        <v>46295</v>
      </c>
      <c r="CH168" s="167">
        <f t="shared" si="2028"/>
        <v>0</v>
      </c>
      <c r="CI168" s="163">
        <f t="shared" si="2029"/>
        <v>46296</v>
      </c>
      <c r="CJ168" s="163">
        <f t="shared" si="2030"/>
        <v>46326</v>
      </c>
      <c r="CK168" s="167">
        <f t="shared" si="2031"/>
        <v>0</v>
      </c>
      <c r="CL168" s="163">
        <f t="shared" si="2032"/>
        <v>46327</v>
      </c>
      <c r="CM168" s="163">
        <f t="shared" si="2033"/>
        <v>46356</v>
      </c>
      <c r="CN168" s="167">
        <f t="shared" si="2034"/>
        <v>0</v>
      </c>
      <c r="CO168" s="163">
        <f t="shared" si="2035"/>
        <v>46357</v>
      </c>
      <c r="CP168" s="163">
        <f t="shared" si="2036"/>
        <v>46387</v>
      </c>
      <c r="CQ168" s="167">
        <f t="shared" si="2037"/>
        <v>0</v>
      </c>
    </row>
    <row r="169" s="89" customFormat="1" ht="24" hidden="1" customHeight="1" outlineLevel="4" spans="1:95">
      <c r="A169" s="128"/>
      <c r="B169" s="129"/>
      <c r="C169" s="130"/>
      <c r="D169" s="128"/>
      <c r="E169" s="129"/>
      <c r="F169" s="129"/>
      <c r="G169" s="129"/>
      <c r="H169" s="131"/>
      <c r="I169" s="131"/>
      <c r="J169" s="131">
        <f t="shared" si="1570"/>
        <v>0</v>
      </c>
      <c r="K169" s="131">
        <f t="shared" si="1966"/>
        <v>3</v>
      </c>
      <c r="L169" s="156"/>
      <c r="M169" s="157">
        <f>IFERROR(VLOOKUP($L169,'2-2 引出数据_合同数据仓库'!$B$5:$BP$200,3,FALSE),0)</f>
        <v>0</v>
      </c>
      <c r="N169" s="131"/>
      <c r="O169" s="157">
        <f>IFERROR(VLOOKUP((LEFT(VLOOKUP($L169,'2-2 引出数据_合同数据仓库'!$B$5:$BP$200,64,FALSE),15)&amp;(RIGHT(VLOOKUP($L169,'2-2 引出数据_合同数据仓库'!$B$5:$BP$200,64,FALSE),4)+1)),'2-2 引出数据_合同数据仓库'!$B$5:$BP$200,3,FALSE),0)</f>
        <v>0</v>
      </c>
      <c r="P169" s="131"/>
      <c r="Q169" s="131">
        <f>IFERROR(VLOOKUP($L169,'2-2 引出数据_合同数据仓库'!$B$5:$BP$200,28,FALSE),0)</f>
        <v>0</v>
      </c>
      <c r="R169" s="131">
        <f>IFERROR(VLOOKUP($L169,'2-2 引出数据_合同数据仓库'!$B$5:$BP$200,29,FALSE),0)</f>
        <v>0</v>
      </c>
      <c r="S169" s="131">
        <f>IFERROR(VLOOKUP($L169,'2-2 引出数据_合同数据仓库'!$B$5:$BP$200,4,FALSE),0)</f>
        <v>0</v>
      </c>
      <c r="T169" s="131"/>
      <c r="U169" s="131">
        <f>IFERROR(VLOOKUP($L169,'2-2 引出数据_合同数据仓库'!$B$5:$BP$200,15,FALSE),0)</f>
        <v>0</v>
      </c>
      <c r="V169" s="131">
        <f t="shared" si="1967"/>
        <v>0</v>
      </c>
      <c r="W169" s="131"/>
      <c r="X169" s="163">
        <v>45658</v>
      </c>
      <c r="Y169" s="163">
        <f t="shared" si="1968"/>
        <v>45688</v>
      </c>
      <c r="Z169" s="167">
        <f t="shared" si="1969"/>
        <v>0</v>
      </c>
      <c r="AA169" s="163">
        <f t="shared" si="1970"/>
        <v>45689</v>
      </c>
      <c r="AB169" s="163">
        <f t="shared" si="1971"/>
        <v>45716</v>
      </c>
      <c r="AC169" s="167">
        <f t="shared" si="1972"/>
        <v>0</v>
      </c>
      <c r="AD169" s="163">
        <f t="shared" si="1973"/>
        <v>45717</v>
      </c>
      <c r="AE169" s="163">
        <f t="shared" si="1974"/>
        <v>45747</v>
      </c>
      <c r="AF169" s="167">
        <f t="shared" si="1975"/>
        <v>0</v>
      </c>
      <c r="AG169" s="163">
        <f t="shared" si="1976"/>
        <v>45748</v>
      </c>
      <c r="AH169" s="163">
        <f t="shared" si="1977"/>
        <v>45777</v>
      </c>
      <c r="AI169" s="167">
        <f t="shared" si="1978"/>
        <v>0</v>
      </c>
      <c r="AJ169" s="163">
        <f t="shared" si="1979"/>
        <v>45778</v>
      </c>
      <c r="AK169" s="163">
        <f t="shared" si="1980"/>
        <v>45808</v>
      </c>
      <c r="AL169" s="167">
        <f t="shared" si="1981"/>
        <v>0</v>
      </c>
      <c r="AM169" s="163">
        <f t="shared" si="1982"/>
        <v>45809</v>
      </c>
      <c r="AN169" s="163">
        <f t="shared" si="1983"/>
        <v>45838</v>
      </c>
      <c r="AO169" s="167">
        <f t="shared" si="1984"/>
        <v>0</v>
      </c>
      <c r="AP169" s="163">
        <f t="shared" si="1985"/>
        <v>45839</v>
      </c>
      <c r="AQ169" s="163">
        <f t="shared" si="1986"/>
        <v>45869</v>
      </c>
      <c r="AR169" s="167">
        <f t="shared" si="1987"/>
        <v>0</v>
      </c>
      <c r="AS169" s="163">
        <f t="shared" si="1988"/>
        <v>45870</v>
      </c>
      <c r="AT169" s="163">
        <f t="shared" si="1989"/>
        <v>45900</v>
      </c>
      <c r="AU169" s="167">
        <f t="shared" si="1990"/>
        <v>0</v>
      </c>
      <c r="AV169" s="163">
        <f t="shared" si="1991"/>
        <v>45901</v>
      </c>
      <c r="AW169" s="163">
        <f t="shared" si="1992"/>
        <v>45930</v>
      </c>
      <c r="AX169" s="167">
        <f t="shared" si="1993"/>
        <v>0</v>
      </c>
      <c r="AY169" s="163">
        <f t="shared" si="1994"/>
        <v>45931</v>
      </c>
      <c r="AZ169" s="163">
        <f t="shared" si="1995"/>
        <v>45961</v>
      </c>
      <c r="BA169" s="167">
        <f t="shared" si="1996"/>
        <v>0</v>
      </c>
      <c r="BB169" s="163">
        <f t="shared" si="1997"/>
        <v>45962</v>
      </c>
      <c r="BC169" s="163">
        <f t="shared" si="1998"/>
        <v>45991</v>
      </c>
      <c r="BD169" s="167">
        <f t="shared" si="1999"/>
        <v>0</v>
      </c>
      <c r="BE169" s="163">
        <f t="shared" si="2000"/>
        <v>45992</v>
      </c>
      <c r="BF169" s="163">
        <f t="shared" si="2001"/>
        <v>46022</v>
      </c>
      <c r="BG169" s="167">
        <f t="shared" si="2002"/>
        <v>0</v>
      </c>
      <c r="BH169" s="163">
        <v>46023</v>
      </c>
      <c r="BI169" s="163">
        <f t="shared" si="2003"/>
        <v>46053</v>
      </c>
      <c r="BJ169" s="167">
        <f t="shared" si="2004"/>
        <v>0</v>
      </c>
      <c r="BK169" s="163">
        <f t="shared" si="2005"/>
        <v>46054</v>
      </c>
      <c r="BL169" s="163">
        <f t="shared" si="2006"/>
        <v>46081</v>
      </c>
      <c r="BM169" s="167">
        <f t="shared" si="2007"/>
        <v>0</v>
      </c>
      <c r="BN169" s="163">
        <f t="shared" si="2008"/>
        <v>46082</v>
      </c>
      <c r="BO169" s="163">
        <f t="shared" si="2009"/>
        <v>46112</v>
      </c>
      <c r="BP169" s="167">
        <f t="shared" si="2010"/>
        <v>0</v>
      </c>
      <c r="BQ169" s="163">
        <f t="shared" si="2011"/>
        <v>46113</v>
      </c>
      <c r="BR169" s="163">
        <f t="shared" si="2012"/>
        <v>46142</v>
      </c>
      <c r="BS169" s="167">
        <f t="shared" si="2013"/>
        <v>0</v>
      </c>
      <c r="BT169" s="163">
        <f t="shared" si="2014"/>
        <v>46143</v>
      </c>
      <c r="BU169" s="163">
        <f t="shared" si="2015"/>
        <v>46173</v>
      </c>
      <c r="BV169" s="167">
        <f t="shared" si="2016"/>
        <v>0</v>
      </c>
      <c r="BW169" s="163">
        <f t="shared" si="2017"/>
        <v>46174</v>
      </c>
      <c r="BX169" s="163">
        <f t="shared" si="2018"/>
        <v>46203</v>
      </c>
      <c r="BY169" s="167">
        <f t="shared" si="2019"/>
        <v>0</v>
      </c>
      <c r="BZ169" s="163">
        <f t="shared" si="2020"/>
        <v>46204</v>
      </c>
      <c r="CA169" s="163">
        <f t="shared" si="2021"/>
        <v>46234</v>
      </c>
      <c r="CB169" s="167">
        <f t="shared" si="2022"/>
        <v>0</v>
      </c>
      <c r="CC169" s="163">
        <f t="shared" si="2023"/>
        <v>46235</v>
      </c>
      <c r="CD169" s="163">
        <f t="shared" si="2024"/>
        <v>46265</v>
      </c>
      <c r="CE169" s="167">
        <f t="shared" si="2025"/>
        <v>0</v>
      </c>
      <c r="CF169" s="163">
        <f t="shared" si="2026"/>
        <v>46266</v>
      </c>
      <c r="CG169" s="163">
        <f t="shared" si="2027"/>
        <v>46295</v>
      </c>
      <c r="CH169" s="167">
        <f t="shared" si="2028"/>
        <v>0</v>
      </c>
      <c r="CI169" s="163">
        <f t="shared" si="2029"/>
        <v>46296</v>
      </c>
      <c r="CJ169" s="163">
        <f t="shared" si="2030"/>
        <v>46326</v>
      </c>
      <c r="CK169" s="167">
        <f t="shared" si="2031"/>
        <v>0</v>
      </c>
      <c r="CL169" s="163">
        <f t="shared" si="2032"/>
        <v>46327</v>
      </c>
      <c r="CM169" s="163">
        <f t="shared" si="2033"/>
        <v>46356</v>
      </c>
      <c r="CN169" s="167">
        <f t="shared" si="2034"/>
        <v>0</v>
      </c>
      <c r="CO169" s="163">
        <f t="shared" si="2035"/>
        <v>46357</v>
      </c>
      <c r="CP169" s="163">
        <f t="shared" si="2036"/>
        <v>46387</v>
      </c>
      <c r="CQ169" s="167">
        <f t="shared" si="2037"/>
        <v>0</v>
      </c>
    </row>
    <row r="170" s="89" customFormat="1" ht="24" hidden="1" customHeight="1" outlineLevel="4" spans="1:95">
      <c r="A170" s="132" t="s">
        <v>2813</v>
      </c>
      <c r="B170" s="133"/>
      <c r="C170" s="133"/>
      <c r="D170" s="133"/>
      <c r="E170" s="133"/>
      <c r="F170" s="133"/>
      <c r="G170" s="134"/>
      <c r="H170" s="135"/>
      <c r="I170" s="135"/>
      <c r="J170" s="135"/>
      <c r="K170" s="135"/>
      <c r="L170" s="158"/>
      <c r="M170" s="158"/>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c r="CL170" s="135"/>
      <c r="CM170" s="135"/>
      <c r="CN170" s="135"/>
      <c r="CO170" s="135"/>
      <c r="CP170" s="135"/>
      <c r="CQ170" s="135"/>
    </row>
    <row r="171" ht="24" hidden="1" customHeight="1" outlineLevel="3" collapsed="1" spans="1:95">
      <c r="A171" s="124"/>
      <c r="B171" s="125" t="s">
        <v>792</v>
      </c>
      <c r="C171" s="126" t="s">
        <v>1132</v>
      </c>
      <c r="D171" s="124" t="s">
        <v>19</v>
      </c>
      <c r="E171" s="125"/>
      <c r="F171" s="125"/>
      <c r="G171" s="125"/>
      <c r="H171" s="127">
        <f>X171+AA171+AD171+AG171+AJ171+AM171+AP171+AS171+AV171+AY171+BB171+BE171</f>
        <v>0</v>
      </c>
      <c r="I171" s="127">
        <f>Y171+AB171+AE171+AH171+AK171+AN171+AQ171+AT171+AW171+AZ171+BC171+BF171</f>
        <v>0</v>
      </c>
      <c r="J171" s="127">
        <f t="shared" si="1570"/>
        <v>0</v>
      </c>
      <c r="K171" s="127"/>
      <c r="L171" s="155"/>
      <c r="M171" s="155"/>
      <c r="N171" s="127"/>
      <c r="O171" s="127"/>
      <c r="P171" s="127"/>
      <c r="Q171" s="127"/>
      <c r="R171" s="127"/>
      <c r="S171" s="127"/>
      <c r="T171" s="127"/>
      <c r="U171" s="127"/>
      <c r="V171" s="127"/>
      <c r="W171" s="127"/>
      <c r="X171" s="127">
        <f>VLOOKUP($C171,'1 预算编制表单'!$C:$BJ,27,FALSE)</f>
        <v>0</v>
      </c>
      <c r="Y171" s="127">
        <f>X171-Z171</f>
        <v>0</v>
      </c>
      <c r="Z171" s="127">
        <f>SUM(Z172:Z176)</f>
        <v>0</v>
      </c>
      <c r="AA171" s="127">
        <f>VLOOKUP($C171,'1 预算编制表单'!$C:$BJ,30,FALSE)</f>
        <v>0</v>
      </c>
      <c r="AB171" s="127">
        <f>AA171-AC171</f>
        <v>0</v>
      </c>
      <c r="AC171" s="127">
        <f>SUM(AC172:AC176)</f>
        <v>0</v>
      </c>
      <c r="AD171" s="127">
        <f>VLOOKUP($C171,'1 预算编制表单'!$C:$BJ,33,FALSE)</f>
        <v>0</v>
      </c>
      <c r="AE171" s="127">
        <f>AD171-AF171</f>
        <v>0</v>
      </c>
      <c r="AF171" s="127">
        <f>SUM(AF172:AF176)</f>
        <v>0</v>
      </c>
      <c r="AG171" s="127">
        <f>VLOOKUP($C171,'1 预算编制表单'!$C:$BJ,36,FALSE)</f>
        <v>0</v>
      </c>
      <c r="AH171" s="127">
        <f>AG171-AI171</f>
        <v>0</v>
      </c>
      <c r="AI171" s="127">
        <f>SUM(AI172:AI176)</f>
        <v>0</v>
      </c>
      <c r="AJ171" s="127">
        <f>VLOOKUP($C171,'1 预算编制表单'!$C:$BJ,39,FALSE)</f>
        <v>0</v>
      </c>
      <c r="AK171" s="127">
        <f>AJ171-AL171</f>
        <v>0</v>
      </c>
      <c r="AL171" s="127">
        <f>SUM(AL172:AL176)</f>
        <v>0</v>
      </c>
      <c r="AM171" s="127">
        <f>VLOOKUP($C171,'1 预算编制表单'!$C:$BJ,42,FALSE)</f>
        <v>0</v>
      </c>
      <c r="AN171" s="127">
        <f>AM171-AO171</f>
        <v>0</v>
      </c>
      <c r="AO171" s="127">
        <f>SUM(AO172:AO176)</f>
        <v>0</v>
      </c>
      <c r="AP171" s="127">
        <f>VLOOKUP($C171,'1 预算编制表单'!$C:$BJ,45,FALSE)</f>
        <v>0</v>
      </c>
      <c r="AQ171" s="127">
        <f>AP171-AR171</f>
        <v>0</v>
      </c>
      <c r="AR171" s="127">
        <f>SUM(AR172:AR176)</f>
        <v>0</v>
      </c>
      <c r="AS171" s="127">
        <f>VLOOKUP($C171,'1 预算编制表单'!$C:$BJ,48,FALSE)</f>
        <v>0</v>
      </c>
      <c r="AT171" s="127">
        <f>AS171-AU171</f>
        <v>0</v>
      </c>
      <c r="AU171" s="127">
        <f>SUM(AU172:AU176)</f>
        <v>0</v>
      </c>
      <c r="AV171" s="127">
        <f>VLOOKUP($C171,'1 预算编制表单'!$C:$BJ,51,FALSE)</f>
        <v>0</v>
      </c>
      <c r="AW171" s="127">
        <f>AV171-AX171</f>
        <v>0</v>
      </c>
      <c r="AX171" s="127">
        <f>SUM(AX172:AX176)</f>
        <v>0</v>
      </c>
      <c r="AY171" s="127">
        <f>VLOOKUP($C171,'1 预算编制表单'!$C:$BJ,54,FALSE)</f>
        <v>0</v>
      </c>
      <c r="AZ171" s="127">
        <f>AY171-BA171</f>
        <v>0</v>
      </c>
      <c r="BA171" s="127">
        <f>SUM(BA172:BA176)</f>
        <v>0</v>
      </c>
      <c r="BB171" s="127">
        <f>VLOOKUP($C171,'1 预算编制表单'!$C:$BJ,57,FALSE)</f>
        <v>0</v>
      </c>
      <c r="BC171" s="127">
        <f>BB171-BD171</f>
        <v>0</v>
      </c>
      <c r="BD171" s="127">
        <f>SUM(BD172:BD176)</f>
        <v>0</v>
      </c>
      <c r="BE171" s="127">
        <f>VLOOKUP($C171,'1 预算编制表单'!$C:$BJ,60,FALSE)</f>
        <v>0</v>
      </c>
      <c r="BF171" s="127">
        <f>BE171-BG171</f>
        <v>0</v>
      </c>
      <c r="BG171" s="127">
        <f>SUM(BG172:BG176)</f>
        <v>0</v>
      </c>
      <c r="BH171" s="127">
        <f>VLOOKUP($C171,'1 预算编制表单'!$C:$BJ,27,FALSE)</f>
        <v>0</v>
      </c>
      <c r="BI171" s="127">
        <f>BH171-BJ171</f>
        <v>0</v>
      </c>
      <c r="BJ171" s="127">
        <f>SUM(BJ172:BJ176)</f>
        <v>0</v>
      </c>
      <c r="BK171" s="127">
        <f>VLOOKUP($C171,'1 预算编制表单'!$C:$BJ,30,FALSE)</f>
        <v>0</v>
      </c>
      <c r="BL171" s="127">
        <f>BK171-BM171</f>
        <v>0</v>
      </c>
      <c r="BM171" s="127">
        <f>SUM(BM172:BM176)</f>
        <v>0</v>
      </c>
      <c r="BN171" s="127">
        <f>VLOOKUP($C171,'1 预算编制表单'!$C:$BJ,33,FALSE)</f>
        <v>0</v>
      </c>
      <c r="BO171" s="127">
        <f>BN171-BP171</f>
        <v>0</v>
      </c>
      <c r="BP171" s="127">
        <f>SUM(BP172:BP176)</f>
        <v>0</v>
      </c>
      <c r="BQ171" s="127">
        <f>VLOOKUP($C171,'1 预算编制表单'!$C:$BJ,36,FALSE)</f>
        <v>0</v>
      </c>
      <c r="BR171" s="127">
        <f>BQ171-BS171</f>
        <v>0</v>
      </c>
      <c r="BS171" s="127">
        <f>SUM(BS172:BS176)</f>
        <v>0</v>
      </c>
      <c r="BT171" s="127">
        <f>VLOOKUP($C171,'1 预算编制表单'!$C:$BJ,39,FALSE)</f>
        <v>0</v>
      </c>
      <c r="BU171" s="127">
        <f>BT171-BV171</f>
        <v>0</v>
      </c>
      <c r="BV171" s="127">
        <f>SUM(BV172:BV176)</f>
        <v>0</v>
      </c>
      <c r="BW171" s="127">
        <f>VLOOKUP($C171,'1 预算编制表单'!$C:$BJ,42,FALSE)</f>
        <v>0</v>
      </c>
      <c r="BX171" s="127">
        <f>BW171-BY171</f>
        <v>0</v>
      </c>
      <c r="BY171" s="127">
        <f>SUM(BY172:BY176)</f>
        <v>0</v>
      </c>
      <c r="BZ171" s="127">
        <f>VLOOKUP($C171,'1 预算编制表单'!$C:$BJ,45,FALSE)</f>
        <v>0</v>
      </c>
      <c r="CA171" s="127">
        <f>BZ171-CB171</f>
        <v>0</v>
      </c>
      <c r="CB171" s="127">
        <f>SUM(CB172:CB176)</f>
        <v>0</v>
      </c>
      <c r="CC171" s="127">
        <f>VLOOKUP($C171,'1 预算编制表单'!$C:$BJ,48,FALSE)</f>
        <v>0</v>
      </c>
      <c r="CD171" s="127">
        <f>CC171-CE171</f>
        <v>0</v>
      </c>
      <c r="CE171" s="127">
        <f>SUM(CE172:CE176)</f>
        <v>0</v>
      </c>
      <c r="CF171" s="127">
        <f>VLOOKUP($C171,'1 预算编制表单'!$C:$BJ,51,FALSE)</f>
        <v>0</v>
      </c>
      <c r="CG171" s="127">
        <f>CF171-CH171</f>
        <v>0</v>
      </c>
      <c r="CH171" s="127">
        <f>SUM(CH172:CH176)</f>
        <v>0</v>
      </c>
      <c r="CI171" s="127">
        <f>VLOOKUP($C171,'1 预算编制表单'!$C:$BJ,54,FALSE)</f>
        <v>0</v>
      </c>
      <c r="CJ171" s="127">
        <f>CI171-CK171</f>
        <v>0</v>
      </c>
      <c r="CK171" s="127">
        <f>SUM(CK172:CK176)</f>
        <v>0</v>
      </c>
      <c r="CL171" s="127">
        <f>VLOOKUP($C171,'1 预算编制表单'!$C:$BJ,57,FALSE)</f>
        <v>0</v>
      </c>
      <c r="CM171" s="127">
        <f>CL171-CN171</f>
        <v>0</v>
      </c>
      <c r="CN171" s="127">
        <f>SUM(CN172:CN176)</f>
        <v>0</v>
      </c>
      <c r="CO171" s="127">
        <f>VLOOKUP($C171,'1 预算编制表单'!$C:$BJ,60,FALSE)</f>
        <v>0</v>
      </c>
      <c r="CP171" s="127">
        <f>CO171-CQ171</f>
        <v>0</v>
      </c>
      <c r="CQ171" s="127">
        <f>SUM(CQ172:CQ176)</f>
        <v>0</v>
      </c>
    </row>
    <row r="172" s="89" customFormat="1" ht="24" hidden="1" customHeight="1" outlineLevel="4" spans="1:95">
      <c r="A172" s="128"/>
      <c r="B172" s="129"/>
      <c r="C172" s="130"/>
      <c r="D172" s="128"/>
      <c r="E172" s="129"/>
      <c r="F172" s="129"/>
      <c r="G172" s="129"/>
      <c r="H172" s="131"/>
      <c r="I172" s="131"/>
      <c r="J172" s="131">
        <f t="shared" si="1570"/>
        <v>0</v>
      </c>
      <c r="K172" s="131">
        <v>1</v>
      </c>
      <c r="L172" s="156"/>
      <c r="M172" s="157">
        <f>IFERROR(VLOOKUP($L172,'2-2 引出数据_合同数据仓库'!$B$5:$BP$200,3,FALSE),0)</f>
        <v>0</v>
      </c>
      <c r="N172" s="131"/>
      <c r="O172" s="157">
        <f>IFERROR(VLOOKUP((LEFT(VLOOKUP($L172,'2-2 引出数据_合同数据仓库'!$B$5:$BP$200,64,FALSE),15)&amp;(RIGHT(VLOOKUP($L172,'2-2 引出数据_合同数据仓库'!$B$5:$BP$200,64,FALSE),4)+1)),'2-2 引出数据_合同数据仓库'!$B$5:$BP$200,3,FALSE),0)</f>
        <v>0</v>
      </c>
      <c r="P172" s="131"/>
      <c r="Q172" s="131">
        <f>IFERROR(VLOOKUP($L172,'2-2 引出数据_合同数据仓库'!$B$5:$BP$200,28,FALSE),0)</f>
        <v>0</v>
      </c>
      <c r="R172" s="131">
        <f>IFERROR(VLOOKUP($L172,'2-2 引出数据_合同数据仓库'!$B$5:$BP$200,29,FALSE),0)</f>
        <v>0</v>
      </c>
      <c r="S172" s="131">
        <f>IFERROR(VLOOKUP($L172,'2-2 引出数据_合同数据仓库'!$B$5:$BP$200,4,FALSE),0)</f>
        <v>0</v>
      </c>
      <c r="T172" s="131"/>
      <c r="U172" s="131">
        <f>IFERROR(VLOOKUP($L172,'2-2 引出数据_合同数据仓库'!$B$5:$BP$200,15,FALSE),0)</f>
        <v>0</v>
      </c>
      <c r="V172" s="131">
        <f t="shared" ref="V172:V175" si="2038">U172/(S172-R172+1)*365</f>
        <v>0</v>
      </c>
      <c r="W172" s="131"/>
      <c r="X172" s="163">
        <v>45658</v>
      </c>
      <c r="Y172" s="163">
        <f t="shared" ref="Y172:Y175" si="2039">X172+30</f>
        <v>45688</v>
      </c>
      <c r="Z172" s="167">
        <f t="shared" ref="Z172:Z175" si="2040">IFERROR(IF(($R172-Y172)&gt;=0,0,IF(($S172-X172)&lt;0,0,IF(AND(($S172-Y172)&gt;0,(X172-$R172)&gt;0),$V172/365*(Y172-X172+1),IF(AND(($S172-Y172)&lt;=0,(X172-$R172)&gt;0),$V172/365*($S172-X172+1),$V172/365*(Y172-$R172+1))))),0)</f>
        <v>0</v>
      </c>
      <c r="AA172" s="163">
        <f t="shared" ref="AA172:AA175" si="2041">Y172+1</f>
        <v>45689</v>
      </c>
      <c r="AB172" s="163">
        <f t="shared" ref="AB172:AB175" si="2042">AA172+27</f>
        <v>45716</v>
      </c>
      <c r="AC172" s="167">
        <f t="shared" ref="AC172:AC175" si="2043">IFERROR(IF(($R172-AB172)&gt;=0,0,IF(($S172-AA172)&lt;0,0,IF(AND(($S172-AB172)&gt;0,(AA172-$R172)&gt;0),$V172/365*(AB172-AA172+1),IF(AND(($S172-AB172)&lt;=0,(AA172-$R172)&gt;0),$V172/365*($S172-AA172+1),$V172/365*(AB172-$R172+1))))),0)</f>
        <v>0</v>
      </c>
      <c r="AD172" s="163">
        <f t="shared" ref="AD172:AD175" si="2044">AB172+1</f>
        <v>45717</v>
      </c>
      <c r="AE172" s="163">
        <f t="shared" ref="AE172:AE175" si="2045">AD172+30</f>
        <v>45747</v>
      </c>
      <c r="AF172" s="167">
        <f t="shared" ref="AF172:AF175" si="2046">IFERROR(IF(($R172-AE172)&gt;=0,0,IF(($S172-AD172)&lt;0,0,IF(AND(($S172-AE172)&gt;0,(AD172-$R172)&gt;0),$V172/365*(AE172-AD172+1),IF(AND(($S172-AE172)&lt;=0,(AD172-$R172)&gt;0),$V172/365*($S172-AD172+1),$V172/365*(AE172-$R172+1))))),0)</f>
        <v>0</v>
      </c>
      <c r="AG172" s="163">
        <f t="shared" ref="AG172:AG175" si="2047">AE172+1</f>
        <v>45748</v>
      </c>
      <c r="AH172" s="163">
        <f t="shared" ref="AH172:AH175" si="2048">AG172+29</f>
        <v>45777</v>
      </c>
      <c r="AI172" s="167">
        <f t="shared" ref="AI172:AI175" si="2049">IFERROR(IF(($R172-AH172)&gt;=0,0,IF(($S172-AG172)&lt;0,0,IF(AND(($S172-AH172)&gt;0,(AG172-$R172)&gt;0),$V172/365*(AH172-AG172+1),IF(AND(($S172-AH172)&lt;=0,(AG172-$R172)&gt;0),$V172/365*($S172-AG172+1),$V172/365*(AH172-$R172+1))))),0)</f>
        <v>0</v>
      </c>
      <c r="AJ172" s="163">
        <f t="shared" ref="AJ172:AJ175" si="2050">AH172+1</f>
        <v>45778</v>
      </c>
      <c r="AK172" s="163">
        <f t="shared" ref="AK172:AK175" si="2051">AJ172+30</f>
        <v>45808</v>
      </c>
      <c r="AL172" s="167">
        <f t="shared" ref="AL172:AL175" si="2052">IFERROR(IF(($R172-AK172)&gt;=0,0,IF(($S172-AJ172)&lt;0,0,IF(AND(($S172-AK172)&gt;0,(AJ172-$R172)&gt;0),$V172/365*(AK172-AJ172+1),IF(AND(($S172-AK172)&lt;=0,(AJ172-$R172)&gt;0),$V172/365*($S172-AJ172+1),$V172/365*(AK172-$R172+1))))),0)</f>
        <v>0</v>
      </c>
      <c r="AM172" s="163">
        <f t="shared" ref="AM172:AM175" si="2053">AK172+1</f>
        <v>45809</v>
      </c>
      <c r="AN172" s="163">
        <f t="shared" ref="AN172:AN175" si="2054">AM172+29</f>
        <v>45838</v>
      </c>
      <c r="AO172" s="167">
        <f t="shared" ref="AO172:AO175" si="2055">IFERROR(IF(($R172-AN172)&gt;=0,0,IF(($S172-AM172)&lt;0,0,IF(AND(($S172-AN172)&gt;0,(AM172-$R172)&gt;0),$V172/365*(AN172-AM172+1),IF(AND(($S172-AN172)&lt;=0,(AM172-$R172)&gt;0),$V172/365*($S172-AM172+1),$V172/365*(AN172-$R172+1))))),0)</f>
        <v>0</v>
      </c>
      <c r="AP172" s="163">
        <f t="shared" ref="AP172:AP175" si="2056">AN172+1</f>
        <v>45839</v>
      </c>
      <c r="AQ172" s="163">
        <f t="shared" ref="AQ172:AQ175" si="2057">AP172+30</f>
        <v>45869</v>
      </c>
      <c r="AR172" s="167">
        <f t="shared" ref="AR172:AR175" si="2058">IFERROR(IF(($R172-AQ172)&gt;=0,0,IF(($S172-AP172)&lt;0,0,IF(AND(($S172-AQ172)&gt;0,(AP172-$R172)&gt;0),$V172/365*(AQ172-AP172+1),IF(AND(($S172-AQ172)&lt;=0,(AP172-$R172)&gt;0),$V172/365*($S172-AP172+1),$V172/365*(AQ172-$R172+1))))),0)</f>
        <v>0</v>
      </c>
      <c r="AS172" s="163">
        <f t="shared" ref="AS172:AS175" si="2059">AQ172+1</f>
        <v>45870</v>
      </c>
      <c r="AT172" s="163">
        <f t="shared" ref="AT172:AT175" si="2060">AS172+30</f>
        <v>45900</v>
      </c>
      <c r="AU172" s="167">
        <f t="shared" ref="AU172:AU175" si="2061">IFERROR(IF(($R172-AT172)&gt;=0,0,IF(($S172-AS172)&lt;0,0,IF(AND(($S172-AT172)&gt;0,(AS172-$R172)&gt;0),$V172/365*(AT172-AS172+1),IF(AND(($S172-AT172)&lt;=0,(AS172-$R172)&gt;0),$V172/365*($S172-AS172+1),$V172/365*(AT172-$R172+1))))),0)</f>
        <v>0</v>
      </c>
      <c r="AV172" s="163">
        <f t="shared" ref="AV172:AV175" si="2062">AT172+1</f>
        <v>45901</v>
      </c>
      <c r="AW172" s="163">
        <f t="shared" ref="AW172:AW175" si="2063">AV172+29</f>
        <v>45930</v>
      </c>
      <c r="AX172" s="167">
        <f t="shared" ref="AX172:AX175" si="2064">IFERROR(IF(($R172-AW172)&gt;=0,0,IF(($S172-AV172)&lt;0,0,IF(AND(($S172-AW172)&gt;0,(AV172-$R172)&gt;0),$V172/365*(AW172-AV172+1),IF(AND(($S172-AW172)&lt;=0,(AV172-$R172)&gt;0),$V172/365*($S172-AV172+1),$V172/365*(AW172-$R172+1))))),0)</f>
        <v>0</v>
      </c>
      <c r="AY172" s="163">
        <f t="shared" ref="AY172:AY175" si="2065">AW172+1</f>
        <v>45931</v>
      </c>
      <c r="AZ172" s="163">
        <f t="shared" ref="AZ172:AZ175" si="2066">AY172+30</f>
        <v>45961</v>
      </c>
      <c r="BA172" s="167">
        <f t="shared" ref="BA172:BA175" si="2067">IFERROR(IF(($R172-AZ172)&gt;=0,0,IF(($S172-AY172)&lt;0,0,IF(AND(($S172-AZ172)&gt;0,(AY172-$R172)&gt;0),$V172/365*(AZ172-AY172+1),IF(AND(($S172-AZ172)&lt;=0,(AY172-$R172)&gt;0),$V172/365*($S172-AY172+1),$V172/365*(AZ172-$R172+1))))),0)</f>
        <v>0</v>
      </c>
      <c r="BB172" s="163">
        <f t="shared" ref="BB172:BB175" si="2068">AZ172+1</f>
        <v>45962</v>
      </c>
      <c r="BC172" s="163">
        <f t="shared" ref="BC172:BC175" si="2069">BB172+29</f>
        <v>45991</v>
      </c>
      <c r="BD172" s="167">
        <f t="shared" ref="BD172:BD175" si="2070">IFERROR(IF(($R172-BC172)&gt;=0,0,IF(($S172-BB172)&lt;0,0,IF(AND(($S172-BC172)&gt;0,(BB172-$R172)&gt;0),$V172/365*(BC172-BB172+1),IF(AND(($S172-BC172)&lt;=0,(BB172-$R172)&gt;0),$V172/365*($S172-BB172+1),$V172/365*(BC172-$R172+1))))),0)</f>
        <v>0</v>
      </c>
      <c r="BE172" s="163">
        <f t="shared" ref="BE172:BE175" si="2071">BC172+1</f>
        <v>45992</v>
      </c>
      <c r="BF172" s="163">
        <f t="shared" ref="BF172:BF175" si="2072">BE172+30</f>
        <v>46022</v>
      </c>
      <c r="BG172" s="167">
        <f t="shared" ref="BG172:BG175" si="2073">IFERROR(IF(($R172-BF172)&gt;=0,0,IF(($S172-BE172)&lt;0,0,IF(AND(($S172-BF172)&gt;0,(BE172-$R172)&gt;0),$V172/365*(BF172-BE172+1),IF(AND(($S172-BF172)&lt;=0,(BE172-$R172)&gt;0),$V172/365*($S172-BE172+1),$V172/365*(BF172-$R172+1))))),0)</f>
        <v>0</v>
      </c>
      <c r="BH172" s="163">
        <v>46023</v>
      </c>
      <c r="BI172" s="163">
        <f t="shared" ref="BI172:BI175" si="2074">BH172+30</f>
        <v>46053</v>
      </c>
      <c r="BJ172" s="167">
        <f t="shared" ref="BJ172:BJ175" si="2075">IFERROR(IF(($R172-BI172)&gt;=0,0,IF(($S172-BH172)&lt;0,0,IF(AND(($S172-BI172)&gt;0,(BH172-$R172)&gt;0),$V172/365*(BI172-BH172+1),IF(AND(($S172-BI172)&lt;=0,(BH172-$R172)&gt;0),$V172/365*($S172-BH172+1),$V172/365*(BI172-$R172+1))))),0)</f>
        <v>0</v>
      </c>
      <c r="BK172" s="163">
        <f t="shared" ref="BK172:BK175" si="2076">BI172+1</f>
        <v>46054</v>
      </c>
      <c r="BL172" s="163">
        <f t="shared" ref="BL172:BL175" si="2077">BK172+27</f>
        <v>46081</v>
      </c>
      <c r="BM172" s="167">
        <f t="shared" ref="BM172:BM175" si="2078">IFERROR(IF(($R172-BL172)&gt;=0,0,IF(($S172-BK172)&lt;0,0,IF(AND(($S172-BL172)&gt;0,(BK172-$R172)&gt;0),$V172/365*(BL172-BK172+1),IF(AND(($S172-BL172)&lt;=0,(BK172-$R172)&gt;0),$V172/365*($S172-BK172+1),$V172/365*(BL172-$R172+1))))),0)</f>
        <v>0</v>
      </c>
      <c r="BN172" s="163">
        <f t="shared" ref="BN172:BN175" si="2079">BL172+1</f>
        <v>46082</v>
      </c>
      <c r="BO172" s="163">
        <f t="shared" ref="BO172:BO175" si="2080">BN172+30</f>
        <v>46112</v>
      </c>
      <c r="BP172" s="167">
        <f t="shared" ref="BP172:BP175" si="2081">IFERROR(IF(($R172-BO172)&gt;=0,0,IF(($S172-BN172)&lt;0,0,IF(AND(($S172-BO172)&gt;0,(BN172-$R172)&gt;0),$V172/365*(BO172-BN172+1),IF(AND(($S172-BO172)&lt;=0,(BN172-$R172)&gt;0),$V172/365*($S172-BN172+1),$V172/365*(BO172-$R172+1))))),0)</f>
        <v>0</v>
      </c>
      <c r="BQ172" s="163">
        <f t="shared" ref="BQ172:BQ175" si="2082">BO172+1</f>
        <v>46113</v>
      </c>
      <c r="BR172" s="163">
        <f t="shared" ref="BR172:BR175" si="2083">BQ172+29</f>
        <v>46142</v>
      </c>
      <c r="BS172" s="167">
        <f t="shared" ref="BS172:BS175" si="2084">IFERROR(IF(($R172-BR172)&gt;=0,0,IF(($S172-BQ172)&lt;0,0,IF(AND(($S172-BR172)&gt;0,(BQ172-$R172)&gt;0),$V172/365*(BR172-BQ172+1),IF(AND(($S172-BR172)&lt;=0,(BQ172-$R172)&gt;0),$V172/365*($S172-BQ172+1),$V172/365*(BR172-$R172+1))))),0)</f>
        <v>0</v>
      </c>
      <c r="BT172" s="163">
        <f t="shared" ref="BT172:BT175" si="2085">BR172+1</f>
        <v>46143</v>
      </c>
      <c r="BU172" s="163">
        <f t="shared" ref="BU172:BU175" si="2086">BT172+30</f>
        <v>46173</v>
      </c>
      <c r="BV172" s="167">
        <f t="shared" ref="BV172:BV175" si="2087">IFERROR(IF(($R172-BU172)&gt;=0,0,IF(($S172-BT172)&lt;0,0,IF(AND(($S172-BU172)&gt;0,(BT172-$R172)&gt;0),$V172/365*(BU172-BT172+1),IF(AND(($S172-BU172)&lt;=0,(BT172-$R172)&gt;0),$V172/365*($S172-BT172+1),$V172/365*(BU172-$R172+1))))),0)</f>
        <v>0</v>
      </c>
      <c r="BW172" s="163">
        <f t="shared" ref="BW172:BW175" si="2088">BU172+1</f>
        <v>46174</v>
      </c>
      <c r="BX172" s="163">
        <f t="shared" ref="BX172:BX175" si="2089">BW172+29</f>
        <v>46203</v>
      </c>
      <c r="BY172" s="167">
        <f t="shared" ref="BY172:BY175" si="2090">IFERROR(IF(($R172-BX172)&gt;=0,0,IF(($S172-BW172)&lt;0,0,IF(AND(($S172-BX172)&gt;0,(BW172-$R172)&gt;0),$V172/365*(BX172-BW172+1),IF(AND(($S172-BX172)&lt;=0,(BW172-$R172)&gt;0),$V172/365*($S172-BW172+1),$V172/365*(BX172-$R172+1))))),0)</f>
        <v>0</v>
      </c>
      <c r="BZ172" s="163">
        <f t="shared" ref="BZ172:BZ175" si="2091">BX172+1</f>
        <v>46204</v>
      </c>
      <c r="CA172" s="163">
        <f t="shared" ref="CA172:CA175" si="2092">BZ172+30</f>
        <v>46234</v>
      </c>
      <c r="CB172" s="167">
        <f t="shared" ref="CB172:CB175" si="2093">IFERROR(IF(($R172-CA172)&gt;=0,0,IF(($S172-BZ172)&lt;0,0,IF(AND(($S172-CA172)&gt;0,(BZ172-$R172)&gt;0),$V172/365*(CA172-BZ172+1),IF(AND(($S172-CA172)&lt;=0,(BZ172-$R172)&gt;0),$V172/365*($S172-BZ172+1),$V172/365*(CA172-$R172+1))))),0)</f>
        <v>0</v>
      </c>
      <c r="CC172" s="163">
        <f t="shared" ref="CC172:CC175" si="2094">CA172+1</f>
        <v>46235</v>
      </c>
      <c r="CD172" s="163">
        <f t="shared" ref="CD172:CD175" si="2095">CC172+30</f>
        <v>46265</v>
      </c>
      <c r="CE172" s="167">
        <f t="shared" ref="CE172:CE175" si="2096">IFERROR(IF(($R172-CD172)&gt;=0,0,IF(($S172-CC172)&lt;0,0,IF(AND(($S172-CD172)&gt;0,(CC172-$R172)&gt;0),$V172/365*(CD172-CC172+1),IF(AND(($S172-CD172)&lt;=0,(CC172-$R172)&gt;0),$V172/365*($S172-CC172+1),$V172/365*(CD172-$R172+1))))),0)</f>
        <v>0</v>
      </c>
      <c r="CF172" s="163">
        <f t="shared" ref="CF172:CF175" si="2097">CD172+1</f>
        <v>46266</v>
      </c>
      <c r="CG172" s="163">
        <f t="shared" ref="CG172:CG175" si="2098">CF172+29</f>
        <v>46295</v>
      </c>
      <c r="CH172" s="167">
        <f t="shared" ref="CH172:CH175" si="2099">IFERROR(IF(($R172-CG172)&gt;=0,0,IF(($S172-CF172)&lt;0,0,IF(AND(($S172-CG172)&gt;0,(CF172-$R172)&gt;0),$V172/365*(CG172-CF172+1),IF(AND(($S172-CG172)&lt;=0,(CF172-$R172)&gt;0),$V172/365*($S172-CF172+1),$V172/365*(CG172-$R172+1))))),0)</f>
        <v>0</v>
      </c>
      <c r="CI172" s="163">
        <f t="shared" ref="CI172:CI175" si="2100">CG172+1</f>
        <v>46296</v>
      </c>
      <c r="CJ172" s="163">
        <f t="shared" ref="CJ172:CJ175" si="2101">CI172+30</f>
        <v>46326</v>
      </c>
      <c r="CK172" s="167">
        <f t="shared" ref="CK172:CK175" si="2102">IFERROR(IF(($R172-CJ172)&gt;=0,0,IF(($S172-CI172)&lt;0,0,IF(AND(($S172-CJ172)&gt;0,(CI172-$R172)&gt;0),$V172/365*(CJ172-CI172+1),IF(AND(($S172-CJ172)&lt;=0,(CI172-$R172)&gt;0),$V172/365*($S172-CI172+1),$V172/365*(CJ172-$R172+1))))),0)</f>
        <v>0</v>
      </c>
      <c r="CL172" s="163">
        <f t="shared" ref="CL172:CL175" si="2103">CJ172+1</f>
        <v>46327</v>
      </c>
      <c r="CM172" s="163">
        <f t="shared" ref="CM172:CM175" si="2104">CL172+29</f>
        <v>46356</v>
      </c>
      <c r="CN172" s="167">
        <f t="shared" ref="CN172:CN175" si="2105">IFERROR(IF(($R172-CM172)&gt;=0,0,IF(($S172-CL172)&lt;0,0,IF(AND(($S172-CM172)&gt;0,(CL172-$R172)&gt;0),$V172/365*(CM172-CL172+1),IF(AND(($S172-CM172)&lt;=0,(CL172-$R172)&gt;0),$V172/365*($S172-CL172+1),$V172/365*(CM172-$R172+1))))),0)</f>
        <v>0</v>
      </c>
      <c r="CO172" s="163">
        <f t="shared" ref="CO172:CO175" si="2106">CM172+1</f>
        <v>46357</v>
      </c>
      <c r="CP172" s="163">
        <f t="shared" ref="CP172:CP175" si="2107">CO172+30</f>
        <v>46387</v>
      </c>
      <c r="CQ172" s="167">
        <f t="shared" ref="CQ172:CQ175" si="2108">IFERROR(IF(($R172-CP172)&gt;=0,0,IF(($S172-CO172)&lt;0,0,IF(AND(($S172-CP172)&gt;0,(CO172-$R172)&gt;0),$V172/365*(CP172-CO172+1),IF(AND(($S172-CP172)&lt;=0,(CO172-$R172)&gt;0),$V172/365*($S172-CO172+1),$V172/365*(CP172-$R172+1))))),0)</f>
        <v>0</v>
      </c>
    </row>
    <row r="173" s="89" customFormat="1" ht="24" hidden="1" customHeight="1" outlineLevel="4" spans="1:95">
      <c r="A173" s="128"/>
      <c r="B173" s="129"/>
      <c r="C173" s="130"/>
      <c r="D173" s="128"/>
      <c r="E173" s="129"/>
      <c r="F173" s="129"/>
      <c r="G173" s="129"/>
      <c r="H173" s="131"/>
      <c r="I173" s="131"/>
      <c r="J173" s="131">
        <f t="shared" si="1570"/>
        <v>0</v>
      </c>
      <c r="K173" s="131">
        <f t="shared" ref="K173:K175" si="2109">K172+1</f>
        <v>2</v>
      </c>
      <c r="L173" s="156"/>
      <c r="M173" s="157">
        <f>IFERROR(VLOOKUP($L173,'2-2 引出数据_合同数据仓库'!$B$5:$BP$200,3,FALSE),0)</f>
        <v>0</v>
      </c>
      <c r="N173" s="131"/>
      <c r="O173" s="157">
        <f>IFERROR(VLOOKUP((LEFT(VLOOKUP($L173,'2-2 引出数据_合同数据仓库'!$B$5:$BP$200,64,FALSE),15)&amp;(RIGHT(VLOOKUP($L173,'2-2 引出数据_合同数据仓库'!$B$5:$BP$200,64,FALSE),4)+1)),'2-2 引出数据_合同数据仓库'!$B$5:$BP$200,3,FALSE),0)</f>
        <v>0</v>
      </c>
      <c r="P173" s="131"/>
      <c r="Q173" s="131">
        <f>IFERROR(VLOOKUP($L173,'2-2 引出数据_合同数据仓库'!$B$5:$BP$200,28,FALSE),0)</f>
        <v>0</v>
      </c>
      <c r="R173" s="131">
        <f>IFERROR(VLOOKUP($L173,'2-2 引出数据_合同数据仓库'!$B$5:$BP$200,29,FALSE),0)</f>
        <v>0</v>
      </c>
      <c r="S173" s="131">
        <f>IFERROR(VLOOKUP($L173,'2-2 引出数据_合同数据仓库'!$B$5:$BP$200,4,FALSE),0)</f>
        <v>0</v>
      </c>
      <c r="T173" s="131"/>
      <c r="U173" s="131">
        <f>IFERROR(VLOOKUP($L173,'2-2 引出数据_合同数据仓库'!$B$5:$BP$200,15,FALSE),0)</f>
        <v>0</v>
      </c>
      <c r="V173" s="131">
        <f t="shared" si="2038"/>
        <v>0</v>
      </c>
      <c r="W173" s="131"/>
      <c r="X173" s="163">
        <v>45658</v>
      </c>
      <c r="Y173" s="163">
        <f t="shared" si="2039"/>
        <v>45688</v>
      </c>
      <c r="Z173" s="167">
        <f t="shared" si="2040"/>
        <v>0</v>
      </c>
      <c r="AA173" s="163">
        <f t="shared" si="2041"/>
        <v>45689</v>
      </c>
      <c r="AB173" s="163">
        <f t="shared" si="2042"/>
        <v>45716</v>
      </c>
      <c r="AC173" s="167">
        <f t="shared" si="2043"/>
        <v>0</v>
      </c>
      <c r="AD173" s="163">
        <f t="shared" si="2044"/>
        <v>45717</v>
      </c>
      <c r="AE173" s="163">
        <f t="shared" si="2045"/>
        <v>45747</v>
      </c>
      <c r="AF173" s="167">
        <f t="shared" si="2046"/>
        <v>0</v>
      </c>
      <c r="AG173" s="163">
        <f t="shared" si="2047"/>
        <v>45748</v>
      </c>
      <c r="AH173" s="163">
        <f t="shared" si="2048"/>
        <v>45777</v>
      </c>
      <c r="AI173" s="167">
        <f t="shared" si="2049"/>
        <v>0</v>
      </c>
      <c r="AJ173" s="163">
        <f t="shared" si="2050"/>
        <v>45778</v>
      </c>
      <c r="AK173" s="163">
        <f t="shared" si="2051"/>
        <v>45808</v>
      </c>
      <c r="AL173" s="167">
        <f t="shared" si="2052"/>
        <v>0</v>
      </c>
      <c r="AM173" s="163">
        <f t="shared" si="2053"/>
        <v>45809</v>
      </c>
      <c r="AN173" s="163">
        <f t="shared" si="2054"/>
        <v>45838</v>
      </c>
      <c r="AO173" s="167">
        <f t="shared" si="2055"/>
        <v>0</v>
      </c>
      <c r="AP173" s="163">
        <f t="shared" si="2056"/>
        <v>45839</v>
      </c>
      <c r="AQ173" s="163">
        <f t="shared" si="2057"/>
        <v>45869</v>
      </c>
      <c r="AR173" s="167">
        <f t="shared" si="2058"/>
        <v>0</v>
      </c>
      <c r="AS173" s="163">
        <f t="shared" si="2059"/>
        <v>45870</v>
      </c>
      <c r="AT173" s="163">
        <f t="shared" si="2060"/>
        <v>45900</v>
      </c>
      <c r="AU173" s="167">
        <f t="shared" si="2061"/>
        <v>0</v>
      </c>
      <c r="AV173" s="163">
        <f t="shared" si="2062"/>
        <v>45901</v>
      </c>
      <c r="AW173" s="163">
        <f t="shared" si="2063"/>
        <v>45930</v>
      </c>
      <c r="AX173" s="167">
        <f t="shared" si="2064"/>
        <v>0</v>
      </c>
      <c r="AY173" s="163">
        <f t="shared" si="2065"/>
        <v>45931</v>
      </c>
      <c r="AZ173" s="163">
        <f t="shared" si="2066"/>
        <v>45961</v>
      </c>
      <c r="BA173" s="167">
        <f t="shared" si="2067"/>
        <v>0</v>
      </c>
      <c r="BB173" s="163">
        <f t="shared" si="2068"/>
        <v>45962</v>
      </c>
      <c r="BC173" s="163">
        <f t="shared" si="2069"/>
        <v>45991</v>
      </c>
      <c r="BD173" s="167">
        <f t="shared" si="2070"/>
        <v>0</v>
      </c>
      <c r="BE173" s="163">
        <f t="shared" si="2071"/>
        <v>45992</v>
      </c>
      <c r="BF173" s="163">
        <f t="shared" si="2072"/>
        <v>46022</v>
      </c>
      <c r="BG173" s="167">
        <f t="shared" si="2073"/>
        <v>0</v>
      </c>
      <c r="BH173" s="163">
        <v>46023</v>
      </c>
      <c r="BI173" s="163">
        <f t="shared" si="2074"/>
        <v>46053</v>
      </c>
      <c r="BJ173" s="167">
        <f t="shared" si="2075"/>
        <v>0</v>
      </c>
      <c r="BK173" s="163">
        <f t="shared" si="2076"/>
        <v>46054</v>
      </c>
      <c r="BL173" s="163">
        <f t="shared" si="2077"/>
        <v>46081</v>
      </c>
      <c r="BM173" s="167">
        <f t="shared" si="2078"/>
        <v>0</v>
      </c>
      <c r="BN173" s="163">
        <f t="shared" si="2079"/>
        <v>46082</v>
      </c>
      <c r="BO173" s="163">
        <f t="shared" si="2080"/>
        <v>46112</v>
      </c>
      <c r="BP173" s="167">
        <f t="shared" si="2081"/>
        <v>0</v>
      </c>
      <c r="BQ173" s="163">
        <f t="shared" si="2082"/>
        <v>46113</v>
      </c>
      <c r="BR173" s="163">
        <f t="shared" si="2083"/>
        <v>46142</v>
      </c>
      <c r="BS173" s="167">
        <f t="shared" si="2084"/>
        <v>0</v>
      </c>
      <c r="BT173" s="163">
        <f t="shared" si="2085"/>
        <v>46143</v>
      </c>
      <c r="BU173" s="163">
        <f t="shared" si="2086"/>
        <v>46173</v>
      </c>
      <c r="BV173" s="167">
        <f t="shared" si="2087"/>
        <v>0</v>
      </c>
      <c r="BW173" s="163">
        <f t="shared" si="2088"/>
        <v>46174</v>
      </c>
      <c r="BX173" s="163">
        <f t="shared" si="2089"/>
        <v>46203</v>
      </c>
      <c r="BY173" s="167">
        <f t="shared" si="2090"/>
        <v>0</v>
      </c>
      <c r="BZ173" s="163">
        <f t="shared" si="2091"/>
        <v>46204</v>
      </c>
      <c r="CA173" s="163">
        <f t="shared" si="2092"/>
        <v>46234</v>
      </c>
      <c r="CB173" s="167">
        <f t="shared" si="2093"/>
        <v>0</v>
      </c>
      <c r="CC173" s="163">
        <f t="shared" si="2094"/>
        <v>46235</v>
      </c>
      <c r="CD173" s="163">
        <f t="shared" si="2095"/>
        <v>46265</v>
      </c>
      <c r="CE173" s="167">
        <f t="shared" si="2096"/>
        <v>0</v>
      </c>
      <c r="CF173" s="163">
        <f t="shared" si="2097"/>
        <v>46266</v>
      </c>
      <c r="CG173" s="163">
        <f t="shared" si="2098"/>
        <v>46295</v>
      </c>
      <c r="CH173" s="167">
        <f t="shared" si="2099"/>
        <v>0</v>
      </c>
      <c r="CI173" s="163">
        <f t="shared" si="2100"/>
        <v>46296</v>
      </c>
      <c r="CJ173" s="163">
        <f t="shared" si="2101"/>
        <v>46326</v>
      </c>
      <c r="CK173" s="167">
        <f t="shared" si="2102"/>
        <v>0</v>
      </c>
      <c r="CL173" s="163">
        <f t="shared" si="2103"/>
        <v>46327</v>
      </c>
      <c r="CM173" s="163">
        <f t="shared" si="2104"/>
        <v>46356</v>
      </c>
      <c r="CN173" s="167">
        <f t="shared" si="2105"/>
        <v>0</v>
      </c>
      <c r="CO173" s="163">
        <f t="shared" si="2106"/>
        <v>46357</v>
      </c>
      <c r="CP173" s="163">
        <f t="shared" si="2107"/>
        <v>46387</v>
      </c>
      <c r="CQ173" s="167">
        <f t="shared" si="2108"/>
        <v>0</v>
      </c>
    </row>
    <row r="174" s="89" customFormat="1" ht="24" hidden="1" customHeight="1" outlineLevel="4" spans="1:95">
      <c r="A174" s="128"/>
      <c r="B174" s="129"/>
      <c r="C174" s="130"/>
      <c r="D174" s="128"/>
      <c r="E174" s="129"/>
      <c r="F174" s="129"/>
      <c r="G174" s="129"/>
      <c r="H174" s="131"/>
      <c r="I174" s="131"/>
      <c r="J174" s="131">
        <f t="shared" si="1570"/>
        <v>0</v>
      </c>
      <c r="K174" s="131">
        <f t="shared" si="2109"/>
        <v>3</v>
      </c>
      <c r="L174" s="156"/>
      <c r="M174" s="157">
        <f>IFERROR(VLOOKUP($L174,'2-2 引出数据_合同数据仓库'!$B$5:$BP$200,3,FALSE),0)</f>
        <v>0</v>
      </c>
      <c r="N174" s="131"/>
      <c r="O174" s="157">
        <f>IFERROR(VLOOKUP((LEFT(VLOOKUP($L174,'2-2 引出数据_合同数据仓库'!$B$5:$BP$200,64,FALSE),15)&amp;(RIGHT(VLOOKUP($L174,'2-2 引出数据_合同数据仓库'!$B$5:$BP$200,64,FALSE),4)+1)),'2-2 引出数据_合同数据仓库'!$B$5:$BP$200,3,FALSE),0)</f>
        <v>0</v>
      </c>
      <c r="P174" s="131"/>
      <c r="Q174" s="131">
        <f>IFERROR(VLOOKUP($L174,'2-2 引出数据_合同数据仓库'!$B$5:$BP$200,28,FALSE),0)</f>
        <v>0</v>
      </c>
      <c r="R174" s="131">
        <f>IFERROR(VLOOKUP($L174,'2-2 引出数据_合同数据仓库'!$B$5:$BP$200,29,FALSE),0)</f>
        <v>0</v>
      </c>
      <c r="S174" s="131">
        <f>IFERROR(VLOOKUP($L174,'2-2 引出数据_合同数据仓库'!$B$5:$BP$200,4,FALSE),0)</f>
        <v>0</v>
      </c>
      <c r="T174" s="131"/>
      <c r="U174" s="131">
        <f>IFERROR(VLOOKUP($L174,'2-2 引出数据_合同数据仓库'!$B$5:$BP$200,15,FALSE),0)</f>
        <v>0</v>
      </c>
      <c r="V174" s="131">
        <f t="shared" si="2038"/>
        <v>0</v>
      </c>
      <c r="W174" s="131"/>
      <c r="X174" s="163">
        <v>45658</v>
      </c>
      <c r="Y174" s="163">
        <f t="shared" si="2039"/>
        <v>45688</v>
      </c>
      <c r="Z174" s="167">
        <f t="shared" si="2040"/>
        <v>0</v>
      </c>
      <c r="AA174" s="163">
        <f t="shared" si="2041"/>
        <v>45689</v>
      </c>
      <c r="AB174" s="163">
        <f t="shared" si="2042"/>
        <v>45716</v>
      </c>
      <c r="AC174" s="167">
        <f t="shared" si="2043"/>
        <v>0</v>
      </c>
      <c r="AD174" s="163">
        <f t="shared" si="2044"/>
        <v>45717</v>
      </c>
      <c r="AE174" s="163">
        <f t="shared" si="2045"/>
        <v>45747</v>
      </c>
      <c r="AF174" s="167">
        <f t="shared" si="2046"/>
        <v>0</v>
      </c>
      <c r="AG174" s="163">
        <f t="shared" si="2047"/>
        <v>45748</v>
      </c>
      <c r="AH174" s="163">
        <f t="shared" si="2048"/>
        <v>45777</v>
      </c>
      <c r="AI174" s="167">
        <f t="shared" si="2049"/>
        <v>0</v>
      </c>
      <c r="AJ174" s="163">
        <f t="shared" si="2050"/>
        <v>45778</v>
      </c>
      <c r="AK174" s="163">
        <f t="shared" si="2051"/>
        <v>45808</v>
      </c>
      <c r="AL174" s="167">
        <f t="shared" si="2052"/>
        <v>0</v>
      </c>
      <c r="AM174" s="163">
        <f t="shared" si="2053"/>
        <v>45809</v>
      </c>
      <c r="AN174" s="163">
        <f t="shared" si="2054"/>
        <v>45838</v>
      </c>
      <c r="AO174" s="167">
        <f t="shared" si="2055"/>
        <v>0</v>
      </c>
      <c r="AP174" s="163">
        <f t="shared" si="2056"/>
        <v>45839</v>
      </c>
      <c r="AQ174" s="163">
        <f t="shared" si="2057"/>
        <v>45869</v>
      </c>
      <c r="AR174" s="167">
        <f t="shared" si="2058"/>
        <v>0</v>
      </c>
      <c r="AS174" s="163">
        <f t="shared" si="2059"/>
        <v>45870</v>
      </c>
      <c r="AT174" s="163">
        <f t="shared" si="2060"/>
        <v>45900</v>
      </c>
      <c r="AU174" s="167">
        <f t="shared" si="2061"/>
        <v>0</v>
      </c>
      <c r="AV174" s="163">
        <f t="shared" si="2062"/>
        <v>45901</v>
      </c>
      <c r="AW174" s="163">
        <f t="shared" si="2063"/>
        <v>45930</v>
      </c>
      <c r="AX174" s="167">
        <f t="shared" si="2064"/>
        <v>0</v>
      </c>
      <c r="AY174" s="163">
        <f t="shared" si="2065"/>
        <v>45931</v>
      </c>
      <c r="AZ174" s="163">
        <f t="shared" si="2066"/>
        <v>45961</v>
      </c>
      <c r="BA174" s="167">
        <f t="shared" si="2067"/>
        <v>0</v>
      </c>
      <c r="BB174" s="163">
        <f t="shared" si="2068"/>
        <v>45962</v>
      </c>
      <c r="BC174" s="163">
        <f t="shared" si="2069"/>
        <v>45991</v>
      </c>
      <c r="BD174" s="167">
        <f t="shared" si="2070"/>
        <v>0</v>
      </c>
      <c r="BE174" s="163">
        <f t="shared" si="2071"/>
        <v>45992</v>
      </c>
      <c r="BF174" s="163">
        <f t="shared" si="2072"/>
        <v>46022</v>
      </c>
      <c r="BG174" s="167">
        <f t="shared" si="2073"/>
        <v>0</v>
      </c>
      <c r="BH174" s="163">
        <v>46023</v>
      </c>
      <c r="BI174" s="163">
        <f t="shared" si="2074"/>
        <v>46053</v>
      </c>
      <c r="BJ174" s="167">
        <f t="shared" si="2075"/>
        <v>0</v>
      </c>
      <c r="BK174" s="163">
        <f t="shared" si="2076"/>
        <v>46054</v>
      </c>
      <c r="BL174" s="163">
        <f t="shared" si="2077"/>
        <v>46081</v>
      </c>
      <c r="BM174" s="167">
        <f t="shared" si="2078"/>
        <v>0</v>
      </c>
      <c r="BN174" s="163">
        <f t="shared" si="2079"/>
        <v>46082</v>
      </c>
      <c r="BO174" s="163">
        <f t="shared" si="2080"/>
        <v>46112</v>
      </c>
      <c r="BP174" s="167">
        <f t="shared" si="2081"/>
        <v>0</v>
      </c>
      <c r="BQ174" s="163">
        <f t="shared" si="2082"/>
        <v>46113</v>
      </c>
      <c r="BR174" s="163">
        <f t="shared" si="2083"/>
        <v>46142</v>
      </c>
      <c r="BS174" s="167">
        <f t="shared" si="2084"/>
        <v>0</v>
      </c>
      <c r="BT174" s="163">
        <f t="shared" si="2085"/>
        <v>46143</v>
      </c>
      <c r="BU174" s="163">
        <f t="shared" si="2086"/>
        <v>46173</v>
      </c>
      <c r="BV174" s="167">
        <f t="shared" si="2087"/>
        <v>0</v>
      </c>
      <c r="BW174" s="163">
        <f t="shared" si="2088"/>
        <v>46174</v>
      </c>
      <c r="BX174" s="163">
        <f t="shared" si="2089"/>
        <v>46203</v>
      </c>
      <c r="BY174" s="167">
        <f t="shared" si="2090"/>
        <v>0</v>
      </c>
      <c r="BZ174" s="163">
        <f t="shared" si="2091"/>
        <v>46204</v>
      </c>
      <c r="CA174" s="163">
        <f t="shared" si="2092"/>
        <v>46234</v>
      </c>
      <c r="CB174" s="167">
        <f t="shared" si="2093"/>
        <v>0</v>
      </c>
      <c r="CC174" s="163">
        <f t="shared" si="2094"/>
        <v>46235</v>
      </c>
      <c r="CD174" s="163">
        <f t="shared" si="2095"/>
        <v>46265</v>
      </c>
      <c r="CE174" s="167">
        <f t="shared" si="2096"/>
        <v>0</v>
      </c>
      <c r="CF174" s="163">
        <f t="shared" si="2097"/>
        <v>46266</v>
      </c>
      <c r="CG174" s="163">
        <f t="shared" si="2098"/>
        <v>46295</v>
      </c>
      <c r="CH174" s="167">
        <f t="shared" si="2099"/>
        <v>0</v>
      </c>
      <c r="CI174" s="163">
        <f t="shared" si="2100"/>
        <v>46296</v>
      </c>
      <c r="CJ174" s="163">
        <f t="shared" si="2101"/>
        <v>46326</v>
      </c>
      <c r="CK174" s="167">
        <f t="shared" si="2102"/>
        <v>0</v>
      </c>
      <c r="CL174" s="163">
        <f t="shared" si="2103"/>
        <v>46327</v>
      </c>
      <c r="CM174" s="163">
        <f t="shared" si="2104"/>
        <v>46356</v>
      </c>
      <c r="CN174" s="167">
        <f t="shared" si="2105"/>
        <v>0</v>
      </c>
      <c r="CO174" s="163">
        <f t="shared" si="2106"/>
        <v>46357</v>
      </c>
      <c r="CP174" s="163">
        <f t="shared" si="2107"/>
        <v>46387</v>
      </c>
      <c r="CQ174" s="167">
        <f t="shared" si="2108"/>
        <v>0</v>
      </c>
    </row>
    <row r="175" s="89" customFormat="1" ht="24" hidden="1" customHeight="1" outlineLevel="4" spans="1:95">
      <c r="A175" s="128"/>
      <c r="B175" s="129"/>
      <c r="C175" s="130"/>
      <c r="D175" s="128"/>
      <c r="E175" s="129"/>
      <c r="F175" s="129"/>
      <c r="G175" s="129"/>
      <c r="H175" s="131"/>
      <c r="I175" s="131"/>
      <c r="J175" s="131">
        <f t="shared" si="1570"/>
        <v>0</v>
      </c>
      <c r="K175" s="131">
        <f t="shared" si="2109"/>
        <v>4</v>
      </c>
      <c r="L175" s="156"/>
      <c r="M175" s="157">
        <f>IFERROR(VLOOKUP($L175,'2-2 引出数据_合同数据仓库'!$B$5:$BP$200,3,FALSE),0)</f>
        <v>0</v>
      </c>
      <c r="N175" s="131"/>
      <c r="O175" s="157">
        <f>IFERROR(VLOOKUP((LEFT(VLOOKUP($L175,'2-2 引出数据_合同数据仓库'!$B$5:$BP$200,64,FALSE),15)&amp;(RIGHT(VLOOKUP($L175,'2-2 引出数据_合同数据仓库'!$B$5:$BP$200,64,FALSE),4)+1)),'2-2 引出数据_合同数据仓库'!$B$5:$BP$200,3,FALSE),0)</f>
        <v>0</v>
      </c>
      <c r="P175" s="131"/>
      <c r="Q175" s="131">
        <f>IFERROR(VLOOKUP($L175,'2-2 引出数据_合同数据仓库'!$B$5:$BP$200,28,FALSE),0)</f>
        <v>0</v>
      </c>
      <c r="R175" s="131">
        <f>IFERROR(VLOOKUP($L175,'2-2 引出数据_合同数据仓库'!$B$5:$BP$200,29,FALSE),0)</f>
        <v>0</v>
      </c>
      <c r="S175" s="131">
        <f>IFERROR(VLOOKUP($L175,'2-2 引出数据_合同数据仓库'!$B$5:$BP$200,4,FALSE),0)</f>
        <v>0</v>
      </c>
      <c r="T175" s="131"/>
      <c r="U175" s="131">
        <f>IFERROR(VLOOKUP($L175,'2-2 引出数据_合同数据仓库'!$B$5:$BP$200,15,FALSE),0)</f>
        <v>0</v>
      </c>
      <c r="V175" s="131">
        <f t="shared" si="2038"/>
        <v>0</v>
      </c>
      <c r="W175" s="131"/>
      <c r="X175" s="163">
        <v>45658</v>
      </c>
      <c r="Y175" s="163">
        <f t="shared" si="2039"/>
        <v>45688</v>
      </c>
      <c r="Z175" s="167">
        <f t="shared" si="2040"/>
        <v>0</v>
      </c>
      <c r="AA175" s="163">
        <f t="shared" si="2041"/>
        <v>45689</v>
      </c>
      <c r="AB175" s="163">
        <f t="shared" si="2042"/>
        <v>45716</v>
      </c>
      <c r="AC175" s="167">
        <f t="shared" si="2043"/>
        <v>0</v>
      </c>
      <c r="AD175" s="163">
        <f t="shared" si="2044"/>
        <v>45717</v>
      </c>
      <c r="AE175" s="163">
        <f t="shared" si="2045"/>
        <v>45747</v>
      </c>
      <c r="AF175" s="167">
        <f t="shared" si="2046"/>
        <v>0</v>
      </c>
      <c r="AG175" s="163">
        <f t="shared" si="2047"/>
        <v>45748</v>
      </c>
      <c r="AH175" s="163">
        <f t="shared" si="2048"/>
        <v>45777</v>
      </c>
      <c r="AI175" s="167">
        <f t="shared" si="2049"/>
        <v>0</v>
      </c>
      <c r="AJ175" s="163">
        <f t="shared" si="2050"/>
        <v>45778</v>
      </c>
      <c r="AK175" s="163">
        <f t="shared" si="2051"/>
        <v>45808</v>
      </c>
      <c r="AL175" s="167">
        <f t="shared" si="2052"/>
        <v>0</v>
      </c>
      <c r="AM175" s="163">
        <f t="shared" si="2053"/>
        <v>45809</v>
      </c>
      <c r="AN175" s="163">
        <f t="shared" si="2054"/>
        <v>45838</v>
      </c>
      <c r="AO175" s="167">
        <f t="shared" si="2055"/>
        <v>0</v>
      </c>
      <c r="AP175" s="163">
        <f t="shared" si="2056"/>
        <v>45839</v>
      </c>
      <c r="AQ175" s="163">
        <f t="shared" si="2057"/>
        <v>45869</v>
      </c>
      <c r="AR175" s="167">
        <f t="shared" si="2058"/>
        <v>0</v>
      </c>
      <c r="AS175" s="163">
        <f t="shared" si="2059"/>
        <v>45870</v>
      </c>
      <c r="AT175" s="163">
        <f t="shared" si="2060"/>
        <v>45900</v>
      </c>
      <c r="AU175" s="167">
        <f t="shared" si="2061"/>
        <v>0</v>
      </c>
      <c r="AV175" s="163">
        <f t="shared" si="2062"/>
        <v>45901</v>
      </c>
      <c r="AW175" s="163">
        <f t="shared" si="2063"/>
        <v>45930</v>
      </c>
      <c r="AX175" s="167">
        <f t="shared" si="2064"/>
        <v>0</v>
      </c>
      <c r="AY175" s="163">
        <f t="shared" si="2065"/>
        <v>45931</v>
      </c>
      <c r="AZ175" s="163">
        <f t="shared" si="2066"/>
        <v>45961</v>
      </c>
      <c r="BA175" s="167">
        <f t="shared" si="2067"/>
        <v>0</v>
      </c>
      <c r="BB175" s="163">
        <f t="shared" si="2068"/>
        <v>45962</v>
      </c>
      <c r="BC175" s="163">
        <f t="shared" si="2069"/>
        <v>45991</v>
      </c>
      <c r="BD175" s="167">
        <f t="shared" si="2070"/>
        <v>0</v>
      </c>
      <c r="BE175" s="163">
        <f t="shared" si="2071"/>
        <v>45992</v>
      </c>
      <c r="BF175" s="163">
        <f t="shared" si="2072"/>
        <v>46022</v>
      </c>
      <c r="BG175" s="167">
        <f t="shared" si="2073"/>
        <v>0</v>
      </c>
      <c r="BH175" s="163">
        <v>46023</v>
      </c>
      <c r="BI175" s="163">
        <f t="shared" si="2074"/>
        <v>46053</v>
      </c>
      <c r="BJ175" s="167">
        <f t="shared" si="2075"/>
        <v>0</v>
      </c>
      <c r="BK175" s="163">
        <f t="shared" si="2076"/>
        <v>46054</v>
      </c>
      <c r="BL175" s="163">
        <f t="shared" si="2077"/>
        <v>46081</v>
      </c>
      <c r="BM175" s="167">
        <f t="shared" si="2078"/>
        <v>0</v>
      </c>
      <c r="BN175" s="163">
        <f t="shared" si="2079"/>
        <v>46082</v>
      </c>
      <c r="BO175" s="163">
        <f t="shared" si="2080"/>
        <v>46112</v>
      </c>
      <c r="BP175" s="167">
        <f t="shared" si="2081"/>
        <v>0</v>
      </c>
      <c r="BQ175" s="163">
        <f t="shared" si="2082"/>
        <v>46113</v>
      </c>
      <c r="BR175" s="163">
        <f t="shared" si="2083"/>
        <v>46142</v>
      </c>
      <c r="BS175" s="167">
        <f t="shared" si="2084"/>
        <v>0</v>
      </c>
      <c r="BT175" s="163">
        <f t="shared" si="2085"/>
        <v>46143</v>
      </c>
      <c r="BU175" s="163">
        <f t="shared" si="2086"/>
        <v>46173</v>
      </c>
      <c r="BV175" s="167">
        <f t="shared" si="2087"/>
        <v>0</v>
      </c>
      <c r="BW175" s="163">
        <f t="shared" si="2088"/>
        <v>46174</v>
      </c>
      <c r="BX175" s="163">
        <f t="shared" si="2089"/>
        <v>46203</v>
      </c>
      <c r="BY175" s="167">
        <f t="shared" si="2090"/>
        <v>0</v>
      </c>
      <c r="BZ175" s="163">
        <f t="shared" si="2091"/>
        <v>46204</v>
      </c>
      <c r="CA175" s="163">
        <f t="shared" si="2092"/>
        <v>46234</v>
      </c>
      <c r="CB175" s="167">
        <f t="shared" si="2093"/>
        <v>0</v>
      </c>
      <c r="CC175" s="163">
        <f t="shared" si="2094"/>
        <v>46235</v>
      </c>
      <c r="CD175" s="163">
        <f t="shared" si="2095"/>
        <v>46265</v>
      </c>
      <c r="CE175" s="167">
        <f t="shared" si="2096"/>
        <v>0</v>
      </c>
      <c r="CF175" s="163">
        <f t="shared" si="2097"/>
        <v>46266</v>
      </c>
      <c r="CG175" s="163">
        <f t="shared" si="2098"/>
        <v>46295</v>
      </c>
      <c r="CH175" s="167">
        <f t="shared" si="2099"/>
        <v>0</v>
      </c>
      <c r="CI175" s="163">
        <f t="shared" si="2100"/>
        <v>46296</v>
      </c>
      <c r="CJ175" s="163">
        <f t="shared" si="2101"/>
        <v>46326</v>
      </c>
      <c r="CK175" s="167">
        <f t="shared" si="2102"/>
        <v>0</v>
      </c>
      <c r="CL175" s="163">
        <f t="shared" si="2103"/>
        <v>46327</v>
      </c>
      <c r="CM175" s="163">
        <f t="shared" si="2104"/>
        <v>46356</v>
      </c>
      <c r="CN175" s="167">
        <f t="shared" si="2105"/>
        <v>0</v>
      </c>
      <c r="CO175" s="163">
        <f t="shared" si="2106"/>
        <v>46357</v>
      </c>
      <c r="CP175" s="163">
        <f t="shared" si="2107"/>
        <v>46387</v>
      </c>
      <c r="CQ175" s="167">
        <f t="shared" si="2108"/>
        <v>0</v>
      </c>
    </row>
    <row r="176" s="89" customFormat="1" ht="24" hidden="1" customHeight="1" outlineLevel="4" spans="1:95">
      <c r="A176" s="132" t="s">
        <v>2813</v>
      </c>
      <c r="B176" s="133"/>
      <c r="C176" s="133"/>
      <c r="D176" s="133"/>
      <c r="E176" s="133"/>
      <c r="F176" s="133"/>
      <c r="G176" s="134"/>
      <c r="H176" s="135"/>
      <c r="I176" s="135"/>
      <c r="J176" s="135"/>
      <c r="K176" s="135"/>
      <c r="L176" s="158"/>
      <c r="M176" s="158"/>
      <c r="N176" s="135"/>
      <c r="O176" s="158"/>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c r="CL176" s="135"/>
      <c r="CM176" s="135"/>
      <c r="CN176" s="135"/>
      <c r="CO176" s="135"/>
      <c r="CP176" s="135"/>
      <c r="CQ176" s="135"/>
    </row>
    <row r="177" ht="24" customHeight="1" outlineLevel="1" spans="1:95">
      <c r="A177" s="14"/>
      <c r="B177" s="118" t="s">
        <v>787</v>
      </c>
      <c r="C177" s="119" t="s">
        <v>220</v>
      </c>
      <c r="D177" s="14" t="s">
        <v>221</v>
      </c>
      <c r="E177" s="118"/>
      <c r="F177" s="118"/>
      <c r="G177" s="118"/>
      <c r="H177" s="120">
        <f t="shared" ref="H177:I179" si="2110">X177+AA177+AD177+AG177+AJ177+AM177+AP177+AS177+AV177+AY177+BB177+BE177</f>
        <v>467834.662941931</v>
      </c>
      <c r="I177" s="120">
        <f t="shared" si="2110"/>
        <v>-943373.728940504</v>
      </c>
      <c r="J177" s="120">
        <f t="shared" si="1570"/>
        <v>1411208.39188244</v>
      </c>
      <c r="K177" s="120"/>
      <c r="L177" s="153"/>
      <c r="M177" s="153"/>
      <c r="N177" s="120"/>
      <c r="O177" s="153"/>
      <c r="P177" s="120"/>
      <c r="Q177" s="120"/>
      <c r="R177" s="120"/>
      <c r="S177" s="120"/>
      <c r="T177" s="120"/>
      <c r="U177" s="120"/>
      <c r="V177" s="120"/>
      <c r="W177" s="120"/>
      <c r="X177" s="120">
        <f>VLOOKUP($C177,'1 预算编制表单'!$C:$BJ,27,FALSE)</f>
        <v>186020.629923063</v>
      </c>
      <c r="Y177" s="120">
        <f>X177-Z177</f>
        <v>176080.4080295</v>
      </c>
      <c r="Z177" s="120">
        <f>Z178+Z203+Z209+Z252+Z265+Z278+Z339+Z397+Z403+Z422</f>
        <v>9940.22189356286</v>
      </c>
      <c r="AA177" s="120">
        <f>VLOOKUP($C177,'1 预算编制表单'!$C:$BJ,30,FALSE)</f>
        <v>25619.4575471698</v>
      </c>
      <c r="AB177" s="120">
        <f>AA177-AC177</f>
        <v>3617.65395901049</v>
      </c>
      <c r="AC177" s="120">
        <f>AC178+AC203+AC209+AC252+AC265+AC278+AC339+AC397+AC403+AC422</f>
        <v>22001.8035881593</v>
      </c>
      <c r="AD177" s="120">
        <f>VLOOKUP($C177,'1 预算编制表单'!$C:$BJ,33,FALSE)</f>
        <v>25619.4575471698</v>
      </c>
      <c r="AE177" s="120">
        <f>AD177-AF177</f>
        <v>-72601.5382542949</v>
      </c>
      <c r="AF177" s="120">
        <f>AF178+AF203+AF209+AF252+AF265+AF278+AF339+AF397+AF403+AF422</f>
        <v>98220.9958014647</v>
      </c>
      <c r="AG177" s="120">
        <f>VLOOKUP($C177,'1 预算编制表单'!$C:$BJ,36,FALSE)</f>
        <v>25619.4575471698</v>
      </c>
      <c r="AH177" s="120">
        <f>AG177-AI177</f>
        <v>-127700.553947408</v>
      </c>
      <c r="AI177" s="120">
        <f>AI178+AI203+AI209+AI252+AI265+AI278+AI339+AI397+AI403+AI422</f>
        <v>153320.011494578</v>
      </c>
      <c r="AJ177" s="120">
        <f>VLOOKUP($C177,'1 预算编制表单'!$C:$BJ,39,FALSE)</f>
        <v>25619.4575471698</v>
      </c>
      <c r="AK177" s="120">
        <f>AJ177-AL177</f>
        <v>-126142.358145553</v>
      </c>
      <c r="AL177" s="120">
        <f>AL178+AL203+AL209+AL252+AL265+AL278+AL339+AL397+AL403+AL422</f>
        <v>151761.815692723</v>
      </c>
      <c r="AM177" s="120">
        <f>VLOOKUP($C177,'1 预算编制表单'!$C:$BJ,42,FALSE)</f>
        <v>25619.4575471698</v>
      </c>
      <c r="AN177" s="120">
        <f>AM177-AO177</f>
        <v>-124438.815703853</v>
      </c>
      <c r="AO177" s="120">
        <f>AO178+AO203+AO209+AO252+AO265+AO278+AO339+AO397+AO403+AO422</f>
        <v>150058.273251023</v>
      </c>
      <c r="AP177" s="120">
        <f>VLOOKUP($C177,'1 预算编制表单'!$C:$BJ,45,FALSE)</f>
        <v>25619.4575471698</v>
      </c>
      <c r="AQ177" s="120">
        <f>AP177-AR177</f>
        <v>-132991.846638704</v>
      </c>
      <c r="AR177" s="120">
        <f>AR178+AR203+AR209+AR252+AR265+AR278+AR339+AR397+AR403+AR422</f>
        <v>158611.304185874</v>
      </c>
      <c r="AS177" s="120">
        <f>VLOOKUP($C177,'1 预算编制表单'!$C:$BJ,48,FALSE)</f>
        <v>25619.4575471698</v>
      </c>
      <c r="AT177" s="120">
        <f>AS177-AU177</f>
        <v>-130280.065874034</v>
      </c>
      <c r="AU177" s="120">
        <f>AU178+AU203+AU209+AU252+AU265+AU278+AU339+AU397+AU403+AU422</f>
        <v>155899.523421204</v>
      </c>
      <c r="AV177" s="120">
        <f>VLOOKUP($C177,'1 预算编制表单'!$C:$BJ,51,FALSE)</f>
        <v>25619.4575471698</v>
      </c>
      <c r="AW177" s="120">
        <f>AV177-AX177</f>
        <v>-119048.801798468</v>
      </c>
      <c r="AX177" s="120">
        <f>AX178+AX203+AX209+AX252+AX265+AX278+AX339+AX397+AX403+AX422</f>
        <v>144668.259345638</v>
      </c>
      <c r="AY177" s="120">
        <f>VLOOKUP($C177,'1 预算编制表单'!$C:$BJ,54,FALSE)</f>
        <v>25619.4575471698</v>
      </c>
      <c r="AZ177" s="120">
        <f>AY177-BA177</f>
        <v>-98235.1220538096</v>
      </c>
      <c r="BA177" s="120">
        <f>BA178+BA203+BA209+BA252+BA265+BA278+BA339+BA397+BA403+BA422</f>
        <v>123854.579600979</v>
      </c>
      <c r="BB177" s="120">
        <f>VLOOKUP($C177,'1 预算编制表单'!$C:$BJ,57,FALSE)</f>
        <v>25619.4575471698</v>
      </c>
      <c r="BC177" s="120">
        <f>BB177-BD177</f>
        <v>-94239.8130344232</v>
      </c>
      <c r="BD177" s="120">
        <f>BD178+BD203+BD209+BD252+BD265+BD278+BD339+BD397+BD403+BD422</f>
        <v>119859.270581593</v>
      </c>
      <c r="BE177" s="120">
        <f>VLOOKUP($C177,'1 预算编制表单'!$C:$BJ,60,FALSE)</f>
        <v>25619.4575471698</v>
      </c>
      <c r="BF177" s="120">
        <f>BE177-BG177</f>
        <v>-97392.8754784671</v>
      </c>
      <c r="BG177" s="120">
        <f>BG178+BG203+BG209+BG252+BG265+BG278+BG339+BG397+BG403+BG422</f>
        <v>123012.333025637</v>
      </c>
      <c r="BH177" s="120">
        <f>VLOOKUP($C177,'1 预算编制表单'!$C:$BJ,27,FALSE)</f>
        <v>186020.629923063</v>
      </c>
      <c r="BI177" s="120">
        <f t="shared" ref="BI177:BI179" si="2111">BH177-BJ177</f>
        <v>168707.503547399</v>
      </c>
      <c r="BJ177" s="120">
        <f>BJ178+BJ203+BJ209+BJ252+BJ265+BJ278+BJ339+BJ397+BJ403+BJ422</f>
        <v>17313.1263756638</v>
      </c>
      <c r="BK177" s="120">
        <f>VLOOKUP($C177,'1 预算编制表单'!$C:$BJ,30,FALSE)</f>
        <v>25619.4575471698</v>
      </c>
      <c r="BL177" s="120">
        <f t="shared" ref="BL177:BL179" si="2112">BK177-BM177</f>
        <v>9981.79501431215</v>
      </c>
      <c r="BM177" s="120">
        <f>BM178+BM203+BM209+BM252+BM265+BM278+BM339+BM397+BM403+BM422</f>
        <v>15637.6625328577</v>
      </c>
      <c r="BN177" s="120">
        <f>VLOOKUP($C177,'1 预算编制表单'!$C:$BJ,33,FALSE)</f>
        <v>25619.4575471698</v>
      </c>
      <c r="BO177" s="120">
        <f t="shared" ref="BO177:BO179" si="2113">BN177-BP177</f>
        <v>8306.33117150598</v>
      </c>
      <c r="BP177" s="120">
        <f>BP178+BP203+BP209+BP252+BP265+BP278+BP339+BP397+BP403+BP422</f>
        <v>17313.1263756638</v>
      </c>
      <c r="BQ177" s="120">
        <f>VLOOKUP($C177,'1 预算编制表单'!$C:$BJ,36,FALSE)</f>
        <v>25619.4575471698</v>
      </c>
      <c r="BR177" s="120">
        <f t="shared" ref="BR177:BR179" si="2114">BQ177-BS177</f>
        <v>11170.9507355464</v>
      </c>
      <c r="BS177" s="120">
        <f>BS178+BS203+BS209+BS252+BS265+BS278+BS339+BS397+BS403+BS422</f>
        <v>14448.5068116234</v>
      </c>
      <c r="BT177" s="120">
        <f>VLOOKUP($C177,'1 预算编制表单'!$C:$BJ,39,FALSE)</f>
        <v>25619.4575471698</v>
      </c>
      <c r="BU177" s="120">
        <f t="shared" ref="BU177:BU179" si="2115">BT177-BV177</f>
        <v>18517.5681030128</v>
      </c>
      <c r="BV177" s="120">
        <f>BV178+BV203+BV209+BV252+BV265+BV278+BV339+BV397+BV403+BV422</f>
        <v>7101.88944415698</v>
      </c>
      <c r="BW177" s="120">
        <f>VLOOKUP($C177,'1 预算编制表单'!$C:$BJ,42,FALSE)</f>
        <v>25619.4575471698</v>
      </c>
      <c r="BX177" s="120">
        <f t="shared" ref="BX177:BX179" si="2116">BW177-BY177</f>
        <v>18746.6613108889</v>
      </c>
      <c r="BY177" s="120">
        <f>BY178+BY203+BY209+BY252+BY265+BY278+BY339+BY397+BY403+BY422</f>
        <v>6872.79623628094</v>
      </c>
      <c r="BZ177" s="120">
        <f>VLOOKUP($C177,'1 预算编制表单'!$C:$BJ,45,FALSE)</f>
        <v>25619.4575471698</v>
      </c>
      <c r="CA177" s="120">
        <f t="shared" ref="CA177:CA179" si="2117">BZ177-CB177</f>
        <v>20655.0565961635</v>
      </c>
      <c r="CB177" s="120">
        <f>CB178+CB203+CB209+CB252+CB265+CB278+CB339+CB397+CB403+CB422</f>
        <v>4964.40095100629</v>
      </c>
      <c r="CC177" s="120">
        <f>VLOOKUP($C177,'1 预算编制表单'!$C:$BJ,48,FALSE)</f>
        <v>25619.4575471698</v>
      </c>
      <c r="CD177" s="120">
        <f t="shared" ref="CD177:CD179" si="2118">CC177-CE177</f>
        <v>21182.081801643</v>
      </c>
      <c r="CE177" s="120">
        <f>CE178+CE203+CE209+CE252+CE265+CE278+CE339+CE397+CE403+CE422</f>
        <v>4437.37574552684</v>
      </c>
      <c r="CF177" s="120">
        <f>VLOOKUP($C177,'1 预算编制表单'!$C:$BJ,51,FALSE)</f>
        <v>25619.4575471698</v>
      </c>
      <c r="CG177" s="120">
        <f t="shared" ref="CG177:CG179" si="2119">CF177-CH177</f>
        <v>21325.2229547245</v>
      </c>
      <c r="CH177" s="120">
        <f>CH178+CH203+CH209+CH252+CH265+CH278+CH339+CH397+CH403+CH422</f>
        <v>4294.23459244533</v>
      </c>
      <c r="CI177" s="120">
        <f>VLOOKUP($C177,'1 预算编制表单'!$C:$BJ,54,FALSE)</f>
        <v>25619.4575471698</v>
      </c>
      <c r="CJ177" s="120">
        <f t="shared" ref="CJ177:CJ179" si="2120">CI177-CK177</f>
        <v>21182.081801643</v>
      </c>
      <c r="CK177" s="120">
        <f>CK178+CK203+CK209+CK252+CK265+CK278+CK339+CK397+CK403+CK422</f>
        <v>4437.37574552684</v>
      </c>
      <c r="CL177" s="120">
        <f>VLOOKUP($C177,'1 预算编制表单'!$C:$BJ,57,FALSE)</f>
        <v>25619.4575471698</v>
      </c>
      <c r="CM177" s="120">
        <f t="shared" ref="CM177:CM179" si="2121">CL177-CN177</f>
        <v>21325.2229547245</v>
      </c>
      <c r="CN177" s="120">
        <f>CN178+CN203+CN209+CN252+CN265+CN278+CN339+CN397+CN403+CN422</f>
        <v>4294.23459244533</v>
      </c>
      <c r="CO177" s="120">
        <f>VLOOKUP($C177,'1 预算编制表单'!$C:$BJ,60,FALSE)</f>
        <v>25619.4575471698</v>
      </c>
      <c r="CP177" s="120">
        <f t="shared" ref="CP177:CP179" si="2122">CO177-CQ177</f>
        <v>21182.081801643</v>
      </c>
      <c r="CQ177" s="120">
        <f>CQ178+CQ203+CQ209+CQ252+CQ265+CQ278+CQ339+CQ397+CQ403+CQ422</f>
        <v>4437.37574552684</v>
      </c>
    </row>
    <row r="178" ht="24" customHeight="1" outlineLevel="2" collapsed="1" spans="1:95">
      <c r="A178" s="43"/>
      <c r="B178" s="121" t="s">
        <v>787</v>
      </c>
      <c r="C178" s="122" t="s">
        <v>32</v>
      </c>
      <c r="D178" s="43" t="s">
        <v>33</v>
      </c>
      <c r="E178" s="121" t="s">
        <v>1139</v>
      </c>
      <c r="F178" s="121"/>
      <c r="G178" s="121"/>
      <c r="H178" s="123">
        <f t="shared" si="2110"/>
        <v>0</v>
      </c>
      <c r="I178" s="123">
        <f t="shared" si="2110"/>
        <v>0</v>
      </c>
      <c r="J178" s="123">
        <f t="shared" si="1570"/>
        <v>0</v>
      </c>
      <c r="K178" s="123"/>
      <c r="L178" s="154"/>
      <c r="M178" s="154"/>
      <c r="N178" s="123"/>
      <c r="O178" s="154"/>
      <c r="P178" s="123"/>
      <c r="Q178" s="123"/>
      <c r="R178" s="123"/>
      <c r="S178" s="123"/>
      <c r="T178" s="123"/>
      <c r="U178" s="123"/>
      <c r="V178" s="123"/>
      <c r="W178" s="123"/>
      <c r="X178" s="123">
        <f>VLOOKUP($C178,'1 预算编制表单'!$C:$BJ,27,FALSE)</f>
        <v>0</v>
      </c>
      <c r="Y178" s="123">
        <f>X178-Z178</f>
        <v>0</v>
      </c>
      <c r="Z178" s="123">
        <f>Z179+Z185+Z191+Z197</f>
        <v>0</v>
      </c>
      <c r="AA178" s="123">
        <f>VLOOKUP($C178,'1 预算编制表单'!$C:$BJ,30,FALSE)</f>
        <v>0</v>
      </c>
      <c r="AB178" s="123">
        <f>AA178-AC178</f>
        <v>0</v>
      </c>
      <c r="AC178" s="123">
        <f>AC179+AC185+AC191+AC197</f>
        <v>0</v>
      </c>
      <c r="AD178" s="123">
        <f>VLOOKUP($C178,'1 预算编制表单'!$C:$BJ,33,FALSE)</f>
        <v>0</v>
      </c>
      <c r="AE178" s="123">
        <f>AD178-AF178</f>
        <v>0</v>
      </c>
      <c r="AF178" s="123">
        <f>AF179+AF185+AF191+AF197</f>
        <v>0</v>
      </c>
      <c r="AG178" s="123">
        <f>VLOOKUP($C178,'1 预算编制表单'!$C:$BJ,36,FALSE)</f>
        <v>0</v>
      </c>
      <c r="AH178" s="123">
        <f>AG178-AI178</f>
        <v>0</v>
      </c>
      <c r="AI178" s="123">
        <f>AI179+AI185+AI191+AI197</f>
        <v>0</v>
      </c>
      <c r="AJ178" s="123">
        <f>VLOOKUP($C178,'1 预算编制表单'!$C:$BJ,39,FALSE)</f>
        <v>0</v>
      </c>
      <c r="AK178" s="123">
        <f>AJ178-AL178</f>
        <v>0</v>
      </c>
      <c r="AL178" s="123">
        <f>AL179+AL185+AL191+AL197</f>
        <v>0</v>
      </c>
      <c r="AM178" s="123">
        <f>VLOOKUP($C178,'1 预算编制表单'!$C:$BJ,42,FALSE)</f>
        <v>0</v>
      </c>
      <c r="AN178" s="123">
        <f>AM178-AO178</f>
        <v>0</v>
      </c>
      <c r="AO178" s="123">
        <f>AO179+AO185+AO191+AO197</f>
        <v>0</v>
      </c>
      <c r="AP178" s="123">
        <f>VLOOKUP($C178,'1 预算编制表单'!$C:$BJ,45,FALSE)</f>
        <v>0</v>
      </c>
      <c r="AQ178" s="123">
        <f>AP178-AR178</f>
        <v>0</v>
      </c>
      <c r="AR178" s="123">
        <f>AR179+AR185+AR191+AR197</f>
        <v>0</v>
      </c>
      <c r="AS178" s="123">
        <f>VLOOKUP($C178,'1 预算编制表单'!$C:$BJ,48,FALSE)</f>
        <v>0</v>
      </c>
      <c r="AT178" s="123">
        <f>AS178-AU178</f>
        <v>0</v>
      </c>
      <c r="AU178" s="123">
        <f>AU179+AU185+AU191+AU197</f>
        <v>0</v>
      </c>
      <c r="AV178" s="123">
        <f>VLOOKUP($C178,'1 预算编制表单'!$C:$BJ,51,FALSE)</f>
        <v>0</v>
      </c>
      <c r="AW178" s="123">
        <f>AV178-AX178</f>
        <v>0</v>
      </c>
      <c r="AX178" s="123">
        <f>AX179+AX185+AX191+AX197</f>
        <v>0</v>
      </c>
      <c r="AY178" s="123">
        <f>VLOOKUP($C178,'1 预算编制表单'!$C:$BJ,54,FALSE)</f>
        <v>0</v>
      </c>
      <c r="AZ178" s="123">
        <f>AY178-BA178</f>
        <v>0</v>
      </c>
      <c r="BA178" s="123">
        <f>BA179+BA185+BA191+BA197</f>
        <v>0</v>
      </c>
      <c r="BB178" s="123">
        <f>VLOOKUP($C178,'1 预算编制表单'!$C:$BJ,57,FALSE)</f>
        <v>0</v>
      </c>
      <c r="BC178" s="123">
        <f>BB178-BD178</f>
        <v>0</v>
      </c>
      <c r="BD178" s="123">
        <f>BD179+BD185+BD191+BD197</f>
        <v>0</v>
      </c>
      <c r="BE178" s="123">
        <f>VLOOKUP($C178,'1 预算编制表单'!$C:$BJ,60,FALSE)</f>
        <v>0</v>
      </c>
      <c r="BF178" s="123">
        <f>BE178-BG178</f>
        <v>0</v>
      </c>
      <c r="BG178" s="123">
        <f>BG179+BG185+BG191+BG197</f>
        <v>0</v>
      </c>
      <c r="BH178" s="123">
        <f>VLOOKUP($C178,'1 预算编制表单'!$C:$BJ,27,FALSE)</f>
        <v>0</v>
      </c>
      <c r="BI178" s="123">
        <f t="shared" si="2111"/>
        <v>0</v>
      </c>
      <c r="BJ178" s="123">
        <f>BJ179+BJ185+BJ191+BJ197</f>
        <v>0</v>
      </c>
      <c r="BK178" s="123">
        <f>VLOOKUP($C178,'1 预算编制表单'!$C:$BJ,30,FALSE)</f>
        <v>0</v>
      </c>
      <c r="BL178" s="123">
        <f t="shared" si="2112"/>
        <v>0</v>
      </c>
      <c r="BM178" s="123">
        <f>BM179+BM185+BM191+BM197</f>
        <v>0</v>
      </c>
      <c r="BN178" s="123">
        <f>VLOOKUP($C178,'1 预算编制表单'!$C:$BJ,33,FALSE)</f>
        <v>0</v>
      </c>
      <c r="BO178" s="123">
        <f t="shared" si="2113"/>
        <v>0</v>
      </c>
      <c r="BP178" s="123">
        <f>BP179+BP185+BP191+BP197</f>
        <v>0</v>
      </c>
      <c r="BQ178" s="123">
        <f>VLOOKUP($C178,'1 预算编制表单'!$C:$BJ,36,FALSE)</f>
        <v>0</v>
      </c>
      <c r="BR178" s="123">
        <f t="shared" si="2114"/>
        <v>0</v>
      </c>
      <c r="BS178" s="123">
        <f>BS179+BS185+BS191+BS197</f>
        <v>0</v>
      </c>
      <c r="BT178" s="123">
        <f>VLOOKUP($C178,'1 预算编制表单'!$C:$BJ,39,FALSE)</f>
        <v>0</v>
      </c>
      <c r="BU178" s="123">
        <f t="shared" si="2115"/>
        <v>0</v>
      </c>
      <c r="BV178" s="123">
        <f>BV179+BV185+BV191+BV197</f>
        <v>0</v>
      </c>
      <c r="BW178" s="123">
        <f>VLOOKUP($C178,'1 预算编制表单'!$C:$BJ,42,FALSE)</f>
        <v>0</v>
      </c>
      <c r="BX178" s="123">
        <f t="shared" si="2116"/>
        <v>0</v>
      </c>
      <c r="BY178" s="123">
        <f>BY179+BY185+BY191+BY197</f>
        <v>0</v>
      </c>
      <c r="BZ178" s="123">
        <f>VLOOKUP($C178,'1 预算编制表单'!$C:$BJ,45,FALSE)</f>
        <v>0</v>
      </c>
      <c r="CA178" s="123">
        <f t="shared" si="2117"/>
        <v>0</v>
      </c>
      <c r="CB178" s="123">
        <f>CB179+CB185+CB191+CB197</f>
        <v>0</v>
      </c>
      <c r="CC178" s="123">
        <f>VLOOKUP($C178,'1 预算编制表单'!$C:$BJ,48,FALSE)</f>
        <v>0</v>
      </c>
      <c r="CD178" s="123">
        <f t="shared" si="2118"/>
        <v>0</v>
      </c>
      <c r="CE178" s="123">
        <f>CE179+CE185+CE191+CE197</f>
        <v>0</v>
      </c>
      <c r="CF178" s="123">
        <f>VLOOKUP($C178,'1 预算编制表单'!$C:$BJ,51,FALSE)</f>
        <v>0</v>
      </c>
      <c r="CG178" s="123">
        <f t="shared" si="2119"/>
        <v>0</v>
      </c>
      <c r="CH178" s="123">
        <f>CH179+CH185+CH191+CH197</f>
        <v>0</v>
      </c>
      <c r="CI178" s="123">
        <f>VLOOKUP($C178,'1 预算编制表单'!$C:$BJ,54,FALSE)</f>
        <v>0</v>
      </c>
      <c r="CJ178" s="123">
        <f t="shared" si="2120"/>
        <v>0</v>
      </c>
      <c r="CK178" s="123">
        <f>CK179+CK185+CK191+CK197</f>
        <v>0</v>
      </c>
      <c r="CL178" s="123">
        <f>VLOOKUP($C178,'1 预算编制表单'!$C:$BJ,57,FALSE)</f>
        <v>0</v>
      </c>
      <c r="CM178" s="123">
        <f t="shared" si="2121"/>
        <v>0</v>
      </c>
      <c r="CN178" s="123">
        <f>CN179+CN185+CN191+CN197</f>
        <v>0</v>
      </c>
      <c r="CO178" s="123">
        <f>VLOOKUP($C178,'1 预算编制表单'!$C:$BJ,60,FALSE)</f>
        <v>0</v>
      </c>
      <c r="CP178" s="123">
        <f t="shared" si="2122"/>
        <v>0</v>
      </c>
      <c r="CQ178" s="123">
        <f>CQ179+CQ185+CQ191+CQ197</f>
        <v>0</v>
      </c>
    </row>
    <row r="179" ht="24" hidden="1" customHeight="1" outlineLevel="3" collapsed="1" spans="1:95">
      <c r="A179" s="124"/>
      <c r="B179" s="125" t="s">
        <v>792</v>
      </c>
      <c r="C179" s="126" t="s">
        <v>1140</v>
      </c>
      <c r="D179" s="124" t="s">
        <v>2818</v>
      </c>
      <c r="E179" s="125"/>
      <c r="F179" s="125"/>
      <c r="G179" s="125"/>
      <c r="H179" s="127">
        <f t="shared" si="2110"/>
        <v>0</v>
      </c>
      <c r="I179" s="127">
        <f t="shared" si="2110"/>
        <v>0</v>
      </c>
      <c r="J179" s="127">
        <f t="shared" si="1570"/>
        <v>0</v>
      </c>
      <c r="K179" s="127"/>
      <c r="L179" s="155"/>
      <c r="M179" s="155"/>
      <c r="N179" s="127"/>
      <c r="O179" s="155"/>
      <c r="P179" s="127"/>
      <c r="Q179" s="127"/>
      <c r="R179" s="127"/>
      <c r="S179" s="127"/>
      <c r="T179" s="127"/>
      <c r="U179" s="127"/>
      <c r="V179" s="127"/>
      <c r="W179" s="127"/>
      <c r="X179" s="127">
        <f>VLOOKUP($C179,'1 预算编制表单'!$C:$BJ,27,FALSE)</f>
        <v>0</v>
      </c>
      <c r="Y179" s="127">
        <f>X179-Z179</f>
        <v>0</v>
      </c>
      <c r="Z179" s="127">
        <f>SUM(Z180:Z184)</f>
        <v>0</v>
      </c>
      <c r="AA179" s="127">
        <f>VLOOKUP($C179,'1 预算编制表单'!$C:$BJ,30,FALSE)</f>
        <v>0</v>
      </c>
      <c r="AB179" s="127">
        <f>AA179-AC179</f>
        <v>0</v>
      </c>
      <c r="AC179" s="127">
        <f>SUM(AC180:AC184)</f>
        <v>0</v>
      </c>
      <c r="AD179" s="127">
        <f>VLOOKUP($C179,'1 预算编制表单'!$C:$BJ,33,FALSE)</f>
        <v>0</v>
      </c>
      <c r="AE179" s="127">
        <f>AD179-AF179</f>
        <v>0</v>
      </c>
      <c r="AF179" s="127">
        <f>SUM(AF180:AF184)</f>
        <v>0</v>
      </c>
      <c r="AG179" s="127">
        <f>VLOOKUP($C179,'1 预算编制表单'!$C:$BJ,36,FALSE)</f>
        <v>0</v>
      </c>
      <c r="AH179" s="127">
        <f>AG179-AI179</f>
        <v>0</v>
      </c>
      <c r="AI179" s="127">
        <f>SUM(AI180:AI184)</f>
        <v>0</v>
      </c>
      <c r="AJ179" s="127">
        <f>VLOOKUP($C179,'1 预算编制表单'!$C:$BJ,39,FALSE)</f>
        <v>0</v>
      </c>
      <c r="AK179" s="127">
        <f>AJ179-AL179</f>
        <v>0</v>
      </c>
      <c r="AL179" s="127">
        <f>SUM(AL180:AL184)</f>
        <v>0</v>
      </c>
      <c r="AM179" s="127">
        <f>VLOOKUP($C179,'1 预算编制表单'!$C:$BJ,42,FALSE)</f>
        <v>0</v>
      </c>
      <c r="AN179" s="127">
        <f>AM179-AO179</f>
        <v>0</v>
      </c>
      <c r="AO179" s="127">
        <f>SUM(AO180:AO184)</f>
        <v>0</v>
      </c>
      <c r="AP179" s="127">
        <f>VLOOKUP($C179,'1 预算编制表单'!$C:$BJ,45,FALSE)</f>
        <v>0</v>
      </c>
      <c r="AQ179" s="127">
        <f>AP179-AR179</f>
        <v>0</v>
      </c>
      <c r="AR179" s="127">
        <f>SUM(AR180:AR184)</f>
        <v>0</v>
      </c>
      <c r="AS179" s="127">
        <f>VLOOKUP($C179,'1 预算编制表单'!$C:$BJ,48,FALSE)</f>
        <v>0</v>
      </c>
      <c r="AT179" s="127">
        <f>AS179-AU179</f>
        <v>0</v>
      </c>
      <c r="AU179" s="127">
        <f>SUM(AU180:AU184)</f>
        <v>0</v>
      </c>
      <c r="AV179" s="127">
        <f>VLOOKUP($C179,'1 预算编制表单'!$C:$BJ,51,FALSE)</f>
        <v>0</v>
      </c>
      <c r="AW179" s="127">
        <f>AV179-AX179</f>
        <v>0</v>
      </c>
      <c r="AX179" s="127">
        <f>SUM(AX180:AX184)</f>
        <v>0</v>
      </c>
      <c r="AY179" s="127">
        <f>VLOOKUP($C179,'1 预算编制表单'!$C:$BJ,54,FALSE)</f>
        <v>0</v>
      </c>
      <c r="AZ179" s="127">
        <f>AY179-BA179</f>
        <v>0</v>
      </c>
      <c r="BA179" s="127">
        <f>SUM(BA180:BA184)</f>
        <v>0</v>
      </c>
      <c r="BB179" s="127">
        <f>VLOOKUP($C179,'1 预算编制表单'!$C:$BJ,57,FALSE)</f>
        <v>0</v>
      </c>
      <c r="BC179" s="127">
        <f>BB179-BD179</f>
        <v>0</v>
      </c>
      <c r="BD179" s="127">
        <f>SUM(BD180:BD184)</f>
        <v>0</v>
      </c>
      <c r="BE179" s="127">
        <f>VLOOKUP($C179,'1 预算编制表单'!$C:$BJ,60,FALSE)</f>
        <v>0</v>
      </c>
      <c r="BF179" s="127">
        <f>BE179-BG179</f>
        <v>0</v>
      </c>
      <c r="BG179" s="127">
        <f>SUM(BG180:BG184)</f>
        <v>0</v>
      </c>
      <c r="BH179" s="127">
        <f>VLOOKUP($C179,'1 预算编制表单'!$C:$BJ,27,FALSE)</f>
        <v>0</v>
      </c>
      <c r="BI179" s="127">
        <f t="shared" si="2111"/>
        <v>0</v>
      </c>
      <c r="BJ179" s="127">
        <f>SUM(BJ180:BJ184)</f>
        <v>0</v>
      </c>
      <c r="BK179" s="127">
        <f>VLOOKUP($C179,'1 预算编制表单'!$C:$BJ,30,FALSE)</f>
        <v>0</v>
      </c>
      <c r="BL179" s="127">
        <f t="shared" si="2112"/>
        <v>0</v>
      </c>
      <c r="BM179" s="127">
        <f>SUM(BM180:BM184)</f>
        <v>0</v>
      </c>
      <c r="BN179" s="127">
        <f>VLOOKUP($C179,'1 预算编制表单'!$C:$BJ,33,FALSE)</f>
        <v>0</v>
      </c>
      <c r="BO179" s="127">
        <f t="shared" si="2113"/>
        <v>0</v>
      </c>
      <c r="BP179" s="127">
        <f>SUM(BP180:BP184)</f>
        <v>0</v>
      </c>
      <c r="BQ179" s="127">
        <f>VLOOKUP($C179,'1 预算编制表单'!$C:$BJ,36,FALSE)</f>
        <v>0</v>
      </c>
      <c r="BR179" s="127">
        <f t="shared" si="2114"/>
        <v>0</v>
      </c>
      <c r="BS179" s="127">
        <f>SUM(BS180:BS184)</f>
        <v>0</v>
      </c>
      <c r="BT179" s="127">
        <f>VLOOKUP($C179,'1 预算编制表单'!$C:$BJ,39,FALSE)</f>
        <v>0</v>
      </c>
      <c r="BU179" s="127">
        <f t="shared" si="2115"/>
        <v>0</v>
      </c>
      <c r="BV179" s="127">
        <f>SUM(BV180:BV184)</f>
        <v>0</v>
      </c>
      <c r="BW179" s="127">
        <f>VLOOKUP($C179,'1 预算编制表单'!$C:$BJ,42,FALSE)</f>
        <v>0</v>
      </c>
      <c r="BX179" s="127">
        <f t="shared" si="2116"/>
        <v>0</v>
      </c>
      <c r="BY179" s="127">
        <f>SUM(BY180:BY184)</f>
        <v>0</v>
      </c>
      <c r="BZ179" s="127">
        <f>VLOOKUP($C179,'1 预算编制表单'!$C:$BJ,45,FALSE)</f>
        <v>0</v>
      </c>
      <c r="CA179" s="127">
        <f t="shared" si="2117"/>
        <v>0</v>
      </c>
      <c r="CB179" s="127">
        <f>SUM(CB180:CB184)</f>
        <v>0</v>
      </c>
      <c r="CC179" s="127">
        <f>VLOOKUP($C179,'1 预算编制表单'!$C:$BJ,48,FALSE)</f>
        <v>0</v>
      </c>
      <c r="CD179" s="127">
        <f t="shared" si="2118"/>
        <v>0</v>
      </c>
      <c r="CE179" s="127">
        <f>SUM(CE180:CE184)</f>
        <v>0</v>
      </c>
      <c r="CF179" s="127">
        <f>VLOOKUP($C179,'1 预算编制表单'!$C:$BJ,51,FALSE)</f>
        <v>0</v>
      </c>
      <c r="CG179" s="127">
        <f t="shared" si="2119"/>
        <v>0</v>
      </c>
      <c r="CH179" s="127">
        <f>SUM(CH180:CH184)</f>
        <v>0</v>
      </c>
      <c r="CI179" s="127">
        <f>VLOOKUP($C179,'1 预算编制表单'!$C:$BJ,54,FALSE)</f>
        <v>0</v>
      </c>
      <c r="CJ179" s="127">
        <f t="shared" si="2120"/>
        <v>0</v>
      </c>
      <c r="CK179" s="127">
        <f>SUM(CK180:CK184)</f>
        <v>0</v>
      </c>
      <c r="CL179" s="127">
        <f>VLOOKUP($C179,'1 预算编制表单'!$C:$BJ,57,FALSE)</f>
        <v>0</v>
      </c>
      <c r="CM179" s="127">
        <f t="shared" si="2121"/>
        <v>0</v>
      </c>
      <c r="CN179" s="127">
        <f>SUM(CN180:CN184)</f>
        <v>0</v>
      </c>
      <c r="CO179" s="127">
        <f>VLOOKUP($C179,'1 预算编制表单'!$C:$BJ,60,FALSE)</f>
        <v>0</v>
      </c>
      <c r="CP179" s="127">
        <f t="shared" si="2122"/>
        <v>0</v>
      </c>
      <c r="CQ179" s="127">
        <f>SUM(CQ180:CQ184)</f>
        <v>0</v>
      </c>
    </row>
    <row r="180" s="89" customFormat="1" ht="24" hidden="1" customHeight="1" outlineLevel="4" spans="1:95">
      <c r="A180" s="128"/>
      <c r="B180" s="129"/>
      <c r="C180" s="130"/>
      <c r="D180" s="128"/>
      <c r="E180" s="129"/>
      <c r="F180" s="129"/>
      <c r="G180" s="129"/>
      <c r="H180" s="131"/>
      <c r="I180" s="131"/>
      <c r="J180" s="131">
        <f t="shared" si="1570"/>
        <v>0</v>
      </c>
      <c r="K180" s="131">
        <v>1</v>
      </c>
      <c r="L180" s="156"/>
      <c r="M180" s="157">
        <f>IFERROR(VLOOKUP($L180,'2-2 引出数据_合同数据仓库'!$B$5:$BP$200,3,FALSE),0)</f>
        <v>0</v>
      </c>
      <c r="N180" s="131"/>
      <c r="O180" s="157">
        <f>IFERROR(VLOOKUP((LEFT(VLOOKUP($L180,'2-2 引出数据_合同数据仓库'!$B$5:$BP$200,64,FALSE),15)&amp;(RIGHT(VLOOKUP($L180,'2-2 引出数据_合同数据仓库'!$B$5:$BP$200,64,FALSE),4)+1)),'2-2 引出数据_合同数据仓库'!$B$5:$BP$200,3,FALSE),0)</f>
        <v>0</v>
      </c>
      <c r="P180" s="131"/>
      <c r="Q180" s="131">
        <f>IFERROR(VLOOKUP($L180,'2-2 引出数据_合同数据仓库'!$B$5:$BP$200,28,FALSE),0)</f>
        <v>0</v>
      </c>
      <c r="R180" s="131">
        <f>IFERROR(VLOOKUP($L180,'2-2 引出数据_合同数据仓库'!$B$5:$BP$200,29,FALSE),0)</f>
        <v>0</v>
      </c>
      <c r="S180" s="131">
        <f>IFERROR(VLOOKUP($L180,'2-2 引出数据_合同数据仓库'!$B$5:$BP$200,4,FALSE),0)</f>
        <v>0</v>
      </c>
      <c r="T180" s="131"/>
      <c r="U180" s="131">
        <f>IFERROR(VLOOKUP($L180,'2-2 引出数据_合同数据仓库'!$B$5:$BP$200,15,FALSE),0)</f>
        <v>0</v>
      </c>
      <c r="V180" s="131">
        <f t="shared" ref="V180:V183" si="2123">U180/(S180-R180+1)*365</f>
        <v>0</v>
      </c>
      <c r="W180" s="131"/>
      <c r="X180" s="163">
        <v>45658</v>
      </c>
      <c r="Y180" s="163">
        <f t="shared" ref="Y180:Y183" si="2124">X180+30</f>
        <v>45688</v>
      </c>
      <c r="Z180" s="167">
        <f t="shared" ref="Z180:Z183" si="2125">IFERROR(IF(($R180-Y180)&gt;=0,0,IF(($S180-X180)&lt;0,0,IF(AND(($S180-Y180)&gt;0,(X180-$R180)&gt;0),$V180/365*(Y180-X180+1),IF(AND(($S180-Y180)&lt;=0,(X180-$R180)&gt;0),$V180/365*($S180-X180+1),$V180/365*(Y180-$R180+1))))),0)</f>
        <v>0</v>
      </c>
      <c r="AA180" s="163">
        <f t="shared" ref="AA180:AA183" si="2126">Y180+1</f>
        <v>45689</v>
      </c>
      <c r="AB180" s="163">
        <f t="shared" ref="AB180:AB183" si="2127">AA180+27</f>
        <v>45716</v>
      </c>
      <c r="AC180" s="167">
        <f t="shared" ref="AC180:AC183" si="2128">IFERROR(IF(($R180-AB180)&gt;=0,0,IF(($S180-AA180)&lt;0,0,IF(AND(($S180-AB180)&gt;0,(AA180-$R180)&gt;0),$V180/365*(AB180-AA180+1),IF(AND(($S180-AB180)&lt;=0,(AA180-$R180)&gt;0),$V180/365*($S180-AA180+1),$V180/365*(AB180-$R180+1))))),0)</f>
        <v>0</v>
      </c>
      <c r="AD180" s="163">
        <f t="shared" ref="AD180:AD183" si="2129">AB180+1</f>
        <v>45717</v>
      </c>
      <c r="AE180" s="163">
        <f t="shared" ref="AE180:AE183" si="2130">AD180+30</f>
        <v>45747</v>
      </c>
      <c r="AF180" s="167">
        <f t="shared" ref="AF180:AF183" si="2131">IFERROR(IF(($R180-AE180)&gt;=0,0,IF(($S180-AD180)&lt;0,0,IF(AND(($S180-AE180)&gt;0,(AD180-$R180)&gt;0),$V180/365*(AE180-AD180+1),IF(AND(($S180-AE180)&lt;=0,(AD180-$R180)&gt;0),$V180/365*($S180-AD180+1),$V180/365*(AE180-$R180+1))))),0)</f>
        <v>0</v>
      </c>
      <c r="AG180" s="163">
        <f t="shared" ref="AG180:AG183" si="2132">AE180+1</f>
        <v>45748</v>
      </c>
      <c r="AH180" s="163">
        <f t="shared" ref="AH180:AH183" si="2133">AG180+29</f>
        <v>45777</v>
      </c>
      <c r="AI180" s="167">
        <f t="shared" ref="AI180:AI183" si="2134">IFERROR(IF(($R180-AH180)&gt;=0,0,IF(($S180-AG180)&lt;0,0,IF(AND(($S180-AH180)&gt;0,(AG180-$R180)&gt;0),$V180/365*(AH180-AG180+1),IF(AND(($S180-AH180)&lt;=0,(AG180-$R180)&gt;0),$V180/365*($S180-AG180+1),$V180/365*(AH180-$R180+1))))),0)</f>
        <v>0</v>
      </c>
      <c r="AJ180" s="163">
        <f t="shared" ref="AJ180:AJ183" si="2135">AH180+1</f>
        <v>45778</v>
      </c>
      <c r="AK180" s="163">
        <f t="shared" ref="AK180:AK183" si="2136">AJ180+30</f>
        <v>45808</v>
      </c>
      <c r="AL180" s="167">
        <f t="shared" ref="AL180:AL183" si="2137">IFERROR(IF(($R180-AK180)&gt;=0,0,IF(($S180-AJ180)&lt;0,0,IF(AND(($S180-AK180)&gt;0,(AJ180-$R180)&gt;0),$V180/365*(AK180-AJ180+1),IF(AND(($S180-AK180)&lt;=0,(AJ180-$R180)&gt;0),$V180/365*($S180-AJ180+1),$V180/365*(AK180-$R180+1))))),0)</f>
        <v>0</v>
      </c>
      <c r="AM180" s="163">
        <f t="shared" ref="AM180:AM183" si="2138">AK180+1</f>
        <v>45809</v>
      </c>
      <c r="AN180" s="163">
        <f t="shared" ref="AN180:AN183" si="2139">AM180+29</f>
        <v>45838</v>
      </c>
      <c r="AO180" s="167">
        <f t="shared" ref="AO180:AO183" si="2140">IFERROR(IF(($R180-AN180)&gt;=0,0,IF(($S180-AM180)&lt;0,0,IF(AND(($S180-AN180)&gt;0,(AM180-$R180)&gt;0),$V180/365*(AN180-AM180+1),IF(AND(($S180-AN180)&lt;=0,(AM180-$R180)&gt;0),$V180/365*($S180-AM180+1),$V180/365*(AN180-$R180+1))))),0)</f>
        <v>0</v>
      </c>
      <c r="AP180" s="163">
        <f t="shared" ref="AP180:AP183" si="2141">AN180+1</f>
        <v>45839</v>
      </c>
      <c r="AQ180" s="163">
        <f t="shared" ref="AQ180:AQ183" si="2142">AP180+30</f>
        <v>45869</v>
      </c>
      <c r="AR180" s="167">
        <f t="shared" ref="AR180:AR183" si="2143">IFERROR(IF(($R180-AQ180)&gt;=0,0,IF(($S180-AP180)&lt;0,0,IF(AND(($S180-AQ180)&gt;0,(AP180-$R180)&gt;0),$V180/365*(AQ180-AP180+1),IF(AND(($S180-AQ180)&lt;=0,(AP180-$R180)&gt;0),$V180/365*($S180-AP180+1),$V180/365*(AQ180-$R180+1))))),0)</f>
        <v>0</v>
      </c>
      <c r="AS180" s="163">
        <f t="shared" ref="AS180:AS183" si="2144">AQ180+1</f>
        <v>45870</v>
      </c>
      <c r="AT180" s="163">
        <f t="shared" ref="AT180:AT183" si="2145">AS180+30</f>
        <v>45900</v>
      </c>
      <c r="AU180" s="167">
        <f t="shared" ref="AU180:AU183" si="2146">IFERROR(IF(($R180-AT180)&gt;=0,0,IF(($S180-AS180)&lt;0,0,IF(AND(($S180-AT180)&gt;0,(AS180-$R180)&gt;0),$V180/365*(AT180-AS180+1),IF(AND(($S180-AT180)&lt;=0,(AS180-$R180)&gt;0),$V180/365*($S180-AS180+1),$V180/365*(AT180-$R180+1))))),0)</f>
        <v>0</v>
      </c>
      <c r="AV180" s="163">
        <f t="shared" ref="AV180:AV183" si="2147">AT180+1</f>
        <v>45901</v>
      </c>
      <c r="AW180" s="163">
        <f t="shared" ref="AW180:AW183" si="2148">AV180+29</f>
        <v>45930</v>
      </c>
      <c r="AX180" s="167">
        <f t="shared" ref="AX180:AX183" si="2149">IFERROR(IF(($R180-AW180)&gt;=0,0,IF(($S180-AV180)&lt;0,0,IF(AND(($S180-AW180)&gt;0,(AV180-$R180)&gt;0),$V180/365*(AW180-AV180+1),IF(AND(($S180-AW180)&lt;=0,(AV180-$R180)&gt;0),$V180/365*($S180-AV180+1),$V180/365*(AW180-$R180+1))))),0)</f>
        <v>0</v>
      </c>
      <c r="AY180" s="163">
        <f t="shared" ref="AY180:AY183" si="2150">AW180+1</f>
        <v>45931</v>
      </c>
      <c r="AZ180" s="163">
        <f t="shared" ref="AZ180:AZ183" si="2151">AY180+30</f>
        <v>45961</v>
      </c>
      <c r="BA180" s="167">
        <f t="shared" ref="BA180:BA183" si="2152">IFERROR(IF(($R180-AZ180)&gt;=0,0,IF(($S180-AY180)&lt;0,0,IF(AND(($S180-AZ180)&gt;0,(AY180-$R180)&gt;0),$V180/365*(AZ180-AY180+1),IF(AND(($S180-AZ180)&lt;=0,(AY180-$R180)&gt;0),$V180/365*($S180-AY180+1),$V180/365*(AZ180-$R180+1))))),0)</f>
        <v>0</v>
      </c>
      <c r="BB180" s="163">
        <f t="shared" ref="BB180:BB183" si="2153">AZ180+1</f>
        <v>45962</v>
      </c>
      <c r="BC180" s="163">
        <f t="shared" ref="BC180:BC183" si="2154">BB180+29</f>
        <v>45991</v>
      </c>
      <c r="BD180" s="167">
        <f t="shared" ref="BD180:BD183" si="2155">IFERROR(IF(($R180-BC180)&gt;=0,0,IF(($S180-BB180)&lt;0,0,IF(AND(($S180-BC180)&gt;0,(BB180-$R180)&gt;0),$V180/365*(BC180-BB180+1),IF(AND(($S180-BC180)&lt;=0,(BB180-$R180)&gt;0),$V180/365*($S180-BB180+1),$V180/365*(BC180-$R180+1))))),0)</f>
        <v>0</v>
      </c>
      <c r="BE180" s="163">
        <f t="shared" ref="BE180:BE183" si="2156">BC180+1</f>
        <v>45992</v>
      </c>
      <c r="BF180" s="163">
        <f t="shared" ref="BF180:BF183" si="2157">BE180+30</f>
        <v>46022</v>
      </c>
      <c r="BG180" s="167">
        <f t="shared" ref="BG180:BG183" si="2158">IFERROR(IF(($R180-BF180)&gt;=0,0,IF(($S180-BE180)&lt;0,0,IF(AND(($S180-BF180)&gt;0,(BE180-$R180)&gt;0),$V180/365*(BF180-BE180+1),IF(AND(($S180-BF180)&lt;=0,(BE180-$R180)&gt;0),$V180/365*($S180-BE180+1),$V180/365*(BF180-$R180+1))))),0)</f>
        <v>0</v>
      </c>
      <c r="BH180" s="163">
        <v>46023</v>
      </c>
      <c r="BI180" s="163">
        <f t="shared" ref="BI180:BI183" si="2159">BH180+30</f>
        <v>46053</v>
      </c>
      <c r="BJ180" s="167">
        <f t="shared" ref="BJ180:BJ183" si="2160">IFERROR(IF(($R180-BI180)&gt;=0,0,IF(($S180-BH180)&lt;0,0,IF(AND(($S180-BI180)&gt;0,(BH180-$R180)&gt;0),$V180/365*(BI180-BH180+1),IF(AND(($S180-BI180)&lt;=0,(BH180-$R180)&gt;0),$V180/365*($S180-BH180+1),$V180/365*(BI180-$R180+1))))),0)</f>
        <v>0</v>
      </c>
      <c r="BK180" s="163">
        <f t="shared" ref="BK180:BK183" si="2161">BI180+1</f>
        <v>46054</v>
      </c>
      <c r="BL180" s="163">
        <f t="shared" ref="BL180:BL183" si="2162">BK180+27</f>
        <v>46081</v>
      </c>
      <c r="BM180" s="167">
        <f t="shared" ref="BM180:BM183" si="2163">IFERROR(IF(($R180-BL180)&gt;=0,0,IF(($S180-BK180)&lt;0,0,IF(AND(($S180-BL180)&gt;0,(BK180-$R180)&gt;0),$V180/365*(BL180-BK180+1),IF(AND(($S180-BL180)&lt;=0,(BK180-$R180)&gt;0),$V180/365*($S180-BK180+1),$V180/365*(BL180-$R180+1))))),0)</f>
        <v>0</v>
      </c>
      <c r="BN180" s="163">
        <f t="shared" ref="BN180:BN183" si="2164">BL180+1</f>
        <v>46082</v>
      </c>
      <c r="BO180" s="163">
        <f t="shared" ref="BO180:BO183" si="2165">BN180+30</f>
        <v>46112</v>
      </c>
      <c r="BP180" s="167">
        <f t="shared" ref="BP180:BP183" si="2166">IFERROR(IF(($R180-BO180)&gt;=0,0,IF(($S180-BN180)&lt;0,0,IF(AND(($S180-BO180)&gt;0,(BN180-$R180)&gt;0),$V180/365*(BO180-BN180+1),IF(AND(($S180-BO180)&lt;=0,(BN180-$R180)&gt;0),$V180/365*($S180-BN180+1),$V180/365*(BO180-$R180+1))))),0)</f>
        <v>0</v>
      </c>
      <c r="BQ180" s="163">
        <f t="shared" ref="BQ180:BQ183" si="2167">BO180+1</f>
        <v>46113</v>
      </c>
      <c r="BR180" s="163">
        <f t="shared" ref="BR180:BR183" si="2168">BQ180+29</f>
        <v>46142</v>
      </c>
      <c r="BS180" s="167">
        <f t="shared" ref="BS180:BS183" si="2169">IFERROR(IF(($R180-BR180)&gt;=0,0,IF(($S180-BQ180)&lt;0,0,IF(AND(($S180-BR180)&gt;0,(BQ180-$R180)&gt;0),$V180/365*(BR180-BQ180+1),IF(AND(($S180-BR180)&lt;=0,(BQ180-$R180)&gt;0),$V180/365*($S180-BQ180+1),$V180/365*(BR180-$R180+1))))),0)</f>
        <v>0</v>
      </c>
      <c r="BT180" s="163">
        <f t="shared" ref="BT180:BT183" si="2170">BR180+1</f>
        <v>46143</v>
      </c>
      <c r="BU180" s="163">
        <f t="shared" ref="BU180:BU183" si="2171">BT180+30</f>
        <v>46173</v>
      </c>
      <c r="BV180" s="167">
        <f t="shared" ref="BV180:BV183" si="2172">IFERROR(IF(($R180-BU180)&gt;=0,0,IF(($S180-BT180)&lt;0,0,IF(AND(($S180-BU180)&gt;0,(BT180-$R180)&gt;0),$V180/365*(BU180-BT180+1),IF(AND(($S180-BU180)&lt;=0,(BT180-$R180)&gt;0),$V180/365*($S180-BT180+1),$V180/365*(BU180-$R180+1))))),0)</f>
        <v>0</v>
      </c>
      <c r="BW180" s="163">
        <f t="shared" ref="BW180:BW183" si="2173">BU180+1</f>
        <v>46174</v>
      </c>
      <c r="BX180" s="163">
        <f t="shared" ref="BX180:BX183" si="2174">BW180+29</f>
        <v>46203</v>
      </c>
      <c r="BY180" s="167">
        <f t="shared" ref="BY180:BY183" si="2175">IFERROR(IF(($R180-BX180)&gt;=0,0,IF(($S180-BW180)&lt;0,0,IF(AND(($S180-BX180)&gt;0,(BW180-$R180)&gt;0),$V180/365*(BX180-BW180+1),IF(AND(($S180-BX180)&lt;=0,(BW180-$R180)&gt;0),$V180/365*($S180-BW180+1),$V180/365*(BX180-$R180+1))))),0)</f>
        <v>0</v>
      </c>
      <c r="BZ180" s="163">
        <f t="shared" ref="BZ180:BZ183" si="2176">BX180+1</f>
        <v>46204</v>
      </c>
      <c r="CA180" s="163">
        <f t="shared" ref="CA180:CA183" si="2177">BZ180+30</f>
        <v>46234</v>
      </c>
      <c r="CB180" s="167">
        <f t="shared" ref="CB180:CB183" si="2178">IFERROR(IF(($R180-CA180)&gt;=0,0,IF(($S180-BZ180)&lt;0,0,IF(AND(($S180-CA180)&gt;0,(BZ180-$R180)&gt;0),$V180/365*(CA180-BZ180+1),IF(AND(($S180-CA180)&lt;=0,(BZ180-$R180)&gt;0),$V180/365*($S180-BZ180+1),$V180/365*(CA180-$R180+1))))),0)</f>
        <v>0</v>
      </c>
      <c r="CC180" s="163">
        <f t="shared" ref="CC180:CC183" si="2179">CA180+1</f>
        <v>46235</v>
      </c>
      <c r="CD180" s="163">
        <f t="shared" ref="CD180:CD183" si="2180">CC180+30</f>
        <v>46265</v>
      </c>
      <c r="CE180" s="167">
        <f t="shared" ref="CE180:CE183" si="2181">IFERROR(IF(($R180-CD180)&gt;=0,0,IF(($S180-CC180)&lt;0,0,IF(AND(($S180-CD180)&gt;0,(CC180-$R180)&gt;0),$V180/365*(CD180-CC180+1),IF(AND(($S180-CD180)&lt;=0,(CC180-$R180)&gt;0),$V180/365*($S180-CC180+1),$V180/365*(CD180-$R180+1))))),0)</f>
        <v>0</v>
      </c>
      <c r="CF180" s="163">
        <f t="shared" ref="CF180:CF183" si="2182">CD180+1</f>
        <v>46266</v>
      </c>
      <c r="CG180" s="163">
        <f t="shared" ref="CG180:CG183" si="2183">CF180+29</f>
        <v>46295</v>
      </c>
      <c r="CH180" s="167">
        <f t="shared" ref="CH180:CH183" si="2184">IFERROR(IF(($R180-CG180)&gt;=0,0,IF(($S180-CF180)&lt;0,0,IF(AND(($S180-CG180)&gt;0,(CF180-$R180)&gt;0),$V180/365*(CG180-CF180+1),IF(AND(($S180-CG180)&lt;=0,(CF180-$R180)&gt;0),$V180/365*($S180-CF180+1),$V180/365*(CG180-$R180+1))))),0)</f>
        <v>0</v>
      </c>
      <c r="CI180" s="163">
        <f t="shared" ref="CI180:CI183" si="2185">CG180+1</f>
        <v>46296</v>
      </c>
      <c r="CJ180" s="163">
        <f t="shared" ref="CJ180:CJ183" si="2186">CI180+30</f>
        <v>46326</v>
      </c>
      <c r="CK180" s="167">
        <f t="shared" ref="CK180:CK183" si="2187">IFERROR(IF(($R180-CJ180)&gt;=0,0,IF(($S180-CI180)&lt;0,0,IF(AND(($S180-CJ180)&gt;0,(CI180-$R180)&gt;0),$V180/365*(CJ180-CI180+1),IF(AND(($S180-CJ180)&lt;=0,(CI180-$R180)&gt;0),$V180/365*($S180-CI180+1),$V180/365*(CJ180-$R180+1))))),0)</f>
        <v>0</v>
      </c>
      <c r="CL180" s="163">
        <f t="shared" ref="CL180:CL183" si="2188">CJ180+1</f>
        <v>46327</v>
      </c>
      <c r="CM180" s="163">
        <f t="shared" ref="CM180:CM183" si="2189">CL180+29</f>
        <v>46356</v>
      </c>
      <c r="CN180" s="167">
        <f t="shared" ref="CN180:CN183" si="2190">IFERROR(IF(($R180-CM180)&gt;=0,0,IF(($S180-CL180)&lt;0,0,IF(AND(($S180-CM180)&gt;0,(CL180-$R180)&gt;0),$V180/365*(CM180-CL180+1),IF(AND(($S180-CM180)&lt;=0,(CL180-$R180)&gt;0),$V180/365*($S180-CL180+1),$V180/365*(CM180-$R180+1))))),0)</f>
        <v>0</v>
      </c>
      <c r="CO180" s="163">
        <f t="shared" ref="CO180:CO183" si="2191">CM180+1</f>
        <v>46357</v>
      </c>
      <c r="CP180" s="163">
        <f t="shared" ref="CP180:CP183" si="2192">CO180+30</f>
        <v>46387</v>
      </c>
      <c r="CQ180" s="167">
        <f t="shared" ref="CQ180:CQ183" si="2193">IFERROR(IF(($R180-CP180)&gt;=0,0,IF(($S180-CO180)&lt;0,0,IF(AND(($S180-CP180)&gt;0,(CO180-$R180)&gt;0),$V180/365*(CP180-CO180+1),IF(AND(($S180-CP180)&lt;=0,(CO180-$R180)&gt;0),$V180/365*($S180-CO180+1),$V180/365*(CP180-$R180+1))))),0)</f>
        <v>0</v>
      </c>
    </row>
    <row r="181" s="89" customFormat="1" ht="24" hidden="1" customHeight="1" outlineLevel="4" spans="1:95">
      <c r="A181" s="128"/>
      <c r="B181" s="129"/>
      <c r="C181" s="130"/>
      <c r="D181" s="128"/>
      <c r="E181" s="129"/>
      <c r="F181" s="129"/>
      <c r="G181" s="129"/>
      <c r="H181" s="131"/>
      <c r="I181" s="131"/>
      <c r="J181" s="131">
        <f t="shared" si="1570"/>
        <v>0</v>
      </c>
      <c r="K181" s="131">
        <f t="shared" ref="K181:K183" si="2194">K180+1</f>
        <v>2</v>
      </c>
      <c r="L181" s="156"/>
      <c r="M181" s="157">
        <f>IFERROR(VLOOKUP($L181,'2-2 引出数据_合同数据仓库'!$B$5:$BP$200,3,FALSE),0)</f>
        <v>0</v>
      </c>
      <c r="N181" s="131"/>
      <c r="O181" s="157">
        <f>IFERROR(VLOOKUP((LEFT(VLOOKUP($L181,'2-2 引出数据_合同数据仓库'!$B$5:$BP$200,64,FALSE),15)&amp;(RIGHT(VLOOKUP($L181,'2-2 引出数据_合同数据仓库'!$B$5:$BP$200,64,FALSE),4)+1)),'2-2 引出数据_合同数据仓库'!$B$5:$BP$200,3,FALSE),0)</f>
        <v>0</v>
      </c>
      <c r="P181" s="131"/>
      <c r="Q181" s="131">
        <f>IFERROR(VLOOKUP($L181,'2-2 引出数据_合同数据仓库'!$B$5:$BP$200,28,FALSE),0)</f>
        <v>0</v>
      </c>
      <c r="R181" s="131">
        <f>IFERROR(VLOOKUP($L181,'2-2 引出数据_合同数据仓库'!$B$5:$BP$200,29,FALSE),0)</f>
        <v>0</v>
      </c>
      <c r="S181" s="131">
        <f>IFERROR(VLOOKUP($L181,'2-2 引出数据_合同数据仓库'!$B$5:$BP$200,4,FALSE),0)</f>
        <v>0</v>
      </c>
      <c r="T181" s="131"/>
      <c r="U181" s="131">
        <f>IFERROR(VLOOKUP($L181,'2-2 引出数据_合同数据仓库'!$B$5:$BP$200,15,FALSE),0)</f>
        <v>0</v>
      </c>
      <c r="V181" s="131">
        <f t="shared" si="2123"/>
        <v>0</v>
      </c>
      <c r="W181" s="131"/>
      <c r="X181" s="163">
        <v>45658</v>
      </c>
      <c r="Y181" s="163">
        <f t="shared" si="2124"/>
        <v>45688</v>
      </c>
      <c r="Z181" s="167">
        <f t="shared" si="2125"/>
        <v>0</v>
      </c>
      <c r="AA181" s="163">
        <f t="shared" si="2126"/>
        <v>45689</v>
      </c>
      <c r="AB181" s="163">
        <f t="shared" si="2127"/>
        <v>45716</v>
      </c>
      <c r="AC181" s="167">
        <f t="shared" si="2128"/>
        <v>0</v>
      </c>
      <c r="AD181" s="163">
        <f t="shared" si="2129"/>
        <v>45717</v>
      </c>
      <c r="AE181" s="163">
        <f t="shared" si="2130"/>
        <v>45747</v>
      </c>
      <c r="AF181" s="167">
        <f t="shared" si="2131"/>
        <v>0</v>
      </c>
      <c r="AG181" s="163">
        <f t="shared" si="2132"/>
        <v>45748</v>
      </c>
      <c r="AH181" s="163">
        <f t="shared" si="2133"/>
        <v>45777</v>
      </c>
      <c r="AI181" s="167">
        <f t="shared" si="2134"/>
        <v>0</v>
      </c>
      <c r="AJ181" s="163">
        <f t="shared" si="2135"/>
        <v>45778</v>
      </c>
      <c r="AK181" s="163">
        <f t="shared" si="2136"/>
        <v>45808</v>
      </c>
      <c r="AL181" s="167">
        <f t="shared" si="2137"/>
        <v>0</v>
      </c>
      <c r="AM181" s="163">
        <f t="shared" si="2138"/>
        <v>45809</v>
      </c>
      <c r="AN181" s="163">
        <f t="shared" si="2139"/>
        <v>45838</v>
      </c>
      <c r="AO181" s="167">
        <f t="shared" si="2140"/>
        <v>0</v>
      </c>
      <c r="AP181" s="163">
        <f t="shared" si="2141"/>
        <v>45839</v>
      </c>
      <c r="AQ181" s="163">
        <f t="shared" si="2142"/>
        <v>45869</v>
      </c>
      <c r="AR181" s="167">
        <f t="shared" si="2143"/>
        <v>0</v>
      </c>
      <c r="AS181" s="163">
        <f t="shared" si="2144"/>
        <v>45870</v>
      </c>
      <c r="AT181" s="163">
        <f t="shared" si="2145"/>
        <v>45900</v>
      </c>
      <c r="AU181" s="167">
        <f t="shared" si="2146"/>
        <v>0</v>
      </c>
      <c r="AV181" s="163">
        <f t="shared" si="2147"/>
        <v>45901</v>
      </c>
      <c r="AW181" s="163">
        <f t="shared" si="2148"/>
        <v>45930</v>
      </c>
      <c r="AX181" s="167">
        <f t="shared" si="2149"/>
        <v>0</v>
      </c>
      <c r="AY181" s="163">
        <f t="shared" si="2150"/>
        <v>45931</v>
      </c>
      <c r="AZ181" s="163">
        <f t="shared" si="2151"/>
        <v>45961</v>
      </c>
      <c r="BA181" s="167">
        <f t="shared" si="2152"/>
        <v>0</v>
      </c>
      <c r="BB181" s="163">
        <f t="shared" si="2153"/>
        <v>45962</v>
      </c>
      <c r="BC181" s="163">
        <f t="shared" si="2154"/>
        <v>45991</v>
      </c>
      <c r="BD181" s="167">
        <f t="shared" si="2155"/>
        <v>0</v>
      </c>
      <c r="BE181" s="163">
        <f t="shared" si="2156"/>
        <v>45992</v>
      </c>
      <c r="BF181" s="163">
        <f t="shared" si="2157"/>
        <v>46022</v>
      </c>
      <c r="BG181" s="167">
        <f t="shared" si="2158"/>
        <v>0</v>
      </c>
      <c r="BH181" s="163">
        <v>46023</v>
      </c>
      <c r="BI181" s="163">
        <f t="shared" si="2159"/>
        <v>46053</v>
      </c>
      <c r="BJ181" s="167">
        <f t="shared" si="2160"/>
        <v>0</v>
      </c>
      <c r="BK181" s="163">
        <f t="shared" si="2161"/>
        <v>46054</v>
      </c>
      <c r="BL181" s="163">
        <f t="shared" si="2162"/>
        <v>46081</v>
      </c>
      <c r="BM181" s="167">
        <f t="shared" si="2163"/>
        <v>0</v>
      </c>
      <c r="BN181" s="163">
        <f t="shared" si="2164"/>
        <v>46082</v>
      </c>
      <c r="BO181" s="163">
        <f t="shared" si="2165"/>
        <v>46112</v>
      </c>
      <c r="BP181" s="167">
        <f t="shared" si="2166"/>
        <v>0</v>
      </c>
      <c r="BQ181" s="163">
        <f t="shared" si="2167"/>
        <v>46113</v>
      </c>
      <c r="BR181" s="163">
        <f t="shared" si="2168"/>
        <v>46142</v>
      </c>
      <c r="BS181" s="167">
        <f t="shared" si="2169"/>
        <v>0</v>
      </c>
      <c r="BT181" s="163">
        <f t="shared" si="2170"/>
        <v>46143</v>
      </c>
      <c r="BU181" s="163">
        <f t="shared" si="2171"/>
        <v>46173</v>
      </c>
      <c r="BV181" s="167">
        <f t="shared" si="2172"/>
        <v>0</v>
      </c>
      <c r="BW181" s="163">
        <f t="shared" si="2173"/>
        <v>46174</v>
      </c>
      <c r="BX181" s="163">
        <f t="shared" si="2174"/>
        <v>46203</v>
      </c>
      <c r="BY181" s="167">
        <f t="shared" si="2175"/>
        <v>0</v>
      </c>
      <c r="BZ181" s="163">
        <f t="shared" si="2176"/>
        <v>46204</v>
      </c>
      <c r="CA181" s="163">
        <f t="shared" si="2177"/>
        <v>46234</v>
      </c>
      <c r="CB181" s="167">
        <f t="shared" si="2178"/>
        <v>0</v>
      </c>
      <c r="CC181" s="163">
        <f t="shared" si="2179"/>
        <v>46235</v>
      </c>
      <c r="CD181" s="163">
        <f t="shared" si="2180"/>
        <v>46265</v>
      </c>
      <c r="CE181" s="167">
        <f t="shared" si="2181"/>
        <v>0</v>
      </c>
      <c r="CF181" s="163">
        <f t="shared" si="2182"/>
        <v>46266</v>
      </c>
      <c r="CG181" s="163">
        <f t="shared" si="2183"/>
        <v>46295</v>
      </c>
      <c r="CH181" s="167">
        <f t="shared" si="2184"/>
        <v>0</v>
      </c>
      <c r="CI181" s="163">
        <f t="shared" si="2185"/>
        <v>46296</v>
      </c>
      <c r="CJ181" s="163">
        <f t="shared" si="2186"/>
        <v>46326</v>
      </c>
      <c r="CK181" s="167">
        <f t="shared" si="2187"/>
        <v>0</v>
      </c>
      <c r="CL181" s="163">
        <f t="shared" si="2188"/>
        <v>46327</v>
      </c>
      <c r="CM181" s="163">
        <f t="shared" si="2189"/>
        <v>46356</v>
      </c>
      <c r="CN181" s="167">
        <f t="shared" si="2190"/>
        <v>0</v>
      </c>
      <c r="CO181" s="163">
        <f t="shared" si="2191"/>
        <v>46357</v>
      </c>
      <c r="CP181" s="163">
        <f t="shared" si="2192"/>
        <v>46387</v>
      </c>
      <c r="CQ181" s="167">
        <f t="shared" si="2193"/>
        <v>0</v>
      </c>
    </row>
    <row r="182" s="89" customFormat="1" ht="24" hidden="1" customHeight="1" outlineLevel="4" spans="1:95">
      <c r="A182" s="128"/>
      <c r="B182" s="129"/>
      <c r="C182" s="130"/>
      <c r="D182" s="128"/>
      <c r="E182" s="129"/>
      <c r="F182" s="129"/>
      <c r="G182" s="129"/>
      <c r="H182" s="131"/>
      <c r="I182" s="131"/>
      <c r="J182" s="131">
        <f t="shared" si="1570"/>
        <v>0</v>
      </c>
      <c r="K182" s="131">
        <f t="shared" si="2194"/>
        <v>3</v>
      </c>
      <c r="L182" s="156"/>
      <c r="M182" s="157">
        <f>IFERROR(VLOOKUP($L182,'2-2 引出数据_合同数据仓库'!$B$5:$BP$200,3,FALSE),0)</f>
        <v>0</v>
      </c>
      <c r="N182" s="131"/>
      <c r="O182" s="157">
        <f>IFERROR(VLOOKUP((LEFT(VLOOKUP($L182,'2-2 引出数据_合同数据仓库'!$B$5:$BP$200,64,FALSE),15)&amp;(RIGHT(VLOOKUP($L182,'2-2 引出数据_合同数据仓库'!$B$5:$BP$200,64,FALSE),4)+1)),'2-2 引出数据_合同数据仓库'!$B$5:$BP$200,3,FALSE),0)</f>
        <v>0</v>
      </c>
      <c r="P182" s="131"/>
      <c r="Q182" s="131">
        <f>IFERROR(VLOOKUP($L182,'2-2 引出数据_合同数据仓库'!$B$5:$BP$200,28,FALSE),0)</f>
        <v>0</v>
      </c>
      <c r="R182" s="131">
        <f>IFERROR(VLOOKUP($L182,'2-2 引出数据_合同数据仓库'!$B$5:$BP$200,29,FALSE),0)</f>
        <v>0</v>
      </c>
      <c r="S182" s="131">
        <f>IFERROR(VLOOKUP($L182,'2-2 引出数据_合同数据仓库'!$B$5:$BP$200,4,FALSE),0)</f>
        <v>0</v>
      </c>
      <c r="T182" s="131"/>
      <c r="U182" s="131">
        <f>IFERROR(VLOOKUP($L182,'2-2 引出数据_合同数据仓库'!$B$5:$BP$200,15,FALSE),0)</f>
        <v>0</v>
      </c>
      <c r="V182" s="131">
        <f t="shared" si="2123"/>
        <v>0</v>
      </c>
      <c r="W182" s="131"/>
      <c r="X182" s="163">
        <v>45658</v>
      </c>
      <c r="Y182" s="163">
        <f t="shared" si="2124"/>
        <v>45688</v>
      </c>
      <c r="Z182" s="167">
        <f t="shared" si="2125"/>
        <v>0</v>
      </c>
      <c r="AA182" s="163">
        <f t="shared" si="2126"/>
        <v>45689</v>
      </c>
      <c r="AB182" s="163">
        <f t="shared" si="2127"/>
        <v>45716</v>
      </c>
      <c r="AC182" s="167">
        <f t="shared" si="2128"/>
        <v>0</v>
      </c>
      <c r="AD182" s="163">
        <f t="shared" si="2129"/>
        <v>45717</v>
      </c>
      <c r="AE182" s="163">
        <f t="shared" si="2130"/>
        <v>45747</v>
      </c>
      <c r="AF182" s="167">
        <f t="shared" si="2131"/>
        <v>0</v>
      </c>
      <c r="AG182" s="163">
        <f t="shared" si="2132"/>
        <v>45748</v>
      </c>
      <c r="AH182" s="163">
        <f t="shared" si="2133"/>
        <v>45777</v>
      </c>
      <c r="AI182" s="167">
        <f t="shared" si="2134"/>
        <v>0</v>
      </c>
      <c r="AJ182" s="163">
        <f t="shared" si="2135"/>
        <v>45778</v>
      </c>
      <c r="AK182" s="163">
        <f t="shared" si="2136"/>
        <v>45808</v>
      </c>
      <c r="AL182" s="167">
        <f t="shared" si="2137"/>
        <v>0</v>
      </c>
      <c r="AM182" s="163">
        <f t="shared" si="2138"/>
        <v>45809</v>
      </c>
      <c r="AN182" s="163">
        <f t="shared" si="2139"/>
        <v>45838</v>
      </c>
      <c r="AO182" s="167">
        <f t="shared" si="2140"/>
        <v>0</v>
      </c>
      <c r="AP182" s="163">
        <f t="shared" si="2141"/>
        <v>45839</v>
      </c>
      <c r="AQ182" s="163">
        <f t="shared" si="2142"/>
        <v>45869</v>
      </c>
      <c r="AR182" s="167">
        <f t="shared" si="2143"/>
        <v>0</v>
      </c>
      <c r="AS182" s="163">
        <f t="shared" si="2144"/>
        <v>45870</v>
      </c>
      <c r="AT182" s="163">
        <f t="shared" si="2145"/>
        <v>45900</v>
      </c>
      <c r="AU182" s="167">
        <f t="shared" si="2146"/>
        <v>0</v>
      </c>
      <c r="AV182" s="163">
        <f t="shared" si="2147"/>
        <v>45901</v>
      </c>
      <c r="AW182" s="163">
        <f t="shared" si="2148"/>
        <v>45930</v>
      </c>
      <c r="AX182" s="167">
        <f t="shared" si="2149"/>
        <v>0</v>
      </c>
      <c r="AY182" s="163">
        <f t="shared" si="2150"/>
        <v>45931</v>
      </c>
      <c r="AZ182" s="163">
        <f t="shared" si="2151"/>
        <v>45961</v>
      </c>
      <c r="BA182" s="167">
        <f t="shared" si="2152"/>
        <v>0</v>
      </c>
      <c r="BB182" s="163">
        <f t="shared" si="2153"/>
        <v>45962</v>
      </c>
      <c r="BC182" s="163">
        <f t="shared" si="2154"/>
        <v>45991</v>
      </c>
      <c r="BD182" s="167">
        <f t="shared" si="2155"/>
        <v>0</v>
      </c>
      <c r="BE182" s="163">
        <f t="shared" si="2156"/>
        <v>45992</v>
      </c>
      <c r="BF182" s="163">
        <f t="shared" si="2157"/>
        <v>46022</v>
      </c>
      <c r="BG182" s="167">
        <f t="shared" si="2158"/>
        <v>0</v>
      </c>
      <c r="BH182" s="163">
        <v>46023</v>
      </c>
      <c r="BI182" s="163">
        <f t="shared" si="2159"/>
        <v>46053</v>
      </c>
      <c r="BJ182" s="167">
        <f t="shared" si="2160"/>
        <v>0</v>
      </c>
      <c r="BK182" s="163">
        <f t="shared" si="2161"/>
        <v>46054</v>
      </c>
      <c r="BL182" s="163">
        <f t="shared" si="2162"/>
        <v>46081</v>
      </c>
      <c r="BM182" s="167">
        <f t="shared" si="2163"/>
        <v>0</v>
      </c>
      <c r="BN182" s="163">
        <f t="shared" si="2164"/>
        <v>46082</v>
      </c>
      <c r="BO182" s="163">
        <f t="shared" si="2165"/>
        <v>46112</v>
      </c>
      <c r="BP182" s="167">
        <f t="shared" si="2166"/>
        <v>0</v>
      </c>
      <c r="BQ182" s="163">
        <f t="shared" si="2167"/>
        <v>46113</v>
      </c>
      <c r="BR182" s="163">
        <f t="shared" si="2168"/>
        <v>46142</v>
      </c>
      <c r="BS182" s="167">
        <f t="shared" si="2169"/>
        <v>0</v>
      </c>
      <c r="BT182" s="163">
        <f t="shared" si="2170"/>
        <v>46143</v>
      </c>
      <c r="BU182" s="163">
        <f t="shared" si="2171"/>
        <v>46173</v>
      </c>
      <c r="BV182" s="167">
        <f t="shared" si="2172"/>
        <v>0</v>
      </c>
      <c r="BW182" s="163">
        <f t="shared" si="2173"/>
        <v>46174</v>
      </c>
      <c r="BX182" s="163">
        <f t="shared" si="2174"/>
        <v>46203</v>
      </c>
      <c r="BY182" s="167">
        <f t="shared" si="2175"/>
        <v>0</v>
      </c>
      <c r="BZ182" s="163">
        <f t="shared" si="2176"/>
        <v>46204</v>
      </c>
      <c r="CA182" s="163">
        <f t="shared" si="2177"/>
        <v>46234</v>
      </c>
      <c r="CB182" s="167">
        <f t="shared" si="2178"/>
        <v>0</v>
      </c>
      <c r="CC182" s="163">
        <f t="shared" si="2179"/>
        <v>46235</v>
      </c>
      <c r="CD182" s="163">
        <f t="shared" si="2180"/>
        <v>46265</v>
      </c>
      <c r="CE182" s="167">
        <f t="shared" si="2181"/>
        <v>0</v>
      </c>
      <c r="CF182" s="163">
        <f t="shared" si="2182"/>
        <v>46266</v>
      </c>
      <c r="CG182" s="163">
        <f t="shared" si="2183"/>
        <v>46295</v>
      </c>
      <c r="CH182" s="167">
        <f t="shared" si="2184"/>
        <v>0</v>
      </c>
      <c r="CI182" s="163">
        <f t="shared" si="2185"/>
        <v>46296</v>
      </c>
      <c r="CJ182" s="163">
        <f t="shared" si="2186"/>
        <v>46326</v>
      </c>
      <c r="CK182" s="167">
        <f t="shared" si="2187"/>
        <v>0</v>
      </c>
      <c r="CL182" s="163">
        <f t="shared" si="2188"/>
        <v>46327</v>
      </c>
      <c r="CM182" s="163">
        <f t="shared" si="2189"/>
        <v>46356</v>
      </c>
      <c r="CN182" s="167">
        <f t="shared" si="2190"/>
        <v>0</v>
      </c>
      <c r="CO182" s="163">
        <f t="shared" si="2191"/>
        <v>46357</v>
      </c>
      <c r="CP182" s="163">
        <f t="shared" si="2192"/>
        <v>46387</v>
      </c>
      <c r="CQ182" s="167">
        <f t="shared" si="2193"/>
        <v>0</v>
      </c>
    </row>
    <row r="183" s="89" customFormat="1" ht="24" hidden="1" customHeight="1" outlineLevel="4" spans="1:95">
      <c r="A183" s="128"/>
      <c r="B183" s="129"/>
      <c r="C183" s="130"/>
      <c r="D183" s="128"/>
      <c r="E183" s="129"/>
      <c r="F183" s="129"/>
      <c r="G183" s="129"/>
      <c r="H183" s="131"/>
      <c r="I183" s="131"/>
      <c r="J183" s="131">
        <f t="shared" si="1570"/>
        <v>0</v>
      </c>
      <c r="K183" s="131">
        <f t="shared" si="2194"/>
        <v>4</v>
      </c>
      <c r="L183" s="156"/>
      <c r="M183" s="157">
        <f>IFERROR(VLOOKUP($L183,'2-2 引出数据_合同数据仓库'!$B$5:$BP$200,3,FALSE),0)</f>
        <v>0</v>
      </c>
      <c r="N183" s="131"/>
      <c r="O183" s="157">
        <f>IFERROR(VLOOKUP((LEFT(VLOOKUP($L183,'2-2 引出数据_合同数据仓库'!$B$5:$BP$200,64,FALSE),15)&amp;(RIGHT(VLOOKUP($L183,'2-2 引出数据_合同数据仓库'!$B$5:$BP$200,64,FALSE),4)+1)),'2-2 引出数据_合同数据仓库'!$B$5:$BP$200,3,FALSE),0)</f>
        <v>0</v>
      </c>
      <c r="P183" s="131"/>
      <c r="Q183" s="131">
        <f>IFERROR(VLOOKUP($L183,'2-2 引出数据_合同数据仓库'!$B$5:$BP$200,28,FALSE),0)</f>
        <v>0</v>
      </c>
      <c r="R183" s="131">
        <f>IFERROR(VLOOKUP($L183,'2-2 引出数据_合同数据仓库'!$B$5:$BP$200,29,FALSE),0)</f>
        <v>0</v>
      </c>
      <c r="S183" s="131">
        <f>IFERROR(VLOOKUP($L183,'2-2 引出数据_合同数据仓库'!$B$5:$BP$200,4,FALSE),0)</f>
        <v>0</v>
      </c>
      <c r="T183" s="131"/>
      <c r="U183" s="131">
        <f>IFERROR(VLOOKUP($L183,'2-2 引出数据_合同数据仓库'!$B$5:$BP$200,15,FALSE),0)</f>
        <v>0</v>
      </c>
      <c r="V183" s="131">
        <f t="shared" si="2123"/>
        <v>0</v>
      </c>
      <c r="W183" s="131"/>
      <c r="X183" s="163">
        <v>45658</v>
      </c>
      <c r="Y183" s="163">
        <f t="shared" si="2124"/>
        <v>45688</v>
      </c>
      <c r="Z183" s="167">
        <f t="shared" si="2125"/>
        <v>0</v>
      </c>
      <c r="AA183" s="163">
        <f t="shared" si="2126"/>
        <v>45689</v>
      </c>
      <c r="AB183" s="163">
        <f t="shared" si="2127"/>
        <v>45716</v>
      </c>
      <c r="AC183" s="167">
        <f t="shared" si="2128"/>
        <v>0</v>
      </c>
      <c r="AD183" s="163">
        <f t="shared" si="2129"/>
        <v>45717</v>
      </c>
      <c r="AE183" s="163">
        <f t="shared" si="2130"/>
        <v>45747</v>
      </c>
      <c r="AF183" s="167">
        <f t="shared" si="2131"/>
        <v>0</v>
      </c>
      <c r="AG183" s="163">
        <f t="shared" si="2132"/>
        <v>45748</v>
      </c>
      <c r="AH183" s="163">
        <f t="shared" si="2133"/>
        <v>45777</v>
      </c>
      <c r="AI183" s="167">
        <f t="shared" si="2134"/>
        <v>0</v>
      </c>
      <c r="AJ183" s="163">
        <f t="shared" si="2135"/>
        <v>45778</v>
      </c>
      <c r="AK183" s="163">
        <f t="shared" si="2136"/>
        <v>45808</v>
      </c>
      <c r="AL183" s="167">
        <f t="shared" si="2137"/>
        <v>0</v>
      </c>
      <c r="AM183" s="163">
        <f t="shared" si="2138"/>
        <v>45809</v>
      </c>
      <c r="AN183" s="163">
        <f t="shared" si="2139"/>
        <v>45838</v>
      </c>
      <c r="AO183" s="167">
        <f t="shared" si="2140"/>
        <v>0</v>
      </c>
      <c r="AP183" s="163">
        <f t="shared" si="2141"/>
        <v>45839</v>
      </c>
      <c r="AQ183" s="163">
        <f t="shared" si="2142"/>
        <v>45869</v>
      </c>
      <c r="AR183" s="167">
        <f t="shared" si="2143"/>
        <v>0</v>
      </c>
      <c r="AS183" s="163">
        <f t="shared" si="2144"/>
        <v>45870</v>
      </c>
      <c r="AT183" s="163">
        <f t="shared" si="2145"/>
        <v>45900</v>
      </c>
      <c r="AU183" s="167">
        <f t="shared" si="2146"/>
        <v>0</v>
      </c>
      <c r="AV183" s="163">
        <f t="shared" si="2147"/>
        <v>45901</v>
      </c>
      <c r="AW183" s="163">
        <f t="shared" si="2148"/>
        <v>45930</v>
      </c>
      <c r="AX183" s="167">
        <f t="shared" si="2149"/>
        <v>0</v>
      </c>
      <c r="AY183" s="163">
        <f t="shared" si="2150"/>
        <v>45931</v>
      </c>
      <c r="AZ183" s="163">
        <f t="shared" si="2151"/>
        <v>45961</v>
      </c>
      <c r="BA183" s="167">
        <f t="shared" si="2152"/>
        <v>0</v>
      </c>
      <c r="BB183" s="163">
        <f t="shared" si="2153"/>
        <v>45962</v>
      </c>
      <c r="BC183" s="163">
        <f t="shared" si="2154"/>
        <v>45991</v>
      </c>
      <c r="BD183" s="167">
        <f t="shared" si="2155"/>
        <v>0</v>
      </c>
      <c r="BE183" s="163">
        <f t="shared" si="2156"/>
        <v>45992</v>
      </c>
      <c r="BF183" s="163">
        <f t="shared" si="2157"/>
        <v>46022</v>
      </c>
      <c r="BG183" s="167">
        <f t="shared" si="2158"/>
        <v>0</v>
      </c>
      <c r="BH183" s="163">
        <v>46023</v>
      </c>
      <c r="BI183" s="163">
        <f t="shared" si="2159"/>
        <v>46053</v>
      </c>
      <c r="BJ183" s="167">
        <f t="shared" si="2160"/>
        <v>0</v>
      </c>
      <c r="BK183" s="163">
        <f t="shared" si="2161"/>
        <v>46054</v>
      </c>
      <c r="BL183" s="163">
        <f t="shared" si="2162"/>
        <v>46081</v>
      </c>
      <c r="BM183" s="167">
        <f t="shared" si="2163"/>
        <v>0</v>
      </c>
      <c r="BN183" s="163">
        <f t="shared" si="2164"/>
        <v>46082</v>
      </c>
      <c r="BO183" s="163">
        <f t="shared" si="2165"/>
        <v>46112</v>
      </c>
      <c r="BP183" s="167">
        <f t="shared" si="2166"/>
        <v>0</v>
      </c>
      <c r="BQ183" s="163">
        <f t="shared" si="2167"/>
        <v>46113</v>
      </c>
      <c r="BR183" s="163">
        <f t="shared" si="2168"/>
        <v>46142</v>
      </c>
      <c r="BS183" s="167">
        <f t="shared" si="2169"/>
        <v>0</v>
      </c>
      <c r="BT183" s="163">
        <f t="shared" si="2170"/>
        <v>46143</v>
      </c>
      <c r="BU183" s="163">
        <f t="shared" si="2171"/>
        <v>46173</v>
      </c>
      <c r="BV183" s="167">
        <f t="shared" si="2172"/>
        <v>0</v>
      </c>
      <c r="BW183" s="163">
        <f t="shared" si="2173"/>
        <v>46174</v>
      </c>
      <c r="BX183" s="163">
        <f t="shared" si="2174"/>
        <v>46203</v>
      </c>
      <c r="BY183" s="167">
        <f t="shared" si="2175"/>
        <v>0</v>
      </c>
      <c r="BZ183" s="163">
        <f t="shared" si="2176"/>
        <v>46204</v>
      </c>
      <c r="CA183" s="163">
        <f t="shared" si="2177"/>
        <v>46234</v>
      </c>
      <c r="CB183" s="167">
        <f t="shared" si="2178"/>
        <v>0</v>
      </c>
      <c r="CC183" s="163">
        <f t="shared" si="2179"/>
        <v>46235</v>
      </c>
      <c r="CD183" s="163">
        <f t="shared" si="2180"/>
        <v>46265</v>
      </c>
      <c r="CE183" s="167">
        <f t="shared" si="2181"/>
        <v>0</v>
      </c>
      <c r="CF183" s="163">
        <f t="shared" si="2182"/>
        <v>46266</v>
      </c>
      <c r="CG183" s="163">
        <f t="shared" si="2183"/>
        <v>46295</v>
      </c>
      <c r="CH183" s="167">
        <f t="shared" si="2184"/>
        <v>0</v>
      </c>
      <c r="CI183" s="163">
        <f t="shared" si="2185"/>
        <v>46296</v>
      </c>
      <c r="CJ183" s="163">
        <f t="shared" si="2186"/>
        <v>46326</v>
      </c>
      <c r="CK183" s="167">
        <f t="shared" si="2187"/>
        <v>0</v>
      </c>
      <c r="CL183" s="163">
        <f t="shared" si="2188"/>
        <v>46327</v>
      </c>
      <c r="CM183" s="163">
        <f t="shared" si="2189"/>
        <v>46356</v>
      </c>
      <c r="CN183" s="167">
        <f t="shared" si="2190"/>
        <v>0</v>
      </c>
      <c r="CO183" s="163">
        <f t="shared" si="2191"/>
        <v>46357</v>
      </c>
      <c r="CP183" s="163">
        <f t="shared" si="2192"/>
        <v>46387</v>
      </c>
      <c r="CQ183" s="167">
        <f t="shared" si="2193"/>
        <v>0</v>
      </c>
    </row>
    <row r="184" s="89" customFormat="1" ht="24" hidden="1" customHeight="1" outlineLevel="4" spans="1:95">
      <c r="A184" s="132" t="s">
        <v>2813</v>
      </c>
      <c r="B184" s="133"/>
      <c r="C184" s="133"/>
      <c r="D184" s="133"/>
      <c r="E184" s="133"/>
      <c r="F184" s="133"/>
      <c r="G184" s="134"/>
      <c r="H184" s="135"/>
      <c r="I184" s="135"/>
      <c r="J184" s="135"/>
      <c r="K184" s="135"/>
      <c r="L184" s="158"/>
      <c r="M184" s="158"/>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c r="CL184" s="135"/>
      <c r="CM184" s="135"/>
      <c r="CN184" s="135"/>
      <c r="CO184" s="135"/>
      <c r="CP184" s="135"/>
      <c r="CQ184" s="135"/>
    </row>
    <row r="185" ht="24" hidden="1" customHeight="1" outlineLevel="3" collapsed="1" spans="1:95">
      <c r="A185" s="124"/>
      <c r="B185" s="125" t="s">
        <v>792</v>
      </c>
      <c r="C185" s="126" t="s">
        <v>1145</v>
      </c>
      <c r="D185" s="124" t="s">
        <v>2819</v>
      </c>
      <c r="E185" s="125"/>
      <c r="F185" s="125"/>
      <c r="G185" s="125"/>
      <c r="H185" s="127">
        <f>X185+AA185+AD185+AG185+AJ185+AM185+AP185+AS185+AV185+AY185+BB185+BE185</f>
        <v>0</v>
      </c>
      <c r="I185" s="127">
        <f>Y185+AB185+AE185+AH185+AK185+AN185+AQ185+AT185+AW185+AZ185+BC185+BF185</f>
        <v>0</v>
      </c>
      <c r="J185" s="127">
        <f t="shared" si="1570"/>
        <v>0</v>
      </c>
      <c r="K185" s="127"/>
      <c r="L185" s="155"/>
      <c r="M185" s="155"/>
      <c r="N185" s="127"/>
      <c r="O185" s="127"/>
      <c r="P185" s="127"/>
      <c r="Q185" s="127"/>
      <c r="R185" s="127"/>
      <c r="S185" s="127"/>
      <c r="T185" s="127"/>
      <c r="U185" s="127"/>
      <c r="V185" s="127"/>
      <c r="W185" s="127"/>
      <c r="X185" s="127">
        <f>VLOOKUP($C185,'1 预算编制表单'!$C:$BJ,27,FALSE)</f>
        <v>0</v>
      </c>
      <c r="Y185" s="127">
        <f>X185-Z185</f>
        <v>0</v>
      </c>
      <c r="Z185" s="127">
        <f>SUM(Z186:Z190)</f>
        <v>0</v>
      </c>
      <c r="AA185" s="127">
        <f>VLOOKUP($C185,'1 预算编制表单'!$C:$BJ,30,FALSE)</f>
        <v>0</v>
      </c>
      <c r="AB185" s="127">
        <f>AA185-AC185</f>
        <v>0</v>
      </c>
      <c r="AC185" s="127">
        <f>SUM(AC186:AC190)</f>
        <v>0</v>
      </c>
      <c r="AD185" s="127">
        <f>VLOOKUP($C185,'1 预算编制表单'!$C:$BJ,33,FALSE)</f>
        <v>0</v>
      </c>
      <c r="AE185" s="127">
        <f>AD185-AF185</f>
        <v>0</v>
      </c>
      <c r="AF185" s="127">
        <f>SUM(AF186:AF190)</f>
        <v>0</v>
      </c>
      <c r="AG185" s="127">
        <f>VLOOKUP($C185,'1 预算编制表单'!$C:$BJ,36,FALSE)</f>
        <v>0</v>
      </c>
      <c r="AH185" s="127">
        <f>AG185-AI185</f>
        <v>0</v>
      </c>
      <c r="AI185" s="127">
        <f>SUM(AI186:AI190)</f>
        <v>0</v>
      </c>
      <c r="AJ185" s="127">
        <f>VLOOKUP($C185,'1 预算编制表单'!$C:$BJ,39,FALSE)</f>
        <v>0</v>
      </c>
      <c r="AK185" s="127">
        <f>AJ185-AL185</f>
        <v>0</v>
      </c>
      <c r="AL185" s="127">
        <f>SUM(AL186:AL190)</f>
        <v>0</v>
      </c>
      <c r="AM185" s="127">
        <f>VLOOKUP($C185,'1 预算编制表单'!$C:$BJ,42,FALSE)</f>
        <v>0</v>
      </c>
      <c r="AN185" s="127">
        <f>AM185-AO185</f>
        <v>0</v>
      </c>
      <c r="AO185" s="127">
        <f>SUM(AO186:AO190)</f>
        <v>0</v>
      </c>
      <c r="AP185" s="127">
        <f>VLOOKUP($C185,'1 预算编制表单'!$C:$BJ,45,FALSE)</f>
        <v>0</v>
      </c>
      <c r="AQ185" s="127">
        <f>AP185-AR185</f>
        <v>0</v>
      </c>
      <c r="AR185" s="127">
        <f>SUM(AR186:AR190)</f>
        <v>0</v>
      </c>
      <c r="AS185" s="127">
        <f>VLOOKUP($C185,'1 预算编制表单'!$C:$BJ,48,FALSE)</f>
        <v>0</v>
      </c>
      <c r="AT185" s="127">
        <f>AS185-AU185</f>
        <v>0</v>
      </c>
      <c r="AU185" s="127">
        <f>SUM(AU186:AU190)</f>
        <v>0</v>
      </c>
      <c r="AV185" s="127">
        <f>VLOOKUP($C185,'1 预算编制表单'!$C:$BJ,51,FALSE)</f>
        <v>0</v>
      </c>
      <c r="AW185" s="127">
        <f>AV185-AX185</f>
        <v>0</v>
      </c>
      <c r="AX185" s="127">
        <f>SUM(AX186:AX190)</f>
        <v>0</v>
      </c>
      <c r="AY185" s="127">
        <f>VLOOKUP($C185,'1 预算编制表单'!$C:$BJ,54,FALSE)</f>
        <v>0</v>
      </c>
      <c r="AZ185" s="127">
        <f>AY185-BA185</f>
        <v>0</v>
      </c>
      <c r="BA185" s="127">
        <f>SUM(BA186:BA190)</f>
        <v>0</v>
      </c>
      <c r="BB185" s="127">
        <f>VLOOKUP($C185,'1 预算编制表单'!$C:$BJ,57,FALSE)</f>
        <v>0</v>
      </c>
      <c r="BC185" s="127">
        <f>BB185-BD185</f>
        <v>0</v>
      </c>
      <c r="BD185" s="127">
        <f>SUM(BD186:BD190)</f>
        <v>0</v>
      </c>
      <c r="BE185" s="127">
        <f>VLOOKUP($C185,'1 预算编制表单'!$C:$BJ,60,FALSE)</f>
        <v>0</v>
      </c>
      <c r="BF185" s="127">
        <f>BE185-BG185</f>
        <v>0</v>
      </c>
      <c r="BG185" s="127">
        <f>SUM(BG186:BG190)</f>
        <v>0</v>
      </c>
      <c r="BH185" s="127">
        <f>VLOOKUP($C185,'1 预算编制表单'!$C:$BJ,27,FALSE)</f>
        <v>0</v>
      </c>
      <c r="BI185" s="127">
        <f>BH185-BJ185</f>
        <v>0</v>
      </c>
      <c r="BJ185" s="127">
        <f>SUM(BJ186:BJ190)</f>
        <v>0</v>
      </c>
      <c r="BK185" s="127">
        <f>VLOOKUP($C185,'1 预算编制表单'!$C:$BJ,30,FALSE)</f>
        <v>0</v>
      </c>
      <c r="BL185" s="127">
        <f>BK185-BM185</f>
        <v>0</v>
      </c>
      <c r="BM185" s="127">
        <f>SUM(BM186:BM190)</f>
        <v>0</v>
      </c>
      <c r="BN185" s="127">
        <f>VLOOKUP($C185,'1 预算编制表单'!$C:$BJ,33,FALSE)</f>
        <v>0</v>
      </c>
      <c r="BO185" s="127">
        <f>BN185-BP185</f>
        <v>0</v>
      </c>
      <c r="BP185" s="127">
        <f>SUM(BP186:BP190)</f>
        <v>0</v>
      </c>
      <c r="BQ185" s="127">
        <f>VLOOKUP($C185,'1 预算编制表单'!$C:$BJ,36,FALSE)</f>
        <v>0</v>
      </c>
      <c r="BR185" s="127">
        <f>BQ185-BS185</f>
        <v>0</v>
      </c>
      <c r="BS185" s="127">
        <f>SUM(BS186:BS190)</f>
        <v>0</v>
      </c>
      <c r="BT185" s="127">
        <f>VLOOKUP($C185,'1 预算编制表单'!$C:$BJ,39,FALSE)</f>
        <v>0</v>
      </c>
      <c r="BU185" s="127">
        <f>BT185-BV185</f>
        <v>0</v>
      </c>
      <c r="BV185" s="127">
        <f>SUM(BV186:BV190)</f>
        <v>0</v>
      </c>
      <c r="BW185" s="127">
        <f>VLOOKUP($C185,'1 预算编制表单'!$C:$BJ,42,FALSE)</f>
        <v>0</v>
      </c>
      <c r="BX185" s="127">
        <f>BW185-BY185</f>
        <v>0</v>
      </c>
      <c r="BY185" s="127">
        <f>SUM(BY186:BY190)</f>
        <v>0</v>
      </c>
      <c r="BZ185" s="127">
        <f>VLOOKUP($C185,'1 预算编制表单'!$C:$BJ,45,FALSE)</f>
        <v>0</v>
      </c>
      <c r="CA185" s="127">
        <f>BZ185-CB185</f>
        <v>0</v>
      </c>
      <c r="CB185" s="127">
        <f>SUM(CB186:CB190)</f>
        <v>0</v>
      </c>
      <c r="CC185" s="127">
        <f>VLOOKUP($C185,'1 预算编制表单'!$C:$BJ,48,FALSE)</f>
        <v>0</v>
      </c>
      <c r="CD185" s="127">
        <f>CC185-CE185</f>
        <v>0</v>
      </c>
      <c r="CE185" s="127">
        <f>SUM(CE186:CE190)</f>
        <v>0</v>
      </c>
      <c r="CF185" s="127">
        <f>VLOOKUP($C185,'1 预算编制表单'!$C:$BJ,51,FALSE)</f>
        <v>0</v>
      </c>
      <c r="CG185" s="127">
        <f>CF185-CH185</f>
        <v>0</v>
      </c>
      <c r="CH185" s="127">
        <f>SUM(CH186:CH190)</f>
        <v>0</v>
      </c>
      <c r="CI185" s="127">
        <f>VLOOKUP($C185,'1 预算编制表单'!$C:$BJ,54,FALSE)</f>
        <v>0</v>
      </c>
      <c r="CJ185" s="127">
        <f>CI185-CK185</f>
        <v>0</v>
      </c>
      <c r="CK185" s="127">
        <f>SUM(CK186:CK190)</f>
        <v>0</v>
      </c>
      <c r="CL185" s="127">
        <f>VLOOKUP($C185,'1 预算编制表单'!$C:$BJ,57,FALSE)</f>
        <v>0</v>
      </c>
      <c r="CM185" s="127">
        <f>CL185-CN185</f>
        <v>0</v>
      </c>
      <c r="CN185" s="127">
        <f>SUM(CN186:CN190)</f>
        <v>0</v>
      </c>
      <c r="CO185" s="127">
        <f>VLOOKUP($C185,'1 预算编制表单'!$C:$BJ,60,FALSE)</f>
        <v>0</v>
      </c>
      <c r="CP185" s="127">
        <f>CO185-CQ185</f>
        <v>0</v>
      </c>
      <c r="CQ185" s="127">
        <f>SUM(CQ186:CQ190)</f>
        <v>0</v>
      </c>
    </row>
    <row r="186" s="89" customFormat="1" ht="24" hidden="1" customHeight="1" outlineLevel="4" spans="1:95">
      <c r="A186" s="128"/>
      <c r="B186" s="129"/>
      <c r="C186" s="130"/>
      <c r="D186" s="128"/>
      <c r="E186" s="129"/>
      <c r="F186" s="129"/>
      <c r="G186" s="129"/>
      <c r="H186" s="131"/>
      <c r="I186" s="131"/>
      <c r="J186" s="131">
        <f t="shared" si="1570"/>
        <v>0</v>
      </c>
      <c r="K186" s="131">
        <v>1</v>
      </c>
      <c r="L186" s="156"/>
      <c r="M186" s="157">
        <f>IFERROR(VLOOKUP($L186,'2-2 引出数据_合同数据仓库'!$B$5:$BP$200,3,FALSE),0)</f>
        <v>0</v>
      </c>
      <c r="N186" s="131"/>
      <c r="O186" s="157">
        <f>IFERROR(VLOOKUP((LEFT(VLOOKUP($L186,'2-2 引出数据_合同数据仓库'!$B$5:$BP$200,64,FALSE),15)&amp;(RIGHT(VLOOKUP($L186,'2-2 引出数据_合同数据仓库'!$B$5:$BP$200,64,FALSE),4)+1)),'2-2 引出数据_合同数据仓库'!$B$5:$BP$200,3,FALSE),0)</f>
        <v>0</v>
      </c>
      <c r="P186" s="131"/>
      <c r="Q186" s="131">
        <f>IFERROR(VLOOKUP($L186,'2-2 引出数据_合同数据仓库'!$B$5:$BP$200,28,FALSE),0)</f>
        <v>0</v>
      </c>
      <c r="R186" s="131">
        <f>IFERROR(VLOOKUP($L186,'2-2 引出数据_合同数据仓库'!$B$5:$BP$200,29,FALSE),0)</f>
        <v>0</v>
      </c>
      <c r="S186" s="131">
        <f>IFERROR(VLOOKUP($L186,'2-2 引出数据_合同数据仓库'!$B$5:$BP$200,4,FALSE),0)</f>
        <v>0</v>
      </c>
      <c r="T186" s="131"/>
      <c r="U186" s="131">
        <f>IFERROR(VLOOKUP($L186,'2-2 引出数据_合同数据仓库'!$B$5:$BP$200,15,FALSE),0)</f>
        <v>0</v>
      </c>
      <c r="V186" s="131">
        <f t="shared" ref="V186:V189" si="2195">U186/(S186-R186+1)*365</f>
        <v>0</v>
      </c>
      <c r="W186" s="131"/>
      <c r="X186" s="163">
        <v>45658</v>
      </c>
      <c r="Y186" s="163">
        <f t="shared" ref="Y186:Y189" si="2196">X186+30</f>
        <v>45688</v>
      </c>
      <c r="Z186" s="167">
        <f t="shared" ref="Z186:Z189" si="2197">IFERROR(IF(($R186-Y186)&gt;=0,0,IF(($S186-X186)&lt;0,0,IF(AND(($S186-Y186)&gt;0,(X186-$R186)&gt;0),$V186/365*(Y186-X186+1),IF(AND(($S186-Y186)&lt;=0,(X186-$R186)&gt;0),$V186/365*($S186-X186+1),$V186/365*(Y186-$R186+1))))),0)</f>
        <v>0</v>
      </c>
      <c r="AA186" s="163">
        <f t="shared" ref="AA186:AA189" si="2198">Y186+1</f>
        <v>45689</v>
      </c>
      <c r="AB186" s="163">
        <f t="shared" ref="AB186:AB189" si="2199">AA186+27</f>
        <v>45716</v>
      </c>
      <c r="AC186" s="167">
        <f t="shared" ref="AC186:AC189" si="2200">IFERROR(IF(($R186-AB186)&gt;=0,0,IF(($S186-AA186)&lt;0,0,IF(AND(($S186-AB186)&gt;0,(AA186-$R186)&gt;0),$V186/365*(AB186-AA186+1),IF(AND(($S186-AB186)&lt;=0,(AA186-$R186)&gt;0),$V186/365*($S186-AA186+1),$V186/365*(AB186-$R186+1))))),0)</f>
        <v>0</v>
      </c>
      <c r="AD186" s="163">
        <f t="shared" ref="AD186:AD189" si="2201">AB186+1</f>
        <v>45717</v>
      </c>
      <c r="AE186" s="163">
        <f t="shared" ref="AE186:AE189" si="2202">AD186+30</f>
        <v>45747</v>
      </c>
      <c r="AF186" s="167">
        <f t="shared" ref="AF186:AF189" si="2203">IFERROR(IF(($R186-AE186)&gt;=0,0,IF(($S186-AD186)&lt;0,0,IF(AND(($S186-AE186)&gt;0,(AD186-$R186)&gt;0),$V186/365*(AE186-AD186+1),IF(AND(($S186-AE186)&lt;=0,(AD186-$R186)&gt;0),$V186/365*($S186-AD186+1),$V186/365*(AE186-$R186+1))))),0)</f>
        <v>0</v>
      </c>
      <c r="AG186" s="163">
        <f t="shared" ref="AG186:AG189" si="2204">AE186+1</f>
        <v>45748</v>
      </c>
      <c r="AH186" s="163">
        <f t="shared" ref="AH186:AH189" si="2205">AG186+29</f>
        <v>45777</v>
      </c>
      <c r="AI186" s="167">
        <f t="shared" ref="AI186:AI189" si="2206">IFERROR(IF(($R186-AH186)&gt;=0,0,IF(($S186-AG186)&lt;0,0,IF(AND(($S186-AH186)&gt;0,(AG186-$R186)&gt;0),$V186/365*(AH186-AG186+1),IF(AND(($S186-AH186)&lt;=0,(AG186-$R186)&gt;0),$V186/365*($S186-AG186+1),$V186/365*(AH186-$R186+1))))),0)</f>
        <v>0</v>
      </c>
      <c r="AJ186" s="163">
        <f t="shared" ref="AJ186:AJ189" si="2207">AH186+1</f>
        <v>45778</v>
      </c>
      <c r="AK186" s="163">
        <f t="shared" ref="AK186:AK189" si="2208">AJ186+30</f>
        <v>45808</v>
      </c>
      <c r="AL186" s="167">
        <f t="shared" ref="AL186:AL189" si="2209">IFERROR(IF(($R186-AK186)&gt;=0,0,IF(($S186-AJ186)&lt;0,0,IF(AND(($S186-AK186)&gt;0,(AJ186-$R186)&gt;0),$V186/365*(AK186-AJ186+1),IF(AND(($S186-AK186)&lt;=0,(AJ186-$R186)&gt;0),$V186/365*($S186-AJ186+1),$V186/365*(AK186-$R186+1))))),0)</f>
        <v>0</v>
      </c>
      <c r="AM186" s="163">
        <f t="shared" ref="AM186:AM189" si="2210">AK186+1</f>
        <v>45809</v>
      </c>
      <c r="AN186" s="163">
        <f t="shared" ref="AN186:AN189" si="2211">AM186+29</f>
        <v>45838</v>
      </c>
      <c r="AO186" s="167">
        <f t="shared" ref="AO186:AO189" si="2212">IFERROR(IF(($R186-AN186)&gt;=0,0,IF(($S186-AM186)&lt;0,0,IF(AND(($S186-AN186)&gt;0,(AM186-$R186)&gt;0),$V186/365*(AN186-AM186+1),IF(AND(($S186-AN186)&lt;=0,(AM186-$R186)&gt;0),$V186/365*($S186-AM186+1),$V186/365*(AN186-$R186+1))))),0)</f>
        <v>0</v>
      </c>
      <c r="AP186" s="163">
        <f t="shared" ref="AP186:AP189" si="2213">AN186+1</f>
        <v>45839</v>
      </c>
      <c r="AQ186" s="163">
        <f t="shared" ref="AQ186:AQ189" si="2214">AP186+30</f>
        <v>45869</v>
      </c>
      <c r="AR186" s="167">
        <f t="shared" ref="AR186:AR189" si="2215">IFERROR(IF(($R186-AQ186)&gt;=0,0,IF(($S186-AP186)&lt;0,0,IF(AND(($S186-AQ186)&gt;0,(AP186-$R186)&gt;0),$V186/365*(AQ186-AP186+1),IF(AND(($S186-AQ186)&lt;=0,(AP186-$R186)&gt;0),$V186/365*($S186-AP186+1),$V186/365*(AQ186-$R186+1))))),0)</f>
        <v>0</v>
      </c>
      <c r="AS186" s="163">
        <f t="shared" ref="AS186:AS189" si="2216">AQ186+1</f>
        <v>45870</v>
      </c>
      <c r="AT186" s="163">
        <f t="shared" ref="AT186:AT189" si="2217">AS186+30</f>
        <v>45900</v>
      </c>
      <c r="AU186" s="167">
        <f t="shared" ref="AU186:AU189" si="2218">IFERROR(IF(($R186-AT186)&gt;=0,0,IF(($S186-AS186)&lt;0,0,IF(AND(($S186-AT186)&gt;0,(AS186-$R186)&gt;0),$V186/365*(AT186-AS186+1),IF(AND(($S186-AT186)&lt;=0,(AS186-$R186)&gt;0),$V186/365*($S186-AS186+1),$V186/365*(AT186-$R186+1))))),0)</f>
        <v>0</v>
      </c>
      <c r="AV186" s="163">
        <f t="shared" ref="AV186:AV189" si="2219">AT186+1</f>
        <v>45901</v>
      </c>
      <c r="AW186" s="163">
        <f t="shared" ref="AW186:AW189" si="2220">AV186+29</f>
        <v>45930</v>
      </c>
      <c r="AX186" s="167">
        <f t="shared" ref="AX186:AX189" si="2221">IFERROR(IF(($R186-AW186)&gt;=0,0,IF(($S186-AV186)&lt;0,0,IF(AND(($S186-AW186)&gt;0,(AV186-$R186)&gt;0),$V186/365*(AW186-AV186+1),IF(AND(($S186-AW186)&lt;=0,(AV186-$R186)&gt;0),$V186/365*($S186-AV186+1),$V186/365*(AW186-$R186+1))))),0)</f>
        <v>0</v>
      </c>
      <c r="AY186" s="163">
        <f t="shared" ref="AY186:AY189" si="2222">AW186+1</f>
        <v>45931</v>
      </c>
      <c r="AZ186" s="163">
        <f t="shared" ref="AZ186:AZ189" si="2223">AY186+30</f>
        <v>45961</v>
      </c>
      <c r="BA186" s="167">
        <f t="shared" ref="BA186:BA189" si="2224">IFERROR(IF(($R186-AZ186)&gt;=0,0,IF(($S186-AY186)&lt;0,0,IF(AND(($S186-AZ186)&gt;0,(AY186-$R186)&gt;0),$V186/365*(AZ186-AY186+1),IF(AND(($S186-AZ186)&lt;=0,(AY186-$R186)&gt;0),$V186/365*($S186-AY186+1),$V186/365*(AZ186-$R186+1))))),0)</f>
        <v>0</v>
      </c>
      <c r="BB186" s="163">
        <f t="shared" ref="BB186:BB189" si="2225">AZ186+1</f>
        <v>45962</v>
      </c>
      <c r="BC186" s="163">
        <f t="shared" ref="BC186:BC189" si="2226">BB186+29</f>
        <v>45991</v>
      </c>
      <c r="BD186" s="167">
        <f t="shared" ref="BD186:BD189" si="2227">IFERROR(IF(($R186-BC186)&gt;=0,0,IF(($S186-BB186)&lt;0,0,IF(AND(($S186-BC186)&gt;0,(BB186-$R186)&gt;0),$V186/365*(BC186-BB186+1),IF(AND(($S186-BC186)&lt;=0,(BB186-$R186)&gt;0),$V186/365*($S186-BB186+1),$V186/365*(BC186-$R186+1))))),0)</f>
        <v>0</v>
      </c>
      <c r="BE186" s="163">
        <f t="shared" ref="BE186:BE189" si="2228">BC186+1</f>
        <v>45992</v>
      </c>
      <c r="BF186" s="163">
        <f t="shared" ref="BF186:BF189" si="2229">BE186+30</f>
        <v>46022</v>
      </c>
      <c r="BG186" s="167">
        <f t="shared" ref="BG186:BG189" si="2230">IFERROR(IF(($R186-BF186)&gt;=0,0,IF(($S186-BE186)&lt;0,0,IF(AND(($S186-BF186)&gt;0,(BE186-$R186)&gt;0),$V186/365*(BF186-BE186+1),IF(AND(($S186-BF186)&lt;=0,(BE186-$R186)&gt;0),$V186/365*($S186-BE186+1),$V186/365*(BF186-$R186+1))))),0)</f>
        <v>0</v>
      </c>
      <c r="BH186" s="163">
        <v>46023</v>
      </c>
      <c r="BI186" s="163">
        <f t="shared" ref="BI186:BI189" si="2231">BH186+30</f>
        <v>46053</v>
      </c>
      <c r="BJ186" s="167">
        <f t="shared" ref="BJ186:BJ189" si="2232">IFERROR(IF(($R186-BI186)&gt;=0,0,IF(($S186-BH186)&lt;0,0,IF(AND(($S186-BI186)&gt;0,(BH186-$R186)&gt;0),$V186/365*(BI186-BH186+1),IF(AND(($S186-BI186)&lt;=0,(BH186-$R186)&gt;0),$V186/365*($S186-BH186+1),$V186/365*(BI186-$R186+1))))),0)</f>
        <v>0</v>
      </c>
      <c r="BK186" s="163">
        <f t="shared" ref="BK186:BK189" si="2233">BI186+1</f>
        <v>46054</v>
      </c>
      <c r="BL186" s="163">
        <f t="shared" ref="BL186:BL189" si="2234">BK186+27</f>
        <v>46081</v>
      </c>
      <c r="BM186" s="167">
        <f t="shared" ref="BM186:BM189" si="2235">IFERROR(IF(($R186-BL186)&gt;=0,0,IF(($S186-BK186)&lt;0,0,IF(AND(($S186-BL186)&gt;0,(BK186-$R186)&gt;0),$V186/365*(BL186-BK186+1),IF(AND(($S186-BL186)&lt;=0,(BK186-$R186)&gt;0),$V186/365*($S186-BK186+1),$V186/365*(BL186-$R186+1))))),0)</f>
        <v>0</v>
      </c>
      <c r="BN186" s="163">
        <f t="shared" ref="BN186:BN189" si="2236">BL186+1</f>
        <v>46082</v>
      </c>
      <c r="BO186" s="163">
        <f t="shared" ref="BO186:BO189" si="2237">BN186+30</f>
        <v>46112</v>
      </c>
      <c r="BP186" s="167">
        <f t="shared" ref="BP186:BP189" si="2238">IFERROR(IF(($R186-BO186)&gt;=0,0,IF(($S186-BN186)&lt;0,0,IF(AND(($S186-BO186)&gt;0,(BN186-$R186)&gt;0),$V186/365*(BO186-BN186+1),IF(AND(($S186-BO186)&lt;=0,(BN186-$R186)&gt;0),$V186/365*($S186-BN186+1),$V186/365*(BO186-$R186+1))))),0)</f>
        <v>0</v>
      </c>
      <c r="BQ186" s="163">
        <f t="shared" ref="BQ186:BQ189" si="2239">BO186+1</f>
        <v>46113</v>
      </c>
      <c r="BR186" s="163">
        <f t="shared" ref="BR186:BR189" si="2240">BQ186+29</f>
        <v>46142</v>
      </c>
      <c r="BS186" s="167">
        <f t="shared" ref="BS186:BS189" si="2241">IFERROR(IF(($R186-BR186)&gt;=0,0,IF(($S186-BQ186)&lt;0,0,IF(AND(($S186-BR186)&gt;0,(BQ186-$R186)&gt;0),$V186/365*(BR186-BQ186+1),IF(AND(($S186-BR186)&lt;=0,(BQ186-$R186)&gt;0),$V186/365*($S186-BQ186+1),$V186/365*(BR186-$R186+1))))),0)</f>
        <v>0</v>
      </c>
      <c r="BT186" s="163">
        <f t="shared" ref="BT186:BT189" si="2242">BR186+1</f>
        <v>46143</v>
      </c>
      <c r="BU186" s="163">
        <f t="shared" ref="BU186:BU189" si="2243">BT186+30</f>
        <v>46173</v>
      </c>
      <c r="BV186" s="167">
        <f t="shared" ref="BV186:BV189" si="2244">IFERROR(IF(($R186-BU186)&gt;=0,0,IF(($S186-BT186)&lt;0,0,IF(AND(($S186-BU186)&gt;0,(BT186-$R186)&gt;0),$V186/365*(BU186-BT186+1),IF(AND(($S186-BU186)&lt;=0,(BT186-$R186)&gt;0),$V186/365*($S186-BT186+1),$V186/365*(BU186-$R186+1))))),0)</f>
        <v>0</v>
      </c>
      <c r="BW186" s="163">
        <f t="shared" ref="BW186:BW189" si="2245">BU186+1</f>
        <v>46174</v>
      </c>
      <c r="BX186" s="163">
        <f t="shared" ref="BX186:BX189" si="2246">BW186+29</f>
        <v>46203</v>
      </c>
      <c r="BY186" s="167">
        <f t="shared" ref="BY186:BY189" si="2247">IFERROR(IF(($R186-BX186)&gt;=0,0,IF(($S186-BW186)&lt;0,0,IF(AND(($S186-BX186)&gt;0,(BW186-$R186)&gt;0),$V186/365*(BX186-BW186+1),IF(AND(($S186-BX186)&lt;=0,(BW186-$R186)&gt;0),$V186/365*($S186-BW186+1),$V186/365*(BX186-$R186+1))))),0)</f>
        <v>0</v>
      </c>
      <c r="BZ186" s="163">
        <f t="shared" ref="BZ186:BZ189" si="2248">BX186+1</f>
        <v>46204</v>
      </c>
      <c r="CA186" s="163">
        <f t="shared" ref="CA186:CA189" si="2249">BZ186+30</f>
        <v>46234</v>
      </c>
      <c r="CB186" s="167">
        <f t="shared" ref="CB186:CB189" si="2250">IFERROR(IF(($R186-CA186)&gt;=0,0,IF(($S186-BZ186)&lt;0,0,IF(AND(($S186-CA186)&gt;0,(BZ186-$R186)&gt;0),$V186/365*(CA186-BZ186+1),IF(AND(($S186-CA186)&lt;=0,(BZ186-$R186)&gt;0),$V186/365*($S186-BZ186+1),$V186/365*(CA186-$R186+1))))),0)</f>
        <v>0</v>
      </c>
      <c r="CC186" s="163">
        <f t="shared" ref="CC186:CC189" si="2251">CA186+1</f>
        <v>46235</v>
      </c>
      <c r="CD186" s="163">
        <f t="shared" ref="CD186:CD189" si="2252">CC186+30</f>
        <v>46265</v>
      </c>
      <c r="CE186" s="167">
        <f t="shared" ref="CE186:CE189" si="2253">IFERROR(IF(($R186-CD186)&gt;=0,0,IF(($S186-CC186)&lt;0,0,IF(AND(($S186-CD186)&gt;0,(CC186-$R186)&gt;0),$V186/365*(CD186-CC186+1),IF(AND(($S186-CD186)&lt;=0,(CC186-$R186)&gt;0),$V186/365*($S186-CC186+1),$V186/365*(CD186-$R186+1))))),0)</f>
        <v>0</v>
      </c>
      <c r="CF186" s="163">
        <f t="shared" ref="CF186:CF189" si="2254">CD186+1</f>
        <v>46266</v>
      </c>
      <c r="CG186" s="163">
        <f t="shared" ref="CG186:CG189" si="2255">CF186+29</f>
        <v>46295</v>
      </c>
      <c r="CH186" s="167">
        <f t="shared" ref="CH186:CH189" si="2256">IFERROR(IF(($R186-CG186)&gt;=0,0,IF(($S186-CF186)&lt;0,0,IF(AND(($S186-CG186)&gt;0,(CF186-$R186)&gt;0),$V186/365*(CG186-CF186+1),IF(AND(($S186-CG186)&lt;=0,(CF186-$R186)&gt;0),$V186/365*($S186-CF186+1),$V186/365*(CG186-$R186+1))))),0)</f>
        <v>0</v>
      </c>
      <c r="CI186" s="163">
        <f t="shared" ref="CI186:CI189" si="2257">CG186+1</f>
        <v>46296</v>
      </c>
      <c r="CJ186" s="163">
        <f t="shared" ref="CJ186:CJ189" si="2258">CI186+30</f>
        <v>46326</v>
      </c>
      <c r="CK186" s="167">
        <f t="shared" ref="CK186:CK189" si="2259">IFERROR(IF(($R186-CJ186)&gt;=0,0,IF(($S186-CI186)&lt;0,0,IF(AND(($S186-CJ186)&gt;0,(CI186-$R186)&gt;0),$V186/365*(CJ186-CI186+1),IF(AND(($S186-CJ186)&lt;=0,(CI186-$R186)&gt;0),$V186/365*($S186-CI186+1),$V186/365*(CJ186-$R186+1))))),0)</f>
        <v>0</v>
      </c>
      <c r="CL186" s="163">
        <f t="shared" ref="CL186:CL189" si="2260">CJ186+1</f>
        <v>46327</v>
      </c>
      <c r="CM186" s="163">
        <f t="shared" ref="CM186:CM189" si="2261">CL186+29</f>
        <v>46356</v>
      </c>
      <c r="CN186" s="167">
        <f t="shared" ref="CN186:CN189" si="2262">IFERROR(IF(($R186-CM186)&gt;=0,0,IF(($S186-CL186)&lt;0,0,IF(AND(($S186-CM186)&gt;0,(CL186-$R186)&gt;0),$V186/365*(CM186-CL186+1),IF(AND(($S186-CM186)&lt;=0,(CL186-$R186)&gt;0),$V186/365*($S186-CL186+1),$V186/365*(CM186-$R186+1))))),0)</f>
        <v>0</v>
      </c>
      <c r="CO186" s="163">
        <f t="shared" ref="CO186:CO189" si="2263">CM186+1</f>
        <v>46357</v>
      </c>
      <c r="CP186" s="163">
        <f t="shared" ref="CP186:CP189" si="2264">CO186+30</f>
        <v>46387</v>
      </c>
      <c r="CQ186" s="167">
        <f t="shared" ref="CQ186:CQ189" si="2265">IFERROR(IF(($R186-CP186)&gt;=0,0,IF(($S186-CO186)&lt;0,0,IF(AND(($S186-CP186)&gt;0,(CO186-$R186)&gt;0),$V186/365*(CP186-CO186+1),IF(AND(($S186-CP186)&lt;=0,(CO186-$R186)&gt;0),$V186/365*($S186-CO186+1),$V186/365*(CP186-$R186+1))))),0)</f>
        <v>0</v>
      </c>
    </row>
    <row r="187" s="89" customFormat="1" ht="24" hidden="1" customHeight="1" outlineLevel="4" spans="1:95">
      <c r="A187" s="128"/>
      <c r="B187" s="129"/>
      <c r="C187" s="130"/>
      <c r="D187" s="128"/>
      <c r="E187" s="129"/>
      <c r="F187" s="129"/>
      <c r="G187" s="129"/>
      <c r="H187" s="131"/>
      <c r="I187" s="131"/>
      <c r="J187" s="131">
        <f t="shared" si="1570"/>
        <v>0</v>
      </c>
      <c r="K187" s="131">
        <f t="shared" ref="K187:K189" si="2266">K186+1</f>
        <v>2</v>
      </c>
      <c r="L187" s="156"/>
      <c r="M187" s="157">
        <f>IFERROR(VLOOKUP($L187,'2-2 引出数据_合同数据仓库'!$B$5:$BP$200,3,FALSE),0)</f>
        <v>0</v>
      </c>
      <c r="N187" s="131"/>
      <c r="O187" s="157">
        <f>IFERROR(VLOOKUP((LEFT(VLOOKUP($L187,'2-2 引出数据_合同数据仓库'!$B$5:$BP$200,64,FALSE),15)&amp;(RIGHT(VLOOKUP($L187,'2-2 引出数据_合同数据仓库'!$B$5:$BP$200,64,FALSE),4)+1)),'2-2 引出数据_合同数据仓库'!$B$5:$BP$200,3,FALSE),0)</f>
        <v>0</v>
      </c>
      <c r="P187" s="131"/>
      <c r="Q187" s="131">
        <f>IFERROR(VLOOKUP($L187,'2-2 引出数据_合同数据仓库'!$B$5:$BP$200,28,FALSE),0)</f>
        <v>0</v>
      </c>
      <c r="R187" s="131">
        <f>IFERROR(VLOOKUP($L187,'2-2 引出数据_合同数据仓库'!$B$5:$BP$200,29,FALSE),0)</f>
        <v>0</v>
      </c>
      <c r="S187" s="131">
        <f>IFERROR(VLOOKUP($L187,'2-2 引出数据_合同数据仓库'!$B$5:$BP$200,4,FALSE),0)</f>
        <v>0</v>
      </c>
      <c r="T187" s="131"/>
      <c r="U187" s="131">
        <f>IFERROR(VLOOKUP($L187,'2-2 引出数据_合同数据仓库'!$B$5:$BP$200,15,FALSE),0)</f>
        <v>0</v>
      </c>
      <c r="V187" s="131">
        <f t="shared" si="2195"/>
        <v>0</v>
      </c>
      <c r="W187" s="131"/>
      <c r="X187" s="163">
        <v>45658</v>
      </c>
      <c r="Y187" s="163">
        <f t="shared" si="2196"/>
        <v>45688</v>
      </c>
      <c r="Z187" s="167">
        <f t="shared" si="2197"/>
        <v>0</v>
      </c>
      <c r="AA187" s="163">
        <f t="shared" si="2198"/>
        <v>45689</v>
      </c>
      <c r="AB187" s="163">
        <f t="shared" si="2199"/>
        <v>45716</v>
      </c>
      <c r="AC187" s="167">
        <f t="shared" si="2200"/>
        <v>0</v>
      </c>
      <c r="AD187" s="163">
        <f t="shared" si="2201"/>
        <v>45717</v>
      </c>
      <c r="AE187" s="163">
        <f t="shared" si="2202"/>
        <v>45747</v>
      </c>
      <c r="AF187" s="167">
        <f t="shared" si="2203"/>
        <v>0</v>
      </c>
      <c r="AG187" s="163">
        <f t="shared" si="2204"/>
        <v>45748</v>
      </c>
      <c r="AH187" s="163">
        <f t="shared" si="2205"/>
        <v>45777</v>
      </c>
      <c r="AI187" s="167">
        <f t="shared" si="2206"/>
        <v>0</v>
      </c>
      <c r="AJ187" s="163">
        <f t="shared" si="2207"/>
        <v>45778</v>
      </c>
      <c r="AK187" s="163">
        <f t="shared" si="2208"/>
        <v>45808</v>
      </c>
      <c r="AL187" s="167">
        <f t="shared" si="2209"/>
        <v>0</v>
      </c>
      <c r="AM187" s="163">
        <f t="shared" si="2210"/>
        <v>45809</v>
      </c>
      <c r="AN187" s="163">
        <f t="shared" si="2211"/>
        <v>45838</v>
      </c>
      <c r="AO187" s="167">
        <f t="shared" si="2212"/>
        <v>0</v>
      </c>
      <c r="AP187" s="163">
        <f t="shared" si="2213"/>
        <v>45839</v>
      </c>
      <c r="AQ187" s="163">
        <f t="shared" si="2214"/>
        <v>45869</v>
      </c>
      <c r="AR187" s="167">
        <f t="shared" si="2215"/>
        <v>0</v>
      </c>
      <c r="AS187" s="163">
        <f t="shared" si="2216"/>
        <v>45870</v>
      </c>
      <c r="AT187" s="163">
        <f t="shared" si="2217"/>
        <v>45900</v>
      </c>
      <c r="AU187" s="167">
        <f t="shared" si="2218"/>
        <v>0</v>
      </c>
      <c r="AV187" s="163">
        <f t="shared" si="2219"/>
        <v>45901</v>
      </c>
      <c r="AW187" s="163">
        <f t="shared" si="2220"/>
        <v>45930</v>
      </c>
      <c r="AX187" s="167">
        <f t="shared" si="2221"/>
        <v>0</v>
      </c>
      <c r="AY187" s="163">
        <f t="shared" si="2222"/>
        <v>45931</v>
      </c>
      <c r="AZ187" s="163">
        <f t="shared" si="2223"/>
        <v>45961</v>
      </c>
      <c r="BA187" s="167">
        <f t="shared" si="2224"/>
        <v>0</v>
      </c>
      <c r="BB187" s="163">
        <f t="shared" si="2225"/>
        <v>45962</v>
      </c>
      <c r="BC187" s="163">
        <f t="shared" si="2226"/>
        <v>45991</v>
      </c>
      <c r="BD187" s="167">
        <f t="shared" si="2227"/>
        <v>0</v>
      </c>
      <c r="BE187" s="163">
        <f t="shared" si="2228"/>
        <v>45992</v>
      </c>
      <c r="BF187" s="163">
        <f t="shared" si="2229"/>
        <v>46022</v>
      </c>
      <c r="BG187" s="167">
        <f t="shared" si="2230"/>
        <v>0</v>
      </c>
      <c r="BH187" s="163">
        <v>46023</v>
      </c>
      <c r="BI187" s="163">
        <f t="shared" si="2231"/>
        <v>46053</v>
      </c>
      <c r="BJ187" s="167">
        <f t="shared" si="2232"/>
        <v>0</v>
      </c>
      <c r="BK187" s="163">
        <f t="shared" si="2233"/>
        <v>46054</v>
      </c>
      <c r="BL187" s="163">
        <f t="shared" si="2234"/>
        <v>46081</v>
      </c>
      <c r="BM187" s="167">
        <f t="shared" si="2235"/>
        <v>0</v>
      </c>
      <c r="BN187" s="163">
        <f t="shared" si="2236"/>
        <v>46082</v>
      </c>
      <c r="BO187" s="163">
        <f t="shared" si="2237"/>
        <v>46112</v>
      </c>
      <c r="BP187" s="167">
        <f t="shared" si="2238"/>
        <v>0</v>
      </c>
      <c r="BQ187" s="163">
        <f t="shared" si="2239"/>
        <v>46113</v>
      </c>
      <c r="BR187" s="163">
        <f t="shared" si="2240"/>
        <v>46142</v>
      </c>
      <c r="BS187" s="167">
        <f t="shared" si="2241"/>
        <v>0</v>
      </c>
      <c r="BT187" s="163">
        <f t="shared" si="2242"/>
        <v>46143</v>
      </c>
      <c r="BU187" s="163">
        <f t="shared" si="2243"/>
        <v>46173</v>
      </c>
      <c r="BV187" s="167">
        <f t="shared" si="2244"/>
        <v>0</v>
      </c>
      <c r="BW187" s="163">
        <f t="shared" si="2245"/>
        <v>46174</v>
      </c>
      <c r="BX187" s="163">
        <f t="shared" si="2246"/>
        <v>46203</v>
      </c>
      <c r="BY187" s="167">
        <f t="shared" si="2247"/>
        <v>0</v>
      </c>
      <c r="BZ187" s="163">
        <f t="shared" si="2248"/>
        <v>46204</v>
      </c>
      <c r="CA187" s="163">
        <f t="shared" si="2249"/>
        <v>46234</v>
      </c>
      <c r="CB187" s="167">
        <f t="shared" si="2250"/>
        <v>0</v>
      </c>
      <c r="CC187" s="163">
        <f t="shared" si="2251"/>
        <v>46235</v>
      </c>
      <c r="CD187" s="163">
        <f t="shared" si="2252"/>
        <v>46265</v>
      </c>
      <c r="CE187" s="167">
        <f t="shared" si="2253"/>
        <v>0</v>
      </c>
      <c r="CF187" s="163">
        <f t="shared" si="2254"/>
        <v>46266</v>
      </c>
      <c r="CG187" s="163">
        <f t="shared" si="2255"/>
        <v>46295</v>
      </c>
      <c r="CH187" s="167">
        <f t="shared" si="2256"/>
        <v>0</v>
      </c>
      <c r="CI187" s="163">
        <f t="shared" si="2257"/>
        <v>46296</v>
      </c>
      <c r="CJ187" s="163">
        <f t="shared" si="2258"/>
        <v>46326</v>
      </c>
      <c r="CK187" s="167">
        <f t="shared" si="2259"/>
        <v>0</v>
      </c>
      <c r="CL187" s="163">
        <f t="shared" si="2260"/>
        <v>46327</v>
      </c>
      <c r="CM187" s="163">
        <f t="shared" si="2261"/>
        <v>46356</v>
      </c>
      <c r="CN187" s="167">
        <f t="shared" si="2262"/>
        <v>0</v>
      </c>
      <c r="CO187" s="163">
        <f t="shared" si="2263"/>
        <v>46357</v>
      </c>
      <c r="CP187" s="163">
        <f t="shared" si="2264"/>
        <v>46387</v>
      </c>
      <c r="CQ187" s="167">
        <f t="shared" si="2265"/>
        <v>0</v>
      </c>
    </row>
    <row r="188" s="89" customFormat="1" ht="24" hidden="1" customHeight="1" outlineLevel="4" spans="1:95">
      <c r="A188" s="128"/>
      <c r="B188" s="129"/>
      <c r="C188" s="130"/>
      <c r="D188" s="128"/>
      <c r="E188" s="129"/>
      <c r="F188" s="129"/>
      <c r="G188" s="129"/>
      <c r="H188" s="131"/>
      <c r="I188" s="131"/>
      <c r="J188" s="131">
        <f t="shared" si="1570"/>
        <v>0</v>
      </c>
      <c r="K188" s="131">
        <f t="shared" si="2266"/>
        <v>3</v>
      </c>
      <c r="L188" s="156"/>
      <c r="M188" s="157">
        <f>IFERROR(VLOOKUP($L188,'2-2 引出数据_合同数据仓库'!$B$5:$BP$200,3,FALSE),0)</f>
        <v>0</v>
      </c>
      <c r="N188" s="131"/>
      <c r="O188" s="157">
        <f>IFERROR(VLOOKUP((LEFT(VLOOKUP($L188,'2-2 引出数据_合同数据仓库'!$B$5:$BP$200,64,FALSE),15)&amp;(RIGHT(VLOOKUP($L188,'2-2 引出数据_合同数据仓库'!$B$5:$BP$200,64,FALSE),4)+1)),'2-2 引出数据_合同数据仓库'!$B$5:$BP$200,3,FALSE),0)</f>
        <v>0</v>
      </c>
      <c r="P188" s="131"/>
      <c r="Q188" s="131">
        <f>IFERROR(VLOOKUP($L188,'2-2 引出数据_合同数据仓库'!$B$5:$BP$200,28,FALSE),0)</f>
        <v>0</v>
      </c>
      <c r="R188" s="131">
        <f>IFERROR(VLOOKUP($L188,'2-2 引出数据_合同数据仓库'!$B$5:$BP$200,29,FALSE),0)</f>
        <v>0</v>
      </c>
      <c r="S188" s="131">
        <f>IFERROR(VLOOKUP($L188,'2-2 引出数据_合同数据仓库'!$B$5:$BP$200,4,FALSE),0)</f>
        <v>0</v>
      </c>
      <c r="T188" s="131"/>
      <c r="U188" s="131">
        <f>IFERROR(VLOOKUP($L188,'2-2 引出数据_合同数据仓库'!$B$5:$BP$200,15,FALSE),0)</f>
        <v>0</v>
      </c>
      <c r="V188" s="131">
        <f t="shared" si="2195"/>
        <v>0</v>
      </c>
      <c r="W188" s="131"/>
      <c r="X188" s="163">
        <v>45658</v>
      </c>
      <c r="Y188" s="163">
        <f t="shared" si="2196"/>
        <v>45688</v>
      </c>
      <c r="Z188" s="167">
        <f t="shared" si="2197"/>
        <v>0</v>
      </c>
      <c r="AA188" s="163">
        <f t="shared" si="2198"/>
        <v>45689</v>
      </c>
      <c r="AB188" s="163">
        <f t="shared" si="2199"/>
        <v>45716</v>
      </c>
      <c r="AC188" s="167">
        <f t="shared" si="2200"/>
        <v>0</v>
      </c>
      <c r="AD188" s="163">
        <f t="shared" si="2201"/>
        <v>45717</v>
      </c>
      <c r="AE188" s="163">
        <f t="shared" si="2202"/>
        <v>45747</v>
      </c>
      <c r="AF188" s="167">
        <f t="shared" si="2203"/>
        <v>0</v>
      </c>
      <c r="AG188" s="163">
        <f t="shared" si="2204"/>
        <v>45748</v>
      </c>
      <c r="AH188" s="163">
        <f t="shared" si="2205"/>
        <v>45777</v>
      </c>
      <c r="AI188" s="167">
        <f t="shared" si="2206"/>
        <v>0</v>
      </c>
      <c r="AJ188" s="163">
        <f t="shared" si="2207"/>
        <v>45778</v>
      </c>
      <c r="AK188" s="163">
        <f t="shared" si="2208"/>
        <v>45808</v>
      </c>
      <c r="AL188" s="167">
        <f t="shared" si="2209"/>
        <v>0</v>
      </c>
      <c r="AM188" s="163">
        <f t="shared" si="2210"/>
        <v>45809</v>
      </c>
      <c r="AN188" s="163">
        <f t="shared" si="2211"/>
        <v>45838</v>
      </c>
      <c r="AO188" s="167">
        <f t="shared" si="2212"/>
        <v>0</v>
      </c>
      <c r="AP188" s="163">
        <f t="shared" si="2213"/>
        <v>45839</v>
      </c>
      <c r="AQ188" s="163">
        <f t="shared" si="2214"/>
        <v>45869</v>
      </c>
      <c r="AR188" s="167">
        <f t="shared" si="2215"/>
        <v>0</v>
      </c>
      <c r="AS188" s="163">
        <f t="shared" si="2216"/>
        <v>45870</v>
      </c>
      <c r="AT188" s="163">
        <f t="shared" si="2217"/>
        <v>45900</v>
      </c>
      <c r="AU188" s="167">
        <f t="shared" si="2218"/>
        <v>0</v>
      </c>
      <c r="AV188" s="163">
        <f t="shared" si="2219"/>
        <v>45901</v>
      </c>
      <c r="AW188" s="163">
        <f t="shared" si="2220"/>
        <v>45930</v>
      </c>
      <c r="AX188" s="167">
        <f t="shared" si="2221"/>
        <v>0</v>
      </c>
      <c r="AY188" s="163">
        <f t="shared" si="2222"/>
        <v>45931</v>
      </c>
      <c r="AZ188" s="163">
        <f t="shared" si="2223"/>
        <v>45961</v>
      </c>
      <c r="BA188" s="167">
        <f t="shared" si="2224"/>
        <v>0</v>
      </c>
      <c r="BB188" s="163">
        <f t="shared" si="2225"/>
        <v>45962</v>
      </c>
      <c r="BC188" s="163">
        <f t="shared" si="2226"/>
        <v>45991</v>
      </c>
      <c r="BD188" s="167">
        <f t="shared" si="2227"/>
        <v>0</v>
      </c>
      <c r="BE188" s="163">
        <f t="shared" si="2228"/>
        <v>45992</v>
      </c>
      <c r="BF188" s="163">
        <f t="shared" si="2229"/>
        <v>46022</v>
      </c>
      <c r="BG188" s="167">
        <f t="shared" si="2230"/>
        <v>0</v>
      </c>
      <c r="BH188" s="163">
        <v>46023</v>
      </c>
      <c r="BI188" s="163">
        <f t="shared" si="2231"/>
        <v>46053</v>
      </c>
      <c r="BJ188" s="167">
        <f t="shared" si="2232"/>
        <v>0</v>
      </c>
      <c r="BK188" s="163">
        <f t="shared" si="2233"/>
        <v>46054</v>
      </c>
      <c r="BL188" s="163">
        <f t="shared" si="2234"/>
        <v>46081</v>
      </c>
      <c r="BM188" s="167">
        <f t="shared" si="2235"/>
        <v>0</v>
      </c>
      <c r="BN188" s="163">
        <f t="shared" si="2236"/>
        <v>46082</v>
      </c>
      <c r="BO188" s="163">
        <f t="shared" si="2237"/>
        <v>46112</v>
      </c>
      <c r="BP188" s="167">
        <f t="shared" si="2238"/>
        <v>0</v>
      </c>
      <c r="BQ188" s="163">
        <f t="shared" si="2239"/>
        <v>46113</v>
      </c>
      <c r="BR188" s="163">
        <f t="shared" si="2240"/>
        <v>46142</v>
      </c>
      <c r="BS188" s="167">
        <f t="shared" si="2241"/>
        <v>0</v>
      </c>
      <c r="BT188" s="163">
        <f t="shared" si="2242"/>
        <v>46143</v>
      </c>
      <c r="BU188" s="163">
        <f t="shared" si="2243"/>
        <v>46173</v>
      </c>
      <c r="BV188" s="167">
        <f t="shared" si="2244"/>
        <v>0</v>
      </c>
      <c r="BW188" s="163">
        <f t="shared" si="2245"/>
        <v>46174</v>
      </c>
      <c r="BX188" s="163">
        <f t="shared" si="2246"/>
        <v>46203</v>
      </c>
      <c r="BY188" s="167">
        <f t="shared" si="2247"/>
        <v>0</v>
      </c>
      <c r="BZ188" s="163">
        <f t="shared" si="2248"/>
        <v>46204</v>
      </c>
      <c r="CA188" s="163">
        <f t="shared" si="2249"/>
        <v>46234</v>
      </c>
      <c r="CB188" s="167">
        <f t="shared" si="2250"/>
        <v>0</v>
      </c>
      <c r="CC188" s="163">
        <f t="shared" si="2251"/>
        <v>46235</v>
      </c>
      <c r="CD188" s="163">
        <f t="shared" si="2252"/>
        <v>46265</v>
      </c>
      <c r="CE188" s="167">
        <f t="shared" si="2253"/>
        <v>0</v>
      </c>
      <c r="CF188" s="163">
        <f t="shared" si="2254"/>
        <v>46266</v>
      </c>
      <c r="CG188" s="163">
        <f t="shared" si="2255"/>
        <v>46295</v>
      </c>
      <c r="CH188" s="167">
        <f t="shared" si="2256"/>
        <v>0</v>
      </c>
      <c r="CI188" s="163">
        <f t="shared" si="2257"/>
        <v>46296</v>
      </c>
      <c r="CJ188" s="163">
        <f t="shared" si="2258"/>
        <v>46326</v>
      </c>
      <c r="CK188" s="167">
        <f t="shared" si="2259"/>
        <v>0</v>
      </c>
      <c r="CL188" s="163">
        <f t="shared" si="2260"/>
        <v>46327</v>
      </c>
      <c r="CM188" s="163">
        <f t="shared" si="2261"/>
        <v>46356</v>
      </c>
      <c r="CN188" s="167">
        <f t="shared" si="2262"/>
        <v>0</v>
      </c>
      <c r="CO188" s="163">
        <f t="shared" si="2263"/>
        <v>46357</v>
      </c>
      <c r="CP188" s="163">
        <f t="shared" si="2264"/>
        <v>46387</v>
      </c>
      <c r="CQ188" s="167">
        <f t="shared" si="2265"/>
        <v>0</v>
      </c>
    </row>
    <row r="189" s="89" customFormat="1" ht="24" hidden="1" customHeight="1" outlineLevel="4" spans="1:95">
      <c r="A189" s="128"/>
      <c r="B189" s="129"/>
      <c r="C189" s="130"/>
      <c r="D189" s="128"/>
      <c r="E189" s="129"/>
      <c r="F189" s="129"/>
      <c r="G189" s="129"/>
      <c r="H189" s="131"/>
      <c r="I189" s="131"/>
      <c r="J189" s="131">
        <f t="shared" si="1570"/>
        <v>0</v>
      </c>
      <c r="K189" s="131">
        <f t="shared" si="2266"/>
        <v>4</v>
      </c>
      <c r="L189" s="156"/>
      <c r="M189" s="157">
        <f>IFERROR(VLOOKUP($L189,'2-2 引出数据_合同数据仓库'!$B$5:$BP$200,3,FALSE),0)</f>
        <v>0</v>
      </c>
      <c r="N189" s="131"/>
      <c r="O189" s="157">
        <f>IFERROR(VLOOKUP((LEFT(VLOOKUP($L189,'2-2 引出数据_合同数据仓库'!$B$5:$BP$200,64,FALSE),15)&amp;(RIGHT(VLOOKUP($L189,'2-2 引出数据_合同数据仓库'!$B$5:$BP$200,64,FALSE),4)+1)),'2-2 引出数据_合同数据仓库'!$B$5:$BP$200,3,FALSE),0)</f>
        <v>0</v>
      </c>
      <c r="P189" s="131"/>
      <c r="Q189" s="131">
        <f>IFERROR(VLOOKUP($L189,'2-2 引出数据_合同数据仓库'!$B$5:$BP$200,28,FALSE),0)</f>
        <v>0</v>
      </c>
      <c r="R189" s="131">
        <f>IFERROR(VLOOKUP($L189,'2-2 引出数据_合同数据仓库'!$B$5:$BP$200,29,FALSE),0)</f>
        <v>0</v>
      </c>
      <c r="S189" s="131">
        <f>IFERROR(VLOOKUP($L189,'2-2 引出数据_合同数据仓库'!$B$5:$BP$200,4,FALSE),0)</f>
        <v>0</v>
      </c>
      <c r="T189" s="131"/>
      <c r="U189" s="131">
        <f>IFERROR(VLOOKUP($L189,'2-2 引出数据_合同数据仓库'!$B$5:$BP$200,15,FALSE),0)</f>
        <v>0</v>
      </c>
      <c r="V189" s="131">
        <f t="shared" si="2195"/>
        <v>0</v>
      </c>
      <c r="W189" s="131"/>
      <c r="X189" s="163">
        <v>45658</v>
      </c>
      <c r="Y189" s="163">
        <f t="shared" si="2196"/>
        <v>45688</v>
      </c>
      <c r="Z189" s="167">
        <f t="shared" si="2197"/>
        <v>0</v>
      </c>
      <c r="AA189" s="163">
        <f t="shared" si="2198"/>
        <v>45689</v>
      </c>
      <c r="AB189" s="163">
        <f t="shared" si="2199"/>
        <v>45716</v>
      </c>
      <c r="AC189" s="167">
        <f t="shared" si="2200"/>
        <v>0</v>
      </c>
      <c r="AD189" s="163">
        <f t="shared" si="2201"/>
        <v>45717</v>
      </c>
      <c r="AE189" s="163">
        <f t="shared" si="2202"/>
        <v>45747</v>
      </c>
      <c r="AF189" s="167">
        <f t="shared" si="2203"/>
        <v>0</v>
      </c>
      <c r="AG189" s="163">
        <f t="shared" si="2204"/>
        <v>45748</v>
      </c>
      <c r="AH189" s="163">
        <f t="shared" si="2205"/>
        <v>45777</v>
      </c>
      <c r="AI189" s="167">
        <f t="shared" si="2206"/>
        <v>0</v>
      </c>
      <c r="AJ189" s="163">
        <f t="shared" si="2207"/>
        <v>45778</v>
      </c>
      <c r="AK189" s="163">
        <f t="shared" si="2208"/>
        <v>45808</v>
      </c>
      <c r="AL189" s="167">
        <f t="shared" si="2209"/>
        <v>0</v>
      </c>
      <c r="AM189" s="163">
        <f t="shared" si="2210"/>
        <v>45809</v>
      </c>
      <c r="AN189" s="163">
        <f t="shared" si="2211"/>
        <v>45838</v>
      </c>
      <c r="AO189" s="167">
        <f t="shared" si="2212"/>
        <v>0</v>
      </c>
      <c r="AP189" s="163">
        <f t="shared" si="2213"/>
        <v>45839</v>
      </c>
      <c r="AQ189" s="163">
        <f t="shared" si="2214"/>
        <v>45869</v>
      </c>
      <c r="AR189" s="167">
        <f t="shared" si="2215"/>
        <v>0</v>
      </c>
      <c r="AS189" s="163">
        <f t="shared" si="2216"/>
        <v>45870</v>
      </c>
      <c r="AT189" s="163">
        <f t="shared" si="2217"/>
        <v>45900</v>
      </c>
      <c r="AU189" s="167">
        <f t="shared" si="2218"/>
        <v>0</v>
      </c>
      <c r="AV189" s="163">
        <f t="shared" si="2219"/>
        <v>45901</v>
      </c>
      <c r="AW189" s="163">
        <f t="shared" si="2220"/>
        <v>45930</v>
      </c>
      <c r="AX189" s="167">
        <f t="shared" si="2221"/>
        <v>0</v>
      </c>
      <c r="AY189" s="163">
        <f t="shared" si="2222"/>
        <v>45931</v>
      </c>
      <c r="AZ189" s="163">
        <f t="shared" si="2223"/>
        <v>45961</v>
      </c>
      <c r="BA189" s="167">
        <f t="shared" si="2224"/>
        <v>0</v>
      </c>
      <c r="BB189" s="163">
        <f t="shared" si="2225"/>
        <v>45962</v>
      </c>
      <c r="BC189" s="163">
        <f t="shared" si="2226"/>
        <v>45991</v>
      </c>
      <c r="BD189" s="167">
        <f t="shared" si="2227"/>
        <v>0</v>
      </c>
      <c r="BE189" s="163">
        <f t="shared" si="2228"/>
        <v>45992</v>
      </c>
      <c r="BF189" s="163">
        <f t="shared" si="2229"/>
        <v>46022</v>
      </c>
      <c r="BG189" s="167">
        <f t="shared" si="2230"/>
        <v>0</v>
      </c>
      <c r="BH189" s="163">
        <v>46023</v>
      </c>
      <c r="BI189" s="163">
        <f t="shared" si="2231"/>
        <v>46053</v>
      </c>
      <c r="BJ189" s="167">
        <f t="shared" si="2232"/>
        <v>0</v>
      </c>
      <c r="BK189" s="163">
        <f t="shared" si="2233"/>
        <v>46054</v>
      </c>
      <c r="BL189" s="163">
        <f t="shared" si="2234"/>
        <v>46081</v>
      </c>
      <c r="BM189" s="167">
        <f t="shared" si="2235"/>
        <v>0</v>
      </c>
      <c r="BN189" s="163">
        <f t="shared" si="2236"/>
        <v>46082</v>
      </c>
      <c r="BO189" s="163">
        <f t="shared" si="2237"/>
        <v>46112</v>
      </c>
      <c r="BP189" s="167">
        <f t="shared" si="2238"/>
        <v>0</v>
      </c>
      <c r="BQ189" s="163">
        <f t="shared" si="2239"/>
        <v>46113</v>
      </c>
      <c r="BR189" s="163">
        <f t="shared" si="2240"/>
        <v>46142</v>
      </c>
      <c r="BS189" s="167">
        <f t="shared" si="2241"/>
        <v>0</v>
      </c>
      <c r="BT189" s="163">
        <f t="shared" si="2242"/>
        <v>46143</v>
      </c>
      <c r="BU189" s="163">
        <f t="shared" si="2243"/>
        <v>46173</v>
      </c>
      <c r="BV189" s="167">
        <f t="shared" si="2244"/>
        <v>0</v>
      </c>
      <c r="BW189" s="163">
        <f t="shared" si="2245"/>
        <v>46174</v>
      </c>
      <c r="BX189" s="163">
        <f t="shared" si="2246"/>
        <v>46203</v>
      </c>
      <c r="BY189" s="167">
        <f t="shared" si="2247"/>
        <v>0</v>
      </c>
      <c r="BZ189" s="163">
        <f t="shared" si="2248"/>
        <v>46204</v>
      </c>
      <c r="CA189" s="163">
        <f t="shared" si="2249"/>
        <v>46234</v>
      </c>
      <c r="CB189" s="167">
        <f t="shared" si="2250"/>
        <v>0</v>
      </c>
      <c r="CC189" s="163">
        <f t="shared" si="2251"/>
        <v>46235</v>
      </c>
      <c r="CD189" s="163">
        <f t="shared" si="2252"/>
        <v>46265</v>
      </c>
      <c r="CE189" s="167">
        <f t="shared" si="2253"/>
        <v>0</v>
      </c>
      <c r="CF189" s="163">
        <f t="shared" si="2254"/>
        <v>46266</v>
      </c>
      <c r="CG189" s="163">
        <f t="shared" si="2255"/>
        <v>46295</v>
      </c>
      <c r="CH189" s="167">
        <f t="shared" si="2256"/>
        <v>0</v>
      </c>
      <c r="CI189" s="163">
        <f t="shared" si="2257"/>
        <v>46296</v>
      </c>
      <c r="CJ189" s="163">
        <f t="shared" si="2258"/>
        <v>46326</v>
      </c>
      <c r="CK189" s="167">
        <f t="shared" si="2259"/>
        <v>0</v>
      </c>
      <c r="CL189" s="163">
        <f t="shared" si="2260"/>
        <v>46327</v>
      </c>
      <c r="CM189" s="163">
        <f t="shared" si="2261"/>
        <v>46356</v>
      </c>
      <c r="CN189" s="167">
        <f t="shared" si="2262"/>
        <v>0</v>
      </c>
      <c r="CO189" s="163">
        <f t="shared" si="2263"/>
        <v>46357</v>
      </c>
      <c r="CP189" s="163">
        <f t="shared" si="2264"/>
        <v>46387</v>
      </c>
      <c r="CQ189" s="167">
        <f t="shared" si="2265"/>
        <v>0</v>
      </c>
    </row>
    <row r="190" s="89" customFormat="1" ht="24" hidden="1" customHeight="1" outlineLevel="4" spans="1:95">
      <c r="A190" s="132" t="s">
        <v>2813</v>
      </c>
      <c r="B190" s="133"/>
      <c r="C190" s="133"/>
      <c r="D190" s="133"/>
      <c r="E190" s="133"/>
      <c r="F190" s="133"/>
      <c r="G190" s="134"/>
      <c r="H190" s="135"/>
      <c r="I190" s="135"/>
      <c r="J190" s="135"/>
      <c r="K190" s="135"/>
      <c r="L190" s="158"/>
      <c r="M190" s="158"/>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c r="CL190" s="135"/>
      <c r="CM190" s="135"/>
      <c r="CN190" s="135"/>
      <c r="CO190" s="135"/>
      <c r="CP190" s="135"/>
      <c r="CQ190" s="135"/>
    </row>
    <row r="191" ht="24" hidden="1" customHeight="1" outlineLevel="3" collapsed="1" spans="1:95">
      <c r="A191" s="124"/>
      <c r="B191" s="125" t="s">
        <v>792</v>
      </c>
      <c r="C191" s="126" t="s">
        <v>1147</v>
      </c>
      <c r="D191" s="124" t="s">
        <v>2424</v>
      </c>
      <c r="E191" s="125"/>
      <c r="F191" s="125"/>
      <c r="G191" s="125"/>
      <c r="H191" s="127">
        <f>X191+AA191+AD191+AG191+AJ191+AM191+AP191+AS191+AV191+AY191+BB191+BE191</f>
        <v>0</v>
      </c>
      <c r="I191" s="127">
        <f>Y191+AB191+AE191+AH191+AK191+AN191+AQ191+AT191+AW191+AZ191+BC191+BF191</f>
        <v>0</v>
      </c>
      <c r="J191" s="127">
        <f t="shared" si="1570"/>
        <v>0</v>
      </c>
      <c r="K191" s="127"/>
      <c r="L191" s="155"/>
      <c r="M191" s="155"/>
      <c r="N191" s="127"/>
      <c r="O191" s="127"/>
      <c r="P191" s="127"/>
      <c r="Q191" s="127"/>
      <c r="R191" s="127"/>
      <c r="S191" s="127"/>
      <c r="T191" s="127"/>
      <c r="U191" s="127"/>
      <c r="V191" s="127"/>
      <c r="W191" s="127"/>
      <c r="X191" s="127">
        <f>VLOOKUP($C191,'1 预算编制表单'!$C:$BJ,27,FALSE)</f>
        <v>0</v>
      </c>
      <c r="Y191" s="127">
        <f>X191-Z191</f>
        <v>0</v>
      </c>
      <c r="Z191" s="127">
        <f>SUM(Z192:Z196)</f>
        <v>0</v>
      </c>
      <c r="AA191" s="127">
        <f>VLOOKUP($C191,'1 预算编制表单'!$C:$BJ,30,FALSE)</f>
        <v>0</v>
      </c>
      <c r="AB191" s="127">
        <f>AA191-AC191</f>
        <v>0</v>
      </c>
      <c r="AC191" s="127">
        <f>SUM(AC192:AC196)</f>
        <v>0</v>
      </c>
      <c r="AD191" s="127">
        <f>VLOOKUP($C191,'1 预算编制表单'!$C:$BJ,33,FALSE)</f>
        <v>0</v>
      </c>
      <c r="AE191" s="127">
        <f>AD191-AF191</f>
        <v>0</v>
      </c>
      <c r="AF191" s="127">
        <f>SUM(AF192:AF196)</f>
        <v>0</v>
      </c>
      <c r="AG191" s="127">
        <f>VLOOKUP($C191,'1 预算编制表单'!$C:$BJ,36,FALSE)</f>
        <v>0</v>
      </c>
      <c r="AH191" s="127">
        <f>AG191-AI191</f>
        <v>0</v>
      </c>
      <c r="AI191" s="127">
        <f>SUM(AI192:AI196)</f>
        <v>0</v>
      </c>
      <c r="AJ191" s="127">
        <f>VLOOKUP($C191,'1 预算编制表单'!$C:$BJ,39,FALSE)</f>
        <v>0</v>
      </c>
      <c r="AK191" s="127">
        <f>AJ191-AL191</f>
        <v>0</v>
      </c>
      <c r="AL191" s="127">
        <f>SUM(AL192:AL196)</f>
        <v>0</v>
      </c>
      <c r="AM191" s="127">
        <f>VLOOKUP($C191,'1 预算编制表单'!$C:$BJ,42,FALSE)</f>
        <v>0</v>
      </c>
      <c r="AN191" s="127">
        <f>AM191-AO191</f>
        <v>0</v>
      </c>
      <c r="AO191" s="127">
        <f>SUM(AO192:AO196)</f>
        <v>0</v>
      </c>
      <c r="AP191" s="127">
        <f>VLOOKUP($C191,'1 预算编制表单'!$C:$BJ,45,FALSE)</f>
        <v>0</v>
      </c>
      <c r="AQ191" s="127">
        <f>AP191-AR191</f>
        <v>0</v>
      </c>
      <c r="AR191" s="127">
        <f>SUM(AR192:AR196)</f>
        <v>0</v>
      </c>
      <c r="AS191" s="127">
        <f>VLOOKUP($C191,'1 预算编制表单'!$C:$BJ,48,FALSE)</f>
        <v>0</v>
      </c>
      <c r="AT191" s="127">
        <f>AS191-AU191</f>
        <v>0</v>
      </c>
      <c r="AU191" s="127">
        <f>SUM(AU192:AU196)</f>
        <v>0</v>
      </c>
      <c r="AV191" s="127">
        <f>VLOOKUP($C191,'1 预算编制表单'!$C:$BJ,51,FALSE)</f>
        <v>0</v>
      </c>
      <c r="AW191" s="127">
        <f>AV191-AX191</f>
        <v>0</v>
      </c>
      <c r="AX191" s="127">
        <f>SUM(AX192:AX196)</f>
        <v>0</v>
      </c>
      <c r="AY191" s="127">
        <f>VLOOKUP($C191,'1 预算编制表单'!$C:$BJ,54,FALSE)</f>
        <v>0</v>
      </c>
      <c r="AZ191" s="127">
        <f>AY191-BA191</f>
        <v>0</v>
      </c>
      <c r="BA191" s="127">
        <f>SUM(BA192:BA196)</f>
        <v>0</v>
      </c>
      <c r="BB191" s="127">
        <f>VLOOKUP($C191,'1 预算编制表单'!$C:$BJ,57,FALSE)</f>
        <v>0</v>
      </c>
      <c r="BC191" s="127">
        <f>BB191-BD191</f>
        <v>0</v>
      </c>
      <c r="BD191" s="127">
        <f>SUM(BD192:BD196)</f>
        <v>0</v>
      </c>
      <c r="BE191" s="127">
        <f>VLOOKUP($C191,'1 预算编制表单'!$C:$BJ,60,FALSE)</f>
        <v>0</v>
      </c>
      <c r="BF191" s="127">
        <f>BE191-BG191</f>
        <v>0</v>
      </c>
      <c r="BG191" s="127">
        <f>SUM(BG192:BG196)</f>
        <v>0</v>
      </c>
      <c r="BH191" s="127">
        <f>VLOOKUP($C191,'1 预算编制表单'!$C:$BJ,27,FALSE)</f>
        <v>0</v>
      </c>
      <c r="BI191" s="127">
        <f>BH191-BJ191</f>
        <v>0</v>
      </c>
      <c r="BJ191" s="127">
        <f>SUM(BJ192:BJ196)</f>
        <v>0</v>
      </c>
      <c r="BK191" s="127">
        <f>VLOOKUP($C191,'1 预算编制表单'!$C:$BJ,30,FALSE)</f>
        <v>0</v>
      </c>
      <c r="BL191" s="127">
        <f>BK191-BM191</f>
        <v>0</v>
      </c>
      <c r="BM191" s="127">
        <f>SUM(BM192:BM196)</f>
        <v>0</v>
      </c>
      <c r="BN191" s="127">
        <f>VLOOKUP($C191,'1 预算编制表单'!$C:$BJ,33,FALSE)</f>
        <v>0</v>
      </c>
      <c r="BO191" s="127">
        <f>BN191-BP191</f>
        <v>0</v>
      </c>
      <c r="BP191" s="127">
        <f>SUM(BP192:BP196)</f>
        <v>0</v>
      </c>
      <c r="BQ191" s="127">
        <f>VLOOKUP($C191,'1 预算编制表单'!$C:$BJ,36,FALSE)</f>
        <v>0</v>
      </c>
      <c r="BR191" s="127">
        <f>BQ191-BS191</f>
        <v>0</v>
      </c>
      <c r="BS191" s="127">
        <f>SUM(BS192:BS196)</f>
        <v>0</v>
      </c>
      <c r="BT191" s="127">
        <f>VLOOKUP($C191,'1 预算编制表单'!$C:$BJ,39,FALSE)</f>
        <v>0</v>
      </c>
      <c r="BU191" s="127">
        <f>BT191-BV191</f>
        <v>0</v>
      </c>
      <c r="BV191" s="127">
        <f>SUM(BV192:BV196)</f>
        <v>0</v>
      </c>
      <c r="BW191" s="127">
        <f>VLOOKUP($C191,'1 预算编制表单'!$C:$BJ,42,FALSE)</f>
        <v>0</v>
      </c>
      <c r="BX191" s="127">
        <f>BW191-BY191</f>
        <v>0</v>
      </c>
      <c r="BY191" s="127">
        <f>SUM(BY192:BY196)</f>
        <v>0</v>
      </c>
      <c r="BZ191" s="127">
        <f>VLOOKUP($C191,'1 预算编制表单'!$C:$BJ,45,FALSE)</f>
        <v>0</v>
      </c>
      <c r="CA191" s="127">
        <f>BZ191-CB191</f>
        <v>0</v>
      </c>
      <c r="CB191" s="127">
        <f>SUM(CB192:CB196)</f>
        <v>0</v>
      </c>
      <c r="CC191" s="127">
        <f>VLOOKUP($C191,'1 预算编制表单'!$C:$BJ,48,FALSE)</f>
        <v>0</v>
      </c>
      <c r="CD191" s="127">
        <f>CC191-CE191</f>
        <v>0</v>
      </c>
      <c r="CE191" s="127">
        <f>SUM(CE192:CE196)</f>
        <v>0</v>
      </c>
      <c r="CF191" s="127">
        <f>VLOOKUP($C191,'1 预算编制表单'!$C:$BJ,51,FALSE)</f>
        <v>0</v>
      </c>
      <c r="CG191" s="127">
        <f>CF191-CH191</f>
        <v>0</v>
      </c>
      <c r="CH191" s="127">
        <f>SUM(CH192:CH196)</f>
        <v>0</v>
      </c>
      <c r="CI191" s="127">
        <f>VLOOKUP($C191,'1 预算编制表单'!$C:$BJ,54,FALSE)</f>
        <v>0</v>
      </c>
      <c r="CJ191" s="127">
        <f>CI191-CK191</f>
        <v>0</v>
      </c>
      <c r="CK191" s="127">
        <f>SUM(CK192:CK196)</f>
        <v>0</v>
      </c>
      <c r="CL191" s="127">
        <f>VLOOKUP($C191,'1 预算编制表单'!$C:$BJ,57,FALSE)</f>
        <v>0</v>
      </c>
      <c r="CM191" s="127">
        <f>CL191-CN191</f>
        <v>0</v>
      </c>
      <c r="CN191" s="127">
        <f>SUM(CN192:CN196)</f>
        <v>0</v>
      </c>
      <c r="CO191" s="127">
        <f>VLOOKUP($C191,'1 预算编制表单'!$C:$BJ,60,FALSE)</f>
        <v>0</v>
      </c>
      <c r="CP191" s="127">
        <f>CO191-CQ191</f>
        <v>0</v>
      </c>
      <c r="CQ191" s="127">
        <f>SUM(CQ192:CQ196)</f>
        <v>0</v>
      </c>
    </row>
    <row r="192" s="89" customFormat="1" ht="24" hidden="1" customHeight="1" outlineLevel="4" spans="1:95">
      <c r="A192" s="128"/>
      <c r="B192" s="129"/>
      <c r="C192" s="130"/>
      <c r="D192" s="128"/>
      <c r="E192" s="129"/>
      <c r="F192" s="129"/>
      <c r="G192" s="129"/>
      <c r="H192" s="131"/>
      <c r="I192" s="131"/>
      <c r="J192" s="131">
        <f t="shared" si="1570"/>
        <v>0</v>
      </c>
      <c r="K192" s="131">
        <v>1</v>
      </c>
      <c r="L192" s="156"/>
      <c r="M192" s="157">
        <f>IFERROR(VLOOKUP($L192,'2-2 引出数据_合同数据仓库'!$B$5:$BP$200,3,FALSE),0)</f>
        <v>0</v>
      </c>
      <c r="N192" s="131"/>
      <c r="O192" s="157">
        <f>IFERROR(VLOOKUP((LEFT(VLOOKUP($L192,'2-2 引出数据_合同数据仓库'!$B$5:$BP$200,64,FALSE),15)&amp;(RIGHT(VLOOKUP($L192,'2-2 引出数据_合同数据仓库'!$B$5:$BP$200,64,FALSE),4)+1)),'2-2 引出数据_合同数据仓库'!$B$5:$BP$200,3,FALSE),0)</f>
        <v>0</v>
      </c>
      <c r="P192" s="131"/>
      <c r="Q192" s="131">
        <f>IFERROR(VLOOKUP($L192,'2-2 引出数据_合同数据仓库'!$B$5:$BP$200,28,FALSE),0)</f>
        <v>0</v>
      </c>
      <c r="R192" s="131">
        <f>IFERROR(VLOOKUP($L192,'2-2 引出数据_合同数据仓库'!$B$5:$BP$200,29,FALSE),0)</f>
        <v>0</v>
      </c>
      <c r="S192" s="131">
        <f>IFERROR(VLOOKUP($L192,'2-2 引出数据_合同数据仓库'!$B$5:$BP$200,4,FALSE),0)</f>
        <v>0</v>
      </c>
      <c r="T192" s="131"/>
      <c r="U192" s="131">
        <f>IFERROR(VLOOKUP($L192,'2-2 引出数据_合同数据仓库'!$B$5:$BP$200,15,FALSE),0)</f>
        <v>0</v>
      </c>
      <c r="V192" s="131">
        <f t="shared" ref="V192:V195" si="2267">U192/(S192-R192+1)*365</f>
        <v>0</v>
      </c>
      <c r="W192" s="131"/>
      <c r="X192" s="163">
        <v>45658</v>
      </c>
      <c r="Y192" s="163">
        <f t="shared" ref="Y192:Y195" si="2268">X192+30</f>
        <v>45688</v>
      </c>
      <c r="Z192" s="167">
        <f t="shared" ref="Z192:Z195" si="2269">IFERROR(IF(($R192-Y192)&gt;=0,0,IF(($S192-X192)&lt;0,0,IF(AND(($S192-Y192)&gt;0,(X192-$R192)&gt;0),$V192/365*(Y192-X192+1),IF(AND(($S192-Y192)&lt;=0,(X192-$R192)&gt;0),$V192/365*($S192-X192+1),$V192/365*(Y192-$R192+1))))),0)</f>
        <v>0</v>
      </c>
      <c r="AA192" s="163">
        <f t="shared" ref="AA192:AA195" si="2270">Y192+1</f>
        <v>45689</v>
      </c>
      <c r="AB192" s="163">
        <f t="shared" ref="AB192:AB195" si="2271">AA192+27</f>
        <v>45716</v>
      </c>
      <c r="AC192" s="167">
        <f t="shared" ref="AC192:AC195" si="2272">IFERROR(IF(($R192-AB192)&gt;=0,0,IF(($S192-AA192)&lt;0,0,IF(AND(($S192-AB192)&gt;0,(AA192-$R192)&gt;0),$V192/365*(AB192-AA192+1),IF(AND(($S192-AB192)&lt;=0,(AA192-$R192)&gt;0),$V192/365*($S192-AA192+1),$V192/365*(AB192-$R192+1))))),0)</f>
        <v>0</v>
      </c>
      <c r="AD192" s="163">
        <f t="shared" ref="AD192:AD195" si="2273">AB192+1</f>
        <v>45717</v>
      </c>
      <c r="AE192" s="163">
        <f t="shared" ref="AE192:AE195" si="2274">AD192+30</f>
        <v>45747</v>
      </c>
      <c r="AF192" s="167">
        <f t="shared" ref="AF192:AF195" si="2275">IFERROR(IF(($R192-AE192)&gt;=0,0,IF(($S192-AD192)&lt;0,0,IF(AND(($S192-AE192)&gt;0,(AD192-$R192)&gt;0),$V192/365*(AE192-AD192+1),IF(AND(($S192-AE192)&lt;=0,(AD192-$R192)&gt;0),$V192/365*($S192-AD192+1),$V192/365*(AE192-$R192+1))))),0)</f>
        <v>0</v>
      </c>
      <c r="AG192" s="163">
        <f t="shared" ref="AG192:AG195" si="2276">AE192+1</f>
        <v>45748</v>
      </c>
      <c r="AH192" s="163">
        <f t="shared" ref="AH192:AH195" si="2277">AG192+29</f>
        <v>45777</v>
      </c>
      <c r="AI192" s="167">
        <f t="shared" ref="AI192:AI195" si="2278">IFERROR(IF(($R192-AH192)&gt;=0,0,IF(($S192-AG192)&lt;0,0,IF(AND(($S192-AH192)&gt;0,(AG192-$R192)&gt;0),$V192/365*(AH192-AG192+1),IF(AND(($S192-AH192)&lt;=0,(AG192-$R192)&gt;0),$V192/365*($S192-AG192+1),$V192/365*(AH192-$R192+1))))),0)</f>
        <v>0</v>
      </c>
      <c r="AJ192" s="163">
        <f t="shared" ref="AJ192:AJ195" si="2279">AH192+1</f>
        <v>45778</v>
      </c>
      <c r="AK192" s="163">
        <f t="shared" ref="AK192:AK195" si="2280">AJ192+30</f>
        <v>45808</v>
      </c>
      <c r="AL192" s="167">
        <f t="shared" ref="AL192:AL195" si="2281">IFERROR(IF(($R192-AK192)&gt;=0,0,IF(($S192-AJ192)&lt;0,0,IF(AND(($S192-AK192)&gt;0,(AJ192-$R192)&gt;0),$V192/365*(AK192-AJ192+1),IF(AND(($S192-AK192)&lt;=0,(AJ192-$R192)&gt;0),$V192/365*($S192-AJ192+1),$V192/365*(AK192-$R192+1))))),0)</f>
        <v>0</v>
      </c>
      <c r="AM192" s="163">
        <f t="shared" ref="AM192:AM195" si="2282">AK192+1</f>
        <v>45809</v>
      </c>
      <c r="AN192" s="163">
        <f t="shared" ref="AN192:AN195" si="2283">AM192+29</f>
        <v>45838</v>
      </c>
      <c r="AO192" s="167">
        <f t="shared" ref="AO192:AO195" si="2284">IFERROR(IF(($R192-AN192)&gt;=0,0,IF(($S192-AM192)&lt;0,0,IF(AND(($S192-AN192)&gt;0,(AM192-$R192)&gt;0),$V192/365*(AN192-AM192+1),IF(AND(($S192-AN192)&lt;=0,(AM192-$R192)&gt;0),$V192/365*($S192-AM192+1),$V192/365*(AN192-$R192+1))))),0)</f>
        <v>0</v>
      </c>
      <c r="AP192" s="163">
        <f t="shared" ref="AP192:AP195" si="2285">AN192+1</f>
        <v>45839</v>
      </c>
      <c r="AQ192" s="163">
        <f t="shared" ref="AQ192:AQ195" si="2286">AP192+30</f>
        <v>45869</v>
      </c>
      <c r="AR192" s="167">
        <f t="shared" ref="AR192:AR195" si="2287">IFERROR(IF(($R192-AQ192)&gt;=0,0,IF(($S192-AP192)&lt;0,0,IF(AND(($S192-AQ192)&gt;0,(AP192-$R192)&gt;0),$V192/365*(AQ192-AP192+1),IF(AND(($S192-AQ192)&lt;=0,(AP192-$R192)&gt;0),$V192/365*($S192-AP192+1),$V192/365*(AQ192-$R192+1))))),0)</f>
        <v>0</v>
      </c>
      <c r="AS192" s="163">
        <f t="shared" ref="AS192:AS195" si="2288">AQ192+1</f>
        <v>45870</v>
      </c>
      <c r="AT192" s="163">
        <f t="shared" ref="AT192:AT195" si="2289">AS192+30</f>
        <v>45900</v>
      </c>
      <c r="AU192" s="167">
        <f t="shared" ref="AU192:AU195" si="2290">IFERROR(IF(($R192-AT192)&gt;=0,0,IF(($S192-AS192)&lt;0,0,IF(AND(($S192-AT192)&gt;0,(AS192-$R192)&gt;0),$V192/365*(AT192-AS192+1),IF(AND(($S192-AT192)&lt;=0,(AS192-$R192)&gt;0),$V192/365*($S192-AS192+1),$V192/365*(AT192-$R192+1))))),0)</f>
        <v>0</v>
      </c>
      <c r="AV192" s="163">
        <f t="shared" ref="AV192:AV195" si="2291">AT192+1</f>
        <v>45901</v>
      </c>
      <c r="AW192" s="163">
        <f t="shared" ref="AW192:AW195" si="2292">AV192+29</f>
        <v>45930</v>
      </c>
      <c r="AX192" s="167">
        <f t="shared" ref="AX192:AX195" si="2293">IFERROR(IF(($R192-AW192)&gt;=0,0,IF(($S192-AV192)&lt;0,0,IF(AND(($S192-AW192)&gt;0,(AV192-$R192)&gt;0),$V192/365*(AW192-AV192+1),IF(AND(($S192-AW192)&lt;=0,(AV192-$R192)&gt;0),$V192/365*($S192-AV192+1),$V192/365*(AW192-$R192+1))))),0)</f>
        <v>0</v>
      </c>
      <c r="AY192" s="163">
        <f t="shared" ref="AY192:AY195" si="2294">AW192+1</f>
        <v>45931</v>
      </c>
      <c r="AZ192" s="163">
        <f t="shared" ref="AZ192:AZ195" si="2295">AY192+30</f>
        <v>45961</v>
      </c>
      <c r="BA192" s="167">
        <f t="shared" ref="BA192:BA195" si="2296">IFERROR(IF(($R192-AZ192)&gt;=0,0,IF(($S192-AY192)&lt;0,0,IF(AND(($S192-AZ192)&gt;0,(AY192-$R192)&gt;0),$V192/365*(AZ192-AY192+1),IF(AND(($S192-AZ192)&lt;=0,(AY192-$R192)&gt;0),$V192/365*($S192-AY192+1),$V192/365*(AZ192-$R192+1))))),0)</f>
        <v>0</v>
      </c>
      <c r="BB192" s="163">
        <f t="shared" ref="BB192:BB195" si="2297">AZ192+1</f>
        <v>45962</v>
      </c>
      <c r="BC192" s="163">
        <f t="shared" ref="BC192:BC195" si="2298">BB192+29</f>
        <v>45991</v>
      </c>
      <c r="BD192" s="167">
        <f t="shared" ref="BD192:BD195" si="2299">IFERROR(IF(($R192-BC192)&gt;=0,0,IF(($S192-BB192)&lt;0,0,IF(AND(($S192-BC192)&gt;0,(BB192-$R192)&gt;0),$V192/365*(BC192-BB192+1),IF(AND(($S192-BC192)&lt;=0,(BB192-$R192)&gt;0),$V192/365*($S192-BB192+1),$V192/365*(BC192-$R192+1))))),0)</f>
        <v>0</v>
      </c>
      <c r="BE192" s="163">
        <f t="shared" ref="BE192:BE195" si="2300">BC192+1</f>
        <v>45992</v>
      </c>
      <c r="BF192" s="163">
        <f t="shared" ref="BF192:BF195" si="2301">BE192+30</f>
        <v>46022</v>
      </c>
      <c r="BG192" s="167">
        <f t="shared" ref="BG192:BG195" si="2302">IFERROR(IF(($R192-BF192)&gt;=0,0,IF(($S192-BE192)&lt;0,0,IF(AND(($S192-BF192)&gt;0,(BE192-$R192)&gt;0),$V192/365*(BF192-BE192+1),IF(AND(($S192-BF192)&lt;=0,(BE192-$R192)&gt;0),$V192/365*($S192-BE192+1),$V192/365*(BF192-$R192+1))))),0)</f>
        <v>0</v>
      </c>
      <c r="BH192" s="163">
        <v>46023</v>
      </c>
      <c r="BI192" s="163">
        <f t="shared" ref="BI192:BI195" si="2303">BH192+30</f>
        <v>46053</v>
      </c>
      <c r="BJ192" s="167">
        <f t="shared" ref="BJ192:BJ195" si="2304">IFERROR(IF(($R192-BI192)&gt;=0,0,IF(($S192-BH192)&lt;0,0,IF(AND(($S192-BI192)&gt;0,(BH192-$R192)&gt;0),$V192/365*(BI192-BH192+1),IF(AND(($S192-BI192)&lt;=0,(BH192-$R192)&gt;0),$V192/365*($S192-BH192+1),$V192/365*(BI192-$R192+1))))),0)</f>
        <v>0</v>
      </c>
      <c r="BK192" s="163">
        <f t="shared" ref="BK192:BK195" si="2305">BI192+1</f>
        <v>46054</v>
      </c>
      <c r="BL192" s="163">
        <f t="shared" ref="BL192:BL195" si="2306">BK192+27</f>
        <v>46081</v>
      </c>
      <c r="BM192" s="167">
        <f t="shared" ref="BM192:BM195" si="2307">IFERROR(IF(($R192-BL192)&gt;=0,0,IF(($S192-BK192)&lt;0,0,IF(AND(($S192-BL192)&gt;0,(BK192-$R192)&gt;0),$V192/365*(BL192-BK192+1),IF(AND(($S192-BL192)&lt;=0,(BK192-$R192)&gt;0),$V192/365*($S192-BK192+1),$V192/365*(BL192-$R192+1))))),0)</f>
        <v>0</v>
      </c>
      <c r="BN192" s="163">
        <f t="shared" ref="BN192:BN195" si="2308">BL192+1</f>
        <v>46082</v>
      </c>
      <c r="BO192" s="163">
        <f t="shared" ref="BO192:BO195" si="2309">BN192+30</f>
        <v>46112</v>
      </c>
      <c r="BP192" s="167">
        <f t="shared" ref="BP192:BP195" si="2310">IFERROR(IF(($R192-BO192)&gt;=0,0,IF(($S192-BN192)&lt;0,0,IF(AND(($S192-BO192)&gt;0,(BN192-$R192)&gt;0),$V192/365*(BO192-BN192+1),IF(AND(($S192-BO192)&lt;=0,(BN192-$R192)&gt;0),$V192/365*($S192-BN192+1),$V192/365*(BO192-$R192+1))))),0)</f>
        <v>0</v>
      </c>
      <c r="BQ192" s="163">
        <f t="shared" ref="BQ192:BQ195" si="2311">BO192+1</f>
        <v>46113</v>
      </c>
      <c r="BR192" s="163">
        <f t="shared" ref="BR192:BR195" si="2312">BQ192+29</f>
        <v>46142</v>
      </c>
      <c r="BS192" s="167">
        <f t="shared" ref="BS192:BS195" si="2313">IFERROR(IF(($R192-BR192)&gt;=0,0,IF(($S192-BQ192)&lt;0,0,IF(AND(($S192-BR192)&gt;0,(BQ192-$R192)&gt;0),$V192/365*(BR192-BQ192+1),IF(AND(($S192-BR192)&lt;=0,(BQ192-$R192)&gt;0),$V192/365*($S192-BQ192+1),$V192/365*(BR192-$R192+1))))),0)</f>
        <v>0</v>
      </c>
      <c r="BT192" s="163">
        <f t="shared" ref="BT192:BT195" si="2314">BR192+1</f>
        <v>46143</v>
      </c>
      <c r="BU192" s="163">
        <f t="shared" ref="BU192:BU195" si="2315">BT192+30</f>
        <v>46173</v>
      </c>
      <c r="BV192" s="167">
        <f t="shared" ref="BV192:BV195" si="2316">IFERROR(IF(($R192-BU192)&gt;=0,0,IF(($S192-BT192)&lt;0,0,IF(AND(($S192-BU192)&gt;0,(BT192-$R192)&gt;0),$V192/365*(BU192-BT192+1),IF(AND(($S192-BU192)&lt;=0,(BT192-$R192)&gt;0),$V192/365*($S192-BT192+1),$V192/365*(BU192-$R192+1))))),0)</f>
        <v>0</v>
      </c>
      <c r="BW192" s="163">
        <f t="shared" ref="BW192:BW195" si="2317">BU192+1</f>
        <v>46174</v>
      </c>
      <c r="BX192" s="163">
        <f t="shared" ref="BX192:BX195" si="2318">BW192+29</f>
        <v>46203</v>
      </c>
      <c r="BY192" s="167">
        <f t="shared" ref="BY192:BY195" si="2319">IFERROR(IF(($R192-BX192)&gt;=0,0,IF(($S192-BW192)&lt;0,0,IF(AND(($S192-BX192)&gt;0,(BW192-$R192)&gt;0),$V192/365*(BX192-BW192+1),IF(AND(($S192-BX192)&lt;=0,(BW192-$R192)&gt;0),$V192/365*($S192-BW192+1),$V192/365*(BX192-$R192+1))))),0)</f>
        <v>0</v>
      </c>
      <c r="BZ192" s="163">
        <f t="shared" ref="BZ192:BZ195" si="2320">BX192+1</f>
        <v>46204</v>
      </c>
      <c r="CA192" s="163">
        <f t="shared" ref="CA192:CA195" si="2321">BZ192+30</f>
        <v>46234</v>
      </c>
      <c r="CB192" s="167">
        <f t="shared" ref="CB192:CB195" si="2322">IFERROR(IF(($R192-CA192)&gt;=0,0,IF(($S192-BZ192)&lt;0,0,IF(AND(($S192-CA192)&gt;0,(BZ192-$R192)&gt;0),$V192/365*(CA192-BZ192+1),IF(AND(($S192-CA192)&lt;=0,(BZ192-$R192)&gt;0),$V192/365*($S192-BZ192+1),$V192/365*(CA192-$R192+1))))),0)</f>
        <v>0</v>
      </c>
      <c r="CC192" s="163">
        <f t="shared" ref="CC192:CC195" si="2323">CA192+1</f>
        <v>46235</v>
      </c>
      <c r="CD192" s="163">
        <f t="shared" ref="CD192:CD195" si="2324">CC192+30</f>
        <v>46265</v>
      </c>
      <c r="CE192" s="167">
        <f t="shared" ref="CE192:CE195" si="2325">IFERROR(IF(($R192-CD192)&gt;=0,0,IF(($S192-CC192)&lt;0,0,IF(AND(($S192-CD192)&gt;0,(CC192-$R192)&gt;0),$V192/365*(CD192-CC192+1),IF(AND(($S192-CD192)&lt;=0,(CC192-$R192)&gt;0),$V192/365*($S192-CC192+1),$V192/365*(CD192-$R192+1))))),0)</f>
        <v>0</v>
      </c>
      <c r="CF192" s="163">
        <f t="shared" ref="CF192:CF195" si="2326">CD192+1</f>
        <v>46266</v>
      </c>
      <c r="CG192" s="163">
        <f t="shared" ref="CG192:CG195" si="2327">CF192+29</f>
        <v>46295</v>
      </c>
      <c r="CH192" s="167">
        <f t="shared" ref="CH192:CH195" si="2328">IFERROR(IF(($R192-CG192)&gt;=0,0,IF(($S192-CF192)&lt;0,0,IF(AND(($S192-CG192)&gt;0,(CF192-$R192)&gt;0),$V192/365*(CG192-CF192+1),IF(AND(($S192-CG192)&lt;=0,(CF192-$R192)&gt;0),$V192/365*($S192-CF192+1),$V192/365*(CG192-$R192+1))))),0)</f>
        <v>0</v>
      </c>
      <c r="CI192" s="163">
        <f t="shared" ref="CI192:CI195" si="2329">CG192+1</f>
        <v>46296</v>
      </c>
      <c r="CJ192" s="163">
        <f t="shared" ref="CJ192:CJ195" si="2330">CI192+30</f>
        <v>46326</v>
      </c>
      <c r="CK192" s="167">
        <f t="shared" ref="CK192:CK195" si="2331">IFERROR(IF(($R192-CJ192)&gt;=0,0,IF(($S192-CI192)&lt;0,0,IF(AND(($S192-CJ192)&gt;0,(CI192-$R192)&gt;0),$V192/365*(CJ192-CI192+1),IF(AND(($S192-CJ192)&lt;=0,(CI192-$R192)&gt;0),$V192/365*($S192-CI192+1),$V192/365*(CJ192-$R192+1))))),0)</f>
        <v>0</v>
      </c>
      <c r="CL192" s="163">
        <f t="shared" ref="CL192:CL195" si="2332">CJ192+1</f>
        <v>46327</v>
      </c>
      <c r="CM192" s="163">
        <f t="shared" ref="CM192:CM195" si="2333">CL192+29</f>
        <v>46356</v>
      </c>
      <c r="CN192" s="167">
        <f t="shared" ref="CN192:CN195" si="2334">IFERROR(IF(($R192-CM192)&gt;=0,0,IF(($S192-CL192)&lt;0,0,IF(AND(($S192-CM192)&gt;0,(CL192-$R192)&gt;0),$V192/365*(CM192-CL192+1),IF(AND(($S192-CM192)&lt;=0,(CL192-$R192)&gt;0),$V192/365*($S192-CL192+1),$V192/365*(CM192-$R192+1))))),0)</f>
        <v>0</v>
      </c>
      <c r="CO192" s="163">
        <f t="shared" ref="CO192:CO195" si="2335">CM192+1</f>
        <v>46357</v>
      </c>
      <c r="CP192" s="163">
        <f t="shared" ref="CP192:CP195" si="2336">CO192+30</f>
        <v>46387</v>
      </c>
      <c r="CQ192" s="167">
        <f t="shared" ref="CQ192:CQ195" si="2337">IFERROR(IF(($R192-CP192)&gt;=0,0,IF(($S192-CO192)&lt;0,0,IF(AND(($S192-CP192)&gt;0,(CO192-$R192)&gt;0),$V192/365*(CP192-CO192+1),IF(AND(($S192-CP192)&lt;=0,(CO192-$R192)&gt;0),$V192/365*($S192-CO192+1),$V192/365*(CP192-$R192+1))))),0)</f>
        <v>0</v>
      </c>
    </row>
    <row r="193" s="89" customFormat="1" ht="24" hidden="1" customHeight="1" outlineLevel="4" spans="1:95">
      <c r="A193" s="128"/>
      <c r="B193" s="129"/>
      <c r="C193" s="130"/>
      <c r="D193" s="128"/>
      <c r="E193" s="129"/>
      <c r="F193" s="129"/>
      <c r="G193" s="129"/>
      <c r="H193" s="131"/>
      <c r="I193" s="131"/>
      <c r="J193" s="131">
        <f t="shared" si="1570"/>
        <v>0</v>
      </c>
      <c r="K193" s="131">
        <f t="shared" ref="K193:K195" si="2338">K192+1</f>
        <v>2</v>
      </c>
      <c r="L193" s="156"/>
      <c r="M193" s="157">
        <f>IFERROR(VLOOKUP($L193,'2-2 引出数据_合同数据仓库'!$B$5:$BP$200,3,FALSE),0)</f>
        <v>0</v>
      </c>
      <c r="N193" s="131"/>
      <c r="O193" s="157">
        <f>IFERROR(VLOOKUP((LEFT(VLOOKUP($L193,'2-2 引出数据_合同数据仓库'!$B$5:$BP$200,64,FALSE),15)&amp;(RIGHT(VLOOKUP($L193,'2-2 引出数据_合同数据仓库'!$B$5:$BP$200,64,FALSE),4)+1)),'2-2 引出数据_合同数据仓库'!$B$5:$BP$200,3,FALSE),0)</f>
        <v>0</v>
      </c>
      <c r="P193" s="131"/>
      <c r="Q193" s="131">
        <f>IFERROR(VLOOKUP($L193,'2-2 引出数据_合同数据仓库'!$B$5:$BP$200,28,FALSE),0)</f>
        <v>0</v>
      </c>
      <c r="R193" s="131">
        <f>IFERROR(VLOOKUP($L193,'2-2 引出数据_合同数据仓库'!$B$5:$BP$200,29,FALSE),0)</f>
        <v>0</v>
      </c>
      <c r="S193" s="131">
        <f>IFERROR(VLOOKUP($L193,'2-2 引出数据_合同数据仓库'!$B$5:$BP$200,4,FALSE),0)</f>
        <v>0</v>
      </c>
      <c r="T193" s="131"/>
      <c r="U193" s="131">
        <f>IFERROR(VLOOKUP($L193,'2-2 引出数据_合同数据仓库'!$B$5:$BP$200,15,FALSE),0)</f>
        <v>0</v>
      </c>
      <c r="V193" s="131">
        <f t="shared" si="2267"/>
        <v>0</v>
      </c>
      <c r="W193" s="131"/>
      <c r="X193" s="163">
        <v>45658</v>
      </c>
      <c r="Y193" s="163">
        <f t="shared" si="2268"/>
        <v>45688</v>
      </c>
      <c r="Z193" s="167">
        <f t="shared" si="2269"/>
        <v>0</v>
      </c>
      <c r="AA193" s="163">
        <f t="shared" si="2270"/>
        <v>45689</v>
      </c>
      <c r="AB193" s="163">
        <f t="shared" si="2271"/>
        <v>45716</v>
      </c>
      <c r="AC193" s="167">
        <f t="shared" si="2272"/>
        <v>0</v>
      </c>
      <c r="AD193" s="163">
        <f t="shared" si="2273"/>
        <v>45717</v>
      </c>
      <c r="AE193" s="163">
        <f t="shared" si="2274"/>
        <v>45747</v>
      </c>
      <c r="AF193" s="167">
        <f t="shared" si="2275"/>
        <v>0</v>
      </c>
      <c r="AG193" s="163">
        <f t="shared" si="2276"/>
        <v>45748</v>
      </c>
      <c r="AH193" s="163">
        <f t="shared" si="2277"/>
        <v>45777</v>
      </c>
      <c r="AI193" s="167">
        <f t="shared" si="2278"/>
        <v>0</v>
      </c>
      <c r="AJ193" s="163">
        <f t="shared" si="2279"/>
        <v>45778</v>
      </c>
      <c r="AK193" s="163">
        <f t="shared" si="2280"/>
        <v>45808</v>
      </c>
      <c r="AL193" s="167">
        <f t="shared" si="2281"/>
        <v>0</v>
      </c>
      <c r="AM193" s="163">
        <f t="shared" si="2282"/>
        <v>45809</v>
      </c>
      <c r="AN193" s="163">
        <f t="shared" si="2283"/>
        <v>45838</v>
      </c>
      <c r="AO193" s="167">
        <f t="shared" si="2284"/>
        <v>0</v>
      </c>
      <c r="AP193" s="163">
        <f t="shared" si="2285"/>
        <v>45839</v>
      </c>
      <c r="AQ193" s="163">
        <f t="shared" si="2286"/>
        <v>45869</v>
      </c>
      <c r="AR193" s="167">
        <f t="shared" si="2287"/>
        <v>0</v>
      </c>
      <c r="AS193" s="163">
        <f t="shared" si="2288"/>
        <v>45870</v>
      </c>
      <c r="AT193" s="163">
        <f t="shared" si="2289"/>
        <v>45900</v>
      </c>
      <c r="AU193" s="167">
        <f t="shared" si="2290"/>
        <v>0</v>
      </c>
      <c r="AV193" s="163">
        <f t="shared" si="2291"/>
        <v>45901</v>
      </c>
      <c r="AW193" s="163">
        <f t="shared" si="2292"/>
        <v>45930</v>
      </c>
      <c r="AX193" s="167">
        <f t="shared" si="2293"/>
        <v>0</v>
      </c>
      <c r="AY193" s="163">
        <f t="shared" si="2294"/>
        <v>45931</v>
      </c>
      <c r="AZ193" s="163">
        <f t="shared" si="2295"/>
        <v>45961</v>
      </c>
      <c r="BA193" s="167">
        <f t="shared" si="2296"/>
        <v>0</v>
      </c>
      <c r="BB193" s="163">
        <f t="shared" si="2297"/>
        <v>45962</v>
      </c>
      <c r="BC193" s="163">
        <f t="shared" si="2298"/>
        <v>45991</v>
      </c>
      <c r="BD193" s="167">
        <f t="shared" si="2299"/>
        <v>0</v>
      </c>
      <c r="BE193" s="163">
        <f t="shared" si="2300"/>
        <v>45992</v>
      </c>
      <c r="BF193" s="163">
        <f t="shared" si="2301"/>
        <v>46022</v>
      </c>
      <c r="BG193" s="167">
        <f t="shared" si="2302"/>
        <v>0</v>
      </c>
      <c r="BH193" s="163">
        <v>46023</v>
      </c>
      <c r="BI193" s="163">
        <f t="shared" si="2303"/>
        <v>46053</v>
      </c>
      <c r="BJ193" s="167">
        <f t="shared" si="2304"/>
        <v>0</v>
      </c>
      <c r="BK193" s="163">
        <f t="shared" si="2305"/>
        <v>46054</v>
      </c>
      <c r="BL193" s="163">
        <f t="shared" si="2306"/>
        <v>46081</v>
      </c>
      <c r="BM193" s="167">
        <f t="shared" si="2307"/>
        <v>0</v>
      </c>
      <c r="BN193" s="163">
        <f t="shared" si="2308"/>
        <v>46082</v>
      </c>
      <c r="BO193" s="163">
        <f t="shared" si="2309"/>
        <v>46112</v>
      </c>
      <c r="BP193" s="167">
        <f t="shared" si="2310"/>
        <v>0</v>
      </c>
      <c r="BQ193" s="163">
        <f t="shared" si="2311"/>
        <v>46113</v>
      </c>
      <c r="BR193" s="163">
        <f t="shared" si="2312"/>
        <v>46142</v>
      </c>
      <c r="BS193" s="167">
        <f t="shared" si="2313"/>
        <v>0</v>
      </c>
      <c r="BT193" s="163">
        <f t="shared" si="2314"/>
        <v>46143</v>
      </c>
      <c r="BU193" s="163">
        <f t="shared" si="2315"/>
        <v>46173</v>
      </c>
      <c r="BV193" s="167">
        <f t="shared" si="2316"/>
        <v>0</v>
      </c>
      <c r="BW193" s="163">
        <f t="shared" si="2317"/>
        <v>46174</v>
      </c>
      <c r="BX193" s="163">
        <f t="shared" si="2318"/>
        <v>46203</v>
      </c>
      <c r="BY193" s="167">
        <f t="shared" si="2319"/>
        <v>0</v>
      </c>
      <c r="BZ193" s="163">
        <f t="shared" si="2320"/>
        <v>46204</v>
      </c>
      <c r="CA193" s="163">
        <f t="shared" si="2321"/>
        <v>46234</v>
      </c>
      <c r="CB193" s="167">
        <f t="shared" si="2322"/>
        <v>0</v>
      </c>
      <c r="CC193" s="163">
        <f t="shared" si="2323"/>
        <v>46235</v>
      </c>
      <c r="CD193" s="163">
        <f t="shared" si="2324"/>
        <v>46265</v>
      </c>
      <c r="CE193" s="167">
        <f t="shared" si="2325"/>
        <v>0</v>
      </c>
      <c r="CF193" s="163">
        <f t="shared" si="2326"/>
        <v>46266</v>
      </c>
      <c r="CG193" s="163">
        <f t="shared" si="2327"/>
        <v>46295</v>
      </c>
      <c r="CH193" s="167">
        <f t="shared" si="2328"/>
        <v>0</v>
      </c>
      <c r="CI193" s="163">
        <f t="shared" si="2329"/>
        <v>46296</v>
      </c>
      <c r="CJ193" s="163">
        <f t="shared" si="2330"/>
        <v>46326</v>
      </c>
      <c r="CK193" s="167">
        <f t="shared" si="2331"/>
        <v>0</v>
      </c>
      <c r="CL193" s="163">
        <f t="shared" si="2332"/>
        <v>46327</v>
      </c>
      <c r="CM193" s="163">
        <f t="shared" si="2333"/>
        <v>46356</v>
      </c>
      <c r="CN193" s="167">
        <f t="shared" si="2334"/>
        <v>0</v>
      </c>
      <c r="CO193" s="163">
        <f t="shared" si="2335"/>
        <v>46357</v>
      </c>
      <c r="CP193" s="163">
        <f t="shared" si="2336"/>
        <v>46387</v>
      </c>
      <c r="CQ193" s="167">
        <f t="shared" si="2337"/>
        <v>0</v>
      </c>
    </row>
    <row r="194" s="89" customFormat="1" ht="24" hidden="1" customHeight="1" outlineLevel="4" spans="1:95">
      <c r="A194" s="128"/>
      <c r="B194" s="129"/>
      <c r="C194" s="130"/>
      <c r="D194" s="128"/>
      <c r="E194" s="129"/>
      <c r="F194" s="129"/>
      <c r="G194" s="129"/>
      <c r="H194" s="131"/>
      <c r="I194" s="131"/>
      <c r="J194" s="131">
        <f t="shared" si="1570"/>
        <v>0</v>
      </c>
      <c r="K194" s="131">
        <f t="shared" si="2338"/>
        <v>3</v>
      </c>
      <c r="L194" s="156"/>
      <c r="M194" s="157">
        <f>IFERROR(VLOOKUP($L194,'2-2 引出数据_合同数据仓库'!$B$5:$BP$200,3,FALSE),0)</f>
        <v>0</v>
      </c>
      <c r="N194" s="131"/>
      <c r="O194" s="157">
        <f>IFERROR(VLOOKUP((LEFT(VLOOKUP($L194,'2-2 引出数据_合同数据仓库'!$B$5:$BP$200,64,FALSE),15)&amp;(RIGHT(VLOOKUP($L194,'2-2 引出数据_合同数据仓库'!$B$5:$BP$200,64,FALSE),4)+1)),'2-2 引出数据_合同数据仓库'!$B$5:$BP$200,3,FALSE),0)</f>
        <v>0</v>
      </c>
      <c r="P194" s="131"/>
      <c r="Q194" s="131">
        <f>IFERROR(VLOOKUP($L194,'2-2 引出数据_合同数据仓库'!$B$5:$BP$200,28,FALSE),0)</f>
        <v>0</v>
      </c>
      <c r="R194" s="131">
        <f>IFERROR(VLOOKUP($L194,'2-2 引出数据_合同数据仓库'!$B$5:$BP$200,29,FALSE),0)</f>
        <v>0</v>
      </c>
      <c r="S194" s="131">
        <f>IFERROR(VLOOKUP($L194,'2-2 引出数据_合同数据仓库'!$B$5:$BP$200,4,FALSE),0)</f>
        <v>0</v>
      </c>
      <c r="T194" s="131"/>
      <c r="U194" s="131">
        <f>IFERROR(VLOOKUP($L194,'2-2 引出数据_合同数据仓库'!$B$5:$BP$200,15,FALSE),0)</f>
        <v>0</v>
      </c>
      <c r="V194" s="131">
        <f t="shared" si="2267"/>
        <v>0</v>
      </c>
      <c r="W194" s="131"/>
      <c r="X194" s="163">
        <v>45658</v>
      </c>
      <c r="Y194" s="163">
        <f t="shared" si="2268"/>
        <v>45688</v>
      </c>
      <c r="Z194" s="167">
        <f t="shared" si="2269"/>
        <v>0</v>
      </c>
      <c r="AA194" s="163">
        <f t="shared" si="2270"/>
        <v>45689</v>
      </c>
      <c r="AB194" s="163">
        <f t="shared" si="2271"/>
        <v>45716</v>
      </c>
      <c r="AC194" s="167">
        <f t="shared" si="2272"/>
        <v>0</v>
      </c>
      <c r="AD194" s="163">
        <f t="shared" si="2273"/>
        <v>45717</v>
      </c>
      <c r="AE194" s="163">
        <f t="shared" si="2274"/>
        <v>45747</v>
      </c>
      <c r="AF194" s="167">
        <f t="shared" si="2275"/>
        <v>0</v>
      </c>
      <c r="AG194" s="163">
        <f t="shared" si="2276"/>
        <v>45748</v>
      </c>
      <c r="AH194" s="163">
        <f t="shared" si="2277"/>
        <v>45777</v>
      </c>
      <c r="AI194" s="167">
        <f t="shared" si="2278"/>
        <v>0</v>
      </c>
      <c r="AJ194" s="163">
        <f t="shared" si="2279"/>
        <v>45778</v>
      </c>
      <c r="AK194" s="163">
        <f t="shared" si="2280"/>
        <v>45808</v>
      </c>
      <c r="AL194" s="167">
        <f t="shared" si="2281"/>
        <v>0</v>
      </c>
      <c r="AM194" s="163">
        <f t="shared" si="2282"/>
        <v>45809</v>
      </c>
      <c r="AN194" s="163">
        <f t="shared" si="2283"/>
        <v>45838</v>
      </c>
      <c r="AO194" s="167">
        <f t="shared" si="2284"/>
        <v>0</v>
      </c>
      <c r="AP194" s="163">
        <f t="shared" si="2285"/>
        <v>45839</v>
      </c>
      <c r="AQ194" s="163">
        <f t="shared" si="2286"/>
        <v>45869</v>
      </c>
      <c r="AR194" s="167">
        <f t="shared" si="2287"/>
        <v>0</v>
      </c>
      <c r="AS194" s="163">
        <f t="shared" si="2288"/>
        <v>45870</v>
      </c>
      <c r="AT194" s="163">
        <f t="shared" si="2289"/>
        <v>45900</v>
      </c>
      <c r="AU194" s="167">
        <f t="shared" si="2290"/>
        <v>0</v>
      </c>
      <c r="AV194" s="163">
        <f t="shared" si="2291"/>
        <v>45901</v>
      </c>
      <c r="AW194" s="163">
        <f t="shared" si="2292"/>
        <v>45930</v>
      </c>
      <c r="AX194" s="167">
        <f t="shared" si="2293"/>
        <v>0</v>
      </c>
      <c r="AY194" s="163">
        <f t="shared" si="2294"/>
        <v>45931</v>
      </c>
      <c r="AZ194" s="163">
        <f t="shared" si="2295"/>
        <v>45961</v>
      </c>
      <c r="BA194" s="167">
        <f t="shared" si="2296"/>
        <v>0</v>
      </c>
      <c r="BB194" s="163">
        <f t="shared" si="2297"/>
        <v>45962</v>
      </c>
      <c r="BC194" s="163">
        <f t="shared" si="2298"/>
        <v>45991</v>
      </c>
      <c r="BD194" s="167">
        <f t="shared" si="2299"/>
        <v>0</v>
      </c>
      <c r="BE194" s="163">
        <f t="shared" si="2300"/>
        <v>45992</v>
      </c>
      <c r="BF194" s="163">
        <f t="shared" si="2301"/>
        <v>46022</v>
      </c>
      <c r="BG194" s="167">
        <f t="shared" si="2302"/>
        <v>0</v>
      </c>
      <c r="BH194" s="163">
        <v>46023</v>
      </c>
      <c r="BI194" s="163">
        <f t="shared" si="2303"/>
        <v>46053</v>
      </c>
      <c r="BJ194" s="167">
        <f t="shared" si="2304"/>
        <v>0</v>
      </c>
      <c r="BK194" s="163">
        <f t="shared" si="2305"/>
        <v>46054</v>
      </c>
      <c r="BL194" s="163">
        <f t="shared" si="2306"/>
        <v>46081</v>
      </c>
      <c r="BM194" s="167">
        <f t="shared" si="2307"/>
        <v>0</v>
      </c>
      <c r="BN194" s="163">
        <f t="shared" si="2308"/>
        <v>46082</v>
      </c>
      <c r="BO194" s="163">
        <f t="shared" si="2309"/>
        <v>46112</v>
      </c>
      <c r="BP194" s="167">
        <f t="shared" si="2310"/>
        <v>0</v>
      </c>
      <c r="BQ194" s="163">
        <f t="shared" si="2311"/>
        <v>46113</v>
      </c>
      <c r="BR194" s="163">
        <f t="shared" si="2312"/>
        <v>46142</v>
      </c>
      <c r="BS194" s="167">
        <f t="shared" si="2313"/>
        <v>0</v>
      </c>
      <c r="BT194" s="163">
        <f t="shared" si="2314"/>
        <v>46143</v>
      </c>
      <c r="BU194" s="163">
        <f t="shared" si="2315"/>
        <v>46173</v>
      </c>
      <c r="BV194" s="167">
        <f t="shared" si="2316"/>
        <v>0</v>
      </c>
      <c r="BW194" s="163">
        <f t="shared" si="2317"/>
        <v>46174</v>
      </c>
      <c r="BX194" s="163">
        <f t="shared" si="2318"/>
        <v>46203</v>
      </c>
      <c r="BY194" s="167">
        <f t="shared" si="2319"/>
        <v>0</v>
      </c>
      <c r="BZ194" s="163">
        <f t="shared" si="2320"/>
        <v>46204</v>
      </c>
      <c r="CA194" s="163">
        <f t="shared" si="2321"/>
        <v>46234</v>
      </c>
      <c r="CB194" s="167">
        <f t="shared" si="2322"/>
        <v>0</v>
      </c>
      <c r="CC194" s="163">
        <f t="shared" si="2323"/>
        <v>46235</v>
      </c>
      <c r="CD194" s="163">
        <f t="shared" si="2324"/>
        <v>46265</v>
      </c>
      <c r="CE194" s="167">
        <f t="shared" si="2325"/>
        <v>0</v>
      </c>
      <c r="CF194" s="163">
        <f t="shared" si="2326"/>
        <v>46266</v>
      </c>
      <c r="CG194" s="163">
        <f t="shared" si="2327"/>
        <v>46295</v>
      </c>
      <c r="CH194" s="167">
        <f t="shared" si="2328"/>
        <v>0</v>
      </c>
      <c r="CI194" s="163">
        <f t="shared" si="2329"/>
        <v>46296</v>
      </c>
      <c r="CJ194" s="163">
        <f t="shared" si="2330"/>
        <v>46326</v>
      </c>
      <c r="CK194" s="167">
        <f t="shared" si="2331"/>
        <v>0</v>
      </c>
      <c r="CL194" s="163">
        <f t="shared" si="2332"/>
        <v>46327</v>
      </c>
      <c r="CM194" s="163">
        <f t="shared" si="2333"/>
        <v>46356</v>
      </c>
      <c r="CN194" s="167">
        <f t="shared" si="2334"/>
        <v>0</v>
      </c>
      <c r="CO194" s="163">
        <f t="shared" si="2335"/>
        <v>46357</v>
      </c>
      <c r="CP194" s="163">
        <f t="shared" si="2336"/>
        <v>46387</v>
      </c>
      <c r="CQ194" s="167">
        <f t="shared" si="2337"/>
        <v>0</v>
      </c>
    </row>
    <row r="195" s="89" customFormat="1" ht="24" hidden="1" customHeight="1" outlineLevel="4" spans="1:95">
      <c r="A195" s="128"/>
      <c r="B195" s="129"/>
      <c r="C195" s="130"/>
      <c r="D195" s="128"/>
      <c r="E195" s="129"/>
      <c r="F195" s="129"/>
      <c r="G195" s="129"/>
      <c r="H195" s="131"/>
      <c r="I195" s="131"/>
      <c r="J195" s="131">
        <f t="shared" si="1570"/>
        <v>0</v>
      </c>
      <c r="K195" s="131">
        <f t="shared" si="2338"/>
        <v>4</v>
      </c>
      <c r="L195" s="156"/>
      <c r="M195" s="157">
        <f>IFERROR(VLOOKUP($L195,'2-2 引出数据_合同数据仓库'!$B$5:$BP$200,3,FALSE),0)</f>
        <v>0</v>
      </c>
      <c r="N195" s="131"/>
      <c r="O195" s="157">
        <f>IFERROR(VLOOKUP((LEFT(VLOOKUP($L195,'2-2 引出数据_合同数据仓库'!$B$5:$BP$200,64,FALSE),15)&amp;(RIGHT(VLOOKUP($L195,'2-2 引出数据_合同数据仓库'!$B$5:$BP$200,64,FALSE),4)+1)),'2-2 引出数据_合同数据仓库'!$B$5:$BP$200,3,FALSE),0)</f>
        <v>0</v>
      </c>
      <c r="P195" s="131"/>
      <c r="Q195" s="131">
        <f>IFERROR(VLOOKUP($L195,'2-2 引出数据_合同数据仓库'!$B$5:$BP$200,28,FALSE),0)</f>
        <v>0</v>
      </c>
      <c r="R195" s="131">
        <f>IFERROR(VLOOKUP($L195,'2-2 引出数据_合同数据仓库'!$B$5:$BP$200,29,FALSE),0)</f>
        <v>0</v>
      </c>
      <c r="S195" s="131">
        <f>IFERROR(VLOOKUP($L195,'2-2 引出数据_合同数据仓库'!$B$5:$BP$200,4,FALSE),0)</f>
        <v>0</v>
      </c>
      <c r="T195" s="131"/>
      <c r="U195" s="131">
        <f>IFERROR(VLOOKUP($L195,'2-2 引出数据_合同数据仓库'!$B$5:$BP$200,15,FALSE),0)</f>
        <v>0</v>
      </c>
      <c r="V195" s="131">
        <f t="shared" si="2267"/>
        <v>0</v>
      </c>
      <c r="W195" s="131"/>
      <c r="X195" s="163">
        <v>45658</v>
      </c>
      <c r="Y195" s="163">
        <f t="shared" si="2268"/>
        <v>45688</v>
      </c>
      <c r="Z195" s="167">
        <f t="shared" si="2269"/>
        <v>0</v>
      </c>
      <c r="AA195" s="163">
        <f t="shared" si="2270"/>
        <v>45689</v>
      </c>
      <c r="AB195" s="163">
        <f t="shared" si="2271"/>
        <v>45716</v>
      </c>
      <c r="AC195" s="167">
        <f t="shared" si="2272"/>
        <v>0</v>
      </c>
      <c r="AD195" s="163">
        <f t="shared" si="2273"/>
        <v>45717</v>
      </c>
      <c r="AE195" s="163">
        <f t="shared" si="2274"/>
        <v>45747</v>
      </c>
      <c r="AF195" s="167">
        <f t="shared" si="2275"/>
        <v>0</v>
      </c>
      <c r="AG195" s="163">
        <f t="shared" si="2276"/>
        <v>45748</v>
      </c>
      <c r="AH195" s="163">
        <f t="shared" si="2277"/>
        <v>45777</v>
      </c>
      <c r="AI195" s="167">
        <f t="shared" si="2278"/>
        <v>0</v>
      </c>
      <c r="AJ195" s="163">
        <f t="shared" si="2279"/>
        <v>45778</v>
      </c>
      <c r="AK195" s="163">
        <f t="shared" si="2280"/>
        <v>45808</v>
      </c>
      <c r="AL195" s="167">
        <f t="shared" si="2281"/>
        <v>0</v>
      </c>
      <c r="AM195" s="163">
        <f t="shared" si="2282"/>
        <v>45809</v>
      </c>
      <c r="AN195" s="163">
        <f t="shared" si="2283"/>
        <v>45838</v>
      </c>
      <c r="AO195" s="167">
        <f t="shared" si="2284"/>
        <v>0</v>
      </c>
      <c r="AP195" s="163">
        <f t="shared" si="2285"/>
        <v>45839</v>
      </c>
      <c r="AQ195" s="163">
        <f t="shared" si="2286"/>
        <v>45869</v>
      </c>
      <c r="AR195" s="167">
        <f t="shared" si="2287"/>
        <v>0</v>
      </c>
      <c r="AS195" s="163">
        <f t="shared" si="2288"/>
        <v>45870</v>
      </c>
      <c r="AT195" s="163">
        <f t="shared" si="2289"/>
        <v>45900</v>
      </c>
      <c r="AU195" s="167">
        <f t="shared" si="2290"/>
        <v>0</v>
      </c>
      <c r="AV195" s="163">
        <f t="shared" si="2291"/>
        <v>45901</v>
      </c>
      <c r="AW195" s="163">
        <f t="shared" si="2292"/>
        <v>45930</v>
      </c>
      <c r="AX195" s="167">
        <f t="shared" si="2293"/>
        <v>0</v>
      </c>
      <c r="AY195" s="163">
        <f t="shared" si="2294"/>
        <v>45931</v>
      </c>
      <c r="AZ195" s="163">
        <f t="shared" si="2295"/>
        <v>45961</v>
      </c>
      <c r="BA195" s="167">
        <f t="shared" si="2296"/>
        <v>0</v>
      </c>
      <c r="BB195" s="163">
        <f t="shared" si="2297"/>
        <v>45962</v>
      </c>
      <c r="BC195" s="163">
        <f t="shared" si="2298"/>
        <v>45991</v>
      </c>
      <c r="BD195" s="167">
        <f t="shared" si="2299"/>
        <v>0</v>
      </c>
      <c r="BE195" s="163">
        <f t="shared" si="2300"/>
        <v>45992</v>
      </c>
      <c r="BF195" s="163">
        <f t="shared" si="2301"/>
        <v>46022</v>
      </c>
      <c r="BG195" s="167">
        <f t="shared" si="2302"/>
        <v>0</v>
      </c>
      <c r="BH195" s="163">
        <v>46023</v>
      </c>
      <c r="BI195" s="163">
        <f t="shared" si="2303"/>
        <v>46053</v>
      </c>
      <c r="BJ195" s="167">
        <f t="shared" si="2304"/>
        <v>0</v>
      </c>
      <c r="BK195" s="163">
        <f t="shared" si="2305"/>
        <v>46054</v>
      </c>
      <c r="BL195" s="163">
        <f t="shared" si="2306"/>
        <v>46081</v>
      </c>
      <c r="BM195" s="167">
        <f t="shared" si="2307"/>
        <v>0</v>
      </c>
      <c r="BN195" s="163">
        <f t="shared" si="2308"/>
        <v>46082</v>
      </c>
      <c r="BO195" s="163">
        <f t="shared" si="2309"/>
        <v>46112</v>
      </c>
      <c r="BP195" s="167">
        <f t="shared" si="2310"/>
        <v>0</v>
      </c>
      <c r="BQ195" s="163">
        <f t="shared" si="2311"/>
        <v>46113</v>
      </c>
      <c r="BR195" s="163">
        <f t="shared" si="2312"/>
        <v>46142</v>
      </c>
      <c r="BS195" s="167">
        <f t="shared" si="2313"/>
        <v>0</v>
      </c>
      <c r="BT195" s="163">
        <f t="shared" si="2314"/>
        <v>46143</v>
      </c>
      <c r="BU195" s="163">
        <f t="shared" si="2315"/>
        <v>46173</v>
      </c>
      <c r="BV195" s="167">
        <f t="shared" si="2316"/>
        <v>0</v>
      </c>
      <c r="BW195" s="163">
        <f t="shared" si="2317"/>
        <v>46174</v>
      </c>
      <c r="BX195" s="163">
        <f t="shared" si="2318"/>
        <v>46203</v>
      </c>
      <c r="BY195" s="167">
        <f t="shared" si="2319"/>
        <v>0</v>
      </c>
      <c r="BZ195" s="163">
        <f t="shared" si="2320"/>
        <v>46204</v>
      </c>
      <c r="CA195" s="163">
        <f t="shared" si="2321"/>
        <v>46234</v>
      </c>
      <c r="CB195" s="167">
        <f t="shared" si="2322"/>
        <v>0</v>
      </c>
      <c r="CC195" s="163">
        <f t="shared" si="2323"/>
        <v>46235</v>
      </c>
      <c r="CD195" s="163">
        <f t="shared" si="2324"/>
        <v>46265</v>
      </c>
      <c r="CE195" s="167">
        <f t="shared" si="2325"/>
        <v>0</v>
      </c>
      <c r="CF195" s="163">
        <f t="shared" si="2326"/>
        <v>46266</v>
      </c>
      <c r="CG195" s="163">
        <f t="shared" si="2327"/>
        <v>46295</v>
      </c>
      <c r="CH195" s="167">
        <f t="shared" si="2328"/>
        <v>0</v>
      </c>
      <c r="CI195" s="163">
        <f t="shared" si="2329"/>
        <v>46296</v>
      </c>
      <c r="CJ195" s="163">
        <f t="shared" si="2330"/>
        <v>46326</v>
      </c>
      <c r="CK195" s="167">
        <f t="shared" si="2331"/>
        <v>0</v>
      </c>
      <c r="CL195" s="163">
        <f t="shared" si="2332"/>
        <v>46327</v>
      </c>
      <c r="CM195" s="163">
        <f t="shared" si="2333"/>
        <v>46356</v>
      </c>
      <c r="CN195" s="167">
        <f t="shared" si="2334"/>
        <v>0</v>
      </c>
      <c r="CO195" s="163">
        <f t="shared" si="2335"/>
        <v>46357</v>
      </c>
      <c r="CP195" s="163">
        <f t="shared" si="2336"/>
        <v>46387</v>
      </c>
      <c r="CQ195" s="167">
        <f t="shared" si="2337"/>
        <v>0</v>
      </c>
    </row>
    <row r="196" s="89" customFormat="1" ht="24" hidden="1" customHeight="1" outlineLevel="4" spans="1:95">
      <c r="A196" s="132" t="s">
        <v>2813</v>
      </c>
      <c r="B196" s="133"/>
      <c r="C196" s="133"/>
      <c r="D196" s="133"/>
      <c r="E196" s="133"/>
      <c r="F196" s="133"/>
      <c r="G196" s="134"/>
      <c r="H196" s="135"/>
      <c r="I196" s="135"/>
      <c r="J196" s="135"/>
      <c r="K196" s="135"/>
      <c r="L196" s="158"/>
      <c r="M196" s="158"/>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c r="CL196" s="135"/>
      <c r="CM196" s="135"/>
      <c r="CN196" s="135"/>
      <c r="CO196" s="135"/>
      <c r="CP196" s="135"/>
      <c r="CQ196" s="135"/>
    </row>
    <row r="197" ht="24" hidden="1" customHeight="1" outlineLevel="3" collapsed="1" spans="1:95">
      <c r="A197" s="124"/>
      <c r="B197" s="125" t="s">
        <v>792</v>
      </c>
      <c r="C197" s="126" t="s">
        <v>1149</v>
      </c>
      <c r="D197" s="124" t="s">
        <v>2425</v>
      </c>
      <c r="E197" s="125"/>
      <c r="F197" s="125"/>
      <c r="G197" s="125"/>
      <c r="H197" s="127">
        <f>X197+AA197+AD197+AG197+AJ197+AM197+AP197+AS197+AV197+AY197+BB197+BE197</f>
        <v>0</v>
      </c>
      <c r="I197" s="127">
        <f>Y197+AB197+AE197+AH197+AK197+AN197+AQ197+AT197+AW197+AZ197+BC197+BF197</f>
        <v>0</v>
      </c>
      <c r="J197" s="127">
        <f t="shared" ref="J197:J260" si="2339">Z197+AC197+AF197+AI197+AL197+AO197+AR197+AU197+AX197+BA197+BD197+BG197</f>
        <v>0</v>
      </c>
      <c r="K197" s="127"/>
      <c r="L197" s="155"/>
      <c r="M197" s="155"/>
      <c r="N197" s="127"/>
      <c r="O197" s="127"/>
      <c r="P197" s="127"/>
      <c r="Q197" s="127"/>
      <c r="R197" s="127"/>
      <c r="S197" s="127"/>
      <c r="T197" s="127"/>
      <c r="U197" s="127"/>
      <c r="V197" s="127"/>
      <c r="W197" s="127"/>
      <c r="X197" s="127">
        <f>VLOOKUP($C197,'1 预算编制表单'!$C:$BJ,27,FALSE)</f>
        <v>0</v>
      </c>
      <c r="Y197" s="127">
        <f>X197-Z197</f>
        <v>0</v>
      </c>
      <c r="Z197" s="127">
        <f>SUM(Z198:Z202)</f>
        <v>0</v>
      </c>
      <c r="AA197" s="127">
        <f>VLOOKUP($C197,'1 预算编制表单'!$C:$BJ,30,FALSE)</f>
        <v>0</v>
      </c>
      <c r="AB197" s="127">
        <f>AA197-AC197</f>
        <v>0</v>
      </c>
      <c r="AC197" s="127">
        <f>SUM(AC198:AC202)</f>
        <v>0</v>
      </c>
      <c r="AD197" s="127">
        <f>VLOOKUP($C197,'1 预算编制表单'!$C:$BJ,33,FALSE)</f>
        <v>0</v>
      </c>
      <c r="AE197" s="127">
        <f>AD197-AF197</f>
        <v>0</v>
      </c>
      <c r="AF197" s="127">
        <f>SUM(AF198:AF202)</f>
        <v>0</v>
      </c>
      <c r="AG197" s="127">
        <f>VLOOKUP($C197,'1 预算编制表单'!$C:$BJ,36,FALSE)</f>
        <v>0</v>
      </c>
      <c r="AH197" s="127">
        <f>AG197-AI197</f>
        <v>0</v>
      </c>
      <c r="AI197" s="127">
        <f>SUM(AI198:AI202)</f>
        <v>0</v>
      </c>
      <c r="AJ197" s="127">
        <f>VLOOKUP($C197,'1 预算编制表单'!$C:$BJ,39,FALSE)</f>
        <v>0</v>
      </c>
      <c r="AK197" s="127">
        <f>AJ197-AL197</f>
        <v>0</v>
      </c>
      <c r="AL197" s="127">
        <f>SUM(AL198:AL202)</f>
        <v>0</v>
      </c>
      <c r="AM197" s="127">
        <f>VLOOKUP($C197,'1 预算编制表单'!$C:$BJ,42,FALSE)</f>
        <v>0</v>
      </c>
      <c r="AN197" s="127">
        <f>AM197-AO197</f>
        <v>0</v>
      </c>
      <c r="AO197" s="127">
        <f>SUM(AO198:AO202)</f>
        <v>0</v>
      </c>
      <c r="AP197" s="127">
        <f>VLOOKUP($C197,'1 预算编制表单'!$C:$BJ,45,FALSE)</f>
        <v>0</v>
      </c>
      <c r="AQ197" s="127">
        <f>AP197-AR197</f>
        <v>0</v>
      </c>
      <c r="AR197" s="127">
        <f>SUM(AR198:AR202)</f>
        <v>0</v>
      </c>
      <c r="AS197" s="127">
        <f>VLOOKUP($C197,'1 预算编制表单'!$C:$BJ,48,FALSE)</f>
        <v>0</v>
      </c>
      <c r="AT197" s="127">
        <f>AS197-AU197</f>
        <v>0</v>
      </c>
      <c r="AU197" s="127">
        <f>SUM(AU198:AU202)</f>
        <v>0</v>
      </c>
      <c r="AV197" s="127">
        <f>VLOOKUP($C197,'1 预算编制表单'!$C:$BJ,51,FALSE)</f>
        <v>0</v>
      </c>
      <c r="AW197" s="127">
        <f>AV197-AX197</f>
        <v>0</v>
      </c>
      <c r="AX197" s="127">
        <f>SUM(AX198:AX202)</f>
        <v>0</v>
      </c>
      <c r="AY197" s="127">
        <f>VLOOKUP($C197,'1 预算编制表单'!$C:$BJ,54,FALSE)</f>
        <v>0</v>
      </c>
      <c r="AZ197" s="127">
        <f>AY197-BA197</f>
        <v>0</v>
      </c>
      <c r="BA197" s="127">
        <f>SUM(BA198:BA202)</f>
        <v>0</v>
      </c>
      <c r="BB197" s="127">
        <f>VLOOKUP($C197,'1 预算编制表单'!$C:$BJ,57,FALSE)</f>
        <v>0</v>
      </c>
      <c r="BC197" s="127">
        <f>BB197-BD197</f>
        <v>0</v>
      </c>
      <c r="BD197" s="127">
        <f>SUM(BD198:BD202)</f>
        <v>0</v>
      </c>
      <c r="BE197" s="127">
        <f>VLOOKUP($C197,'1 预算编制表单'!$C:$BJ,60,FALSE)</f>
        <v>0</v>
      </c>
      <c r="BF197" s="127">
        <f>BE197-BG197</f>
        <v>0</v>
      </c>
      <c r="BG197" s="127">
        <f>SUM(BG198:BG202)</f>
        <v>0</v>
      </c>
      <c r="BH197" s="127">
        <f>VLOOKUP($C197,'1 预算编制表单'!$C:$BJ,27,FALSE)</f>
        <v>0</v>
      </c>
      <c r="BI197" s="127">
        <f>BH197-BJ197</f>
        <v>0</v>
      </c>
      <c r="BJ197" s="127">
        <f>SUM(BJ198:BJ202)</f>
        <v>0</v>
      </c>
      <c r="BK197" s="127">
        <f>VLOOKUP($C197,'1 预算编制表单'!$C:$BJ,30,FALSE)</f>
        <v>0</v>
      </c>
      <c r="BL197" s="127">
        <f>BK197-BM197</f>
        <v>0</v>
      </c>
      <c r="BM197" s="127">
        <f>SUM(BM198:BM202)</f>
        <v>0</v>
      </c>
      <c r="BN197" s="127">
        <f>VLOOKUP($C197,'1 预算编制表单'!$C:$BJ,33,FALSE)</f>
        <v>0</v>
      </c>
      <c r="BO197" s="127">
        <f>BN197-BP197</f>
        <v>0</v>
      </c>
      <c r="BP197" s="127">
        <f>SUM(BP198:BP202)</f>
        <v>0</v>
      </c>
      <c r="BQ197" s="127">
        <f>VLOOKUP($C197,'1 预算编制表单'!$C:$BJ,36,FALSE)</f>
        <v>0</v>
      </c>
      <c r="BR197" s="127">
        <f>BQ197-BS197</f>
        <v>0</v>
      </c>
      <c r="BS197" s="127">
        <f>SUM(BS198:BS202)</f>
        <v>0</v>
      </c>
      <c r="BT197" s="127">
        <f>VLOOKUP($C197,'1 预算编制表单'!$C:$BJ,39,FALSE)</f>
        <v>0</v>
      </c>
      <c r="BU197" s="127">
        <f>BT197-BV197</f>
        <v>0</v>
      </c>
      <c r="BV197" s="127">
        <f>SUM(BV198:BV202)</f>
        <v>0</v>
      </c>
      <c r="BW197" s="127">
        <f>VLOOKUP($C197,'1 预算编制表单'!$C:$BJ,42,FALSE)</f>
        <v>0</v>
      </c>
      <c r="BX197" s="127">
        <f>BW197-BY197</f>
        <v>0</v>
      </c>
      <c r="BY197" s="127">
        <f>SUM(BY198:BY202)</f>
        <v>0</v>
      </c>
      <c r="BZ197" s="127">
        <f>VLOOKUP($C197,'1 预算编制表单'!$C:$BJ,45,FALSE)</f>
        <v>0</v>
      </c>
      <c r="CA197" s="127">
        <f>BZ197-CB197</f>
        <v>0</v>
      </c>
      <c r="CB197" s="127">
        <f>SUM(CB198:CB202)</f>
        <v>0</v>
      </c>
      <c r="CC197" s="127">
        <f>VLOOKUP($C197,'1 预算编制表单'!$C:$BJ,48,FALSE)</f>
        <v>0</v>
      </c>
      <c r="CD197" s="127">
        <f>CC197-CE197</f>
        <v>0</v>
      </c>
      <c r="CE197" s="127">
        <f>SUM(CE198:CE202)</f>
        <v>0</v>
      </c>
      <c r="CF197" s="127">
        <f>VLOOKUP($C197,'1 预算编制表单'!$C:$BJ,51,FALSE)</f>
        <v>0</v>
      </c>
      <c r="CG197" s="127">
        <f>CF197-CH197</f>
        <v>0</v>
      </c>
      <c r="CH197" s="127">
        <f>SUM(CH198:CH202)</f>
        <v>0</v>
      </c>
      <c r="CI197" s="127">
        <f>VLOOKUP($C197,'1 预算编制表单'!$C:$BJ,54,FALSE)</f>
        <v>0</v>
      </c>
      <c r="CJ197" s="127">
        <f>CI197-CK197</f>
        <v>0</v>
      </c>
      <c r="CK197" s="127">
        <f>SUM(CK198:CK202)</f>
        <v>0</v>
      </c>
      <c r="CL197" s="127">
        <f>VLOOKUP($C197,'1 预算编制表单'!$C:$BJ,57,FALSE)</f>
        <v>0</v>
      </c>
      <c r="CM197" s="127">
        <f>CL197-CN197</f>
        <v>0</v>
      </c>
      <c r="CN197" s="127">
        <f>SUM(CN198:CN202)</f>
        <v>0</v>
      </c>
      <c r="CO197" s="127">
        <f>VLOOKUP($C197,'1 预算编制表单'!$C:$BJ,60,FALSE)</f>
        <v>0</v>
      </c>
      <c r="CP197" s="127">
        <f>CO197-CQ197</f>
        <v>0</v>
      </c>
      <c r="CQ197" s="127">
        <f>SUM(CQ198:CQ202)</f>
        <v>0</v>
      </c>
    </row>
    <row r="198" s="89" customFormat="1" ht="24" hidden="1" customHeight="1" outlineLevel="4" spans="1:95">
      <c r="A198" s="128"/>
      <c r="B198" s="129"/>
      <c r="C198" s="130"/>
      <c r="D198" s="128"/>
      <c r="E198" s="129"/>
      <c r="F198" s="129"/>
      <c r="G198" s="129"/>
      <c r="H198" s="131"/>
      <c r="I198" s="131"/>
      <c r="J198" s="131">
        <f t="shared" si="2339"/>
        <v>0</v>
      </c>
      <c r="K198" s="131">
        <v>1</v>
      </c>
      <c r="L198" s="156"/>
      <c r="M198" s="157">
        <f>IFERROR(VLOOKUP($L198,'2-2 引出数据_合同数据仓库'!$B$5:$BP$200,3,FALSE),0)</f>
        <v>0</v>
      </c>
      <c r="N198" s="131"/>
      <c r="O198" s="157">
        <f>IFERROR(VLOOKUP((LEFT(VLOOKUP($L198,'2-2 引出数据_合同数据仓库'!$B$5:$BP$200,64,FALSE),15)&amp;(RIGHT(VLOOKUP($L198,'2-2 引出数据_合同数据仓库'!$B$5:$BP$200,64,FALSE),4)+1)),'2-2 引出数据_合同数据仓库'!$B$5:$BP$200,3,FALSE),0)</f>
        <v>0</v>
      </c>
      <c r="P198" s="131"/>
      <c r="Q198" s="131">
        <f>IFERROR(VLOOKUP($L198,'2-2 引出数据_合同数据仓库'!$B$5:$BP$200,28,FALSE),0)</f>
        <v>0</v>
      </c>
      <c r="R198" s="131">
        <f>IFERROR(VLOOKUP($L198,'2-2 引出数据_合同数据仓库'!$B$5:$BP$200,29,FALSE),0)</f>
        <v>0</v>
      </c>
      <c r="S198" s="131">
        <f>IFERROR(VLOOKUP($L198,'2-2 引出数据_合同数据仓库'!$B$5:$BP$200,4,FALSE),0)</f>
        <v>0</v>
      </c>
      <c r="T198" s="131"/>
      <c r="U198" s="131">
        <f>IFERROR(VLOOKUP($L198,'2-2 引出数据_合同数据仓库'!$B$5:$BP$200,15,FALSE),0)</f>
        <v>0</v>
      </c>
      <c r="V198" s="131">
        <f t="shared" ref="V198:V201" si="2340">U198/(S198-R198+1)*365</f>
        <v>0</v>
      </c>
      <c r="W198" s="131"/>
      <c r="X198" s="163">
        <v>45658</v>
      </c>
      <c r="Y198" s="163">
        <f t="shared" ref="Y198:Y201" si="2341">X198+30</f>
        <v>45688</v>
      </c>
      <c r="Z198" s="167">
        <f t="shared" ref="Z198:Z201" si="2342">IFERROR(IF(($R198-Y198)&gt;=0,0,IF(($S198-X198)&lt;0,0,IF(AND(($S198-Y198)&gt;0,(X198-$R198)&gt;0),$V198/365*(Y198-X198+1),IF(AND(($S198-Y198)&lt;=0,(X198-$R198)&gt;0),$V198/365*($S198-X198+1),$V198/365*(Y198-$R198+1))))),0)</f>
        <v>0</v>
      </c>
      <c r="AA198" s="163">
        <f t="shared" ref="AA198:AA201" si="2343">Y198+1</f>
        <v>45689</v>
      </c>
      <c r="AB198" s="163">
        <f t="shared" ref="AB198:AB201" si="2344">AA198+27</f>
        <v>45716</v>
      </c>
      <c r="AC198" s="167">
        <f t="shared" ref="AC198:AC201" si="2345">IFERROR(IF(($R198-AB198)&gt;=0,0,IF(($S198-AA198)&lt;0,0,IF(AND(($S198-AB198)&gt;0,(AA198-$R198)&gt;0),$V198/365*(AB198-AA198+1),IF(AND(($S198-AB198)&lt;=0,(AA198-$R198)&gt;0),$V198/365*($S198-AA198+1),$V198/365*(AB198-$R198+1))))),0)</f>
        <v>0</v>
      </c>
      <c r="AD198" s="163">
        <f t="shared" ref="AD198:AD201" si="2346">AB198+1</f>
        <v>45717</v>
      </c>
      <c r="AE198" s="163">
        <f t="shared" ref="AE198:AE201" si="2347">AD198+30</f>
        <v>45747</v>
      </c>
      <c r="AF198" s="167">
        <f t="shared" ref="AF198:AF201" si="2348">IFERROR(IF(($R198-AE198)&gt;=0,0,IF(($S198-AD198)&lt;0,0,IF(AND(($S198-AE198)&gt;0,(AD198-$R198)&gt;0),$V198/365*(AE198-AD198+1),IF(AND(($S198-AE198)&lt;=0,(AD198-$R198)&gt;0),$V198/365*($S198-AD198+1),$V198/365*(AE198-$R198+1))))),0)</f>
        <v>0</v>
      </c>
      <c r="AG198" s="163">
        <f t="shared" ref="AG198:AG201" si="2349">AE198+1</f>
        <v>45748</v>
      </c>
      <c r="AH198" s="163">
        <f t="shared" ref="AH198:AH201" si="2350">AG198+29</f>
        <v>45777</v>
      </c>
      <c r="AI198" s="167">
        <f t="shared" ref="AI198:AI201" si="2351">IFERROR(IF(($R198-AH198)&gt;=0,0,IF(($S198-AG198)&lt;0,0,IF(AND(($S198-AH198)&gt;0,(AG198-$R198)&gt;0),$V198/365*(AH198-AG198+1),IF(AND(($S198-AH198)&lt;=0,(AG198-$R198)&gt;0),$V198/365*($S198-AG198+1),$V198/365*(AH198-$R198+1))))),0)</f>
        <v>0</v>
      </c>
      <c r="AJ198" s="163">
        <f t="shared" ref="AJ198:AJ201" si="2352">AH198+1</f>
        <v>45778</v>
      </c>
      <c r="AK198" s="163">
        <f t="shared" ref="AK198:AK201" si="2353">AJ198+30</f>
        <v>45808</v>
      </c>
      <c r="AL198" s="167">
        <f t="shared" ref="AL198:AL201" si="2354">IFERROR(IF(($R198-AK198)&gt;=0,0,IF(($S198-AJ198)&lt;0,0,IF(AND(($S198-AK198)&gt;0,(AJ198-$R198)&gt;0),$V198/365*(AK198-AJ198+1),IF(AND(($S198-AK198)&lt;=0,(AJ198-$R198)&gt;0),$V198/365*($S198-AJ198+1),$V198/365*(AK198-$R198+1))))),0)</f>
        <v>0</v>
      </c>
      <c r="AM198" s="163">
        <f t="shared" ref="AM198:AM201" si="2355">AK198+1</f>
        <v>45809</v>
      </c>
      <c r="AN198" s="163">
        <f t="shared" ref="AN198:AN201" si="2356">AM198+29</f>
        <v>45838</v>
      </c>
      <c r="AO198" s="167">
        <f t="shared" ref="AO198:AO201" si="2357">IFERROR(IF(($R198-AN198)&gt;=0,0,IF(($S198-AM198)&lt;0,0,IF(AND(($S198-AN198)&gt;0,(AM198-$R198)&gt;0),$V198/365*(AN198-AM198+1),IF(AND(($S198-AN198)&lt;=0,(AM198-$R198)&gt;0),$V198/365*($S198-AM198+1),$V198/365*(AN198-$R198+1))))),0)</f>
        <v>0</v>
      </c>
      <c r="AP198" s="163">
        <f t="shared" ref="AP198:AP201" si="2358">AN198+1</f>
        <v>45839</v>
      </c>
      <c r="AQ198" s="163">
        <f t="shared" ref="AQ198:AQ201" si="2359">AP198+30</f>
        <v>45869</v>
      </c>
      <c r="AR198" s="167">
        <f t="shared" ref="AR198:AR201" si="2360">IFERROR(IF(($R198-AQ198)&gt;=0,0,IF(($S198-AP198)&lt;0,0,IF(AND(($S198-AQ198)&gt;0,(AP198-$R198)&gt;0),$V198/365*(AQ198-AP198+1),IF(AND(($S198-AQ198)&lt;=0,(AP198-$R198)&gt;0),$V198/365*($S198-AP198+1),$V198/365*(AQ198-$R198+1))))),0)</f>
        <v>0</v>
      </c>
      <c r="AS198" s="163">
        <f t="shared" ref="AS198:AS201" si="2361">AQ198+1</f>
        <v>45870</v>
      </c>
      <c r="AT198" s="163">
        <f t="shared" ref="AT198:AT201" si="2362">AS198+30</f>
        <v>45900</v>
      </c>
      <c r="AU198" s="167">
        <f t="shared" ref="AU198:AU201" si="2363">IFERROR(IF(($R198-AT198)&gt;=0,0,IF(($S198-AS198)&lt;0,0,IF(AND(($S198-AT198)&gt;0,(AS198-$R198)&gt;0),$V198/365*(AT198-AS198+1),IF(AND(($S198-AT198)&lt;=0,(AS198-$R198)&gt;0),$V198/365*($S198-AS198+1),$V198/365*(AT198-$R198+1))))),0)</f>
        <v>0</v>
      </c>
      <c r="AV198" s="163">
        <f t="shared" ref="AV198:AV201" si="2364">AT198+1</f>
        <v>45901</v>
      </c>
      <c r="AW198" s="163">
        <f t="shared" ref="AW198:AW201" si="2365">AV198+29</f>
        <v>45930</v>
      </c>
      <c r="AX198" s="167">
        <f t="shared" ref="AX198:AX201" si="2366">IFERROR(IF(($R198-AW198)&gt;=0,0,IF(($S198-AV198)&lt;0,0,IF(AND(($S198-AW198)&gt;0,(AV198-$R198)&gt;0),$V198/365*(AW198-AV198+1),IF(AND(($S198-AW198)&lt;=0,(AV198-$R198)&gt;0),$V198/365*($S198-AV198+1),$V198/365*(AW198-$R198+1))))),0)</f>
        <v>0</v>
      </c>
      <c r="AY198" s="163">
        <f t="shared" ref="AY198:AY201" si="2367">AW198+1</f>
        <v>45931</v>
      </c>
      <c r="AZ198" s="163">
        <f t="shared" ref="AZ198:AZ201" si="2368">AY198+30</f>
        <v>45961</v>
      </c>
      <c r="BA198" s="167">
        <f t="shared" ref="BA198:BA201" si="2369">IFERROR(IF(($R198-AZ198)&gt;=0,0,IF(($S198-AY198)&lt;0,0,IF(AND(($S198-AZ198)&gt;0,(AY198-$R198)&gt;0),$V198/365*(AZ198-AY198+1),IF(AND(($S198-AZ198)&lt;=0,(AY198-$R198)&gt;0),$V198/365*($S198-AY198+1),$V198/365*(AZ198-$R198+1))))),0)</f>
        <v>0</v>
      </c>
      <c r="BB198" s="163">
        <f t="shared" ref="BB198:BB201" si="2370">AZ198+1</f>
        <v>45962</v>
      </c>
      <c r="BC198" s="163">
        <f t="shared" ref="BC198:BC201" si="2371">BB198+29</f>
        <v>45991</v>
      </c>
      <c r="BD198" s="167">
        <f t="shared" ref="BD198:BD201" si="2372">IFERROR(IF(($R198-BC198)&gt;=0,0,IF(($S198-BB198)&lt;0,0,IF(AND(($S198-BC198)&gt;0,(BB198-$R198)&gt;0),$V198/365*(BC198-BB198+1),IF(AND(($S198-BC198)&lt;=0,(BB198-$R198)&gt;0),$V198/365*($S198-BB198+1),$V198/365*(BC198-$R198+1))))),0)</f>
        <v>0</v>
      </c>
      <c r="BE198" s="163">
        <f t="shared" ref="BE198:BE201" si="2373">BC198+1</f>
        <v>45992</v>
      </c>
      <c r="BF198" s="163">
        <f t="shared" ref="BF198:BF201" si="2374">BE198+30</f>
        <v>46022</v>
      </c>
      <c r="BG198" s="167">
        <f t="shared" ref="BG198:BG201" si="2375">IFERROR(IF(($R198-BF198)&gt;=0,0,IF(($S198-BE198)&lt;0,0,IF(AND(($S198-BF198)&gt;0,(BE198-$R198)&gt;0),$V198/365*(BF198-BE198+1),IF(AND(($S198-BF198)&lt;=0,(BE198-$R198)&gt;0),$V198/365*($S198-BE198+1),$V198/365*(BF198-$R198+1))))),0)</f>
        <v>0</v>
      </c>
      <c r="BH198" s="163">
        <v>46023</v>
      </c>
      <c r="BI198" s="163">
        <f t="shared" ref="BI198:BI201" si="2376">BH198+30</f>
        <v>46053</v>
      </c>
      <c r="BJ198" s="167">
        <f t="shared" ref="BJ198:BJ201" si="2377">IFERROR(IF(($R198-BI198)&gt;=0,0,IF(($S198-BH198)&lt;0,0,IF(AND(($S198-BI198)&gt;0,(BH198-$R198)&gt;0),$V198/365*(BI198-BH198+1),IF(AND(($S198-BI198)&lt;=0,(BH198-$R198)&gt;0),$V198/365*($S198-BH198+1),$V198/365*(BI198-$R198+1))))),0)</f>
        <v>0</v>
      </c>
      <c r="BK198" s="163">
        <f t="shared" ref="BK198:BK201" si="2378">BI198+1</f>
        <v>46054</v>
      </c>
      <c r="BL198" s="163">
        <f t="shared" ref="BL198:BL201" si="2379">BK198+27</f>
        <v>46081</v>
      </c>
      <c r="BM198" s="167">
        <f t="shared" ref="BM198:BM201" si="2380">IFERROR(IF(($R198-BL198)&gt;=0,0,IF(($S198-BK198)&lt;0,0,IF(AND(($S198-BL198)&gt;0,(BK198-$R198)&gt;0),$V198/365*(BL198-BK198+1),IF(AND(($S198-BL198)&lt;=0,(BK198-$R198)&gt;0),$V198/365*($S198-BK198+1),$V198/365*(BL198-$R198+1))))),0)</f>
        <v>0</v>
      </c>
      <c r="BN198" s="163">
        <f t="shared" ref="BN198:BN201" si="2381">BL198+1</f>
        <v>46082</v>
      </c>
      <c r="BO198" s="163">
        <f t="shared" ref="BO198:BO201" si="2382">BN198+30</f>
        <v>46112</v>
      </c>
      <c r="BP198" s="167">
        <f t="shared" ref="BP198:BP201" si="2383">IFERROR(IF(($R198-BO198)&gt;=0,0,IF(($S198-BN198)&lt;0,0,IF(AND(($S198-BO198)&gt;0,(BN198-$R198)&gt;0),$V198/365*(BO198-BN198+1),IF(AND(($S198-BO198)&lt;=0,(BN198-$R198)&gt;0),$V198/365*($S198-BN198+1),$V198/365*(BO198-$R198+1))))),0)</f>
        <v>0</v>
      </c>
      <c r="BQ198" s="163">
        <f t="shared" ref="BQ198:BQ201" si="2384">BO198+1</f>
        <v>46113</v>
      </c>
      <c r="BR198" s="163">
        <f t="shared" ref="BR198:BR201" si="2385">BQ198+29</f>
        <v>46142</v>
      </c>
      <c r="BS198" s="167">
        <f t="shared" ref="BS198:BS201" si="2386">IFERROR(IF(($R198-BR198)&gt;=0,0,IF(($S198-BQ198)&lt;0,0,IF(AND(($S198-BR198)&gt;0,(BQ198-$R198)&gt;0),$V198/365*(BR198-BQ198+1),IF(AND(($S198-BR198)&lt;=0,(BQ198-$R198)&gt;0),$V198/365*($S198-BQ198+1),$V198/365*(BR198-$R198+1))))),0)</f>
        <v>0</v>
      </c>
      <c r="BT198" s="163">
        <f t="shared" ref="BT198:BT201" si="2387">BR198+1</f>
        <v>46143</v>
      </c>
      <c r="BU198" s="163">
        <f t="shared" ref="BU198:BU201" si="2388">BT198+30</f>
        <v>46173</v>
      </c>
      <c r="BV198" s="167">
        <f t="shared" ref="BV198:BV201" si="2389">IFERROR(IF(($R198-BU198)&gt;=0,0,IF(($S198-BT198)&lt;0,0,IF(AND(($S198-BU198)&gt;0,(BT198-$R198)&gt;0),$V198/365*(BU198-BT198+1),IF(AND(($S198-BU198)&lt;=0,(BT198-$R198)&gt;0),$V198/365*($S198-BT198+1),$V198/365*(BU198-$R198+1))))),0)</f>
        <v>0</v>
      </c>
      <c r="BW198" s="163">
        <f t="shared" ref="BW198:BW201" si="2390">BU198+1</f>
        <v>46174</v>
      </c>
      <c r="BX198" s="163">
        <f t="shared" ref="BX198:BX201" si="2391">BW198+29</f>
        <v>46203</v>
      </c>
      <c r="BY198" s="167">
        <f t="shared" ref="BY198:BY201" si="2392">IFERROR(IF(($R198-BX198)&gt;=0,0,IF(($S198-BW198)&lt;0,0,IF(AND(($S198-BX198)&gt;0,(BW198-$R198)&gt;0),$V198/365*(BX198-BW198+1),IF(AND(($S198-BX198)&lt;=0,(BW198-$R198)&gt;0),$V198/365*($S198-BW198+1),$V198/365*(BX198-$R198+1))))),0)</f>
        <v>0</v>
      </c>
      <c r="BZ198" s="163">
        <f t="shared" ref="BZ198:BZ201" si="2393">BX198+1</f>
        <v>46204</v>
      </c>
      <c r="CA198" s="163">
        <f t="shared" ref="CA198:CA201" si="2394">BZ198+30</f>
        <v>46234</v>
      </c>
      <c r="CB198" s="167">
        <f t="shared" ref="CB198:CB201" si="2395">IFERROR(IF(($R198-CA198)&gt;=0,0,IF(($S198-BZ198)&lt;0,0,IF(AND(($S198-CA198)&gt;0,(BZ198-$R198)&gt;0),$V198/365*(CA198-BZ198+1),IF(AND(($S198-CA198)&lt;=0,(BZ198-$R198)&gt;0),$V198/365*($S198-BZ198+1),$V198/365*(CA198-$R198+1))))),0)</f>
        <v>0</v>
      </c>
      <c r="CC198" s="163">
        <f t="shared" ref="CC198:CC201" si="2396">CA198+1</f>
        <v>46235</v>
      </c>
      <c r="CD198" s="163">
        <f t="shared" ref="CD198:CD201" si="2397">CC198+30</f>
        <v>46265</v>
      </c>
      <c r="CE198" s="167">
        <f t="shared" ref="CE198:CE201" si="2398">IFERROR(IF(($R198-CD198)&gt;=0,0,IF(($S198-CC198)&lt;0,0,IF(AND(($S198-CD198)&gt;0,(CC198-$R198)&gt;0),$V198/365*(CD198-CC198+1),IF(AND(($S198-CD198)&lt;=0,(CC198-$R198)&gt;0),$V198/365*($S198-CC198+1),$V198/365*(CD198-$R198+1))))),0)</f>
        <v>0</v>
      </c>
      <c r="CF198" s="163">
        <f t="shared" ref="CF198:CF201" si="2399">CD198+1</f>
        <v>46266</v>
      </c>
      <c r="CG198" s="163">
        <f t="shared" ref="CG198:CG201" si="2400">CF198+29</f>
        <v>46295</v>
      </c>
      <c r="CH198" s="167">
        <f t="shared" ref="CH198:CH201" si="2401">IFERROR(IF(($R198-CG198)&gt;=0,0,IF(($S198-CF198)&lt;0,0,IF(AND(($S198-CG198)&gt;0,(CF198-$R198)&gt;0),$V198/365*(CG198-CF198+1),IF(AND(($S198-CG198)&lt;=0,(CF198-$R198)&gt;0),$V198/365*($S198-CF198+1),$V198/365*(CG198-$R198+1))))),0)</f>
        <v>0</v>
      </c>
      <c r="CI198" s="163">
        <f t="shared" ref="CI198:CI201" si="2402">CG198+1</f>
        <v>46296</v>
      </c>
      <c r="CJ198" s="163">
        <f t="shared" ref="CJ198:CJ201" si="2403">CI198+30</f>
        <v>46326</v>
      </c>
      <c r="CK198" s="167">
        <f t="shared" ref="CK198:CK201" si="2404">IFERROR(IF(($R198-CJ198)&gt;=0,0,IF(($S198-CI198)&lt;0,0,IF(AND(($S198-CJ198)&gt;0,(CI198-$R198)&gt;0),$V198/365*(CJ198-CI198+1),IF(AND(($S198-CJ198)&lt;=0,(CI198-$R198)&gt;0),$V198/365*($S198-CI198+1),$V198/365*(CJ198-$R198+1))))),0)</f>
        <v>0</v>
      </c>
      <c r="CL198" s="163">
        <f t="shared" ref="CL198:CL201" si="2405">CJ198+1</f>
        <v>46327</v>
      </c>
      <c r="CM198" s="163">
        <f t="shared" ref="CM198:CM201" si="2406">CL198+29</f>
        <v>46356</v>
      </c>
      <c r="CN198" s="167">
        <f t="shared" ref="CN198:CN201" si="2407">IFERROR(IF(($R198-CM198)&gt;=0,0,IF(($S198-CL198)&lt;0,0,IF(AND(($S198-CM198)&gt;0,(CL198-$R198)&gt;0),$V198/365*(CM198-CL198+1),IF(AND(($S198-CM198)&lt;=0,(CL198-$R198)&gt;0),$V198/365*($S198-CL198+1),$V198/365*(CM198-$R198+1))))),0)</f>
        <v>0</v>
      </c>
      <c r="CO198" s="163">
        <f t="shared" ref="CO198:CO201" si="2408">CM198+1</f>
        <v>46357</v>
      </c>
      <c r="CP198" s="163">
        <f t="shared" ref="CP198:CP201" si="2409">CO198+30</f>
        <v>46387</v>
      </c>
      <c r="CQ198" s="167">
        <f t="shared" ref="CQ198:CQ201" si="2410">IFERROR(IF(($R198-CP198)&gt;=0,0,IF(($S198-CO198)&lt;0,0,IF(AND(($S198-CP198)&gt;0,(CO198-$R198)&gt;0),$V198/365*(CP198-CO198+1),IF(AND(($S198-CP198)&lt;=0,(CO198-$R198)&gt;0),$V198/365*($S198-CO198+1),$V198/365*(CP198-$R198+1))))),0)</f>
        <v>0</v>
      </c>
    </row>
    <row r="199" s="89" customFormat="1" ht="24" hidden="1" customHeight="1" outlineLevel="4" spans="1:95">
      <c r="A199" s="128"/>
      <c r="B199" s="129"/>
      <c r="C199" s="130"/>
      <c r="D199" s="128"/>
      <c r="E199" s="129"/>
      <c r="F199" s="129"/>
      <c r="G199" s="129"/>
      <c r="H199" s="131"/>
      <c r="I199" s="131"/>
      <c r="J199" s="131">
        <f t="shared" si="2339"/>
        <v>0</v>
      </c>
      <c r="K199" s="131">
        <f t="shared" ref="K199:K201" si="2411">K198+1</f>
        <v>2</v>
      </c>
      <c r="L199" s="156"/>
      <c r="M199" s="157">
        <f>IFERROR(VLOOKUP($L199,'2-2 引出数据_合同数据仓库'!$B$5:$BP$200,3,FALSE),0)</f>
        <v>0</v>
      </c>
      <c r="N199" s="131"/>
      <c r="O199" s="157">
        <f>IFERROR(VLOOKUP((LEFT(VLOOKUP($L199,'2-2 引出数据_合同数据仓库'!$B$5:$BP$200,64,FALSE),15)&amp;(RIGHT(VLOOKUP($L199,'2-2 引出数据_合同数据仓库'!$B$5:$BP$200,64,FALSE),4)+1)),'2-2 引出数据_合同数据仓库'!$B$5:$BP$200,3,FALSE),0)</f>
        <v>0</v>
      </c>
      <c r="P199" s="131"/>
      <c r="Q199" s="131">
        <f>IFERROR(VLOOKUP($L199,'2-2 引出数据_合同数据仓库'!$B$5:$BP$200,28,FALSE),0)</f>
        <v>0</v>
      </c>
      <c r="R199" s="131">
        <f>IFERROR(VLOOKUP($L199,'2-2 引出数据_合同数据仓库'!$B$5:$BP$200,29,FALSE),0)</f>
        <v>0</v>
      </c>
      <c r="S199" s="131">
        <f>IFERROR(VLOOKUP($L199,'2-2 引出数据_合同数据仓库'!$B$5:$BP$200,4,FALSE),0)</f>
        <v>0</v>
      </c>
      <c r="T199" s="131"/>
      <c r="U199" s="131">
        <f>IFERROR(VLOOKUP($L199,'2-2 引出数据_合同数据仓库'!$B$5:$BP$200,15,FALSE),0)</f>
        <v>0</v>
      </c>
      <c r="V199" s="131">
        <f t="shared" si="2340"/>
        <v>0</v>
      </c>
      <c r="W199" s="131"/>
      <c r="X199" s="163">
        <v>45658</v>
      </c>
      <c r="Y199" s="163">
        <f t="shared" si="2341"/>
        <v>45688</v>
      </c>
      <c r="Z199" s="167">
        <f t="shared" si="2342"/>
        <v>0</v>
      </c>
      <c r="AA199" s="163">
        <f t="shared" si="2343"/>
        <v>45689</v>
      </c>
      <c r="AB199" s="163">
        <f t="shared" si="2344"/>
        <v>45716</v>
      </c>
      <c r="AC199" s="167">
        <f t="shared" si="2345"/>
        <v>0</v>
      </c>
      <c r="AD199" s="163">
        <f t="shared" si="2346"/>
        <v>45717</v>
      </c>
      <c r="AE199" s="163">
        <f t="shared" si="2347"/>
        <v>45747</v>
      </c>
      <c r="AF199" s="167">
        <f t="shared" si="2348"/>
        <v>0</v>
      </c>
      <c r="AG199" s="163">
        <f t="shared" si="2349"/>
        <v>45748</v>
      </c>
      <c r="AH199" s="163">
        <f t="shared" si="2350"/>
        <v>45777</v>
      </c>
      <c r="AI199" s="167">
        <f t="shared" si="2351"/>
        <v>0</v>
      </c>
      <c r="AJ199" s="163">
        <f t="shared" si="2352"/>
        <v>45778</v>
      </c>
      <c r="AK199" s="163">
        <f t="shared" si="2353"/>
        <v>45808</v>
      </c>
      <c r="AL199" s="167">
        <f t="shared" si="2354"/>
        <v>0</v>
      </c>
      <c r="AM199" s="163">
        <f t="shared" si="2355"/>
        <v>45809</v>
      </c>
      <c r="AN199" s="163">
        <f t="shared" si="2356"/>
        <v>45838</v>
      </c>
      <c r="AO199" s="167">
        <f t="shared" si="2357"/>
        <v>0</v>
      </c>
      <c r="AP199" s="163">
        <f t="shared" si="2358"/>
        <v>45839</v>
      </c>
      <c r="AQ199" s="163">
        <f t="shared" si="2359"/>
        <v>45869</v>
      </c>
      <c r="AR199" s="167">
        <f t="shared" si="2360"/>
        <v>0</v>
      </c>
      <c r="AS199" s="163">
        <f t="shared" si="2361"/>
        <v>45870</v>
      </c>
      <c r="AT199" s="163">
        <f t="shared" si="2362"/>
        <v>45900</v>
      </c>
      <c r="AU199" s="167">
        <f t="shared" si="2363"/>
        <v>0</v>
      </c>
      <c r="AV199" s="163">
        <f t="shared" si="2364"/>
        <v>45901</v>
      </c>
      <c r="AW199" s="163">
        <f t="shared" si="2365"/>
        <v>45930</v>
      </c>
      <c r="AX199" s="167">
        <f t="shared" si="2366"/>
        <v>0</v>
      </c>
      <c r="AY199" s="163">
        <f t="shared" si="2367"/>
        <v>45931</v>
      </c>
      <c r="AZ199" s="163">
        <f t="shared" si="2368"/>
        <v>45961</v>
      </c>
      <c r="BA199" s="167">
        <f t="shared" si="2369"/>
        <v>0</v>
      </c>
      <c r="BB199" s="163">
        <f t="shared" si="2370"/>
        <v>45962</v>
      </c>
      <c r="BC199" s="163">
        <f t="shared" si="2371"/>
        <v>45991</v>
      </c>
      <c r="BD199" s="167">
        <f t="shared" si="2372"/>
        <v>0</v>
      </c>
      <c r="BE199" s="163">
        <f t="shared" si="2373"/>
        <v>45992</v>
      </c>
      <c r="BF199" s="163">
        <f t="shared" si="2374"/>
        <v>46022</v>
      </c>
      <c r="BG199" s="167">
        <f t="shared" si="2375"/>
        <v>0</v>
      </c>
      <c r="BH199" s="163">
        <v>46023</v>
      </c>
      <c r="BI199" s="163">
        <f t="shared" si="2376"/>
        <v>46053</v>
      </c>
      <c r="BJ199" s="167">
        <f t="shared" si="2377"/>
        <v>0</v>
      </c>
      <c r="BK199" s="163">
        <f t="shared" si="2378"/>
        <v>46054</v>
      </c>
      <c r="BL199" s="163">
        <f t="shared" si="2379"/>
        <v>46081</v>
      </c>
      <c r="BM199" s="167">
        <f t="shared" si="2380"/>
        <v>0</v>
      </c>
      <c r="BN199" s="163">
        <f t="shared" si="2381"/>
        <v>46082</v>
      </c>
      <c r="BO199" s="163">
        <f t="shared" si="2382"/>
        <v>46112</v>
      </c>
      <c r="BP199" s="167">
        <f t="shared" si="2383"/>
        <v>0</v>
      </c>
      <c r="BQ199" s="163">
        <f t="shared" si="2384"/>
        <v>46113</v>
      </c>
      <c r="BR199" s="163">
        <f t="shared" si="2385"/>
        <v>46142</v>
      </c>
      <c r="BS199" s="167">
        <f t="shared" si="2386"/>
        <v>0</v>
      </c>
      <c r="BT199" s="163">
        <f t="shared" si="2387"/>
        <v>46143</v>
      </c>
      <c r="BU199" s="163">
        <f t="shared" si="2388"/>
        <v>46173</v>
      </c>
      <c r="BV199" s="167">
        <f t="shared" si="2389"/>
        <v>0</v>
      </c>
      <c r="BW199" s="163">
        <f t="shared" si="2390"/>
        <v>46174</v>
      </c>
      <c r="BX199" s="163">
        <f t="shared" si="2391"/>
        <v>46203</v>
      </c>
      <c r="BY199" s="167">
        <f t="shared" si="2392"/>
        <v>0</v>
      </c>
      <c r="BZ199" s="163">
        <f t="shared" si="2393"/>
        <v>46204</v>
      </c>
      <c r="CA199" s="163">
        <f t="shared" si="2394"/>
        <v>46234</v>
      </c>
      <c r="CB199" s="167">
        <f t="shared" si="2395"/>
        <v>0</v>
      </c>
      <c r="CC199" s="163">
        <f t="shared" si="2396"/>
        <v>46235</v>
      </c>
      <c r="CD199" s="163">
        <f t="shared" si="2397"/>
        <v>46265</v>
      </c>
      <c r="CE199" s="167">
        <f t="shared" si="2398"/>
        <v>0</v>
      </c>
      <c r="CF199" s="163">
        <f t="shared" si="2399"/>
        <v>46266</v>
      </c>
      <c r="CG199" s="163">
        <f t="shared" si="2400"/>
        <v>46295</v>
      </c>
      <c r="CH199" s="167">
        <f t="shared" si="2401"/>
        <v>0</v>
      </c>
      <c r="CI199" s="163">
        <f t="shared" si="2402"/>
        <v>46296</v>
      </c>
      <c r="CJ199" s="163">
        <f t="shared" si="2403"/>
        <v>46326</v>
      </c>
      <c r="CK199" s="167">
        <f t="shared" si="2404"/>
        <v>0</v>
      </c>
      <c r="CL199" s="163">
        <f t="shared" si="2405"/>
        <v>46327</v>
      </c>
      <c r="CM199" s="163">
        <f t="shared" si="2406"/>
        <v>46356</v>
      </c>
      <c r="CN199" s="167">
        <f t="shared" si="2407"/>
        <v>0</v>
      </c>
      <c r="CO199" s="163">
        <f t="shared" si="2408"/>
        <v>46357</v>
      </c>
      <c r="CP199" s="163">
        <f t="shared" si="2409"/>
        <v>46387</v>
      </c>
      <c r="CQ199" s="167">
        <f t="shared" si="2410"/>
        <v>0</v>
      </c>
    </row>
    <row r="200" s="89" customFormat="1" ht="24" hidden="1" customHeight="1" outlineLevel="4" spans="1:95">
      <c r="A200" s="128"/>
      <c r="B200" s="129"/>
      <c r="C200" s="130"/>
      <c r="D200" s="128"/>
      <c r="E200" s="129"/>
      <c r="F200" s="129"/>
      <c r="G200" s="129"/>
      <c r="H200" s="131"/>
      <c r="I200" s="131"/>
      <c r="J200" s="131">
        <f t="shared" si="2339"/>
        <v>0</v>
      </c>
      <c r="K200" s="131">
        <f t="shared" si="2411"/>
        <v>3</v>
      </c>
      <c r="L200" s="156"/>
      <c r="M200" s="157">
        <f>IFERROR(VLOOKUP($L200,'2-2 引出数据_合同数据仓库'!$B$5:$BP$200,3,FALSE),0)</f>
        <v>0</v>
      </c>
      <c r="N200" s="131"/>
      <c r="O200" s="157">
        <f>IFERROR(VLOOKUP((LEFT(VLOOKUP($L200,'2-2 引出数据_合同数据仓库'!$B$5:$BP$200,64,FALSE),15)&amp;(RIGHT(VLOOKUP($L200,'2-2 引出数据_合同数据仓库'!$B$5:$BP$200,64,FALSE),4)+1)),'2-2 引出数据_合同数据仓库'!$B$5:$BP$200,3,FALSE),0)</f>
        <v>0</v>
      </c>
      <c r="P200" s="131"/>
      <c r="Q200" s="131">
        <f>IFERROR(VLOOKUP($L200,'2-2 引出数据_合同数据仓库'!$B$5:$BP$200,28,FALSE),0)</f>
        <v>0</v>
      </c>
      <c r="R200" s="131">
        <f>IFERROR(VLOOKUP($L200,'2-2 引出数据_合同数据仓库'!$B$5:$BP$200,29,FALSE),0)</f>
        <v>0</v>
      </c>
      <c r="S200" s="131">
        <f>IFERROR(VLOOKUP($L200,'2-2 引出数据_合同数据仓库'!$B$5:$BP$200,4,FALSE),0)</f>
        <v>0</v>
      </c>
      <c r="T200" s="131"/>
      <c r="U200" s="131">
        <f>IFERROR(VLOOKUP($L200,'2-2 引出数据_合同数据仓库'!$B$5:$BP$200,15,FALSE),0)</f>
        <v>0</v>
      </c>
      <c r="V200" s="131">
        <f t="shared" si="2340"/>
        <v>0</v>
      </c>
      <c r="W200" s="131"/>
      <c r="X200" s="163">
        <v>45658</v>
      </c>
      <c r="Y200" s="163">
        <f t="shared" si="2341"/>
        <v>45688</v>
      </c>
      <c r="Z200" s="167">
        <f t="shared" si="2342"/>
        <v>0</v>
      </c>
      <c r="AA200" s="163">
        <f t="shared" si="2343"/>
        <v>45689</v>
      </c>
      <c r="AB200" s="163">
        <f t="shared" si="2344"/>
        <v>45716</v>
      </c>
      <c r="AC200" s="167">
        <f t="shared" si="2345"/>
        <v>0</v>
      </c>
      <c r="AD200" s="163">
        <f t="shared" si="2346"/>
        <v>45717</v>
      </c>
      <c r="AE200" s="163">
        <f t="shared" si="2347"/>
        <v>45747</v>
      </c>
      <c r="AF200" s="167">
        <f t="shared" si="2348"/>
        <v>0</v>
      </c>
      <c r="AG200" s="163">
        <f t="shared" si="2349"/>
        <v>45748</v>
      </c>
      <c r="AH200" s="163">
        <f t="shared" si="2350"/>
        <v>45777</v>
      </c>
      <c r="AI200" s="167">
        <f t="shared" si="2351"/>
        <v>0</v>
      </c>
      <c r="AJ200" s="163">
        <f t="shared" si="2352"/>
        <v>45778</v>
      </c>
      <c r="AK200" s="163">
        <f t="shared" si="2353"/>
        <v>45808</v>
      </c>
      <c r="AL200" s="167">
        <f t="shared" si="2354"/>
        <v>0</v>
      </c>
      <c r="AM200" s="163">
        <f t="shared" si="2355"/>
        <v>45809</v>
      </c>
      <c r="AN200" s="163">
        <f t="shared" si="2356"/>
        <v>45838</v>
      </c>
      <c r="AO200" s="167">
        <f t="shared" si="2357"/>
        <v>0</v>
      </c>
      <c r="AP200" s="163">
        <f t="shared" si="2358"/>
        <v>45839</v>
      </c>
      <c r="AQ200" s="163">
        <f t="shared" si="2359"/>
        <v>45869</v>
      </c>
      <c r="AR200" s="167">
        <f t="shared" si="2360"/>
        <v>0</v>
      </c>
      <c r="AS200" s="163">
        <f t="shared" si="2361"/>
        <v>45870</v>
      </c>
      <c r="AT200" s="163">
        <f t="shared" si="2362"/>
        <v>45900</v>
      </c>
      <c r="AU200" s="167">
        <f t="shared" si="2363"/>
        <v>0</v>
      </c>
      <c r="AV200" s="163">
        <f t="shared" si="2364"/>
        <v>45901</v>
      </c>
      <c r="AW200" s="163">
        <f t="shared" si="2365"/>
        <v>45930</v>
      </c>
      <c r="AX200" s="167">
        <f t="shared" si="2366"/>
        <v>0</v>
      </c>
      <c r="AY200" s="163">
        <f t="shared" si="2367"/>
        <v>45931</v>
      </c>
      <c r="AZ200" s="163">
        <f t="shared" si="2368"/>
        <v>45961</v>
      </c>
      <c r="BA200" s="167">
        <f t="shared" si="2369"/>
        <v>0</v>
      </c>
      <c r="BB200" s="163">
        <f t="shared" si="2370"/>
        <v>45962</v>
      </c>
      <c r="BC200" s="163">
        <f t="shared" si="2371"/>
        <v>45991</v>
      </c>
      <c r="BD200" s="167">
        <f t="shared" si="2372"/>
        <v>0</v>
      </c>
      <c r="BE200" s="163">
        <f t="shared" si="2373"/>
        <v>45992</v>
      </c>
      <c r="BF200" s="163">
        <f t="shared" si="2374"/>
        <v>46022</v>
      </c>
      <c r="BG200" s="167">
        <f t="shared" si="2375"/>
        <v>0</v>
      </c>
      <c r="BH200" s="163">
        <v>46023</v>
      </c>
      <c r="BI200" s="163">
        <f t="shared" si="2376"/>
        <v>46053</v>
      </c>
      <c r="BJ200" s="167">
        <f t="shared" si="2377"/>
        <v>0</v>
      </c>
      <c r="BK200" s="163">
        <f t="shared" si="2378"/>
        <v>46054</v>
      </c>
      <c r="BL200" s="163">
        <f t="shared" si="2379"/>
        <v>46081</v>
      </c>
      <c r="BM200" s="167">
        <f t="shared" si="2380"/>
        <v>0</v>
      </c>
      <c r="BN200" s="163">
        <f t="shared" si="2381"/>
        <v>46082</v>
      </c>
      <c r="BO200" s="163">
        <f t="shared" si="2382"/>
        <v>46112</v>
      </c>
      <c r="BP200" s="167">
        <f t="shared" si="2383"/>
        <v>0</v>
      </c>
      <c r="BQ200" s="163">
        <f t="shared" si="2384"/>
        <v>46113</v>
      </c>
      <c r="BR200" s="163">
        <f t="shared" si="2385"/>
        <v>46142</v>
      </c>
      <c r="BS200" s="167">
        <f t="shared" si="2386"/>
        <v>0</v>
      </c>
      <c r="BT200" s="163">
        <f t="shared" si="2387"/>
        <v>46143</v>
      </c>
      <c r="BU200" s="163">
        <f t="shared" si="2388"/>
        <v>46173</v>
      </c>
      <c r="BV200" s="167">
        <f t="shared" si="2389"/>
        <v>0</v>
      </c>
      <c r="BW200" s="163">
        <f t="shared" si="2390"/>
        <v>46174</v>
      </c>
      <c r="BX200" s="163">
        <f t="shared" si="2391"/>
        <v>46203</v>
      </c>
      <c r="BY200" s="167">
        <f t="shared" si="2392"/>
        <v>0</v>
      </c>
      <c r="BZ200" s="163">
        <f t="shared" si="2393"/>
        <v>46204</v>
      </c>
      <c r="CA200" s="163">
        <f t="shared" si="2394"/>
        <v>46234</v>
      </c>
      <c r="CB200" s="167">
        <f t="shared" si="2395"/>
        <v>0</v>
      </c>
      <c r="CC200" s="163">
        <f t="shared" si="2396"/>
        <v>46235</v>
      </c>
      <c r="CD200" s="163">
        <f t="shared" si="2397"/>
        <v>46265</v>
      </c>
      <c r="CE200" s="167">
        <f t="shared" si="2398"/>
        <v>0</v>
      </c>
      <c r="CF200" s="163">
        <f t="shared" si="2399"/>
        <v>46266</v>
      </c>
      <c r="CG200" s="163">
        <f t="shared" si="2400"/>
        <v>46295</v>
      </c>
      <c r="CH200" s="167">
        <f t="shared" si="2401"/>
        <v>0</v>
      </c>
      <c r="CI200" s="163">
        <f t="shared" si="2402"/>
        <v>46296</v>
      </c>
      <c r="CJ200" s="163">
        <f t="shared" si="2403"/>
        <v>46326</v>
      </c>
      <c r="CK200" s="167">
        <f t="shared" si="2404"/>
        <v>0</v>
      </c>
      <c r="CL200" s="163">
        <f t="shared" si="2405"/>
        <v>46327</v>
      </c>
      <c r="CM200" s="163">
        <f t="shared" si="2406"/>
        <v>46356</v>
      </c>
      <c r="CN200" s="167">
        <f t="shared" si="2407"/>
        <v>0</v>
      </c>
      <c r="CO200" s="163">
        <f t="shared" si="2408"/>
        <v>46357</v>
      </c>
      <c r="CP200" s="163">
        <f t="shared" si="2409"/>
        <v>46387</v>
      </c>
      <c r="CQ200" s="167">
        <f t="shared" si="2410"/>
        <v>0</v>
      </c>
    </row>
    <row r="201" s="89" customFormat="1" ht="24" hidden="1" customHeight="1" outlineLevel="4" spans="1:95">
      <c r="A201" s="128"/>
      <c r="B201" s="129"/>
      <c r="C201" s="130"/>
      <c r="D201" s="128"/>
      <c r="E201" s="129"/>
      <c r="F201" s="129"/>
      <c r="G201" s="129"/>
      <c r="H201" s="131"/>
      <c r="I201" s="131"/>
      <c r="J201" s="131">
        <f t="shared" si="2339"/>
        <v>0</v>
      </c>
      <c r="K201" s="131">
        <f t="shared" si="2411"/>
        <v>4</v>
      </c>
      <c r="L201" s="156"/>
      <c r="M201" s="157">
        <f>IFERROR(VLOOKUP($L201,'2-2 引出数据_合同数据仓库'!$B$5:$BP$200,3,FALSE),0)</f>
        <v>0</v>
      </c>
      <c r="N201" s="131"/>
      <c r="O201" s="157">
        <f>IFERROR(VLOOKUP((LEFT(VLOOKUP($L201,'2-2 引出数据_合同数据仓库'!$B$5:$BP$200,64,FALSE),15)&amp;(RIGHT(VLOOKUP($L201,'2-2 引出数据_合同数据仓库'!$B$5:$BP$200,64,FALSE),4)+1)),'2-2 引出数据_合同数据仓库'!$B$5:$BP$200,3,FALSE),0)</f>
        <v>0</v>
      </c>
      <c r="P201" s="131"/>
      <c r="Q201" s="131">
        <f>IFERROR(VLOOKUP($L201,'2-2 引出数据_合同数据仓库'!$B$5:$BP$200,28,FALSE),0)</f>
        <v>0</v>
      </c>
      <c r="R201" s="131">
        <f>IFERROR(VLOOKUP($L201,'2-2 引出数据_合同数据仓库'!$B$5:$BP$200,29,FALSE),0)</f>
        <v>0</v>
      </c>
      <c r="S201" s="131">
        <f>IFERROR(VLOOKUP($L201,'2-2 引出数据_合同数据仓库'!$B$5:$BP$200,4,FALSE),0)</f>
        <v>0</v>
      </c>
      <c r="T201" s="131"/>
      <c r="U201" s="131">
        <f>IFERROR(VLOOKUP($L201,'2-2 引出数据_合同数据仓库'!$B$5:$BP$200,15,FALSE),0)</f>
        <v>0</v>
      </c>
      <c r="V201" s="131">
        <f t="shared" si="2340"/>
        <v>0</v>
      </c>
      <c r="W201" s="131"/>
      <c r="X201" s="163">
        <v>45658</v>
      </c>
      <c r="Y201" s="163">
        <f t="shared" si="2341"/>
        <v>45688</v>
      </c>
      <c r="Z201" s="167">
        <f t="shared" si="2342"/>
        <v>0</v>
      </c>
      <c r="AA201" s="163">
        <f t="shared" si="2343"/>
        <v>45689</v>
      </c>
      <c r="AB201" s="163">
        <f t="shared" si="2344"/>
        <v>45716</v>
      </c>
      <c r="AC201" s="167">
        <f t="shared" si="2345"/>
        <v>0</v>
      </c>
      <c r="AD201" s="163">
        <f t="shared" si="2346"/>
        <v>45717</v>
      </c>
      <c r="AE201" s="163">
        <f t="shared" si="2347"/>
        <v>45747</v>
      </c>
      <c r="AF201" s="167">
        <f t="shared" si="2348"/>
        <v>0</v>
      </c>
      <c r="AG201" s="163">
        <f t="shared" si="2349"/>
        <v>45748</v>
      </c>
      <c r="AH201" s="163">
        <f t="shared" si="2350"/>
        <v>45777</v>
      </c>
      <c r="AI201" s="167">
        <f t="shared" si="2351"/>
        <v>0</v>
      </c>
      <c r="AJ201" s="163">
        <f t="shared" si="2352"/>
        <v>45778</v>
      </c>
      <c r="AK201" s="163">
        <f t="shared" si="2353"/>
        <v>45808</v>
      </c>
      <c r="AL201" s="167">
        <f t="shared" si="2354"/>
        <v>0</v>
      </c>
      <c r="AM201" s="163">
        <f t="shared" si="2355"/>
        <v>45809</v>
      </c>
      <c r="AN201" s="163">
        <f t="shared" si="2356"/>
        <v>45838</v>
      </c>
      <c r="AO201" s="167">
        <f t="shared" si="2357"/>
        <v>0</v>
      </c>
      <c r="AP201" s="163">
        <f t="shared" si="2358"/>
        <v>45839</v>
      </c>
      <c r="AQ201" s="163">
        <f t="shared" si="2359"/>
        <v>45869</v>
      </c>
      <c r="AR201" s="167">
        <f t="shared" si="2360"/>
        <v>0</v>
      </c>
      <c r="AS201" s="163">
        <f t="shared" si="2361"/>
        <v>45870</v>
      </c>
      <c r="AT201" s="163">
        <f t="shared" si="2362"/>
        <v>45900</v>
      </c>
      <c r="AU201" s="167">
        <f t="shared" si="2363"/>
        <v>0</v>
      </c>
      <c r="AV201" s="163">
        <f t="shared" si="2364"/>
        <v>45901</v>
      </c>
      <c r="AW201" s="163">
        <f t="shared" si="2365"/>
        <v>45930</v>
      </c>
      <c r="AX201" s="167">
        <f t="shared" si="2366"/>
        <v>0</v>
      </c>
      <c r="AY201" s="163">
        <f t="shared" si="2367"/>
        <v>45931</v>
      </c>
      <c r="AZ201" s="163">
        <f t="shared" si="2368"/>
        <v>45961</v>
      </c>
      <c r="BA201" s="167">
        <f t="shared" si="2369"/>
        <v>0</v>
      </c>
      <c r="BB201" s="163">
        <f t="shared" si="2370"/>
        <v>45962</v>
      </c>
      <c r="BC201" s="163">
        <f t="shared" si="2371"/>
        <v>45991</v>
      </c>
      <c r="BD201" s="167">
        <f t="shared" si="2372"/>
        <v>0</v>
      </c>
      <c r="BE201" s="163">
        <f t="shared" si="2373"/>
        <v>45992</v>
      </c>
      <c r="BF201" s="163">
        <f t="shared" si="2374"/>
        <v>46022</v>
      </c>
      <c r="BG201" s="167">
        <f t="shared" si="2375"/>
        <v>0</v>
      </c>
      <c r="BH201" s="163">
        <v>46023</v>
      </c>
      <c r="BI201" s="163">
        <f t="shared" si="2376"/>
        <v>46053</v>
      </c>
      <c r="BJ201" s="167">
        <f t="shared" si="2377"/>
        <v>0</v>
      </c>
      <c r="BK201" s="163">
        <f t="shared" si="2378"/>
        <v>46054</v>
      </c>
      <c r="BL201" s="163">
        <f t="shared" si="2379"/>
        <v>46081</v>
      </c>
      <c r="BM201" s="167">
        <f t="shared" si="2380"/>
        <v>0</v>
      </c>
      <c r="BN201" s="163">
        <f t="shared" si="2381"/>
        <v>46082</v>
      </c>
      <c r="BO201" s="163">
        <f t="shared" si="2382"/>
        <v>46112</v>
      </c>
      <c r="BP201" s="167">
        <f t="shared" si="2383"/>
        <v>0</v>
      </c>
      <c r="BQ201" s="163">
        <f t="shared" si="2384"/>
        <v>46113</v>
      </c>
      <c r="BR201" s="163">
        <f t="shared" si="2385"/>
        <v>46142</v>
      </c>
      <c r="BS201" s="167">
        <f t="shared" si="2386"/>
        <v>0</v>
      </c>
      <c r="BT201" s="163">
        <f t="shared" si="2387"/>
        <v>46143</v>
      </c>
      <c r="BU201" s="163">
        <f t="shared" si="2388"/>
        <v>46173</v>
      </c>
      <c r="BV201" s="167">
        <f t="shared" si="2389"/>
        <v>0</v>
      </c>
      <c r="BW201" s="163">
        <f t="shared" si="2390"/>
        <v>46174</v>
      </c>
      <c r="BX201" s="163">
        <f t="shared" si="2391"/>
        <v>46203</v>
      </c>
      <c r="BY201" s="167">
        <f t="shared" si="2392"/>
        <v>0</v>
      </c>
      <c r="BZ201" s="163">
        <f t="shared" si="2393"/>
        <v>46204</v>
      </c>
      <c r="CA201" s="163">
        <f t="shared" si="2394"/>
        <v>46234</v>
      </c>
      <c r="CB201" s="167">
        <f t="shared" si="2395"/>
        <v>0</v>
      </c>
      <c r="CC201" s="163">
        <f t="shared" si="2396"/>
        <v>46235</v>
      </c>
      <c r="CD201" s="163">
        <f t="shared" si="2397"/>
        <v>46265</v>
      </c>
      <c r="CE201" s="167">
        <f t="shared" si="2398"/>
        <v>0</v>
      </c>
      <c r="CF201" s="163">
        <f t="shared" si="2399"/>
        <v>46266</v>
      </c>
      <c r="CG201" s="163">
        <f t="shared" si="2400"/>
        <v>46295</v>
      </c>
      <c r="CH201" s="167">
        <f t="shared" si="2401"/>
        <v>0</v>
      </c>
      <c r="CI201" s="163">
        <f t="shared" si="2402"/>
        <v>46296</v>
      </c>
      <c r="CJ201" s="163">
        <f t="shared" si="2403"/>
        <v>46326</v>
      </c>
      <c r="CK201" s="167">
        <f t="shared" si="2404"/>
        <v>0</v>
      </c>
      <c r="CL201" s="163">
        <f t="shared" si="2405"/>
        <v>46327</v>
      </c>
      <c r="CM201" s="163">
        <f t="shared" si="2406"/>
        <v>46356</v>
      </c>
      <c r="CN201" s="167">
        <f t="shared" si="2407"/>
        <v>0</v>
      </c>
      <c r="CO201" s="163">
        <f t="shared" si="2408"/>
        <v>46357</v>
      </c>
      <c r="CP201" s="163">
        <f t="shared" si="2409"/>
        <v>46387</v>
      </c>
      <c r="CQ201" s="167">
        <f t="shared" si="2410"/>
        <v>0</v>
      </c>
    </row>
    <row r="202" s="89" customFormat="1" ht="24" hidden="1" customHeight="1" outlineLevel="4" spans="1:95">
      <c r="A202" s="132" t="s">
        <v>2813</v>
      </c>
      <c r="B202" s="133"/>
      <c r="C202" s="133"/>
      <c r="D202" s="133"/>
      <c r="E202" s="133"/>
      <c r="F202" s="133"/>
      <c r="G202" s="134"/>
      <c r="H202" s="135"/>
      <c r="I202" s="135"/>
      <c r="J202" s="135"/>
      <c r="K202" s="135"/>
      <c r="L202" s="158"/>
      <c r="M202" s="158"/>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c r="CL202" s="135"/>
      <c r="CM202" s="135"/>
      <c r="CN202" s="135"/>
      <c r="CO202" s="135"/>
      <c r="CP202" s="135"/>
      <c r="CQ202" s="135"/>
    </row>
    <row r="203" ht="24" customHeight="1" outlineLevel="2" collapsed="1" spans="1:95">
      <c r="A203" s="43"/>
      <c r="B203" s="121" t="s">
        <v>792</v>
      </c>
      <c r="C203" s="122" t="s">
        <v>46</v>
      </c>
      <c r="D203" s="43" t="s">
        <v>47</v>
      </c>
      <c r="E203" s="121" t="s">
        <v>1169</v>
      </c>
      <c r="F203" s="121"/>
      <c r="G203" s="121" t="s">
        <v>796</v>
      </c>
      <c r="H203" s="123">
        <f>X203+AA203+AD203+AG203+AJ203+AM203+AP203+AS203+AV203+AY203+BB203+BE203</f>
        <v>0</v>
      </c>
      <c r="I203" s="123">
        <f>Y203+AB203+AE203+AH203+AK203+AN203+AQ203+AT203+AW203+AZ203+BC203+BF203</f>
        <v>0</v>
      </c>
      <c r="J203" s="123">
        <f t="shared" si="2339"/>
        <v>0</v>
      </c>
      <c r="K203" s="123"/>
      <c r="L203" s="154"/>
      <c r="M203" s="154"/>
      <c r="N203" s="123"/>
      <c r="O203" s="123"/>
      <c r="P203" s="123"/>
      <c r="Q203" s="123"/>
      <c r="R203" s="123"/>
      <c r="S203" s="123"/>
      <c r="T203" s="123"/>
      <c r="U203" s="123"/>
      <c r="V203" s="123"/>
      <c r="W203" s="123"/>
      <c r="X203" s="123">
        <f>VLOOKUP($C203,'1 预算编制表单'!$C:$BJ,27,FALSE)</f>
        <v>0</v>
      </c>
      <c r="Y203" s="123">
        <f>X203-Z203</f>
        <v>0</v>
      </c>
      <c r="Z203" s="123">
        <f>SUM(Z204:Z208)</f>
        <v>0</v>
      </c>
      <c r="AA203" s="123">
        <f>VLOOKUP($C203,'1 预算编制表单'!$C:$BJ,30,FALSE)</f>
        <v>0</v>
      </c>
      <c r="AB203" s="123">
        <f>AA203-AC203</f>
        <v>0</v>
      </c>
      <c r="AC203" s="123">
        <f>SUM(AC204:AC208)</f>
        <v>0</v>
      </c>
      <c r="AD203" s="123">
        <f>VLOOKUP($C203,'1 预算编制表单'!$C:$BJ,33,FALSE)</f>
        <v>0</v>
      </c>
      <c r="AE203" s="123">
        <f>AD203-AF203</f>
        <v>0</v>
      </c>
      <c r="AF203" s="123">
        <f>SUM(AF204:AF208)</f>
        <v>0</v>
      </c>
      <c r="AG203" s="123">
        <f>VLOOKUP($C203,'1 预算编制表单'!$C:$BJ,36,FALSE)</f>
        <v>0</v>
      </c>
      <c r="AH203" s="123">
        <f>AG203-AI203</f>
        <v>0</v>
      </c>
      <c r="AI203" s="123">
        <f>SUM(AI204:AI208)</f>
        <v>0</v>
      </c>
      <c r="AJ203" s="123">
        <f>VLOOKUP($C203,'1 预算编制表单'!$C:$BJ,39,FALSE)</f>
        <v>0</v>
      </c>
      <c r="AK203" s="123">
        <f>AJ203-AL203</f>
        <v>0</v>
      </c>
      <c r="AL203" s="123">
        <f>SUM(AL204:AL208)</f>
        <v>0</v>
      </c>
      <c r="AM203" s="123">
        <f>VLOOKUP($C203,'1 预算编制表单'!$C:$BJ,42,FALSE)</f>
        <v>0</v>
      </c>
      <c r="AN203" s="123">
        <f>AM203-AO203</f>
        <v>0</v>
      </c>
      <c r="AO203" s="123">
        <f>SUM(AO204:AO208)</f>
        <v>0</v>
      </c>
      <c r="AP203" s="123">
        <f>VLOOKUP($C203,'1 预算编制表单'!$C:$BJ,45,FALSE)</f>
        <v>0</v>
      </c>
      <c r="AQ203" s="123">
        <f>AP203-AR203</f>
        <v>0</v>
      </c>
      <c r="AR203" s="123">
        <f>SUM(AR204:AR208)</f>
        <v>0</v>
      </c>
      <c r="AS203" s="123">
        <f>VLOOKUP($C203,'1 预算编制表单'!$C:$BJ,48,FALSE)</f>
        <v>0</v>
      </c>
      <c r="AT203" s="123">
        <f>AS203-AU203</f>
        <v>0</v>
      </c>
      <c r="AU203" s="123">
        <f>SUM(AU204:AU208)</f>
        <v>0</v>
      </c>
      <c r="AV203" s="123">
        <f>VLOOKUP($C203,'1 预算编制表单'!$C:$BJ,51,FALSE)</f>
        <v>0</v>
      </c>
      <c r="AW203" s="123">
        <f>AV203-AX203</f>
        <v>0</v>
      </c>
      <c r="AX203" s="123">
        <f>SUM(AX204:AX208)</f>
        <v>0</v>
      </c>
      <c r="AY203" s="123">
        <f>VLOOKUP($C203,'1 预算编制表单'!$C:$BJ,54,FALSE)</f>
        <v>0</v>
      </c>
      <c r="AZ203" s="123">
        <f>AY203-BA203</f>
        <v>0</v>
      </c>
      <c r="BA203" s="123">
        <f>SUM(BA204:BA208)</f>
        <v>0</v>
      </c>
      <c r="BB203" s="123">
        <f>VLOOKUP($C203,'1 预算编制表单'!$C:$BJ,57,FALSE)</f>
        <v>0</v>
      </c>
      <c r="BC203" s="123">
        <f>BB203-BD203</f>
        <v>0</v>
      </c>
      <c r="BD203" s="123">
        <f>SUM(BD204:BD208)</f>
        <v>0</v>
      </c>
      <c r="BE203" s="123">
        <f>VLOOKUP($C203,'1 预算编制表单'!$C:$BJ,60,FALSE)</f>
        <v>0</v>
      </c>
      <c r="BF203" s="123">
        <f>BE203-BG203</f>
        <v>0</v>
      </c>
      <c r="BG203" s="123">
        <f>SUM(BG204:BG208)</f>
        <v>0</v>
      </c>
      <c r="BH203" s="123">
        <f>VLOOKUP($C203,'1 预算编制表单'!$C:$BJ,27,FALSE)</f>
        <v>0</v>
      </c>
      <c r="BI203" s="123">
        <f>BH203-BJ203</f>
        <v>0</v>
      </c>
      <c r="BJ203" s="123">
        <f>SUM(BJ204:BJ208)</f>
        <v>0</v>
      </c>
      <c r="BK203" s="123">
        <f>VLOOKUP($C203,'1 预算编制表单'!$C:$BJ,30,FALSE)</f>
        <v>0</v>
      </c>
      <c r="BL203" s="123">
        <f>BK203-BM203</f>
        <v>0</v>
      </c>
      <c r="BM203" s="123">
        <f>SUM(BM204:BM208)</f>
        <v>0</v>
      </c>
      <c r="BN203" s="123">
        <f>VLOOKUP($C203,'1 预算编制表单'!$C:$BJ,33,FALSE)</f>
        <v>0</v>
      </c>
      <c r="BO203" s="123">
        <f>BN203-BP203</f>
        <v>0</v>
      </c>
      <c r="BP203" s="123">
        <f>SUM(BP204:BP208)</f>
        <v>0</v>
      </c>
      <c r="BQ203" s="123">
        <f>VLOOKUP($C203,'1 预算编制表单'!$C:$BJ,36,FALSE)</f>
        <v>0</v>
      </c>
      <c r="BR203" s="123">
        <f>BQ203-BS203</f>
        <v>0</v>
      </c>
      <c r="BS203" s="123">
        <f>SUM(BS204:BS208)</f>
        <v>0</v>
      </c>
      <c r="BT203" s="123">
        <f>VLOOKUP($C203,'1 预算编制表单'!$C:$BJ,39,FALSE)</f>
        <v>0</v>
      </c>
      <c r="BU203" s="123">
        <f>BT203-BV203</f>
        <v>0</v>
      </c>
      <c r="BV203" s="123">
        <f>SUM(BV204:BV208)</f>
        <v>0</v>
      </c>
      <c r="BW203" s="123">
        <f>VLOOKUP($C203,'1 预算编制表单'!$C:$BJ,42,FALSE)</f>
        <v>0</v>
      </c>
      <c r="BX203" s="123">
        <f>BW203-BY203</f>
        <v>0</v>
      </c>
      <c r="BY203" s="123">
        <f>SUM(BY204:BY208)</f>
        <v>0</v>
      </c>
      <c r="BZ203" s="123">
        <f>VLOOKUP($C203,'1 预算编制表单'!$C:$BJ,45,FALSE)</f>
        <v>0</v>
      </c>
      <c r="CA203" s="123">
        <f>BZ203-CB203</f>
        <v>0</v>
      </c>
      <c r="CB203" s="123">
        <f>SUM(CB204:CB208)</f>
        <v>0</v>
      </c>
      <c r="CC203" s="123">
        <f>VLOOKUP($C203,'1 预算编制表单'!$C:$BJ,48,FALSE)</f>
        <v>0</v>
      </c>
      <c r="CD203" s="123">
        <f>CC203-CE203</f>
        <v>0</v>
      </c>
      <c r="CE203" s="123">
        <f>SUM(CE204:CE208)</f>
        <v>0</v>
      </c>
      <c r="CF203" s="123">
        <f>VLOOKUP($C203,'1 预算编制表单'!$C:$BJ,51,FALSE)</f>
        <v>0</v>
      </c>
      <c r="CG203" s="123">
        <f>CF203-CH203</f>
        <v>0</v>
      </c>
      <c r="CH203" s="123">
        <f>SUM(CH204:CH208)</f>
        <v>0</v>
      </c>
      <c r="CI203" s="123">
        <f>VLOOKUP($C203,'1 预算编制表单'!$C:$BJ,54,FALSE)</f>
        <v>0</v>
      </c>
      <c r="CJ203" s="123">
        <f>CI203-CK203</f>
        <v>0</v>
      </c>
      <c r="CK203" s="123">
        <f>SUM(CK204:CK208)</f>
        <v>0</v>
      </c>
      <c r="CL203" s="123">
        <f>VLOOKUP($C203,'1 预算编制表单'!$C:$BJ,57,FALSE)</f>
        <v>0</v>
      </c>
      <c r="CM203" s="123">
        <f>CL203-CN203</f>
        <v>0</v>
      </c>
      <c r="CN203" s="123">
        <f>SUM(CN204:CN208)</f>
        <v>0</v>
      </c>
      <c r="CO203" s="123">
        <f>VLOOKUP($C203,'1 预算编制表单'!$C:$BJ,60,FALSE)</f>
        <v>0</v>
      </c>
      <c r="CP203" s="123">
        <f>CO203-CQ203</f>
        <v>0</v>
      </c>
      <c r="CQ203" s="123">
        <f>SUM(CQ204:CQ208)</f>
        <v>0</v>
      </c>
    </row>
    <row r="204" s="89" customFormat="1" ht="24" hidden="1" customHeight="1" outlineLevel="3" spans="1:95">
      <c r="A204" s="128"/>
      <c r="B204" s="129"/>
      <c r="C204" s="130"/>
      <c r="D204" s="128"/>
      <c r="E204" s="129"/>
      <c r="F204" s="129"/>
      <c r="G204" s="129"/>
      <c r="H204" s="131"/>
      <c r="I204" s="131"/>
      <c r="J204" s="131">
        <f t="shared" si="2339"/>
        <v>0</v>
      </c>
      <c r="K204" s="131">
        <v>1</v>
      </c>
      <c r="L204" s="156"/>
      <c r="M204" s="157">
        <f>IFERROR(VLOOKUP($L204,'2-2 引出数据_合同数据仓库'!$B$5:$BP$200,3,FALSE),0)</f>
        <v>0</v>
      </c>
      <c r="N204" s="131"/>
      <c r="O204" s="157">
        <f>IFERROR(VLOOKUP((LEFT(VLOOKUP($L204,'2-2 引出数据_合同数据仓库'!$B$5:$BP$200,64,FALSE),15)&amp;(RIGHT(VLOOKUP($L204,'2-2 引出数据_合同数据仓库'!$B$5:$BP$200,64,FALSE),4)+1)),'2-2 引出数据_合同数据仓库'!$B$5:$BP$200,3,FALSE),0)</f>
        <v>0</v>
      </c>
      <c r="P204" s="131"/>
      <c r="Q204" s="131">
        <f>IFERROR(VLOOKUP($L204,'2-2 引出数据_合同数据仓库'!$B$5:$BP$200,28,FALSE),0)</f>
        <v>0</v>
      </c>
      <c r="R204" s="131">
        <f>IFERROR(VLOOKUP($L204,'2-2 引出数据_合同数据仓库'!$B$5:$BP$200,29,FALSE),0)</f>
        <v>0</v>
      </c>
      <c r="S204" s="131">
        <f>IFERROR(VLOOKUP($L204,'2-2 引出数据_合同数据仓库'!$B$5:$BP$200,4,FALSE),0)</f>
        <v>0</v>
      </c>
      <c r="T204" s="131"/>
      <c r="U204" s="131">
        <f>IFERROR(VLOOKUP($L204,'2-2 引出数据_合同数据仓库'!$B$5:$BP$200,15,FALSE),0)</f>
        <v>0</v>
      </c>
      <c r="V204" s="131">
        <f t="shared" ref="V204:V207" si="2412">U204/(S204-R204+1)*365</f>
        <v>0</v>
      </c>
      <c r="W204" s="131"/>
      <c r="X204" s="163">
        <v>45658</v>
      </c>
      <c r="Y204" s="163">
        <f t="shared" ref="Y204:Y207" si="2413">X204+30</f>
        <v>45688</v>
      </c>
      <c r="Z204" s="167">
        <f t="shared" ref="Z204:Z207" si="2414">IFERROR(IF(($R204-Y204)&gt;=0,0,IF(($S204-X204)&lt;0,0,IF(AND(($S204-Y204)&gt;0,(X204-$R204)&gt;0),$V204/365*(Y204-X204+1),IF(AND(($S204-Y204)&lt;=0,(X204-$R204)&gt;0),$V204/365*($S204-X204+1),$V204/365*(Y204-$R204+1))))),0)</f>
        <v>0</v>
      </c>
      <c r="AA204" s="163">
        <f t="shared" ref="AA204:AA207" si="2415">Y204+1</f>
        <v>45689</v>
      </c>
      <c r="AB204" s="163">
        <f t="shared" ref="AB204:AB207" si="2416">AA204+27</f>
        <v>45716</v>
      </c>
      <c r="AC204" s="167">
        <f t="shared" ref="AC204:AC207" si="2417">IFERROR(IF(($R204-AB204)&gt;=0,0,IF(($S204-AA204)&lt;0,0,IF(AND(($S204-AB204)&gt;0,(AA204-$R204)&gt;0),$V204/365*(AB204-AA204+1),IF(AND(($S204-AB204)&lt;=0,(AA204-$R204)&gt;0),$V204/365*($S204-AA204+1),$V204/365*(AB204-$R204+1))))),0)</f>
        <v>0</v>
      </c>
      <c r="AD204" s="163">
        <f t="shared" ref="AD204:AD207" si="2418">AB204+1</f>
        <v>45717</v>
      </c>
      <c r="AE204" s="163">
        <f t="shared" ref="AE204:AE207" si="2419">AD204+30</f>
        <v>45747</v>
      </c>
      <c r="AF204" s="167">
        <f t="shared" ref="AF204:AF207" si="2420">IFERROR(IF(($R204-AE204)&gt;=0,0,IF(($S204-AD204)&lt;0,0,IF(AND(($S204-AE204)&gt;0,(AD204-$R204)&gt;0),$V204/365*(AE204-AD204+1),IF(AND(($S204-AE204)&lt;=0,(AD204-$R204)&gt;0),$V204/365*($S204-AD204+1),$V204/365*(AE204-$R204+1))))),0)</f>
        <v>0</v>
      </c>
      <c r="AG204" s="163">
        <f t="shared" ref="AG204:AG207" si="2421">AE204+1</f>
        <v>45748</v>
      </c>
      <c r="AH204" s="163">
        <f t="shared" ref="AH204:AH207" si="2422">AG204+29</f>
        <v>45777</v>
      </c>
      <c r="AI204" s="167">
        <f t="shared" ref="AI204:AI207" si="2423">IFERROR(IF(($R204-AH204)&gt;=0,0,IF(($S204-AG204)&lt;0,0,IF(AND(($S204-AH204)&gt;0,(AG204-$R204)&gt;0),$V204/365*(AH204-AG204+1),IF(AND(($S204-AH204)&lt;=0,(AG204-$R204)&gt;0),$V204/365*($S204-AG204+1),$V204/365*(AH204-$R204+1))))),0)</f>
        <v>0</v>
      </c>
      <c r="AJ204" s="163">
        <f t="shared" ref="AJ204:AJ207" si="2424">AH204+1</f>
        <v>45778</v>
      </c>
      <c r="AK204" s="163">
        <f t="shared" ref="AK204:AK207" si="2425">AJ204+30</f>
        <v>45808</v>
      </c>
      <c r="AL204" s="167">
        <f t="shared" ref="AL204:AL207" si="2426">IFERROR(IF(($R204-AK204)&gt;=0,0,IF(($S204-AJ204)&lt;0,0,IF(AND(($S204-AK204)&gt;0,(AJ204-$R204)&gt;0),$V204/365*(AK204-AJ204+1),IF(AND(($S204-AK204)&lt;=0,(AJ204-$R204)&gt;0),$V204/365*($S204-AJ204+1),$V204/365*(AK204-$R204+1))))),0)</f>
        <v>0</v>
      </c>
      <c r="AM204" s="163">
        <f t="shared" ref="AM204:AM207" si="2427">AK204+1</f>
        <v>45809</v>
      </c>
      <c r="AN204" s="163">
        <f t="shared" ref="AN204:AN207" si="2428">AM204+29</f>
        <v>45838</v>
      </c>
      <c r="AO204" s="167">
        <f t="shared" ref="AO204:AO207" si="2429">IFERROR(IF(($R204-AN204)&gt;=0,0,IF(($S204-AM204)&lt;0,0,IF(AND(($S204-AN204)&gt;0,(AM204-$R204)&gt;0),$V204/365*(AN204-AM204+1),IF(AND(($S204-AN204)&lt;=0,(AM204-$R204)&gt;0),$V204/365*($S204-AM204+1),$V204/365*(AN204-$R204+1))))),0)</f>
        <v>0</v>
      </c>
      <c r="AP204" s="163">
        <f t="shared" ref="AP204:AP207" si="2430">AN204+1</f>
        <v>45839</v>
      </c>
      <c r="AQ204" s="163">
        <f t="shared" ref="AQ204:AQ207" si="2431">AP204+30</f>
        <v>45869</v>
      </c>
      <c r="AR204" s="167">
        <f t="shared" ref="AR204:AR207" si="2432">IFERROR(IF(($R204-AQ204)&gt;=0,0,IF(($S204-AP204)&lt;0,0,IF(AND(($S204-AQ204)&gt;0,(AP204-$R204)&gt;0),$V204/365*(AQ204-AP204+1),IF(AND(($S204-AQ204)&lt;=0,(AP204-$R204)&gt;0),$V204/365*($S204-AP204+1),$V204/365*(AQ204-$R204+1))))),0)</f>
        <v>0</v>
      </c>
      <c r="AS204" s="163">
        <f t="shared" ref="AS204:AS207" si="2433">AQ204+1</f>
        <v>45870</v>
      </c>
      <c r="AT204" s="163">
        <f t="shared" ref="AT204:AT207" si="2434">AS204+30</f>
        <v>45900</v>
      </c>
      <c r="AU204" s="167">
        <f t="shared" ref="AU204:AU207" si="2435">IFERROR(IF(($R204-AT204)&gt;=0,0,IF(($S204-AS204)&lt;0,0,IF(AND(($S204-AT204)&gt;0,(AS204-$R204)&gt;0),$V204/365*(AT204-AS204+1),IF(AND(($S204-AT204)&lt;=0,(AS204-$R204)&gt;0),$V204/365*($S204-AS204+1),$V204/365*(AT204-$R204+1))))),0)</f>
        <v>0</v>
      </c>
      <c r="AV204" s="163">
        <f t="shared" ref="AV204:AV207" si="2436">AT204+1</f>
        <v>45901</v>
      </c>
      <c r="AW204" s="163">
        <f t="shared" ref="AW204:AW207" si="2437">AV204+29</f>
        <v>45930</v>
      </c>
      <c r="AX204" s="167">
        <f t="shared" ref="AX204:AX207" si="2438">IFERROR(IF(($R204-AW204)&gt;=0,0,IF(($S204-AV204)&lt;0,0,IF(AND(($S204-AW204)&gt;0,(AV204-$R204)&gt;0),$V204/365*(AW204-AV204+1),IF(AND(($S204-AW204)&lt;=0,(AV204-$R204)&gt;0),$V204/365*($S204-AV204+1),$V204/365*(AW204-$R204+1))))),0)</f>
        <v>0</v>
      </c>
      <c r="AY204" s="163">
        <f t="shared" ref="AY204:AY207" si="2439">AW204+1</f>
        <v>45931</v>
      </c>
      <c r="AZ204" s="163">
        <f t="shared" ref="AZ204:AZ207" si="2440">AY204+30</f>
        <v>45961</v>
      </c>
      <c r="BA204" s="167">
        <f t="shared" ref="BA204:BA207" si="2441">IFERROR(IF(($R204-AZ204)&gt;=0,0,IF(($S204-AY204)&lt;0,0,IF(AND(($S204-AZ204)&gt;0,(AY204-$R204)&gt;0),$V204/365*(AZ204-AY204+1),IF(AND(($S204-AZ204)&lt;=0,(AY204-$R204)&gt;0),$V204/365*($S204-AY204+1),$V204/365*(AZ204-$R204+1))))),0)</f>
        <v>0</v>
      </c>
      <c r="BB204" s="163">
        <f t="shared" ref="BB204:BB207" si="2442">AZ204+1</f>
        <v>45962</v>
      </c>
      <c r="BC204" s="163">
        <f t="shared" ref="BC204:BC207" si="2443">BB204+29</f>
        <v>45991</v>
      </c>
      <c r="BD204" s="167">
        <f t="shared" ref="BD204:BD207" si="2444">IFERROR(IF(($R204-BC204)&gt;=0,0,IF(($S204-BB204)&lt;0,0,IF(AND(($S204-BC204)&gt;0,(BB204-$R204)&gt;0),$V204/365*(BC204-BB204+1),IF(AND(($S204-BC204)&lt;=0,(BB204-$R204)&gt;0),$V204/365*($S204-BB204+1),$V204/365*(BC204-$R204+1))))),0)</f>
        <v>0</v>
      </c>
      <c r="BE204" s="163">
        <f t="shared" ref="BE204:BE207" si="2445">BC204+1</f>
        <v>45992</v>
      </c>
      <c r="BF204" s="163">
        <f t="shared" ref="BF204:BF207" si="2446">BE204+30</f>
        <v>46022</v>
      </c>
      <c r="BG204" s="167">
        <f t="shared" ref="BG204:BG207" si="2447">IFERROR(IF(($R204-BF204)&gt;=0,0,IF(($S204-BE204)&lt;0,0,IF(AND(($S204-BF204)&gt;0,(BE204-$R204)&gt;0),$V204/365*(BF204-BE204+1),IF(AND(($S204-BF204)&lt;=0,(BE204-$R204)&gt;0),$V204/365*($S204-BE204+1),$V204/365*(BF204-$R204+1))))),0)</f>
        <v>0</v>
      </c>
      <c r="BH204" s="163">
        <v>46023</v>
      </c>
      <c r="BI204" s="163">
        <f t="shared" ref="BI204:BI207" si="2448">BH204+30</f>
        <v>46053</v>
      </c>
      <c r="BJ204" s="167">
        <f t="shared" ref="BJ204:BJ207" si="2449">IFERROR(IF(($R204-BI204)&gt;=0,0,IF(($S204-BH204)&lt;0,0,IF(AND(($S204-BI204)&gt;0,(BH204-$R204)&gt;0),$V204/365*(BI204-BH204+1),IF(AND(($S204-BI204)&lt;=0,(BH204-$R204)&gt;0),$V204/365*($S204-BH204+1),$V204/365*(BI204-$R204+1))))),0)</f>
        <v>0</v>
      </c>
      <c r="BK204" s="163">
        <f t="shared" ref="BK204:BK207" si="2450">BI204+1</f>
        <v>46054</v>
      </c>
      <c r="BL204" s="163">
        <f t="shared" ref="BL204:BL207" si="2451">BK204+27</f>
        <v>46081</v>
      </c>
      <c r="BM204" s="167">
        <f t="shared" ref="BM204:BM207" si="2452">IFERROR(IF(($R204-BL204)&gt;=0,0,IF(($S204-BK204)&lt;0,0,IF(AND(($S204-BL204)&gt;0,(BK204-$R204)&gt;0),$V204/365*(BL204-BK204+1),IF(AND(($S204-BL204)&lt;=0,(BK204-$R204)&gt;0),$V204/365*($S204-BK204+1),$V204/365*(BL204-$R204+1))))),0)</f>
        <v>0</v>
      </c>
      <c r="BN204" s="163">
        <f t="shared" ref="BN204:BN207" si="2453">BL204+1</f>
        <v>46082</v>
      </c>
      <c r="BO204" s="163">
        <f t="shared" ref="BO204:BO207" si="2454">BN204+30</f>
        <v>46112</v>
      </c>
      <c r="BP204" s="167">
        <f t="shared" ref="BP204:BP207" si="2455">IFERROR(IF(($R204-BO204)&gt;=0,0,IF(($S204-BN204)&lt;0,0,IF(AND(($S204-BO204)&gt;0,(BN204-$R204)&gt;0),$V204/365*(BO204-BN204+1),IF(AND(($S204-BO204)&lt;=0,(BN204-$R204)&gt;0),$V204/365*($S204-BN204+1),$V204/365*(BO204-$R204+1))))),0)</f>
        <v>0</v>
      </c>
      <c r="BQ204" s="163">
        <f t="shared" ref="BQ204:BQ207" si="2456">BO204+1</f>
        <v>46113</v>
      </c>
      <c r="BR204" s="163">
        <f t="shared" ref="BR204:BR207" si="2457">BQ204+29</f>
        <v>46142</v>
      </c>
      <c r="BS204" s="167">
        <f t="shared" ref="BS204:BS207" si="2458">IFERROR(IF(($R204-BR204)&gt;=0,0,IF(($S204-BQ204)&lt;0,0,IF(AND(($S204-BR204)&gt;0,(BQ204-$R204)&gt;0),$V204/365*(BR204-BQ204+1),IF(AND(($S204-BR204)&lt;=0,(BQ204-$R204)&gt;0),$V204/365*($S204-BQ204+1),$V204/365*(BR204-$R204+1))))),0)</f>
        <v>0</v>
      </c>
      <c r="BT204" s="163">
        <f t="shared" ref="BT204:BT207" si="2459">BR204+1</f>
        <v>46143</v>
      </c>
      <c r="BU204" s="163">
        <f t="shared" ref="BU204:BU207" si="2460">BT204+30</f>
        <v>46173</v>
      </c>
      <c r="BV204" s="167">
        <f t="shared" ref="BV204:BV207" si="2461">IFERROR(IF(($R204-BU204)&gt;=0,0,IF(($S204-BT204)&lt;0,0,IF(AND(($S204-BU204)&gt;0,(BT204-$R204)&gt;0),$V204/365*(BU204-BT204+1),IF(AND(($S204-BU204)&lt;=0,(BT204-$R204)&gt;0),$V204/365*($S204-BT204+1),$V204/365*(BU204-$R204+1))))),0)</f>
        <v>0</v>
      </c>
      <c r="BW204" s="163">
        <f t="shared" ref="BW204:BW207" si="2462">BU204+1</f>
        <v>46174</v>
      </c>
      <c r="BX204" s="163">
        <f t="shared" ref="BX204:BX207" si="2463">BW204+29</f>
        <v>46203</v>
      </c>
      <c r="BY204" s="167">
        <f t="shared" ref="BY204:BY207" si="2464">IFERROR(IF(($R204-BX204)&gt;=0,0,IF(($S204-BW204)&lt;0,0,IF(AND(($S204-BX204)&gt;0,(BW204-$R204)&gt;0),$V204/365*(BX204-BW204+1),IF(AND(($S204-BX204)&lt;=0,(BW204-$R204)&gt;0),$V204/365*($S204-BW204+1),$V204/365*(BX204-$R204+1))))),0)</f>
        <v>0</v>
      </c>
      <c r="BZ204" s="163">
        <f t="shared" ref="BZ204:BZ207" si="2465">BX204+1</f>
        <v>46204</v>
      </c>
      <c r="CA204" s="163">
        <f t="shared" ref="CA204:CA207" si="2466">BZ204+30</f>
        <v>46234</v>
      </c>
      <c r="CB204" s="167">
        <f t="shared" ref="CB204:CB207" si="2467">IFERROR(IF(($R204-CA204)&gt;=0,0,IF(($S204-BZ204)&lt;0,0,IF(AND(($S204-CA204)&gt;0,(BZ204-$R204)&gt;0),$V204/365*(CA204-BZ204+1),IF(AND(($S204-CA204)&lt;=0,(BZ204-$R204)&gt;0),$V204/365*($S204-BZ204+1),$V204/365*(CA204-$R204+1))))),0)</f>
        <v>0</v>
      </c>
      <c r="CC204" s="163">
        <f t="shared" ref="CC204:CC207" si="2468">CA204+1</f>
        <v>46235</v>
      </c>
      <c r="CD204" s="163">
        <f t="shared" ref="CD204:CD207" si="2469">CC204+30</f>
        <v>46265</v>
      </c>
      <c r="CE204" s="167">
        <f t="shared" ref="CE204:CE207" si="2470">IFERROR(IF(($R204-CD204)&gt;=0,0,IF(($S204-CC204)&lt;0,0,IF(AND(($S204-CD204)&gt;0,(CC204-$R204)&gt;0),$V204/365*(CD204-CC204+1),IF(AND(($S204-CD204)&lt;=0,(CC204-$R204)&gt;0),$V204/365*($S204-CC204+1),$V204/365*(CD204-$R204+1))))),0)</f>
        <v>0</v>
      </c>
      <c r="CF204" s="163">
        <f t="shared" ref="CF204:CF207" si="2471">CD204+1</f>
        <v>46266</v>
      </c>
      <c r="CG204" s="163">
        <f t="shared" ref="CG204:CG207" si="2472">CF204+29</f>
        <v>46295</v>
      </c>
      <c r="CH204" s="167">
        <f t="shared" ref="CH204:CH207" si="2473">IFERROR(IF(($R204-CG204)&gt;=0,0,IF(($S204-CF204)&lt;0,0,IF(AND(($S204-CG204)&gt;0,(CF204-$R204)&gt;0),$V204/365*(CG204-CF204+1),IF(AND(($S204-CG204)&lt;=0,(CF204-$R204)&gt;0),$V204/365*($S204-CF204+1),$V204/365*(CG204-$R204+1))))),0)</f>
        <v>0</v>
      </c>
      <c r="CI204" s="163">
        <f t="shared" ref="CI204:CI207" si="2474">CG204+1</f>
        <v>46296</v>
      </c>
      <c r="CJ204" s="163">
        <f t="shared" ref="CJ204:CJ207" si="2475">CI204+30</f>
        <v>46326</v>
      </c>
      <c r="CK204" s="167">
        <f t="shared" ref="CK204:CK207" si="2476">IFERROR(IF(($R204-CJ204)&gt;=0,0,IF(($S204-CI204)&lt;0,0,IF(AND(($S204-CJ204)&gt;0,(CI204-$R204)&gt;0),$V204/365*(CJ204-CI204+1),IF(AND(($S204-CJ204)&lt;=0,(CI204-$R204)&gt;0),$V204/365*($S204-CI204+1),$V204/365*(CJ204-$R204+1))))),0)</f>
        <v>0</v>
      </c>
      <c r="CL204" s="163">
        <f t="shared" ref="CL204:CL207" si="2477">CJ204+1</f>
        <v>46327</v>
      </c>
      <c r="CM204" s="163">
        <f t="shared" ref="CM204:CM207" si="2478">CL204+29</f>
        <v>46356</v>
      </c>
      <c r="CN204" s="167">
        <f t="shared" ref="CN204:CN207" si="2479">IFERROR(IF(($R204-CM204)&gt;=0,0,IF(($S204-CL204)&lt;0,0,IF(AND(($S204-CM204)&gt;0,(CL204-$R204)&gt;0),$V204/365*(CM204-CL204+1),IF(AND(($S204-CM204)&lt;=0,(CL204-$R204)&gt;0),$V204/365*($S204-CL204+1),$V204/365*(CM204-$R204+1))))),0)</f>
        <v>0</v>
      </c>
      <c r="CO204" s="163">
        <f t="shared" ref="CO204:CO207" si="2480">CM204+1</f>
        <v>46357</v>
      </c>
      <c r="CP204" s="163">
        <f t="shared" ref="CP204:CP207" si="2481">CO204+30</f>
        <v>46387</v>
      </c>
      <c r="CQ204" s="167">
        <f t="shared" ref="CQ204:CQ207" si="2482">IFERROR(IF(($R204-CP204)&gt;=0,0,IF(($S204-CO204)&lt;0,0,IF(AND(($S204-CP204)&gt;0,(CO204-$R204)&gt;0),$V204/365*(CP204-CO204+1),IF(AND(($S204-CP204)&lt;=0,(CO204-$R204)&gt;0),$V204/365*($S204-CO204+1),$V204/365*(CP204-$R204+1))))),0)</f>
        <v>0</v>
      </c>
    </row>
    <row r="205" s="89" customFormat="1" ht="24" hidden="1" customHeight="1" outlineLevel="3" spans="1:95">
      <c r="A205" s="128"/>
      <c r="B205" s="129"/>
      <c r="C205" s="130"/>
      <c r="D205" s="128"/>
      <c r="E205" s="129"/>
      <c r="F205" s="129"/>
      <c r="G205" s="129"/>
      <c r="H205" s="131"/>
      <c r="I205" s="131"/>
      <c r="J205" s="131">
        <f t="shared" si="2339"/>
        <v>0</v>
      </c>
      <c r="K205" s="131">
        <f t="shared" ref="K205:K207" si="2483">K204+1</f>
        <v>2</v>
      </c>
      <c r="L205" s="156"/>
      <c r="M205" s="157">
        <f>IFERROR(VLOOKUP($L205,'2-2 引出数据_合同数据仓库'!$B$5:$BP$200,3,FALSE),0)</f>
        <v>0</v>
      </c>
      <c r="N205" s="131"/>
      <c r="O205" s="157">
        <f>IFERROR(VLOOKUP((LEFT(VLOOKUP($L205,'2-2 引出数据_合同数据仓库'!$B$5:$BP$200,64,FALSE),15)&amp;(RIGHT(VLOOKUP($L205,'2-2 引出数据_合同数据仓库'!$B$5:$BP$200,64,FALSE),4)+1)),'2-2 引出数据_合同数据仓库'!$B$5:$BP$200,3,FALSE),0)</f>
        <v>0</v>
      </c>
      <c r="P205" s="131"/>
      <c r="Q205" s="131">
        <f>IFERROR(VLOOKUP($L205,'2-2 引出数据_合同数据仓库'!$B$5:$BP$200,28,FALSE),0)</f>
        <v>0</v>
      </c>
      <c r="R205" s="131">
        <f>IFERROR(VLOOKUP($L205,'2-2 引出数据_合同数据仓库'!$B$5:$BP$200,29,FALSE),0)</f>
        <v>0</v>
      </c>
      <c r="S205" s="131">
        <f>IFERROR(VLOOKUP($L205,'2-2 引出数据_合同数据仓库'!$B$5:$BP$200,4,FALSE),0)</f>
        <v>0</v>
      </c>
      <c r="T205" s="131"/>
      <c r="U205" s="131">
        <f>IFERROR(VLOOKUP($L205,'2-2 引出数据_合同数据仓库'!$B$5:$BP$200,15,FALSE),0)</f>
        <v>0</v>
      </c>
      <c r="V205" s="131">
        <f t="shared" si="2412"/>
        <v>0</v>
      </c>
      <c r="W205" s="131"/>
      <c r="X205" s="163">
        <v>45658</v>
      </c>
      <c r="Y205" s="163">
        <f t="shared" si="2413"/>
        <v>45688</v>
      </c>
      <c r="Z205" s="167">
        <f t="shared" si="2414"/>
        <v>0</v>
      </c>
      <c r="AA205" s="163">
        <f t="shared" si="2415"/>
        <v>45689</v>
      </c>
      <c r="AB205" s="163">
        <f t="shared" si="2416"/>
        <v>45716</v>
      </c>
      <c r="AC205" s="167">
        <f t="shared" si="2417"/>
        <v>0</v>
      </c>
      <c r="AD205" s="163">
        <f t="shared" si="2418"/>
        <v>45717</v>
      </c>
      <c r="AE205" s="163">
        <f t="shared" si="2419"/>
        <v>45747</v>
      </c>
      <c r="AF205" s="167">
        <f t="shared" si="2420"/>
        <v>0</v>
      </c>
      <c r="AG205" s="163">
        <f t="shared" si="2421"/>
        <v>45748</v>
      </c>
      <c r="AH205" s="163">
        <f t="shared" si="2422"/>
        <v>45777</v>
      </c>
      <c r="AI205" s="167">
        <f t="shared" si="2423"/>
        <v>0</v>
      </c>
      <c r="AJ205" s="163">
        <f t="shared" si="2424"/>
        <v>45778</v>
      </c>
      <c r="AK205" s="163">
        <f t="shared" si="2425"/>
        <v>45808</v>
      </c>
      <c r="AL205" s="167">
        <f t="shared" si="2426"/>
        <v>0</v>
      </c>
      <c r="AM205" s="163">
        <f t="shared" si="2427"/>
        <v>45809</v>
      </c>
      <c r="AN205" s="163">
        <f t="shared" si="2428"/>
        <v>45838</v>
      </c>
      <c r="AO205" s="167">
        <f t="shared" si="2429"/>
        <v>0</v>
      </c>
      <c r="AP205" s="163">
        <f t="shared" si="2430"/>
        <v>45839</v>
      </c>
      <c r="AQ205" s="163">
        <f t="shared" si="2431"/>
        <v>45869</v>
      </c>
      <c r="AR205" s="167">
        <f t="shared" si="2432"/>
        <v>0</v>
      </c>
      <c r="AS205" s="163">
        <f t="shared" si="2433"/>
        <v>45870</v>
      </c>
      <c r="AT205" s="163">
        <f t="shared" si="2434"/>
        <v>45900</v>
      </c>
      <c r="AU205" s="167">
        <f t="shared" si="2435"/>
        <v>0</v>
      </c>
      <c r="AV205" s="163">
        <f t="shared" si="2436"/>
        <v>45901</v>
      </c>
      <c r="AW205" s="163">
        <f t="shared" si="2437"/>
        <v>45930</v>
      </c>
      <c r="AX205" s="167">
        <f t="shared" si="2438"/>
        <v>0</v>
      </c>
      <c r="AY205" s="163">
        <f t="shared" si="2439"/>
        <v>45931</v>
      </c>
      <c r="AZ205" s="163">
        <f t="shared" si="2440"/>
        <v>45961</v>
      </c>
      <c r="BA205" s="167">
        <f t="shared" si="2441"/>
        <v>0</v>
      </c>
      <c r="BB205" s="163">
        <f t="shared" si="2442"/>
        <v>45962</v>
      </c>
      <c r="BC205" s="163">
        <f t="shared" si="2443"/>
        <v>45991</v>
      </c>
      <c r="BD205" s="167">
        <f t="shared" si="2444"/>
        <v>0</v>
      </c>
      <c r="BE205" s="163">
        <f t="shared" si="2445"/>
        <v>45992</v>
      </c>
      <c r="BF205" s="163">
        <f t="shared" si="2446"/>
        <v>46022</v>
      </c>
      <c r="BG205" s="167">
        <f t="shared" si="2447"/>
        <v>0</v>
      </c>
      <c r="BH205" s="163">
        <v>46023</v>
      </c>
      <c r="BI205" s="163">
        <f t="shared" si="2448"/>
        <v>46053</v>
      </c>
      <c r="BJ205" s="167">
        <f t="shared" si="2449"/>
        <v>0</v>
      </c>
      <c r="BK205" s="163">
        <f t="shared" si="2450"/>
        <v>46054</v>
      </c>
      <c r="BL205" s="163">
        <f t="shared" si="2451"/>
        <v>46081</v>
      </c>
      <c r="BM205" s="167">
        <f t="shared" si="2452"/>
        <v>0</v>
      </c>
      <c r="BN205" s="163">
        <f t="shared" si="2453"/>
        <v>46082</v>
      </c>
      <c r="BO205" s="163">
        <f t="shared" si="2454"/>
        <v>46112</v>
      </c>
      <c r="BP205" s="167">
        <f t="shared" si="2455"/>
        <v>0</v>
      </c>
      <c r="BQ205" s="163">
        <f t="shared" si="2456"/>
        <v>46113</v>
      </c>
      <c r="BR205" s="163">
        <f t="shared" si="2457"/>
        <v>46142</v>
      </c>
      <c r="BS205" s="167">
        <f t="shared" si="2458"/>
        <v>0</v>
      </c>
      <c r="BT205" s="163">
        <f t="shared" si="2459"/>
        <v>46143</v>
      </c>
      <c r="BU205" s="163">
        <f t="shared" si="2460"/>
        <v>46173</v>
      </c>
      <c r="BV205" s="167">
        <f t="shared" si="2461"/>
        <v>0</v>
      </c>
      <c r="BW205" s="163">
        <f t="shared" si="2462"/>
        <v>46174</v>
      </c>
      <c r="BX205" s="163">
        <f t="shared" si="2463"/>
        <v>46203</v>
      </c>
      <c r="BY205" s="167">
        <f t="shared" si="2464"/>
        <v>0</v>
      </c>
      <c r="BZ205" s="163">
        <f t="shared" si="2465"/>
        <v>46204</v>
      </c>
      <c r="CA205" s="163">
        <f t="shared" si="2466"/>
        <v>46234</v>
      </c>
      <c r="CB205" s="167">
        <f t="shared" si="2467"/>
        <v>0</v>
      </c>
      <c r="CC205" s="163">
        <f t="shared" si="2468"/>
        <v>46235</v>
      </c>
      <c r="CD205" s="163">
        <f t="shared" si="2469"/>
        <v>46265</v>
      </c>
      <c r="CE205" s="167">
        <f t="shared" si="2470"/>
        <v>0</v>
      </c>
      <c r="CF205" s="163">
        <f t="shared" si="2471"/>
        <v>46266</v>
      </c>
      <c r="CG205" s="163">
        <f t="shared" si="2472"/>
        <v>46295</v>
      </c>
      <c r="CH205" s="167">
        <f t="shared" si="2473"/>
        <v>0</v>
      </c>
      <c r="CI205" s="163">
        <f t="shared" si="2474"/>
        <v>46296</v>
      </c>
      <c r="CJ205" s="163">
        <f t="shared" si="2475"/>
        <v>46326</v>
      </c>
      <c r="CK205" s="167">
        <f t="shared" si="2476"/>
        <v>0</v>
      </c>
      <c r="CL205" s="163">
        <f t="shared" si="2477"/>
        <v>46327</v>
      </c>
      <c r="CM205" s="163">
        <f t="shared" si="2478"/>
        <v>46356</v>
      </c>
      <c r="CN205" s="167">
        <f t="shared" si="2479"/>
        <v>0</v>
      </c>
      <c r="CO205" s="163">
        <f t="shared" si="2480"/>
        <v>46357</v>
      </c>
      <c r="CP205" s="163">
        <f t="shared" si="2481"/>
        <v>46387</v>
      </c>
      <c r="CQ205" s="167">
        <f t="shared" si="2482"/>
        <v>0</v>
      </c>
    </row>
    <row r="206" s="89" customFormat="1" ht="24" hidden="1" customHeight="1" outlineLevel="3" spans="1:95">
      <c r="A206" s="128"/>
      <c r="B206" s="129"/>
      <c r="C206" s="130"/>
      <c r="D206" s="128"/>
      <c r="E206" s="129"/>
      <c r="F206" s="129"/>
      <c r="G206" s="129"/>
      <c r="H206" s="131"/>
      <c r="I206" s="131"/>
      <c r="J206" s="131">
        <f t="shared" si="2339"/>
        <v>0</v>
      </c>
      <c r="K206" s="131">
        <f t="shared" si="2483"/>
        <v>3</v>
      </c>
      <c r="L206" s="156"/>
      <c r="M206" s="157">
        <f>IFERROR(VLOOKUP($L206,'2-2 引出数据_合同数据仓库'!$B$5:$BP$200,3,FALSE),0)</f>
        <v>0</v>
      </c>
      <c r="N206" s="131"/>
      <c r="O206" s="157">
        <f>IFERROR(VLOOKUP((LEFT(VLOOKUP($L206,'2-2 引出数据_合同数据仓库'!$B$5:$BP$200,64,FALSE),15)&amp;(RIGHT(VLOOKUP($L206,'2-2 引出数据_合同数据仓库'!$B$5:$BP$200,64,FALSE),4)+1)),'2-2 引出数据_合同数据仓库'!$B$5:$BP$200,3,FALSE),0)</f>
        <v>0</v>
      </c>
      <c r="P206" s="131"/>
      <c r="Q206" s="131">
        <f>IFERROR(VLOOKUP($L206,'2-2 引出数据_合同数据仓库'!$B$5:$BP$200,28,FALSE),0)</f>
        <v>0</v>
      </c>
      <c r="R206" s="131">
        <f>IFERROR(VLOOKUP($L206,'2-2 引出数据_合同数据仓库'!$B$5:$BP$200,29,FALSE),0)</f>
        <v>0</v>
      </c>
      <c r="S206" s="131">
        <f>IFERROR(VLOOKUP($L206,'2-2 引出数据_合同数据仓库'!$B$5:$BP$200,4,FALSE),0)</f>
        <v>0</v>
      </c>
      <c r="T206" s="131"/>
      <c r="U206" s="131">
        <f>IFERROR(VLOOKUP($L206,'2-2 引出数据_合同数据仓库'!$B$5:$BP$200,15,FALSE),0)</f>
        <v>0</v>
      </c>
      <c r="V206" s="131">
        <f t="shared" si="2412"/>
        <v>0</v>
      </c>
      <c r="W206" s="131"/>
      <c r="X206" s="163">
        <v>45658</v>
      </c>
      <c r="Y206" s="163">
        <f t="shared" si="2413"/>
        <v>45688</v>
      </c>
      <c r="Z206" s="167">
        <f t="shared" si="2414"/>
        <v>0</v>
      </c>
      <c r="AA206" s="163">
        <f t="shared" si="2415"/>
        <v>45689</v>
      </c>
      <c r="AB206" s="163">
        <f t="shared" si="2416"/>
        <v>45716</v>
      </c>
      <c r="AC206" s="167">
        <f t="shared" si="2417"/>
        <v>0</v>
      </c>
      <c r="AD206" s="163">
        <f t="shared" si="2418"/>
        <v>45717</v>
      </c>
      <c r="AE206" s="163">
        <f t="shared" si="2419"/>
        <v>45747</v>
      </c>
      <c r="AF206" s="167">
        <f t="shared" si="2420"/>
        <v>0</v>
      </c>
      <c r="AG206" s="163">
        <f t="shared" si="2421"/>
        <v>45748</v>
      </c>
      <c r="AH206" s="163">
        <f t="shared" si="2422"/>
        <v>45777</v>
      </c>
      <c r="AI206" s="167">
        <f t="shared" si="2423"/>
        <v>0</v>
      </c>
      <c r="AJ206" s="163">
        <f t="shared" si="2424"/>
        <v>45778</v>
      </c>
      <c r="AK206" s="163">
        <f t="shared" si="2425"/>
        <v>45808</v>
      </c>
      <c r="AL206" s="167">
        <f t="shared" si="2426"/>
        <v>0</v>
      </c>
      <c r="AM206" s="163">
        <f t="shared" si="2427"/>
        <v>45809</v>
      </c>
      <c r="AN206" s="163">
        <f t="shared" si="2428"/>
        <v>45838</v>
      </c>
      <c r="AO206" s="167">
        <f t="shared" si="2429"/>
        <v>0</v>
      </c>
      <c r="AP206" s="163">
        <f t="shared" si="2430"/>
        <v>45839</v>
      </c>
      <c r="AQ206" s="163">
        <f t="shared" si="2431"/>
        <v>45869</v>
      </c>
      <c r="AR206" s="167">
        <f t="shared" si="2432"/>
        <v>0</v>
      </c>
      <c r="AS206" s="163">
        <f t="shared" si="2433"/>
        <v>45870</v>
      </c>
      <c r="AT206" s="163">
        <f t="shared" si="2434"/>
        <v>45900</v>
      </c>
      <c r="AU206" s="167">
        <f t="shared" si="2435"/>
        <v>0</v>
      </c>
      <c r="AV206" s="163">
        <f t="shared" si="2436"/>
        <v>45901</v>
      </c>
      <c r="AW206" s="163">
        <f t="shared" si="2437"/>
        <v>45930</v>
      </c>
      <c r="AX206" s="167">
        <f t="shared" si="2438"/>
        <v>0</v>
      </c>
      <c r="AY206" s="163">
        <f t="shared" si="2439"/>
        <v>45931</v>
      </c>
      <c r="AZ206" s="163">
        <f t="shared" si="2440"/>
        <v>45961</v>
      </c>
      <c r="BA206" s="167">
        <f t="shared" si="2441"/>
        <v>0</v>
      </c>
      <c r="BB206" s="163">
        <f t="shared" si="2442"/>
        <v>45962</v>
      </c>
      <c r="BC206" s="163">
        <f t="shared" si="2443"/>
        <v>45991</v>
      </c>
      <c r="BD206" s="167">
        <f t="shared" si="2444"/>
        <v>0</v>
      </c>
      <c r="BE206" s="163">
        <f t="shared" si="2445"/>
        <v>45992</v>
      </c>
      <c r="BF206" s="163">
        <f t="shared" si="2446"/>
        <v>46022</v>
      </c>
      <c r="BG206" s="167">
        <f t="shared" si="2447"/>
        <v>0</v>
      </c>
      <c r="BH206" s="163">
        <v>46023</v>
      </c>
      <c r="BI206" s="163">
        <f t="shared" si="2448"/>
        <v>46053</v>
      </c>
      <c r="BJ206" s="167">
        <f t="shared" si="2449"/>
        <v>0</v>
      </c>
      <c r="BK206" s="163">
        <f t="shared" si="2450"/>
        <v>46054</v>
      </c>
      <c r="BL206" s="163">
        <f t="shared" si="2451"/>
        <v>46081</v>
      </c>
      <c r="BM206" s="167">
        <f t="shared" si="2452"/>
        <v>0</v>
      </c>
      <c r="BN206" s="163">
        <f t="shared" si="2453"/>
        <v>46082</v>
      </c>
      <c r="BO206" s="163">
        <f t="shared" si="2454"/>
        <v>46112</v>
      </c>
      <c r="BP206" s="167">
        <f t="shared" si="2455"/>
        <v>0</v>
      </c>
      <c r="BQ206" s="163">
        <f t="shared" si="2456"/>
        <v>46113</v>
      </c>
      <c r="BR206" s="163">
        <f t="shared" si="2457"/>
        <v>46142</v>
      </c>
      <c r="BS206" s="167">
        <f t="shared" si="2458"/>
        <v>0</v>
      </c>
      <c r="BT206" s="163">
        <f t="shared" si="2459"/>
        <v>46143</v>
      </c>
      <c r="BU206" s="163">
        <f t="shared" si="2460"/>
        <v>46173</v>
      </c>
      <c r="BV206" s="167">
        <f t="shared" si="2461"/>
        <v>0</v>
      </c>
      <c r="BW206" s="163">
        <f t="shared" si="2462"/>
        <v>46174</v>
      </c>
      <c r="BX206" s="163">
        <f t="shared" si="2463"/>
        <v>46203</v>
      </c>
      <c r="BY206" s="167">
        <f t="shared" si="2464"/>
        <v>0</v>
      </c>
      <c r="BZ206" s="163">
        <f t="shared" si="2465"/>
        <v>46204</v>
      </c>
      <c r="CA206" s="163">
        <f t="shared" si="2466"/>
        <v>46234</v>
      </c>
      <c r="CB206" s="167">
        <f t="shared" si="2467"/>
        <v>0</v>
      </c>
      <c r="CC206" s="163">
        <f t="shared" si="2468"/>
        <v>46235</v>
      </c>
      <c r="CD206" s="163">
        <f t="shared" si="2469"/>
        <v>46265</v>
      </c>
      <c r="CE206" s="167">
        <f t="shared" si="2470"/>
        <v>0</v>
      </c>
      <c r="CF206" s="163">
        <f t="shared" si="2471"/>
        <v>46266</v>
      </c>
      <c r="CG206" s="163">
        <f t="shared" si="2472"/>
        <v>46295</v>
      </c>
      <c r="CH206" s="167">
        <f t="shared" si="2473"/>
        <v>0</v>
      </c>
      <c r="CI206" s="163">
        <f t="shared" si="2474"/>
        <v>46296</v>
      </c>
      <c r="CJ206" s="163">
        <f t="shared" si="2475"/>
        <v>46326</v>
      </c>
      <c r="CK206" s="167">
        <f t="shared" si="2476"/>
        <v>0</v>
      </c>
      <c r="CL206" s="163">
        <f t="shared" si="2477"/>
        <v>46327</v>
      </c>
      <c r="CM206" s="163">
        <f t="shared" si="2478"/>
        <v>46356</v>
      </c>
      <c r="CN206" s="167">
        <f t="shared" si="2479"/>
        <v>0</v>
      </c>
      <c r="CO206" s="163">
        <f t="shared" si="2480"/>
        <v>46357</v>
      </c>
      <c r="CP206" s="163">
        <f t="shared" si="2481"/>
        <v>46387</v>
      </c>
      <c r="CQ206" s="167">
        <f t="shared" si="2482"/>
        <v>0</v>
      </c>
    </row>
    <row r="207" s="89" customFormat="1" ht="24" hidden="1" customHeight="1" outlineLevel="3" collapsed="1" spans="1:95">
      <c r="A207" s="128"/>
      <c r="B207" s="129"/>
      <c r="C207" s="130"/>
      <c r="D207" s="128"/>
      <c r="E207" s="129"/>
      <c r="F207" s="129"/>
      <c r="G207" s="129"/>
      <c r="H207" s="131"/>
      <c r="I207" s="131"/>
      <c r="J207" s="131">
        <f t="shared" si="2339"/>
        <v>0</v>
      </c>
      <c r="K207" s="131">
        <f t="shared" si="2483"/>
        <v>4</v>
      </c>
      <c r="L207" s="156"/>
      <c r="M207" s="157">
        <f>IFERROR(VLOOKUP($L207,'2-2 引出数据_合同数据仓库'!$B$5:$BP$200,3,FALSE),0)</f>
        <v>0</v>
      </c>
      <c r="N207" s="131"/>
      <c r="O207" s="157">
        <f>IFERROR(VLOOKUP((LEFT(VLOOKUP($L207,'2-2 引出数据_合同数据仓库'!$B$5:$BP$200,64,FALSE),15)&amp;(RIGHT(VLOOKUP($L207,'2-2 引出数据_合同数据仓库'!$B$5:$BP$200,64,FALSE),4)+1)),'2-2 引出数据_合同数据仓库'!$B$5:$BP$200,3,FALSE),0)</f>
        <v>0</v>
      </c>
      <c r="P207" s="131"/>
      <c r="Q207" s="131">
        <f>IFERROR(VLOOKUP($L207,'2-2 引出数据_合同数据仓库'!$B$5:$BP$200,28,FALSE),0)</f>
        <v>0</v>
      </c>
      <c r="R207" s="131">
        <f>IFERROR(VLOOKUP($L207,'2-2 引出数据_合同数据仓库'!$B$5:$BP$200,29,FALSE),0)</f>
        <v>0</v>
      </c>
      <c r="S207" s="131">
        <f>IFERROR(VLOOKUP($L207,'2-2 引出数据_合同数据仓库'!$B$5:$BP$200,4,FALSE),0)</f>
        <v>0</v>
      </c>
      <c r="T207" s="131"/>
      <c r="U207" s="131">
        <f>IFERROR(VLOOKUP($L207,'2-2 引出数据_合同数据仓库'!$B$5:$BP$200,15,FALSE),0)</f>
        <v>0</v>
      </c>
      <c r="V207" s="131">
        <f t="shared" si="2412"/>
        <v>0</v>
      </c>
      <c r="W207" s="131"/>
      <c r="X207" s="163">
        <v>45658</v>
      </c>
      <c r="Y207" s="163">
        <f t="shared" si="2413"/>
        <v>45688</v>
      </c>
      <c r="Z207" s="167">
        <f t="shared" si="2414"/>
        <v>0</v>
      </c>
      <c r="AA207" s="163">
        <f t="shared" si="2415"/>
        <v>45689</v>
      </c>
      <c r="AB207" s="163">
        <f t="shared" si="2416"/>
        <v>45716</v>
      </c>
      <c r="AC207" s="167">
        <f t="shared" si="2417"/>
        <v>0</v>
      </c>
      <c r="AD207" s="163">
        <f t="shared" si="2418"/>
        <v>45717</v>
      </c>
      <c r="AE207" s="163">
        <f t="shared" si="2419"/>
        <v>45747</v>
      </c>
      <c r="AF207" s="167">
        <f t="shared" si="2420"/>
        <v>0</v>
      </c>
      <c r="AG207" s="163">
        <f t="shared" si="2421"/>
        <v>45748</v>
      </c>
      <c r="AH207" s="163">
        <f t="shared" si="2422"/>
        <v>45777</v>
      </c>
      <c r="AI207" s="167">
        <f t="shared" si="2423"/>
        <v>0</v>
      </c>
      <c r="AJ207" s="163">
        <f t="shared" si="2424"/>
        <v>45778</v>
      </c>
      <c r="AK207" s="163">
        <f t="shared" si="2425"/>
        <v>45808</v>
      </c>
      <c r="AL207" s="167">
        <f t="shared" si="2426"/>
        <v>0</v>
      </c>
      <c r="AM207" s="163">
        <f t="shared" si="2427"/>
        <v>45809</v>
      </c>
      <c r="AN207" s="163">
        <f t="shared" si="2428"/>
        <v>45838</v>
      </c>
      <c r="AO207" s="167">
        <f t="shared" si="2429"/>
        <v>0</v>
      </c>
      <c r="AP207" s="163">
        <f t="shared" si="2430"/>
        <v>45839</v>
      </c>
      <c r="AQ207" s="163">
        <f t="shared" si="2431"/>
        <v>45869</v>
      </c>
      <c r="AR207" s="167">
        <f t="shared" si="2432"/>
        <v>0</v>
      </c>
      <c r="AS207" s="163">
        <f t="shared" si="2433"/>
        <v>45870</v>
      </c>
      <c r="AT207" s="163">
        <f t="shared" si="2434"/>
        <v>45900</v>
      </c>
      <c r="AU207" s="167">
        <f t="shared" si="2435"/>
        <v>0</v>
      </c>
      <c r="AV207" s="163">
        <f t="shared" si="2436"/>
        <v>45901</v>
      </c>
      <c r="AW207" s="163">
        <f t="shared" si="2437"/>
        <v>45930</v>
      </c>
      <c r="AX207" s="167">
        <f t="shared" si="2438"/>
        <v>0</v>
      </c>
      <c r="AY207" s="163">
        <f t="shared" si="2439"/>
        <v>45931</v>
      </c>
      <c r="AZ207" s="163">
        <f t="shared" si="2440"/>
        <v>45961</v>
      </c>
      <c r="BA207" s="167">
        <f t="shared" si="2441"/>
        <v>0</v>
      </c>
      <c r="BB207" s="163">
        <f t="shared" si="2442"/>
        <v>45962</v>
      </c>
      <c r="BC207" s="163">
        <f t="shared" si="2443"/>
        <v>45991</v>
      </c>
      <c r="BD207" s="167">
        <f t="shared" si="2444"/>
        <v>0</v>
      </c>
      <c r="BE207" s="163">
        <f t="shared" si="2445"/>
        <v>45992</v>
      </c>
      <c r="BF207" s="163">
        <f t="shared" si="2446"/>
        <v>46022</v>
      </c>
      <c r="BG207" s="167">
        <f t="shared" si="2447"/>
        <v>0</v>
      </c>
      <c r="BH207" s="163">
        <v>46023</v>
      </c>
      <c r="BI207" s="163">
        <f t="shared" si="2448"/>
        <v>46053</v>
      </c>
      <c r="BJ207" s="167">
        <f t="shared" si="2449"/>
        <v>0</v>
      </c>
      <c r="BK207" s="163">
        <f t="shared" si="2450"/>
        <v>46054</v>
      </c>
      <c r="BL207" s="163">
        <f t="shared" si="2451"/>
        <v>46081</v>
      </c>
      <c r="BM207" s="167">
        <f t="shared" si="2452"/>
        <v>0</v>
      </c>
      <c r="BN207" s="163">
        <f t="shared" si="2453"/>
        <v>46082</v>
      </c>
      <c r="BO207" s="163">
        <f t="shared" si="2454"/>
        <v>46112</v>
      </c>
      <c r="BP207" s="167">
        <f t="shared" si="2455"/>
        <v>0</v>
      </c>
      <c r="BQ207" s="163">
        <f t="shared" si="2456"/>
        <v>46113</v>
      </c>
      <c r="BR207" s="163">
        <f t="shared" si="2457"/>
        <v>46142</v>
      </c>
      <c r="BS207" s="167">
        <f t="shared" si="2458"/>
        <v>0</v>
      </c>
      <c r="BT207" s="163">
        <f t="shared" si="2459"/>
        <v>46143</v>
      </c>
      <c r="BU207" s="163">
        <f t="shared" si="2460"/>
        <v>46173</v>
      </c>
      <c r="BV207" s="167">
        <f t="shared" si="2461"/>
        <v>0</v>
      </c>
      <c r="BW207" s="163">
        <f t="shared" si="2462"/>
        <v>46174</v>
      </c>
      <c r="BX207" s="163">
        <f t="shared" si="2463"/>
        <v>46203</v>
      </c>
      <c r="BY207" s="167">
        <f t="shared" si="2464"/>
        <v>0</v>
      </c>
      <c r="BZ207" s="163">
        <f t="shared" si="2465"/>
        <v>46204</v>
      </c>
      <c r="CA207" s="163">
        <f t="shared" si="2466"/>
        <v>46234</v>
      </c>
      <c r="CB207" s="167">
        <f t="shared" si="2467"/>
        <v>0</v>
      </c>
      <c r="CC207" s="163">
        <f t="shared" si="2468"/>
        <v>46235</v>
      </c>
      <c r="CD207" s="163">
        <f t="shared" si="2469"/>
        <v>46265</v>
      </c>
      <c r="CE207" s="167">
        <f t="shared" si="2470"/>
        <v>0</v>
      </c>
      <c r="CF207" s="163">
        <f t="shared" si="2471"/>
        <v>46266</v>
      </c>
      <c r="CG207" s="163">
        <f t="shared" si="2472"/>
        <v>46295</v>
      </c>
      <c r="CH207" s="167">
        <f t="shared" si="2473"/>
        <v>0</v>
      </c>
      <c r="CI207" s="163">
        <f t="shared" si="2474"/>
        <v>46296</v>
      </c>
      <c r="CJ207" s="163">
        <f t="shared" si="2475"/>
        <v>46326</v>
      </c>
      <c r="CK207" s="167">
        <f t="shared" si="2476"/>
        <v>0</v>
      </c>
      <c r="CL207" s="163">
        <f t="shared" si="2477"/>
        <v>46327</v>
      </c>
      <c r="CM207" s="163">
        <f t="shared" si="2478"/>
        <v>46356</v>
      </c>
      <c r="CN207" s="167">
        <f t="shared" si="2479"/>
        <v>0</v>
      </c>
      <c r="CO207" s="163">
        <f t="shared" si="2480"/>
        <v>46357</v>
      </c>
      <c r="CP207" s="163">
        <f t="shared" si="2481"/>
        <v>46387</v>
      </c>
      <c r="CQ207" s="167">
        <f t="shared" si="2482"/>
        <v>0</v>
      </c>
    </row>
    <row r="208" s="89" customFormat="1" ht="24" hidden="1" customHeight="1" outlineLevel="4" spans="1:95">
      <c r="A208" s="132" t="s">
        <v>2813</v>
      </c>
      <c r="B208" s="133"/>
      <c r="C208" s="133"/>
      <c r="D208" s="133"/>
      <c r="E208" s="133"/>
      <c r="F208" s="133"/>
      <c r="G208" s="134"/>
      <c r="H208" s="135"/>
      <c r="I208" s="135"/>
      <c r="J208" s="135"/>
      <c r="K208" s="135"/>
      <c r="L208" s="158"/>
      <c r="M208" s="158"/>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c r="CL208" s="135"/>
      <c r="CM208" s="135"/>
      <c r="CN208" s="135"/>
      <c r="CO208" s="135"/>
      <c r="CP208" s="135"/>
      <c r="CQ208" s="135"/>
    </row>
    <row r="209" ht="24" customHeight="1" outlineLevel="2" collapsed="1" spans="1:95">
      <c r="A209" s="43"/>
      <c r="B209" s="121" t="s">
        <v>787</v>
      </c>
      <c r="C209" s="122" t="s">
        <v>36</v>
      </c>
      <c r="D209" s="43" t="s">
        <v>37</v>
      </c>
      <c r="E209" s="121"/>
      <c r="F209" s="121"/>
      <c r="G209" s="121"/>
      <c r="H209" s="123">
        <f>X209+AA209+AD209+AG209+AJ209+AM209+AP209+AS209+AV209+AY209+BB209+BE209</f>
        <v>0</v>
      </c>
      <c r="I209" s="123">
        <f>Y209+AB209+AE209+AH209+AK209+AN209+AQ209+AT209+AW209+AZ209+BC209+BF209</f>
        <v>0</v>
      </c>
      <c r="J209" s="123">
        <f t="shared" si="2339"/>
        <v>0</v>
      </c>
      <c r="K209" s="123"/>
      <c r="L209" s="154"/>
      <c r="M209" s="154"/>
      <c r="N209" s="123"/>
      <c r="O209" s="123"/>
      <c r="P209" s="123"/>
      <c r="Q209" s="123"/>
      <c r="R209" s="123"/>
      <c r="S209" s="123"/>
      <c r="T209" s="123"/>
      <c r="U209" s="123"/>
      <c r="V209" s="123"/>
      <c r="W209" s="123"/>
      <c r="X209" s="123">
        <f>VLOOKUP($C209,'1 预算编制表单'!$C:$BJ,27,FALSE)</f>
        <v>0</v>
      </c>
      <c r="Y209" s="123">
        <f>X209-Z209</f>
        <v>0</v>
      </c>
      <c r="Z209" s="123">
        <f>Z210+Z216+Z222+Z228+Z234+Z240+Z246</f>
        <v>0</v>
      </c>
      <c r="AA209" s="123">
        <f>VLOOKUP($C209,'1 预算编制表单'!$C:$BJ,30,FALSE)</f>
        <v>0</v>
      </c>
      <c r="AB209" s="123">
        <f>AA209-AC209</f>
        <v>0</v>
      </c>
      <c r="AC209" s="123">
        <f>AC210+AC216+AC222+AC228+AC234+AC240+AC246</f>
        <v>0</v>
      </c>
      <c r="AD209" s="123">
        <f>VLOOKUP($C209,'1 预算编制表单'!$C:$BJ,33,FALSE)</f>
        <v>0</v>
      </c>
      <c r="AE209" s="123">
        <f>AD209-AF209</f>
        <v>0</v>
      </c>
      <c r="AF209" s="123">
        <f>AF210+AF216+AF222+AF228+AF234+AF240+AF246</f>
        <v>0</v>
      </c>
      <c r="AG209" s="123">
        <f>VLOOKUP($C209,'1 预算编制表单'!$C:$BJ,36,FALSE)</f>
        <v>0</v>
      </c>
      <c r="AH209" s="123">
        <f>AG209-AI209</f>
        <v>0</v>
      </c>
      <c r="AI209" s="123">
        <f>AI210+AI216+AI222+AI228+AI234+AI240+AI246</f>
        <v>0</v>
      </c>
      <c r="AJ209" s="123">
        <f>VLOOKUP($C209,'1 预算编制表单'!$C:$BJ,39,FALSE)</f>
        <v>0</v>
      </c>
      <c r="AK209" s="123">
        <f>AJ209-AL209</f>
        <v>0</v>
      </c>
      <c r="AL209" s="123">
        <f>AL210+AL216+AL222+AL228+AL234+AL240+AL246</f>
        <v>0</v>
      </c>
      <c r="AM209" s="123">
        <f>VLOOKUP($C209,'1 预算编制表单'!$C:$BJ,42,FALSE)</f>
        <v>0</v>
      </c>
      <c r="AN209" s="123">
        <f>AM209-AO209</f>
        <v>0</v>
      </c>
      <c r="AO209" s="123">
        <f>AO210+AO216+AO222+AO228+AO234+AO240+AO246</f>
        <v>0</v>
      </c>
      <c r="AP209" s="123">
        <f>VLOOKUP($C209,'1 预算编制表单'!$C:$BJ,45,FALSE)</f>
        <v>0</v>
      </c>
      <c r="AQ209" s="123">
        <f>AP209-AR209</f>
        <v>0</v>
      </c>
      <c r="AR209" s="123">
        <f>AR210+AR216+AR222+AR228+AR234+AR240+AR246</f>
        <v>0</v>
      </c>
      <c r="AS209" s="123">
        <f>VLOOKUP($C209,'1 预算编制表单'!$C:$BJ,48,FALSE)</f>
        <v>0</v>
      </c>
      <c r="AT209" s="123">
        <f>AS209-AU209</f>
        <v>0</v>
      </c>
      <c r="AU209" s="123">
        <f>AU210+AU216+AU222+AU228+AU234+AU240+AU246</f>
        <v>0</v>
      </c>
      <c r="AV209" s="123">
        <f>VLOOKUP($C209,'1 预算编制表单'!$C:$BJ,51,FALSE)</f>
        <v>0</v>
      </c>
      <c r="AW209" s="123">
        <f>AV209-AX209</f>
        <v>0</v>
      </c>
      <c r="AX209" s="123">
        <f>AX210+AX216+AX222+AX228+AX234+AX240+AX246</f>
        <v>0</v>
      </c>
      <c r="AY209" s="123">
        <f>VLOOKUP($C209,'1 预算编制表单'!$C:$BJ,54,FALSE)</f>
        <v>0</v>
      </c>
      <c r="AZ209" s="123">
        <f>AY209-BA209</f>
        <v>0</v>
      </c>
      <c r="BA209" s="123">
        <f>BA210+BA216+BA222+BA228+BA234+BA240+BA246</f>
        <v>0</v>
      </c>
      <c r="BB209" s="123">
        <f>VLOOKUP($C209,'1 预算编制表单'!$C:$BJ,57,FALSE)</f>
        <v>0</v>
      </c>
      <c r="BC209" s="123">
        <f>BB209-BD209</f>
        <v>0</v>
      </c>
      <c r="BD209" s="123">
        <f>BD210+BD216+BD222+BD228+BD234+BD240+BD246</f>
        <v>0</v>
      </c>
      <c r="BE209" s="123">
        <f>VLOOKUP($C209,'1 预算编制表单'!$C:$BJ,60,FALSE)</f>
        <v>0</v>
      </c>
      <c r="BF209" s="123">
        <f>BE209-BG209</f>
        <v>0</v>
      </c>
      <c r="BG209" s="123">
        <f>BG210+BG216+BG222+BG228+BG234+BG240+BG246</f>
        <v>0</v>
      </c>
      <c r="BH209" s="123">
        <f>VLOOKUP($C209,'1 预算编制表单'!$C:$BJ,27,FALSE)</f>
        <v>0</v>
      </c>
      <c r="BI209" s="123">
        <f>BH209-BJ209</f>
        <v>0</v>
      </c>
      <c r="BJ209" s="123">
        <f>BJ210+BJ216+BJ222+BJ228+BJ234+BJ240+BJ246</f>
        <v>0</v>
      </c>
      <c r="BK209" s="123">
        <f>VLOOKUP($C209,'1 预算编制表单'!$C:$BJ,30,FALSE)</f>
        <v>0</v>
      </c>
      <c r="BL209" s="123">
        <f>BK209-BM209</f>
        <v>0</v>
      </c>
      <c r="BM209" s="123">
        <f>BM210+BM216+BM222+BM228+BM234+BM240+BM246</f>
        <v>0</v>
      </c>
      <c r="BN209" s="123">
        <f>VLOOKUP($C209,'1 预算编制表单'!$C:$BJ,33,FALSE)</f>
        <v>0</v>
      </c>
      <c r="BO209" s="123">
        <f>BN209-BP209</f>
        <v>0</v>
      </c>
      <c r="BP209" s="123">
        <f>BP210+BP216+BP222+BP228+BP234+BP240+BP246</f>
        <v>0</v>
      </c>
      <c r="BQ209" s="123">
        <f>VLOOKUP($C209,'1 预算编制表单'!$C:$BJ,36,FALSE)</f>
        <v>0</v>
      </c>
      <c r="BR209" s="123">
        <f>BQ209-BS209</f>
        <v>0</v>
      </c>
      <c r="BS209" s="123">
        <f>BS210+BS216+BS222+BS228+BS234+BS240+BS246</f>
        <v>0</v>
      </c>
      <c r="BT209" s="123">
        <f>VLOOKUP($C209,'1 预算编制表单'!$C:$BJ,39,FALSE)</f>
        <v>0</v>
      </c>
      <c r="BU209" s="123">
        <f>BT209-BV209</f>
        <v>0</v>
      </c>
      <c r="BV209" s="123">
        <f>BV210+BV216+BV222+BV228+BV234+BV240+BV246</f>
        <v>0</v>
      </c>
      <c r="BW209" s="123">
        <f>VLOOKUP($C209,'1 预算编制表单'!$C:$BJ,42,FALSE)</f>
        <v>0</v>
      </c>
      <c r="BX209" s="123">
        <f>BW209-BY209</f>
        <v>0</v>
      </c>
      <c r="BY209" s="123">
        <f>BY210+BY216+BY222+BY228+BY234+BY240+BY246</f>
        <v>0</v>
      </c>
      <c r="BZ209" s="123">
        <f>VLOOKUP($C209,'1 预算编制表单'!$C:$BJ,45,FALSE)</f>
        <v>0</v>
      </c>
      <c r="CA209" s="123">
        <f>BZ209-CB209</f>
        <v>0</v>
      </c>
      <c r="CB209" s="123">
        <f>CB210+CB216+CB222+CB228+CB234+CB240+CB246</f>
        <v>0</v>
      </c>
      <c r="CC209" s="123">
        <f>VLOOKUP($C209,'1 预算编制表单'!$C:$BJ,48,FALSE)</f>
        <v>0</v>
      </c>
      <c r="CD209" s="123">
        <f>CC209-CE209</f>
        <v>0</v>
      </c>
      <c r="CE209" s="123">
        <f>CE210+CE216+CE222+CE228+CE234+CE240+CE246</f>
        <v>0</v>
      </c>
      <c r="CF209" s="123">
        <f>VLOOKUP($C209,'1 预算编制表单'!$C:$BJ,51,FALSE)</f>
        <v>0</v>
      </c>
      <c r="CG209" s="123">
        <f>CF209-CH209</f>
        <v>0</v>
      </c>
      <c r="CH209" s="123">
        <f>CH210+CH216+CH222+CH228+CH234+CH240+CH246</f>
        <v>0</v>
      </c>
      <c r="CI209" s="123">
        <f>VLOOKUP($C209,'1 预算编制表单'!$C:$BJ,54,FALSE)</f>
        <v>0</v>
      </c>
      <c r="CJ209" s="123">
        <f>CI209-CK209</f>
        <v>0</v>
      </c>
      <c r="CK209" s="123">
        <f>CK210+CK216+CK222+CK228+CK234+CK240+CK246</f>
        <v>0</v>
      </c>
      <c r="CL209" s="123">
        <f>VLOOKUP($C209,'1 预算编制表单'!$C:$BJ,57,FALSE)</f>
        <v>0</v>
      </c>
      <c r="CM209" s="123">
        <f>CL209-CN209</f>
        <v>0</v>
      </c>
      <c r="CN209" s="123">
        <f>CN210+CN216+CN222+CN228+CN234+CN240+CN246</f>
        <v>0</v>
      </c>
      <c r="CO209" s="123">
        <f>VLOOKUP($C209,'1 预算编制表单'!$C:$BJ,60,FALSE)</f>
        <v>0</v>
      </c>
      <c r="CP209" s="123">
        <f>CO209-CQ209</f>
        <v>0</v>
      </c>
      <c r="CQ209" s="123">
        <f>CQ210+CQ216+CQ222+CQ228+CQ234+CQ240+CQ246</f>
        <v>0</v>
      </c>
    </row>
    <row r="210" ht="24" hidden="1" customHeight="1" outlineLevel="3" collapsed="1" spans="1:95">
      <c r="A210" s="124"/>
      <c r="B210" s="125" t="s">
        <v>792</v>
      </c>
      <c r="C210" s="126" t="s">
        <v>1171</v>
      </c>
      <c r="D210" s="124" t="s">
        <v>1172</v>
      </c>
      <c r="E210" s="125" t="s">
        <v>1173</v>
      </c>
      <c r="F210" s="125"/>
      <c r="G210" s="125"/>
      <c r="H210" s="127">
        <f>X210+AA210+AD210+AG210+AJ210+AM210+AP210+AS210+AV210+AY210+BB210+BE210</f>
        <v>0</v>
      </c>
      <c r="I210" s="127">
        <f>Y210+AB210+AE210+AH210+AK210+AN210+AQ210+AT210+AW210+AZ210+BC210+BF210</f>
        <v>0</v>
      </c>
      <c r="J210" s="127">
        <f t="shared" si="2339"/>
        <v>0</v>
      </c>
      <c r="K210" s="127"/>
      <c r="L210" s="155"/>
      <c r="M210" s="155"/>
      <c r="N210" s="127"/>
      <c r="O210" s="127"/>
      <c r="P210" s="127"/>
      <c r="Q210" s="127"/>
      <c r="R210" s="127"/>
      <c r="S210" s="127"/>
      <c r="T210" s="127"/>
      <c r="U210" s="127"/>
      <c r="V210" s="127"/>
      <c r="W210" s="127"/>
      <c r="X210" s="127">
        <f>VLOOKUP($C210,'1 预算编制表单'!$C:$BJ,27,FALSE)</f>
        <v>0</v>
      </c>
      <c r="Y210" s="127">
        <f>X210-Z210</f>
        <v>0</v>
      </c>
      <c r="Z210" s="127">
        <f>SUM(Z211:Z215)</f>
        <v>0</v>
      </c>
      <c r="AA210" s="127">
        <f>VLOOKUP($C210,'1 预算编制表单'!$C:$BJ,30,FALSE)</f>
        <v>0</v>
      </c>
      <c r="AB210" s="127">
        <f>AA210-AC210</f>
        <v>0</v>
      </c>
      <c r="AC210" s="127">
        <f>SUM(AC211:AC215)</f>
        <v>0</v>
      </c>
      <c r="AD210" s="127">
        <f>VLOOKUP($C210,'1 预算编制表单'!$C:$BJ,33,FALSE)</f>
        <v>0</v>
      </c>
      <c r="AE210" s="127">
        <f>AD210-AF210</f>
        <v>0</v>
      </c>
      <c r="AF210" s="127">
        <f>SUM(AF211:AF215)</f>
        <v>0</v>
      </c>
      <c r="AG210" s="127">
        <f>VLOOKUP($C210,'1 预算编制表单'!$C:$BJ,36,FALSE)</f>
        <v>0</v>
      </c>
      <c r="AH210" s="127">
        <f>AG210-AI210</f>
        <v>0</v>
      </c>
      <c r="AI210" s="127">
        <f>SUM(AI211:AI215)</f>
        <v>0</v>
      </c>
      <c r="AJ210" s="127">
        <f>VLOOKUP($C210,'1 预算编制表单'!$C:$BJ,39,FALSE)</f>
        <v>0</v>
      </c>
      <c r="AK210" s="127">
        <f>AJ210-AL210</f>
        <v>0</v>
      </c>
      <c r="AL210" s="127">
        <f>SUM(AL211:AL215)</f>
        <v>0</v>
      </c>
      <c r="AM210" s="127">
        <f>VLOOKUP($C210,'1 预算编制表单'!$C:$BJ,42,FALSE)</f>
        <v>0</v>
      </c>
      <c r="AN210" s="127">
        <f>AM210-AO210</f>
        <v>0</v>
      </c>
      <c r="AO210" s="127">
        <f>SUM(AO211:AO215)</f>
        <v>0</v>
      </c>
      <c r="AP210" s="127">
        <f>VLOOKUP($C210,'1 预算编制表单'!$C:$BJ,45,FALSE)</f>
        <v>0</v>
      </c>
      <c r="AQ210" s="127">
        <f>AP210-AR210</f>
        <v>0</v>
      </c>
      <c r="AR210" s="127">
        <f>SUM(AR211:AR215)</f>
        <v>0</v>
      </c>
      <c r="AS210" s="127">
        <f>VLOOKUP($C210,'1 预算编制表单'!$C:$BJ,48,FALSE)</f>
        <v>0</v>
      </c>
      <c r="AT210" s="127">
        <f>AS210-AU210</f>
        <v>0</v>
      </c>
      <c r="AU210" s="127">
        <f>SUM(AU211:AU215)</f>
        <v>0</v>
      </c>
      <c r="AV210" s="127">
        <f>VLOOKUP($C210,'1 预算编制表单'!$C:$BJ,51,FALSE)</f>
        <v>0</v>
      </c>
      <c r="AW210" s="127">
        <f>AV210-AX210</f>
        <v>0</v>
      </c>
      <c r="AX210" s="127">
        <f>SUM(AX211:AX215)</f>
        <v>0</v>
      </c>
      <c r="AY210" s="127">
        <f>VLOOKUP($C210,'1 预算编制表单'!$C:$BJ,54,FALSE)</f>
        <v>0</v>
      </c>
      <c r="AZ210" s="127">
        <f>AY210-BA210</f>
        <v>0</v>
      </c>
      <c r="BA210" s="127">
        <f>SUM(BA211:BA215)</f>
        <v>0</v>
      </c>
      <c r="BB210" s="127">
        <f>VLOOKUP($C210,'1 预算编制表单'!$C:$BJ,57,FALSE)</f>
        <v>0</v>
      </c>
      <c r="BC210" s="127">
        <f>BB210-BD210</f>
        <v>0</v>
      </c>
      <c r="BD210" s="127">
        <f>SUM(BD211:BD215)</f>
        <v>0</v>
      </c>
      <c r="BE210" s="127">
        <f>VLOOKUP($C210,'1 预算编制表单'!$C:$BJ,60,FALSE)</f>
        <v>0</v>
      </c>
      <c r="BF210" s="127">
        <f>BE210-BG210</f>
        <v>0</v>
      </c>
      <c r="BG210" s="127">
        <f>SUM(BG211:BG215)</f>
        <v>0</v>
      </c>
      <c r="BH210" s="127">
        <f>VLOOKUP($C210,'1 预算编制表单'!$C:$BJ,27,FALSE)</f>
        <v>0</v>
      </c>
      <c r="BI210" s="127">
        <f>BH210-BJ210</f>
        <v>0</v>
      </c>
      <c r="BJ210" s="127">
        <f>SUM(BJ211:BJ215)</f>
        <v>0</v>
      </c>
      <c r="BK210" s="127">
        <f>VLOOKUP($C210,'1 预算编制表单'!$C:$BJ,30,FALSE)</f>
        <v>0</v>
      </c>
      <c r="BL210" s="127">
        <f>BK210-BM210</f>
        <v>0</v>
      </c>
      <c r="BM210" s="127">
        <f>SUM(BM211:BM215)</f>
        <v>0</v>
      </c>
      <c r="BN210" s="127">
        <f>VLOOKUP($C210,'1 预算编制表单'!$C:$BJ,33,FALSE)</f>
        <v>0</v>
      </c>
      <c r="BO210" s="127">
        <f>BN210-BP210</f>
        <v>0</v>
      </c>
      <c r="BP210" s="127">
        <f>SUM(BP211:BP215)</f>
        <v>0</v>
      </c>
      <c r="BQ210" s="127">
        <f>VLOOKUP($C210,'1 预算编制表单'!$C:$BJ,36,FALSE)</f>
        <v>0</v>
      </c>
      <c r="BR210" s="127">
        <f>BQ210-BS210</f>
        <v>0</v>
      </c>
      <c r="BS210" s="127">
        <f>SUM(BS211:BS215)</f>
        <v>0</v>
      </c>
      <c r="BT210" s="127">
        <f>VLOOKUP($C210,'1 预算编制表单'!$C:$BJ,39,FALSE)</f>
        <v>0</v>
      </c>
      <c r="BU210" s="127">
        <f>BT210-BV210</f>
        <v>0</v>
      </c>
      <c r="BV210" s="127">
        <f>SUM(BV211:BV215)</f>
        <v>0</v>
      </c>
      <c r="BW210" s="127">
        <f>VLOOKUP($C210,'1 预算编制表单'!$C:$BJ,42,FALSE)</f>
        <v>0</v>
      </c>
      <c r="BX210" s="127">
        <f>BW210-BY210</f>
        <v>0</v>
      </c>
      <c r="BY210" s="127">
        <f>SUM(BY211:BY215)</f>
        <v>0</v>
      </c>
      <c r="BZ210" s="127">
        <f>VLOOKUP($C210,'1 预算编制表单'!$C:$BJ,45,FALSE)</f>
        <v>0</v>
      </c>
      <c r="CA210" s="127">
        <f>BZ210-CB210</f>
        <v>0</v>
      </c>
      <c r="CB210" s="127">
        <f>SUM(CB211:CB215)</f>
        <v>0</v>
      </c>
      <c r="CC210" s="127">
        <f>VLOOKUP($C210,'1 预算编制表单'!$C:$BJ,48,FALSE)</f>
        <v>0</v>
      </c>
      <c r="CD210" s="127">
        <f>CC210-CE210</f>
        <v>0</v>
      </c>
      <c r="CE210" s="127">
        <f>SUM(CE211:CE215)</f>
        <v>0</v>
      </c>
      <c r="CF210" s="127">
        <f>VLOOKUP($C210,'1 预算编制表单'!$C:$BJ,51,FALSE)</f>
        <v>0</v>
      </c>
      <c r="CG210" s="127">
        <f>CF210-CH210</f>
        <v>0</v>
      </c>
      <c r="CH210" s="127">
        <f>SUM(CH211:CH215)</f>
        <v>0</v>
      </c>
      <c r="CI210" s="127">
        <f>VLOOKUP($C210,'1 预算编制表单'!$C:$BJ,54,FALSE)</f>
        <v>0</v>
      </c>
      <c r="CJ210" s="127">
        <f>CI210-CK210</f>
        <v>0</v>
      </c>
      <c r="CK210" s="127">
        <f>SUM(CK211:CK215)</f>
        <v>0</v>
      </c>
      <c r="CL210" s="127">
        <f>VLOOKUP($C210,'1 预算编制表单'!$C:$BJ,57,FALSE)</f>
        <v>0</v>
      </c>
      <c r="CM210" s="127">
        <f>CL210-CN210</f>
        <v>0</v>
      </c>
      <c r="CN210" s="127">
        <f>SUM(CN211:CN215)</f>
        <v>0</v>
      </c>
      <c r="CO210" s="127">
        <f>VLOOKUP($C210,'1 预算编制表单'!$C:$BJ,60,FALSE)</f>
        <v>0</v>
      </c>
      <c r="CP210" s="127">
        <f>CO210-CQ210</f>
        <v>0</v>
      </c>
      <c r="CQ210" s="127">
        <f>SUM(CQ211:CQ215)</f>
        <v>0</v>
      </c>
    </row>
    <row r="211" s="89" customFormat="1" ht="24" hidden="1" customHeight="1" outlineLevel="4" spans="1:95">
      <c r="A211" s="128"/>
      <c r="B211" s="129"/>
      <c r="C211" s="130"/>
      <c r="D211" s="128"/>
      <c r="E211" s="129"/>
      <c r="F211" s="129"/>
      <c r="G211" s="129"/>
      <c r="H211" s="131"/>
      <c r="I211" s="131"/>
      <c r="J211" s="131">
        <f t="shared" si="2339"/>
        <v>0</v>
      </c>
      <c r="K211" s="131">
        <v>1</v>
      </c>
      <c r="L211" s="156"/>
      <c r="M211" s="157">
        <f>IFERROR(VLOOKUP($L211,'2-2 引出数据_合同数据仓库'!$B$5:$BP$200,3,FALSE),0)</f>
        <v>0</v>
      </c>
      <c r="N211" s="131"/>
      <c r="O211" s="157">
        <f>IFERROR(VLOOKUP((LEFT(VLOOKUP($L211,'2-2 引出数据_合同数据仓库'!$B$5:$BP$200,64,FALSE),15)&amp;(RIGHT(VLOOKUP($L211,'2-2 引出数据_合同数据仓库'!$B$5:$BP$200,64,FALSE),4)+1)),'2-2 引出数据_合同数据仓库'!$B$5:$BP$200,3,FALSE),0)</f>
        <v>0</v>
      </c>
      <c r="P211" s="131"/>
      <c r="Q211" s="131">
        <f>IFERROR(VLOOKUP($L211,'2-2 引出数据_合同数据仓库'!$B$5:$BP$200,28,FALSE),0)</f>
        <v>0</v>
      </c>
      <c r="R211" s="131">
        <f>IFERROR(VLOOKUP($L211,'2-2 引出数据_合同数据仓库'!$B$5:$BP$200,29,FALSE),0)</f>
        <v>0</v>
      </c>
      <c r="S211" s="131">
        <f>IFERROR(VLOOKUP($L211,'2-2 引出数据_合同数据仓库'!$B$5:$BP$200,4,FALSE),0)</f>
        <v>0</v>
      </c>
      <c r="T211" s="131"/>
      <c r="U211" s="131">
        <f>IFERROR(VLOOKUP($L211,'2-2 引出数据_合同数据仓库'!$B$5:$BP$200,15,FALSE),0)</f>
        <v>0</v>
      </c>
      <c r="V211" s="131">
        <f t="shared" ref="V211:V214" si="2484">U211/(S211-R211+1)*365</f>
        <v>0</v>
      </c>
      <c r="W211" s="131"/>
      <c r="X211" s="163">
        <v>45658</v>
      </c>
      <c r="Y211" s="163">
        <f t="shared" ref="Y211:Y214" si="2485">X211+30</f>
        <v>45688</v>
      </c>
      <c r="Z211" s="167">
        <f t="shared" ref="Z211:Z214" si="2486">IFERROR(IF(($R211-Y211)&gt;=0,0,IF(($S211-X211)&lt;0,0,IF(AND(($S211-Y211)&gt;0,(X211-$R211)&gt;0),$V211/365*(Y211-X211+1),IF(AND(($S211-Y211)&lt;=0,(X211-$R211)&gt;0),$V211/365*($S211-X211+1),$V211/365*(Y211-$R211+1))))),0)</f>
        <v>0</v>
      </c>
      <c r="AA211" s="163">
        <f t="shared" ref="AA211:AA214" si="2487">Y211+1</f>
        <v>45689</v>
      </c>
      <c r="AB211" s="163">
        <f t="shared" ref="AB211:AB214" si="2488">AA211+27</f>
        <v>45716</v>
      </c>
      <c r="AC211" s="167">
        <f t="shared" ref="AC211:AC214" si="2489">IFERROR(IF(($R211-AB211)&gt;=0,0,IF(($S211-AA211)&lt;0,0,IF(AND(($S211-AB211)&gt;0,(AA211-$R211)&gt;0),$V211/365*(AB211-AA211+1),IF(AND(($S211-AB211)&lt;=0,(AA211-$R211)&gt;0),$V211/365*($S211-AA211+1),$V211/365*(AB211-$R211+1))))),0)</f>
        <v>0</v>
      </c>
      <c r="AD211" s="163">
        <f t="shared" ref="AD211:AD214" si="2490">AB211+1</f>
        <v>45717</v>
      </c>
      <c r="AE211" s="163">
        <f t="shared" ref="AE211:AE214" si="2491">AD211+30</f>
        <v>45747</v>
      </c>
      <c r="AF211" s="167">
        <f t="shared" ref="AF211:AF214" si="2492">IFERROR(IF(($R211-AE211)&gt;=0,0,IF(($S211-AD211)&lt;0,0,IF(AND(($S211-AE211)&gt;0,(AD211-$R211)&gt;0),$V211/365*(AE211-AD211+1),IF(AND(($S211-AE211)&lt;=0,(AD211-$R211)&gt;0),$V211/365*($S211-AD211+1),$V211/365*(AE211-$R211+1))))),0)</f>
        <v>0</v>
      </c>
      <c r="AG211" s="163">
        <f t="shared" ref="AG211:AG214" si="2493">AE211+1</f>
        <v>45748</v>
      </c>
      <c r="AH211" s="163">
        <f t="shared" ref="AH211:AH214" si="2494">AG211+29</f>
        <v>45777</v>
      </c>
      <c r="AI211" s="167">
        <f t="shared" ref="AI211:AI214" si="2495">IFERROR(IF(($R211-AH211)&gt;=0,0,IF(($S211-AG211)&lt;0,0,IF(AND(($S211-AH211)&gt;0,(AG211-$R211)&gt;0),$V211/365*(AH211-AG211+1),IF(AND(($S211-AH211)&lt;=0,(AG211-$R211)&gt;0),$V211/365*($S211-AG211+1),$V211/365*(AH211-$R211+1))))),0)</f>
        <v>0</v>
      </c>
      <c r="AJ211" s="163">
        <f t="shared" ref="AJ211:AJ214" si="2496">AH211+1</f>
        <v>45778</v>
      </c>
      <c r="AK211" s="163">
        <f t="shared" ref="AK211:AK214" si="2497">AJ211+30</f>
        <v>45808</v>
      </c>
      <c r="AL211" s="167">
        <f t="shared" ref="AL211:AL214" si="2498">IFERROR(IF(($R211-AK211)&gt;=0,0,IF(($S211-AJ211)&lt;0,0,IF(AND(($S211-AK211)&gt;0,(AJ211-$R211)&gt;0),$V211/365*(AK211-AJ211+1),IF(AND(($S211-AK211)&lt;=0,(AJ211-$R211)&gt;0),$V211/365*($S211-AJ211+1),$V211/365*(AK211-$R211+1))))),0)</f>
        <v>0</v>
      </c>
      <c r="AM211" s="163">
        <f t="shared" ref="AM211:AM214" si="2499">AK211+1</f>
        <v>45809</v>
      </c>
      <c r="AN211" s="163">
        <f t="shared" ref="AN211:AN214" si="2500">AM211+29</f>
        <v>45838</v>
      </c>
      <c r="AO211" s="167">
        <f t="shared" ref="AO211:AO214" si="2501">IFERROR(IF(($R211-AN211)&gt;=0,0,IF(($S211-AM211)&lt;0,0,IF(AND(($S211-AN211)&gt;0,(AM211-$R211)&gt;0),$V211/365*(AN211-AM211+1),IF(AND(($S211-AN211)&lt;=0,(AM211-$R211)&gt;0),$V211/365*($S211-AM211+1),$V211/365*(AN211-$R211+1))))),0)</f>
        <v>0</v>
      </c>
      <c r="AP211" s="163">
        <f t="shared" ref="AP211:AP214" si="2502">AN211+1</f>
        <v>45839</v>
      </c>
      <c r="AQ211" s="163">
        <f t="shared" ref="AQ211:AQ214" si="2503">AP211+30</f>
        <v>45869</v>
      </c>
      <c r="AR211" s="167">
        <f t="shared" ref="AR211:AR214" si="2504">IFERROR(IF(($R211-AQ211)&gt;=0,0,IF(($S211-AP211)&lt;0,0,IF(AND(($S211-AQ211)&gt;0,(AP211-$R211)&gt;0),$V211/365*(AQ211-AP211+1),IF(AND(($S211-AQ211)&lt;=0,(AP211-$R211)&gt;0),$V211/365*($S211-AP211+1),$V211/365*(AQ211-$R211+1))))),0)</f>
        <v>0</v>
      </c>
      <c r="AS211" s="163">
        <f t="shared" ref="AS211:AS214" si="2505">AQ211+1</f>
        <v>45870</v>
      </c>
      <c r="AT211" s="163">
        <f t="shared" ref="AT211:AT214" si="2506">AS211+30</f>
        <v>45900</v>
      </c>
      <c r="AU211" s="167">
        <f t="shared" ref="AU211:AU214" si="2507">IFERROR(IF(($R211-AT211)&gt;=0,0,IF(($S211-AS211)&lt;0,0,IF(AND(($S211-AT211)&gt;0,(AS211-$R211)&gt;0),$V211/365*(AT211-AS211+1),IF(AND(($S211-AT211)&lt;=0,(AS211-$R211)&gt;0),$V211/365*($S211-AS211+1),$V211/365*(AT211-$R211+1))))),0)</f>
        <v>0</v>
      </c>
      <c r="AV211" s="163">
        <f t="shared" ref="AV211:AV214" si="2508">AT211+1</f>
        <v>45901</v>
      </c>
      <c r="AW211" s="163">
        <f t="shared" ref="AW211:AW214" si="2509">AV211+29</f>
        <v>45930</v>
      </c>
      <c r="AX211" s="167">
        <f t="shared" ref="AX211:AX214" si="2510">IFERROR(IF(($R211-AW211)&gt;=0,0,IF(($S211-AV211)&lt;0,0,IF(AND(($S211-AW211)&gt;0,(AV211-$R211)&gt;0),$V211/365*(AW211-AV211+1),IF(AND(($S211-AW211)&lt;=0,(AV211-$R211)&gt;0),$V211/365*($S211-AV211+1),$V211/365*(AW211-$R211+1))))),0)</f>
        <v>0</v>
      </c>
      <c r="AY211" s="163">
        <f t="shared" ref="AY211:AY214" si="2511">AW211+1</f>
        <v>45931</v>
      </c>
      <c r="AZ211" s="163">
        <f t="shared" ref="AZ211:AZ214" si="2512">AY211+30</f>
        <v>45961</v>
      </c>
      <c r="BA211" s="167">
        <f t="shared" ref="BA211:BA214" si="2513">IFERROR(IF(($R211-AZ211)&gt;=0,0,IF(($S211-AY211)&lt;0,0,IF(AND(($S211-AZ211)&gt;0,(AY211-$R211)&gt;0),$V211/365*(AZ211-AY211+1),IF(AND(($S211-AZ211)&lt;=0,(AY211-$R211)&gt;0),$V211/365*($S211-AY211+1),$V211/365*(AZ211-$R211+1))))),0)</f>
        <v>0</v>
      </c>
      <c r="BB211" s="163">
        <f t="shared" ref="BB211:BB214" si="2514">AZ211+1</f>
        <v>45962</v>
      </c>
      <c r="BC211" s="163">
        <f t="shared" ref="BC211:BC214" si="2515">BB211+29</f>
        <v>45991</v>
      </c>
      <c r="BD211" s="167">
        <f t="shared" ref="BD211:BD214" si="2516">IFERROR(IF(($R211-BC211)&gt;=0,0,IF(($S211-BB211)&lt;0,0,IF(AND(($S211-BC211)&gt;0,(BB211-$R211)&gt;0),$V211/365*(BC211-BB211+1),IF(AND(($S211-BC211)&lt;=0,(BB211-$R211)&gt;0),$V211/365*($S211-BB211+1),$V211/365*(BC211-$R211+1))))),0)</f>
        <v>0</v>
      </c>
      <c r="BE211" s="163">
        <f t="shared" ref="BE211:BE214" si="2517">BC211+1</f>
        <v>45992</v>
      </c>
      <c r="BF211" s="163">
        <f t="shared" ref="BF211:BF214" si="2518">BE211+30</f>
        <v>46022</v>
      </c>
      <c r="BG211" s="167">
        <f t="shared" ref="BG211:BG214" si="2519">IFERROR(IF(($R211-BF211)&gt;=0,0,IF(($S211-BE211)&lt;0,0,IF(AND(($S211-BF211)&gt;0,(BE211-$R211)&gt;0),$V211/365*(BF211-BE211+1),IF(AND(($S211-BF211)&lt;=0,(BE211-$R211)&gt;0),$V211/365*($S211-BE211+1),$V211/365*(BF211-$R211+1))))),0)</f>
        <v>0</v>
      </c>
      <c r="BH211" s="163">
        <v>46023</v>
      </c>
      <c r="BI211" s="163">
        <f t="shared" ref="BI211:BI214" si="2520">BH211+30</f>
        <v>46053</v>
      </c>
      <c r="BJ211" s="167">
        <f t="shared" ref="BJ211:BJ214" si="2521">IFERROR(IF(($R211-BI211)&gt;=0,0,IF(($S211-BH211)&lt;0,0,IF(AND(($S211-BI211)&gt;0,(BH211-$R211)&gt;0),$V211/365*(BI211-BH211+1),IF(AND(($S211-BI211)&lt;=0,(BH211-$R211)&gt;0),$V211/365*($S211-BH211+1),$V211/365*(BI211-$R211+1))))),0)</f>
        <v>0</v>
      </c>
      <c r="BK211" s="163">
        <f t="shared" ref="BK211:BK214" si="2522">BI211+1</f>
        <v>46054</v>
      </c>
      <c r="BL211" s="163">
        <f t="shared" ref="BL211:BL214" si="2523">BK211+27</f>
        <v>46081</v>
      </c>
      <c r="BM211" s="167">
        <f t="shared" ref="BM211:BM214" si="2524">IFERROR(IF(($R211-BL211)&gt;=0,0,IF(($S211-BK211)&lt;0,0,IF(AND(($S211-BL211)&gt;0,(BK211-$R211)&gt;0),$V211/365*(BL211-BK211+1),IF(AND(($S211-BL211)&lt;=0,(BK211-$R211)&gt;0),$V211/365*($S211-BK211+1),$V211/365*(BL211-$R211+1))))),0)</f>
        <v>0</v>
      </c>
      <c r="BN211" s="163">
        <f t="shared" ref="BN211:BN214" si="2525">BL211+1</f>
        <v>46082</v>
      </c>
      <c r="BO211" s="163">
        <f t="shared" ref="BO211:BO214" si="2526">BN211+30</f>
        <v>46112</v>
      </c>
      <c r="BP211" s="167">
        <f t="shared" ref="BP211:BP214" si="2527">IFERROR(IF(($R211-BO211)&gt;=0,0,IF(($S211-BN211)&lt;0,0,IF(AND(($S211-BO211)&gt;0,(BN211-$R211)&gt;0),$V211/365*(BO211-BN211+1),IF(AND(($S211-BO211)&lt;=0,(BN211-$R211)&gt;0),$V211/365*($S211-BN211+1),$V211/365*(BO211-$R211+1))))),0)</f>
        <v>0</v>
      </c>
      <c r="BQ211" s="163">
        <f t="shared" ref="BQ211:BQ214" si="2528">BO211+1</f>
        <v>46113</v>
      </c>
      <c r="BR211" s="163">
        <f t="shared" ref="BR211:BR214" si="2529">BQ211+29</f>
        <v>46142</v>
      </c>
      <c r="BS211" s="167">
        <f t="shared" ref="BS211:BS214" si="2530">IFERROR(IF(($R211-BR211)&gt;=0,0,IF(($S211-BQ211)&lt;0,0,IF(AND(($S211-BR211)&gt;0,(BQ211-$R211)&gt;0),$V211/365*(BR211-BQ211+1),IF(AND(($S211-BR211)&lt;=0,(BQ211-$R211)&gt;0),$V211/365*($S211-BQ211+1),$V211/365*(BR211-$R211+1))))),0)</f>
        <v>0</v>
      </c>
      <c r="BT211" s="163">
        <f t="shared" ref="BT211:BT214" si="2531">BR211+1</f>
        <v>46143</v>
      </c>
      <c r="BU211" s="163">
        <f t="shared" ref="BU211:BU214" si="2532">BT211+30</f>
        <v>46173</v>
      </c>
      <c r="BV211" s="167">
        <f t="shared" ref="BV211:BV214" si="2533">IFERROR(IF(($R211-BU211)&gt;=0,0,IF(($S211-BT211)&lt;0,0,IF(AND(($S211-BU211)&gt;0,(BT211-$R211)&gt;0),$V211/365*(BU211-BT211+1),IF(AND(($S211-BU211)&lt;=0,(BT211-$R211)&gt;0),$V211/365*($S211-BT211+1),$V211/365*(BU211-$R211+1))))),0)</f>
        <v>0</v>
      </c>
      <c r="BW211" s="163">
        <f t="shared" ref="BW211:BW214" si="2534">BU211+1</f>
        <v>46174</v>
      </c>
      <c r="BX211" s="163">
        <f t="shared" ref="BX211:BX214" si="2535">BW211+29</f>
        <v>46203</v>
      </c>
      <c r="BY211" s="167">
        <f t="shared" ref="BY211:BY214" si="2536">IFERROR(IF(($R211-BX211)&gt;=0,0,IF(($S211-BW211)&lt;0,0,IF(AND(($S211-BX211)&gt;0,(BW211-$R211)&gt;0),$V211/365*(BX211-BW211+1),IF(AND(($S211-BX211)&lt;=0,(BW211-$R211)&gt;0),$V211/365*($S211-BW211+1),$V211/365*(BX211-$R211+1))))),0)</f>
        <v>0</v>
      </c>
      <c r="BZ211" s="163">
        <f t="shared" ref="BZ211:BZ214" si="2537">BX211+1</f>
        <v>46204</v>
      </c>
      <c r="CA211" s="163">
        <f t="shared" ref="CA211:CA214" si="2538">BZ211+30</f>
        <v>46234</v>
      </c>
      <c r="CB211" s="167">
        <f t="shared" ref="CB211:CB214" si="2539">IFERROR(IF(($R211-CA211)&gt;=0,0,IF(($S211-BZ211)&lt;0,0,IF(AND(($S211-CA211)&gt;0,(BZ211-$R211)&gt;0),$V211/365*(CA211-BZ211+1),IF(AND(($S211-CA211)&lt;=0,(BZ211-$R211)&gt;0),$V211/365*($S211-BZ211+1),$V211/365*(CA211-$R211+1))))),0)</f>
        <v>0</v>
      </c>
      <c r="CC211" s="163">
        <f t="shared" ref="CC211:CC214" si="2540">CA211+1</f>
        <v>46235</v>
      </c>
      <c r="CD211" s="163">
        <f t="shared" ref="CD211:CD214" si="2541">CC211+30</f>
        <v>46265</v>
      </c>
      <c r="CE211" s="167">
        <f t="shared" ref="CE211:CE214" si="2542">IFERROR(IF(($R211-CD211)&gt;=0,0,IF(($S211-CC211)&lt;0,0,IF(AND(($S211-CD211)&gt;0,(CC211-$R211)&gt;0),$V211/365*(CD211-CC211+1),IF(AND(($S211-CD211)&lt;=0,(CC211-$R211)&gt;0),$V211/365*($S211-CC211+1),$V211/365*(CD211-$R211+1))))),0)</f>
        <v>0</v>
      </c>
      <c r="CF211" s="163">
        <f t="shared" ref="CF211:CF214" si="2543">CD211+1</f>
        <v>46266</v>
      </c>
      <c r="CG211" s="163">
        <f t="shared" ref="CG211:CG214" si="2544">CF211+29</f>
        <v>46295</v>
      </c>
      <c r="CH211" s="167">
        <f t="shared" ref="CH211:CH214" si="2545">IFERROR(IF(($R211-CG211)&gt;=0,0,IF(($S211-CF211)&lt;0,0,IF(AND(($S211-CG211)&gt;0,(CF211-$R211)&gt;0),$V211/365*(CG211-CF211+1),IF(AND(($S211-CG211)&lt;=0,(CF211-$R211)&gt;0),$V211/365*($S211-CF211+1),$V211/365*(CG211-$R211+1))))),0)</f>
        <v>0</v>
      </c>
      <c r="CI211" s="163">
        <f t="shared" ref="CI211:CI214" si="2546">CG211+1</f>
        <v>46296</v>
      </c>
      <c r="CJ211" s="163">
        <f t="shared" ref="CJ211:CJ214" si="2547">CI211+30</f>
        <v>46326</v>
      </c>
      <c r="CK211" s="167">
        <f t="shared" ref="CK211:CK214" si="2548">IFERROR(IF(($R211-CJ211)&gt;=0,0,IF(($S211-CI211)&lt;0,0,IF(AND(($S211-CJ211)&gt;0,(CI211-$R211)&gt;0),$V211/365*(CJ211-CI211+1),IF(AND(($S211-CJ211)&lt;=0,(CI211-$R211)&gt;0),$V211/365*($S211-CI211+1),$V211/365*(CJ211-$R211+1))))),0)</f>
        <v>0</v>
      </c>
      <c r="CL211" s="163">
        <f t="shared" ref="CL211:CL214" si="2549">CJ211+1</f>
        <v>46327</v>
      </c>
      <c r="CM211" s="163">
        <f t="shared" ref="CM211:CM214" si="2550">CL211+29</f>
        <v>46356</v>
      </c>
      <c r="CN211" s="167">
        <f t="shared" ref="CN211:CN214" si="2551">IFERROR(IF(($R211-CM211)&gt;=0,0,IF(($S211-CL211)&lt;0,0,IF(AND(($S211-CM211)&gt;0,(CL211-$R211)&gt;0),$V211/365*(CM211-CL211+1),IF(AND(($S211-CM211)&lt;=0,(CL211-$R211)&gt;0),$V211/365*($S211-CL211+1),$V211/365*(CM211-$R211+1))))),0)</f>
        <v>0</v>
      </c>
      <c r="CO211" s="163">
        <f t="shared" ref="CO211:CO214" si="2552">CM211+1</f>
        <v>46357</v>
      </c>
      <c r="CP211" s="163">
        <f t="shared" ref="CP211:CP214" si="2553">CO211+30</f>
        <v>46387</v>
      </c>
      <c r="CQ211" s="167">
        <f t="shared" ref="CQ211:CQ214" si="2554">IFERROR(IF(($R211-CP211)&gt;=0,0,IF(($S211-CO211)&lt;0,0,IF(AND(($S211-CP211)&gt;0,(CO211-$R211)&gt;0),$V211/365*(CP211-CO211+1),IF(AND(($S211-CP211)&lt;=0,(CO211-$R211)&gt;0),$V211/365*($S211-CO211+1),$V211/365*(CP211-$R211+1))))),0)</f>
        <v>0</v>
      </c>
    </row>
    <row r="212" s="89" customFormat="1" ht="24" hidden="1" customHeight="1" outlineLevel="4" spans="1:95">
      <c r="A212" s="128"/>
      <c r="B212" s="129"/>
      <c r="C212" s="130"/>
      <c r="D212" s="128"/>
      <c r="E212" s="129"/>
      <c r="F212" s="129"/>
      <c r="G212" s="129"/>
      <c r="H212" s="131"/>
      <c r="I212" s="131"/>
      <c r="J212" s="131">
        <f t="shared" si="2339"/>
        <v>0</v>
      </c>
      <c r="K212" s="131">
        <f t="shared" ref="K212:K214" si="2555">K211+1</f>
        <v>2</v>
      </c>
      <c r="L212" s="156"/>
      <c r="M212" s="157">
        <f>IFERROR(VLOOKUP($L212,'2-2 引出数据_合同数据仓库'!$B$5:$BP$200,3,FALSE),0)</f>
        <v>0</v>
      </c>
      <c r="N212" s="131"/>
      <c r="O212" s="157">
        <f>IFERROR(VLOOKUP((LEFT(VLOOKUP($L212,'2-2 引出数据_合同数据仓库'!$B$5:$BP$200,64,FALSE),15)&amp;(RIGHT(VLOOKUP($L212,'2-2 引出数据_合同数据仓库'!$B$5:$BP$200,64,FALSE),4)+1)),'2-2 引出数据_合同数据仓库'!$B$5:$BP$200,3,FALSE),0)</f>
        <v>0</v>
      </c>
      <c r="P212" s="131"/>
      <c r="Q212" s="131">
        <f>IFERROR(VLOOKUP($L212,'2-2 引出数据_合同数据仓库'!$B$5:$BP$200,28,FALSE),0)</f>
        <v>0</v>
      </c>
      <c r="R212" s="131">
        <f>IFERROR(VLOOKUP($L212,'2-2 引出数据_合同数据仓库'!$B$5:$BP$200,29,FALSE),0)</f>
        <v>0</v>
      </c>
      <c r="S212" s="131">
        <f>IFERROR(VLOOKUP($L212,'2-2 引出数据_合同数据仓库'!$B$5:$BP$200,4,FALSE),0)</f>
        <v>0</v>
      </c>
      <c r="T212" s="131"/>
      <c r="U212" s="131">
        <f>IFERROR(VLOOKUP($L212,'2-2 引出数据_合同数据仓库'!$B$5:$BP$200,15,FALSE),0)</f>
        <v>0</v>
      </c>
      <c r="V212" s="131">
        <f t="shared" si="2484"/>
        <v>0</v>
      </c>
      <c r="W212" s="131"/>
      <c r="X212" s="163">
        <v>45658</v>
      </c>
      <c r="Y212" s="163">
        <f t="shared" si="2485"/>
        <v>45688</v>
      </c>
      <c r="Z212" s="167">
        <f t="shared" si="2486"/>
        <v>0</v>
      </c>
      <c r="AA212" s="163">
        <f t="shared" si="2487"/>
        <v>45689</v>
      </c>
      <c r="AB212" s="163">
        <f t="shared" si="2488"/>
        <v>45716</v>
      </c>
      <c r="AC212" s="167">
        <f t="shared" si="2489"/>
        <v>0</v>
      </c>
      <c r="AD212" s="163">
        <f t="shared" si="2490"/>
        <v>45717</v>
      </c>
      <c r="AE212" s="163">
        <f t="shared" si="2491"/>
        <v>45747</v>
      </c>
      <c r="AF212" s="167">
        <f t="shared" si="2492"/>
        <v>0</v>
      </c>
      <c r="AG212" s="163">
        <f t="shared" si="2493"/>
        <v>45748</v>
      </c>
      <c r="AH212" s="163">
        <f t="shared" si="2494"/>
        <v>45777</v>
      </c>
      <c r="AI212" s="167">
        <f t="shared" si="2495"/>
        <v>0</v>
      </c>
      <c r="AJ212" s="163">
        <f t="shared" si="2496"/>
        <v>45778</v>
      </c>
      <c r="AK212" s="163">
        <f t="shared" si="2497"/>
        <v>45808</v>
      </c>
      <c r="AL212" s="167">
        <f t="shared" si="2498"/>
        <v>0</v>
      </c>
      <c r="AM212" s="163">
        <f t="shared" si="2499"/>
        <v>45809</v>
      </c>
      <c r="AN212" s="163">
        <f t="shared" si="2500"/>
        <v>45838</v>
      </c>
      <c r="AO212" s="167">
        <f t="shared" si="2501"/>
        <v>0</v>
      </c>
      <c r="AP212" s="163">
        <f t="shared" si="2502"/>
        <v>45839</v>
      </c>
      <c r="AQ212" s="163">
        <f t="shared" si="2503"/>
        <v>45869</v>
      </c>
      <c r="AR212" s="167">
        <f t="shared" si="2504"/>
        <v>0</v>
      </c>
      <c r="AS212" s="163">
        <f t="shared" si="2505"/>
        <v>45870</v>
      </c>
      <c r="AT212" s="163">
        <f t="shared" si="2506"/>
        <v>45900</v>
      </c>
      <c r="AU212" s="167">
        <f t="shared" si="2507"/>
        <v>0</v>
      </c>
      <c r="AV212" s="163">
        <f t="shared" si="2508"/>
        <v>45901</v>
      </c>
      <c r="AW212" s="163">
        <f t="shared" si="2509"/>
        <v>45930</v>
      </c>
      <c r="AX212" s="167">
        <f t="shared" si="2510"/>
        <v>0</v>
      </c>
      <c r="AY212" s="163">
        <f t="shared" si="2511"/>
        <v>45931</v>
      </c>
      <c r="AZ212" s="163">
        <f t="shared" si="2512"/>
        <v>45961</v>
      </c>
      <c r="BA212" s="167">
        <f t="shared" si="2513"/>
        <v>0</v>
      </c>
      <c r="BB212" s="163">
        <f t="shared" si="2514"/>
        <v>45962</v>
      </c>
      <c r="BC212" s="163">
        <f t="shared" si="2515"/>
        <v>45991</v>
      </c>
      <c r="BD212" s="167">
        <f t="shared" si="2516"/>
        <v>0</v>
      </c>
      <c r="BE212" s="163">
        <f t="shared" si="2517"/>
        <v>45992</v>
      </c>
      <c r="BF212" s="163">
        <f t="shared" si="2518"/>
        <v>46022</v>
      </c>
      <c r="BG212" s="167">
        <f t="shared" si="2519"/>
        <v>0</v>
      </c>
      <c r="BH212" s="163">
        <v>46023</v>
      </c>
      <c r="BI212" s="163">
        <f t="shared" si="2520"/>
        <v>46053</v>
      </c>
      <c r="BJ212" s="167">
        <f t="shared" si="2521"/>
        <v>0</v>
      </c>
      <c r="BK212" s="163">
        <f t="shared" si="2522"/>
        <v>46054</v>
      </c>
      <c r="BL212" s="163">
        <f t="shared" si="2523"/>
        <v>46081</v>
      </c>
      <c r="BM212" s="167">
        <f t="shared" si="2524"/>
        <v>0</v>
      </c>
      <c r="BN212" s="163">
        <f t="shared" si="2525"/>
        <v>46082</v>
      </c>
      <c r="BO212" s="163">
        <f t="shared" si="2526"/>
        <v>46112</v>
      </c>
      <c r="BP212" s="167">
        <f t="shared" si="2527"/>
        <v>0</v>
      </c>
      <c r="BQ212" s="163">
        <f t="shared" si="2528"/>
        <v>46113</v>
      </c>
      <c r="BR212" s="163">
        <f t="shared" si="2529"/>
        <v>46142</v>
      </c>
      <c r="BS212" s="167">
        <f t="shared" si="2530"/>
        <v>0</v>
      </c>
      <c r="BT212" s="163">
        <f t="shared" si="2531"/>
        <v>46143</v>
      </c>
      <c r="BU212" s="163">
        <f t="shared" si="2532"/>
        <v>46173</v>
      </c>
      <c r="BV212" s="167">
        <f t="shared" si="2533"/>
        <v>0</v>
      </c>
      <c r="BW212" s="163">
        <f t="shared" si="2534"/>
        <v>46174</v>
      </c>
      <c r="BX212" s="163">
        <f t="shared" si="2535"/>
        <v>46203</v>
      </c>
      <c r="BY212" s="167">
        <f t="shared" si="2536"/>
        <v>0</v>
      </c>
      <c r="BZ212" s="163">
        <f t="shared" si="2537"/>
        <v>46204</v>
      </c>
      <c r="CA212" s="163">
        <f t="shared" si="2538"/>
        <v>46234</v>
      </c>
      <c r="CB212" s="167">
        <f t="shared" si="2539"/>
        <v>0</v>
      </c>
      <c r="CC212" s="163">
        <f t="shared" si="2540"/>
        <v>46235</v>
      </c>
      <c r="CD212" s="163">
        <f t="shared" si="2541"/>
        <v>46265</v>
      </c>
      <c r="CE212" s="167">
        <f t="shared" si="2542"/>
        <v>0</v>
      </c>
      <c r="CF212" s="163">
        <f t="shared" si="2543"/>
        <v>46266</v>
      </c>
      <c r="CG212" s="163">
        <f t="shared" si="2544"/>
        <v>46295</v>
      </c>
      <c r="CH212" s="167">
        <f t="shared" si="2545"/>
        <v>0</v>
      </c>
      <c r="CI212" s="163">
        <f t="shared" si="2546"/>
        <v>46296</v>
      </c>
      <c r="CJ212" s="163">
        <f t="shared" si="2547"/>
        <v>46326</v>
      </c>
      <c r="CK212" s="167">
        <f t="shared" si="2548"/>
        <v>0</v>
      </c>
      <c r="CL212" s="163">
        <f t="shared" si="2549"/>
        <v>46327</v>
      </c>
      <c r="CM212" s="163">
        <f t="shared" si="2550"/>
        <v>46356</v>
      </c>
      <c r="CN212" s="167">
        <f t="shared" si="2551"/>
        <v>0</v>
      </c>
      <c r="CO212" s="163">
        <f t="shared" si="2552"/>
        <v>46357</v>
      </c>
      <c r="CP212" s="163">
        <f t="shared" si="2553"/>
        <v>46387</v>
      </c>
      <c r="CQ212" s="167">
        <f t="shared" si="2554"/>
        <v>0</v>
      </c>
    </row>
    <row r="213" s="89" customFormat="1" ht="24" hidden="1" customHeight="1" outlineLevel="4" spans="1:95">
      <c r="A213" s="128"/>
      <c r="B213" s="129"/>
      <c r="C213" s="130"/>
      <c r="D213" s="128"/>
      <c r="E213" s="129"/>
      <c r="F213" s="129"/>
      <c r="G213" s="129"/>
      <c r="H213" s="131"/>
      <c r="I213" s="131"/>
      <c r="J213" s="131">
        <f t="shared" si="2339"/>
        <v>0</v>
      </c>
      <c r="K213" s="131">
        <f t="shared" si="2555"/>
        <v>3</v>
      </c>
      <c r="L213" s="156"/>
      <c r="M213" s="157">
        <f>IFERROR(VLOOKUP($L213,'2-2 引出数据_合同数据仓库'!$B$5:$BP$200,3,FALSE),0)</f>
        <v>0</v>
      </c>
      <c r="N213" s="131"/>
      <c r="O213" s="157">
        <f>IFERROR(VLOOKUP((LEFT(VLOOKUP($L213,'2-2 引出数据_合同数据仓库'!$B$5:$BP$200,64,FALSE),15)&amp;(RIGHT(VLOOKUP($L213,'2-2 引出数据_合同数据仓库'!$B$5:$BP$200,64,FALSE),4)+1)),'2-2 引出数据_合同数据仓库'!$B$5:$BP$200,3,FALSE),0)</f>
        <v>0</v>
      </c>
      <c r="P213" s="131"/>
      <c r="Q213" s="131">
        <f>IFERROR(VLOOKUP($L213,'2-2 引出数据_合同数据仓库'!$B$5:$BP$200,28,FALSE),0)</f>
        <v>0</v>
      </c>
      <c r="R213" s="131">
        <f>IFERROR(VLOOKUP($L213,'2-2 引出数据_合同数据仓库'!$B$5:$BP$200,29,FALSE),0)</f>
        <v>0</v>
      </c>
      <c r="S213" s="131">
        <f>IFERROR(VLOOKUP($L213,'2-2 引出数据_合同数据仓库'!$B$5:$BP$200,4,FALSE),0)</f>
        <v>0</v>
      </c>
      <c r="T213" s="131"/>
      <c r="U213" s="131">
        <f>IFERROR(VLOOKUP($L213,'2-2 引出数据_合同数据仓库'!$B$5:$BP$200,15,FALSE),0)</f>
        <v>0</v>
      </c>
      <c r="V213" s="131">
        <f t="shared" si="2484"/>
        <v>0</v>
      </c>
      <c r="W213" s="131"/>
      <c r="X213" s="163">
        <v>45658</v>
      </c>
      <c r="Y213" s="163">
        <f t="shared" si="2485"/>
        <v>45688</v>
      </c>
      <c r="Z213" s="167">
        <f t="shared" si="2486"/>
        <v>0</v>
      </c>
      <c r="AA213" s="163">
        <f t="shared" si="2487"/>
        <v>45689</v>
      </c>
      <c r="AB213" s="163">
        <f t="shared" si="2488"/>
        <v>45716</v>
      </c>
      <c r="AC213" s="167">
        <f t="shared" si="2489"/>
        <v>0</v>
      </c>
      <c r="AD213" s="163">
        <f t="shared" si="2490"/>
        <v>45717</v>
      </c>
      <c r="AE213" s="163">
        <f t="shared" si="2491"/>
        <v>45747</v>
      </c>
      <c r="AF213" s="167">
        <f t="shared" si="2492"/>
        <v>0</v>
      </c>
      <c r="AG213" s="163">
        <f t="shared" si="2493"/>
        <v>45748</v>
      </c>
      <c r="AH213" s="163">
        <f t="shared" si="2494"/>
        <v>45777</v>
      </c>
      <c r="AI213" s="167">
        <f t="shared" si="2495"/>
        <v>0</v>
      </c>
      <c r="AJ213" s="163">
        <f t="shared" si="2496"/>
        <v>45778</v>
      </c>
      <c r="AK213" s="163">
        <f t="shared" si="2497"/>
        <v>45808</v>
      </c>
      <c r="AL213" s="167">
        <f t="shared" si="2498"/>
        <v>0</v>
      </c>
      <c r="AM213" s="163">
        <f t="shared" si="2499"/>
        <v>45809</v>
      </c>
      <c r="AN213" s="163">
        <f t="shared" si="2500"/>
        <v>45838</v>
      </c>
      <c r="AO213" s="167">
        <f t="shared" si="2501"/>
        <v>0</v>
      </c>
      <c r="AP213" s="163">
        <f t="shared" si="2502"/>
        <v>45839</v>
      </c>
      <c r="AQ213" s="163">
        <f t="shared" si="2503"/>
        <v>45869</v>
      </c>
      <c r="AR213" s="167">
        <f t="shared" si="2504"/>
        <v>0</v>
      </c>
      <c r="AS213" s="163">
        <f t="shared" si="2505"/>
        <v>45870</v>
      </c>
      <c r="AT213" s="163">
        <f t="shared" si="2506"/>
        <v>45900</v>
      </c>
      <c r="AU213" s="167">
        <f t="shared" si="2507"/>
        <v>0</v>
      </c>
      <c r="AV213" s="163">
        <f t="shared" si="2508"/>
        <v>45901</v>
      </c>
      <c r="AW213" s="163">
        <f t="shared" si="2509"/>
        <v>45930</v>
      </c>
      <c r="AX213" s="167">
        <f t="shared" si="2510"/>
        <v>0</v>
      </c>
      <c r="AY213" s="163">
        <f t="shared" si="2511"/>
        <v>45931</v>
      </c>
      <c r="AZ213" s="163">
        <f t="shared" si="2512"/>
        <v>45961</v>
      </c>
      <c r="BA213" s="167">
        <f t="shared" si="2513"/>
        <v>0</v>
      </c>
      <c r="BB213" s="163">
        <f t="shared" si="2514"/>
        <v>45962</v>
      </c>
      <c r="BC213" s="163">
        <f t="shared" si="2515"/>
        <v>45991</v>
      </c>
      <c r="BD213" s="167">
        <f t="shared" si="2516"/>
        <v>0</v>
      </c>
      <c r="BE213" s="163">
        <f t="shared" si="2517"/>
        <v>45992</v>
      </c>
      <c r="BF213" s="163">
        <f t="shared" si="2518"/>
        <v>46022</v>
      </c>
      <c r="BG213" s="167">
        <f t="shared" si="2519"/>
        <v>0</v>
      </c>
      <c r="BH213" s="163">
        <v>46023</v>
      </c>
      <c r="BI213" s="163">
        <f t="shared" si="2520"/>
        <v>46053</v>
      </c>
      <c r="BJ213" s="167">
        <f t="shared" si="2521"/>
        <v>0</v>
      </c>
      <c r="BK213" s="163">
        <f t="shared" si="2522"/>
        <v>46054</v>
      </c>
      <c r="BL213" s="163">
        <f t="shared" si="2523"/>
        <v>46081</v>
      </c>
      <c r="BM213" s="167">
        <f t="shared" si="2524"/>
        <v>0</v>
      </c>
      <c r="BN213" s="163">
        <f t="shared" si="2525"/>
        <v>46082</v>
      </c>
      <c r="BO213" s="163">
        <f t="shared" si="2526"/>
        <v>46112</v>
      </c>
      <c r="BP213" s="167">
        <f t="shared" si="2527"/>
        <v>0</v>
      </c>
      <c r="BQ213" s="163">
        <f t="shared" si="2528"/>
        <v>46113</v>
      </c>
      <c r="BR213" s="163">
        <f t="shared" si="2529"/>
        <v>46142</v>
      </c>
      <c r="BS213" s="167">
        <f t="shared" si="2530"/>
        <v>0</v>
      </c>
      <c r="BT213" s="163">
        <f t="shared" si="2531"/>
        <v>46143</v>
      </c>
      <c r="BU213" s="163">
        <f t="shared" si="2532"/>
        <v>46173</v>
      </c>
      <c r="BV213" s="167">
        <f t="shared" si="2533"/>
        <v>0</v>
      </c>
      <c r="BW213" s="163">
        <f t="shared" si="2534"/>
        <v>46174</v>
      </c>
      <c r="BX213" s="163">
        <f t="shared" si="2535"/>
        <v>46203</v>
      </c>
      <c r="BY213" s="167">
        <f t="shared" si="2536"/>
        <v>0</v>
      </c>
      <c r="BZ213" s="163">
        <f t="shared" si="2537"/>
        <v>46204</v>
      </c>
      <c r="CA213" s="163">
        <f t="shared" si="2538"/>
        <v>46234</v>
      </c>
      <c r="CB213" s="167">
        <f t="shared" si="2539"/>
        <v>0</v>
      </c>
      <c r="CC213" s="163">
        <f t="shared" si="2540"/>
        <v>46235</v>
      </c>
      <c r="CD213" s="163">
        <f t="shared" si="2541"/>
        <v>46265</v>
      </c>
      <c r="CE213" s="167">
        <f t="shared" si="2542"/>
        <v>0</v>
      </c>
      <c r="CF213" s="163">
        <f t="shared" si="2543"/>
        <v>46266</v>
      </c>
      <c r="CG213" s="163">
        <f t="shared" si="2544"/>
        <v>46295</v>
      </c>
      <c r="CH213" s="167">
        <f t="shared" si="2545"/>
        <v>0</v>
      </c>
      <c r="CI213" s="163">
        <f t="shared" si="2546"/>
        <v>46296</v>
      </c>
      <c r="CJ213" s="163">
        <f t="shared" si="2547"/>
        <v>46326</v>
      </c>
      <c r="CK213" s="167">
        <f t="shared" si="2548"/>
        <v>0</v>
      </c>
      <c r="CL213" s="163">
        <f t="shared" si="2549"/>
        <v>46327</v>
      </c>
      <c r="CM213" s="163">
        <f t="shared" si="2550"/>
        <v>46356</v>
      </c>
      <c r="CN213" s="167">
        <f t="shared" si="2551"/>
        <v>0</v>
      </c>
      <c r="CO213" s="163">
        <f t="shared" si="2552"/>
        <v>46357</v>
      </c>
      <c r="CP213" s="163">
        <f t="shared" si="2553"/>
        <v>46387</v>
      </c>
      <c r="CQ213" s="167">
        <f t="shared" si="2554"/>
        <v>0</v>
      </c>
    </row>
    <row r="214" s="89" customFormat="1" ht="24" hidden="1" customHeight="1" outlineLevel="4" spans="1:95">
      <c r="A214" s="128"/>
      <c r="B214" s="129"/>
      <c r="C214" s="130"/>
      <c r="D214" s="128"/>
      <c r="E214" s="129"/>
      <c r="F214" s="129"/>
      <c r="G214" s="129"/>
      <c r="H214" s="131"/>
      <c r="I214" s="131"/>
      <c r="J214" s="131">
        <f t="shared" si="2339"/>
        <v>0</v>
      </c>
      <c r="K214" s="131">
        <f t="shared" si="2555"/>
        <v>4</v>
      </c>
      <c r="L214" s="156"/>
      <c r="M214" s="157">
        <f>IFERROR(VLOOKUP($L214,'2-2 引出数据_合同数据仓库'!$B$5:$BP$200,3,FALSE),0)</f>
        <v>0</v>
      </c>
      <c r="N214" s="131"/>
      <c r="O214" s="157">
        <f>IFERROR(VLOOKUP((LEFT(VLOOKUP($L214,'2-2 引出数据_合同数据仓库'!$B$5:$BP$200,64,FALSE),15)&amp;(RIGHT(VLOOKUP($L214,'2-2 引出数据_合同数据仓库'!$B$5:$BP$200,64,FALSE),4)+1)),'2-2 引出数据_合同数据仓库'!$B$5:$BP$200,3,FALSE),0)</f>
        <v>0</v>
      </c>
      <c r="P214" s="131"/>
      <c r="Q214" s="131">
        <f>IFERROR(VLOOKUP($L214,'2-2 引出数据_合同数据仓库'!$B$5:$BP$200,28,FALSE),0)</f>
        <v>0</v>
      </c>
      <c r="R214" s="131">
        <f>IFERROR(VLOOKUP($L214,'2-2 引出数据_合同数据仓库'!$B$5:$BP$200,29,FALSE),0)</f>
        <v>0</v>
      </c>
      <c r="S214" s="131">
        <f>IFERROR(VLOOKUP($L214,'2-2 引出数据_合同数据仓库'!$B$5:$BP$200,4,FALSE),0)</f>
        <v>0</v>
      </c>
      <c r="T214" s="131"/>
      <c r="U214" s="131">
        <f>IFERROR(VLOOKUP($L214,'2-2 引出数据_合同数据仓库'!$B$5:$BP$200,15,FALSE),0)</f>
        <v>0</v>
      </c>
      <c r="V214" s="131">
        <f t="shared" si="2484"/>
        <v>0</v>
      </c>
      <c r="W214" s="131"/>
      <c r="X214" s="163">
        <v>45658</v>
      </c>
      <c r="Y214" s="163">
        <f t="shared" si="2485"/>
        <v>45688</v>
      </c>
      <c r="Z214" s="167">
        <f t="shared" si="2486"/>
        <v>0</v>
      </c>
      <c r="AA214" s="163">
        <f t="shared" si="2487"/>
        <v>45689</v>
      </c>
      <c r="AB214" s="163">
        <f t="shared" si="2488"/>
        <v>45716</v>
      </c>
      <c r="AC214" s="167">
        <f t="shared" si="2489"/>
        <v>0</v>
      </c>
      <c r="AD214" s="163">
        <f t="shared" si="2490"/>
        <v>45717</v>
      </c>
      <c r="AE214" s="163">
        <f t="shared" si="2491"/>
        <v>45747</v>
      </c>
      <c r="AF214" s="167">
        <f t="shared" si="2492"/>
        <v>0</v>
      </c>
      <c r="AG214" s="163">
        <f t="shared" si="2493"/>
        <v>45748</v>
      </c>
      <c r="AH214" s="163">
        <f t="shared" si="2494"/>
        <v>45777</v>
      </c>
      <c r="AI214" s="167">
        <f t="shared" si="2495"/>
        <v>0</v>
      </c>
      <c r="AJ214" s="163">
        <f t="shared" si="2496"/>
        <v>45778</v>
      </c>
      <c r="AK214" s="163">
        <f t="shared" si="2497"/>
        <v>45808</v>
      </c>
      <c r="AL214" s="167">
        <f t="shared" si="2498"/>
        <v>0</v>
      </c>
      <c r="AM214" s="163">
        <f t="shared" si="2499"/>
        <v>45809</v>
      </c>
      <c r="AN214" s="163">
        <f t="shared" si="2500"/>
        <v>45838</v>
      </c>
      <c r="AO214" s="167">
        <f t="shared" si="2501"/>
        <v>0</v>
      </c>
      <c r="AP214" s="163">
        <f t="shared" si="2502"/>
        <v>45839</v>
      </c>
      <c r="AQ214" s="163">
        <f t="shared" si="2503"/>
        <v>45869</v>
      </c>
      <c r="AR214" s="167">
        <f t="shared" si="2504"/>
        <v>0</v>
      </c>
      <c r="AS214" s="163">
        <f t="shared" si="2505"/>
        <v>45870</v>
      </c>
      <c r="AT214" s="163">
        <f t="shared" si="2506"/>
        <v>45900</v>
      </c>
      <c r="AU214" s="167">
        <f t="shared" si="2507"/>
        <v>0</v>
      </c>
      <c r="AV214" s="163">
        <f t="shared" si="2508"/>
        <v>45901</v>
      </c>
      <c r="AW214" s="163">
        <f t="shared" si="2509"/>
        <v>45930</v>
      </c>
      <c r="AX214" s="167">
        <f t="shared" si="2510"/>
        <v>0</v>
      </c>
      <c r="AY214" s="163">
        <f t="shared" si="2511"/>
        <v>45931</v>
      </c>
      <c r="AZ214" s="163">
        <f t="shared" si="2512"/>
        <v>45961</v>
      </c>
      <c r="BA214" s="167">
        <f t="shared" si="2513"/>
        <v>0</v>
      </c>
      <c r="BB214" s="163">
        <f t="shared" si="2514"/>
        <v>45962</v>
      </c>
      <c r="BC214" s="163">
        <f t="shared" si="2515"/>
        <v>45991</v>
      </c>
      <c r="BD214" s="167">
        <f t="shared" si="2516"/>
        <v>0</v>
      </c>
      <c r="BE214" s="163">
        <f t="shared" si="2517"/>
        <v>45992</v>
      </c>
      <c r="BF214" s="163">
        <f t="shared" si="2518"/>
        <v>46022</v>
      </c>
      <c r="BG214" s="167">
        <f t="shared" si="2519"/>
        <v>0</v>
      </c>
      <c r="BH214" s="163">
        <v>46023</v>
      </c>
      <c r="BI214" s="163">
        <f t="shared" si="2520"/>
        <v>46053</v>
      </c>
      <c r="BJ214" s="167">
        <f t="shared" si="2521"/>
        <v>0</v>
      </c>
      <c r="BK214" s="163">
        <f t="shared" si="2522"/>
        <v>46054</v>
      </c>
      <c r="BL214" s="163">
        <f t="shared" si="2523"/>
        <v>46081</v>
      </c>
      <c r="BM214" s="167">
        <f t="shared" si="2524"/>
        <v>0</v>
      </c>
      <c r="BN214" s="163">
        <f t="shared" si="2525"/>
        <v>46082</v>
      </c>
      <c r="BO214" s="163">
        <f t="shared" si="2526"/>
        <v>46112</v>
      </c>
      <c r="BP214" s="167">
        <f t="shared" si="2527"/>
        <v>0</v>
      </c>
      <c r="BQ214" s="163">
        <f t="shared" si="2528"/>
        <v>46113</v>
      </c>
      <c r="BR214" s="163">
        <f t="shared" si="2529"/>
        <v>46142</v>
      </c>
      <c r="BS214" s="167">
        <f t="shared" si="2530"/>
        <v>0</v>
      </c>
      <c r="BT214" s="163">
        <f t="shared" si="2531"/>
        <v>46143</v>
      </c>
      <c r="BU214" s="163">
        <f t="shared" si="2532"/>
        <v>46173</v>
      </c>
      <c r="BV214" s="167">
        <f t="shared" si="2533"/>
        <v>0</v>
      </c>
      <c r="BW214" s="163">
        <f t="shared" si="2534"/>
        <v>46174</v>
      </c>
      <c r="BX214" s="163">
        <f t="shared" si="2535"/>
        <v>46203</v>
      </c>
      <c r="BY214" s="167">
        <f t="shared" si="2536"/>
        <v>0</v>
      </c>
      <c r="BZ214" s="163">
        <f t="shared" si="2537"/>
        <v>46204</v>
      </c>
      <c r="CA214" s="163">
        <f t="shared" si="2538"/>
        <v>46234</v>
      </c>
      <c r="CB214" s="167">
        <f t="shared" si="2539"/>
        <v>0</v>
      </c>
      <c r="CC214" s="163">
        <f t="shared" si="2540"/>
        <v>46235</v>
      </c>
      <c r="CD214" s="163">
        <f t="shared" si="2541"/>
        <v>46265</v>
      </c>
      <c r="CE214" s="167">
        <f t="shared" si="2542"/>
        <v>0</v>
      </c>
      <c r="CF214" s="163">
        <f t="shared" si="2543"/>
        <v>46266</v>
      </c>
      <c r="CG214" s="163">
        <f t="shared" si="2544"/>
        <v>46295</v>
      </c>
      <c r="CH214" s="167">
        <f t="shared" si="2545"/>
        <v>0</v>
      </c>
      <c r="CI214" s="163">
        <f t="shared" si="2546"/>
        <v>46296</v>
      </c>
      <c r="CJ214" s="163">
        <f t="shared" si="2547"/>
        <v>46326</v>
      </c>
      <c r="CK214" s="167">
        <f t="shared" si="2548"/>
        <v>0</v>
      </c>
      <c r="CL214" s="163">
        <f t="shared" si="2549"/>
        <v>46327</v>
      </c>
      <c r="CM214" s="163">
        <f t="shared" si="2550"/>
        <v>46356</v>
      </c>
      <c r="CN214" s="167">
        <f t="shared" si="2551"/>
        <v>0</v>
      </c>
      <c r="CO214" s="163">
        <f t="shared" si="2552"/>
        <v>46357</v>
      </c>
      <c r="CP214" s="163">
        <f t="shared" si="2553"/>
        <v>46387</v>
      </c>
      <c r="CQ214" s="167">
        <f t="shared" si="2554"/>
        <v>0</v>
      </c>
    </row>
    <row r="215" s="89" customFormat="1" ht="24" hidden="1" customHeight="1" outlineLevel="4" spans="1:95">
      <c r="A215" s="132" t="s">
        <v>2813</v>
      </c>
      <c r="B215" s="133"/>
      <c r="C215" s="133"/>
      <c r="D215" s="133"/>
      <c r="E215" s="133"/>
      <c r="F215" s="133"/>
      <c r="G215" s="134"/>
      <c r="H215" s="135"/>
      <c r="I215" s="135"/>
      <c r="J215" s="135"/>
      <c r="K215" s="135"/>
      <c r="L215" s="158"/>
      <c r="M215" s="158"/>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row>
    <row r="216" ht="24" hidden="1" customHeight="1" outlineLevel="3" collapsed="1" spans="1:95">
      <c r="A216" s="124"/>
      <c r="B216" s="125" t="s">
        <v>792</v>
      </c>
      <c r="C216" s="126" t="s">
        <v>1177</v>
      </c>
      <c r="D216" s="124" t="s">
        <v>1183</v>
      </c>
      <c r="E216" s="125" t="s">
        <v>1184</v>
      </c>
      <c r="F216" s="125"/>
      <c r="G216" s="125" t="s">
        <v>936</v>
      </c>
      <c r="H216" s="127">
        <f>X216+AA216+AD216+AG216+AJ216+AM216+AP216+AS216+AV216+AY216+BB216+BE216</f>
        <v>0</v>
      </c>
      <c r="I216" s="127">
        <f>Y216+AB216+AE216+AH216+AK216+AN216+AQ216+AT216+AW216+AZ216+BC216+BF216</f>
        <v>0</v>
      </c>
      <c r="J216" s="127">
        <f t="shared" si="2339"/>
        <v>0</v>
      </c>
      <c r="K216" s="127"/>
      <c r="L216" s="155"/>
      <c r="M216" s="155"/>
      <c r="N216" s="127"/>
      <c r="O216" s="127"/>
      <c r="P216" s="127"/>
      <c r="Q216" s="127"/>
      <c r="R216" s="127"/>
      <c r="S216" s="127"/>
      <c r="T216" s="127"/>
      <c r="U216" s="127"/>
      <c r="V216" s="127"/>
      <c r="W216" s="127"/>
      <c r="X216" s="127">
        <f>VLOOKUP($C216,'1 预算编制表单'!$C:$BJ,27,FALSE)</f>
        <v>0</v>
      </c>
      <c r="Y216" s="127">
        <f>X216-Z216</f>
        <v>0</v>
      </c>
      <c r="Z216" s="127">
        <f>SUM(Z217:Z221)</f>
        <v>0</v>
      </c>
      <c r="AA216" s="127">
        <f>VLOOKUP($C216,'1 预算编制表单'!$C:$BJ,30,FALSE)</f>
        <v>0</v>
      </c>
      <c r="AB216" s="127">
        <f>AA216-AC216</f>
        <v>0</v>
      </c>
      <c r="AC216" s="127">
        <f>SUM(AC217:AC221)</f>
        <v>0</v>
      </c>
      <c r="AD216" s="127">
        <f>VLOOKUP($C216,'1 预算编制表单'!$C:$BJ,33,FALSE)</f>
        <v>0</v>
      </c>
      <c r="AE216" s="127">
        <f>AD216-AF216</f>
        <v>0</v>
      </c>
      <c r="AF216" s="127">
        <f>SUM(AF217:AF221)</f>
        <v>0</v>
      </c>
      <c r="AG216" s="127">
        <f>VLOOKUP($C216,'1 预算编制表单'!$C:$BJ,36,FALSE)</f>
        <v>0</v>
      </c>
      <c r="AH216" s="127">
        <f>AG216-AI216</f>
        <v>0</v>
      </c>
      <c r="AI216" s="127">
        <f>SUM(AI217:AI221)</f>
        <v>0</v>
      </c>
      <c r="AJ216" s="127">
        <f>VLOOKUP($C216,'1 预算编制表单'!$C:$BJ,39,FALSE)</f>
        <v>0</v>
      </c>
      <c r="AK216" s="127">
        <f>AJ216-AL216</f>
        <v>0</v>
      </c>
      <c r="AL216" s="127">
        <f>SUM(AL217:AL221)</f>
        <v>0</v>
      </c>
      <c r="AM216" s="127">
        <f>VLOOKUP($C216,'1 预算编制表单'!$C:$BJ,42,FALSE)</f>
        <v>0</v>
      </c>
      <c r="AN216" s="127">
        <f>AM216-AO216</f>
        <v>0</v>
      </c>
      <c r="AO216" s="127">
        <f>SUM(AO217:AO221)</f>
        <v>0</v>
      </c>
      <c r="AP216" s="127">
        <f>VLOOKUP($C216,'1 预算编制表单'!$C:$BJ,45,FALSE)</f>
        <v>0</v>
      </c>
      <c r="AQ216" s="127">
        <f>AP216-AR216</f>
        <v>0</v>
      </c>
      <c r="AR216" s="127">
        <f>SUM(AR217:AR221)</f>
        <v>0</v>
      </c>
      <c r="AS216" s="127">
        <f>VLOOKUP($C216,'1 预算编制表单'!$C:$BJ,48,FALSE)</f>
        <v>0</v>
      </c>
      <c r="AT216" s="127">
        <f>AS216-AU216</f>
        <v>0</v>
      </c>
      <c r="AU216" s="127">
        <f>SUM(AU217:AU221)</f>
        <v>0</v>
      </c>
      <c r="AV216" s="127">
        <f>VLOOKUP($C216,'1 预算编制表单'!$C:$BJ,51,FALSE)</f>
        <v>0</v>
      </c>
      <c r="AW216" s="127">
        <f>AV216-AX216</f>
        <v>0</v>
      </c>
      <c r="AX216" s="127">
        <f>SUM(AX217:AX221)</f>
        <v>0</v>
      </c>
      <c r="AY216" s="127">
        <f>VLOOKUP($C216,'1 预算编制表单'!$C:$BJ,54,FALSE)</f>
        <v>0</v>
      </c>
      <c r="AZ216" s="127">
        <f>AY216-BA216</f>
        <v>0</v>
      </c>
      <c r="BA216" s="127">
        <f>SUM(BA217:BA221)</f>
        <v>0</v>
      </c>
      <c r="BB216" s="127">
        <f>VLOOKUP($C216,'1 预算编制表单'!$C:$BJ,57,FALSE)</f>
        <v>0</v>
      </c>
      <c r="BC216" s="127">
        <f>BB216-BD216</f>
        <v>0</v>
      </c>
      <c r="BD216" s="127">
        <f>SUM(BD217:BD221)</f>
        <v>0</v>
      </c>
      <c r="BE216" s="127">
        <f>VLOOKUP($C216,'1 预算编制表单'!$C:$BJ,60,FALSE)</f>
        <v>0</v>
      </c>
      <c r="BF216" s="127">
        <f>BE216-BG216</f>
        <v>0</v>
      </c>
      <c r="BG216" s="127">
        <f>SUM(BG217:BG221)</f>
        <v>0</v>
      </c>
      <c r="BH216" s="127">
        <f>VLOOKUP($C216,'1 预算编制表单'!$C:$BJ,27,FALSE)</f>
        <v>0</v>
      </c>
      <c r="BI216" s="127">
        <f>BH216-BJ216</f>
        <v>0</v>
      </c>
      <c r="BJ216" s="127">
        <f>SUM(BJ217:BJ221)</f>
        <v>0</v>
      </c>
      <c r="BK216" s="127">
        <f>VLOOKUP($C216,'1 预算编制表单'!$C:$BJ,30,FALSE)</f>
        <v>0</v>
      </c>
      <c r="BL216" s="127">
        <f>BK216-BM216</f>
        <v>0</v>
      </c>
      <c r="BM216" s="127">
        <f>SUM(BM217:BM221)</f>
        <v>0</v>
      </c>
      <c r="BN216" s="127">
        <f>VLOOKUP($C216,'1 预算编制表单'!$C:$BJ,33,FALSE)</f>
        <v>0</v>
      </c>
      <c r="BO216" s="127">
        <f>BN216-BP216</f>
        <v>0</v>
      </c>
      <c r="BP216" s="127">
        <f>SUM(BP217:BP221)</f>
        <v>0</v>
      </c>
      <c r="BQ216" s="127">
        <f>VLOOKUP($C216,'1 预算编制表单'!$C:$BJ,36,FALSE)</f>
        <v>0</v>
      </c>
      <c r="BR216" s="127">
        <f>BQ216-BS216</f>
        <v>0</v>
      </c>
      <c r="BS216" s="127">
        <f>SUM(BS217:BS221)</f>
        <v>0</v>
      </c>
      <c r="BT216" s="127">
        <f>VLOOKUP($C216,'1 预算编制表单'!$C:$BJ,39,FALSE)</f>
        <v>0</v>
      </c>
      <c r="BU216" s="127">
        <f>BT216-BV216</f>
        <v>0</v>
      </c>
      <c r="BV216" s="127">
        <f>SUM(BV217:BV221)</f>
        <v>0</v>
      </c>
      <c r="BW216" s="127">
        <f>VLOOKUP($C216,'1 预算编制表单'!$C:$BJ,42,FALSE)</f>
        <v>0</v>
      </c>
      <c r="BX216" s="127">
        <f>BW216-BY216</f>
        <v>0</v>
      </c>
      <c r="BY216" s="127">
        <f>SUM(BY217:BY221)</f>
        <v>0</v>
      </c>
      <c r="BZ216" s="127">
        <f>VLOOKUP($C216,'1 预算编制表单'!$C:$BJ,45,FALSE)</f>
        <v>0</v>
      </c>
      <c r="CA216" s="127">
        <f>BZ216-CB216</f>
        <v>0</v>
      </c>
      <c r="CB216" s="127">
        <f>SUM(CB217:CB221)</f>
        <v>0</v>
      </c>
      <c r="CC216" s="127">
        <f>VLOOKUP($C216,'1 预算编制表单'!$C:$BJ,48,FALSE)</f>
        <v>0</v>
      </c>
      <c r="CD216" s="127">
        <f>CC216-CE216</f>
        <v>0</v>
      </c>
      <c r="CE216" s="127">
        <f>SUM(CE217:CE221)</f>
        <v>0</v>
      </c>
      <c r="CF216" s="127">
        <f>VLOOKUP($C216,'1 预算编制表单'!$C:$BJ,51,FALSE)</f>
        <v>0</v>
      </c>
      <c r="CG216" s="127">
        <f>CF216-CH216</f>
        <v>0</v>
      </c>
      <c r="CH216" s="127">
        <f>SUM(CH217:CH221)</f>
        <v>0</v>
      </c>
      <c r="CI216" s="127">
        <f>VLOOKUP($C216,'1 预算编制表单'!$C:$BJ,54,FALSE)</f>
        <v>0</v>
      </c>
      <c r="CJ216" s="127">
        <f>CI216-CK216</f>
        <v>0</v>
      </c>
      <c r="CK216" s="127">
        <f>SUM(CK217:CK221)</f>
        <v>0</v>
      </c>
      <c r="CL216" s="127">
        <f>VLOOKUP($C216,'1 预算编制表单'!$C:$BJ,57,FALSE)</f>
        <v>0</v>
      </c>
      <c r="CM216" s="127">
        <f>CL216-CN216</f>
        <v>0</v>
      </c>
      <c r="CN216" s="127">
        <f>SUM(CN217:CN221)</f>
        <v>0</v>
      </c>
      <c r="CO216" s="127">
        <f>VLOOKUP($C216,'1 预算编制表单'!$C:$BJ,60,FALSE)</f>
        <v>0</v>
      </c>
      <c r="CP216" s="127">
        <f>CO216-CQ216</f>
        <v>0</v>
      </c>
      <c r="CQ216" s="127">
        <f>SUM(CQ217:CQ221)</f>
        <v>0</v>
      </c>
    </row>
    <row r="217" s="89" customFormat="1" ht="24" hidden="1" customHeight="1" outlineLevel="4" spans="1:95">
      <c r="A217" s="128"/>
      <c r="B217" s="129"/>
      <c r="C217" s="130"/>
      <c r="D217" s="128"/>
      <c r="E217" s="129"/>
      <c r="F217" s="129"/>
      <c r="G217" s="129"/>
      <c r="H217" s="131"/>
      <c r="I217" s="131"/>
      <c r="J217" s="131">
        <f t="shared" si="2339"/>
        <v>0</v>
      </c>
      <c r="K217" s="131">
        <v>1</v>
      </c>
      <c r="L217" s="156"/>
      <c r="M217" s="157">
        <f>IFERROR(VLOOKUP($L217,'2-2 引出数据_合同数据仓库'!$B$5:$BP$200,3,FALSE),0)</f>
        <v>0</v>
      </c>
      <c r="N217" s="131"/>
      <c r="O217" s="157">
        <f>IFERROR(VLOOKUP((LEFT(VLOOKUP($L217,'2-2 引出数据_合同数据仓库'!$B$5:$BP$200,64,FALSE),15)&amp;(RIGHT(VLOOKUP($L217,'2-2 引出数据_合同数据仓库'!$B$5:$BP$200,64,FALSE),4)+1)),'2-2 引出数据_合同数据仓库'!$B$5:$BP$200,3,FALSE),0)</f>
        <v>0</v>
      </c>
      <c r="P217" s="131"/>
      <c r="Q217" s="131">
        <f>IFERROR(VLOOKUP($L217,'2-2 引出数据_合同数据仓库'!$B$5:$BP$200,28,FALSE),0)</f>
        <v>0</v>
      </c>
      <c r="R217" s="131">
        <f>IFERROR(VLOOKUP($L217,'2-2 引出数据_合同数据仓库'!$B$5:$BP$200,29,FALSE),0)</f>
        <v>0</v>
      </c>
      <c r="S217" s="131">
        <f>IFERROR(VLOOKUP($L217,'2-2 引出数据_合同数据仓库'!$B$5:$BP$200,4,FALSE),0)</f>
        <v>0</v>
      </c>
      <c r="T217" s="131"/>
      <c r="U217" s="131">
        <f>IFERROR(VLOOKUP($L217,'2-2 引出数据_合同数据仓库'!$B$5:$BP$200,15,FALSE),0)</f>
        <v>0</v>
      </c>
      <c r="V217" s="131">
        <f t="shared" ref="V217:V220" si="2556">U217/(S217-R217+1)*365</f>
        <v>0</v>
      </c>
      <c r="W217" s="131"/>
      <c r="X217" s="163">
        <v>45658</v>
      </c>
      <c r="Y217" s="163">
        <f t="shared" ref="Y217:Y220" si="2557">X217+30</f>
        <v>45688</v>
      </c>
      <c r="Z217" s="167">
        <f t="shared" ref="Z217:Z220" si="2558">IFERROR(IF(($R217-Y217)&gt;=0,0,IF(($S217-X217)&lt;0,0,IF(AND(($S217-Y217)&gt;0,(X217-$R217)&gt;0),$V217/365*(Y217-X217+1),IF(AND(($S217-Y217)&lt;=0,(X217-$R217)&gt;0),$V217/365*($S217-X217+1),$V217/365*(Y217-$R217+1))))),0)</f>
        <v>0</v>
      </c>
      <c r="AA217" s="163">
        <f t="shared" ref="AA217:AA220" si="2559">Y217+1</f>
        <v>45689</v>
      </c>
      <c r="AB217" s="163">
        <f t="shared" ref="AB217:AB220" si="2560">AA217+27</f>
        <v>45716</v>
      </c>
      <c r="AC217" s="167">
        <f t="shared" ref="AC217:AC220" si="2561">IFERROR(IF(($R217-AB217)&gt;=0,0,IF(($S217-AA217)&lt;0,0,IF(AND(($S217-AB217)&gt;0,(AA217-$R217)&gt;0),$V217/365*(AB217-AA217+1),IF(AND(($S217-AB217)&lt;=0,(AA217-$R217)&gt;0),$V217/365*($S217-AA217+1),$V217/365*(AB217-$R217+1))))),0)</f>
        <v>0</v>
      </c>
      <c r="AD217" s="163">
        <f t="shared" ref="AD217:AD220" si="2562">AB217+1</f>
        <v>45717</v>
      </c>
      <c r="AE217" s="163">
        <f t="shared" ref="AE217:AE220" si="2563">AD217+30</f>
        <v>45747</v>
      </c>
      <c r="AF217" s="167">
        <f t="shared" ref="AF217:AF220" si="2564">IFERROR(IF(($R217-AE217)&gt;=0,0,IF(($S217-AD217)&lt;0,0,IF(AND(($S217-AE217)&gt;0,(AD217-$R217)&gt;0),$V217/365*(AE217-AD217+1),IF(AND(($S217-AE217)&lt;=0,(AD217-$R217)&gt;0),$V217/365*($S217-AD217+1),$V217/365*(AE217-$R217+1))))),0)</f>
        <v>0</v>
      </c>
      <c r="AG217" s="163">
        <f t="shared" ref="AG217:AG220" si="2565">AE217+1</f>
        <v>45748</v>
      </c>
      <c r="AH217" s="163">
        <f t="shared" ref="AH217:AH220" si="2566">AG217+29</f>
        <v>45777</v>
      </c>
      <c r="AI217" s="167">
        <f t="shared" ref="AI217:AI220" si="2567">IFERROR(IF(($R217-AH217)&gt;=0,0,IF(($S217-AG217)&lt;0,0,IF(AND(($S217-AH217)&gt;0,(AG217-$R217)&gt;0),$V217/365*(AH217-AG217+1),IF(AND(($S217-AH217)&lt;=0,(AG217-$R217)&gt;0),$V217/365*($S217-AG217+1),$V217/365*(AH217-$R217+1))))),0)</f>
        <v>0</v>
      </c>
      <c r="AJ217" s="163">
        <f t="shared" ref="AJ217:AJ220" si="2568">AH217+1</f>
        <v>45778</v>
      </c>
      <c r="AK217" s="163">
        <f t="shared" ref="AK217:AK220" si="2569">AJ217+30</f>
        <v>45808</v>
      </c>
      <c r="AL217" s="167">
        <f t="shared" ref="AL217:AL220" si="2570">IFERROR(IF(($R217-AK217)&gt;=0,0,IF(($S217-AJ217)&lt;0,0,IF(AND(($S217-AK217)&gt;0,(AJ217-$R217)&gt;0),$V217/365*(AK217-AJ217+1),IF(AND(($S217-AK217)&lt;=0,(AJ217-$R217)&gt;0),$V217/365*($S217-AJ217+1),$V217/365*(AK217-$R217+1))))),0)</f>
        <v>0</v>
      </c>
      <c r="AM217" s="163">
        <f t="shared" ref="AM217:AM220" si="2571">AK217+1</f>
        <v>45809</v>
      </c>
      <c r="AN217" s="163">
        <f t="shared" ref="AN217:AN220" si="2572">AM217+29</f>
        <v>45838</v>
      </c>
      <c r="AO217" s="167">
        <f t="shared" ref="AO217:AO220" si="2573">IFERROR(IF(($R217-AN217)&gt;=0,0,IF(($S217-AM217)&lt;0,0,IF(AND(($S217-AN217)&gt;0,(AM217-$R217)&gt;0),$V217/365*(AN217-AM217+1),IF(AND(($S217-AN217)&lt;=0,(AM217-$R217)&gt;0),$V217/365*($S217-AM217+1),$V217/365*(AN217-$R217+1))))),0)</f>
        <v>0</v>
      </c>
      <c r="AP217" s="163">
        <f t="shared" ref="AP217:AP220" si="2574">AN217+1</f>
        <v>45839</v>
      </c>
      <c r="AQ217" s="163">
        <f t="shared" ref="AQ217:AQ220" si="2575">AP217+30</f>
        <v>45869</v>
      </c>
      <c r="AR217" s="167">
        <f t="shared" ref="AR217:AR220" si="2576">IFERROR(IF(($R217-AQ217)&gt;=0,0,IF(($S217-AP217)&lt;0,0,IF(AND(($S217-AQ217)&gt;0,(AP217-$R217)&gt;0),$V217/365*(AQ217-AP217+1),IF(AND(($S217-AQ217)&lt;=0,(AP217-$R217)&gt;0),$V217/365*($S217-AP217+1),$V217/365*(AQ217-$R217+1))))),0)</f>
        <v>0</v>
      </c>
      <c r="AS217" s="163">
        <f t="shared" ref="AS217:AS220" si="2577">AQ217+1</f>
        <v>45870</v>
      </c>
      <c r="AT217" s="163">
        <f t="shared" ref="AT217:AT220" si="2578">AS217+30</f>
        <v>45900</v>
      </c>
      <c r="AU217" s="167">
        <f t="shared" ref="AU217:AU220" si="2579">IFERROR(IF(($R217-AT217)&gt;=0,0,IF(($S217-AS217)&lt;0,0,IF(AND(($S217-AT217)&gt;0,(AS217-$R217)&gt;0),$V217/365*(AT217-AS217+1),IF(AND(($S217-AT217)&lt;=0,(AS217-$R217)&gt;0),$V217/365*($S217-AS217+1),$V217/365*(AT217-$R217+1))))),0)</f>
        <v>0</v>
      </c>
      <c r="AV217" s="163">
        <f t="shared" ref="AV217:AV220" si="2580">AT217+1</f>
        <v>45901</v>
      </c>
      <c r="AW217" s="163">
        <f t="shared" ref="AW217:AW220" si="2581">AV217+29</f>
        <v>45930</v>
      </c>
      <c r="AX217" s="167">
        <f t="shared" ref="AX217:AX220" si="2582">IFERROR(IF(($R217-AW217)&gt;=0,0,IF(($S217-AV217)&lt;0,0,IF(AND(($S217-AW217)&gt;0,(AV217-$R217)&gt;0),$V217/365*(AW217-AV217+1),IF(AND(($S217-AW217)&lt;=0,(AV217-$R217)&gt;0),$V217/365*($S217-AV217+1),$V217/365*(AW217-$R217+1))))),0)</f>
        <v>0</v>
      </c>
      <c r="AY217" s="163">
        <f t="shared" ref="AY217:AY220" si="2583">AW217+1</f>
        <v>45931</v>
      </c>
      <c r="AZ217" s="163">
        <f t="shared" ref="AZ217:AZ220" si="2584">AY217+30</f>
        <v>45961</v>
      </c>
      <c r="BA217" s="167">
        <f t="shared" ref="BA217:BA220" si="2585">IFERROR(IF(($R217-AZ217)&gt;=0,0,IF(($S217-AY217)&lt;0,0,IF(AND(($S217-AZ217)&gt;0,(AY217-$R217)&gt;0),$V217/365*(AZ217-AY217+1),IF(AND(($S217-AZ217)&lt;=0,(AY217-$R217)&gt;0),$V217/365*($S217-AY217+1),$V217/365*(AZ217-$R217+1))))),0)</f>
        <v>0</v>
      </c>
      <c r="BB217" s="163">
        <f t="shared" ref="BB217:BB220" si="2586">AZ217+1</f>
        <v>45962</v>
      </c>
      <c r="BC217" s="163">
        <f t="shared" ref="BC217:BC220" si="2587">BB217+29</f>
        <v>45991</v>
      </c>
      <c r="BD217" s="167">
        <f t="shared" ref="BD217:BD220" si="2588">IFERROR(IF(($R217-BC217)&gt;=0,0,IF(($S217-BB217)&lt;0,0,IF(AND(($S217-BC217)&gt;0,(BB217-$R217)&gt;0),$V217/365*(BC217-BB217+1),IF(AND(($S217-BC217)&lt;=0,(BB217-$R217)&gt;0),$V217/365*($S217-BB217+1),$V217/365*(BC217-$R217+1))))),0)</f>
        <v>0</v>
      </c>
      <c r="BE217" s="163">
        <f t="shared" ref="BE217:BE220" si="2589">BC217+1</f>
        <v>45992</v>
      </c>
      <c r="BF217" s="163">
        <f t="shared" ref="BF217:BF220" si="2590">BE217+30</f>
        <v>46022</v>
      </c>
      <c r="BG217" s="167">
        <f t="shared" ref="BG217:BG220" si="2591">IFERROR(IF(($R217-BF217)&gt;=0,0,IF(($S217-BE217)&lt;0,0,IF(AND(($S217-BF217)&gt;0,(BE217-$R217)&gt;0),$V217/365*(BF217-BE217+1),IF(AND(($S217-BF217)&lt;=0,(BE217-$R217)&gt;0),$V217/365*($S217-BE217+1),$V217/365*(BF217-$R217+1))))),0)</f>
        <v>0</v>
      </c>
      <c r="BH217" s="163">
        <v>46023</v>
      </c>
      <c r="BI217" s="163">
        <f t="shared" ref="BI217:BI220" si="2592">BH217+30</f>
        <v>46053</v>
      </c>
      <c r="BJ217" s="167">
        <f t="shared" ref="BJ217:BJ220" si="2593">IFERROR(IF(($R217-BI217)&gt;=0,0,IF(($S217-BH217)&lt;0,0,IF(AND(($S217-BI217)&gt;0,(BH217-$R217)&gt;0),$V217/365*(BI217-BH217+1),IF(AND(($S217-BI217)&lt;=0,(BH217-$R217)&gt;0),$V217/365*($S217-BH217+1),$V217/365*(BI217-$R217+1))))),0)</f>
        <v>0</v>
      </c>
      <c r="BK217" s="163">
        <f t="shared" ref="BK217:BK220" si="2594">BI217+1</f>
        <v>46054</v>
      </c>
      <c r="BL217" s="163">
        <f t="shared" ref="BL217:BL220" si="2595">BK217+27</f>
        <v>46081</v>
      </c>
      <c r="BM217" s="167">
        <f t="shared" ref="BM217:BM220" si="2596">IFERROR(IF(($R217-BL217)&gt;=0,0,IF(($S217-BK217)&lt;0,0,IF(AND(($S217-BL217)&gt;0,(BK217-$R217)&gt;0),$V217/365*(BL217-BK217+1),IF(AND(($S217-BL217)&lt;=0,(BK217-$R217)&gt;0),$V217/365*($S217-BK217+1),$V217/365*(BL217-$R217+1))))),0)</f>
        <v>0</v>
      </c>
      <c r="BN217" s="163">
        <f t="shared" ref="BN217:BN220" si="2597">BL217+1</f>
        <v>46082</v>
      </c>
      <c r="BO217" s="163">
        <f t="shared" ref="BO217:BO220" si="2598">BN217+30</f>
        <v>46112</v>
      </c>
      <c r="BP217" s="167">
        <f t="shared" ref="BP217:BP220" si="2599">IFERROR(IF(($R217-BO217)&gt;=0,0,IF(($S217-BN217)&lt;0,0,IF(AND(($S217-BO217)&gt;0,(BN217-$R217)&gt;0),$V217/365*(BO217-BN217+1),IF(AND(($S217-BO217)&lt;=0,(BN217-$R217)&gt;0),$V217/365*($S217-BN217+1),$V217/365*(BO217-$R217+1))))),0)</f>
        <v>0</v>
      </c>
      <c r="BQ217" s="163">
        <f t="shared" ref="BQ217:BQ220" si="2600">BO217+1</f>
        <v>46113</v>
      </c>
      <c r="BR217" s="163">
        <f t="shared" ref="BR217:BR220" si="2601">BQ217+29</f>
        <v>46142</v>
      </c>
      <c r="BS217" s="167">
        <f t="shared" ref="BS217:BS220" si="2602">IFERROR(IF(($R217-BR217)&gt;=0,0,IF(($S217-BQ217)&lt;0,0,IF(AND(($S217-BR217)&gt;0,(BQ217-$R217)&gt;0),$V217/365*(BR217-BQ217+1),IF(AND(($S217-BR217)&lt;=0,(BQ217-$R217)&gt;0),$V217/365*($S217-BQ217+1),$V217/365*(BR217-$R217+1))))),0)</f>
        <v>0</v>
      </c>
      <c r="BT217" s="163">
        <f t="shared" ref="BT217:BT220" si="2603">BR217+1</f>
        <v>46143</v>
      </c>
      <c r="BU217" s="163">
        <f t="shared" ref="BU217:BU220" si="2604">BT217+30</f>
        <v>46173</v>
      </c>
      <c r="BV217" s="167">
        <f t="shared" ref="BV217:BV220" si="2605">IFERROR(IF(($R217-BU217)&gt;=0,0,IF(($S217-BT217)&lt;0,0,IF(AND(($S217-BU217)&gt;0,(BT217-$R217)&gt;0),$V217/365*(BU217-BT217+1),IF(AND(($S217-BU217)&lt;=0,(BT217-$R217)&gt;0),$V217/365*($S217-BT217+1),$V217/365*(BU217-$R217+1))))),0)</f>
        <v>0</v>
      </c>
      <c r="BW217" s="163">
        <f t="shared" ref="BW217:BW220" si="2606">BU217+1</f>
        <v>46174</v>
      </c>
      <c r="BX217" s="163">
        <f t="shared" ref="BX217:BX220" si="2607">BW217+29</f>
        <v>46203</v>
      </c>
      <c r="BY217" s="167">
        <f t="shared" ref="BY217:BY220" si="2608">IFERROR(IF(($R217-BX217)&gt;=0,0,IF(($S217-BW217)&lt;0,0,IF(AND(($S217-BX217)&gt;0,(BW217-$R217)&gt;0),$V217/365*(BX217-BW217+1),IF(AND(($S217-BX217)&lt;=0,(BW217-$R217)&gt;0),$V217/365*($S217-BW217+1),$V217/365*(BX217-$R217+1))))),0)</f>
        <v>0</v>
      </c>
      <c r="BZ217" s="163">
        <f t="shared" ref="BZ217:BZ220" si="2609">BX217+1</f>
        <v>46204</v>
      </c>
      <c r="CA217" s="163">
        <f t="shared" ref="CA217:CA220" si="2610">BZ217+30</f>
        <v>46234</v>
      </c>
      <c r="CB217" s="167">
        <f t="shared" ref="CB217:CB220" si="2611">IFERROR(IF(($R217-CA217)&gt;=0,0,IF(($S217-BZ217)&lt;0,0,IF(AND(($S217-CA217)&gt;0,(BZ217-$R217)&gt;0),$V217/365*(CA217-BZ217+1),IF(AND(($S217-CA217)&lt;=0,(BZ217-$R217)&gt;0),$V217/365*($S217-BZ217+1),$V217/365*(CA217-$R217+1))))),0)</f>
        <v>0</v>
      </c>
      <c r="CC217" s="163">
        <f t="shared" ref="CC217:CC220" si="2612">CA217+1</f>
        <v>46235</v>
      </c>
      <c r="CD217" s="163">
        <f t="shared" ref="CD217:CD220" si="2613">CC217+30</f>
        <v>46265</v>
      </c>
      <c r="CE217" s="167">
        <f t="shared" ref="CE217:CE220" si="2614">IFERROR(IF(($R217-CD217)&gt;=0,0,IF(($S217-CC217)&lt;0,0,IF(AND(($S217-CD217)&gt;0,(CC217-$R217)&gt;0),$V217/365*(CD217-CC217+1),IF(AND(($S217-CD217)&lt;=0,(CC217-$R217)&gt;0),$V217/365*($S217-CC217+1),$V217/365*(CD217-$R217+1))))),0)</f>
        <v>0</v>
      </c>
      <c r="CF217" s="163">
        <f t="shared" ref="CF217:CF220" si="2615">CD217+1</f>
        <v>46266</v>
      </c>
      <c r="CG217" s="163">
        <f t="shared" ref="CG217:CG220" si="2616">CF217+29</f>
        <v>46295</v>
      </c>
      <c r="CH217" s="167">
        <f t="shared" ref="CH217:CH220" si="2617">IFERROR(IF(($R217-CG217)&gt;=0,0,IF(($S217-CF217)&lt;0,0,IF(AND(($S217-CG217)&gt;0,(CF217-$R217)&gt;0),$V217/365*(CG217-CF217+1),IF(AND(($S217-CG217)&lt;=0,(CF217-$R217)&gt;0),$V217/365*($S217-CF217+1),$V217/365*(CG217-$R217+1))))),0)</f>
        <v>0</v>
      </c>
      <c r="CI217" s="163">
        <f t="shared" ref="CI217:CI220" si="2618">CG217+1</f>
        <v>46296</v>
      </c>
      <c r="CJ217" s="163">
        <f t="shared" ref="CJ217:CJ220" si="2619">CI217+30</f>
        <v>46326</v>
      </c>
      <c r="CK217" s="167">
        <f t="shared" ref="CK217:CK220" si="2620">IFERROR(IF(($R217-CJ217)&gt;=0,0,IF(($S217-CI217)&lt;0,0,IF(AND(($S217-CJ217)&gt;0,(CI217-$R217)&gt;0),$V217/365*(CJ217-CI217+1),IF(AND(($S217-CJ217)&lt;=0,(CI217-$R217)&gt;0),$V217/365*($S217-CI217+1),$V217/365*(CJ217-$R217+1))))),0)</f>
        <v>0</v>
      </c>
      <c r="CL217" s="163">
        <f t="shared" ref="CL217:CL220" si="2621">CJ217+1</f>
        <v>46327</v>
      </c>
      <c r="CM217" s="163">
        <f t="shared" ref="CM217:CM220" si="2622">CL217+29</f>
        <v>46356</v>
      </c>
      <c r="CN217" s="167">
        <f t="shared" ref="CN217:CN220" si="2623">IFERROR(IF(($R217-CM217)&gt;=0,0,IF(($S217-CL217)&lt;0,0,IF(AND(($S217-CM217)&gt;0,(CL217-$R217)&gt;0),$V217/365*(CM217-CL217+1),IF(AND(($S217-CM217)&lt;=0,(CL217-$R217)&gt;0),$V217/365*($S217-CL217+1),$V217/365*(CM217-$R217+1))))),0)</f>
        <v>0</v>
      </c>
      <c r="CO217" s="163">
        <f t="shared" ref="CO217:CO220" si="2624">CM217+1</f>
        <v>46357</v>
      </c>
      <c r="CP217" s="163">
        <f t="shared" ref="CP217:CP220" si="2625">CO217+30</f>
        <v>46387</v>
      </c>
      <c r="CQ217" s="167">
        <f t="shared" ref="CQ217:CQ220" si="2626">IFERROR(IF(($R217-CP217)&gt;=0,0,IF(($S217-CO217)&lt;0,0,IF(AND(($S217-CP217)&gt;0,(CO217-$R217)&gt;0),$V217/365*(CP217-CO217+1),IF(AND(($S217-CP217)&lt;=0,(CO217-$R217)&gt;0),$V217/365*($S217-CO217+1),$V217/365*(CP217-$R217+1))))),0)</f>
        <v>0</v>
      </c>
    </row>
    <row r="218" s="89" customFormat="1" ht="24" hidden="1" customHeight="1" outlineLevel="4" spans="1:95">
      <c r="A218" s="128"/>
      <c r="B218" s="129"/>
      <c r="C218" s="130"/>
      <c r="D218" s="128"/>
      <c r="E218" s="129"/>
      <c r="F218" s="129"/>
      <c r="G218" s="129"/>
      <c r="H218" s="131"/>
      <c r="I218" s="131"/>
      <c r="J218" s="131">
        <f t="shared" si="2339"/>
        <v>0</v>
      </c>
      <c r="K218" s="131">
        <f t="shared" ref="K218:K220" si="2627">K217+1</f>
        <v>2</v>
      </c>
      <c r="L218" s="156"/>
      <c r="M218" s="157">
        <f>IFERROR(VLOOKUP($L218,'2-2 引出数据_合同数据仓库'!$B$5:$BP$200,3,FALSE),0)</f>
        <v>0</v>
      </c>
      <c r="N218" s="131"/>
      <c r="O218" s="157">
        <f>IFERROR(VLOOKUP((LEFT(VLOOKUP($L218,'2-2 引出数据_合同数据仓库'!$B$5:$BP$200,64,FALSE),15)&amp;(RIGHT(VLOOKUP($L218,'2-2 引出数据_合同数据仓库'!$B$5:$BP$200,64,FALSE),4)+1)),'2-2 引出数据_合同数据仓库'!$B$5:$BP$200,3,FALSE),0)</f>
        <v>0</v>
      </c>
      <c r="P218" s="131"/>
      <c r="Q218" s="131">
        <f>IFERROR(VLOOKUP($L218,'2-2 引出数据_合同数据仓库'!$B$5:$BP$200,28,FALSE),0)</f>
        <v>0</v>
      </c>
      <c r="R218" s="131">
        <f>IFERROR(VLOOKUP($L218,'2-2 引出数据_合同数据仓库'!$B$5:$BP$200,29,FALSE),0)</f>
        <v>0</v>
      </c>
      <c r="S218" s="131">
        <f>IFERROR(VLOOKUP($L218,'2-2 引出数据_合同数据仓库'!$B$5:$BP$200,4,FALSE),0)</f>
        <v>0</v>
      </c>
      <c r="T218" s="131"/>
      <c r="U218" s="131">
        <f>IFERROR(VLOOKUP($L218,'2-2 引出数据_合同数据仓库'!$B$5:$BP$200,15,FALSE),0)</f>
        <v>0</v>
      </c>
      <c r="V218" s="131">
        <f t="shared" si="2556"/>
        <v>0</v>
      </c>
      <c r="W218" s="131"/>
      <c r="X218" s="163">
        <v>45658</v>
      </c>
      <c r="Y218" s="163">
        <f t="shared" si="2557"/>
        <v>45688</v>
      </c>
      <c r="Z218" s="167">
        <f t="shared" si="2558"/>
        <v>0</v>
      </c>
      <c r="AA218" s="163">
        <f t="shared" si="2559"/>
        <v>45689</v>
      </c>
      <c r="AB218" s="163">
        <f t="shared" si="2560"/>
        <v>45716</v>
      </c>
      <c r="AC218" s="167">
        <f t="shared" si="2561"/>
        <v>0</v>
      </c>
      <c r="AD218" s="163">
        <f t="shared" si="2562"/>
        <v>45717</v>
      </c>
      <c r="AE218" s="163">
        <f t="shared" si="2563"/>
        <v>45747</v>
      </c>
      <c r="AF218" s="167">
        <f t="shared" si="2564"/>
        <v>0</v>
      </c>
      <c r="AG218" s="163">
        <f t="shared" si="2565"/>
        <v>45748</v>
      </c>
      <c r="AH218" s="163">
        <f t="shared" si="2566"/>
        <v>45777</v>
      </c>
      <c r="AI218" s="167">
        <f t="shared" si="2567"/>
        <v>0</v>
      </c>
      <c r="AJ218" s="163">
        <f t="shared" si="2568"/>
        <v>45778</v>
      </c>
      <c r="AK218" s="163">
        <f t="shared" si="2569"/>
        <v>45808</v>
      </c>
      <c r="AL218" s="167">
        <f t="shared" si="2570"/>
        <v>0</v>
      </c>
      <c r="AM218" s="163">
        <f t="shared" si="2571"/>
        <v>45809</v>
      </c>
      <c r="AN218" s="163">
        <f t="shared" si="2572"/>
        <v>45838</v>
      </c>
      <c r="AO218" s="167">
        <f t="shared" si="2573"/>
        <v>0</v>
      </c>
      <c r="AP218" s="163">
        <f t="shared" si="2574"/>
        <v>45839</v>
      </c>
      <c r="AQ218" s="163">
        <f t="shared" si="2575"/>
        <v>45869</v>
      </c>
      <c r="AR218" s="167">
        <f t="shared" si="2576"/>
        <v>0</v>
      </c>
      <c r="AS218" s="163">
        <f t="shared" si="2577"/>
        <v>45870</v>
      </c>
      <c r="AT218" s="163">
        <f t="shared" si="2578"/>
        <v>45900</v>
      </c>
      <c r="AU218" s="167">
        <f t="shared" si="2579"/>
        <v>0</v>
      </c>
      <c r="AV218" s="163">
        <f t="shared" si="2580"/>
        <v>45901</v>
      </c>
      <c r="AW218" s="163">
        <f t="shared" si="2581"/>
        <v>45930</v>
      </c>
      <c r="AX218" s="167">
        <f t="shared" si="2582"/>
        <v>0</v>
      </c>
      <c r="AY218" s="163">
        <f t="shared" si="2583"/>
        <v>45931</v>
      </c>
      <c r="AZ218" s="163">
        <f t="shared" si="2584"/>
        <v>45961</v>
      </c>
      <c r="BA218" s="167">
        <f t="shared" si="2585"/>
        <v>0</v>
      </c>
      <c r="BB218" s="163">
        <f t="shared" si="2586"/>
        <v>45962</v>
      </c>
      <c r="BC218" s="163">
        <f t="shared" si="2587"/>
        <v>45991</v>
      </c>
      <c r="BD218" s="167">
        <f t="shared" si="2588"/>
        <v>0</v>
      </c>
      <c r="BE218" s="163">
        <f t="shared" si="2589"/>
        <v>45992</v>
      </c>
      <c r="BF218" s="163">
        <f t="shared" si="2590"/>
        <v>46022</v>
      </c>
      <c r="BG218" s="167">
        <f t="shared" si="2591"/>
        <v>0</v>
      </c>
      <c r="BH218" s="163">
        <v>46023</v>
      </c>
      <c r="BI218" s="163">
        <f t="shared" si="2592"/>
        <v>46053</v>
      </c>
      <c r="BJ218" s="167">
        <f t="shared" si="2593"/>
        <v>0</v>
      </c>
      <c r="BK218" s="163">
        <f t="shared" si="2594"/>
        <v>46054</v>
      </c>
      <c r="BL218" s="163">
        <f t="shared" si="2595"/>
        <v>46081</v>
      </c>
      <c r="BM218" s="167">
        <f t="shared" si="2596"/>
        <v>0</v>
      </c>
      <c r="BN218" s="163">
        <f t="shared" si="2597"/>
        <v>46082</v>
      </c>
      <c r="BO218" s="163">
        <f t="shared" si="2598"/>
        <v>46112</v>
      </c>
      <c r="BP218" s="167">
        <f t="shared" si="2599"/>
        <v>0</v>
      </c>
      <c r="BQ218" s="163">
        <f t="shared" si="2600"/>
        <v>46113</v>
      </c>
      <c r="BR218" s="163">
        <f t="shared" si="2601"/>
        <v>46142</v>
      </c>
      <c r="BS218" s="167">
        <f t="shared" si="2602"/>
        <v>0</v>
      </c>
      <c r="BT218" s="163">
        <f t="shared" si="2603"/>
        <v>46143</v>
      </c>
      <c r="BU218" s="163">
        <f t="shared" si="2604"/>
        <v>46173</v>
      </c>
      <c r="BV218" s="167">
        <f t="shared" si="2605"/>
        <v>0</v>
      </c>
      <c r="BW218" s="163">
        <f t="shared" si="2606"/>
        <v>46174</v>
      </c>
      <c r="BX218" s="163">
        <f t="shared" si="2607"/>
        <v>46203</v>
      </c>
      <c r="BY218" s="167">
        <f t="shared" si="2608"/>
        <v>0</v>
      </c>
      <c r="BZ218" s="163">
        <f t="shared" si="2609"/>
        <v>46204</v>
      </c>
      <c r="CA218" s="163">
        <f t="shared" si="2610"/>
        <v>46234</v>
      </c>
      <c r="CB218" s="167">
        <f t="shared" si="2611"/>
        <v>0</v>
      </c>
      <c r="CC218" s="163">
        <f t="shared" si="2612"/>
        <v>46235</v>
      </c>
      <c r="CD218" s="163">
        <f t="shared" si="2613"/>
        <v>46265</v>
      </c>
      <c r="CE218" s="167">
        <f t="shared" si="2614"/>
        <v>0</v>
      </c>
      <c r="CF218" s="163">
        <f t="shared" si="2615"/>
        <v>46266</v>
      </c>
      <c r="CG218" s="163">
        <f t="shared" si="2616"/>
        <v>46295</v>
      </c>
      <c r="CH218" s="167">
        <f t="shared" si="2617"/>
        <v>0</v>
      </c>
      <c r="CI218" s="163">
        <f t="shared" si="2618"/>
        <v>46296</v>
      </c>
      <c r="CJ218" s="163">
        <f t="shared" si="2619"/>
        <v>46326</v>
      </c>
      <c r="CK218" s="167">
        <f t="shared" si="2620"/>
        <v>0</v>
      </c>
      <c r="CL218" s="163">
        <f t="shared" si="2621"/>
        <v>46327</v>
      </c>
      <c r="CM218" s="163">
        <f t="shared" si="2622"/>
        <v>46356</v>
      </c>
      <c r="CN218" s="167">
        <f t="shared" si="2623"/>
        <v>0</v>
      </c>
      <c r="CO218" s="163">
        <f t="shared" si="2624"/>
        <v>46357</v>
      </c>
      <c r="CP218" s="163">
        <f t="shared" si="2625"/>
        <v>46387</v>
      </c>
      <c r="CQ218" s="167">
        <f t="shared" si="2626"/>
        <v>0</v>
      </c>
    </row>
    <row r="219" s="89" customFormat="1" ht="24" hidden="1" customHeight="1" outlineLevel="4" spans="1:95">
      <c r="A219" s="128"/>
      <c r="B219" s="129"/>
      <c r="C219" s="130"/>
      <c r="D219" s="128"/>
      <c r="E219" s="129"/>
      <c r="F219" s="129"/>
      <c r="G219" s="129"/>
      <c r="H219" s="131"/>
      <c r="I219" s="131"/>
      <c r="J219" s="131">
        <f t="shared" si="2339"/>
        <v>0</v>
      </c>
      <c r="K219" s="131">
        <f t="shared" si="2627"/>
        <v>3</v>
      </c>
      <c r="L219" s="156"/>
      <c r="M219" s="157">
        <f>IFERROR(VLOOKUP($L219,'2-2 引出数据_合同数据仓库'!$B$5:$BP$200,3,FALSE),0)</f>
        <v>0</v>
      </c>
      <c r="N219" s="131"/>
      <c r="O219" s="157">
        <f>IFERROR(VLOOKUP((LEFT(VLOOKUP($L219,'2-2 引出数据_合同数据仓库'!$B$5:$BP$200,64,FALSE),15)&amp;(RIGHT(VLOOKUP($L219,'2-2 引出数据_合同数据仓库'!$B$5:$BP$200,64,FALSE),4)+1)),'2-2 引出数据_合同数据仓库'!$B$5:$BP$200,3,FALSE),0)</f>
        <v>0</v>
      </c>
      <c r="P219" s="131"/>
      <c r="Q219" s="131">
        <f>IFERROR(VLOOKUP($L219,'2-2 引出数据_合同数据仓库'!$B$5:$BP$200,28,FALSE),0)</f>
        <v>0</v>
      </c>
      <c r="R219" s="131">
        <f>IFERROR(VLOOKUP($L219,'2-2 引出数据_合同数据仓库'!$B$5:$BP$200,29,FALSE),0)</f>
        <v>0</v>
      </c>
      <c r="S219" s="131">
        <f>IFERROR(VLOOKUP($L219,'2-2 引出数据_合同数据仓库'!$B$5:$BP$200,4,FALSE),0)</f>
        <v>0</v>
      </c>
      <c r="T219" s="131"/>
      <c r="U219" s="131">
        <f>IFERROR(VLOOKUP($L219,'2-2 引出数据_合同数据仓库'!$B$5:$BP$200,15,FALSE),0)</f>
        <v>0</v>
      </c>
      <c r="V219" s="131">
        <f t="shared" si="2556"/>
        <v>0</v>
      </c>
      <c r="W219" s="131"/>
      <c r="X219" s="163">
        <v>45658</v>
      </c>
      <c r="Y219" s="163">
        <f t="shared" si="2557"/>
        <v>45688</v>
      </c>
      <c r="Z219" s="167">
        <f t="shared" si="2558"/>
        <v>0</v>
      </c>
      <c r="AA219" s="163">
        <f t="shared" si="2559"/>
        <v>45689</v>
      </c>
      <c r="AB219" s="163">
        <f t="shared" si="2560"/>
        <v>45716</v>
      </c>
      <c r="AC219" s="167">
        <f t="shared" si="2561"/>
        <v>0</v>
      </c>
      <c r="AD219" s="163">
        <f t="shared" si="2562"/>
        <v>45717</v>
      </c>
      <c r="AE219" s="163">
        <f t="shared" si="2563"/>
        <v>45747</v>
      </c>
      <c r="AF219" s="167">
        <f t="shared" si="2564"/>
        <v>0</v>
      </c>
      <c r="AG219" s="163">
        <f t="shared" si="2565"/>
        <v>45748</v>
      </c>
      <c r="AH219" s="163">
        <f t="shared" si="2566"/>
        <v>45777</v>
      </c>
      <c r="AI219" s="167">
        <f t="shared" si="2567"/>
        <v>0</v>
      </c>
      <c r="AJ219" s="163">
        <f t="shared" si="2568"/>
        <v>45778</v>
      </c>
      <c r="AK219" s="163">
        <f t="shared" si="2569"/>
        <v>45808</v>
      </c>
      <c r="AL219" s="167">
        <f t="shared" si="2570"/>
        <v>0</v>
      </c>
      <c r="AM219" s="163">
        <f t="shared" si="2571"/>
        <v>45809</v>
      </c>
      <c r="AN219" s="163">
        <f t="shared" si="2572"/>
        <v>45838</v>
      </c>
      <c r="AO219" s="167">
        <f t="shared" si="2573"/>
        <v>0</v>
      </c>
      <c r="AP219" s="163">
        <f t="shared" si="2574"/>
        <v>45839</v>
      </c>
      <c r="AQ219" s="163">
        <f t="shared" si="2575"/>
        <v>45869</v>
      </c>
      <c r="AR219" s="167">
        <f t="shared" si="2576"/>
        <v>0</v>
      </c>
      <c r="AS219" s="163">
        <f t="shared" si="2577"/>
        <v>45870</v>
      </c>
      <c r="AT219" s="163">
        <f t="shared" si="2578"/>
        <v>45900</v>
      </c>
      <c r="AU219" s="167">
        <f t="shared" si="2579"/>
        <v>0</v>
      </c>
      <c r="AV219" s="163">
        <f t="shared" si="2580"/>
        <v>45901</v>
      </c>
      <c r="AW219" s="163">
        <f t="shared" si="2581"/>
        <v>45930</v>
      </c>
      <c r="AX219" s="167">
        <f t="shared" si="2582"/>
        <v>0</v>
      </c>
      <c r="AY219" s="163">
        <f t="shared" si="2583"/>
        <v>45931</v>
      </c>
      <c r="AZ219" s="163">
        <f t="shared" si="2584"/>
        <v>45961</v>
      </c>
      <c r="BA219" s="167">
        <f t="shared" si="2585"/>
        <v>0</v>
      </c>
      <c r="BB219" s="163">
        <f t="shared" si="2586"/>
        <v>45962</v>
      </c>
      <c r="BC219" s="163">
        <f t="shared" si="2587"/>
        <v>45991</v>
      </c>
      <c r="BD219" s="167">
        <f t="shared" si="2588"/>
        <v>0</v>
      </c>
      <c r="BE219" s="163">
        <f t="shared" si="2589"/>
        <v>45992</v>
      </c>
      <c r="BF219" s="163">
        <f t="shared" si="2590"/>
        <v>46022</v>
      </c>
      <c r="BG219" s="167">
        <f t="shared" si="2591"/>
        <v>0</v>
      </c>
      <c r="BH219" s="163">
        <v>46023</v>
      </c>
      <c r="BI219" s="163">
        <f t="shared" si="2592"/>
        <v>46053</v>
      </c>
      <c r="BJ219" s="167">
        <f t="shared" si="2593"/>
        <v>0</v>
      </c>
      <c r="BK219" s="163">
        <f t="shared" si="2594"/>
        <v>46054</v>
      </c>
      <c r="BL219" s="163">
        <f t="shared" si="2595"/>
        <v>46081</v>
      </c>
      <c r="BM219" s="167">
        <f t="shared" si="2596"/>
        <v>0</v>
      </c>
      <c r="BN219" s="163">
        <f t="shared" si="2597"/>
        <v>46082</v>
      </c>
      <c r="BO219" s="163">
        <f t="shared" si="2598"/>
        <v>46112</v>
      </c>
      <c r="BP219" s="167">
        <f t="shared" si="2599"/>
        <v>0</v>
      </c>
      <c r="BQ219" s="163">
        <f t="shared" si="2600"/>
        <v>46113</v>
      </c>
      <c r="BR219" s="163">
        <f t="shared" si="2601"/>
        <v>46142</v>
      </c>
      <c r="BS219" s="167">
        <f t="shared" si="2602"/>
        <v>0</v>
      </c>
      <c r="BT219" s="163">
        <f t="shared" si="2603"/>
        <v>46143</v>
      </c>
      <c r="BU219" s="163">
        <f t="shared" si="2604"/>
        <v>46173</v>
      </c>
      <c r="BV219" s="167">
        <f t="shared" si="2605"/>
        <v>0</v>
      </c>
      <c r="BW219" s="163">
        <f t="shared" si="2606"/>
        <v>46174</v>
      </c>
      <c r="BX219" s="163">
        <f t="shared" si="2607"/>
        <v>46203</v>
      </c>
      <c r="BY219" s="167">
        <f t="shared" si="2608"/>
        <v>0</v>
      </c>
      <c r="BZ219" s="163">
        <f t="shared" si="2609"/>
        <v>46204</v>
      </c>
      <c r="CA219" s="163">
        <f t="shared" si="2610"/>
        <v>46234</v>
      </c>
      <c r="CB219" s="167">
        <f t="shared" si="2611"/>
        <v>0</v>
      </c>
      <c r="CC219" s="163">
        <f t="shared" si="2612"/>
        <v>46235</v>
      </c>
      <c r="CD219" s="163">
        <f t="shared" si="2613"/>
        <v>46265</v>
      </c>
      <c r="CE219" s="167">
        <f t="shared" si="2614"/>
        <v>0</v>
      </c>
      <c r="CF219" s="163">
        <f t="shared" si="2615"/>
        <v>46266</v>
      </c>
      <c r="CG219" s="163">
        <f t="shared" si="2616"/>
        <v>46295</v>
      </c>
      <c r="CH219" s="167">
        <f t="shared" si="2617"/>
        <v>0</v>
      </c>
      <c r="CI219" s="163">
        <f t="shared" si="2618"/>
        <v>46296</v>
      </c>
      <c r="CJ219" s="163">
        <f t="shared" si="2619"/>
        <v>46326</v>
      </c>
      <c r="CK219" s="167">
        <f t="shared" si="2620"/>
        <v>0</v>
      </c>
      <c r="CL219" s="163">
        <f t="shared" si="2621"/>
        <v>46327</v>
      </c>
      <c r="CM219" s="163">
        <f t="shared" si="2622"/>
        <v>46356</v>
      </c>
      <c r="CN219" s="167">
        <f t="shared" si="2623"/>
        <v>0</v>
      </c>
      <c r="CO219" s="163">
        <f t="shared" si="2624"/>
        <v>46357</v>
      </c>
      <c r="CP219" s="163">
        <f t="shared" si="2625"/>
        <v>46387</v>
      </c>
      <c r="CQ219" s="167">
        <f t="shared" si="2626"/>
        <v>0</v>
      </c>
    </row>
    <row r="220" s="89" customFormat="1" ht="24" hidden="1" customHeight="1" outlineLevel="4" spans="1:95">
      <c r="A220" s="128"/>
      <c r="B220" s="129"/>
      <c r="C220" s="130"/>
      <c r="D220" s="128"/>
      <c r="E220" s="129"/>
      <c r="F220" s="129"/>
      <c r="G220" s="129"/>
      <c r="H220" s="131"/>
      <c r="I220" s="131"/>
      <c r="J220" s="131">
        <f t="shared" si="2339"/>
        <v>0</v>
      </c>
      <c r="K220" s="131">
        <f t="shared" si="2627"/>
        <v>4</v>
      </c>
      <c r="L220" s="156"/>
      <c r="M220" s="157">
        <f>IFERROR(VLOOKUP($L220,'2-2 引出数据_合同数据仓库'!$B$5:$BP$200,3,FALSE),0)</f>
        <v>0</v>
      </c>
      <c r="N220" s="131"/>
      <c r="O220" s="157">
        <f>IFERROR(VLOOKUP((LEFT(VLOOKUP($L220,'2-2 引出数据_合同数据仓库'!$B$5:$BP$200,64,FALSE),15)&amp;(RIGHT(VLOOKUP($L220,'2-2 引出数据_合同数据仓库'!$B$5:$BP$200,64,FALSE),4)+1)),'2-2 引出数据_合同数据仓库'!$B$5:$BP$200,3,FALSE),0)</f>
        <v>0</v>
      </c>
      <c r="P220" s="131"/>
      <c r="Q220" s="131">
        <f>IFERROR(VLOOKUP($L220,'2-2 引出数据_合同数据仓库'!$B$5:$BP$200,28,FALSE),0)</f>
        <v>0</v>
      </c>
      <c r="R220" s="131">
        <f>IFERROR(VLOOKUP($L220,'2-2 引出数据_合同数据仓库'!$B$5:$BP$200,29,FALSE),0)</f>
        <v>0</v>
      </c>
      <c r="S220" s="131">
        <f>IFERROR(VLOOKUP($L220,'2-2 引出数据_合同数据仓库'!$B$5:$BP$200,4,FALSE),0)</f>
        <v>0</v>
      </c>
      <c r="T220" s="131"/>
      <c r="U220" s="131">
        <f>IFERROR(VLOOKUP($L220,'2-2 引出数据_合同数据仓库'!$B$5:$BP$200,15,FALSE),0)</f>
        <v>0</v>
      </c>
      <c r="V220" s="131">
        <f t="shared" si="2556"/>
        <v>0</v>
      </c>
      <c r="W220" s="131"/>
      <c r="X220" s="163">
        <v>45658</v>
      </c>
      <c r="Y220" s="163">
        <f t="shared" si="2557"/>
        <v>45688</v>
      </c>
      <c r="Z220" s="167">
        <f t="shared" si="2558"/>
        <v>0</v>
      </c>
      <c r="AA220" s="163">
        <f t="shared" si="2559"/>
        <v>45689</v>
      </c>
      <c r="AB220" s="163">
        <f t="shared" si="2560"/>
        <v>45716</v>
      </c>
      <c r="AC220" s="167">
        <f t="shared" si="2561"/>
        <v>0</v>
      </c>
      <c r="AD220" s="163">
        <f t="shared" si="2562"/>
        <v>45717</v>
      </c>
      <c r="AE220" s="163">
        <f t="shared" si="2563"/>
        <v>45747</v>
      </c>
      <c r="AF220" s="167">
        <f t="shared" si="2564"/>
        <v>0</v>
      </c>
      <c r="AG220" s="163">
        <f t="shared" si="2565"/>
        <v>45748</v>
      </c>
      <c r="AH220" s="163">
        <f t="shared" si="2566"/>
        <v>45777</v>
      </c>
      <c r="AI220" s="167">
        <f t="shared" si="2567"/>
        <v>0</v>
      </c>
      <c r="AJ220" s="163">
        <f t="shared" si="2568"/>
        <v>45778</v>
      </c>
      <c r="AK220" s="163">
        <f t="shared" si="2569"/>
        <v>45808</v>
      </c>
      <c r="AL220" s="167">
        <f t="shared" si="2570"/>
        <v>0</v>
      </c>
      <c r="AM220" s="163">
        <f t="shared" si="2571"/>
        <v>45809</v>
      </c>
      <c r="AN220" s="163">
        <f t="shared" si="2572"/>
        <v>45838</v>
      </c>
      <c r="AO220" s="167">
        <f t="shared" si="2573"/>
        <v>0</v>
      </c>
      <c r="AP220" s="163">
        <f t="shared" si="2574"/>
        <v>45839</v>
      </c>
      <c r="AQ220" s="163">
        <f t="shared" si="2575"/>
        <v>45869</v>
      </c>
      <c r="AR220" s="167">
        <f t="shared" si="2576"/>
        <v>0</v>
      </c>
      <c r="AS220" s="163">
        <f t="shared" si="2577"/>
        <v>45870</v>
      </c>
      <c r="AT220" s="163">
        <f t="shared" si="2578"/>
        <v>45900</v>
      </c>
      <c r="AU220" s="167">
        <f t="shared" si="2579"/>
        <v>0</v>
      </c>
      <c r="AV220" s="163">
        <f t="shared" si="2580"/>
        <v>45901</v>
      </c>
      <c r="AW220" s="163">
        <f t="shared" si="2581"/>
        <v>45930</v>
      </c>
      <c r="AX220" s="167">
        <f t="shared" si="2582"/>
        <v>0</v>
      </c>
      <c r="AY220" s="163">
        <f t="shared" si="2583"/>
        <v>45931</v>
      </c>
      <c r="AZ220" s="163">
        <f t="shared" si="2584"/>
        <v>45961</v>
      </c>
      <c r="BA220" s="167">
        <f t="shared" si="2585"/>
        <v>0</v>
      </c>
      <c r="BB220" s="163">
        <f t="shared" si="2586"/>
        <v>45962</v>
      </c>
      <c r="BC220" s="163">
        <f t="shared" si="2587"/>
        <v>45991</v>
      </c>
      <c r="BD220" s="167">
        <f t="shared" si="2588"/>
        <v>0</v>
      </c>
      <c r="BE220" s="163">
        <f t="shared" si="2589"/>
        <v>45992</v>
      </c>
      <c r="BF220" s="163">
        <f t="shared" si="2590"/>
        <v>46022</v>
      </c>
      <c r="BG220" s="167">
        <f t="shared" si="2591"/>
        <v>0</v>
      </c>
      <c r="BH220" s="163">
        <v>46023</v>
      </c>
      <c r="BI220" s="163">
        <f t="shared" si="2592"/>
        <v>46053</v>
      </c>
      <c r="BJ220" s="167">
        <f t="shared" si="2593"/>
        <v>0</v>
      </c>
      <c r="BK220" s="163">
        <f t="shared" si="2594"/>
        <v>46054</v>
      </c>
      <c r="BL220" s="163">
        <f t="shared" si="2595"/>
        <v>46081</v>
      </c>
      <c r="BM220" s="167">
        <f t="shared" si="2596"/>
        <v>0</v>
      </c>
      <c r="BN220" s="163">
        <f t="shared" si="2597"/>
        <v>46082</v>
      </c>
      <c r="BO220" s="163">
        <f t="shared" si="2598"/>
        <v>46112</v>
      </c>
      <c r="BP220" s="167">
        <f t="shared" si="2599"/>
        <v>0</v>
      </c>
      <c r="BQ220" s="163">
        <f t="shared" si="2600"/>
        <v>46113</v>
      </c>
      <c r="BR220" s="163">
        <f t="shared" si="2601"/>
        <v>46142</v>
      </c>
      <c r="BS220" s="167">
        <f t="shared" si="2602"/>
        <v>0</v>
      </c>
      <c r="BT220" s="163">
        <f t="shared" si="2603"/>
        <v>46143</v>
      </c>
      <c r="BU220" s="163">
        <f t="shared" si="2604"/>
        <v>46173</v>
      </c>
      <c r="BV220" s="167">
        <f t="shared" si="2605"/>
        <v>0</v>
      </c>
      <c r="BW220" s="163">
        <f t="shared" si="2606"/>
        <v>46174</v>
      </c>
      <c r="BX220" s="163">
        <f t="shared" si="2607"/>
        <v>46203</v>
      </c>
      <c r="BY220" s="167">
        <f t="shared" si="2608"/>
        <v>0</v>
      </c>
      <c r="BZ220" s="163">
        <f t="shared" si="2609"/>
        <v>46204</v>
      </c>
      <c r="CA220" s="163">
        <f t="shared" si="2610"/>
        <v>46234</v>
      </c>
      <c r="CB220" s="167">
        <f t="shared" si="2611"/>
        <v>0</v>
      </c>
      <c r="CC220" s="163">
        <f t="shared" si="2612"/>
        <v>46235</v>
      </c>
      <c r="CD220" s="163">
        <f t="shared" si="2613"/>
        <v>46265</v>
      </c>
      <c r="CE220" s="167">
        <f t="shared" si="2614"/>
        <v>0</v>
      </c>
      <c r="CF220" s="163">
        <f t="shared" si="2615"/>
        <v>46266</v>
      </c>
      <c r="CG220" s="163">
        <f t="shared" si="2616"/>
        <v>46295</v>
      </c>
      <c r="CH220" s="167">
        <f t="shared" si="2617"/>
        <v>0</v>
      </c>
      <c r="CI220" s="163">
        <f t="shared" si="2618"/>
        <v>46296</v>
      </c>
      <c r="CJ220" s="163">
        <f t="shared" si="2619"/>
        <v>46326</v>
      </c>
      <c r="CK220" s="167">
        <f t="shared" si="2620"/>
        <v>0</v>
      </c>
      <c r="CL220" s="163">
        <f t="shared" si="2621"/>
        <v>46327</v>
      </c>
      <c r="CM220" s="163">
        <f t="shared" si="2622"/>
        <v>46356</v>
      </c>
      <c r="CN220" s="167">
        <f t="shared" si="2623"/>
        <v>0</v>
      </c>
      <c r="CO220" s="163">
        <f t="shared" si="2624"/>
        <v>46357</v>
      </c>
      <c r="CP220" s="163">
        <f t="shared" si="2625"/>
        <v>46387</v>
      </c>
      <c r="CQ220" s="167">
        <f t="shared" si="2626"/>
        <v>0</v>
      </c>
    </row>
    <row r="221" s="89" customFormat="1" ht="24" hidden="1" customHeight="1" outlineLevel="4" spans="1:95">
      <c r="A221" s="132" t="s">
        <v>2813</v>
      </c>
      <c r="B221" s="133"/>
      <c r="C221" s="133"/>
      <c r="D221" s="133"/>
      <c r="E221" s="133"/>
      <c r="F221" s="133"/>
      <c r="G221" s="134"/>
      <c r="H221" s="135"/>
      <c r="I221" s="135"/>
      <c r="J221" s="135"/>
      <c r="K221" s="135"/>
      <c r="L221" s="158"/>
      <c r="M221" s="158"/>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c r="CL221" s="135"/>
      <c r="CM221" s="135"/>
      <c r="CN221" s="135"/>
      <c r="CO221" s="135"/>
      <c r="CP221" s="135"/>
      <c r="CQ221" s="135"/>
    </row>
    <row r="222" ht="24" hidden="1" customHeight="1" outlineLevel="3" collapsed="1" spans="1:95">
      <c r="A222" s="124"/>
      <c r="B222" s="125" t="s">
        <v>792</v>
      </c>
      <c r="C222" s="126" t="s">
        <v>1179</v>
      </c>
      <c r="D222" s="124" t="s">
        <v>1185</v>
      </c>
      <c r="E222" s="125" t="s">
        <v>1186</v>
      </c>
      <c r="F222" s="125"/>
      <c r="G222" s="125" t="s">
        <v>936</v>
      </c>
      <c r="H222" s="127">
        <f>X222+AA222+AD222+AG222+AJ222+AM222+AP222+AS222+AV222+AY222+BB222+BE222</f>
        <v>0</v>
      </c>
      <c r="I222" s="127">
        <f>Y222+AB222+AE222+AH222+AK222+AN222+AQ222+AT222+AW222+AZ222+BC222+BF222</f>
        <v>0</v>
      </c>
      <c r="J222" s="127">
        <f t="shared" si="2339"/>
        <v>0</v>
      </c>
      <c r="K222" s="127"/>
      <c r="L222" s="155"/>
      <c r="M222" s="155"/>
      <c r="N222" s="127"/>
      <c r="O222" s="127"/>
      <c r="P222" s="127"/>
      <c r="Q222" s="127"/>
      <c r="R222" s="127"/>
      <c r="S222" s="127"/>
      <c r="T222" s="127"/>
      <c r="U222" s="127"/>
      <c r="V222" s="127"/>
      <c r="W222" s="127"/>
      <c r="X222" s="127">
        <f>VLOOKUP($C222,'1 预算编制表单'!$C:$BJ,27,FALSE)</f>
        <v>0</v>
      </c>
      <c r="Y222" s="127">
        <f>X222-Z222</f>
        <v>0</v>
      </c>
      <c r="Z222" s="127">
        <f>SUM(Z223:Z227)</f>
        <v>0</v>
      </c>
      <c r="AA222" s="127">
        <f>VLOOKUP($C222,'1 预算编制表单'!$C:$BJ,30,FALSE)</f>
        <v>0</v>
      </c>
      <c r="AB222" s="127">
        <f>AA222-AC222</f>
        <v>0</v>
      </c>
      <c r="AC222" s="127">
        <f>SUM(AC223:AC227)</f>
        <v>0</v>
      </c>
      <c r="AD222" s="127">
        <f>VLOOKUP($C222,'1 预算编制表单'!$C:$BJ,33,FALSE)</f>
        <v>0</v>
      </c>
      <c r="AE222" s="127">
        <f>AD222-AF222</f>
        <v>0</v>
      </c>
      <c r="AF222" s="127">
        <f>SUM(AF223:AF227)</f>
        <v>0</v>
      </c>
      <c r="AG222" s="127">
        <f>VLOOKUP($C222,'1 预算编制表单'!$C:$BJ,36,FALSE)</f>
        <v>0</v>
      </c>
      <c r="AH222" s="127">
        <f>AG222-AI222</f>
        <v>0</v>
      </c>
      <c r="AI222" s="127">
        <f>SUM(AI223:AI227)</f>
        <v>0</v>
      </c>
      <c r="AJ222" s="127">
        <f>VLOOKUP($C222,'1 预算编制表单'!$C:$BJ,39,FALSE)</f>
        <v>0</v>
      </c>
      <c r="AK222" s="127">
        <f>AJ222-AL222</f>
        <v>0</v>
      </c>
      <c r="AL222" s="127">
        <f>SUM(AL223:AL227)</f>
        <v>0</v>
      </c>
      <c r="AM222" s="127">
        <f>VLOOKUP($C222,'1 预算编制表单'!$C:$BJ,42,FALSE)</f>
        <v>0</v>
      </c>
      <c r="AN222" s="127">
        <f>AM222-AO222</f>
        <v>0</v>
      </c>
      <c r="AO222" s="127">
        <f>SUM(AO223:AO227)</f>
        <v>0</v>
      </c>
      <c r="AP222" s="127">
        <f>VLOOKUP($C222,'1 预算编制表单'!$C:$BJ,45,FALSE)</f>
        <v>0</v>
      </c>
      <c r="AQ222" s="127">
        <f>AP222-AR222</f>
        <v>0</v>
      </c>
      <c r="AR222" s="127">
        <f>SUM(AR223:AR227)</f>
        <v>0</v>
      </c>
      <c r="AS222" s="127">
        <f>VLOOKUP($C222,'1 预算编制表单'!$C:$BJ,48,FALSE)</f>
        <v>0</v>
      </c>
      <c r="AT222" s="127">
        <f>AS222-AU222</f>
        <v>0</v>
      </c>
      <c r="AU222" s="127">
        <f>SUM(AU223:AU227)</f>
        <v>0</v>
      </c>
      <c r="AV222" s="127">
        <f>VLOOKUP($C222,'1 预算编制表单'!$C:$BJ,51,FALSE)</f>
        <v>0</v>
      </c>
      <c r="AW222" s="127">
        <f>AV222-AX222</f>
        <v>0</v>
      </c>
      <c r="AX222" s="127">
        <f>SUM(AX223:AX227)</f>
        <v>0</v>
      </c>
      <c r="AY222" s="127">
        <f>VLOOKUP($C222,'1 预算编制表单'!$C:$BJ,54,FALSE)</f>
        <v>0</v>
      </c>
      <c r="AZ222" s="127">
        <f>AY222-BA222</f>
        <v>0</v>
      </c>
      <c r="BA222" s="127">
        <f>SUM(BA223:BA227)</f>
        <v>0</v>
      </c>
      <c r="BB222" s="127">
        <f>VLOOKUP($C222,'1 预算编制表单'!$C:$BJ,57,FALSE)</f>
        <v>0</v>
      </c>
      <c r="BC222" s="127">
        <f>BB222-BD222</f>
        <v>0</v>
      </c>
      <c r="BD222" s="127">
        <f>SUM(BD223:BD227)</f>
        <v>0</v>
      </c>
      <c r="BE222" s="127">
        <f>VLOOKUP($C222,'1 预算编制表单'!$C:$BJ,60,FALSE)</f>
        <v>0</v>
      </c>
      <c r="BF222" s="127">
        <f>BE222-BG222</f>
        <v>0</v>
      </c>
      <c r="BG222" s="127">
        <f>SUM(BG223:BG227)</f>
        <v>0</v>
      </c>
      <c r="BH222" s="127">
        <f>VLOOKUP($C222,'1 预算编制表单'!$C:$BJ,27,FALSE)</f>
        <v>0</v>
      </c>
      <c r="BI222" s="127">
        <f>BH222-BJ222</f>
        <v>0</v>
      </c>
      <c r="BJ222" s="127">
        <f>SUM(BJ223:BJ227)</f>
        <v>0</v>
      </c>
      <c r="BK222" s="127">
        <f>VLOOKUP($C222,'1 预算编制表单'!$C:$BJ,30,FALSE)</f>
        <v>0</v>
      </c>
      <c r="BL222" s="127">
        <f>BK222-BM222</f>
        <v>0</v>
      </c>
      <c r="BM222" s="127">
        <f>SUM(BM223:BM227)</f>
        <v>0</v>
      </c>
      <c r="BN222" s="127">
        <f>VLOOKUP($C222,'1 预算编制表单'!$C:$BJ,33,FALSE)</f>
        <v>0</v>
      </c>
      <c r="BO222" s="127">
        <f>BN222-BP222</f>
        <v>0</v>
      </c>
      <c r="BP222" s="127">
        <f>SUM(BP223:BP227)</f>
        <v>0</v>
      </c>
      <c r="BQ222" s="127">
        <f>VLOOKUP($C222,'1 预算编制表单'!$C:$BJ,36,FALSE)</f>
        <v>0</v>
      </c>
      <c r="BR222" s="127">
        <f>BQ222-BS222</f>
        <v>0</v>
      </c>
      <c r="BS222" s="127">
        <f>SUM(BS223:BS227)</f>
        <v>0</v>
      </c>
      <c r="BT222" s="127">
        <f>VLOOKUP($C222,'1 预算编制表单'!$C:$BJ,39,FALSE)</f>
        <v>0</v>
      </c>
      <c r="BU222" s="127">
        <f>BT222-BV222</f>
        <v>0</v>
      </c>
      <c r="BV222" s="127">
        <f>SUM(BV223:BV227)</f>
        <v>0</v>
      </c>
      <c r="BW222" s="127">
        <f>VLOOKUP($C222,'1 预算编制表单'!$C:$BJ,42,FALSE)</f>
        <v>0</v>
      </c>
      <c r="BX222" s="127">
        <f>BW222-BY222</f>
        <v>0</v>
      </c>
      <c r="BY222" s="127">
        <f>SUM(BY223:BY227)</f>
        <v>0</v>
      </c>
      <c r="BZ222" s="127">
        <f>VLOOKUP($C222,'1 预算编制表单'!$C:$BJ,45,FALSE)</f>
        <v>0</v>
      </c>
      <c r="CA222" s="127">
        <f>BZ222-CB222</f>
        <v>0</v>
      </c>
      <c r="CB222" s="127">
        <f>SUM(CB223:CB227)</f>
        <v>0</v>
      </c>
      <c r="CC222" s="127">
        <f>VLOOKUP($C222,'1 预算编制表单'!$C:$BJ,48,FALSE)</f>
        <v>0</v>
      </c>
      <c r="CD222" s="127">
        <f>CC222-CE222</f>
        <v>0</v>
      </c>
      <c r="CE222" s="127">
        <f>SUM(CE223:CE227)</f>
        <v>0</v>
      </c>
      <c r="CF222" s="127">
        <f>VLOOKUP($C222,'1 预算编制表单'!$C:$BJ,51,FALSE)</f>
        <v>0</v>
      </c>
      <c r="CG222" s="127">
        <f>CF222-CH222</f>
        <v>0</v>
      </c>
      <c r="CH222" s="127">
        <f>SUM(CH223:CH227)</f>
        <v>0</v>
      </c>
      <c r="CI222" s="127">
        <f>VLOOKUP($C222,'1 预算编制表单'!$C:$BJ,54,FALSE)</f>
        <v>0</v>
      </c>
      <c r="CJ222" s="127">
        <f>CI222-CK222</f>
        <v>0</v>
      </c>
      <c r="CK222" s="127">
        <f>SUM(CK223:CK227)</f>
        <v>0</v>
      </c>
      <c r="CL222" s="127">
        <f>VLOOKUP($C222,'1 预算编制表单'!$C:$BJ,57,FALSE)</f>
        <v>0</v>
      </c>
      <c r="CM222" s="127">
        <f>CL222-CN222</f>
        <v>0</v>
      </c>
      <c r="CN222" s="127">
        <f>SUM(CN223:CN227)</f>
        <v>0</v>
      </c>
      <c r="CO222" s="127">
        <f>VLOOKUP($C222,'1 预算编制表单'!$C:$BJ,60,FALSE)</f>
        <v>0</v>
      </c>
      <c r="CP222" s="127">
        <f>CO222-CQ222</f>
        <v>0</v>
      </c>
      <c r="CQ222" s="127">
        <f>SUM(CQ223:CQ227)</f>
        <v>0</v>
      </c>
    </row>
    <row r="223" s="89" customFormat="1" ht="24" hidden="1" customHeight="1" outlineLevel="4" spans="1:95">
      <c r="A223" s="128"/>
      <c r="B223" s="129"/>
      <c r="C223" s="130"/>
      <c r="D223" s="128"/>
      <c r="E223" s="129"/>
      <c r="F223" s="129"/>
      <c r="G223" s="129"/>
      <c r="H223" s="131"/>
      <c r="I223" s="131"/>
      <c r="J223" s="131">
        <f t="shared" si="2339"/>
        <v>0</v>
      </c>
      <c r="K223" s="131">
        <v>1</v>
      </c>
      <c r="L223" s="156"/>
      <c r="M223" s="157">
        <f>IFERROR(VLOOKUP($L223,'2-2 引出数据_合同数据仓库'!$B$5:$BP$200,3,FALSE),0)</f>
        <v>0</v>
      </c>
      <c r="N223" s="131"/>
      <c r="O223" s="157">
        <f>IFERROR(VLOOKUP((LEFT(VLOOKUP($L223,'2-2 引出数据_合同数据仓库'!$B$5:$BP$200,64,FALSE),15)&amp;(RIGHT(VLOOKUP($L223,'2-2 引出数据_合同数据仓库'!$B$5:$BP$200,64,FALSE),4)+1)),'2-2 引出数据_合同数据仓库'!$B$5:$BP$200,3,FALSE),0)</f>
        <v>0</v>
      </c>
      <c r="P223" s="131"/>
      <c r="Q223" s="131">
        <f>IFERROR(VLOOKUP($L223,'2-2 引出数据_合同数据仓库'!$B$5:$BP$200,28,FALSE),0)</f>
        <v>0</v>
      </c>
      <c r="R223" s="131">
        <f>IFERROR(VLOOKUP($L223,'2-2 引出数据_合同数据仓库'!$B$5:$BP$200,29,FALSE),0)</f>
        <v>0</v>
      </c>
      <c r="S223" s="131">
        <f>IFERROR(VLOOKUP($L223,'2-2 引出数据_合同数据仓库'!$B$5:$BP$200,4,FALSE),0)</f>
        <v>0</v>
      </c>
      <c r="T223" s="131"/>
      <c r="U223" s="131">
        <f>IFERROR(VLOOKUP($L223,'2-2 引出数据_合同数据仓库'!$B$5:$BP$200,15,FALSE),0)</f>
        <v>0</v>
      </c>
      <c r="V223" s="131">
        <f t="shared" ref="V223:V226" si="2628">U223/(S223-R223+1)*365</f>
        <v>0</v>
      </c>
      <c r="W223" s="131"/>
      <c r="X223" s="163">
        <v>45658</v>
      </c>
      <c r="Y223" s="163">
        <f t="shared" ref="Y223:Y226" si="2629">X223+30</f>
        <v>45688</v>
      </c>
      <c r="Z223" s="167">
        <f t="shared" ref="Z223:Z226" si="2630">IFERROR(IF(($R223-Y223)&gt;=0,0,IF(($S223-X223)&lt;0,0,IF(AND(($S223-Y223)&gt;0,(X223-$R223)&gt;0),$V223/365*(Y223-X223+1),IF(AND(($S223-Y223)&lt;=0,(X223-$R223)&gt;0),$V223/365*($S223-X223+1),$V223/365*(Y223-$R223+1))))),0)</f>
        <v>0</v>
      </c>
      <c r="AA223" s="163">
        <f t="shared" ref="AA223:AA226" si="2631">Y223+1</f>
        <v>45689</v>
      </c>
      <c r="AB223" s="163">
        <f t="shared" ref="AB223:AB226" si="2632">AA223+27</f>
        <v>45716</v>
      </c>
      <c r="AC223" s="167">
        <f t="shared" ref="AC223:AC226" si="2633">IFERROR(IF(($R223-AB223)&gt;=0,0,IF(($S223-AA223)&lt;0,0,IF(AND(($S223-AB223)&gt;0,(AA223-$R223)&gt;0),$V223/365*(AB223-AA223+1),IF(AND(($S223-AB223)&lt;=0,(AA223-$R223)&gt;0),$V223/365*($S223-AA223+1),$V223/365*(AB223-$R223+1))))),0)</f>
        <v>0</v>
      </c>
      <c r="AD223" s="163">
        <f t="shared" ref="AD223:AD226" si="2634">AB223+1</f>
        <v>45717</v>
      </c>
      <c r="AE223" s="163">
        <f t="shared" ref="AE223:AE226" si="2635">AD223+30</f>
        <v>45747</v>
      </c>
      <c r="AF223" s="167">
        <f t="shared" ref="AF223:AF226" si="2636">IFERROR(IF(($R223-AE223)&gt;=0,0,IF(($S223-AD223)&lt;0,0,IF(AND(($S223-AE223)&gt;0,(AD223-$R223)&gt;0),$V223/365*(AE223-AD223+1),IF(AND(($S223-AE223)&lt;=0,(AD223-$R223)&gt;0),$V223/365*($S223-AD223+1),$V223/365*(AE223-$R223+1))))),0)</f>
        <v>0</v>
      </c>
      <c r="AG223" s="163">
        <f t="shared" ref="AG223:AG226" si="2637">AE223+1</f>
        <v>45748</v>
      </c>
      <c r="AH223" s="163">
        <f t="shared" ref="AH223:AH226" si="2638">AG223+29</f>
        <v>45777</v>
      </c>
      <c r="AI223" s="167">
        <f t="shared" ref="AI223:AI226" si="2639">IFERROR(IF(($R223-AH223)&gt;=0,0,IF(($S223-AG223)&lt;0,0,IF(AND(($S223-AH223)&gt;0,(AG223-$R223)&gt;0),$V223/365*(AH223-AG223+1),IF(AND(($S223-AH223)&lt;=0,(AG223-$R223)&gt;0),$V223/365*($S223-AG223+1),$V223/365*(AH223-$R223+1))))),0)</f>
        <v>0</v>
      </c>
      <c r="AJ223" s="163">
        <f t="shared" ref="AJ223:AJ226" si="2640">AH223+1</f>
        <v>45778</v>
      </c>
      <c r="AK223" s="163">
        <f t="shared" ref="AK223:AK226" si="2641">AJ223+30</f>
        <v>45808</v>
      </c>
      <c r="AL223" s="167">
        <f t="shared" ref="AL223:AL226" si="2642">IFERROR(IF(($R223-AK223)&gt;=0,0,IF(($S223-AJ223)&lt;0,0,IF(AND(($S223-AK223)&gt;0,(AJ223-$R223)&gt;0),$V223/365*(AK223-AJ223+1),IF(AND(($S223-AK223)&lt;=0,(AJ223-$R223)&gt;0),$V223/365*($S223-AJ223+1),$V223/365*(AK223-$R223+1))))),0)</f>
        <v>0</v>
      </c>
      <c r="AM223" s="163">
        <f t="shared" ref="AM223:AM226" si="2643">AK223+1</f>
        <v>45809</v>
      </c>
      <c r="AN223" s="163">
        <f t="shared" ref="AN223:AN226" si="2644">AM223+29</f>
        <v>45838</v>
      </c>
      <c r="AO223" s="167">
        <f t="shared" ref="AO223:AO226" si="2645">IFERROR(IF(($R223-AN223)&gt;=0,0,IF(($S223-AM223)&lt;0,0,IF(AND(($S223-AN223)&gt;0,(AM223-$R223)&gt;0),$V223/365*(AN223-AM223+1),IF(AND(($S223-AN223)&lt;=0,(AM223-$R223)&gt;0),$V223/365*($S223-AM223+1),$V223/365*(AN223-$R223+1))))),0)</f>
        <v>0</v>
      </c>
      <c r="AP223" s="163">
        <f t="shared" ref="AP223:AP226" si="2646">AN223+1</f>
        <v>45839</v>
      </c>
      <c r="AQ223" s="163">
        <f t="shared" ref="AQ223:AQ226" si="2647">AP223+30</f>
        <v>45869</v>
      </c>
      <c r="AR223" s="167">
        <f t="shared" ref="AR223:AR226" si="2648">IFERROR(IF(($R223-AQ223)&gt;=0,0,IF(($S223-AP223)&lt;0,0,IF(AND(($S223-AQ223)&gt;0,(AP223-$R223)&gt;0),$V223/365*(AQ223-AP223+1),IF(AND(($S223-AQ223)&lt;=0,(AP223-$R223)&gt;0),$V223/365*($S223-AP223+1),$V223/365*(AQ223-$R223+1))))),0)</f>
        <v>0</v>
      </c>
      <c r="AS223" s="163">
        <f t="shared" ref="AS223:AS226" si="2649">AQ223+1</f>
        <v>45870</v>
      </c>
      <c r="AT223" s="163">
        <f t="shared" ref="AT223:AT226" si="2650">AS223+30</f>
        <v>45900</v>
      </c>
      <c r="AU223" s="167">
        <f t="shared" ref="AU223:AU226" si="2651">IFERROR(IF(($R223-AT223)&gt;=0,0,IF(($S223-AS223)&lt;0,0,IF(AND(($S223-AT223)&gt;0,(AS223-$R223)&gt;0),$V223/365*(AT223-AS223+1),IF(AND(($S223-AT223)&lt;=0,(AS223-$R223)&gt;0),$V223/365*($S223-AS223+1),$V223/365*(AT223-$R223+1))))),0)</f>
        <v>0</v>
      </c>
      <c r="AV223" s="163">
        <f t="shared" ref="AV223:AV226" si="2652">AT223+1</f>
        <v>45901</v>
      </c>
      <c r="AW223" s="163">
        <f t="shared" ref="AW223:AW226" si="2653">AV223+29</f>
        <v>45930</v>
      </c>
      <c r="AX223" s="167">
        <f t="shared" ref="AX223:AX226" si="2654">IFERROR(IF(($R223-AW223)&gt;=0,0,IF(($S223-AV223)&lt;0,0,IF(AND(($S223-AW223)&gt;0,(AV223-$R223)&gt;0),$V223/365*(AW223-AV223+1),IF(AND(($S223-AW223)&lt;=0,(AV223-$R223)&gt;0),$V223/365*($S223-AV223+1),$V223/365*(AW223-$R223+1))))),0)</f>
        <v>0</v>
      </c>
      <c r="AY223" s="163">
        <f t="shared" ref="AY223:AY226" si="2655">AW223+1</f>
        <v>45931</v>
      </c>
      <c r="AZ223" s="163">
        <f t="shared" ref="AZ223:AZ226" si="2656">AY223+30</f>
        <v>45961</v>
      </c>
      <c r="BA223" s="167">
        <f t="shared" ref="BA223:BA226" si="2657">IFERROR(IF(($R223-AZ223)&gt;=0,0,IF(($S223-AY223)&lt;0,0,IF(AND(($S223-AZ223)&gt;0,(AY223-$R223)&gt;0),$V223/365*(AZ223-AY223+1),IF(AND(($S223-AZ223)&lt;=0,(AY223-$R223)&gt;0),$V223/365*($S223-AY223+1),$V223/365*(AZ223-$R223+1))))),0)</f>
        <v>0</v>
      </c>
      <c r="BB223" s="163">
        <f t="shared" ref="BB223:BB226" si="2658">AZ223+1</f>
        <v>45962</v>
      </c>
      <c r="BC223" s="163">
        <f t="shared" ref="BC223:BC226" si="2659">BB223+29</f>
        <v>45991</v>
      </c>
      <c r="BD223" s="167">
        <f t="shared" ref="BD223:BD226" si="2660">IFERROR(IF(($R223-BC223)&gt;=0,0,IF(($S223-BB223)&lt;0,0,IF(AND(($S223-BC223)&gt;0,(BB223-$R223)&gt;0),$V223/365*(BC223-BB223+1),IF(AND(($S223-BC223)&lt;=0,(BB223-$R223)&gt;0),$V223/365*($S223-BB223+1),$V223/365*(BC223-$R223+1))))),0)</f>
        <v>0</v>
      </c>
      <c r="BE223" s="163">
        <f t="shared" ref="BE223:BE226" si="2661">BC223+1</f>
        <v>45992</v>
      </c>
      <c r="BF223" s="163">
        <f t="shared" ref="BF223:BF226" si="2662">BE223+30</f>
        <v>46022</v>
      </c>
      <c r="BG223" s="167">
        <f t="shared" ref="BG223:BG226" si="2663">IFERROR(IF(($R223-BF223)&gt;=0,0,IF(($S223-BE223)&lt;0,0,IF(AND(($S223-BF223)&gt;0,(BE223-$R223)&gt;0),$V223/365*(BF223-BE223+1),IF(AND(($S223-BF223)&lt;=0,(BE223-$R223)&gt;0),$V223/365*($S223-BE223+1),$V223/365*(BF223-$R223+1))))),0)</f>
        <v>0</v>
      </c>
      <c r="BH223" s="163">
        <v>46023</v>
      </c>
      <c r="BI223" s="163">
        <f t="shared" ref="BI223:BI226" si="2664">BH223+30</f>
        <v>46053</v>
      </c>
      <c r="BJ223" s="167">
        <f t="shared" ref="BJ223:BJ226" si="2665">IFERROR(IF(($R223-BI223)&gt;=0,0,IF(($S223-BH223)&lt;0,0,IF(AND(($S223-BI223)&gt;0,(BH223-$R223)&gt;0),$V223/365*(BI223-BH223+1),IF(AND(($S223-BI223)&lt;=0,(BH223-$R223)&gt;0),$V223/365*($S223-BH223+1),$V223/365*(BI223-$R223+1))))),0)</f>
        <v>0</v>
      </c>
      <c r="BK223" s="163">
        <f t="shared" ref="BK223:BK226" si="2666">BI223+1</f>
        <v>46054</v>
      </c>
      <c r="BL223" s="163">
        <f t="shared" ref="BL223:BL226" si="2667">BK223+27</f>
        <v>46081</v>
      </c>
      <c r="BM223" s="167">
        <f t="shared" ref="BM223:BM226" si="2668">IFERROR(IF(($R223-BL223)&gt;=0,0,IF(($S223-BK223)&lt;0,0,IF(AND(($S223-BL223)&gt;0,(BK223-$R223)&gt;0),$V223/365*(BL223-BK223+1),IF(AND(($S223-BL223)&lt;=0,(BK223-$R223)&gt;0),$V223/365*($S223-BK223+1),$V223/365*(BL223-$R223+1))))),0)</f>
        <v>0</v>
      </c>
      <c r="BN223" s="163">
        <f t="shared" ref="BN223:BN226" si="2669">BL223+1</f>
        <v>46082</v>
      </c>
      <c r="BO223" s="163">
        <f t="shared" ref="BO223:BO226" si="2670">BN223+30</f>
        <v>46112</v>
      </c>
      <c r="BP223" s="167">
        <f t="shared" ref="BP223:BP226" si="2671">IFERROR(IF(($R223-BO223)&gt;=0,0,IF(($S223-BN223)&lt;0,0,IF(AND(($S223-BO223)&gt;0,(BN223-$R223)&gt;0),$V223/365*(BO223-BN223+1),IF(AND(($S223-BO223)&lt;=0,(BN223-$R223)&gt;0),$V223/365*($S223-BN223+1),$V223/365*(BO223-$R223+1))))),0)</f>
        <v>0</v>
      </c>
      <c r="BQ223" s="163">
        <f t="shared" ref="BQ223:BQ226" si="2672">BO223+1</f>
        <v>46113</v>
      </c>
      <c r="BR223" s="163">
        <f t="shared" ref="BR223:BR226" si="2673">BQ223+29</f>
        <v>46142</v>
      </c>
      <c r="BS223" s="167">
        <f t="shared" ref="BS223:BS226" si="2674">IFERROR(IF(($R223-BR223)&gt;=0,0,IF(($S223-BQ223)&lt;0,0,IF(AND(($S223-BR223)&gt;0,(BQ223-$R223)&gt;0),$V223/365*(BR223-BQ223+1),IF(AND(($S223-BR223)&lt;=0,(BQ223-$R223)&gt;0),$V223/365*($S223-BQ223+1),$V223/365*(BR223-$R223+1))))),0)</f>
        <v>0</v>
      </c>
      <c r="BT223" s="163">
        <f t="shared" ref="BT223:BT226" si="2675">BR223+1</f>
        <v>46143</v>
      </c>
      <c r="BU223" s="163">
        <f t="shared" ref="BU223:BU226" si="2676">BT223+30</f>
        <v>46173</v>
      </c>
      <c r="BV223" s="167">
        <f t="shared" ref="BV223:BV226" si="2677">IFERROR(IF(($R223-BU223)&gt;=0,0,IF(($S223-BT223)&lt;0,0,IF(AND(($S223-BU223)&gt;0,(BT223-$R223)&gt;0),$V223/365*(BU223-BT223+1),IF(AND(($S223-BU223)&lt;=0,(BT223-$R223)&gt;0),$V223/365*($S223-BT223+1),$V223/365*(BU223-$R223+1))))),0)</f>
        <v>0</v>
      </c>
      <c r="BW223" s="163">
        <f t="shared" ref="BW223:BW226" si="2678">BU223+1</f>
        <v>46174</v>
      </c>
      <c r="BX223" s="163">
        <f t="shared" ref="BX223:BX226" si="2679">BW223+29</f>
        <v>46203</v>
      </c>
      <c r="BY223" s="167">
        <f t="shared" ref="BY223:BY226" si="2680">IFERROR(IF(($R223-BX223)&gt;=0,0,IF(($S223-BW223)&lt;0,0,IF(AND(($S223-BX223)&gt;0,(BW223-$R223)&gt;0),$V223/365*(BX223-BW223+1),IF(AND(($S223-BX223)&lt;=0,(BW223-$R223)&gt;0),$V223/365*($S223-BW223+1),$V223/365*(BX223-$R223+1))))),0)</f>
        <v>0</v>
      </c>
      <c r="BZ223" s="163">
        <f t="shared" ref="BZ223:BZ226" si="2681">BX223+1</f>
        <v>46204</v>
      </c>
      <c r="CA223" s="163">
        <f t="shared" ref="CA223:CA226" si="2682">BZ223+30</f>
        <v>46234</v>
      </c>
      <c r="CB223" s="167">
        <f t="shared" ref="CB223:CB226" si="2683">IFERROR(IF(($R223-CA223)&gt;=0,0,IF(($S223-BZ223)&lt;0,0,IF(AND(($S223-CA223)&gt;0,(BZ223-$R223)&gt;0),$V223/365*(CA223-BZ223+1),IF(AND(($S223-CA223)&lt;=0,(BZ223-$R223)&gt;0),$V223/365*($S223-BZ223+1),$V223/365*(CA223-$R223+1))))),0)</f>
        <v>0</v>
      </c>
      <c r="CC223" s="163">
        <f t="shared" ref="CC223:CC226" si="2684">CA223+1</f>
        <v>46235</v>
      </c>
      <c r="CD223" s="163">
        <f t="shared" ref="CD223:CD226" si="2685">CC223+30</f>
        <v>46265</v>
      </c>
      <c r="CE223" s="167">
        <f t="shared" ref="CE223:CE226" si="2686">IFERROR(IF(($R223-CD223)&gt;=0,0,IF(($S223-CC223)&lt;0,0,IF(AND(($S223-CD223)&gt;0,(CC223-$R223)&gt;0),$V223/365*(CD223-CC223+1),IF(AND(($S223-CD223)&lt;=0,(CC223-$R223)&gt;0),$V223/365*($S223-CC223+1),$V223/365*(CD223-$R223+1))))),0)</f>
        <v>0</v>
      </c>
      <c r="CF223" s="163">
        <f t="shared" ref="CF223:CF226" si="2687">CD223+1</f>
        <v>46266</v>
      </c>
      <c r="CG223" s="163">
        <f t="shared" ref="CG223:CG226" si="2688">CF223+29</f>
        <v>46295</v>
      </c>
      <c r="CH223" s="167">
        <f t="shared" ref="CH223:CH226" si="2689">IFERROR(IF(($R223-CG223)&gt;=0,0,IF(($S223-CF223)&lt;0,0,IF(AND(($S223-CG223)&gt;0,(CF223-$R223)&gt;0),$V223/365*(CG223-CF223+1),IF(AND(($S223-CG223)&lt;=0,(CF223-$R223)&gt;0),$V223/365*($S223-CF223+1),$V223/365*(CG223-$R223+1))))),0)</f>
        <v>0</v>
      </c>
      <c r="CI223" s="163">
        <f t="shared" ref="CI223:CI226" si="2690">CG223+1</f>
        <v>46296</v>
      </c>
      <c r="CJ223" s="163">
        <f t="shared" ref="CJ223:CJ226" si="2691">CI223+30</f>
        <v>46326</v>
      </c>
      <c r="CK223" s="167">
        <f t="shared" ref="CK223:CK226" si="2692">IFERROR(IF(($R223-CJ223)&gt;=0,0,IF(($S223-CI223)&lt;0,0,IF(AND(($S223-CJ223)&gt;0,(CI223-$R223)&gt;0),$V223/365*(CJ223-CI223+1),IF(AND(($S223-CJ223)&lt;=0,(CI223-$R223)&gt;0),$V223/365*($S223-CI223+1),$V223/365*(CJ223-$R223+1))))),0)</f>
        <v>0</v>
      </c>
      <c r="CL223" s="163">
        <f t="shared" ref="CL223:CL226" si="2693">CJ223+1</f>
        <v>46327</v>
      </c>
      <c r="CM223" s="163">
        <f t="shared" ref="CM223:CM226" si="2694">CL223+29</f>
        <v>46356</v>
      </c>
      <c r="CN223" s="167">
        <f t="shared" ref="CN223:CN226" si="2695">IFERROR(IF(($R223-CM223)&gt;=0,0,IF(($S223-CL223)&lt;0,0,IF(AND(($S223-CM223)&gt;0,(CL223-$R223)&gt;0),$V223/365*(CM223-CL223+1),IF(AND(($S223-CM223)&lt;=0,(CL223-$R223)&gt;0),$V223/365*($S223-CL223+1),$V223/365*(CM223-$R223+1))))),0)</f>
        <v>0</v>
      </c>
      <c r="CO223" s="163">
        <f t="shared" ref="CO223:CO226" si="2696">CM223+1</f>
        <v>46357</v>
      </c>
      <c r="CP223" s="163">
        <f t="shared" ref="CP223:CP226" si="2697">CO223+30</f>
        <v>46387</v>
      </c>
      <c r="CQ223" s="167">
        <f t="shared" ref="CQ223:CQ226" si="2698">IFERROR(IF(($R223-CP223)&gt;=0,0,IF(($S223-CO223)&lt;0,0,IF(AND(($S223-CP223)&gt;0,(CO223-$R223)&gt;0),$V223/365*(CP223-CO223+1),IF(AND(($S223-CP223)&lt;=0,(CO223-$R223)&gt;0),$V223/365*($S223-CO223+1),$V223/365*(CP223-$R223+1))))),0)</f>
        <v>0</v>
      </c>
    </row>
    <row r="224" s="89" customFormat="1" ht="24" hidden="1" customHeight="1" outlineLevel="4" spans="1:95">
      <c r="A224" s="128"/>
      <c r="B224" s="129"/>
      <c r="C224" s="130"/>
      <c r="D224" s="128"/>
      <c r="E224" s="129"/>
      <c r="F224" s="129"/>
      <c r="G224" s="129"/>
      <c r="H224" s="131"/>
      <c r="I224" s="131"/>
      <c r="J224" s="131">
        <f t="shared" si="2339"/>
        <v>0</v>
      </c>
      <c r="K224" s="131">
        <f t="shared" ref="K224:K226" si="2699">K223+1</f>
        <v>2</v>
      </c>
      <c r="L224" s="156"/>
      <c r="M224" s="157">
        <f>IFERROR(VLOOKUP($L224,'2-2 引出数据_合同数据仓库'!$B$5:$BP$200,3,FALSE),0)</f>
        <v>0</v>
      </c>
      <c r="N224" s="131"/>
      <c r="O224" s="157">
        <f>IFERROR(VLOOKUP((LEFT(VLOOKUP($L224,'2-2 引出数据_合同数据仓库'!$B$5:$BP$200,64,FALSE),15)&amp;(RIGHT(VLOOKUP($L224,'2-2 引出数据_合同数据仓库'!$B$5:$BP$200,64,FALSE),4)+1)),'2-2 引出数据_合同数据仓库'!$B$5:$BP$200,3,FALSE),0)</f>
        <v>0</v>
      </c>
      <c r="P224" s="131"/>
      <c r="Q224" s="131">
        <f>IFERROR(VLOOKUP($L224,'2-2 引出数据_合同数据仓库'!$B$5:$BP$200,28,FALSE),0)</f>
        <v>0</v>
      </c>
      <c r="R224" s="131">
        <f>IFERROR(VLOOKUP($L224,'2-2 引出数据_合同数据仓库'!$B$5:$BP$200,29,FALSE),0)</f>
        <v>0</v>
      </c>
      <c r="S224" s="131">
        <f>IFERROR(VLOOKUP($L224,'2-2 引出数据_合同数据仓库'!$B$5:$BP$200,4,FALSE),0)</f>
        <v>0</v>
      </c>
      <c r="T224" s="131"/>
      <c r="U224" s="131">
        <f>IFERROR(VLOOKUP($L224,'2-2 引出数据_合同数据仓库'!$B$5:$BP$200,15,FALSE),0)</f>
        <v>0</v>
      </c>
      <c r="V224" s="131">
        <f t="shared" si="2628"/>
        <v>0</v>
      </c>
      <c r="W224" s="131"/>
      <c r="X224" s="163">
        <v>45658</v>
      </c>
      <c r="Y224" s="163">
        <f t="shared" si="2629"/>
        <v>45688</v>
      </c>
      <c r="Z224" s="167">
        <f t="shared" si="2630"/>
        <v>0</v>
      </c>
      <c r="AA224" s="163">
        <f t="shared" si="2631"/>
        <v>45689</v>
      </c>
      <c r="AB224" s="163">
        <f t="shared" si="2632"/>
        <v>45716</v>
      </c>
      <c r="AC224" s="167">
        <f t="shared" si="2633"/>
        <v>0</v>
      </c>
      <c r="AD224" s="163">
        <f t="shared" si="2634"/>
        <v>45717</v>
      </c>
      <c r="AE224" s="163">
        <f t="shared" si="2635"/>
        <v>45747</v>
      </c>
      <c r="AF224" s="167">
        <f t="shared" si="2636"/>
        <v>0</v>
      </c>
      <c r="AG224" s="163">
        <f t="shared" si="2637"/>
        <v>45748</v>
      </c>
      <c r="AH224" s="163">
        <f t="shared" si="2638"/>
        <v>45777</v>
      </c>
      <c r="AI224" s="167">
        <f t="shared" si="2639"/>
        <v>0</v>
      </c>
      <c r="AJ224" s="163">
        <f t="shared" si="2640"/>
        <v>45778</v>
      </c>
      <c r="AK224" s="163">
        <f t="shared" si="2641"/>
        <v>45808</v>
      </c>
      <c r="AL224" s="167">
        <f t="shared" si="2642"/>
        <v>0</v>
      </c>
      <c r="AM224" s="163">
        <f t="shared" si="2643"/>
        <v>45809</v>
      </c>
      <c r="AN224" s="163">
        <f t="shared" si="2644"/>
        <v>45838</v>
      </c>
      <c r="AO224" s="167">
        <f t="shared" si="2645"/>
        <v>0</v>
      </c>
      <c r="AP224" s="163">
        <f t="shared" si="2646"/>
        <v>45839</v>
      </c>
      <c r="AQ224" s="163">
        <f t="shared" si="2647"/>
        <v>45869</v>
      </c>
      <c r="AR224" s="167">
        <f t="shared" si="2648"/>
        <v>0</v>
      </c>
      <c r="AS224" s="163">
        <f t="shared" si="2649"/>
        <v>45870</v>
      </c>
      <c r="AT224" s="163">
        <f t="shared" si="2650"/>
        <v>45900</v>
      </c>
      <c r="AU224" s="167">
        <f t="shared" si="2651"/>
        <v>0</v>
      </c>
      <c r="AV224" s="163">
        <f t="shared" si="2652"/>
        <v>45901</v>
      </c>
      <c r="AW224" s="163">
        <f t="shared" si="2653"/>
        <v>45930</v>
      </c>
      <c r="AX224" s="167">
        <f t="shared" si="2654"/>
        <v>0</v>
      </c>
      <c r="AY224" s="163">
        <f t="shared" si="2655"/>
        <v>45931</v>
      </c>
      <c r="AZ224" s="163">
        <f t="shared" si="2656"/>
        <v>45961</v>
      </c>
      <c r="BA224" s="167">
        <f t="shared" si="2657"/>
        <v>0</v>
      </c>
      <c r="BB224" s="163">
        <f t="shared" si="2658"/>
        <v>45962</v>
      </c>
      <c r="BC224" s="163">
        <f t="shared" si="2659"/>
        <v>45991</v>
      </c>
      <c r="BD224" s="167">
        <f t="shared" si="2660"/>
        <v>0</v>
      </c>
      <c r="BE224" s="163">
        <f t="shared" si="2661"/>
        <v>45992</v>
      </c>
      <c r="BF224" s="163">
        <f t="shared" si="2662"/>
        <v>46022</v>
      </c>
      <c r="BG224" s="167">
        <f t="shared" si="2663"/>
        <v>0</v>
      </c>
      <c r="BH224" s="163">
        <v>46023</v>
      </c>
      <c r="BI224" s="163">
        <f t="shared" si="2664"/>
        <v>46053</v>
      </c>
      <c r="BJ224" s="167">
        <f t="shared" si="2665"/>
        <v>0</v>
      </c>
      <c r="BK224" s="163">
        <f t="shared" si="2666"/>
        <v>46054</v>
      </c>
      <c r="BL224" s="163">
        <f t="shared" si="2667"/>
        <v>46081</v>
      </c>
      <c r="BM224" s="167">
        <f t="shared" si="2668"/>
        <v>0</v>
      </c>
      <c r="BN224" s="163">
        <f t="shared" si="2669"/>
        <v>46082</v>
      </c>
      <c r="BO224" s="163">
        <f t="shared" si="2670"/>
        <v>46112</v>
      </c>
      <c r="BP224" s="167">
        <f t="shared" si="2671"/>
        <v>0</v>
      </c>
      <c r="BQ224" s="163">
        <f t="shared" si="2672"/>
        <v>46113</v>
      </c>
      <c r="BR224" s="163">
        <f t="shared" si="2673"/>
        <v>46142</v>
      </c>
      <c r="BS224" s="167">
        <f t="shared" si="2674"/>
        <v>0</v>
      </c>
      <c r="BT224" s="163">
        <f t="shared" si="2675"/>
        <v>46143</v>
      </c>
      <c r="BU224" s="163">
        <f t="shared" si="2676"/>
        <v>46173</v>
      </c>
      <c r="BV224" s="167">
        <f t="shared" si="2677"/>
        <v>0</v>
      </c>
      <c r="BW224" s="163">
        <f t="shared" si="2678"/>
        <v>46174</v>
      </c>
      <c r="BX224" s="163">
        <f t="shared" si="2679"/>
        <v>46203</v>
      </c>
      <c r="BY224" s="167">
        <f t="shared" si="2680"/>
        <v>0</v>
      </c>
      <c r="BZ224" s="163">
        <f t="shared" si="2681"/>
        <v>46204</v>
      </c>
      <c r="CA224" s="163">
        <f t="shared" si="2682"/>
        <v>46234</v>
      </c>
      <c r="CB224" s="167">
        <f t="shared" si="2683"/>
        <v>0</v>
      </c>
      <c r="CC224" s="163">
        <f t="shared" si="2684"/>
        <v>46235</v>
      </c>
      <c r="CD224" s="163">
        <f t="shared" si="2685"/>
        <v>46265</v>
      </c>
      <c r="CE224" s="167">
        <f t="shared" si="2686"/>
        <v>0</v>
      </c>
      <c r="CF224" s="163">
        <f t="shared" si="2687"/>
        <v>46266</v>
      </c>
      <c r="CG224" s="163">
        <f t="shared" si="2688"/>
        <v>46295</v>
      </c>
      <c r="CH224" s="167">
        <f t="shared" si="2689"/>
        <v>0</v>
      </c>
      <c r="CI224" s="163">
        <f t="shared" si="2690"/>
        <v>46296</v>
      </c>
      <c r="CJ224" s="163">
        <f t="shared" si="2691"/>
        <v>46326</v>
      </c>
      <c r="CK224" s="167">
        <f t="shared" si="2692"/>
        <v>0</v>
      </c>
      <c r="CL224" s="163">
        <f t="shared" si="2693"/>
        <v>46327</v>
      </c>
      <c r="CM224" s="163">
        <f t="shared" si="2694"/>
        <v>46356</v>
      </c>
      <c r="CN224" s="167">
        <f t="shared" si="2695"/>
        <v>0</v>
      </c>
      <c r="CO224" s="163">
        <f t="shared" si="2696"/>
        <v>46357</v>
      </c>
      <c r="CP224" s="163">
        <f t="shared" si="2697"/>
        <v>46387</v>
      </c>
      <c r="CQ224" s="167">
        <f t="shared" si="2698"/>
        <v>0</v>
      </c>
    </row>
    <row r="225" s="89" customFormat="1" ht="24" hidden="1" customHeight="1" outlineLevel="4" spans="1:95">
      <c r="A225" s="128"/>
      <c r="B225" s="129"/>
      <c r="C225" s="130"/>
      <c r="D225" s="128"/>
      <c r="E225" s="129"/>
      <c r="F225" s="129"/>
      <c r="G225" s="129"/>
      <c r="H225" s="131"/>
      <c r="I225" s="131"/>
      <c r="J225" s="131">
        <f t="shared" si="2339"/>
        <v>0</v>
      </c>
      <c r="K225" s="131">
        <f t="shared" si="2699"/>
        <v>3</v>
      </c>
      <c r="L225" s="156"/>
      <c r="M225" s="157">
        <f>IFERROR(VLOOKUP($L225,'2-2 引出数据_合同数据仓库'!$B$5:$BP$200,3,FALSE),0)</f>
        <v>0</v>
      </c>
      <c r="N225" s="131"/>
      <c r="O225" s="157">
        <f>IFERROR(VLOOKUP((LEFT(VLOOKUP($L225,'2-2 引出数据_合同数据仓库'!$B$5:$BP$200,64,FALSE),15)&amp;(RIGHT(VLOOKUP($L225,'2-2 引出数据_合同数据仓库'!$B$5:$BP$200,64,FALSE),4)+1)),'2-2 引出数据_合同数据仓库'!$B$5:$BP$200,3,FALSE),0)</f>
        <v>0</v>
      </c>
      <c r="P225" s="131"/>
      <c r="Q225" s="131">
        <f>IFERROR(VLOOKUP($L225,'2-2 引出数据_合同数据仓库'!$B$5:$BP$200,28,FALSE),0)</f>
        <v>0</v>
      </c>
      <c r="R225" s="131">
        <f>IFERROR(VLOOKUP($L225,'2-2 引出数据_合同数据仓库'!$B$5:$BP$200,29,FALSE),0)</f>
        <v>0</v>
      </c>
      <c r="S225" s="131">
        <f>IFERROR(VLOOKUP($L225,'2-2 引出数据_合同数据仓库'!$B$5:$BP$200,4,FALSE),0)</f>
        <v>0</v>
      </c>
      <c r="T225" s="131"/>
      <c r="U225" s="131">
        <f>IFERROR(VLOOKUP($L225,'2-2 引出数据_合同数据仓库'!$B$5:$BP$200,15,FALSE),0)</f>
        <v>0</v>
      </c>
      <c r="V225" s="131">
        <f t="shared" si="2628"/>
        <v>0</v>
      </c>
      <c r="W225" s="131"/>
      <c r="X225" s="163">
        <v>45658</v>
      </c>
      <c r="Y225" s="163">
        <f t="shared" si="2629"/>
        <v>45688</v>
      </c>
      <c r="Z225" s="167">
        <f t="shared" si="2630"/>
        <v>0</v>
      </c>
      <c r="AA225" s="163">
        <f t="shared" si="2631"/>
        <v>45689</v>
      </c>
      <c r="AB225" s="163">
        <f t="shared" si="2632"/>
        <v>45716</v>
      </c>
      <c r="AC225" s="167">
        <f t="shared" si="2633"/>
        <v>0</v>
      </c>
      <c r="AD225" s="163">
        <f t="shared" si="2634"/>
        <v>45717</v>
      </c>
      <c r="AE225" s="163">
        <f t="shared" si="2635"/>
        <v>45747</v>
      </c>
      <c r="AF225" s="167">
        <f t="shared" si="2636"/>
        <v>0</v>
      </c>
      <c r="AG225" s="163">
        <f t="shared" si="2637"/>
        <v>45748</v>
      </c>
      <c r="AH225" s="163">
        <f t="shared" si="2638"/>
        <v>45777</v>
      </c>
      <c r="AI225" s="167">
        <f t="shared" si="2639"/>
        <v>0</v>
      </c>
      <c r="AJ225" s="163">
        <f t="shared" si="2640"/>
        <v>45778</v>
      </c>
      <c r="AK225" s="163">
        <f t="shared" si="2641"/>
        <v>45808</v>
      </c>
      <c r="AL225" s="167">
        <f t="shared" si="2642"/>
        <v>0</v>
      </c>
      <c r="AM225" s="163">
        <f t="shared" si="2643"/>
        <v>45809</v>
      </c>
      <c r="AN225" s="163">
        <f t="shared" si="2644"/>
        <v>45838</v>
      </c>
      <c r="AO225" s="167">
        <f t="shared" si="2645"/>
        <v>0</v>
      </c>
      <c r="AP225" s="163">
        <f t="shared" si="2646"/>
        <v>45839</v>
      </c>
      <c r="AQ225" s="163">
        <f t="shared" si="2647"/>
        <v>45869</v>
      </c>
      <c r="AR225" s="167">
        <f t="shared" si="2648"/>
        <v>0</v>
      </c>
      <c r="AS225" s="163">
        <f t="shared" si="2649"/>
        <v>45870</v>
      </c>
      <c r="AT225" s="163">
        <f t="shared" si="2650"/>
        <v>45900</v>
      </c>
      <c r="AU225" s="167">
        <f t="shared" si="2651"/>
        <v>0</v>
      </c>
      <c r="AV225" s="163">
        <f t="shared" si="2652"/>
        <v>45901</v>
      </c>
      <c r="AW225" s="163">
        <f t="shared" si="2653"/>
        <v>45930</v>
      </c>
      <c r="AX225" s="167">
        <f t="shared" si="2654"/>
        <v>0</v>
      </c>
      <c r="AY225" s="163">
        <f t="shared" si="2655"/>
        <v>45931</v>
      </c>
      <c r="AZ225" s="163">
        <f t="shared" si="2656"/>
        <v>45961</v>
      </c>
      <c r="BA225" s="167">
        <f t="shared" si="2657"/>
        <v>0</v>
      </c>
      <c r="BB225" s="163">
        <f t="shared" si="2658"/>
        <v>45962</v>
      </c>
      <c r="BC225" s="163">
        <f t="shared" si="2659"/>
        <v>45991</v>
      </c>
      <c r="BD225" s="167">
        <f t="shared" si="2660"/>
        <v>0</v>
      </c>
      <c r="BE225" s="163">
        <f t="shared" si="2661"/>
        <v>45992</v>
      </c>
      <c r="BF225" s="163">
        <f t="shared" si="2662"/>
        <v>46022</v>
      </c>
      <c r="BG225" s="167">
        <f t="shared" si="2663"/>
        <v>0</v>
      </c>
      <c r="BH225" s="163">
        <v>46023</v>
      </c>
      <c r="BI225" s="163">
        <f t="shared" si="2664"/>
        <v>46053</v>
      </c>
      <c r="BJ225" s="167">
        <f t="shared" si="2665"/>
        <v>0</v>
      </c>
      <c r="BK225" s="163">
        <f t="shared" si="2666"/>
        <v>46054</v>
      </c>
      <c r="BL225" s="163">
        <f t="shared" si="2667"/>
        <v>46081</v>
      </c>
      <c r="BM225" s="167">
        <f t="shared" si="2668"/>
        <v>0</v>
      </c>
      <c r="BN225" s="163">
        <f t="shared" si="2669"/>
        <v>46082</v>
      </c>
      <c r="BO225" s="163">
        <f t="shared" si="2670"/>
        <v>46112</v>
      </c>
      <c r="BP225" s="167">
        <f t="shared" si="2671"/>
        <v>0</v>
      </c>
      <c r="BQ225" s="163">
        <f t="shared" si="2672"/>
        <v>46113</v>
      </c>
      <c r="BR225" s="163">
        <f t="shared" si="2673"/>
        <v>46142</v>
      </c>
      <c r="BS225" s="167">
        <f t="shared" si="2674"/>
        <v>0</v>
      </c>
      <c r="BT225" s="163">
        <f t="shared" si="2675"/>
        <v>46143</v>
      </c>
      <c r="BU225" s="163">
        <f t="shared" si="2676"/>
        <v>46173</v>
      </c>
      <c r="BV225" s="167">
        <f t="shared" si="2677"/>
        <v>0</v>
      </c>
      <c r="BW225" s="163">
        <f t="shared" si="2678"/>
        <v>46174</v>
      </c>
      <c r="BX225" s="163">
        <f t="shared" si="2679"/>
        <v>46203</v>
      </c>
      <c r="BY225" s="167">
        <f t="shared" si="2680"/>
        <v>0</v>
      </c>
      <c r="BZ225" s="163">
        <f t="shared" si="2681"/>
        <v>46204</v>
      </c>
      <c r="CA225" s="163">
        <f t="shared" si="2682"/>
        <v>46234</v>
      </c>
      <c r="CB225" s="167">
        <f t="shared" si="2683"/>
        <v>0</v>
      </c>
      <c r="CC225" s="163">
        <f t="shared" si="2684"/>
        <v>46235</v>
      </c>
      <c r="CD225" s="163">
        <f t="shared" si="2685"/>
        <v>46265</v>
      </c>
      <c r="CE225" s="167">
        <f t="shared" si="2686"/>
        <v>0</v>
      </c>
      <c r="CF225" s="163">
        <f t="shared" si="2687"/>
        <v>46266</v>
      </c>
      <c r="CG225" s="163">
        <f t="shared" si="2688"/>
        <v>46295</v>
      </c>
      <c r="CH225" s="167">
        <f t="shared" si="2689"/>
        <v>0</v>
      </c>
      <c r="CI225" s="163">
        <f t="shared" si="2690"/>
        <v>46296</v>
      </c>
      <c r="CJ225" s="163">
        <f t="shared" si="2691"/>
        <v>46326</v>
      </c>
      <c r="CK225" s="167">
        <f t="shared" si="2692"/>
        <v>0</v>
      </c>
      <c r="CL225" s="163">
        <f t="shared" si="2693"/>
        <v>46327</v>
      </c>
      <c r="CM225" s="163">
        <f t="shared" si="2694"/>
        <v>46356</v>
      </c>
      <c r="CN225" s="167">
        <f t="shared" si="2695"/>
        <v>0</v>
      </c>
      <c r="CO225" s="163">
        <f t="shared" si="2696"/>
        <v>46357</v>
      </c>
      <c r="CP225" s="163">
        <f t="shared" si="2697"/>
        <v>46387</v>
      </c>
      <c r="CQ225" s="167">
        <f t="shared" si="2698"/>
        <v>0</v>
      </c>
    </row>
    <row r="226" s="89" customFormat="1" ht="24" hidden="1" customHeight="1" outlineLevel="4" spans="1:95">
      <c r="A226" s="128"/>
      <c r="B226" s="129"/>
      <c r="C226" s="130"/>
      <c r="D226" s="128"/>
      <c r="E226" s="129"/>
      <c r="F226" s="129"/>
      <c r="G226" s="129"/>
      <c r="H226" s="131"/>
      <c r="I226" s="131"/>
      <c r="J226" s="131">
        <f t="shared" si="2339"/>
        <v>0</v>
      </c>
      <c r="K226" s="131">
        <f t="shared" si="2699"/>
        <v>4</v>
      </c>
      <c r="L226" s="156"/>
      <c r="M226" s="157">
        <f>IFERROR(VLOOKUP($L226,'2-2 引出数据_合同数据仓库'!$B$5:$BP$200,3,FALSE),0)</f>
        <v>0</v>
      </c>
      <c r="N226" s="131"/>
      <c r="O226" s="157">
        <f>IFERROR(VLOOKUP((LEFT(VLOOKUP($L226,'2-2 引出数据_合同数据仓库'!$B$5:$BP$200,64,FALSE),15)&amp;(RIGHT(VLOOKUP($L226,'2-2 引出数据_合同数据仓库'!$B$5:$BP$200,64,FALSE),4)+1)),'2-2 引出数据_合同数据仓库'!$B$5:$BP$200,3,FALSE),0)</f>
        <v>0</v>
      </c>
      <c r="P226" s="131"/>
      <c r="Q226" s="131">
        <f>IFERROR(VLOOKUP($L226,'2-2 引出数据_合同数据仓库'!$B$5:$BP$200,28,FALSE),0)</f>
        <v>0</v>
      </c>
      <c r="R226" s="131">
        <f>IFERROR(VLOOKUP($L226,'2-2 引出数据_合同数据仓库'!$B$5:$BP$200,29,FALSE),0)</f>
        <v>0</v>
      </c>
      <c r="S226" s="131">
        <f>IFERROR(VLOOKUP($L226,'2-2 引出数据_合同数据仓库'!$B$5:$BP$200,4,FALSE),0)</f>
        <v>0</v>
      </c>
      <c r="T226" s="131"/>
      <c r="U226" s="131">
        <f>IFERROR(VLOOKUP($L226,'2-2 引出数据_合同数据仓库'!$B$5:$BP$200,15,FALSE),0)</f>
        <v>0</v>
      </c>
      <c r="V226" s="131">
        <f t="shared" si="2628"/>
        <v>0</v>
      </c>
      <c r="W226" s="131"/>
      <c r="X226" s="163">
        <v>45658</v>
      </c>
      <c r="Y226" s="163">
        <f t="shared" si="2629"/>
        <v>45688</v>
      </c>
      <c r="Z226" s="167">
        <f t="shared" si="2630"/>
        <v>0</v>
      </c>
      <c r="AA226" s="163">
        <f t="shared" si="2631"/>
        <v>45689</v>
      </c>
      <c r="AB226" s="163">
        <f t="shared" si="2632"/>
        <v>45716</v>
      </c>
      <c r="AC226" s="167">
        <f t="shared" si="2633"/>
        <v>0</v>
      </c>
      <c r="AD226" s="163">
        <f t="shared" si="2634"/>
        <v>45717</v>
      </c>
      <c r="AE226" s="163">
        <f t="shared" si="2635"/>
        <v>45747</v>
      </c>
      <c r="AF226" s="167">
        <f t="shared" si="2636"/>
        <v>0</v>
      </c>
      <c r="AG226" s="163">
        <f t="shared" si="2637"/>
        <v>45748</v>
      </c>
      <c r="AH226" s="163">
        <f t="shared" si="2638"/>
        <v>45777</v>
      </c>
      <c r="AI226" s="167">
        <f t="shared" si="2639"/>
        <v>0</v>
      </c>
      <c r="AJ226" s="163">
        <f t="shared" si="2640"/>
        <v>45778</v>
      </c>
      <c r="AK226" s="163">
        <f t="shared" si="2641"/>
        <v>45808</v>
      </c>
      <c r="AL226" s="167">
        <f t="shared" si="2642"/>
        <v>0</v>
      </c>
      <c r="AM226" s="163">
        <f t="shared" si="2643"/>
        <v>45809</v>
      </c>
      <c r="AN226" s="163">
        <f t="shared" si="2644"/>
        <v>45838</v>
      </c>
      <c r="AO226" s="167">
        <f t="shared" si="2645"/>
        <v>0</v>
      </c>
      <c r="AP226" s="163">
        <f t="shared" si="2646"/>
        <v>45839</v>
      </c>
      <c r="AQ226" s="163">
        <f t="shared" si="2647"/>
        <v>45869</v>
      </c>
      <c r="AR226" s="167">
        <f t="shared" si="2648"/>
        <v>0</v>
      </c>
      <c r="AS226" s="163">
        <f t="shared" si="2649"/>
        <v>45870</v>
      </c>
      <c r="AT226" s="163">
        <f t="shared" si="2650"/>
        <v>45900</v>
      </c>
      <c r="AU226" s="167">
        <f t="shared" si="2651"/>
        <v>0</v>
      </c>
      <c r="AV226" s="163">
        <f t="shared" si="2652"/>
        <v>45901</v>
      </c>
      <c r="AW226" s="163">
        <f t="shared" si="2653"/>
        <v>45930</v>
      </c>
      <c r="AX226" s="167">
        <f t="shared" si="2654"/>
        <v>0</v>
      </c>
      <c r="AY226" s="163">
        <f t="shared" si="2655"/>
        <v>45931</v>
      </c>
      <c r="AZ226" s="163">
        <f t="shared" si="2656"/>
        <v>45961</v>
      </c>
      <c r="BA226" s="167">
        <f t="shared" si="2657"/>
        <v>0</v>
      </c>
      <c r="BB226" s="163">
        <f t="shared" si="2658"/>
        <v>45962</v>
      </c>
      <c r="BC226" s="163">
        <f t="shared" si="2659"/>
        <v>45991</v>
      </c>
      <c r="BD226" s="167">
        <f t="shared" si="2660"/>
        <v>0</v>
      </c>
      <c r="BE226" s="163">
        <f t="shared" si="2661"/>
        <v>45992</v>
      </c>
      <c r="BF226" s="163">
        <f t="shared" si="2662"/>
        <v>46022</v>
      </c>
      <c r="BG226" s="167">
        <f t="shared" si="2663"/>
        <v>0</v>
      </c>
      <c r="BH226" s="163">
        <v>46023</v>
      </c>
      <c r="BI226" s="163">
        <f t="shared" si="2664"/>
        <v>46053</v>
      </c>
      <c r="BJ226" s="167">
        <f t="shared" si="2665"/>
        <v>0</v>
      </c>
      <c r="BK226" s="163">
        <f t="shared" si="2666"/>
        <v>46054</v>
      </c>
      <c r="BL226" s="163">
        <f t="shared" si="2667"/>
        <v>46081</v>
      </c>
      <c r="BM226" s="167">
        <f t="shared" si="2668"/>
        <v>0</v>
      </c>
      <c r="BN226" s="163">
        <f t="shared" si="2669"/>
        <v>46082</v>
      </c>
      <c r="BO226" s="163">
        <f t="shared" si="2670"/>
        <v>46112</v>
      </c>
      <c r="BP226" s="167">
        <f t="shared" si="2671"/>
        <v>0</v>
      </c>
      <c r="BQ226" s="163">
        <f t="shared" si="2672"/>
        <v>46113</v>
      </c>
      <c r="BR226" s="163">
        <f t="shared" si="2673"/>
        <v>46142</v>
      </c>
      <c r="BS226" s="167">
        <f t="shared" si="2674"/>
        <v>0</v>
      </c>
      <c r="BT226" s="163">
        <f t="shared" si="2675"/>
        <v>46143</v>
      </c>
      <c r="BU226" s="163">
        <f t="shared" si="2676"/>
        <v>46173</v>
      </c>
      <c r="BV226" s="167">
        <f t="shared" si="2677"/>
        <v>0</v>
      </c>
      <c r="BW226" s="163">
        <f t="shared" si="2678"/>
        <v>46174</v>
      </c>
      <c r="BX226" s="163">
        <f t="shared" si="2679"/>
        <v>46203</v>
      </c>
      <c r="BY226" s="167">
        <f t="shared" si="2680"/>
        <v>0</v>
      </c>
      <c r="BZ226" s="163">
        <f t="shared" si="2681"/>
        <v>46204</v>
      </c>
      <c r="CA226" s="163">
        <f t="shared" si="2682"/>
        <v>46234</v>
      </c>
      <c r="CB226" s="167">
        <f t="shared" si="2683"/>
        <v>0</v>
      </c>
      <c r="CC226" s="163">
        <f t="shared" si="2684"/>
        <v>46235</v>
      </c>
      <c r="CD226" s="163">
        <f t="shared" si="2685"/>
        <v>46265</v>
      </c>
      <c r="CE226" s="167">
        <f t="shared" si="2686"/>
        <v>0</v>
      </c>
      <c r="CF226" s="163">
        <f t="shared" si="2687"/>
        <v>46266</v>
      </c>
      <c r="CG226" s="163">
        <f t="shared" si="2688"/>
        <v>46295</v>
      </c>
      <c r="CH226" s="167">
        <f t="shared" si="2689"/>
        <v>0</v>
      </c>
      <c r="CI226" s="163">
        <f t="shared" si="2690"/>
        <v>46296</v>
      </c>
      <c r="CJ226" s="163">
        <f t="shared" si="2691"/>
        <v>46326</v>
      </c>
      <c r="CK226" s="167">
        <f t="shared" si="2692"/>
        <v>0</v>
      </c>
      <c r="CL226" s="163">
        <f t="shared" si="2693"/>
        <v>46327</v>
      </c>
      <c r="CM226" s="163">
        <f t="shared" si="2694"/>
        <v>46356</v>
      </c>
      <c r="CN226" s="167">
        <f t="shared" si="2695"/>
        <v>0</v>
      </c>
      <c r="CO226" s="163">
        <f t="shared" si="2696"/>
        <v>46357</v>
      </c>
      <c r="CP226" s="163">
        <f t="shared" si="2697"/>
        <v>46387</v>
      </c>
      <c r="CQ226" s="167">
        <f t="shared" si="2698"/>
        <v>0</v>
      </c>
    </row>
    <row r="227" s="89" customFormat="1" ht="24" hidden="1" customHeight="1" outlineLevel="4" spans="1:95">
      <c r="A227" s="132" t="s">
        <v>2813</v>
      </c>
      <c r="B227" s="133"/>
      <c r="C227" s="133"/>
      <c r="D227" s="133"/>
      <c r="E227" s="133"/>
      <c r="F227" s="133"/>
      <c r="G227" s="134"/>
      <c r="H227" s="135"/>
      <c r="I227" s="135"/>
      <c r="J227" s="135"/>
      <c r="K227" s="135"/>
      <c r="L227" s="158"/>
      <c r="M227" s="158"/>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c r="CL227" s="135"/>
      <c r="CM227" s="135"/>
      <c r="CN227" s="135"/>
      <c r="CO227" s="135"/>
      <c r="CP227" s="135"/>
      <c r="CQ227" s="135"/>
    </row>
    <row r="228" ht="24" hidden="1" customHeight="1" outlineLevel="3" collapsed="1" spans="1:95">
      <c r="A228" s="124"/>
      <c r="B228" s="125" t="s">
        <v>792</v>
      </c>
      <c r="C228" s="126" t="s">
        <v>1181</v>
      </c>
      <c r="D228" s="124" t="s">
        <v>1187</v>
      </c>
      <c r="E228" s="125" t="s">
        <v>1188</v>
      </c>
      <c r="F228" s="125"/>
      <c r="G228" s="125" t="s">
        <v>936</v>
      </c>
      <c r="H228" s="127">
        <f>X228+AA228+AD228+AG228+AJ228+AM228+AP228+AS228+AV228+AY228+BB228+BE228</f>
        <v>0</v>
      </c>
      <c r="I228" s="127">
        <f>Y228+AB228+AE228+AH228+AK228+AN228+AQ228+AT228+AW228+AZ228+BC228+BF228</f>
        <v>0</v>
      </c>
      <c r="J228" s="127">
        <f t="shared" si="2339"/>
        <v>0</v>
      </c>
      <c r="K228" s="127"/>
      <c r="L228" s="155"/>
      <c r="M228" s="155"/>
      <c r="N228" s="127"/>
      <c r="O228" s="127"/>
      <c r="P228" s="127"/>
      <c r="Q228" s="127"/>
      <c r="R228" s="127"/>
      <c r="S228" s="127"/>
      <c r="T228" s="127"/>
      <c r="U228" s="127"/>
      <c r="V228" s="127"/>
      <c r="W228" s="127"/>
      <c r="X228" s="127">
        <f>VLOOKUP($C228,'1 预算编制表单'!$C:$BJ,27,FALSE)</f>
        <v>0</v>
      </c>
      <c r="Y228" s="127">
        <f>X228-Z228</f>
        <v>0</v>
      </c>
      <c r="Z228" s="127">
        <f>SUM(Z229:Z233)</f>
        <v>0</v>
      </c>
      <c r="AA228" s="127">
        <f>VLOOKUP($C228,'1 预算编制表单'!$C:$BJ,30,FALSE)</f>
        <v>0</v>
      </c>
      <c r="AB228" s="127">
        <f>AA228-AC228</f>
        <v>0</v>
      </c>
      <c r="AC228" s="127">
        <f>SUM(AC229:AC233)</f>
        <v>0</v>
      </c>
      <c r="AD228" s="127">
        <f>VLOOKUP($C228,'1 预算编制表单'!$C:$BJ,33,FALSE)</f>
        <v>0</v>
      </c>
      <c r="AE228" s="127">
        <f>AD228-AF228</f>
        <v>0</v>
      </c>
      <c r="AF228" s="127">
        <f>SUM(AF229:AF233)</f>
        <v>0</v>
      </c>
      <c r="AG228" s="127">
        <f>VLOOKUP($C228,'1 预算编制表单'!$C:$BJ,36,FALSE)</f>
        <v>0</v>
      </c>
      <c r="AH228" s="127">
        <f>AG228-AI228</f>
        <v>0</v>
      </c>
      <c r="AI228" s="127">
        <f>SUM(AI229:AI233)</f>
        <v>0</v>
      </c>
      <c r="AJ228" s="127">
        <f>VLOOKUP($C228,'1 预算编制表单'!$C:$BJ,39,FALSE)</f>
        <v>0</v>
      </c>
      <c r="AK228" s="127">
        <f>AJ228-AL228</f>
        <v>0</v>
      </c>
      <c r="AL228" s="127">
        <f>SUM(AL229:AL233)</f>
        <v>0</v>
      </c>
      <c r="AM228" s="127">
        <f>VLOOKUP($C228,'1 预算编制表单'!$C:$BJ,42,FALSE)</f>
        <v>0</v>
      </c>
      <c r="AN228" s="127">
        <f>AM228-AO228</f>
        <v>0</v>
      </c>
      <c r="AO228" s="127">
        <f>SUM(AO229:AO233)</f>
        <v>0</v>
      </c>
      <c r="AP228" s="127">
        <f>VLOOKUP($C228,'1 预算编制表单'!$C:$BJ,45,FALSE)</f>
        <v>0</v>
      </c>
      <c r="AQ228" s="127">
        <f>AP228-AR228</f>
        <v>0</v>
      </c>
      <c r="AR228" s="127">
        <f>SUM(AR229:AR233)</f>
        <v>0</v>
      </c>
      <c r="AS228" s="127">
        <f>VLOOKUP($C228,'1 预算编制表单'!$C:$BJ,48,FALSE)</f>
        <v>0</v>
      </c>
      <c r="AT228" s="127">
        <f>AS228-AU228</f>
        <v>0</v>
      </c>
      <c r="AU228" s="127">
        <f>SUM(AU229:AU233)</f>
        <v>0</v>
      </c>
      <c r="AV228" s="127">
        <f>VLOOKUP($C228,'1 预算编制表单'!$C:$BJ,51,FALSE)</f>
        <v>0</v>
      </c>
      <c r="AW228" s="127">
        <f>AV228-AX228</f>
        <v>0</v>
      </c>
      <c r="AX228" s="127">
        <f>SUM(AX229:AX233)</f>
        <v>0</v>
      </c>
      <c r="AY228" s="127">
        <f>VLOOKUP($C228,'1 预算编制表单'!$C:$BJ,54,FALSE)</f>
        <v>0</v>
      </c>
      <c r="AZ228" s="127">
        <f>AY228-BA228</f>
        <v>0</v>
      </c>
      <c r="BA228" s="127">
        <f>SUM(BA229:BA233)</f>
        <v>0</v>
      </c>
      <c r="BB228" s="127">
        <f>VLOOKUP($C228,'1 预算编制表单'!$C:$BJ,57,FALSE)</f>
        <v>0</v>
      </c>
      <c r="BC228" s="127">
        <f>BB228-BD228</f>
        <v>0</v>
      </c>
      <c r="BD228" s="127">
        <f>SUM(BD229:BD233)</f>
        <v>0</v>
      </c>
      <c r="BE228" s="127">
        <f>VLOOKUP($C228,'1 预算编制表单'!$C:$BJ,60,FALSE)</f>
        <v>0</v>
      </c>
      <c r="BF228" s="127">
        <f>BE228-BG228</f>
        <v>0</v>
      </c>
      <c r="BG228" s="127">
        <f>SUM(BG229:BG233)</f>
        <v>0</v>
      </c>
      <c r="BH228" s="127">
        <f>VLOOKUP($C228,'1 预算编制表单'!$C:$BJ,27,FALSE)</f>
        <v>0</v>
      </c>
      <c r="BI228" s="127">
        <f>BH228-BJ228</f>
        <v>0</v>
      </c>
      <c r="BJ228" s="127">
        <f>SUM(BJ229:BJ233)</f>
        <v>0</v>
      </c>
      <c r="BK228" s="127">
        <f>VLOOKUP($C228,'1 预算编制表单'!$C:$BJ,30,FALSE)</f>
        <v>0</v>
      </c>
      <c r="BL228" s="127">
        <f>BK228-BM228</f>
        <v>0</v>
      </c>
      <c r="BM228" s="127">
        <f>SUM(BM229:BM233)</f>
        <v>0</v>
      </c>
      <c r="BN228" s="127">
        <f>VLOOKUP($C228,'1 预算编制表单'!$C:$BJ,33,FALSE)</f>
        <v>0</v>
      </c>
      <c r="BO228" s="127">
        <f>BN228-BP228</f>
        <v>0</v>
      </c>
      <c r="BP228" s="127">
        <f>SUM(BP229:BP233)</f>
        <v>0</v>
      </c>
      <c r="BQ228" s="127">
        <f>VLOOKUP($C228,'1 预算编制表单'!$C:$BJ,36,FALSE)</f>
        <v>0</v>
      </c>
      <c r="BR228" s="127">
        <f>BQ228-BS228</f>
        <v>0</v>
      </c>
      <c r="BS228" s="127">
        <f>SUM(BS229:BS233)</f>
        <v>0</v>
      </c>
      <c r="BT228" s="127">
        <f>VLOOKUP($C228,'1 预算编制表单'!$C:$BJ,39,FALSE)</f>
        <v>0</v>
      </c>
      <c r="BU228" s="127">
        <f>BT228-BV228</f>
        <v>0</v>
      </c>
      <c r="BV228" s="127">
        <f>SUM(BV229:BV233)</f>
        <v>0</v>
      </c>
      <c r="BW228" s="127">
        <f>VLOOKUP($C228,'1 预算编制表单'!$C:$BJ,42,FALSE)</f>
        <v>0</v>
      </c>
      <c r="BX228" s="127">
        <f>BW228-BY228</f>
        <v>0</v>
      </c>
      <c r="BY228" s="127">
        <f>SUM(BY229:BY233)</f>
        <v>0</v>
      </c>
      <c r="BZ228" s="127">
        <f>VLOOKUP($C228,'1 预算编制表单'!$C:$BJ,45,FALSE)</f>
        <v>0</v>
      </c>
      <c r="CA228" s="127">
        <f>BZ228-CB228</f>
        <v>0</v>
      </c>
      <c r="CB228" s="127">
        <f>SUM(CB229:CB233)</f>
        <v>0</v>
      </c>
      <c r="CC228" s="127">
        <f>VLOOKUP($C228,'1 预算编制表单'!$C:$BJ,48,FALSE)</f>
        <v>0</v>
      </c>
      <c r="CD228" s="127">
        <f>CC228-CE228</f>
        <v>0</v>
      </c>
      <c r="CE228" s="127">
        <f>SUM(CE229:CE233)</f>
        <v>0</v>
      </c>
      <c r="CF228" s="127">
        <f>VLOOKUP($C228,'1 预算编制表单'!$C:$BJ,51,FALSE)</f>
        <v>0</v>
      </c>
      <c r="CG228" s="127">
        <f>CF228-CH228</f>
        <v>0</v>
      </c>
      <c r="CH228" s="127">
        <f>SUM(CH229:CH233)</f>
        <v>0</v>
      </c>
      <c r="CI228" s="127">
        <f>VLOOKUP($C228,'1 预算编制表单'!$C:$BJ,54,FALSE)</f>
        <v>0</v>
      </c>
      <c r="CJ228" s="127">
        <f>CI228-CK228</f>
        <v>0</v>
      </c>
      <c r="CK228" s="127">
        <f>SUM(CK229:CK233)</f>
        <v>0</v>
      </c>
      <c r="CL228" s="127">
        <f>VLOOKUP($C228,'1 预算编制表单'!$C:$BJ,57,FALSE)</f>
        <v>0</v>
      </c>
      <c r="CM228" s="127">
        <f>CL228-CN228</f>
        <v>0</v>
      </c>
      <c r="CN228" s="127">
        <f>SUM(CN229:CN233)</f>
        <v>0</v>
      </c>
      <c r="CO228" s="127">
        <f>VLOOKUP($C228,'1 预算编制表单'!$C:$BJ,60,FALSE)</f>
        <v>0</v>
      </c>
      <c r="CP228" s="127">
        <f>CO228-CQ228</f>
        <v>0</v>
      </c>
      <c r="CQ228" s="127">
        <f>SUM(CQ229:CQ233)</f>
        <v>0</v>
      </c>
    </row>
    <row r="229" s="89" customFormat="1" ht="24" hidden="1" customHeight="1" outlineLevel="4" spans="1:95">
      <c r="A229" s="128"/>
      <c r="B229" s="129"/>
      <c r="C229" s="130"/>
      <c r="D229" s="128"/>
      <c r="E229" s="129"/>
      <c r="F229" s="129"/>
      <c r="G229" s="129"/>
      <c r="H229" s="131"/>
      <c r="I229" s="131"/>
      <c r="J229" s="131">
        <f t="shared" si="2339"/>
        <v>0</v>
      </c>
      <c r="K229" s="131">
        <v>1</v>
      </c>
      <c r="L229" s="156"/>
      <c r="M229" s="157">
        <f>IFERROR(VLOOKUP($L229,'2-2 引出数据_合同数据仓库'!$B$5:$BP$200,3,FALSE),0)</f>
        <v>0</v>
      </c>
      <c r="N229" s="131"/>
      <c r="O229" s="157">
        <f>IFERROR(VLOOKUP((LEFT(VLOOKUP($L229,'2-2 引出数据_合同数据仓库'!$B$5:$BP$200,64,FALSE),15)&amp;(RIGHT(VLOOKUP($L229,'2-2 引出数据_合同数据仓库'!$B$5:$BP$200,64,FALSE),4)+1)),'2-2 引出数据_合同数据仓库'!$B$5:$BP$200,3,FALSE),0)</f>
        <v>0</v>
      </c>
      <c r="P229" s="131"/>
      <c r="Q229" s="131">
        <f>IFERROR(VLOOKUP($L229,'2-2 引出数据_合同数据仓库'!$B$5:$BP$200,28,FALSE),0)</f>
        <v>0</v>
      </c>
      <c r="R229" s="131">
        <f>IFERROR(VLOOKUP($L229,'2-2 引出数据_合同数据仓库'!$B$5:$BP$200,29,FALSE),0)</f>
        <v>0</v>
      </c>
      <c r="S229" s="131">
        <f>IFERROR(VLOOKUP($L229,'2-2 引出数据_合同数据仓库'!$B$5:$BP$200,4,FALSE),0)</f>
        <v>0</v>
      </c>
      <c r="T229" s="131"/>
      <c r="U229" s="131">
        <f>IFERROR(VLOOKUP($L229,'2-2 引出数据_合同数据仓库'!$B$5:$BP$200,15,FALSE),0)</f>
        <v>0</v>
      </c>
      <c r="V229" s="131">
        <f t="shared" ref="V229:V232" si="2700">U229/(S229-R229+1)*365</f>
        <v>0</v>
      </c>
      <c r="W229" s="131"/>
      <c r="X229" s="163">
        <v>45658</v>
      </c>
      <c r="Y229" s="163">
        <f t="shared" ref="Y229:Y232" si="2701">X229+30</f>
        <v>45688</v>
      </c>
      <c r="Z229" s="167">
        <f t="shared" ref="Z229:Z232" si="2702">IFERROR(IF(($R229-Y229)&gt;=0,0,IF(($S229-X229)&lt;0,0,IF(AND(($S229-Y229)&gt;0,(X229-$R229)&gt;0),$V229/365*(Y229-X229+1),IF(AND(($S229-Y229)&lt;=0,(X229-$R229)&gt;0),$V229/365*($S229-X229+1),$V229/365*(Y229-$R229+1))))),0)</f>
        <v>0</v>
      </c>
      <c r="AA229" s="163">
        <f t="shared" ref="AA229:AA232" si="2703">Y229+1</f>
        <v>45689</v>
      </c>
      <c r="AB229" s="163">
        <f t="shared" ref="AB229:AB232" si="2704">AA229+27</f>
        <v>45716</v>
      </c>
      <c r="AC229" s="167">
        <f t="shared" ref="AC229:AC232" si="2705">IFERROR(IF(($R229-AB229)&gt;=0,0,IF(($S229-AA229)&lt;0,0,IF(AND(($S229-AB229)&gt;0,(AA229-$R229)&gt;0),$V229/365*(AB229-AA229+1),IF(AND(($S229-AB229)&lt;=0,(AA229-$R229)&gt;0),$V229/365*($S229-AA229+1),$V229/365*(AB229-$R229+1))))),0)</f>
        <v>0</v>
      </c>
      <c r="AD229" s="163">
        <f t="shared" ref="AD229:AD232" si="2706">AB229+1</f>
        <v>45717</v>
      </c>
      <c r="AE229" s="163">
        <f t="shared" ref="AE229:AE232" si="2707">AD229+30</f>
        <v>45747</v>
      </c>
      <c r="AF229" s="167">
        <f t="shared" ref="AF229:AF232" si="2708">IFERROR(IF(($R229-AE229)&gt;=0,0,IF(($S229-AD229)&lt;0,0,IF(AND(($S229-AE229)&gt;0,(AD229-$R229)&gt;0),$V229/365*(AE229-AD229+1),IF(AND(($S229-AE229)&lt;=0,(AD229-$R229)&gt;0),$V229/365*($S229-AD229+1),$V229/365*(AE229-$R229+1))))),0)</f>
        <v>0</v>
      </c>
      <c r="AG229" s="163">
        <f t="shared" ref="AG229:AG232" si="2709">AE229+1</f>
        <v>45748</v>
      </c>
      <c r="AH229" s="163">
        <f t="shared" ref="AH229:AH232" si="2710">AG229+29</f>
        <v>45777</v>
      </c>
      <c r="AI229" s="167">
        <f t="shared" ref="AI229:AI232" si="2711">IFERROR(IF(($R229-AH229)&gt;=0,0,IF(($S229-AG229)&lt;0,0,IF(AND(($S229-AH229)&gt;0,(AG229-$R229)&gt;0),$V229/365*(AH229-AG229+1),IF(AND(($S229-AH229)&lt;=0,(AG229-$R229)&gt;0),$V229/365*($S229-AG229+1),$V229/365*(AH229-$R229+1))))),0)</f>
        <v>0</v>
      </c>
      <c r="AJ229" s="163">
        <f t="shared" ref="AJ229:AJ232" si="2712">AH229+1</f>
        <v>45778</v>
      </c>
      <c r="AK229" s="163">
        <f t="shared" ref="AK229:AK232" si="2713">AJ229+30</f>
        <v>45808</v>
      </c>
      <c r="AL229" s="167">
        <f t="shared" ref="AL229:AL232" si="2714">IFERROR(IF(($R229-AK229)&gt;=0,0,IF(($S229-AJ229)&lt;0,0,IF(AND(($S229-AK229)&gt;0,(AJ229-$R229)&gt;0),$V229/365*(AK229-AJ229+1),IF(AND(($S229-AK229)&lt;=0,(AJ229-$R229)&gt;0),$V229/365*($S229-AJ229+1),$V229/365*(AK229-$R229+1))))),0)</f>
        <v>0</v>
      </c>
      <c r="AM229" s="163">
        <f t="shared" ref="AM229:AM232" si="2715">AK229+1</f>
        <v>45809</v>
      </c>
      <c r="AN229" s="163">
        <f t="shared" ref="AN229:AN232" si="2716">AM229+29</f>
        <v>45838</v>
      </c>
      <c r="AO229" s="167">
        <f t="shared" ref="AO229:AO232" si="2717">IFERROR(IF(($R229-AN229)&gt;=0,0,IF(($S229-AM229)&lt;0,0,IF(AND(($S229-AN229)&gt;0,(AM229-$R229)&gt;0),$V229/365*(AN229-AM229+1),IF(AND(($S229-AN229)&lt;=0,(AM229-$R229)&gt;0),$V229/365*($S229-AM229+1),$V229/365*(AN229-$R229+1))))),0)</f>
        <v>0</v>
      </c>
      <c r="AP229" s="163">
        <f t="shared" ref="AP229:AP232" si="2718">AN229+1</f>
        <v>45839</v>
      </c>
      <c r="AQ229" s="163">
        <f t="shared" ref="AQ229:AQ232" si="2719">AP229+30</f>
        <v>45869</v>
      </c>
      <c r="AR229" s="167">
        <f t="shared" ref="AR229:AR232" si="2720">IFERROR(IF(($R229-AQ229)&gt;=0,0,IF(($S229-AP229)&lt;0,0,IF(AND(($S229-AQ229)&gt;0,(AP229-$R229)&gt;0),$V229/365*(AQ229-AP229+1),IF(AND(($S229-AQ229)&lt;=0,(AP229-$R229)&gt;0),$V229/365*($S229-AP229+1),$V229/365*(AQ229-$R229+1))))),0)</f>
        <v>0</v>
      </c>
      <c r="AS229" s="163">
        <f t="shared" ref="AS229:AS232" si="2721">AQ229+1</f>
        <v>45870</v>
      </c>
      <c r="AT229" s="163">
        <f t="shared" ref="AT229:AT232" si="2722">AS229+30</f>
        <v>45900</v>
      </c>
      <c r="AU229" s="167">
        <f t="shared" ref="AU229:AU232" si="2723">IFERROR(IF(($R229-AT229)&gt;=0,0,IF(($S229-AS229)&lt;0,0,IF(AND(($S229-AT229)&gt;0,(AS229-$R229)&gt;0),$V229/365*(AT229-AS229+1),IF(AND(($S229-AT229)&lt;=0,(AS229-$R229)&gt;0),$V229/365*($S229-AS229+1),$V229/365*(AT229-$R229+1))))),0)</f>
        <v>0</v>
      </c>
      <c r="AV229" s="163">
        <f t="shared" ref="AV229:AV232" si="2724">AT229+1</f>
        <v>45901</v>
      </c>
      <c r="AW229" s="163">
        <f t="shared" ref="AW229:AW232" si="2725">AV229+29</f>
        <v>45930</v>
      </c>
      <c r="AX229" s="167">
        <f t="shared" ref="AX229:AX232" si="2726">IFERROR(IF(($R229-AW229)&gt;=0,0,IF(($S229-AV229)&lt;0,0,IF(AND(($S229-AW229)&gt;0,(AV229-$R229)&gt;0),$V229/365*(AW229-AV229+1),IF(AND(($S229-AW229)&lt;=0,(AV229-$R229)&gt;0),$V229/365*($S229-AV229+1),$V229/365*(AW229-$R229+1))))),0)</f>
        <v>0</v>
      </c>
      <c r="AY229" s="163">
        <f t="shared" ref="AY229:AY232" si="2727">AW229+1</f>
        <v>45931</v>
      </c>
      <c r="AZ229" s="163">
        <f t="shared" ref="AZ229:AZ232" si="2728">AY229+30</f>
        <v>45961</v>
      </c>
      <c r="BA229" s="167">
        <f t="shared" ref="BA229:BA232" si="2729">IFERROR(IF(($R229-AZ229)&gt;=0,0,IF(($S229-AY229)&lt;0,0,IF(AND(($S229-AZ229)&gt;0,(AY229-$R229)&gt;0),$V229/365*(AZ229-AY229+1),IF(AND(($S229-AZ229)&lt;=0,(AY229-$R229)&gt;0),$V229/365*($S229-AY229+1),$V229/365*(AZ229-$R229+1))))),0)</f>
        <v>0</v>
      </c>
      <c r="BB229" s="163">
        <f t="shared" ref="BB229:BB232" si="2730">AZ229+1</f>
        <v>45962</v>
      </c>
      <c r="BC229" s="163">
        <f t="shared" ref="BC229:BC232" si="2731">BB229+29</f>
        <v>45991</v>
      </c>
      <c r="BD229" s="167">
        <f t="shared" ref="BD229:BD232" si="2732">IFERROR(IF(($R229-BC229)&gt;=0,0,IF(($S229-BB229)&lt;0,0,IF(AND(($S229-BC229)&gt;0,(BB229-$R229)&gt;0),$V229/365*(BC229-BB229+1),IF(AND(($S229-BC229)&lt;=0,(BB229-$R229)&gt;0),$V229/365*($S229-BB229+1),$V229/365*(BC229-$R229+1))))),0)</f>
        <v>0</v>
      </c>
      <c r="BE229" s="163">
        <f t="shared" ref="BE229:BE232" si="2733">BC229+1</f>
        <v>45992</v>
      </c>
      <c r="BF229" s="163">
        <f t="shared" ref="BF229:BF232" si="2734">BE229+30</f>
        <v>46022</v>
      </c>
      <c r="BG229" s="167">
        <f t="shared" ref="BG229:BG232" si="2735">IFERROR(IF(($R229-BF229)&gt;=0,0,IF(($S229-BE229)&lt;0,0,IF(AND(($S229-BF229)&gt;0,(BE229-$R229)&gt;0),$V229/365*(BF229-BE229+1),IF(AND(($S229-BF229)&lt;=0,(BE229-$R229)&gt;0),$V229/365*($S229-BE229+1),$V229/365*(BF229-$R229+1))))),0)</f>
        <v>0</v>
      </c>
      <c r="BH229" s="163">
        <v>46023</v>
      </c>
      <c r="BI229" s="163">
        <f t="shared" ref="BI229:BI232" si="2736">BH229+30</f>
        <v>46053</v>
      </c>
      <c r="BJ229" s="167">
        <f t="shared" ref="BJ229:BJ232" si="2737">IFERROR(IF(($R229-BI229)&gt;=0,0,IF(($S229-BH229)&lt;0,0,IF(AND(($S229-BI229)&gt;0,(BH229-$R229)&gt;0),$V229/365*(BI229-BH229+1),IF(AND(($S229-BI229)&lt;=0,(BH229-$R229)&gt;0),$V229/365*($S229-BH229+1),$V229/365*(BI229-$R229+1))))),0)</f>
        <v>0</v>
      </c>
      <c r="BK229" s="163">
        <f t="shared" ref="BK229:BK232" si="2738">BI229+1</f>
        <v>46054</v>
      </c>
      <c r="BL229" s="163">
        <f t="shared" ref="BL229:BL232" si="2739">BK229+27</f>
        <v>46081</v>
      </c>
      <c r="BM229" s="167">
        <f t="shared" ref="BM229:BM232" si="2740">IFERROR(IF(($R229-BL229)&gt;=0,0,IF(($S229-BK229)&lt;0,0,IF(AND(($S229-BL229)&gt;0,(BK229-$R229)&gt;0),$V229/365*(BL229-BK229+1),IF(AND(($S229-BL229)&lt;=0,(BK229-$R229)&gt;0),$V229/365*($S229-BK229+1),$V229/365*(BL229-$R229+1))))),0)</f>
        <v>0</v>
      </c>
      <c r="BN229" s="163">
        <f t="shared" ref="BN229:BN232" si="2741">BL229+1</f>
        <v>46082</v>
      </c>
      <c r="BO229" s="163">
        <f t="shared" ref="BO229:BO232" si="2742">BN229+30</f>
        <v>46112</v>
      </c>
      <c r="BP229" s="167">
        <f t="shared" ref="BP229:BP232" si="2743">IFERROR(IF(($R229-BO229)&gt;=0,0,IF(($S229-BN229)&lt;0,0,IF(AND(($S229-BO229)&gt;0,(BN229-$R229)&gt;0),$V229/365*(BO229-BN229+1),IF(AND(($S229-BO229)&lt;=0,(BN229-$R229)&gt;0),$V229/365*($S229-BN229+1),$V229/365*(BO229-$R229+1))))),0)</f>
        <v>0</v>
      </c>
      <c r="BQ229" s="163">
        <f t="shared" ref="BQ229:BQ232" si="2744">BO229+1</f>
        <v>46113</v>
      </c>
      <c r="BR229" s="163">
        <f t="shared" ref="BR229:BR232" si="2745">BQ229+29</f>
        <v>46142</v>
      </c>
      <c r="BS229" s="167">
        <f t="shared" ref="BS229:BS232" si="2746">IFERROR(IF(($R229-BR229)&gt;=0,0,IF(($S229-BQ229)&lt;0,0,IF(AND(($S229-BR229)&gt;0,(BQ229-$R229)&gt;0),$V229/365*(BR229-BQ229+1),IF(AND(($S229-BR229)&lt;=0,(BQ229-$R229)&gt;0),$V229/365*($S229-BQ229+1),$V229/365*(BR229-$R229+1))))),0)</f>
        <v>0</v>
      </c>
      <c r="BT229" s="163">
        <f t="shared" ref="BT229:BT232" si="2747">BR229+1</f>
        <v>46143</v>
      </c>
      <c r="BU229" s="163">
        <f t="shared" ref="BU229:BU232" si="2748">BT229+30</f>
        <v>46173</v>
      </c>
      <c r="BV229" s="167">
        <f t="shared" ref="BV229:BV232" si="2749">IFERROR(IF(($R229-BU229)&gt;=0,0,IF(($S229-BT229)&lt;0,0,IF(AND(($S229-BU229)&gt;0,(BT229-$R229)&gt;0),$V229/365*(BU229-BT229+1),IF(AND(($S229-BU229)&lt;=0,(BT229-$R229)&gt;0),$V229/365*($S229-BT229+1),$V229/365*(BU229-$R229+1))))),0)</f>
        <v>0</v>
      </c>
      <c r="BW229" s="163">
        <f t="shared" ref="BW229:BW232" si="2750">BU229+1</f>
        <v>46174</v>
      </c>
      <c r="BX229" s="163">
        <f t="shared" ref="BX229:BX232" si="2751">BW229+29</f>
        <v>46203</v>
      </c>
      <c r="BY229" s="167">
        <f t="shared" ref="BY229:BY232" si="2752">IFERROR(IF(($R229-BX229)&gt;=0,0,IF(($S229-BW229)&lt;0,0,IF(AND(($S229-BX229)&gt;0,(BW229-$R229)&gt;0),$V229/365*(BX229-BW229+1),IF(AND(($S229-BX229)&lt;=0,(BW229-$R229)&gt;0),$V229/365*($S229-BW229+1),$V229/365*(BX229-$R229+1))))),0)</f>
        <v>0</v>
      </c>
      <c r="BZ229" s="163">
        <f t="shared" ref="BZ229:BZ232" si="2753">BX229+1</f>
        <v>46204</v>
      </c>
      <c r="CA229" s="163">
        <f t="shared" ref="CA229:CA232" si="2754">BZ229+30</f>
        <v>46234</v>
      </c>
      <c r="CB229" s="167">
        <f t="shared" ref="CB229:CB232" si="2755">IFERROR(IF(($R229-CA229)&gt;=0,0,IF(($S229-BZ229)&lt;0,0,IF(AND(($S229-CA229)&gt;0,(BZ229-$R229)&gt;0),$V229/365*(CA229-BZ229+1),IF(AND(($S229-CA229)&lt;=0,(BZ229-$R229)&gt;0),$V229/365*($S229-BZ229+1),$V229/365*(CA229-$R229+1))))),0)</f>
        <v>0</v>
      </c>
      <c r="CC229" s="163">
        <f t="shared" ref="CC229:CC232" si="2756">CA229+1</f>
        <v>46235</v>
      </c>
      <c r="CD229" s="163">
        <f t="shared" ref="CD229:CD232" si="2757">CC229+30</f>
        <v>46265</v>
      </c>
      <c r="CE229" s="167">
        <f t="shared" ref="CE229:CE232" si="2758">IFERROR(IF(($R229-CD229)&gt;=0,0,IF(($S229-CC229)&lt;0,0,IF(AND(($S229-CD229)&gt;0,(CC229-$R229)&gt;0),$V229/365*(CD229-CC229+1),IF(AND(($S229-CD229)&lt;=0,(CC229-$R229)&gt;0),$V229/365*($S229-CC229+1),$V229/365*(CD229-$R229+1))))),0)</f>
        <v>0</v>
      </c>
      <c r="CF229" s="163">
        <f t="shared" ref="CF229:CF232" si="2759">CD229+1</f>
        <v>46266</v>
      </c>
      <c r="CG229" s="163">
        <f t="shared" ref="CG229:CG232" si="2760">CF229+29</f>
        <v>46295</v>
      </c>
      <c r="CH229" s="167">
        <f t="shared" ref="CH229:CH232" si="2761">IFERROR(IF(($R229-CG229)&gt;=0,0,IF(($S229-CF229)&lt;0,0,IF(AND(($S229-CG229)&gt;0,(CF229-$R229)&gt;0),$V229/365*(CG229-CF229+1),IF(AND(($S229-CG229)&lt;=0,(CF229-$R229)&gt;0),$V229/365*($S229-CF229+1),$V229/365*(CG229-$R229+1))))),0)</f>
        <v>0</v>
      </c>
      <c r="CI229" s="163">
        <f t="shared" ref="CI229:CI232" si="2762">CG229+1</f>
        <v>46296</v>
      </c>
      <c r="CJ229" s="163">
        <f t="shared" ref="CJ229:CJ232" si="2763">CI229+30</f>
        <v>46326</v>
      </c>
      <c r="CK229" s="167">
        <f t="shared" ref="CK229:CK232" si="2764">IFERROR(IF(($R229-CJ229)&gt;=0,0,IF(($S229-CI229)&lt;0,0,IF(AND(($S229-CJ229)&gt;0,(CI229-$R229)&gt;0),$V229/365*(CJ229-CI229+1),IF(AND(($S229-CJ229)&lt;=0,(CI229-$R229)&gt;0),$V229/365*($S229-CI229+1),$V229/365*(CJ229-$R229+1))))),0)</f>
        <v>0</v>
      </c>
      <c r="CL229" s="163">
        <f t="shared" ref="CL229:CL232" si="2765">CJ229+1</f>
        <v>46327</v>
      </c>
      <c r="CM229" s="163">
        <f t="shared" ref="CM229:CM232" si="2766">CL229+29</f>
        <v>46356</v>
      </c>
      <c r="CN229" s="167">
        <f t="shared" ref="CN229:CN232" si="2767">IFERROR(IF(($R229-CM229)&gt;=0,0,IF(($S229-CL229)&lt;0,0,IF(AND(($S229-CM229)&gt;0,(CL229-$R229)&gt;0),$V229/365*(CM229-CL229+1),IF(AND(($S229-CM229)&lt;=0,(CL229-$R229)&gt;0),$V229/365*($S229-CL229+1),$V229/365*(CM229-$R229+1))))),0)</f>
        <v>0</v>
      </c>
      <c r="CO229" s="163">
        <f t="shared" ref="CO229:CO232" si="2768">CM229+1</f>
        <v>46357</v>
      </c>
      <c r="CP229" s="163">
        <f t="shared" ref="CP229:CP232" si="2769">CO229+30</f>
        <v>46387</v>
      </c>
      <c r="CQ229" s="167">
        <f t="shared" ref="CQ229:CQ232" si="2770">IFERROR(IF(($R229-CP229)&gt;=0,0,IF(($S229-CO229)&lt;0,0,IF(AND(($S229-CP229)&gt;0,(CO229-$R229)&gt;0),$V229/365*(CP229-CO229+1),IF(AND(($S229-CP229)&lt;=0,(CO229-$R229)&gt;0),$V229/365*($S229-CO229+1),$V229/365*(CP229-$R229+1))))),0)</f>
        <v>0</v>
      </c>
    </row>
    <row r="230" s="89" customFormat="1" ht="24" hidden="1" customHeight="1" outlineLevel="4" spans="1:95">
      <c r="A230" s="128"/>
      <c r="B230" s="129"/>
      <c r="C230" s="130"/>
      <c r="D230" s="128"/>
      <c r="E230" s="129"/>
      <c r="F230" s="129"/>
      <c r="G230" s="129"/>
      <c r="H230" s="131"/>
      <c r="I230" s="131"/>
      <c r="J230" s="131">
        <f t="shared" si="2339"/>
        <v>0</v>
      </c>
      <c r="K230" s="131">
        <f t="shared" ref="K230:K232" si="2771">K229+1</f>
        <v>2</v>
      </c>
      <c r="L230" s="156"/>
      <c r="M230" s="157">
        <f>IFERROR(VLOOKUP($L230,'2-2 引出数据_合同数据仓库'!$B$5:$BP$200,3,FALSE),0)</f>
        <v>0</v>
      </c>
      <c r="N230" s="131"/>
      <c r="O230" s="157">
        <f>IFERROR(VLOOKUP((LEFT(VLOOKUP($L230,'2-2 引出数据_合同数据仓库'!$B$5:$BP$200,64,FALSE),15)&amp;(RIGHT(VLOOKUP($L230,'2-2 引出数据_合同数据仓库'!$B$5:$BP$200,64,FALSE),4)+1)),'2-2 引出数据_合同数据仓库'!$B$5:$BP$200,3,FALSE),0)</f>
        <v>0</v>
      </c>
      <c r="P230" s="131"/>
      <c r="Q230" s="131">
        <f>IFERROR(VLOOKUP($L230,'2-2 引出数据_合同数据仓库'!$B$5:$BP$200,28,FALSE),0)</f>
        <v>0</v>
      </c>
      <c r="R230" s="131">
        <f>IFERROR(VLOOKUP($L230,'2-2 引出数据_合同数据仓库'!$B$5:$BP$200,29,FALSE),0)</f>
        <v>0</v>
      </c>
      <c r="S230" s="131">
        <f>IFERROR(VLOOKUP($L230,'2-2 引出数据_合同数据仓库'!$B$5:$BP$200,4,FALSE),0)</f>
        <v>0</v>
      </c>
      <c r="T230" s="131"/>
      <c r="U230" s="131">
        <f>IFERROR(VLOOKUP($L230,'2-2 引出数据_合同数据仓库'!$B$5:$BP$200,15,FALSE),0)</f>
        <v>0</v>
      </c>
      <c r="V230" s="131">
        <f t="shared" si="2700"/>
        <v>0</v>
      </c>
      <c r="W230" s="131"/>
      <c r="X230" s="163">
        <v>45658</v>
      </c>
      <c r="Y230" s="163">
        <f t="shared" si="2701"/>
        <v>45688</v>
      </c>
      <c r="Z230" s="167">
        <f t="shared" si="2702"/>
        <v>0</v>
      </c>
      <c r="AA230" s="163">
        <f t="shared" si="2703"/>
        <v>45689</v>
      </c>
      <c r="AB230" s="163">
        <f t="shared" si="2704"/>
        <v>45716</v>
      </c>
      <c r="AC230" s="167">
        <f t="shared" si="2705"/>
        <v>0</v>
      </c>
      <c r="AD230" s="163">
        <f t="shared" si="2706"/>
        <v>45717</v>
      </c>
      <c r="AE230" s="163">
        <f t="shared" si="2707"/>
        <v>45747</v>
      </c>
      <c r="AF230" s="167">
        <f t="shared" si="2708"/>
        <v>0</v>
      </c>
      <c r="AG230" s="163">
        <f t="shared" si="2709"/>
        <v>45748</v>
      </c>
      <c r="AH230" s="163">
        <f t="shared" si="2710"/>
        <v>45777</v>
      </c>
      <c r="AI230" s="167">
        <f t="shared" si="2711"/>
        <v>0</v>
      </c>
      <c r="AJ230" s="163">
        <f t="shared" si="2712"/>
        <v>45778</v>
      </c>
      <c r="AK230" s="163">
        <f t="shared" si="2713"/>
        <v>45808</v>
      </c>
      <c r="AL230" s="167">
        <f t="shared" si="2714"/>
        <v>0</v>
      </c>
      <c r="AM230" s="163">
        <f t="shared" si="2715"/>
        <v>45809</v>
      </c>
      <c r="AN230" s="163">
        <f t="shared" si="2716"/>
        <v>45838</v>
      </c>
      <c r="AO230" s="167">
        <f t="shared" si="2717"/>
        <v>0</v>
      </c>
      <c r="AP230" s="163">
        <f t="shared" si="2718"/>
        <v>45839</v>
      </c>
      <c r="AQ230" s="163">
        <f t="shared" si="2719"/>
        <v>45869</v>
      </c>
      <c r="AR230" s="167">
        <f t="shared" si="2720"/>
        <v>0</v>
      </c>
      <c r="AS230" s="163">
        <f t="shared" si="2721"/>
        <v>45870</v>
      </c>
      <c r="AT230" s="163">
        <f t="shared" si="2722"/>
        <v>45900</v>
      </c>
      <c r="AU230" s="167">
        <f t="shared" si="2723"/>
        <v>0</v>
      </c>
      <c r="AV230" s="163">
        <f t="shared" si="2724"/>
        <v>45901</v>
      </c>
      <c r="AW230" s="163">
        <f t="shared" si="2725"/>
        <v>45930</v>
      </c>
      <c r="AX230" s="167">
        <f t="shared" si="2726"/>
        <v>0</v>
      </c>
      <c r="AY230" s="163">
        <f t="shared" si="2727"/>
        <v>45931</v>
      </c>
      <c r="AZ230" s="163">
        <f t="shared" si="2728"/>
        <v>45961</v>
      </c>
      <c r="BA230" s="167">
        <f t="shared" si="2729"/>
        <v>0</v>
      </c>
      <c r="BB230" s="163">
        <f t="shared" si="2730"/>
        <v>45962</v>
      </c>
      <c r="BC230" s="163">
        <f t="shared" si="2731"/>
        <v>45991</v>
      </c>
      <c r="BD230" s="167">
        <f t="shared" si="2732"/>
        <v>0</v>
      </c>
      <c r="BE230" s="163">
        <f t="shared" si="2733"/>
        <v>45992</v>
      </c>
      <c r="BF230" s="163">
        <f t="shared" si="2734"/>
        <v>46022</v>
      </c>
      <c r="BG230" s="167">
        <f t="shared" si="2735"/>
        <v>0</v>
      </c>
      <c r="BH230" s="163">
        <v>46023</v>
      </c>
      <c r="BI230" s="163">
        <f t="shared" si="2736"/>
        <v>46053</v>
      </c>
      <c r="BJ230" s="167">
        <f t="shared" si="2737"/>
        <v>0</v>
      </c>
      <c r="BK230" s="163">
        <f t="shared" si="2738"/>
        <v>46054</v>
      </c>
      <c r="BL230" s="163">
        <f t="shared" si="2739"/>
        <v>46081</v>
      </c>
      <c r="BM230" s="167">
        <f t="shared" si="2740"/>
        <v>0</v>
      </c>
      <c r="BN230" s="163">
        <f t="shared" si="2741"/>
        <v>46082</v>
      </c>
      <c r="BO230" s="163">
        <f t="shared" si="2742"/>
        <v>46112</v>
      </c>
      <c r="BP230" s="167">
        <f t="shared" si="2743"/>
        <v>0</v>
      </c>
      <c r="BQ230" s="163">
        <f t="shared" si="2744"/>
        <v>46113</v>
      </c>
      <c r="BR230" s="163">
        <f t="shared" si="2745"/>
        <v>46142</v>
      </c>
      <c r="BS230" s="167">
        <f t="shared" si="2746"/>
        <v>0</v>
      </c>
      <c r="BT230" s="163">
        <f t="shared" si="2747"/>
        <v>46143</v>
      </c>
      <c r="BU230" s="163">
        <f t="shared" si="2748"/>
        <v>46173</v>
      </c>
      <c r="BV230" s="167">
        <f t="shared" si="2749"/>
        <v>0</v>
      </c>
      <c r="BW230" s="163">
        <f t="shared" si="2750"/>
        <v>46174</v>
      </c>
      <c r="BX230" s="163">
        <f t="shared" si="2751"/>
        <v>46203</v>
      </c>
      <c r="BY230" s="167">
        <f t="shared" si="2752"/>
        <v>0</v>
      </c>
      <c r="BZ230" s="163">
        <f t="shared" si="2753"/>
        <v>46204</v>
      </c>
      <c r="CA230" s="163">
        <f t="shared" si="2754"/>
        <v>46234</v>
      </c>
      <c r="CB230" s="167">
        <f t="shared" si="2755"/>
        <v>0</v>
      </c>
      <c r="CC230" s="163">
        <f t="shared" si="2756"/>
        <v>46235</v>
      </c>
      <c r="CD230" s="163">
        <f t="shared" si="2757"/>
        <v>46265</v>
      </c>
      <c r="CE230" s="167">
        <f t="shared" si="2758"/>
        <v>0</v>
      </c>
      <c r="CF230" s="163">
        <f t="shared" si="2759"/>
        <v>46266</v>
      </c>
      <c r="CG230" s="163">
        <f t="shared" si="2760"/>
        <v>46295</v>
      </c>
      <c r="CH230" s="167">
        <f t="shared" si="2761"/>
        <v>0</v>
      </c>
      <c r="CI230" s="163">
        <f t="shared" si="2762"/>
        <v>46296</v>
      </c>
      <c r="CJ230" s="163">
        <f t="shared" si="2763"/>
        <v>46326</v>
      </c>
      <c r="CK230" s="167">
        <f t="shared" si="2764"/>
        <v>0</v>
      </c>
      <c r="CL230" s="163">
        <f t="shared" si="2765"/>
        <v>46327</v>
      </c>
      <c r="CM230" s="163">
        <f t="shared" si="2766"/>
        <v>46356</v>
      </c>
      <c r="CN230" s="167">
        <f t="shared" si="2767"/>
        <v>0</v>
      </c>
      <c r="CO230" s="163">
        <f t="shared" si="2768"/>
        <v>46357</v>
      </c>
      <c r="CP230" s="163">
        <f t="shared" si="2769"/>
        <v>46387</v>
      </c>
      <c r="CQ230" s="167">
        <f t="shared" si="2770"/>
        <v>0</v>
      </c>
    </row>
    <row r="231" s="89" customFormat="1" ht="24" hidden="1" customHeight="1" outlineLevel="4" spans="1:95">
      <c r="A231" s="128"/>
      <c r="B231" s="129"/>
      <c r="C231" s="130"/>
      <c r="D231" s="128"/>
      <c r="E231" s="129"/>
      <c r="F231" s="129"/>
      <c r="G231" s="129"/>
      <c r="H231" s="131"/>
      <c r="I231" s="131"/>
      <c r="J231" s="131">
        <f t="shared" si="2339"/>
        <v>0</v>
      </c>
      <c r="K231" s="131">
        <f t="shared" si="2771"/>
        <v>3</v>
      </c>
      <c r="L231" s="156"/>
      <c r="M231" s="157">
        <f>IFERROR(VLOOKUP($L231,'2-2 引出数据_合同数据仓库'!$B$5:$BP$200,3,FALSE),0)</f>
        <v>0</v>
      </c>
      <c r="N231" s="131"/>
      <c r="O231" s="157">
        <f>IFERROR(VLOOKUP((LEFT(VLOOKUP($L231,'2-2 引出数据_合同数据仓库'!$B$5:$BP$200,64,FALSE),15)&amp;(RIGHT(VLOOKUP($L231,'2-2 引出数据_合同数据仓库'!$B$5:$BP$200,64,FALSE),4)+1)),'2-2 引出数据_合同数据仓库'!$B$5:$BP$200,3,FALSE),0)</f>
        <v>0</v>
      </c>
      <c r="P231" s="131"/>
      <c r="Q231" s="131">
        <f>IFERROR(VLOOKUP($L231,'2-2 引出数据_合同数据仓库'!$B$5:$BP$200,28,FALSE),0)</f>
        <v>0</v>
      </c>
      <c r="R231" s="131">
        <f>IFERROR(VLOOKUP($L231,'2-2 引出数据_合同数据仓库'!$B$5:$BP$200,29,FALSE),0)</f>
        <v>0</v>
      </c>
      <c r="S231" s="131">
        <f>IFERROR(VLOOKUP($L231,'2-2 引出数据_合同数据仓库'!$B$5:$BP$200,4,FALSE),0)</f>
        <v>0</v>
      </c>
      <c r="T231" s="131"/>
      <c r="U231" s="131">
        <f>IFERROR(VLOOKUP($L231,'2-2 引出数据_合同数据仓库'!$B$5:$BP$200,15,FALSE),0)</f>
        <v>0</v>
      </c>
      <c r="V231" s="131">
        <f t="shared" si="2700"/>
        <v>0</v>
      </c>
      <c r="W231" s="131"/>
      <c r="X231" s="163">
        <v>45658</v>
      </c>
      <c r="Y231" s="163">
        <f t="shared" si="2701"/>
        <v>45688</v>
      </c>
      <c r="Z231" s="167">
        <f t="shared" si="2702"/>
        <v>0</v>
      </c>
      <c r="AA231" s="163">
        <f t="shared" si="2703"/>
        <v>45689</v>
      </c>
      <c r="AB231" s="163">
        <f t="shared" si="2704"/>
        <v>45716</v>
      </c>
      <c r="AC231" s="167">
        <f t="shared" si="2705"/>
        <v>0</v>
      </c>
      <c r="AD231" s="163">
        <f t="shared" si="2706"/>
        <v>45717</v>
      </c>
      <c r="AE231" s="163">
        <f t="shared" si="2707"/>
        <v>45747</v>
      </c>
      <c r="AF231" s="167">
        <f t="shared" si="2708"/>
        <v>0</v>
      </c>
      <c r="AG231" s="163">
        <f t="shared" si="2709"/>
        <v>45748</v>
      </c>
      <c r="AH231" s="163">
        <f t="shared" si="2710"/>
        <v>45777</v>
      </c>
      <c r="AI231" s="167">
        <f t="shared" si="2711"/>
        <v>0</v>
      </c>
      <c r="AJ231" s="163">
        <f t="shared" si="2712"/>
        <v>45778</v>
      </c>
      <c r="AK231" s="163">
        <f t="shared" si="2713"/>
        <v>45808</v>
      </c>
      <c r="AL231" s="167">
        <f t="shared" si="2714"/>
        <v>0</v>
      </c>
      <c r="AM231" s="163">
        <f t="shared" si="2715"/>
        <v>45809</v>
      </c>
      <c r="AN231" s="163">
        <f t="shared" si="2716"/>
        <v>45838</v>
      </c>
      <c r="AO231" s="167">
        <f t="shared" si="2717"/>
        <v>0</v>
      </c>
      <c r="AP231" s="163">
        <f t="shared" si="2718"/>
        <v>45839</v>
      </c>
      <c r="AQ231" s="163">
        <f t="shared" si="2719"/>
        <v>45869</v>
      </c>
      <c r="AR231" s="167">
        <f t="shared" si="2720"/>
        <v>0</v>
      </c>
      <c r="AS231" s="163">
        <f t="shared" si="2721"/>
        <v>45870</v>
      </c>
      <c r="AT231" s="163">
        <f t="shared" si="2722"/>
        <v>45900</v>
      </c>
      <c r="AU231" s="167">
        <f t="shared" si="2723"/>
        <v>0</v>
      </c>
      <c r="AV231" s="163">
        <f t="shared" si="2724"/>
        <v>45901</v>
      </c>
      <c r="AW231" s="163">
        <f t="shared" si="2725"/>
        <v>45930</v>
      </c>
      <c r="AX231" s="167">
        <f t="shared" si="2726"/>
        <v>0</v>
      </c>
      <c r="AY231" s="163">
        <f t="shared" si="2727"/>
        <v>45931</v>
      </c>
      <c r="AZ231" s="163">
        <f t="shared" si="2728"/>
        <v>45961</v>
      </c>
      <c r="BA231" s="167">
        <f t="shared" si="2729"/>
        <v>0</v>
      </c>
      <c r="BB231" s="163">
        <f t="shared" si="2730"/>
        <v>45962</v>
      </c>
      <c r="BC231" s="163">
        <f t="shared" si="2731"/>
        <v>45991</v>
      </c>
      <c r="BD231" s="167">
        <f t="shared" si="2732"/>
        <v>0</v>
      </c>
      <c r="BE231" s="163">
        <f t="shared" si="2733"/>
        <v>45992</v>
      </c>
      <c r="BF231" s="163">
        <f t="shared" si="2734"/>
        <v>46022</v>
      </c>
      <c r="BG231" s="167">
        <f t="shared" si="2735"/>
        <v>0</v>
      </c>
      <c r="BH231" s="163">
        <v>46023</v>
      </c>
      <c r="BI231" s="163">
        <f t="shared" si="2736"/>
        <v>46053</v>
      </c>
      <c r="BJ231" s="167">
        <f t="shared" si="2737"/>
        <v>0</v>
      </c>
      <c r="BK231" s="163">
        <f t="shared" si="2738"/>
        <v>46054</v>
      </c>
      <c r="BL231" s="163">
        <f t="shared" si="2739"/>
        <v>46081</v>
      </c>
      <c r="BM231" s="167">
        <f t="shared" si="2740"/>
        <v>0</v>
      </c>
      <c r="BN231" s="163">
        <f t="shared" si="2741"/>
        <v>46082</v>
      </c>
      <c r="BO231" s="163">
        <f t="shared" si="2742"/>
        <v>46112</v>
      </c>
      <c r="BP231" s="167">
        <f t="shared" si="2743"/>
        <v>0</v>
      </c>
      <c r="BQ231" s="163">
        <f t="shared" si="2744"/>
        <v>46113</v>
      </c>
      <c r="BR231" s="163">
        <f t="shared" si="2745"/>
        <v>46142</v>
      </c>
      <c r="BS231" s="167">
        <f t="shared" si="2746"/>
        <v>0</v>
      </c>
      <c r="BT231" s="163">
        <f t="shared" si="2747"/>
        <v>46143</v>
      </c>
      <c r="BU231" s="163">
        <f t="shared" si="2748"/>
        <v>46173</v>
      </c>
      <c r="BV231" s="167">
        <f t="shared" si="2749"/>
        <v>0</v>
      </c>
      <c r="BW231" s="163">
        <f t="shared" si="2750"/>
        <v>46174</v>
      </c>
      <c r="BX231" s="163">
        <f t="shared" si="2751"/>
        <v>46203</v>
      </c>
      <c r="BY231" s="167">
        <f t="shared" si="2752"/>
        <v>0</v>
      </c>
      <c r="BZ231" s="163">
        <f t="shared" si="2753"/>
        <v>46204</v>
      </c>
      <c r="CA231" s="163">
        <f t="shared" si="2754"/>
        <v>46234</v>
      </c>
      <c r="CB231" s="167">
        <f t="shared" si="2755"/>
        <v>0</v>
      </c>
      <c r="CC231" s="163">
        <f t="shared" si="2756"/>
        <v>46235</v>
      </c>
      <c r="CD231" s="163">
        <f t="shared" si="2757"/>
        <v>46265</v>
      </c>
      <c r="CE231" s="167">
        <f t="shared" si="2758"/>
        <v>0</v>
      </c>
      <c r="CF231" s="163">
        <f t="shared" si="2759"/>
        <v>46266</v>
      </c>
      <c r="CG231" s="163">
        <f t="shared" si="2760"/>
        <v>46295</v>
      </c>
      <c r="CH231" s="167">
        <f t="shared" si="2761"/>
        <v>0</v>
      </c>
      <c r="CI231" s="163">
        <f t="shared" si="2762"/>
        <v>46296</v>
      </c>
      <c r="CJ231" s="163">
        <f t="shared" si="2763"/>
        <v>46326</v>
      </c>
      <c r="CK231" s="167">
        <f t="shared" si="2764"/>
        <v>0</v>
      </c>
      <c r="CL231" s="163">
        <f t="shared" si="2765"/>
        <v>46327</v>
      </c>
      <c r="CM231" s="163">
        <f t="shared" si="2766"/>
        <v>46356</v>
      </c>
      <c r="CN231" s="167">
        <f t="shared" si="2767"/>
        <v>0</v>
      </c>
      <c r="CO231" s="163">
        <f t="shared" si="2768"/>
        <v>46357</v>
      </c>
      <c r="CP231" s="163">
        <f t="shared" si="2769"/>
        <v>46387</v>
      </c>
      <c r="CQ231" s="167">
        <f t="shared" si="2770"/>
        <v>0</v>
      </c>
    </row>
    <row r="232" s="89" customFormat="1" ht="24" hidden="1" customHeight="1" outlineLevel="4" spans="1:95">
      <c r="A232" s="128"/>
      <c r="B232" s="129"/>
      <c r="C232" s="130"/>
      <c r="D232" s="128"/>
      <c r="E232" s="129"/>
      <c r="F232" s="129"/>
      <c r="G232" s="129"/>
      <c r="H232" s="131"/>
      <c r="I232" s="131"/>
      <c r="J232" s="131">
        <f t="shared" si="2339"/>
        <v>0</v>
      </c>
      <c r="K232" s="131">
        <f t="shared" si="2771"/>
        <v>4</v>
      </c>
      <c r="L232" s="156"/>
      <c r="M232" s="157">
        <f>IFERROR(VLOOKUP($L232,'2-2 引出数据_合同数据仓库'!$B$5:$BP$200,3,FALSE),0)</f>
        <v>0</v>
      </c>
      <c r="N232" s="131"/>
      <c r="O232" s="157">
        <f>IFERROR(VLOOKUP((LEFT(VLOOKUP($L232,'2-2 引出数据_合同数据仓库'!$B$5:$BP$200,64,FALSE),15)&amp;(RIGHT(VLOOKUP($L232,'2-2 引出数据_合同数据仓库'!$B$5:$BP$200,64,FALSE),4)+1)),'2-2 引出数据_合同数据仓库'!$B$5:$BP$200,3,FALSE),0)</f>
        <v>0</v>
      </c>
      <c r="P232" s="131"/>
      <c r="Q232" s="131">
        <f>IFERROR(VLOOKUP($L232,'2-2 引出数据_合同数据仓库'!$B$5:$BP$200,28,FALSE),0)</f>
        <v>0</v>
      </c>
      <c r="R232" s="131">
        <f>IFERROR(VLOOKUP($L232,'2-2 引出数据_合同数据仓库'!$B$5:$BP$200,29,FALSE),0)</f>
        <v>0</v>
      </c>
      <c r="S232" s="131">
        <f>IFERROR(VLOOKUP($L232,'2-2 引出数据_合同数据仓库'!$B$5:$BP$200,4,FALSE),0)</f>
        <v>0</v>
      </c>
      <c r="T232" s="131"/>
      <c r="U232" s="131">
        <f>IFERROR(VLOOKUP($L232,'2-2 引出数据_合同数据仓库'!$B$5:$BP$200,15,FALSE),0)</f>
        <v>0</v>
      </c>
      <c r="V232" s="131">
        <f t="shared" si="2700"/>
        <v>0</v>
      </c>
      <c r="W232" s="131"/>
      <c r="X232" s="163">
        <v>45658</v>
      </c>
      <c r="Y232" s="163">
        <f t="shared" si="2701"/>
        <v>45688</v>
      </c>
      <c r="Z232" s="167">
        <f t="shared" si="2702"/>
        <v>0</v>
      </c>
      <c r="AA232" s="163">
        <f t="shared" si="2703"/>
        <v>45689</v>
      </c>
      <c r="AB232" s="163">
        <f t="shared" si="2704"/>
        <v>45716</v>
      </c>
      <c r="AC232" s="167">
        <f t="shared" si="2705"/>
        <v>0</v>
      </c>
      <c r="AD232" s="163">
        <f t="shared" si="2706"/>
        <v>45717</v>
      </c>
      <c r="AE232" s="163">
        <f t="shared" si="2707"/>
        <v>45747</v>
      </c>
      <c r="AF232" s="167">
        <f t="shared" si="2708"/>
        <v>0</v>
      </c>
      <c r="AG232" s="163">
        <f t="shared" si="2709"/>
        <v>45748</v>
      </c>
      <c r="AH232" s="163">
        <f t="shared" si="2710"/>
        <v>45777</v>
      </c>
      <c r="AI232" s="167">
        <f t="shared" si="2711"/>
        <v>0</v>
      </c>
      <c r="AJ232" s="163">
        <f t="shared" si="2712"/>
        <v>45778</v>
      </c>
      <c r="AK232" s="163">
        <f t="shared" si="2713"/>
        <v>45808</v>
      </c>
      <c r="AL232" s="167">
        <f t="shared" si="2714"/>
        <v>0</v>
      </c>
      <c r="AM232" s="163">
        <f t="shared" si="2715"/>
        <v>45809</v>
      </c>
      <c r="AN232" s="163">
        <f t="shared" si="2716"/>
        <v>45838</v>
      </c>
      <c r="AO232" s="167">
        <f t="shared" si="2717"/>
        <v>0</v>
      </c>
      <c r="AP232" s="163">
        <f t="shared" si="2718"/>
        <v>45839</v>
      </c>
      <c r="AQ232" s="163">
        <f t="shared" si="2719"/>
        <v>45869</v>
      </c>
      <c r="AR232" s="167">
        <f t="shared" si="2720"/>
        <v>0</v>
      </c>
      <c r="AS232" s="163">
        <f t="shared" si="2721"/>
        <v>45870</v>
      </c>
      <c r="AT232" s="163">
        <f t="shared" si="2722"/>
        <v>45900</v>
      </c>
      <c r="AU232" s="167">
        <f t="shared" si="2723"/>
        <v>0</v>
      </c>
      <c r="AV232" s="163">
        <f t="shared" si="2724"/>
        <v>45901</v>
      </c>
      <c r="AW232" s="163">
        <f t="shared" si="2725"/>
        <v>45930</v>
      </c>
      <c r="AX232" s="167">
        <f t="shared" si="2726"/>
        <v>0</v>
      </c>
      <c r="AY232" s="163">
        <f t="shared" si="2727"/>
        <v>45931</v>
      </c>
      <c r="AZ232" s="163">
        <f t="shared" si="2728"/>
        <v>45961</v>
      </c>
      <c r="BA232" s="167">
        <f t="shared" si="2729"/>
        <v>0</v>
      </c>
      <c r="BB232" s="163">
        <f t="shared" si="2730"/>
        <v>45962</v>
      </c>
      <c r="BC232" s="163">
        <f t="shared" si="2731"/>
        <v>45991</v>
      </c>
      <c r="BD232" s="167">
        <f t="shared" si="2732"/>
        <v>0</v>
      </c>
      <c r="BE232" s="163">
        <f t="shared" si="2733"/>
        <v>45992</v>
      </c>
      <c r="BF232" s="163">
        <f t="shared" si="2734"/>
        <v>46022</v>
      </c>
      <c r="BG232" s="167">
        <f t="shared" si="2735"/>
        <v>0</v>
      </c>
      <c r="BH232" s="163">
        <v>46023</v>
      </c>
      <c r="BI232" s="163">
        <f t="shared" si="2736"/>
        <v>46053</v>
      </c>
      <c r="BJ232" s="167">
        <f t="shared" si="2737"/>
        <v>0</v>
      </c>
      <c r="BK232" s="163">
        <f t="shared" si="2738"/>
        <v>46054</v>
      </c>
      <c r="BL232" s="163">
        <f t="shared" si="2739"/>
        <v>46081</v>
      </c>
      <c r="BM232" s="167">
        <f t="shared" si="2740"/>
        <v>0</v>
      </c>
      <c r="BN232" s="163">
        <f t="shared" si="2741"/>
        <v>46082</v>
      </c>
      <c r="BO232" s="163">
        <f t="shared" si="2742"/>
        <v>46112</v>
      </c>
      <c r="BP232" s="167">
        <f t="shared" si="2743"/>
        <v>0</v>
      </c>
      <c r="BQ232" s="163">
        <f t="shared" si="2744"/>
        <v>46113</v>
      </c>
      <c r="BR232" s="163">
        <f t="shared" si="2745"/>
        <v>46142</v>
      </c>
      <c r="BS232" s="167">
        <f t="shared" si="2746"/>
        <v>0</v>
      </c>
      <c r="BT232" s="163">
        <f t="shared" si="2747"/>
        <v>46143</v>
      </c>
      <c r="BU232" s="163">
        <f t="shared" si="2748"/>
        <v>46173</v>
      </c>
      <c r="BV232" s="167">
        <f t="shared" si="2749"/>
        <v>0</v>
      </c>
      <c r="BW232" s="163">
        <f t="shared" si="2750"/>
        <v>46174</v>
      </c>
      <c r="BX232" s="163">
        <f t="shared" si="2751"/>
        <v>46203</v>
      </c>
      <c r="BY232" s="167">
        <f t="shared" si="2752"/>
        <v>0</v>
      </c>
      <c r="BZ232" s="163">
        <f t="shared" si="2753"/>
        <v>46204</v>
      </c>
      <c r="CA232" s="163">
        <f t="shared" si="2754"/>
        <v>46234</v>
      </c>
      <c r="CB232" s="167">
        <f t="shared" si="2755"/>
        <v>0</v>
      </c>
      <c r="CC232" s="163">
        <f t="shared" si="2756"/>
        <v>46235</v>
      </c>
      <c r="CD232" s="163">
        <f t="shared" si="2757"/>
        <v>46265</v>
      </c>
      <c r="CE232" s="167">
        <f t="shared" si="2758"/>
        <v>0</v>
      </c>
      <c r="CF232" s="163">
        <f t="shared" si="2759"/>
        <v>46266</v>
      </c>
      <c r="CG232" s="163">
        <f t="shared" si="2760"/>
        <v>46295</v>
      </c>
      <c r="CH232" s="167">
        <f t="shared" si="2761"/>
        <v>0</v>
      </c>
      <c r="CI232" s="163">
        <f t="shared" si="2762"/>
        <v>46296</v>
      </c>
      <c r="CJ232" s="163">
        <f t="shared" si="2763"/>
        <v>46326</v>
      </c>
      <c r="CK232" s="167">
        <f t="shared" si="2764"/>
        <v>0</v>
      </c>
      <c r="CL232" s="163">
        <f t="shared" si="2765"/>
        <v>46327</v>
      </c>
      <c r="CM232" s="163">
        <f t="shared" si="2766"/>
        <v>46356</v>
      </c>
      <c r="CN232" s="167">
        <f t="shared" si="2767"/>
        <v>0</v>
      </c>
      <c r="CO232" s="163">
        <f t="shared" si="2768"/>
        <v>46357</v>
      </c>
      <c r="CP232" s="163">
        <f t="shared" si="2769"/>
        <v>46387</v>
      </c>
      <c r="CQ232" s="167">
        <f t="shared" si="2770"/>
        <v>0</v>
      </c>
    </row>
    <row r="233" s="89" customFormat="1" ht="24" hidden="1" customHeight="1" outlineLevel="4" spans="1:95">
      <c r="A233" s="132" t="s">
        <v>2813</v>
      </c>
      <c r="B233" s="133"/>
      <c r="C233" s="133"/>
      <c r="D233" s="133"/>
      <c r="E233" s="133"/>
      <c r="F233" s="133"/>
      <c r="G233" s="134"/>
      <c r="H233" s="135"/>
      <c r="I233" s="135"/>
      <c r="J233" s="135"/>
      <c r="K233" s="135"/>
      <c r="L233" s="158"/>
      <c r="M233" s="158"/>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c r="CL233" s="135"/>
      <c r="CM233" s="135"/>
      <c r="CN233" s="135"/>
      <c r="CO233" s="135"/>
      <c r="CP233" s="135"/>
      <c r="CQ233" s="135"/>
    </row>
    <row r="234" ht="24" hidden="1" customHeight="1" outlineLevel="3" collapsed="1" spans="1:95">
      <c r="A234" s="124"/>
      <c r="B234" s="125" t="s">
        <v>792</v>
      </c>
      <c r="C234" s="126" t="s">
        <v>1190</v>
      </c>
      <c r="D234" s="124" t="s">
        <v>1191</v>
      </c>
      <c r="E234" s="125" t="s">
        <v>1192</v>
      </c>
      <c r="F234" s="125"/>
      <c r="G234" s="125" t="s">
        <v>936</v>
      </c>
      <c r="H234" s="127">
        <f>X234+AA234+AD234+AG234+AJ234+AM234+AP234+AS234+AV234+AY234+BB234+BE234</f>
        <v>0</v>
      </c>
      <c r="I234" s="127">
        <f>Y234+AB234+AE234+AH234+AK234+AN234+AQ234+AT234+AW234+AZ234+BC234+BF234</f>
        <v>0</v>
      </c>
      <c r="J234" s="127">
        <f t="shared" si="2339"/>
        <v>0</v>
      </c>
      <c r="K234" s="127"/>
      <c r="L234" s="155"/>
      <c r="M234" s="155"/>
      <c r="N234" s="127"/>
      <c r="O234" s="127"/>
      <c r="P234" s="127"/>
      <c r="Q234" s="127"/>
      <c r="R234" s="127"/>
      <c r="S234" s="127"/>
      <c r="T234" s="127"/>
      <c r="U234" s="127"/>
      <c r="V234" s="127"/>
      <c r="W234" s="127"/>
      <c r="X234" s="127">
        <f>VLOOKUP($C234,'1 预算编制表单'!$C:$BJ,27,FALSE)</f>
        <v>0</v>
      </c>
      <c r="Y234" s="127">
        <f>X234-Z234</f>
        <v>0</v>
      </c>
      <c r="Z234" s="127">
        <f>SUM(Z235:Z239)</f>
        <v>0</v>
      </c>
      <c r="AA234" s="127">
        <f>VLOOKUP($C234,'1 预算编制表单'!$C:$BJ,30,FALSE)</f>
        <v>0</v>
      </c>
      <c r="AB234" s="127">
        <f>AA234-AC234</f>
        <v>0</v>
      </c>
      <c r="AC234" s="127">
        <f>SUM(AC235:AC239)</f>
        <v>0</v>
      </c>
      <c r="AD234" s="127">
        <f>VLOOKUP($C234,'1 预算编制表单'!$C:$BJ,33,FALSE)</f>
        <v>0</v>
      </c>
      <c r="AE234" s="127">
        <f>AD234-AF234</f>
        <v>0</v>
      </c>
      <c r="AF234" s="127">
        <f>SUM(AF235:AF239)</f>
        <v>0</v>
      </c>
      <c r="AG234" s="127">
        <f>VLOOKUP($C234,'1 预算编制表单'!$C:$BJ,36,FALSE)</f>
        <v>0</v>
      </c>
      <c r="AH234" s="127">
        <f>AG234-AI234</f>
        <v>0</v>
      </c>
      <c r="AI234" s="127">
        <f>SUM(AI235:AI239)</f>
        <v>0</v>
      </c>
      <c r="AJ234" s="127">
        <f>VLOOKUP($C234,'1 预算编制表单'!$C:$BJ,39,FALSE)</f>
        <v>0</v>
      </c>
      <c r="AK234" s="127">
        <f>AJ234-AL234</f>
        <v>0</v>
      </c>
      <c r="AL234" s="127">
        <f>SUM(AL235:AL239)</f>
        <v>0</v>
      </c>
      <c r="AM234" s="127">
        <f>VLOOKUP($C234,'1 预算编制表单'!$C:$BJ,42,FALSE)</f>
        <v>0</v>
      </c>
      <c r="AN234" s="127">
        <f>AM234-AO234</f>
        <v>0</v>
      </c>
      <c r="AO234" s="127">
        <f>SUM(AO235:AO239)</f>
        <v>0</v>
      </c>
      <c r="AP234" s="127">
        <f>VLOOKUP($C234,'1 预算编制表单'!$C:$BJ,45,FALSE)</f>
        <v>0</v>
      </c>
      <c r="AQ234" s="127">
        <f>AP234-AR234</f>
        <v>0</v>
      </c>
      <c r="AR234" s="127">
        <f>SUM(AR235:AR239)</f>
        <v>0</v>
      </c>
      <c r="AS234" s="127">
        <f>VLOOKUP($C234,'1 预算编制表单'!$C:$BJ,48,FALSE)</f>
        <v>0</v>
      </c>
      <c r="AT234" s="127">
        <f>AS234-AU234</f>
        <v>0</v>
      </c>
      <c r="AU234" s="127">
        <f>SUM(AU235:AU239)</f>
        <v>0</v>
      </c>
      <c r="AV234" s="127">
        <f>VLOOKUP($C234,'1 预算编制表单'!$C:$BJ,51,FALSE)</f>
        <v>0</v>
      </c>
      <c r="AW234" s="127">
        <f>AV234-AX234</f>
        <v>0</v>
      </c>
      <c r="AX234" s="127">
        <f>SUM(AX235:AX239)</f>
        <v>0</v>
      </c>
      <c r="AY234" s="127">
        <f>VLOOKUP($C234,'1 预算编制表单'!$C:$BJ,54,FALSE)</f>
        <v>0</v>
      </c>
      <c r="AZ234" s="127">
        <f>AY234-BA234</f>
        <v>0</v>
      </c>
      <c r="BA234" s="127">
        <f>SUM(BA235:BA239)</f>
        <v>0</v>
      </c>
      <c r="BB234" s="127">
        <f>VLOOKUP($C234,'1 预算编制表单'!$C:$BJ,57,FALSE)</f>
        <v>0</v>
      </c>
      <c r="BC234" s="127">
        <f>BB234-BD234</f>
        <v>0</v>
      </c>
      <c r="BD234" s="127">
        <f>SUM(BD235:BD239)</f>
        <v>0</v>
      </c>
      <c r="BE234" s="127">
        <f>VLOOKUP($C234,'1 预算编制表单'!$C:$BJ,60,FALSE)</f>
        <v>0</v>
      </c>
      <c r="BF234" s="127">
        <f>BE234-BG234</f>
        <v>0</v>
      </c>
      <c r="BG234" s="127">
        <f>SUM(BG235:BG239)</f>
        <v>0</v>
      </c>
      <c r="BH234" s="127">
        <f>VLOOKUP($C234,'1 预算编制表单'!$C:$BJ,27,FALSE)</f>
        <v>0</v>
      </c>
      <c r="BI234" s="127">
        <f>BH234-BJ234</f>
        <v>0</v>
      </c>
      <c r="BJ234" s="127">
        <f>SUM(BJ235:BJ239)</f>
        <v>0</v>
      </c>
      <c r="BK234" s="127">
        <f>VLOOKUP($C234,'1 预算编制表单'!$C:$BJ,30,FALSE)</f>
        <v>0</v>
      </c>
      <c r="BL234" s="127">
        <f>BK234-BM234</f>
        <v>0</v>
      </c>
      <c r="BM234" s="127">
        <f>SUM(BM235:BM239)</f>
        <v>0</v>
      </c>
      <c r="BN234" s="127">
        <f>VLOOKUP($C234,'1 预算编制表单'!$C:$BJ,33,FALSE)</f>
        <v>0</v>
      </c>
      <c r="BO234" s="127">
        <f>BN234-BP234</f>
        <v>0</v>
      </c>
      <c r="BP234" s="127">
        <f>SUM(BP235:BP239)</f>
        <v>0</v>
      </c>
      <c r="BQ234" s="127">
        <f>VLOOKUP($C234,'1 预算编制表单'!$C:$BJ,36,FALSE)</f>
        <v>0</v>
      </c>
      <c r="BR234" s="127">
        <f>BQ234-BS234</f>
        <v>0</v>
      </c>
      <c r="BS234" s="127">
        <f>SUM(BS235:BS239)</f>
        <v>0</v>
      </c>
      <c r="BT234" s="127">
        <f>VLOOKUP($C234,'1 预算编制表单'!$C:$BJ,39,FALSE)</f>
        <v>0</v>
      </c>
      <c r="BU234" s="127">
        <f>BT234-BV234</f>
        <v>0</v>
      </c>
      <c r="BV234" s="127">
        <f>SUM(BV235:BV239)</f>
        <v>0</v>
      </c>
      <c r="BW234" s="127">
        <f>VLOOKUP($C234,'1 预算编制表单'!$C:$BJ,42,FALSE)</f>
        <v>0</v>
      </c>
      <c r="BX234" s="127">
        <f>BW234-BY234</f>
        <v>0</v>
      </c>
      <c r="BY234" s="127">
        <f>SUM(BY235:BY239)</f>
        <v>0</v>
      </c>
      <c r="BZ234" s="127">
        <f>VLOOKUP($C234,'1 预算编制表单'!$C:$BJ,45,FALSE)</f>
        <v>0</v>
      </c>
      <c r="CA234" s="127">
        <f>BZ234-CB234</f>
        <v>0</v>
      </c>
      <c r="CB234" s="127">
        <f>SUM(CB235:CB239)</f>
        <v>0</v>
      </c>
      <c r="CC234" s="127">
        <f>VLOOKUP($C234,'1 预算编制表单'!$C:$BJ,48,FALSE)</f>
        <v>0</v>
      </c>
      <c r="CD234" s="127">
        <f>CC234-CE234</f>
        <v>0</v>
      </c>
      <c r="CE234" s="127">
        <f>SUM(CE235:CE239)</f>
        <v>0</v>
      </c>
      <c r="CF234" s="127">
        <f>VLOOKUP($C234,'1 预算编制表单'!$C:$BJ,51,FALSE)</f>
        <v>0</v>
      </c>
      <c r="CG234" s="127">
        <f>CF234-CH234</f>
        <v>0</v>
      </c>
      <c r="CH234" s="127">
        <f>SUM(CH235:CH239)</f>
        <v>0</v>
      </c>
      <c r="CI234" s="127">
        <f>VLOOKUP($C234,'1 预算编制表单'!$C:$BJ,54,FALSE)</f>
        <v>0</v>
      </c>
      <c r="CJ234" s="127">
        <f>CI234-CK234</f>
        <v>0</v>
      </c>
      <c r="CK234" s="127">
        <f>SUM(CK235:CK239)</f>
        <v>0</v>
      </c>
      <c r="CL234" s="127">
        <f>VLOOKUP($C234,'1 预算编制表单'!$C:$BJ,57,FALSE)</f>
        <v>0</v>
      </c>
      <c r="CM234" s="127">
        <f>CL234-CN234</f>
        <v>0</v>
      </c>
      <c r="CN234" s="127">
        <f>SUM(CN235:CN239)</f>
        <v>0</v>
      </c>
      <c r="CO234" s="127">
        <f>VLOOKUP($C234,'1 预算编制表单'!$C:$BJ,60,FALSE)</f>
        <v>0</v>
      </c>
      <c r="CP234" s="127">
        <f>CO234-CQ234</f>
        <v>0</v>
      </c>
      <c r="CQ234" s="127">
        <f>SUM(CQ235:CQ239)</f>
        <v>0</v>
      </c>
    </row>
    <row r="235" s="89" customFormat="1" ht="24" hidden="1" customHeight="1" outlineLevel="4" spans="1:95">
      <c r="A235" s="128"/>
      <c r="B235" s="129"/>
      <c r="C235" s="130"/>
      <c r="D235" s="128"/>
      <c r="E235" s="129"/>
      <c r="F235" s="129"/>
      <c r="G235" s="129"/>
      <c r="H235" s="131"/>
      <c r="I235" s="131"/>
      <c r="J235" s="131">
        <f t="shared" si="2339"/>
        <v>0</v>
      </c>
      <c r="K235" s="131">
        <v>1</v>
      </c>
      <c r="L235" s="156"/>
      <c r="M235" s="157">
        <f>IFERROR(VLOOKUP($L235,'2-2 引出数据_合同数据仓库'!$B$5:$BP$200,3,FALSE),0)</f>
        <v>0</v>
      </c>
      <c r="N235" s="131"/>
      <c r="O235" s="157">
        <f>IFERROR(VLOOKUP((LEFT(VLOOKUP($L235,'2-2 引出数据_合同数据仓库'!$B$5:$BP$200,64,FALSE),15)&amp;(RIGHT(VLOOKUP($L235,'2-2 引出数据_合同数据仓库'!$B$5:$BP$200,64,FALSE),4)+1)),'2-2 引出数据_合同数据仓库'!$B$5:$BP$200,3,FALSE),0)</f>
        <v>0</v>
      </c>
      <c r="P235" s="131"/>
      <c r="Q235" s="131">
        <f>IFERROR(VLOOKUP($L235,'2-2 引出数据_合同数据仓库'!$B$5:$BP$200,28,FALSE),0)</f>
        <v>0</v>
      </c>
      <c r="R235" s="131">
        <f>IFERROR(VLOOKUP($L235,'2-2 引出数据_合同数据仓库'!$B$5:$BP$200,29,FALSE),0)</f>
        <v>0</v>
      </c>
      <c r="S235" s="131">
        <f>IFERROR(VLOOKUP($L235,'2-2 引出数据_合同数据仓库'!$B$5:$BP$200,4,FALSE),0)</f>
        <v>0</v>
      </c>
      <c r="T235" s="131"/>
      <c r="U235" s="131">
        <f>IFERROR(VLOOKUP($L235,'2-2 引出数据_合同数据仓库'!$B$5:$BP$200,15,FALSE),0)</f>
        <v>0</v>
      </c>
      <c r="V235" s="131">
        <f t="shared" ref="V235:V238" si="2772">U235/(S235-R235+1)*365</f>
        <v>0</v>
      </c>
      <c r="W235" s="131"/>
      <c r="X235" s="163">
        <v>45658</v>
      </c>
      <c r="Y235" s="163">
        <f t="shared" ref="Y235:Y238" si="2773">X235+30</f>
        <v>45688</v>
      </c>
      <c r="Z235" s="167">
        <f t="shared" ref="Z235:Z238" si="2774">IFERROR(IF(($R235-Y235)&gt;=0,0,IF(($S235-X235)&lt;0,0,IF(AND(($S235-Y235)&gt;0,(X235-$R235)&gt;0),$V235/365*(Y235-X235+1),IF(AND(($S235-Y235)&lt;=0,(X235-$R235)&gt;0),$V235/365*($S235-X235+1),$V235/365*(Y235-$R235+1))))),0)</f>
        <v>0</v>
      </c>
      <c r="AA235" s="163">
        <f t="shared" ref="AA235:AA238" si="2775">Y235+1</f>
        <v>45689</v>
      </c>
      <c r="AB235" s="163">
        <f t="shared" ref="AB235:AB238" si="2776">AA235+27</f>
        <v>45716</v>
      </c>
      <c r="AC235" s="167">
        <f t="shared" ref="AC235:AC238" si="2777">IFERROR(IF(($R235-AB235)&gt;=0,0,IF(($S235-AA235)&lt;0,0,IF(AND(($S235-AB235)&gt;0,(AA235-$R235)&gt;0),$V235/365*(AB235-AA235+1),IF(AND(($S235-AB235)&lt;=0,(AA235-$R235)&gt;0),$V235/365*($S235-AA235+1),$V235/365*(AB235-$R235+1))))),0)</f>
        <v>0</v>
      </c>
      <c r="AD235" s="163">
        <f t="shared" ref="AD235:AD238" si="2778">AB235+1</f>
        <v>45717</v>
      </c>
      <c r="AE235" s="163">
        <f t="shared" ref="AE235:AE238" si="2779">AD235+30</f>
        <v>45747</v>
      </c>
      <c r="AF235" s="167">
        <f t="shared" ref="AF235:AF238" si="2780">IFERROR(IF(($R235-AE235)&gt;=0,0,IF(($S235-AD235)&lt;0,0,IF(AND(($S235-AE235)&gt;0,(AD235-$R235)&gt;0),$V235/365*(AE235-AD235+1),IF(AND(($S235-AE235)&lt;=0,(AD235-$R235)&gt;0),$V235/365*($S235-AD235+1),$V235/365*(AE235-$R235+1))))),0)</f>
        <v>0</v>
      </c>
      <c r="AG235" s="163">
        <f t="shared" ref="AG235:AG238" si="2781">AE235+1</f>
        <v>45748</v>
      </c>
      <c r="AH235" s="163">
        <f t="shared" ref="AH235:AH238" si="2782">AG235+29</f>
        <v>45777</v>
      </c>
      <c r="AI235" s="167">
        <f t="shared" ref="AI235:AI238" si="2783">IFERROR(IF(($R235-AH235)&gt;=0,0,IF(($S235-AG235)&lt;0,0,IF(AND(($S235-AH235)&gt;0,(AG235-$R235)&gt;0),$V235/365*(AH235-AG235+1),IF(AND(($S235-AH235)&lt;=0,(AG235-$R235)&gt;0),$V235/365*($S235-AG235+1),$V235/365*(AH235-$R235+1))))),0)</f>
        <v>0</v>
      </c>
      <c r="AJ235" s="163">
        <f t="shared" ref="AJ235:AJ238" si="2784">AH235+1</f>
        <v>45778</v>
      </c>
      <c r="AK235" s="163">
        <f t="shared" ref="AK235:AK238" si="2785">AJ235+30</f>
        <v>45808</v>
      </c>
      <c r="AL235" s="167">
        <f t="shared" ref="AL235:AL238" si="2786">IFERROR(IF(($R235-AK235)&gt;=0,0,IF(($S235-AJ235)&lt;0,0,IF(AND(($S235-AK235)&gt;0,(AJ235-$R235)&gt;0),$V235/365*(AK235-AJ235+1),IF(AND(($S235-AK235)&lt;=0,(AJ235-$R235)&gt;0),$V235/365*($S235-AJ235+1),$V235/365*(AK235-$R235+1))))),0)</f>
        <v>0</v>
      </c>
      <c r="AM235" s="163">
        <f t="shared" ref="AM235:AM238" si="2787">AK235+1</f>
        <v>45809</v>
      </c>
      <c r="AN235" s="163">
        <f t="shared" ref="AN235:AN238" si="2788">AM235+29</f>
        <v>45838</v>
      </c>
      <c r="AO235" s="167">
        <f t="shared" ref="AO235:AO238" si="2789">IFERROR(IF(($R235-AN235)&gt;=0,0,IF(($S235-AM235)&lt;0,0,IF(AND(($S235-AN235)&gt;0,(AM235-$R235)&gt;0),$V235/365*(AN235-AM235+1),IF(AND(($S235-AN235)&lt;=0,(AM235-$R235)&gt;0),$V235/365*($S235-AM235+1),$V235/365*(AN235-$R235+1))))),0)</f>
        <v>0</v>
      </c>
      <c r="AP235" s="163">
        <f t="shared" ref="AP235:AP238" si="2790">AN235+1</f>
        <v>45839</v>
      </c>
      <c r="AQ235" s="163">
        <f t="shared" ref="AQ235:AQ238" si="2791">AP235+30</f>
        <v>45869</v>
      </c>
      <c r="AR235" s="167">
        <f t="shared" ref="AR235:AR238" si="2792">IFERROR(IF(($R235-AQ235)&gt;=0,0,IF(($S235-AP235)&lt;0,0,IF(AND(($S235-AQ235)&gt;0,(AP235-$R235)&gt;0),$V235/365*(AQ235-AP235+1),IF(AND(($S235-AQ235)&lt;=0,(AP235-$R235)&gt;0),$V235/365*($S235-AP235+1),$V235/365*(AQ235-$R235+1))))),0)</f>
        <v>0</v>
      </c>
      <c r="AS235" s="163">
        <f t="shared" ref="AS235:AS238" si="2793">AQ235+1</f>
        <v>45870</v>
      </c>
      <c r="AT235" s="163">
        <f t="shared" ref="AT235:AT238" si="2794">AS235+30</f>
        <v>45900</v>
      </c>
      <c r="AU235" s="167">
        <f t="shared" ref="AU235:AU238" si="2795">IFERROR(IF(($R235-AT235)&gt;=0,0,IF(($S235-AS235)&lt;0,0,IF(AND(($S235-AT235)&gt;0,(AS235-$R235)&gt;0),$V235/365*(AT235-AS235+1),IF(AND(($S235-AT235)&lt;=0,(AS235-$R235)&gt;0),$V235/365*($S235-AS235+1),$V235/365*(AT235-$R235+1))))),0)</f>
        <v>0</v>
      </c>
      <c r="AV235" s="163">
        <f t="shared" ref="AV235:AV238" si="2796">AT235+1</f>
        <v>45901</v>
      </c>
      <c r="AW235" s="163">
        <f t="shared" ref="AW235:AW238" si="2797">AV235+29</f>
        <v>45930</v>
      </c>
      <c r="AX235" s="167">
        <f t="shared" ref="AX235:AX238" si="2798">IFERROR(IF(($R235-AW235)&gt;=0,0,IF(($S235-AV235)&lt;0,0,IF(AND(($S235-AW235)&gt;0,(AV235-$R235)&gt;0),$V235/365*(AW235-AV235+1),IF(AND(($S235-AW235)&lt;=0,(AV235-$R235)&gt;0),$V235/365*($S235-AV235+1),$V235/365*(AW235-$R235+1))))),0)</f>
        <v>0</v>
      </c>
      <c r="AY235" s="163">
        <f t="shared" ref="AY235:AY238" si="2799">AW235+1</f>
        <v>45931</v>
      </c>
      <c r="AZ235" s="163">
        <f t="shared" ref="AZ235:AZ238" si="2800">AY235+30</f>
        <v>45961</v>
      </c>
      <c r="BA235" s="167">
        <f t="shared" ref="BA235:BA238" si="2801">IFERROR(IF(($R235-AZ235)&gt;=0,0,IF(($S235-AY235)&lt;0,0,IF(AND(($S235-AZ235)&gt;0,(AY235-$R235)&gt;0),$V235/365*(AZ235-AY235+1),IF(AND(($S235-AZ235)&lt;=0,(AY235-$R235)&gt;0),$V235/365*($S235-AY235+1),$V235/365*(AZ235-$R235+1))))),0)</f>
        <v>0</v>
      </c>
      <c r="BB235" s="163">
        <f t="shared" ref="BB235:BB238" si="2802">AZ235+1</f>
        <v>45962</v>
      </c>
      <c r="BC235" s="163">
        <f t="shared" ref="BC235:BC238" si="2803">BB235+29</f>
        <v>45991</v>
      </c>
      <c r="BD235" s="167">
        <f t="shared" ref="BD235:BD238" si="2804">IFERROR(IF(($R235-BC235)&gt;=0,0,IF(($S235-BB235)&lt;0,0,IF(AND(($S235-BC235)&gt;0,(BB235-$R235)&gt;0),$V235/365*(BC235-BB235+1),IF(AND(($S235-BC235)&lt;=0,(BB235-$R235)&gt;0),$V235/365*($S235-BB235+1),$V235/365*(BC235-$R235+1))))),0)</f>
        <v>0</v>
      </c>
      <c r="BE235" s="163">
        <f t="shared" ref="BE235:BE238" si="2805">BC235+1</f>
        <v>45992</v>
      </c>
      <c r="BF235" s="163">
        <f t="shared" ref="BF235:BF238" si="2806">BE235+30</f>
        <v>46022</v>
      </c>
      <c r="BG235" s="167">
        <f t="shared" ref="BG235:BG238" si="2807">IFERROR(IF(($R235-BF235)&gt;=0,0,IF(($S235-BE235)&lt;0,0,IF(AND(($S235-BF235)&gt;0,(BE235-$R235)&gt;0),$V235/365*(BF235-BE235+1),IF(AND(($S235-BF235)&lt;=0,(BE235-$R235)&gt;0),$V235/365*($S235-BE235+1),$V235/365*(BF235-$R235+1))))),0)</f>
        <v>0</v>
      </c>
      <c r="BH235" s="163">
        <v>46023</v>
      </c>
      <c r="BI235" s="163">
        <f t="shared" ref="BI235:BI238" si="2808">BH235+30</f>
        <v>46053</v>
      </c>
      <c r="BJ235" s="167">
        <f t="shared" ref="BJ235:BJ238" si="2809">IFERROR(IF(($R235-BI235)&gt;=0,0,IF(($S235-BH235)&lt;0,0,IF(AND(($S235-BI235)&gt;0,(BH235-$R235)&gt;0),$V235/365*(BI235-BH235+1),IF(AND(($S235-BI235)&lt;=0,(BH235-$R235)&gt;0),$V235/365*($S235-BH235+1),$V235/365*(BI235-$R235+1))))),0)</f>
        <v>0</v>
      </c>
      <c r="BK235" s="163">
        <f t="shared" ref="BK235:BK238" si="2810">BI235+1</f>
        <v>46054</v>
      </c>
      <c r="BL235" s="163">
        <f t="shared" ref="BL235:BL238" si="2811">BK235+27</f>
        <v>46081</v>
      </c>
      <c r="BM235" s="167">
        <f t="shared" ref="BM235:BM238" si="2812">IFERROR(IF(($R235-BL235)&gt;=0,0,IF(($S235-BK235)&lt;0,0,IF(AND(($S235-BL235)&gt;0,(BK235-$R235)&gt;0),$V235/365*(BL235-BK235+1),IF(AND(($S235-BL235)&lt;=0,(BK235-$R235)&gt;0),$V235/365*($S235-BK235+1),$V235/365*(BL235-$R235+1))))),0)</f>
        <v>0</v>
      </c>
      <c r="BN235" s="163">
        <f t="shared" ref="BN235:BN238" si="2813">BL235+1</f>
        <v>46082</v>
      </c>
      <c r="BO235" s="163">
        <f t="shared" ref="BO235:BO238" si="2814">BN235+30</f>
        <v>46112</v>
      </c>
      <c r="BP235" s="167">
        <f t="shared" ref="BP235:BP238" si="2815">IFERROR(IF(($R235-BO235)&gt;=0,0,IF(($S235-BN235)&lt;0,0,IF(AND(($S235-BO235)&gt;0,(BN235-$R235)&gt;0),$V235/365*(BO235-BN235+1),IF(AND(($S235-BO235)&lt;=0,(BN235-$R235)&gt;0),$V235/365*($S235-BN235+1),$V235/365*(BO235-$R235+1))))),0)</f>
        <v>0</v>
      </c>
      <c r="BQ235" s="163">
        <f t="shared" ref="BQ235:BQ238" si="2816">BO235+1</f>
        <v>46113</v>
      </c>
      <c r="BR235" s="163">
        <f t="shared" ref="BR235:BR238" si="2817">BQ235+29</f>
        <v>46142</v>
      </c>
      <c r="BS235" s="167">
        <f t="shared" ref="BS235:BS238" si="2818">IFERROR(IF(($R235-BR235)&gt;=0,0,IF(($S235-BQ235)&lt;0,0,IF(AND(($S235-BR235)&gt;0,(BQ235-$R235)&gt;0),$V235/365*(BR235-BQ235+1),IF(AND(($S235-BR235)&lt;=0,(BQ235-$R235)&gt;0),$V235/365*($S235-BQ235+1),$V235/365*(BR235-$R235+1))))),0)</f>
        <v>0</v>
      </c>
      <c r="BT235" s="163">
        <f t="shared" ref="BT235:BT238" si="2819">BR235+1</f>
        <v>46143</v>
      </c>
      <c r="BU235" s="163">
        <f t="shared" ref="BU235:BU238" si="2820">BT235+30</f>
        <v>46173</v>
      </c>
      <c r="BV235" s="167">
        <f t="shared" ref="BV235:BV238" si="2821">IFERROR(IF(($R235-BU235)&gt;=0,0,IF(($S235-BT235)&lt;0,0,IF(AND(($S235-BU235)&gt;0,(BT235-$R235)&gt;0),$V235/365*(BU235-BT235+1),IF(AND(($S235-BU235)&lt;=0,(BT235-$R235)&gt;0),$V235/365*($S235-BT235+1),$V235/365*(BU235-$R235+1))))),0)</f>
        <v>0</v>
      </c>
      <c r="BW235" s="163">
        <f t="shared" ref="BW235:BW238" si="2822">BU235+1</f>
        <v>46174</v>
      </c>
      <c r="BX235" s="163">
        <f t="shared" ref="BX235:BX238" si="2823">BW235+29</f>
        <v>46203</v>
      </c>
      <c r="BY235" s="167">
        <f t="shared" ref="BY235:BY238" si="2824">IFERROR(IF(($R235-BX235)&gt;=0,0,IF(($S235-BW235)&lt;0,0,IF(AND(($S235-BX235)&gt;0,(BW235-$R235)&gt;0),$V235/365*(BX235-BW235+1),IF(AND(($S235-BX235)&lt;=0,(BW235-$R235)&gt;0),$V235/365*($S235-BW235+1),$V235/365*(BX235-$R235+1))))),0)</f>
        <v>0</v>
      </c>
      <c r="BZ235" s="163">
        <f t="shared" ref="BZ235:BZ238" si="2825">BX235+1</f>
        <v>46204</v>
      </c>
      <c r="CA235" s="163">
        <f t="shared" ref="CA235:CA238" si="2826">BZ235+30</f>
        <v>46234</v>
      </c>
      <c r="CB235" s="167">
        <f t="shared" ref="CB235:CB238" si="2827">IFERROR(IF(($R235-CA235)&gt;=0,0,IF(($S235-BZ235)&lt;0,0,IF(AND(($S235-CA235)&gt;0,(BZ235-$R235)&gt;0),$V235/365*(CA235-BZ235+1),IF(AND(($S235-CA235)&lt;=0,(BZ235-$R235)&gt;0),$V235/365*($S235-BZ235+1),$V235/365*(CA235-$R235+1))))),0)</f>
        <v>0</v>
      </c>
      <c r="CC235" s="163">
        <f t="shared" ref="CC235:CC238" si="2828">CA235+1</f>
        <v>46235</v>
      </c>
      <c r="CD235" s="163">
        <f t="shared" ref="CD235:CD238" si="2829">CC235+30</f>
        <v>46265</v>
      </c>
      <c r="CE235" s="167">
        <f t="shared" ref="CE235:CE238" si="2830">IFERROR(IF(($R235-CD235)&gt;=0,0,IF(($S235-CC235)&lt;0,0,IF(AND(($S235-CD235)&gt;0,(CC235-$R235)&gt;0),$V235/365*(CD235-CC235+1),IF(AND(($S235-CD235)&lt;=0,(CC235-$R235)&gt;0),$V235/365*($S235-CC235+1),$V235/365*(CD235-$R235+1))))),0)</f>
        <v>0</v>
      </c>
      <c r="CF235" s="163">
        <f t="shared" ref="CF235:CF238" si="2831">CD235+1</f>
        <v>46266</v>
      </c>
      <c r="CG235" s="163">
        <f t="shared" ref="CG235:CG238" si="2832">CF235+29</f>
        <v>46295</v>
      </c>
      <c r="CH235" s="167">
        <f t="shared" ref="CH235:CH238" si="2833">IFERROR(IF(($R235-CG235)&gt;=0,0,IF(($S235-CF235)&lt;0,0,IF(AND(($S235-CG235)&gt;0,(CF235-$R235)&gt;0),$V235/365*(CG235-CF235+1),IF(AND(($S235-CG235)&lt;=0,(CF235-$R235)&gt;0),$V235/365*($S235-CF235+1),$V235/365*(CG235-$R235+1))))),0)</f>
        <v>0</v>
      </c>
      <c r="CI235" s="163">
        <f t="shared" ref="CI235:CI238" si="2834">CG235+1</f>
        <v>46296</v>
      </c>
      <c r="CJ235" s="163">
        <f t="shared" ref="CJ235:CJ238" si="2835">CI235+30</f>
        <v>46326</v>
      </c>
      <c r="CK235" s="167">
        <f t="shared" ref="CK235:CK238" si="2836">IFERROR(IF(($R235-CJ235)&gt;=0,0,IF(($S235-CI235)&lt;0,0,IF(AND(($S235-CJ235)&gt;0,(CI235-$R235)&gt;0),$V235/365*(CJ235-CI235+1),IF(AND(($S235-CJ235)&lt;=0,(CI235-$R235)&gt;0),$V235/365*($S235-CI235+1),$V235/365*(CJ235-$R235+1))))),0)</f>
        <v>0</v>
      </c>
      <c r="CL235" s="163">
        <f t="shared" ref="CL235:CL238" si="2837">CJ235+1</f>
        <v>46327</v>
      </c>
      <c r="CM235" s="163">
        <f t="shared" ref="CM235:CM238" si="2838">CL235+29</f>
        <v>46356</v>
      </c>
      <c r="CN235" s="167">
        <f t="shared" ref="CN235:CN238" si="2839">IFERROR(IF(($R235-CM235)&gt;=0,0,IF(($S235-CL235)&lt;0,0,IF(AND(($S235-CM235)&gt;0,(CL235-$R235)&gt;0),$V235/365*(CM235-CL235+1),IF(AND(($S235-CM235)&lt;=0,(CL235-$R235)&gt;0),$V235/365*($S235-CL235+1),$V235/365*(CM235-$R235+1))))),0)</f>
        <v>0</v>
      </c>
      <c r="CO235" s="163">
        <f t="shared" ref="CO235:CO238" si="2840">CM235+1</f>
        <v>46357</v>
      </c>
      <c r="CP235" s="163">
        <f t="shared" ref="CP235:CP238" si="2841">CO235+30</f>
        <v>46387</v>
      </c>
      <c r="CQ235" s="167">
        <f t="shared" ref="CQ235:CQ238" si="2842">IFERROR(IF(($R235-CP235)&gt;=0,0,IF(($S235-CO235)&lt;0,0,IF(AND(($S235-CP235)&gt;0,(CO235-$R235)&gt;0),$V235/365*(CP235-CO235+1),IF(AND(($S235-CP235)&lt;=0,(CO235-$R235)&gt;0),$V235/365*($S235-CO235+1),$V235/365*(CP235-$R235+1))))),0)</f>
        <v>0</v>
      </c>
    </row>
    <row r="236" s="89" customFormat="1" ht="24" hidden="1" customHeight="1" outlineLevel="4" spans="1:95">
      <c r="A236" s="128"/>
      <c r="B236" s="129"/>
      <c r="C236" s="130"/>
      <c r="D236" s="128"/>
      <c r="E236" s="129"/>
      <c r="F236" s="129"/>
      <c r="G236" s="129"/>
      <c r="H236" s="131"/>
      <c r="I236" s="131"/>
      <c r="J236" s="131">
        <f t="shared" si="2339"/>
        <v>0</v>
      </c>
      <c r="K236" s="131">
        <f t="shared" ref="K236:K238" si="2843">K235+1</f>
        <v>2</v>
      </c>
      <c r="L236" s="156"/>
      <c r="M236" s="157">
        <f>IFERROR(VLOOKUP($L236,'2-2 引出数据_合同数据仓库'!$B$5:$BP$200,3,FALSE),0)</f>
        <v>0</v>
      </c>
      <c r="N236" s="131"/>
      <c r="O236" s="157">
        <f>IFERROR(VLOOKUP((LEFT(VLOOKUP($L236,'2-2 引出数据_合同数据仓库'!$B$5:$BP$200,64,FALSE),15)&amp;(RIGHT(VLOOKUP($L236,'2-2 引出数据_合同数据仓库'!$B$5:$BP$200,64,FALSE),4)+1)),'2-2 引出数据_合同数据仓库'!$B$5:$BP$200,3,FALSE),0)</f>
        <v>0</v>
      </c>
      <c r="P236" s="131"/>
      <c r="Q236" s="131">
        <f>IFERROR(VLOOKUP($L236,'2-2 引出数据_合同数据仓库'!$B$5:$BP$200,28,FALSE),0)</f>
        <v>0</v>
      </c>
      <c r="R236" s="131">
        <f>IFERROR(VLOOKUP($L236,'2-2 引出数据_合同数据仓库'!$B$5:$BP$200,29,FALSE),0)</f>
        <v>0</v>
      </c>
      <c r="S236" s="131">
        <f>IFERROR(VLOOKUP($L236,'2-2 引出数据_合同数据仓库'!$B$5:$BP$200,4,FALSE),0)</f>
        <v>0</v>
      </c>
      <c r="T236" s="131"/>
      <c r="U236" s="131">
        <f>IFERROR(VLOOKUP($L236,'2-2 引出数据_合同数据仓库'!$B$5:$BP$200,15,FALSE),0)</f>
        <v>0</v>
      </c>
      <c r="V236" s="131">
        <f t="shared" si="2772"/>
        <v>0</v>
      </c>
      <c r="W236" s="131"/>
      <c r="X236" s="163">
        <v>45658</v>
      </c>
      <c r="Y236" s="163">
        <f t="shared" si="2773"/>
        <v>45688</v>
      </c>
      <c r="Z236" s="167">
        <f t="shared" si="2774"/>
        <v>0</v>
      </c>
      <c r="AA236" s="163">
        <f t="shared" si="2775"/>
        <v>45689</v>
      </c>
      <c r="AB236" s="163">
        <f t="shared" si="2776"/>
        <v>45716</v>
      </c>
      <c r="AC236" s="167">
        <f t="shared" si="2777"/>
        <v>0</v>
      </c>
      <c r="AD236" s="163">
        <f t="shared" si="2778"/>
        <v>45717</v>
      </c>
      <c r="AE236" s="163">
        <f t="shared" si="2779"/>
        <v>45747</v>
      </c>
      <c r="AF236" s="167">
        <f t="shared" si="2780"/>
        <v>0</v>
      </c>
      <c r="AG236" s="163">
        <f t="shared" si="2781"/>
        <v>45748</v>
      </c>
      <c r="AH236" s="163">
        <f t="shared" si="2782"/>
        <v>45777</v>
      </c>
      <c r="AI236" s="167">
        <f t="shared" si="2783"/>
        <v>0</v>
      </c>
      <c r="AJ236" s="163">
        <f t="shared" si="2784"/>
        <v>45778</v>
      </c>
      <c r="AK236" s="163">
        <f t="shared" si="2785"/>
        <v>45808</v>
      </c>
      <c r="AL236" s="167">
        <f t="shared" si="2786"/>
        <v>0</v>
      </c>
      <c r="AM236" s="163">
        <f t="shared" si="2787"/>
        <v>45809</v>
      </c>
      <c r="AN236" s="163">
        <f t="shared" si="2788"/>
        <v>45838</v>
      </c>
      <c r="AO236" s="167">
        <f t="shared" si="2789"/>
        <v>0</v>
      </c>
      <c r="AP236" s="163">
        <f t="shared" si="2790"/>
        <v>45839</v>
      </c>
      <c r="AQ236" s="163">
        <f t="shared" si="2791"/>
        <v>45869</v>
      </c>
      <c r="AR236" s="167">
        <f t="shared" si="2792"/>
        <v>0</v>
      </c>
      <c r="AS236" s="163">
        <f t="shared" si="2793"/>
        <v>45870</v>
      </c>
      <c r="AT236" s="163">
        <f t="shared" si="2794"/>
        <v>45900</v>
      </c>
      <c r="AU236" s="167">
        <f t="shared" si="2795"/>
        <v>0</v>
      </c>
      <c r="AV236" s="163">
        <f t="shared" si="2796"/>
        <v>45901</v>
      </c>
      <c r="AW236" s="163">
        <f t="shared" si="2797"/>
        <v>45930</v>
      </c>
      <c r="AX236" s="167">
        <f t="shared" si="2798"/>
        <v>0</v>
      </c>
      <c r="AY236" s="163">
        <f t="shared" si="2799"/>
        <v>45931</v>
      </c>
      <c r="AZ236" s="163">
        <f t="shared" si="2800"/>
        <v>45961</v>
      </c>
      <c r="BA236" s="167">
        <f t="shared" si="2801"/>
        <v>0</v>
      </c>
      <c r="BB236" s="163">
        <f t="shared" si="2802"/>
        <v>45962</v>
      </c>
      <c r="BC236" s="163">
        <f t="shared" si="2803"/>
        <v>45991</v>
      </c>
      <c r="BD236" s="167">
        <f t="shared" si="2804"/>
        <v>0</v>
      </c>
      <c r="BE236" s="163">
        <f t="shared" si="2805"/>
        <v>45992</v>
      </c>
      <c r="BF236" s="163">
        <f t="shared" si="2806"/>
        <v>46022</v>
      </c>
      <c r="BG236" s="167">
        <f t="shared" si="2807"/>
        <v>0</v>
      </c>
      <c r="BH236" s="163">
        <v>46023</v>
      </c>
      <c r="BI236" s="163">
        <f t="shared" si="2808"/>
        <v>46053</v>
      </c>
      <c r="BJ236" s="167">
        <f t="shared" si="2809"/>
        <v>0</v>
      </c>
      <c r="BK236" s="163">
        <f t="shared" si="2810"/>
        <v>46054</v>
      </c>
      <c r="BL236" s="163">
        <f t="shared" si="2811"/>
        <v>46081</v>
      </c>
      <c r="BM236" s="167">
        <f t="shared" si="2812"/>
        <v>0</v>
      </c>
      <c r="BN236" s="163">
        <f t="shared" si="2813"/>
        <v>46082</v>
      </c>
      <c r="BO236" s="163">
        <f t="shared" si="2814"/>
        <v>46112</v>
      </c>
      <c r="BP236" s="167">
        <f t="shared" si="2815"/>
        <v>0</v>
      </c>
      <c r="BQ236" s="163">
        <f t="shared" si="2816"/>
        <v>46113</v>
      </c>
      <c r="BR236" s="163">
        <f t="shared" si="2817"/>
        <v>46142</v>
      </c>
      <c r="BS236" s="167">
        <f t="shared" si="2818"/>
        <v>0</v>
      </c>
      <c r="BT236" s="163">
        <f t="shared" si="2819"/>
        <v>46143</v>
      </c>
      <c r="BU236" s="163">
        <f t="shared" si="2820"/>
        <v>46173</v>
      </c>
      <c r="BV236" s="167">
        <f t="shared" si="2821"/>
        <v>0</v>
      </c>
      <c r="BW236" s="163">
        <f t="shared" si="2822"/>
        <v>46174</v>
      </c>
      <c r="BX236" s="163">
        <f t="shared" si="2823"/>
        <v>46203</v>
      </c>
      <c r="BY236" s="167">
        <f t="shared" si="2824"/>
        <v>0</v>
      </c>
      <c r="BZ236" s="163">
        <f t="shared" si="2825"/>
        <v>46204</v>
      </c>
      <c r="CA236" s="163">
        <f t="shared" si="2826"/>
        <v>46234</v>
      </c>
      <c r="CB236" s="167">
        <f t="shared" si="2827"/>
        <v>0</v>
      </c>
      <c r="CC236" s="163">
        <f t="shared" si="2828"/>
        <v>46235</v>
      </c>
      <c r="CD236" s="163">
        <f t="shared" si="2829"/>
        <v>46265</v>
      </c>
      <c r="CE236" s="167">
        <f t="shared" si="2830"/>
        <v>0</v>
      </c>
      <c r="CF236" s="163">
        <f t="shared" si="2831"/>
        <v>46266</v>
      </c>
      <c r="CG236" s="163">
        <f t="shared" si="2832"/>
        <v>46295</v>
      </c>
      <c r="CH236" s="167">
        <f t="shared" si="2833"/>
        <v>0</v>
      </c>
      <c r="CI236" s="163">
        <f t="shared" si="2834"/>
        <v>46296</v>
      </c>
      <c r="CJ236" s="163">
        <f t="shared" si="2835"/>
        <v>46326</v>
      </c>
      <c r="CK236" s="167">
        <f t="shared" si="2836"/>
        <v>0</v>
      </c>
      <c r="CL236" s="163">
        <f t="shared" si="2837"/>
        <v>46327</v>
      </c>
      <c r="CM236" s="163">
        <f t="shared" si="2838"/>
        <v>46356</v>
      </c>
      <c r="CN236" s="167">
        <f t="shared" si="2839"/>
        <v>0</v>
      </c>
      <c r="CO236" s="163">
        <f t="shared" si="2840"/>
        <v>46357</v>
      </c>
      <c r="CP236" s="163">
        <f t="shared" si="2841"/>
        <v>46387</v>
      </c>
      <c r="CQ236" s="167">
        <f t="shared" si="2842"/>
        <v>0</v>
      </c>
    </row>
    <row r="237" s="89" customFormat="1" ht="24" hidden="1" customHeight="1" outlineLevel="4" spans="1:95">
      <c r="A237" s="128"/>
      <c r="B237" s="129"/>
      <c r="C237" s="130"/>
      <c r="D237" s="128"/>
      <c r="E237" s="129"/>
      <c r="F237" s="129"/>
      <c r="G237" s="129"/>
      <c r="H237" s="131"/>
      <c r="I237" s="131"/>
      <c r="J237" s="131">
        <f t="shared" si="2339"/>
        <v>0</v>
      </c>
      <c r="K237" s="131">
        <f t="shared" si="2843"/>
        <v>3</v>
      </c>
      <c r="L237" s="156"/>
      <c r="M237" s="157">
        <f>IFERROR(VLOOKUP($L237,'2-2 引出数据_合同数据仓库'!$B$5:$BP$200,3,FALSE),0)</f>
        <v>0</v>
      </c>
      <c r="N237" s="131"/>
      <c r="O237" s="157">
        <f>IFERROR(VLOOKUP((LEFT(VLOOKUP($L237,'2-2 引出数据_合同数据仓库'!$B$5:$BP$200,64,FALSE),15)&amp;(RIGHT(VLOOKUP($L237,'2-2 引出数据_合同数据仓库'!$B$5:$BP$200,64,FALSE),4)+1)),'2-2 引出数据_合同数据仓库'!$B$5:$BP$200,3,FALSE),0)</f>
        <v>0</v>
      </c>
      <c r="P237" s="131"/>
      <c r="Q237" s="131">
        <f>IFERROR(VLOOKUP($L237,'2-2 引出数据_合同数据仓库'!$B$5:$BP$200,28,FALSE),0)</f>
        <v>0</v>
      </c>
      <c r="R237" s="131">
        <f>IFERROR(VLOOKUP($L237,'2-2 引出数据_合同数据仓库'!$B$5:$BP$200,29,FALSE),0)</f>
        <v>0</v>
      </c>
      <c r="S237" s="131">
        <f>IFERROR(VLOOKUP($L237,'2-2 引出数据_合同数据仓库'!$B$5:$BP$200,4,FALSE),0)</f>
        <v>0</v>
      </c>
      <c r="T237" s="131"/>
      <c r="U237" s="131">
        <f>IFERROR(VLOOKUP($L237,'2-2 引出数据_合同数据仓库'!$B$5:$BP$200,15,FALSE),0)</f>
        <v>0</v>
      </c>
      <c r="V237" s="131">
        <f t="shared" si="2772"/>
        <v>0</v>
      </c>
      <c r="W237" s="131"/>
      <c r="X237" s="163">
        <v>45658</v>
      </c>
      <c r="Y237" s="163">
        <f t="shared" si="2773"/>
        <v>45688</v>
      </c>
      <c r="Z237" s="167">
        <f t="shared" si="2774"/>
        <v>0</v>
      </c>
      <c r="AA237" s="163">
        <f t="shared" si="2775"/>
        <v>45689</v>
      </c>
      <c r="AB237" s="163">
        <f t="shared" si="2776"/>
        <v>45716</v>
      </c>
      <c r="AC237" s="167">
        <f t="shared" si="2777"/>
        <v>0</v>
      </c>
      <c r="AD237" s="163">
        <f t="shared" si="2778"/>
        <v>45717</v>
      </c>
      <c r="AE237" s="163">
        <f t="shared" si="2779"/>
        <v>45747</v>
      </c>
      <c r="AF237" s="167">
        <f t="shared" si="2780"/>
        <v>0</v>
      </c>
      <c r="AG237" s="163">
        <f t="shared" si="2781"/>
        <v>45748</v>
      </c>
      <c r="AH237" s="163">
        <f t="shared" si="2782"/>
        <v>45777</v>
      </c>
      <c r="AI237" s="167">
        <f t="shared" si="2783"/>
        <v>0</v>
      </c>
      <c r="AJ237" s="163">
        <f t="shared" si="2784"/>
        <v>45778</v>
      </c>
      <c r="AK237" s="163">
        <f t="shared" si="2785"/>
        <v>45808</v>
      </c>
      <c r="AL237" s="167">
        <f t="shared" si="2786"/>
        <v>0</v>
      </c>
      <c r="AM237" s="163">
        <f t="shared" si="2787"/>
        <v>45809</v>
      </c>
      <c r="AN237" s="163">
        <f t="shared" si="2788"/>
        <v>45838</v>
      </c>
      <c r="AO237" s="167">
        <f t="shared" si="2789"/>
        <v>0</v>
      </c>
      <c r="AP237" s="163">
        <f t="shared" si="2790"/>
        <v>45839</v>
      </c>
      <c r="AQ237" s="163">
        <f t="shared" si="2791"/>
        <v>45869</v>
      </c>
      <c r="AR237" s="167">
        <f t="shared" si="2792"/>
        <v>0</v>
      </c>
      <c r="AS237" s="163">
        <f t="shared" si="2793"/>
        <v>45870</v>
      </c>
      <c r="AT237" s="163">
        <f t="shared" si="2794"/>
        <v>45900</v>
      </c>
      <c r="AU237" s="167">
        <f t="shared" si="2795"/>
        <v>0</v>
      </c>
      <c r="AV237" s="163">
        <f t="shared" si="2796"/>
        <v>45901</v>
      </c>
      <c r="AW237" s="163">
        <f t="shared" si="2797"/>
        <v>45930</v>
      </c>
      <c r="AX237" s="167">
        <f t="shared" si="2798"/>
        <v>0</v>
      </c>
      <c r="AY237" s="163">
        <f t="shared" si="2799"/>
        <v>45931</v>
      </c>
      <c r="AZ237" s="163">
        <f t="shared" si="2800"/>
        <v>45961</v>
      </c>
      <c r="BA237" s="167">
        <f t="shared" si="2801"/>
        <v>0</v>
      </c>
      <c r="BB237" s="163">
        <f t="shared" si="2802"/>
        <v>45962</v>
      </c>
      <c r="BC237" s="163">
        <f t="shared" si="2803"/>
        <v>45991</v>
      </c>
      <c r="BD237" s="167">
        <f t="shared" si="2804"/>
        <v>0</v>
      </c>
      <c r="BE237" s="163">
        <f t="shared" si="2805"/>
        <v>45992</v>
      </c>
      <c r="BF237" s="163">
        <f t="shared" si="2806"/>
        <v>46022</v>
      </c>
      <c r="BG237" s="167">
        <f t="shared" si="2807"/>
        <v>0</v>
      </c>
      <c r="BH237" s="163">
        <v>46023</v>
      </c>
      <c r="BI237" s="163">
        <f t="shared" si="2808"/>
        <v>46053</v>
      </c>
      <c r="BJ237" s="167">
        <f t="shared" si="2809"/>
        <v>0</v>
      </c>
      <c r="BK237" s="163">
        <f t="shared" si="2810"/>
        <v>46054</v>
      </c>
      <c r="BL237" s="163">
        <f t="shared" si="2811"/>
        <v>46081</v>
      </c>
      <c r="BM237" s="167">
        <f t="shared" si="2812"/>
        <v>0</v>
      </c>
      <c r="BN237" s="163">
        <f t="shared" si="2813"/>
        <v>46082</v>
      </c>
      <c r="BO237" s="163">
        <f t="shared" si="2814"/>
        <v>46112</v>
      </c>
      <c r="BP237" s="167">
        <f t="shared" si="2815"/>
        <v>0</v>
      </c>
      <c r="BQ237" s="163">
        <f t="shared" si="2816"/>
        <v>46113</v>
      </c>
      <c r="BR237" s="163">
        <f t="shared" si="2817"/>
        <v>46142</v>
      </c>
      <c r="BS237" s="167">
        <f t="shared" si="2818"/>
        <v>0</v>
      </c>
      <c r="BT237" s="163">
        <f t="shared" si="2819"/>
        <v>46143</v>
      </c>
      <c r="BU237" s="163">
        <f t="shared" si="2820"/>
        <v>46173</v>
      </c>
      <c r="BV237" s="167">
        <f t="shared" si="2821"/>
        <v>0</v>
      </c>
      <c r="BW237" s="163">
        <f t="shared" si="2822"/>
        <v>46174</v>
      </c>
      <c r="BX237" s="163">
        <f t="shared" si="2823"/>
        <v>46203</v>
      </c>
      <c r="BY237" s="167">
        <f t="shared" si="2824"/>
        <v>0</v>
      </c>
      <c r="BZ237" s="163">
        <f t="shared" si="2825"/>
        <v>46204</v>
      </c>
      <c r="CA237" s="163">
        <f t="shared" si="2826"/>
        <v>46234</v>
      </c>
      <c r="CB237" s="167">
        <f t="shared" si="2827"/>
        <v>0</v>
      </c>
      <c r="CC237" s="163">
        <f t="shared" si="2828"/>
        <v>46235</v>
      </c>
      <c r="CD237" s="163">
        <f t="shared" si="2829"/>
        <v>46265</v>
      </c>
      <c r="CE237" s="167">
        <f t="shared" si="2830"/>
        <v>0</v>
      </c>
      <c r="CF237" s="163">
        <f t="shared" si="2831"/>
        <v>46266</v>
      </c>
      <c r="CG237" s="163">
        <f t="shared" si="2832"/>
        <v>46295</v>
      </c>
      <c r="CH237" s="167">
        <f t="shared" si="2833"/>
        <v>0</v>
      </c>
      <c r="CI237" s="163">
        <f t="shared" si="2834"/>
        <v>46296</v>
      </c>
      <c r="CJ237" s="163">
        <f t="shared" si="2835"/>
        <v>46326</v>
      </c>
      <c r="CK237" s="167">
        <f t="shared" si="2836"/>
        <v>0</v>
      </c>
      <c r="CL237" s="163">
        <f t="shared" si="2837"/>
        <v>46327</v>
      </c>
      <c r="CM237" s="163">
        <f t="shared" si="2838"/>
        <v>46356</v>
      </c>
      <c r="CN237" s="167">
        <f t="shared" si="2839"/>
        <v>0</v>
      </c>
      <c r="CO237" s="163">
        <f t="shared" si="2840"/>
        <v>46357</v>
      </c>
      <c r="CP237" s="163">
        <f t="shared" si="2841"/>
        <v>46387</v>
      </c>
      <c r="CQ237" s="167">
        <f t="shared" si="2842"/>
        <v>0</v>
      </c>
    </row>
    <row r="238" s="89" customFormat="1" ht="24" hidden="1" customHeight="1" outlineLevel="4" spans="1:95">
      <c r="A238" s="128"/>
      <c r="B238" s="129"/>
      <c r="C238" s="130"/>
      <c r="D238" s="128"/>
      <c r="E238" s="129"/>
      <c r="F238" s="129"/>
      <c r="G238" s="129"/>
      <c r="H238" s="131"/>
      <c r="I238" s="131"/>
      <c r="J238" s="131">
        <f t="shared" si="2339"/>
        <v>0</v>
      </c>
      <c r="K238" s="131">
        <f t="shared" si="2843"/>
        <v>4</v>
      </c>
      <c r="L238" s="156"/>
      <c r="M238" s="157">
        <f>IFERROR(VLOOKUP($L238,'2-2 引出数据_合同数据仓库'!$B$5:$BP$200,3,FALSE),0)</f>
        <v>0</v>
      </c>
      <c r="N238" s="131"/>
      <c r="O238" s="157">
        <f>IFERROR(VLOOKUP((LEFT(VLOOKUP($L238,'2-2 引出数据_合同数据仓库'!$B$5:$BP$200,64,FALSE),15)&amp;(RIGHT(VLOOKUP($L238,'2-2 引出数据_合同数据仓库'!$B$5:$BP$200,64,FALSE),4)+1)),'2-2 引出数据_合同数据仓库'!$B$5:$BP$200,3,FALSE),0)</f>
        <v>0</v>
      </c>
      <c r="P238" s="131"/>
      <c r="Q238" s="131">
        <f>IFERROR(VLOOKUP($L238,'2-2 引出数据_合同数据仓库'!$B$5:$BP$200,28,FALSE),0)</f>
        <v>0</v>
      </c>
      <c r="R238" s="131">
        <f>IFERROR(VLOOKUP($L238,'2-2 引出数据_合同数据仓库'!$B$5:$BP$200,29,FALSE),0)</f>
        <v>0</v>
      </c>
      <c r="S238" s="131">
        <f>IFERROR(VLOOKUP($L238,'2-2 引出数据_合同数据仓库'!$B$5:$BP$200,4,FALSE),0)</f>
        <v>0</v>
      </c>
      <c r="T238" s="131"/>
      <c r="U238" s="131">
        <f>IFERROR(VLOOKUP($L238,'2-2 引出数据_合同数据仓库'!$B$5:$BP$200,15,FALSE),0)</f>
        <v>0</v>
      </c>
      <c r="V238" s="131">
        <f t="shared" si="2772"/>
        <v>0</v>
      </c>
      <c r="W238" s="131"/>
      <c r="X238" s="163">
        <v>45658</v>
      </c>
      <c r="Y238" s="163">
        <f t="shared" si="2773"/>
        <v>45688</v>
      </c>
      <c r="Z238" s="167">
        <f t="shared" si="2774"/>
        <v>0</v>
      </c>
      <c r="AA238" s="163">
        <f t="shared" si="2775"/>
        <v>45689</v>
      </c>
      <c r="AB238" s="163">
        <f t="shared" si="2776"/>
        <v>45716</v>
      </c>
      <c r="AC238" s="167">
        <f t="shared" si="2777"/>
        <v>0</v>
      </c>
      <c r="AD238" s="163">
        <f t="shared" si="2778"/>
        <v>45717</v>
      </c>
      <c r="AE238" s="163">
        <f t="shared" si="2779"/>
        <v>45747</v>
      </c>
      <c r="AF238" s="167">
        <f t="shared" si="2780"/>
        <v>0</v>
      </c>
      <c r="AG238" s="163">
        <f t="shared" si="2781"/>
        <v>45748</v>
      </c>
      <c r="AH238" s="163">
        <f t="shared" si="2782"/>
        <v>45777</v>
      </c>
      <c r="AI238" s="167">
        <f t="shared" si="2783"/>
        <v>0</v>
      </c>
      <c r="AJ238" s="163">
        <f t="shared" si="2784"/>
        <v>45778</v>
      </c>
      <c r="AK238" s="163">
        <f t="shared" si="2785"/>
        <v>45808</v>
      </c>
      <c r="AL238" s="167">
        <f t="shared" si="2786"/>
        <v>0</v>
      </c>
      <c r="AM238" s="163">
        <f t="shared" si="2787"/>
        <v>45809</v>
      </c>
      <c r="AN238" s="163">
        <f t="shared" si="2788"/>
        <v>45838</v>
      </c>
      <c r="AO238" s="167">
        <f t="shared" si="2789"/>
        <v>0</v>
      </c>
      <c r="AP238" s="163">
        <f t="shared" si="2790"/>
        <v>45839</v>
      </c>
      <c r="AQ238" s="163">
        <f t="shared" si="2791"/>
        <v>45869</v>
      </c>
      <c r="AR238" s="167">
        <f t="shared" si="2792"/>
        <v>0</v>
      </c>
      <c r="AS238" s="163">
        <f t="shared" si="2793"/>
        <v>45870</v>
      </c>
      <c r="AT238" s="163">
        <f t="shared" si="2794"/>
        <v>45900</v>
      </c>
      <c r="AU238" s="167">
        <f t="shared" si="2795"/>
        <v>0</v>
      </c>
      <c r="AV238" s="163">
        <f t="shared" si="2796"/>
        <v>45901</v>
      </c>
      <c r="AW238" s="163">
        <f t="shared" si="2797"/>
        <v>45930</v>
      </c>
      <c r="AX238" s="167">
        <f t="shared" si="2798"/>
        <v>0</v>
      </c>
      <c r="AY238" s="163">
        <f t="shared" si="2799"/>
        <v>45931</v>
      </c>
      <c r="AZ238" s="163">
        <f t="shared" si="2800"/>
        <v>45961</v>
      </c>
      <c r="BA238" s="167">
        <f t="shared" si="2801"/>
        <v>0</v>
      </c>
      <c r="BB238" s="163">
        <f t="shared" si="2802"/>
        <v>45962</v>
      </c>
      <c r="BC238" s="163">
        <f t="shared" si="2803"/>
        <v>45991</v>
      </c>
      <c r="BD238" s="167">
        <f t="shared" si="2804"/>
        <v>0</v>
      </c>
      <c r="BE238" s="163">
        <f t="shared" si="2805"/>
        <v>45992</v>
      </c>
      <c r="BF238" s="163">
        <f t="shared" si="2806"/>
        <v>46022</v>
      </c>
      <c r="BG238" s="167">
        <f t="shared" si="2807"/>
        <v>0</v>
      </c>
      <c r="BH238" s="163">
        <v>46023</v>
      </c>
      <c r="BI238" s="163">
        <f t="shared" si="2808"/>
        <v>46053</v>
      </c>
      <c r="BJ238" s="167">
        <f t="shared" si="2809"/>
        <v>0</v>
      </c>
      <c r="BK238" s="163">
        <f t="shared" si="2810"/>
        <v>46054</v>
      </c>
      <c r="BL238" s="163">
        <f t="shared" si="2811"/>
        <v>46081</v>
      </c>
      <c r="BM238" s="167">
        <f t="shared" si="2812"/>
        <v>0</v>
      </c>
      <c r="BN238" s="163">
        <f t="shared" si="2813"/>
        <v>46082</v>
      </c>
      <c r="BO238" s="163">
        <f t="shared" si="2814"/>
        <v>46112</v>
      </c>
      <c r="BP238" s="167">
        <f t="shared" si="2815"/>
        <v>0</v>
      </c>
      <c r="BQ238" s="163">
        <f t="shared" si="2816"/>
        <v>46113</v>
      </c>
      <c r="BR238" s="163">
        <f t="shared" si="2817"/>
        <v>46142</v>
      </c>
      <c r="BS238" s="167">
        <f t="shared" si="2818"/>
        <v>0</v>
      </c>
      <c r="BT238" s="163">
        <f t="shared" si="2819"/>
        <v>46143</v>
      </c>
      <c r="BU238" s="163">
        <f t="shared" si="2820"/>
        <v>46173</v>
      </c>
      <c r="BV238" s="167">
        <f t="shared" si="2821"/>
        <v>0</v>
      </c>
      <c r="BW238" s="163">
        <f t="shared" si="2822"/>
        <v>46174</v>
      </c>
      <c r="BX238" s="163">
        <f t="shared" si="2823"/>
        <v>46203</v>
      </c>
      <c r="BY238" s="167">
        <f t="shared" si="2824"/>
        <v>0</v>
      </c>
      <c r="BZ238" s="163">
        <f t="shared" si="2825"/>
        <v>46204</v>
      </c>
      <c r="CA238" s="163">
        <f t="shared" si="2826"/>
        <v>46234</v>
      </c>
      <c r="CB238" s="167">
        <f t="shared" si="2827"/>
        <v>0</v>
      </c>
      <c r="CC238" s="163">
        <f t="shared" si="2828"/>
        <v>46235</v>
      </c>
      <c r="CD238" s="163">
        <f t="shared" si="2829"/>
        <v>46265</v>
      </c>
      <c r="CE238" s="167">
        <f t="shared" si="2830"/>
        <v>0</v>
      </c>
      <c r="CF238" s="163">
        <f t="shared" si="2831"/>
        <v>46266</v>
      </c>
      <c r="CG238" s="163">
        <f t="shared" si="2832"/>
        <v>46295</v>
      </c>
      <c r="CH238" s="167">
        <f t="shared" si="2833"/>
        <v>0</v>
      </c>
      <c r="CI238" s="163">
        <f t="shared" si="2834"/>
        <v>46296</v>
      </c>
      <c r="CJ238" s="163">
        <f t="shared" si="2835"/>
        <v>46326</v>
      </c>
      <c r="CK238" s="167">
        <f t="shared" si="2836"/>
        <v>0</v>
      </c>
      <c r="CL238" s="163">
        <f t="shared" si="2837"/>
        <v>46327</v>
      </c>
      <c r="CM238" s="163">
        <f t="shared" si="2838"/>
        <v>46356</v>
      </c>
      <c r="CN238" s="167">
        <f t="shared" si="2839"/>
        <v>0</v>
      </c>
      <c r="CO238" s="163">
        <f t="shared" si="2840"/>
        <v>46357</v>
      </c>
      <c r="CP238" s="163">
        <f t="shared" si="2841"/>
        <v>46387</v>
      </c>
      <c r="CQ238" s="167">
        <f t="shared" si="2842"/>
        <v>0</v>
      </c>
    </row>
    <row r="239" s="89" customFormat="1" ht="24" hidden="1" customHeight="1" outlineLevel="4" spans="1:95">
      <c r="A239" s="132" t="s">
        <v>2813</v>
      </c>
      <c r="B239" s="133"/>
      <c r="C239" s="133"/>
      <c r="D239" s="133"/>
      <c r="E239" s="133"/>
      <c r="F239" s="133"/>
      <c r="G239" s="134"/>
      <c r="H239" s="135"/>
      <c r="I239" s="135"/>
      <c r="J239" s="135"/>
      <c r="K239" s="135"/>
      <c r="L239" s="158"/>
      <c r="M239" s="158"/>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c r="CL239" s="135"/>
      <c r="CM239" s="135"/>
      <c r="CN239" s="135"/>
      <c r="CO239" s="135"/>
      <c r="CP239" s="135"/>
      <c r="CQ239" s="135"/>
    </row>
    <row r="240" ht="24" hidden="1" customHeight="1" outlineLevel="3" collapsed="1" spans="1:95">
      <c r="A240" s="124"/>
      <c r="B240" s="125" t="s">
        <v>792</v>
      </c>
      <c r="C240" s="126" t="s">
        <v>1196</v>
      </c>
      <c r="D240" s="124" t="s">
        <v>1197</v>
      </c>
      <c r="E240" s="125" t="s">
        <v>1198</v>
      </c>
      <c r="F240" s="125"/>
      <c r="G240" s="125" t="s">
        <v>936</v>
      </c>
      <c r="H240" s="127">
        <f>X240+AA240+AD240+AG240+AJ240+AM240+AP240+AS240+AV240+AY240+BB240+BE240</f>
        <v>0</v>
      </c>
      <c r="I240" s="127">
        <f>Y240+AB240+AE240+AH240+AK240+AN240+AQ240+AT240+AW240+AZ240+BC240+BF240</f>
        <v>0</v>
      </c>
      <c r="J240" s="127">
        <f t="shared" si="2339"/>
        <v>0</v>
      </c>
      <c r="K240" s="127"/>
      <c r="L240" s="155"/>
      <c r="M240" s="155"/>
      <c r="N240" s="127"/>
      <c r="O240" s="127"/>
      <c r="P240" s="127"/>
      <c r="Q240" s="127"/>
      <c r="R240" s="127"/>
      <c r="S240" s="127"/>
      <c r="T240" s="127"/>
      <c r="U240" s="127"/>
      <c r="V240" s="127"/>
      <c r="W240" s="127"/>
      <c r="X240" s="127">
        <f>VLOOKUP($C240,'1 预算编制表单'!$C:$BJ,27,FALSE)</f>
        <v>0</v>
      </c>
      <c r="Y240" s="127">
        <f>X240-Z240</f>
        <v>0</v>
      </c>
      <c r="Z240" s="127">
        <f>SUM(Z241:Z245)</f>
        <v>0</v>
      </c>
      <c r="AA240" s="127">
        <f>VLOOKUP($C240,'1 预算编制表单'!$C:$BJ,30,FALSE)</f>
        <v>0</v>
      </c>
      <c r="AB240" s="127">
        <f>AA240-AC240</f>
        <v>0</v>
      </c>
      <c r="AC240" s="127">
        <f>SUM(AC241:AC245)</f>
        <v>0</v>
      </c>
      <c r="AD240" s="127">
        <f>VLOOKUP($C240,'1 预算编制表单'!$C:$BJ,33,FALSE)</f>
        <v>0</v>
      </c>
      <c r="AE240" s="127">
        <f>AD240-AF240</f>
        <v>0</v>
      </c>
      <c r="AF240" s="127">
        <f>SUM(AF241:AF245)</f>
        <v>0</v>
      </c>
      <c r="AG240" s="127">
        <f>VLOOKUP($C240,'1 预算编制表单'!$C:$BJ,36,FALSE)</f>
        <v>0</v>
      </c>
      <c r="AH240" s="127">
        <f>AG240-AI240</f>
        <v>0</v>
      </c>
      <c r="AI240" s="127">
        <f>SUM(AI241:AI245)</f>
        <v>0</v>
      </c>
      <c r="AJ240" s="127">
        <f>VLOOKUP($C240,'1 预算编制表单'!$C:$BJ,39,FALSE)</f>
        <v>0</v>
      </c>
      <c r="AK240" s="127">
        <f>AJ240-AL240</f>
        <v>0</v>
      </c>
      <c r="AL240" s="127">
        <f>SUM(AL241:AL245)</f>
        <v>0</v>
      </c>
      <c r="AM240" s="127">
        <f>VLOOKUP($C240,'1 预算编制表单'!$C:$BJ,42,FALSE)</f>
        <v>0</v>
      </c>
      <c r="AN240" s="127">
        <f>AM240-AO240</f>
        <v>0</v>
      </c>
      <c r="AO240" s="127">
        <f>SUM(AO241:AO245)</f>
        <v>0</v>
      </c>
      <c r="AP240" s="127">
        <f>VLOOKUP($C240,'1 预算编制表单'!$C:$BJ,45,FALSE)</f>
        <v>0</v>
      </c>
      <c r="AQ240" s="127">
        <f>AP240-AR240</f>
        <v>0</v>
      </c>
      <c r="AR240" s="127">
        <f>SUM(AR241:AR245)</f>
        <v>0</v>
      </c>
      <c r="AS240" s="127">
        <f>VLOOKUP($C240,'1 预算编制表单'!$C:$BJ,48,FALSE)</f>
        <v>0</v>
      </c>
      <c r="AT240" s="127">
        <f>AS240-AU240</f>
        <v>0</v>
      </c>
      <c r="AU240" s="127">
        <f>SUM(AU241:AU245)</f>
        <v>0</v>
      </c>
      <c r="AV240" s="127">
        <f>VLOOKUP($C240,'1 预算编制表单'!$C:$BJ,51,FALSE)</f>
        <v>0</v>
      </c>
      <c r="AW240" s="127">
        <f>AV240-AX240</f>
        <v>0</v>
      </c>
      <c r="AX240" s="127">
        <f>SUM(AX241:AX245)</f>
        <v>0</v>
      </c>
      <c r="AY240" s="127">
        <f>VLOOKUP($C240,'1 预算编制表单'!$C:$BJ,54,FALSE)</f>
        <v>0</v>
      </c>
      <c r="AZ240" s="127">
        <f>AY240-BA240</f>
        <v>0</v>
      </c>
      <c r="BA240" s="127">
        <f>SUM(BA241:BA245)</f>
        <v>0</v>
      </c>
      <c r="BB240" s="127">
        <f>VLOOKUP($C240,'1 预算编制表单'!$C:$BJ,57,FALSE)</f>
        <v>0</v>
      </c>
      <c r="BC240" s="127">
        <f>BB240-BD240</f>
        <v>0</v>
      </c>
      <c r="BD240" s="127">
        <f>SUM(BD241:BD245)</f>
        <v>0</v>
      </c>
      <c r="BE240" s="127">
        <f>VLOOKUP($C240,'1 预算编制表单'!$C:$BJ,60,FALSE)</f>
        <v>0</v>
      </c>
      <c r="BF240" s="127">
        <f>BE240-BG240</f>
        <v>0</v>
      </c>
      <c r="BG240" s="127">
        <f>SUM(BG241:BG245)</f>
        <v>0</v>
      </c>
      <c r="BH240" s="127">
        <f>VLOOKUP($C240,'1 预算编制表单'!$C:$BJ,27,FALSE)</f>
        <v>0</v>
      </c>
      <c r="BI240" s="127">
        <f>BH240-BJ240</f>
        <v>0</v>
      </c>
      <c r="BJ240" s="127">
        <f>SUM(BJ241:BJ245)</f>
        <v>0</v>
      </c>
      <c r="BK240" s="127">
        <f>VLOOKUP($C240,'1 预算编制表单'!$C:$BJ,30,FALSE)</f>
        <v>0</v>
      </c>
      <c r="BL240" s="127">
        <f>BK240-BM240</f>
        <v>0</v>
      </c>
      <c r="BM240" s="127">
        <f>SUM(BM241:BM245)</f>
        <v>0</v>
      </c>
      <c r="BN240" s="127">
        <f>VLOOKUP($C240,'1 预算编制表单'!$C:$BJ,33,FALSE)</f>
        <v>0</v>
      </c>
      <c r="BO240" s="127">
        <f>BN240-BP240</f>
        <v>0</v>
      </c>
      <c r="BP240" s="127">
        <f>SUM(BP241:BP245)</f>
        <v>0</v>
      </c>
      <c r="BQ240" s="127">
        <f>VLOOKUP($C240,'1 预算编制表单'!$C:$BJ,36,FALSE)</f>
        <v>0</v>
      </c>
      <c r="BR240" s="127">
        <f>BQ240-BS240</f>
        <v>0</v>
      </c>
      <c r="BS240" s="127">
        <f>SUM(BS241:BS245)</f>
        <v>0</v>
      </c>
      <c r="BT240" s="127">
        <f>VLOOKUP($C240,'1 预算编制表单'!$C:$BJ,39,FALSE)</f>
        <v>0</v>
      </c>
      <c r="BU240" s="127">
        <f>BT240-BV240</f>
        <v>0</v>
      </c>
      <c r="BV240" s="127">
        <f>SUM(BV241:BV245)</f>
        <v>0</v>
      </c>
      <c r="BW240" s="127">
        <f>VLOOKUP($C240,'1 预算编制表单'!$C:$BJ,42,FALSE)</f>
        <v>0</v>
      </c>
      <c r="BX240" s="127">
        <f>BW240-BY240</f>
        <v>0</v>
      </c>
      <c r="BY240" s="127">
        <f>SUM(BY241:BY245)</f>
        <v>0</v>
      </c>
      <c r="BZ240" s="127">
        <f>VLOOKUP($C240,'1 预算编制表单'!$C:$BJ,45,FALSE)</f>
        <v>0</v>
      </c>
      <c r="CA240" s="127">
        <f>BZ240-CB240</f>
        <v>0</v>
      </c>
      <c r="CB240" s="127">
        <f>SUM(CB241:CB245)</f>
        <v>0</v>
      </c>
      <c r="CC240" s="127">
        <f>VLOOKUP($C240,'1 预算编制表单'!$C:$BJ,48,FALSE)</f>
        <v>0</v>
      </c>
      <c r="CD240" s="127">
        <f>CC240-CE240</f>
        <v>0</v>
      </c>
      <c r="CE240" s="127">
        <f>SUM(CE241:CE245)</f>
        <v>0</v>
      </c>
      <c r="CF240" s="127">
        <f>VLOOKUP($C240,'1 预算编制表单'!$C:$BJ,51,FALSE)</f>
        <v>0</v>
      </c>
      <c r="CG240" s="127">
        <f>CF240-CH240</f>
        <v>0</v>
      </c>
      <c r="CH240" s="127">
        <f>SUM(CH241:CH245)</f>
        <v>0</v>
      </c>
      <c r="CI240" s="127">
        <f>VLOOKUP($C240,'1 预算编制表单'!$C:$BJ,54,FALSE)</f>
        <v>0</v>
      </c>
      <c r="CJ240" s="127">
        <f>CI240-CK240</f>
        <v>0</v>
      </c>
      <c r="CK240" s="127">
        <f>SUM(CK241:CK245)</f>
        <v>0</v>
      </c>
      <c r="CL240" s="127">
        <f>VLOOKUP($C240,'1 预算编制表单'!$C:$BJ,57,FALSE)</f>
        <v>0</v>
      </c>
      <c r="CM240" s="127">
        <f>CL240-CN240</f>
        <v>0</v>
      </c>
      <c r="CN240" s="127">
        <f>SUM(CN241:CN245)</f>
        <v>0</v>
      </c>
      <c r="CO240" s="127">
        <f>VLOOKUP($C240,'1 预算编制表单'!$C:$BJ,60,FALSE)</f>
        <v>0</v>
      </c>
      <c r="CP240" s="127">
        <f>CO240-CQ240</f>
        <v>0</v>
      </c>
      <c r="CQ240" s="127">
        <f>SUM(CQ241:CQ245)</f>
        <v>0</v>
      </c>
    </row>
    <row r="241" s="89" customFormat="1" ht="24" hidden="1" customHeight="1" outlineLevel="4" spans="1:95">
      <c r="A241" s="128"/>
      <c r="B241" s="129"/>
      <c r="C241" s="130"/>
      <c r="D241" s="128"/>
      <c r="E241" s="129"/>
      <c r="F241" s="129"/>
      <c r="G241" s="129"/>
      <c r="H241" s="131"/>
      <c r="I241" s="131"/>
      <c r="J241" s="131">
        <f t="shared" si="2339"/>
        <v>0</v>
      </c>
      <c r="K241" s="131">
        <v>1</v>
      </c>
      <c r="L241" s="156"/>
      <c r="M241" s="157">
        <f>IFERROR(VLOOKUP($L241,'2-2 引出数据_合同数据仓库'!$B$5:$BP$200,3,FALSE),0)</f>
        <v>0</v>
      </c>
      <c r="N241" s="131"/>
      <c r="O241" s="157">
        <f>IFERROR(VLOOKUP((LEFT(VLOOKUP($L241,'2-2 引出数据_合同数据仓库'!$B$5:$BP$200,64,FALSE),15)&amp;(RIGHT(VLOOKUP($L241,'2-2 引出数据_合同数据仓库'!$B$5:$BP$200,64,FALSE),4)+1)),'2-2 引出数据_合同数据仓库'!$B$5:$BP$200,3,FALSE),0)</f>
        <v>0</v>
      </c>
      <c r="P241" s="131"/>
      <c r="Q241" s="131">
        <f>IFERROR(VLOOKUP($L241,'2-2 引出数据_合同数据仓库'!$B$5:$BP$200,28,FALSE),0)</f>
        <v>0</v>
      </c>
      <c r="R241" s="131">
        <f>IFERROR(VLOOKUP($L241,'2-2 引出数据_合同数据仓库'!$B$5:$BP$200,29,FALSE),0)</f>
        <v>0</v>
      </c>
      <c r="S241" s="131">
        <f>IFERROR(VLOOKUP($L241,'2-2 引出数据_合同数据仓库'!$B$5:$BP$200,4,FALSE),0)</f>
        <v>0</v>
      </c>
      <c r="T241" s="131"/>
      <c r="U241" s="131">
        <f>IFERROR(VLOOKUP($L241,'2-2 引出数据_合同数据仓库'!$B$5:$BP$200,15,FALSE),0)</f>
        <v>0</v>
      </c>
      <c r="V241" s="131">
        <f t="shared" ref="V241:V244" si="2844">U241/(S241-R241+1)*365</f>
        <v>0</v>
      </c>
      <c r="W241" s="131"/>
      <c r="X241" s="163">
        <v>45658</v>
      </c>
      <c r="Y241" s="163">
        <f t="shared" ref="Y241:Y244" si="2845">X241+30</f>
        <v>45688</v>
      </c>
      <c r="Z241" s="167">
        <f t="shared" ref="Z241:Z244" si="2846">IFERROR(IF(($R241-Y241)&gt;=0,0,IF(($S241-X241)&lt;0,0,IF(AND(($S241-Y241)&gt;0,(X241-$R241)&gt;0),$V241/365*(Y241-X241+1),IF(AND(($S241-Y241)&lt;=0,(X241-$R241)&gt;0),$V241/365*($S241-X241+1),$V241/365*(Y241-$R241+1))))),0)</f>
        <v>0</v>
      </c>
      <c r="AA241" s="163">
        <f t="shared" ref="AA241:AA244" si="2847">Y241+1</f>
        <v>45689</v>
      </c>
      <c r="AB241" s="163">
        <f t="shared" ref="AB241:AB244" si="2848">AA241+27</f>
        <v>45716</v>
      </c>
      <c r="AC241" s="167">
        <f t="shared" ref="AC241:AC244" si="2849">IFERROR(IF(($R241-AB241)&gt;=0,0,IF(($S241-AA241)&lt;0,0,IF(AND(($S241-AB241)&gt;0,(AA241-$R241)&gt;0),$V241/365*(AB241-AA241+1),IF(AND(($S241-AB241)&lt;=0,(AA241-$R241)&gt;0),$V241/365*($S241-AA241+1),$V241/365*(AB241-$R241+1))))),0)</f>
        <v>0</v>
      </c>
      <c r="AD241" s="163">
        <f t="shared" ref="AD241:AD244" si="2850">AB241+1</f>
        <v>45717</v>
      </c>
      <c r="AE241" s="163">
        <f t="shared" ref="AE241:AE244" si="2851">AD241+30</f>
        <v>45747</v>
      </c>
      <c r="AF241" s="167">
        <f t="shared" ref="AF241:AF244" si="2852">IFERROR(IF(($R241-AE241)&gt;=0,0,IF(($S241-AD241)&lt;0,0,IF(AND(($S241-AE241)&gt;0,(AD241-$R241)&gt;0),$V241/365*(AE241-AD241+1),IF(AND(($S241-AE241)&lt;=0,(AD241-$R241)&gt;0),$V241/365*($S241-AD241+1),$V241/365*(AE241-$R241+1))))),0)</f>
        <v>0</v>
      </c>
      <c r="AG241" s="163">
        <f t="shared" ref="AG241:AG244" si="2853">AE241+1</f>
        <v>45748</v>
      </c>
      <c r="AH241" s="163">
        <f t="shared" ref="AH241:AH244" si="2854">AG241+29</f>
        <v>45777</v>
      </c>
      <c r="AI241" s="167">
        <f t="shared" ref="AI241:AI244" si="2855">IFERROR(IF(($R241-AH241)&gt;=0,0,IF(($S241-AG241)&lt;0,0,IF(AND(($S241-AH241)&gt;0,(AG241-$R241)&gt;0),$V241/365*(AH241-AG241+1),IF(AND(($S241-AH241)&lt;=0,(AG241-$R241)&gt;0),$V241/365*($S241-AG241+1),$V241/365*(AH241-$R241+1))))),0)</f>
        <v>0</v>
      </c>
      <c r="AJ241" s="163">
        <f t="shared" ref="AJ241:AJ244" si="2856">AH241+1</f>
        <v>45778</v>
      </c>
      <c r="AK241" s="163">
        <f t="shared" ref="AK241:AK244" si="2857">AJ241+30</f>
        <v>45808</v>
      </c>
      <c r="AL241" s="167">
        <f t="shared" ref="AL241:AL244" si="2858">IFERROR(IF(($R241-AK241)&gt;=0,0,IF(($S241-AJ241)&lt;0,0,IF(AND(($S241-AK241)&gt;0,(AJ241-$R241)&gt;0),$V241/365*(AK241-AJ241+1),IF(AND(($S241-AK241)&lt;=0,(AJ241-$R241)&gt;0),$V241/365*($S241-AJ241+1),$V241/365*(AK241-$R241+1))))),0)</f>
        <v>0</v>
      </c>
      <c r="AM241" s="163">
        <f t="shared" ref="AM241:AM244" si="2859">AK241+1</f>
        <v>45809</v>
      </c>
      <c r="AN241" s="163">
        <f t="shared" ref="AN241:AN244" si="2860">AM241+29</f>
        <v>45838</v>
      </c>
      <c r="AO241" s="167">
        <f t="shared" ref="AO241:AO244" si="2861">IFERROR(IF(($R241-AN241)&gt;=0,0,IF(($S241-AM241)&lt;0,0,IF(AND(($S241-AN241)&gt;0,(AM241-$R241)&gt;0),$V241/365*(AN241-AM241+1),IF(AND(($S241-AN241)&lt;=0,(AM241-$R241)&gt;0),$V241/365*($S241-AM241+1),$V241/365*(AN241-$R241+1))))),0)</f>
        <v>0</v>
      </c>
      <c r="AP241" s="163">
        <f t="shared" ref="AP241:AP244" si="2862">AN241+1</f>
        <v>45839</v>
      </c>
      <c r="AQ241" s="163">
        <f t="shared" ref="AQ241:AQ244" si="2863">AP241+30</f>
        <v>45869</v>
      </c>
      <c r="AR241" s="167">
        <f t="shared" ref="AR241:AR244" si="2864">IFERROR(IF(($R241-AQ241)&gt;=0,0,IF(($S241-AP241)&lt;0,0,IF(AND(($S241-AQ241)&gt;0,(AP241-$R241)&gt;0),$V241/365*(AQ241-AP241+1),IF(AND(($S241-AQ241)&lt;=0,(AP241-$R241)&gt;0),$V241/365*($S241-AP241+1),$V241/365*(AQ241-$R241+1))))),0)</f>
        <v>0</v>
      </c>
      <c r="AS241" s="163">
        <f t="shared" ref="AS241:AS244" si="2865">AQ241+1</f>
        <v>45870</v>
      </c>
      <c r="AT241" s="163">
        <f t="shared" ref="AT241:AT244" si="2866">AS241+30</f>
        <v>45900</v>
      </c>
      <c r="AU241" s="167">
        <f t="shared" ref="AU241:AU244" si="2867">IFERROR(IF(($R241-AT241)&gt;=0,0,IF(($S241-AS241)&lt;0,0,IF(AND(($S241-AT241)&gt;0,(AS241-$R241)&gt;0),$V241/365*(AT241-AS241+1),IF(AND(($S241-AT241)&lt;=0,(AS241-$R241)&gt;0),$V241/365*($S241-AS241+1),$V241/365*(AT241-$R241+1))))),0)</f>
        <v>0</v>
      </c>
      <c r="AV241" s="163">
        <f t="shared" ref="AV241:AV244" si="2868">AT241+1</f>
        <v>45901</v>
      </c>
      <c r="AW241" s="163">
        <f t="shared" ref="AW241:AW244" si="2869">AV241+29</f>
        <v>45930</v>
      </c>
      <c r="AX241" s="167">
        <f t="shared" ref="AX241:AX244" si="2870">IFERROR(IF(($R241-AW241)&gt;=0,0,IF(($S241-AV241)&lt;0,0,IF(AND(($S241-AW241)&gt;0,(AV241-$R241)&gt;0),$V241/365*(AW241-AV241+1),IF(AND(($S241-AW241)&lt;=0,(AV241-$R241)&gt;0),$V241/365*($S241-AV241+1),$V241/365*(AW241-$R241+1))))),0)</f>
        <v>0</v>
      </c>
      <c r="AY241" s="163">
        <f t="shared" ref="AY241:AY244" si="2871">AW241+1</f>
        <v>45931</v>
      </c>
      <c r="AZ241" s="163">
        <f t="shared" ref="AZ241:AZ244" si="2872">AY241+30</f>
        <v>45961</v>
      </c>
      <c r="BA241" s="167">
        <f t="shared" ref="BA241:BA244" si="2873">IFERROR(IF(($R241-AZ241)&gt;=0,0,IF(($S241-AY241)&lt;0,0,IF(AND(($S241-AZ241)&gt;0,(AY241-$R241)&gt;0),$V241/365*(AZ241-AY241+1),IF(AND(($S241-AZ241)&lt;=0,(AY241-$R241)&gt;0),$V241/365*($S241-AY241+1),$V241/365*(AZ241-$R241+1))))),0)</f>
        <v>0</v>
      </c>
      <c r="BB241" s="163">
        <f t="shared" ref="BB241:BB244" si="2874">AZ241+1</f>
        <v>45962</v>
      </c>
      <c r="BC241" s="163">
        <f t="shared" ref="BC241:BC244" si="2875">BB241+29</f>
        <v>45991</v>
      </c>
      <c r="BD241" s="167">
        <f t="shared" ref="BD241:BD244" si="2876">IFERROR(IF(($R241-BC241)&gt;=0,0,IF(($S241-BB241)&lt;0,0,IF(AND(($S241-BC241)&gt;0,(BB241-$R241)&gt;0),$V241/365*(BC241-BB241+1),IF(AND(($S241-BC241)&lt;=0,(BB241-$R241)&gt;0),$V241/365*($S241-BB241+1),$V241/365*(BC241-$R241+1))))),0)</f>
        <v>0</v>
      </c>
      <c r="BE241" s="163">
        <f t="shared" ref="BE241:BE244" si="2877">BC241+1</f>
        <v>45992</v>
      </c>
      <c r="BF241" s="163">
        <f t="shared" ref="BF241:BF244" si="2878">BE241+30</f>
        <v>46022</v>
      </c>
      <c r="BG241" s="167">
        <f t="shared" ref="BG241:BG244" si="2879">IFERROR(IF(($R241-BF241)&gt;=0,0,IF(($S241-BE241)&lt;0,0,IF(AND(($S241-BF241)&gt;0,(BE241-$R241)&gt;0),$V241/365*(BF241-BE241+1),IF(AND(($S241-BF241)&lt;=0,(BE241-$R241)&gt;0),$V241/365*($S241-BE241+1),$V241/365*(BF241-$R241+1))))),0)</f>
        <v>0</v>
      </c>
      <c r="BH241" s="163">
        <v>46023</v>
      </c>
      <c r="BI241" s="163">
        <f t="shared" ref="BI241:BI244" si="2880">BH241+30</f>
        <v>46053</v>
      </c>
      <c r="BJ241" s="167">
        <f t="shared" ref="BJ241:BJ244" si="2881">IFERROR(IF(($R241-BI241)&gt;=0,0,IF(($S241-BH241)&lt;0,0,IF(AND(($S241-BI241)&gt;0,(BH241-$R241)&gt;0),$V241/365*(BI241-BH241+1),IF(AND(($S241-BI241)&lt;=0,(BH241-$R241)&gt;0),$V241/365*($S241-BH241+1),$V241/365*(BI241-$R241+1))))),0)</f>
        <v>0</v>
      </c>
      <c r="BK241" s="163">
        <f t="shared" ref="BK241:BK244" si="2882">BI241+1</f>
        <v>46054</v>
      </c>
      <c r="BL241" s="163">
        <f t="shared" ref="BL241:BL244" si="2883">BK241+27</f>
        <v>46081</v>
      </c>
      <c r="BM241" s="167">
        <f t="shared" ref="BM241:BM244" si="2884">IFERROR(IF(($R241-BL241)&gt;=0,0,IF(($S241-BK241)&lt;0,0,IF(AND(($S241-BL241)&gt;0,(BK241-$R241)&gt;0),$V241/365*(BL241-BK241+1),IF(AND(($S241-BL241)&lt;=0,(BK241-$R241)&gt;0),$V241/365*($S241-BK241+1),$V241/365*(BL241-$R241+1))))),0)</f>
        <v>0</v>
      </c>
      <c r="BN241" s="163">
        <f t="shared" ref="BN241:BN244" si="2885">BL241+1</f>
        <v>46082</v>
      </c>
      <c r="BO241" s="163">
        <f t="shared" ref="BO241:BO244" si="2886">BN241+30</f>
        <v>46112</v>
      </c>
      <c r="BP241" s="167">
        <f t="shared" ref="BP241:BP244" si="2887">IFERROR(IF(($R241-BO241)&gt;=0,0,IF(($S241-BN241)&lt;0,0,IF(AND(($S241-BO241)&gt;0,(BN241-$R241)&gt;0),$V241/365*(BO241-BN241+1),IF(AND(($S241-BO241)&lt;=0,(BN241-$R241)&gt;0),$V241/365*($S241-BN241+1),$V241/365*(BO241-$R241+1))))),0)</f>
        <v>0</v>
      </c>
      <c r="BQ241" s="163">
        <f t="shared" ref="BQ241:BQ244" si="2888">BO241+1</f>
        <v>46113</v>
      </c>
      <c r="BR241" s="163">
        <f t="shared" ref="BR241:BR244" si="2889">BQ241+29</f>
        <v>46142</v>
      </c>
      <c r="BS241" s="167">
        <f t="shared" ref="BS241:BS244" si="2890">IFERROR(IF(($R241-BR241)&gt;=0,0,IF(($S241-BQ241)&lt;0,0,IF(AND(($S241-BR241)&gt;0,(BQ241-$R241)&gt;0),$V241/365*(BR241-BQ241+1),IF(AND(($S241-BR241)&lt;=0,(BQ241-$R241)&gt;0),$V241/365*($S241-BQ241+1),$V241/365*(BR241-$R241+1))))),0)</f>
        <v>0</v>
      </c>
      <c r="BT241" s="163">
        <f t="shared" ref="BT241:BT244" si="2891">BR241+1</f>
        <v>46143</v>
      </c>
      <c r="BU241" s="163">
        <f t="shared" ref="BU241:BU244" si="2892">BT241+30</f>
        <v>46173</v>
      </c>
      <c r="BV241" s="167">
        <f t="shared" ref="BV241:BV244" si="2893">IFERROR(IF(($R241-BU241)&gt;=0,0,IF(($S241-BT241)&lt;0,0,IF(AND(($S241-BU241)&gt;0,(BT241-$R241)&gt;0),$V241/365*(BU241-BT241+1),IF(AND(($S241-BU241)&lt;=0,(BT241-$R241)&gt;0),$V241/365*($S241-BT241+1),$V241/365*(BU241-$R241+1))))),0)</f>
        <v>0</v>
      </c>
      <c r="BW241" s="163">
        <f t="shared" ref="BW241:BW244" si="2894">BU241+1</f>
        <v>46174</v>
      </c>
      <c r="BX241" s="163">
        <f t="shared" ref="BX241:BX244" si="2895">BW241+29</f>
        <v>46203</v>
      </c>
      <c r="BY241" s="167">
        <f t="shared" ref="BY241:BY244" si="2896">IFERROR(IF(($R241-BX241)&gt;=0,0,IF(($S241-BW241)&lt;0,0,IF(AND(($S241-BX241)&gt;0,(BW241-$R241)&gt;0),$V241/365*(BX241-BW241+1),IF(AND(($S241-BX241)&lt;=0,(BW241-$R241)&gt;0),$V241/365*($S241-BW241+1),$V241/365*(BX241-$R241+1))))),0)</f>
        <v>0</v>
      </c>
      <c r="BZ241" s="163">
        <f t="shared" ref="BZ241:BZ244" si="2897">BX241+1</f>
        <v>46204</v>
      </c>
      <c r="CA241" s="163">
        <f t="shared" ref="CA241:CA244" si="2898">BZ241+30</f>
        <v>46234</v>
      </c>
      <c r="CB241" s="167">
        <f t="shared" ref="CB241:CB244" si="2899">IFERROR(IF(($R241-CA241)&gt;=0,0,IF(($S241-BZ241)&lt;0,0,IF(AND(($S241-CA241)&gt;0,(BZ241-$R241)&gt;0),$V241/365*(CA241-BZ241+1),IF(AND(($S241-CA241)&lt;=0,(BZ241-$R241)&gt;0),$V241/365*($S241-BZ241+1),$V241/365*(CA241-$R241+1))))),0)</f>
        <v>0</v>
      </c>
      <c r="CC241" s="163">
        <f t="shared" ref="CC241:CC244" si="2900">CA241+1</f>
        <v>46235</v>
      </c>
      <c r="CD241" s="163">
        <f t="shared" ref="CD241:CD244" si="2901">CC241+30</f>
        <v>46265</v>
      </c>
      <c r="CE241" s="167">
        <f t="shared" ref="CE241:CE244" si="2902">IFERROR(IF(($R241-CD241)&gt;=0,0,IF(($S241-CC241)&lt;0,0,IF(AND(($S241-CD241)&gt;0,(CC241-$R241)&gt;0),$V241/365*(CD241-CC241+1),IF(AND(($S241-CD241)&lt;=0,(CC241-$R241)&gt;0),$V241/365*($S241-CC241+1),$V241/365*(CD241-$R241+1))))),0)</f>
        <v>0</v>
      </c>
      <c r="CF241" s="163">
        <f t="shared" ref="CF241:CF244" si="2903">CD241+1</f>
        <v>46266</v>
      </c>
      <c r="CG241" s="163">
        <f t="shared" ref="CG241:CG244" si="2904">CF241+29</f>
        <v>46295</v>
      </c>
      <c r="CH241" s="167">
        <f t="shared" ref="CH241:CH244" si="2905">IFERROR(IF(($R241-CG241)&gt;=0,0,IF(($S241-CF241)&lt;0,0,IF(AND(($S241-CG241)&gt;0,(CF241-$R241)&gt;0),$V241/365*(CG241-CF241+1),IF(AND(($S241-CG241)&lt;=0,(CF241-$R241)&gt;0),$V241/365*($S241-CF241+1),$V241/365*(CG241-$R241+1))))),0)</f>
        <v>0</v>
      </c>
      <c r="CI241" s="163">
        <f t="shared" ref="CI241:CI244" si="2906">CG241+1</f>
        <v>46296</v>
      </c>
      <c r="CJ241" s="163">
        <f t="shared" ref="CJ241:CJ244" si="2907">CI241+30</f>
        <v>46326</v>
      </c>
      <c r="CK241" s="167">
        <f t="shared" ref="CK241:CK244" si="2908">IFERROR(IF(($R241-CJ241)&gt;=0,0,IF(($S241-CI241)&lt;0,0,IF(AND(($S241-CJ241)&gt;0,(CI241-$R241)&gt;0),$V241/365*(CJ241-CI241+1),IF(AND(($S241-CJ241)&lt;=0,(CI241-$R241)&gt;0),$V241/365*($S241-CI241+1),$V241/365*(CJ241-$R241+1))))),0)</f>
        <v>0</v>
      </c>
      <c r="CL241" s="163">
        <f t="shared" ref="CL241:CL244" si="2909">CJ241+1</f>
        <v>46327</v>
      </c>
      <c r="CM241" s="163">
        <f t="shared" ref="CM241:CM244" si="2910">CL241+29</f>
        <v>46356</v>
      </c>
      <c r="CN241" s="167">
        <f t="shared" ref="CN241:CN244" si="2911">IFERROR(IF(($R241-CM241)&gt;=0,0,IF(($S241-CL241)&lt;0,0,IF(AND(($S241-CM241)&gt;0,(CL241-$R241)&gt;0),$V241/365*(CM241-CL241+1),IF(AND(($S241-CM241)&lt;=0,(CL241-$R241)&gt;0),$V241/365*($S241-CL241+1),$V241/365*(CM241-$R241+1))))),0)</f>
        <v>0</v>
      </c>
      <c r="CO241" s="163">
        <f t="shared" ref="CO241:CO244" si="2912">CM241+1</f>
        <v>46357</v>
      </c>
      <c r="CP241" s="163">
        <f t="shared" ref="CP241:CP244" si="2913">CO241+30</f>
        <v>46387</v>
      </c>
      <c r="CQ241" s="167">
        <f t="shared" ref="CQ241:CQ244" si="2914">IFERROR(IF(($R241-CP241)&gt;=0,0,IF(($S241-CO241)&lt;0,0,IF(AND(($S241-CP241)&gt;0,(CO241-$R241)&gt;0),$V241/365*(CP241-CO241+1),IF(AND(($S241-CP241)&lt;=0,(CO241-$R241)&gt;0),$V241/365*($S241-CO241+1),$V241/365*(CP241-$R241+1))))),0)</f>
        <v>0</v>
      </c>
    </row>
    <row r="242" s="89" customFormat="1" ht="24" hidden="1" customHeight="1" outlineLevel="4" spans="1:95">
      <c r="A242" s="128"/>
      <c r="B242" s="129"/>
      <c r="C242" s="130"/>
      <c r="D242" s="128"/>
      <c r="E242" s="129"/>
      <c r="F242" s="129"/>
      <c r="G242" s="129"/>
      <c r="H242" s="131"/>
      <c r="I242" s="131"/>
      <c r="J242" s="131">
        <f t="shared" si="2339"/>
        <v>0</v>
      </c>
      <c r="K242" s="131">
        <f t="shared" ref="K242:K244" si="2915">K241+1</f>
        <v>2</v>
      </c>
      <c r="L242" s="156"/>
      <c r="M242" s="157">
        <f>IFERROR(VLOOKUP($L242,'2-2 引出数据_合同数据仓库'!$B$5:$BP$200,3,FALSE),0)</f>
        <v>0</v>
      </c>
      <c r="N242" s="131"/>
      <c r="O242" s="157">
        <f>IFERROR(VLOOKUP((LEFT(VLOOKUP($L242,'2-2 引出数据_合同数据仓库'!$B$5:$BP$200,64,FALSE),15)&amp;(RIGHT(VLOOKUP($L242,'2-2 引出数据_合同数据仓库'!$B$5:$BP$200,64,FALSE),4)+1)),'2-2 引出数据_合同数据仓库'!$B$5:$BP$200,3,FALSE),0)</f>
        <v>0</v>
      </c>
      <c r="P242" s="131"/>
      <c r="Q242" s="131">
        <f>IFERROR(VLOOKUP($L242,'2-2 引出数据_合同数据仓库'!$B$5:$BP$200,28,FALSE),0)</f>
        <v>0</v>
      </c>
      <c r="R242" s="131">
        <f>IFERROR(VLOOKUP($L242,'2-2 引出数据_合同数据仓库'!$B$5:$BP$200,29,FALSE),0)</f>
        <v>0</v>
      </c>
      <c r="S242" s="131">
        <f>IFERROR(VLOOKUP($L242,'2-2 引出数据_合同数据仓库'!$B$5:$BP$200,4,FALSE),0)</f>
        <v>0</v>
      </c>
      <c r="T242" s="131"/>
      <c r="U242" s="131">
        <f>IFERROR(VLOOKUP($L242,'2-2 引出数据_合同数据仓库'!$B$5:$BP$200,15,FALSE),0)</f>
        <v>0</v>
      </c>
      <c r="V242" s="131">
        <f t="shared" si="2844"/>
        <v>0</v>
      </c>
      <c r="W242" s="131"/>
      <c r="X242" s="163">
        <v>45658</v>
      </c>
      <c r="Y242" s="163">
        <f t="shared" si="2845"/>
        <v>45688</v>
      </c>
      <c r="Z242" s="167">
        <f t="shared" si="2846"/>
        <v>0</v>
      </c>
      <c r="AA242" s="163">
        <f t="shared" si="2847"/>
        <v>45689</v>
      </c>
      <c r="AB242" s="163">
        <f t="shared" si="2848"/>
        <v>45716</v>
      </c>
      <c r="AC242" s="167">
        <f t="shared" si="2849"/>
        <v>0</v>
      </c>
      <c r="AD242" s="163">
        <f t="shared" si="2850"/>
        <v>45717</v>
      </c>
      <c r="AE242" s="163">
        <f t="shared" si="2851"/>
        <v>45747</v>
      </c>
      <c r="AF242" s="167">
        <f t="shared" si="2852"/>
        <v>0</v>
      </c>
      <c r="AG242" s="163">
        <f t="shared" si="2853"/>
        <v>45748</v>
      </c>
      <c r="AH242" s="163">
        <f t="shared" si="2854"/>
        <v>45777</v>
      </c>
      <c r="AI242" s="167">
        <f t="shared" si="2855"/>
        <v>0</v>
      </c>
      <c r="AJ242" s="163">
        <f t="shared" si="2856"/>
        <v>45778</v>
      </c>
      <c r="AK242" s="163">
        <f t="shared" si="2857"/>
        <v>45808</v>
      </c>
      <c r="AL242" s="167">
        <f t="shared" si="2858"/>
        <v>0</v>
      </c>
      <c r="AM242" s="163">
        <f t="shared" si="2859"/>
        <v>45809</v>
      </c>
      <c r="AN242" s="163">
        <f t="shared" si="2860"/>
        <v>45838</v>
      </c>
      <c r="AO242" s="167">
        <f t="shared" si="2861"/>
        <v>0</v>
      </c>
      <c r="AP242" s="163">
        <f t="shared" si="2862"/>
        <v>45839</v>
      </c>
      <c r="AQ242" s="163">
        <f t="shared" si="2863"/>
        <v>45869</v>
      </c>
      <c r="AR242" s="167">
        <f t="shared" si="2864"/>
        <v>0</v>
      </c>
      <c r="AS242" s="163">
        <f t="shared" si="2865"/>
        <v>45870</v>
      </c>
      <c r="AT242" s="163">
        <f t="shared" si="2866"/>
        <v>45900</v>
      </c>
      <c r="AU242" s="167">
        <f t="shared" si="2867"/>
        <v>0</v>
      </c>
      <c r="AV242" s="163">
        <f t="shared" si="2868"/>
        <v>45901</v>
      </c>
      <c r="AW242" s="163">
        <f t="shared" si="2869"/>
        <v>45930</v>
      </c>
      <c r="AX242" s="167">
        <f t="shared" si="2870"/>
        <v>0</v>
      </c>
      <c r="AY242" s="163">
        <f t="shared" si="2871"/>
        <v>45931</v>
      </c>
      <c r="AZ242" s="163">
        <f t="shared" si="2872"/>
        <v>45961</v>
      </c>
      <c r="BA242" s="167">
        <f t="shared" si="2873"/>
        <v>0</v>
      </c>
      <c r="BB242" s="163">
        <f t="shared" si="2874"/>
        <v>45962</v>
      </c>
      <c r="BC242" s="163">
        <f t="shared" si="2875"/>
        <v>45991</v>
      </c>
      <c r="BD242" s="167">
        <f t="shared" si="2876"/>
        <v>0</v>
      </c>
      <c r="BE242" s="163">
        <f t="shared" si="2877"/>
        <v>45992</v>
      </c>
      <c r="BF242" s="163">
        <f t="shared" si="2878"/>
        <v>46022</v>
      </c>
      <c r="BG242" s="167">
        <f t="shared" si="2879"/>
        <v>0</v>
      </c>
      <c r="BH242" s="163">
        <v>46023</v>
      </c>
      <c r="BI242" s="163">
        <f t="shared" si="2880"/>
        <v>46053</v>
      </c>
      <c r="BJ242" s="167">
        <f t="shared" si="2881"/>
        <v>0</v>
      </c>
      <c r="BK242" s="163">
        <f t="shared" si="2882"/>
        <v>46054</v>
      </c>
      <c r="BL242" s="163">
        <f t="shared" si="2883"/>
        <v>46081</v>
      </c>
      <c r="BM242" s="167">
        <f t="shared" si="2884"/>
        <v>0</v>
      </c>
      <c r="BN242" s="163">
        <f t="shared" si="2885"/>
        <v>46082</v>
      </c>
      <c r="BO242" s="163">
        <f t="shared" si="2886"/>
        <v>46112</v>
      </c>
      <c r="BP242" s="167">
        <f t="shared" si="2887"/>
        <v>0</v>
      </c>
      <c r="BQ242" s="163">
        <f t="shared" si="2888"/>
        <v>46113</v>
      </c>
      <c r="BR242" s="163">
        <f t="shared" si="2889"/>
        <v>46142</v>
      </c>
      <c r="BS242" s="167">
        <f t="shared" si="2890"/>
        <v>0</v>
      </c>
      <c r="BT242" s="163">
        <f t="shared" si="2891"/>
        <v>46143</v>
      </c>
      <c r="BU242" s="163">
        <f t="shared" si="2892"/>
        <v>46173</v>
      </c>
      <c r="BV242" s="167">
        <f t="shared" si="2893"/>
        <v>0</v>
      </c>
      <c r="BW242" s="163">
        <f t="shared" si="2894"/>
        <v>46174</v>
      </c>
      <c r="BX242" s="163">
        <f t="shared" si="2895"/>
        <v>46203</v>
      </c>
      <c r="BY242" s="167">
        <f t="shared" si="2896"/>
        <v>0</v>
      </c>
      <c r="BZ242" s="163">
        <f t="shared" si="2897"/>
        <v>46204</v>
      </c>
      <c r="CA242" s="163">
        <f t="shared" si="2898"/>
        <v>46234</v>
      </c>
      <c r="CB242" s="167">
        <f t="shared" si="2899"/>
        <v>0</v>
      </c>
      <c r="CC242" s="163">
        <f t="shared" si="2900"/>
        <v>46235</v>
      </c>
      <c r="CD242" s="163">
        <f t="shared" si="2901"/>
        <v>46265</v>
      </c>
      <c r="CE242" s="167">
        <f t="shared" si="2902"/>
        <v>0</v>
      </c>
      <c r="CF242" s="163">
        <f t="shared" si="2903"/>
        <v>46266</v>
      </c>
      <c r="CG242" s="163">
        <f t="shared" si="2904"/>
        <v>46295</v>
      </c>
      <c r="CH242" s="167">
        <f t="shared" si="2905"/>
        <v>0</v>
      </c>
      <c r="CI242" s="163">
        <f t="shared" si="2906"/>
        <v>46296</v>
      </c>
      <c r="CJ242" s="163">
        <f t="shared" si="2907"/>
        <v>46326</v>
      </c>
      <c r="CK242" s="167">
        <f t="shared" si="2908"/>
        <v>0</v>
      </c>
      <c r="CL242" s="163">
        <f t="shared" si="2909"/>
        <v>46327</v>
      </c>
      <c r="CM242" s="163">
        <f t="shared" si="2910"/>
        <v>46356</v>
      </c>
      <c r="CN242" s="167">
        <f t="shared" si="2911"/>
        <v>0</v>
      </c>
      <c r="CO242" s="163">
        <f t="shared" si="2912"/>
        <v>46357</v>
      </c>
      <c r="CP242" s="163">
        <f t="shared" si="2913"/>
        <v>46387</v>
      </c>
      <c r="CQ242" s="167">
        <f t="shared" si="2914"/>
        <v>0</v>
      </c>
    </row>
    <row r="243" s="89" customFormat="1" ht="24" hidden="1" customHeight="1" outlineLevel="4" spans="1:95">
      <c r="A243" s="128"/>
      <c r="B243" s="129"/>
      <c r="C243" s="130"/>
      <c r="D243" s="128"/>
      <c r="E243" s="129"/>
      <c r="F243" s="129"/>
      <c r="G243" s="129"/>
      <c r="H243" s="131"/>
      <c r="I243" s="131"/>
      <c r="J243" s="131">
        <f t="shared" si="2339"/>
        <v>0</v>
      </c>
      <c r="K243" s="131">
        <f t="shared" si="2915"/>
        <v>3</v>
      </c>
      <c r="L243" s="156"/>
      <c r="M243" s="157">
        <f>IFERROR(VLOOKUP($L243,'2-2 引出数据_合同数据仓库'!$B$5:$BP$200,3,FALSE),0)</f>
        <v>0</v>
      </c>
      <c r="N243" s="131"/>
      <c r="O243" s="157">
        <f>IFERROR(VLOOKUP((LEFT(VLOOKUP($L243,'2-2 引出数据_合同数据仓库'!$B$5:$BP$200,64,FALSE),15)&amp;(RIGHT(VLOOKUP($L243,'2-2 引出数据_合同数据仓库'!$B$5:$BP$200,64,FALSE),4)+1)),'2-2 引出数据_合同数据仓库'!$B$5:$BP$200,3,FALSE),0)</f>
        <v>0</v>
      </c>
      <c r="P243" s="131"/>
      <c r="Q243" s="131">
        <f>IFERROR(VLOOKUP($L243,'2-2 引出数据_合同数据仓库'!$B$5:$BP$200,28,FALSE),0)</f>
        <v>0</v>
      </c>
      <c r="R243" s="131">
        <f>IFERROR(VLOOKUP($L243,'2-2 引出数据_合同数据仓库'!$B$5:$BP$200,29,FALSE),0)</f>
        <v>0</v>
      </c>
      <c r="S243" s="131">
        <f>IFERROR(VLOOKUP($L243,'2-2 引出数据_合同数据仓库'!$B$5:$BP$200,4,FALSE),0)</f>
        <v>0</v>
      </c>
      <c r="T243" s="131"/>
      <c r="U243" s="131">
        <f>IFERROR(VLOOKUP($L243,'2-2 引出数据_合同数据仓库'!$B$5:$BP$200,15,FALSE),0)</f>
        <v>0</v>
      </c>
      <c r="V243" s="131">
        <f t="shared" si="2844"/>
        <v>0</v>
      </c>
      <c r="W243" s="131"/>
      <c r="X243" s="163">
        <v>45658</v>
      </c>
      <c r="Y243" s="163">
        <f t="shared" si="2845"/>
        <v>45688</v>
      </c>
      <c r="Z243" s="167">
        <f t="shared" si="2846"/>
        <v>0</v>
      </c>
      <c r="AA243" s="163">
        <f t="shared" si="2847"/>
        <v>45689</v>
      </c>
      <c r="AB243" s="163">
        <f t="shared" si="2848"/>
        <v>45716</v>
      </c>
      <c r="AC243" s="167">
        <f t="shared" si="2849"/>
        <v>0</v>
      </c>
      <c r="AD243" s="163">
        <f t="shared" si="2850"/>
        <v>45717</v>
      </c>
      <c r="AE243" s="163">
        <f t="shared" si="2851"/>
        <v>45747</v>
      </c>
      <c r="AF243" s="167">
        <f t="shared" si="2852"/>
        <v>0</v>
      </c>
      <c r="AG243" s="163">
        <f t="shared" si="2853"/>
        <v>45748</v>
      </c>
      <c r="AH243" s="163">
        <f t="shared" si="2854"/>
        <v>45777</v>
      </c>
      <c r="AI243" s="167">
        <f t="shared" si="2855"/>
        <v>0</v>
      </c>
      <c r="AJ243" s="163">
        <f t="shared" si="2856"/>
        <v>45778</v>
      </c>
      <c r="AK243" s="163">
        <f t="shared" si="2857"/>
        <v>45808</v>
      </c>
      <c r="AL243" s="167">
        <f t="shared" si="2858"/>
        <v>0</v>
      </c>
      <c r="AM243" s="163">
        <f t="shared" si="2859"/>
        <v>45809</v>
      </c>
      <c r="AN243" s="163">
        <f t="shared" si="2860"/>
        <v>45838</v>
      </c>
      <c r="AO243" s="167">
        <f t="shared" si="2861"/>
        <v>0</v>
      </c>
      <c r="AP243" s="163">
        <f t="shared" si="2862"/>
        <v>45839</v>
      </c>
      <c r="AQ243" s="163">
        <f t="shared" si="2863"/>
        <v>45869</v>
      </c>
      <c r="AR243" s="167">
        <f t="shared" si="2864"/>
        <v>0</v>
      </c>
      <c r="AS243" s="163">
        <f t="shared" si="2865"/>
        <v>45870</v>
      </c>
      <c r="AT243" s="163">
        <f t="shared" si="2866"/>
        <v>45900</v>
      </c>
      <c r="AU243" s="167">
        <f t="shared" si="2867"/>
        <v>0</v>
      </c>
      <c r="AV243" s="163">
        <f t="shared" si="2868"/>
        <v>45901</v>
      </c>
      <c r="AW243" s="163">
        <f t="shared" si="2869"/>
        <v>45930</v>
      </c>
      <c r="AX243" s="167">
        <f t="shared" si="2870"/>
        <v>0</v>
      </c>
      <c r="AY243" s="163">
        <f t="shared" si="2871"/>
        <v>45931</v>
      </c>
      <c r="AZ243" s="163">
        <f t="shared" si="2872"/>
        <v>45961</v>
      </c>
      <c r="BA243" s="167">
        <f t="shared" si="2873"/>
        <v>0</v>
      </c>
      <c r="BB243" s="163">
        <f t="shared" si="2874"/>
        <v>45962</v>
      </c>
      <c r="BC243" s="163">
        <f t="shared" si="2875"/>
        <v>45991</v>
      </c>
      <c r="BD243" s="167">
        <f t="shared" si="2876"/>
        <v>0</v>
      </c>
      <c r="BE243" s="163">
        <f t="shared" si="2877"/>
        <v>45992</v>
      </c>
      <c r="BF243" s="163">
        <f t="shared" si="2878"/>
        <v>46022</v>
      </c>
      <c r="BG243" s="167">
        <f t="shared" si="2879"/>
        <v>0</v>
      </c>
      <c r="BH243" s="163">
        <v>46023</v>
      </c>
      <c r="BI243" s="163">
        <f t="shared" si="2880"/>
        <v>46053</v>
      </c>
      <c r="BJ243" s="167">
        <f t="shared" si="2881"/>
        <v>0</v>
      </c>
      <c r="BK243" s="163">
        <f t="shared" si="2882"/>
        <v>46054</v>
      </c>
      <c r="BL243" s="163">
        <f t="shared" si="2883"/>
        <v>46081</v>
      </c>
      <c r="BM243" s="167">
        <f t="shared" si="2884"/>
        <v>0</v>
      </c>
      <c r="BN243" s="163">
        <f t="shared" si="2885"/>
        <v>46082</v>
      </c>
      <c r="BO243" s="163">
        <f t="shared" si="2886"/>
        <v>46112</v>
      </c>
      <c r="BP243" s="167">
        <f t="shared" si="2887"/>
        <v>0</v>
      </c>
      <c r="BQ243" s="163">
        <f t="shared" si="2888"/>
        <v>46113</v>
      </c>
      <c r="BR243" s="163">
        <f t="shared" si="2889"/>
        <v>46142</v>
      </c>
      <c r="BS243" s="167">
        <f t="shared" si="2890"/>
        <v>0</v>
      </c>
      <c r="BT243" s="163">
        <f t="shared" si="2891"/>
        <v>46143</v>
      </c>
      <c r="BU243" s="163">
        <f t="shared" si="2892"/>
        <v>46173</v>
      </c>
      <c r="BV243" s="167">
        <f t="shared" si="2893"/>
        <v>0</v>
      </c>
      <c r="BW243" s="163">
        <f t="shared" si="2894"/>
        <v>46174</v>
      </c>
      <c r="BX243" s="163">
        <f t="shared" si="2895"/>
        <v>46203</v>
      </c>
      <c r="BY243" s="167">
        <f t="shared" si="2896"/>
        <v>0</v>
      </c>
      <c r="BZ243" s="163">
        <f t="shared" si="2897"/>
        <v>46204</v>
      </c>
      <c r="CA243" s="163">
        <f t="shared" si="2898"/>
        <v>46234</v>
      </c>
      <c r="CB243" s="167">
        <f t="shared" si="2899"/>
        <v>0</v>
      </c>
      <c r="CC243" s="163">
        <f t="shared" si="2900"/>
        <v>46235</v>
      </c>
      <c r="CD243" s="163">
        <f t="shared" si="2901"/>
        <v>46265</v>
      </c>
      <c r="CE243" s="167">
        <f t="shared" si="2902"/>
        <v>0</v>
      </c>
      <c r="CF243" s="163">
        <f t="shared" si="2903"/>
        <v>46266</v>
      </c>
      <c r="CG243" s="163">
        <f t="shared" si="2904"/>
        <v>46295</v>
      </c>
      <c r="CH243" s="167">
        <f t="shared" si="2905"/>
        <v>0</v>
      </c>
      <c r="CI243" s="163">
        <f t="shared" si="2906"/>
        <v>46296</v>
      </c>
      <c r="CJ243" s="163">
        <f t="shared" si="2907"/>
        <v>46326</v>
      </c>
      <c r="CK243" s="167">
        <f t="shared" si="2908"/>
        <v>0</v>
      </c>
      <c r="CL243" s="163">
        <f t="shared" si="2909"/>
        <v>46327</v>
      </c>
      <c r="CM243" s="163">
        <f t="shared" si="2910"/>
        <v>46356</v>
      </c>
      <c r="CN243" s="167">
        <f t="shared" si="2911"/>
        <v>0</v>
      </c>
      <c r="CO243" s="163">
        <f t="shared" si="2912"/>
        <v>46357</v>
      </c>
      <c r="CP243" s="163">
        <f t="shared" si="2913"/>
        <v>46387</v>
      </c>
      <c r="CQ243" s="167">
        <f t="shared" si="2914"/>
        <v>0</v>
      </c>
    </row>
    <row r="244" s="89" customFormat="1" ht="24" hidden="1" customHeight="1" outlineLevel="4" spans="1:95">
      <c r="A244" s="128"/>
      <c r="B244" s="129"/>
      <c r="C244" s="130"/>
      <c r="D244" s="128"/>
      <c r="E244" s="129"/>
      <c r="F244" s="129"/>
      <c r="G244" s="129"/>
      <c r="H244" s="131"/>
      <c r="I244" s="131"/>
      <c r="J244" s="131">
        <f t="shared" si="2339"/>
        <v>0</v>
      </c>
      <c r="K244" s="131">
        <f t="shared" si="2915"/>
        <v>4</v>
      </c>
      <c r="L244" s="156"/>
      <c r="M244" s="157">
        <f>IFERROR(VLOOKUP($L244,'2-2 引出数据_合同数据仓库'!$B$5:$BP$200,3,FALSE),0)</f>
        <v>0</v>
      </c>
      <c r="N244" s="131"/>
      <c r="O244" s="157">
        <f>IFERROR(VLOOKUP((LEFT(VLOOKUP($L244,'2-2 引出数据_合同数据仓库'!$B$5:$BP$200,64,FALSE),15)&amp;(RIGHT(VLOOKUP($L244,'2-2 引出数据_合同数据仓库'!$B$5:$BP$200,64,FALSE),4)+1)),'2-2 引出数据_合同数据仓库'!$B$5:$BP$200,3,FALSE),0)</f>
        <v>0</v>
      </c>
      <c r="P244" s="131"/>
      <c r="Q244" s="131">
        <f>IFERROR(VLOOKUP($L244,'2-2 引出数据_合同数据仓库'!$B$5:$BP$200,28,FALSE),0)</f>
        <v>0</v>
      </c>
      <c r="R244" s="131">
        <f>IFERROR(VLOOKUP($L244,'2-2 引出数据_合同数据仓库'!$B$5:$BP$200,29,FALSE),0)</f>
        <v>0</v>
      </c>
      <c r="S244" s="131">
        <f>IFERROR(VLOOKUP($L244,'2-2 引出数据_合同数据仓库'!$B$5:$BP$200,4,FALSE),0)</f>
        <v>0</v>
      </c>
      <c r="T244" s="131"/>
      <c r="U244" s="131">
        <f>IFERROR(VLOOKUP($L244,'2-2 引出数据_合同数据仓库'!$B$5:$BP$200,15,FALSE),0)</f>
        <v>0</v>
      </c>
      <c r="V244" s="131">
        <f t="shared" si="2844"/>
        <v>0</v>
      </c>
      <c r="W244" s="131"/>
      <c r="X244" s="163">
        <v>45658</v>
      </c>
      <c r="Y244" s="163">
        <f t="shared" si="2845"/>
        <v>45688</v>
      </c>
      <c r="Z244" s="167">
        <f t="shared" si="2846"/>
        <v>0</v>
      </c>
      <c r="AA244" s="163">
        <f t="shared" si="2847"/>
        <v>45689</v>
      </c>
      <c r="AB244" s="163">
        <f t="shared" si="2848"/>
        <v>45716</v>
      </c>
      <c r="AC244" s="167">
        <f t="shared" si="2849"/>
        <v>0</v>
      </c>
      <c r="AD244" s="163">
        <f t="shared" si="2850"/>
        <v>45717</v>
      </c>
      <c r="AE244" s="163">
        <f t="shared" si="2851"/>
        <v>45747</v>
      </c>
      <c r="AF244" s="167">
        <f t="shared" si="2852"/>
        <v>0</v>
      </c>
      <c r="AG244" s="163">
        <f t="shared" si="2853"/>
        <v>45748</v>
      </c>
      <c r="AH244" s="163">
        <f t="shared" si="2854"/>
        <v>45777</v>
      </c>
      <c r="AI244" s="167">
        <f t="shared" si="2855"/>
        <v>0</v>
      </c>
      <c r="AJ244" s="163">
        <f t="shared" si="2856"/>
        <v>45778</v>
      </c>
      <c r="AK244" s="163">
        <f t="shared" si="2857"/>
        <v>45808</v>
      </c>
      <c r="AL244" s="167">
        <f t="shared" si="2858"/>
        <v>0</v>
      </c>
      <c r="AM244" s="163">
        <f t="shared" si="2859"/>
        <v>45809</v>
      </c>
      <c r="AN244" s="163">
        <f t="shared" si="2860"/>
        <v>45838</v>
      </c>
      <c r="AO244" s="167">
        <f t="shared" si="2861"/>
        <v>0</v>
      </c>
      <c r="AP244" s="163">
        <f t="shared" si="2862"/>
        <v>45839</v>
      </c>
      <c r="AQ244" s="163">
        <f t="shared" si="2863"/>
        <v>45869</v>
      </c>
      <c r="AR244" s="167">
        <f t="shared" si="2864"/>
        <v>0</v>
      </c>
      <c r="AS244" s="163">
        <f t="shared" si="2865"/>
        <v>45870</v>
      </c>
      <c r="AT244" s="163">
        <f t="shared" si="2866"/>
        <v>45900</v>
      </c>
      <c r="AU244" s="167">
        <f t="shared" si="2867"/>
        <v>0</v>
      </c>
      <c r="AV244" s="163">
        <f t="shared" si="2868"/>
        <v>45901</v>
      </c>
      <c r="AW244" s="163">
        <f t="shared" si="2869"/>
        <v>45930</v>
      </c>
      <c r="AX244" s="167">
        <f t="shared" si="2870"/>
        <v>0</v>
      </c>
      <c r="AY244" s="163">
        <f t="shared" si="2871"/>
        <v>45931</v>
      </c>
      <c r="AZ244" s="163">
        <f t="shared" si="2872"/>
        <v>45961</v>
      </c>
      <c r="BA244" s="167">
        <f t="shared" si="2873"/>
        <v>0</v>
      </c>
      <c r="BB244" s="163">
        <f t="shared" si="2874"/>
        <v>45962</v>
      </c>
      <c r="BC244" s="163">
        <f t="shared" si="2875"/>
        <v>45991</v>
      </c>
      <c r="BD244" s="167">
        <f t="shared" si="2876"/>
        <v>0</v>
      </c>
      <c r="BE244" s="163">
        <f t="shared" si="2877"/>
        <v>45992</v>
      </c>
      <c r="BF244" s="163">
        <f t="shared" si="2878"/>
        <v>46022</v>
      </c>
      <c r="BG244" s="167">
        <f t="shared" si="2879"/>
        <v>0</v>
      </c>
      <c r="BH244" s="163">
        <v>46023</v>
      </c>
      <c r="BI244" s="163">
        <f t="shared" si="2880"/>
        <v>46053</v>
      </c>
      <c r="BJ244" s="167">
        <f t="shared" si="2881"/>
        <v>0</v>
      </c>
      <c r="BK244" s="163">
        <f t="shared" si="2882"/>
        <v>46054</v>
      </c>
      <c r="BL244" s="163">
        <f t="shared" si="2883"/>
        <v>46081</v>
      </c>
      <c r="BM244" s="167">
        <f t="shared" si="2884"/>
        <v>0</v>
      </c>
      <c r="BN244" s="163">
        <f t="shared" si="2885"/>
        <v>46082</v>
      </c>
      <c r="BO244" s="163">
        <f t="shared" si="2886"/>
        <v>46112</v>
      </c>
      <c r="BP244" s="167">
        <f t="shared" si="2887"/>
        <v>0</v>
      </c>
      <c r="BQ244" s="163">
        <f t="shared" si="2888"/>
        <v>46113</v>
      </c>
      <c r="BR244" s="163">
        <f t="shared" si="2889"/>
        <v>46142</v>
      </c>
      <c r="BS244" s="167">
        <f t="shared" si="2890"/>
        <v>0</v>
      </c>
      <c r="BT244" s="163">
        <f t="shared" si="2891"/>
        <v>46143</v>
      </c>
      <c r="BU244" s="163">
        <f t="shared" si="2892"/>
        <v>46173</v>
      </c>
      <c r="BV244" s="167">
        <f t="shared" si="2893"/>
        <v>0</v>
      </c>
      <c r="BW244" s="163">
        <f t="shared" si="2894"/>
        <v>46174</v>
      </c>
      <c r="BX244" s="163">
        <f t="shared" si="2895"/>
        <v>46203</v>
      </c>
      <c r="BY244" s="167">
        <f t="shared" si="2896"/>
        <v>0</v>
      </c>
      <c r="BZ244" s="163">
        <f t="shared" si="2897"/>
        <v>46204</v>
      </c>
      <c r="CA244" s="163">
        <f t="shared" si="2898"/>
        <v>46234</v>
      </c>
      <c r="CB244" s="167">
        <f t="shared" si="2899"/>
        <v>0</v>
      </c>
      <c r="CC244" s="163">
        <f t="shared" si="2900"/>
        <v>46235</v>
      </c>
      <c r="CD244" s="163">
        <f t="shared" si="2901"/>
        <v>46265</v>
      </c>
      <c r="CE244" s="167">
        <f t="shared" si="2902"/>
        <v>0</v>
      </c>
      <c r="CF244" s="163">
        <f t="shared" si="2903"/>
        <v>46266</v>
      </c>
      <c r="CG244" s="163">
        <f t="shared" si="2904"/>
        <v>46295</v>
      </c>
      <c r="CH244" s="167">
        <f t="shared" si="2905"/>
        <v>0</v>
      </c>
      <c r="CI244" s="163">
        <f t="shared" si="2906"/>
        <v>46296</v>
      </c>
      <c r="CJ244" s="163">
        <f t="shared" si="2907"/>
        <v>46326</v>
      </c>
      <c r="CK244" s="167">
        <f t="shared" si="2908"/>
        <v>0</v>
      </c>
      <c r="CL244" s="163">
        <f t="shared" si="2909"/>
        <v>46327</v>
      </c>
      <c r="CM244" s="163">
        <f t="shared" si="2910"/>
        <v>46356</v>
      </c>
      <c r="CN244" s="167">
        <f t="shared" si="2911"/>
        <v>0</v>
      </c>
      <c r="CO244" s="163">
        <f t="shared" si="2912"/>
        <v>46357</v>
      </c>
      <c r="CP244" s="163">
        <f t="shared" si="2913"/>
        <v>46387</v>
      </c>
      <c r="CQ244" s="167">
        <f t="shared" si="2914"/>
        <v>0</v>
      </c>
    </row>
    <row r="245" s="89" customFormat="1" ht="24" hidden="1" customHeight="1" outlineLevel="4" spans="1:95">
      <c r="A245" s="132" t="s">
        <v>2813</v>
      </c>
      <c r="B245" s="133"/>
      <c r="C245" s="133"/>
      <c r="D245" s="133"/>
      <c r="E245" s="133"/>
      <c r="F245" s="133"/>
      <c r="G245" s="134"/>
      <c r="H245" s="135"/>
      <c r="I245" s="135"/>
      <c r="J245" s="135"/>
      <c r="K245" s="135"/>
      <c r="L245" s="158"/>
      <c r="M245" s="158"/>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c r="CL245" s="135"/>
      <c r="CM245" s="135"/>
      <c r="CN245" s="135"/>
      <c r="CO245" s="135"/>
      <c r="CP245" s="135"/>
      <c r="CQ245" s="135"/>
    </row>
    <row r="246" ht="24" hidden="1" customHeight="1" outlineLevel="3" collapsed="1" spans="1:95">
      <c r="A246" s="124"/>
      <c r="B246" s="125" t="s">
        <v>792</v>
      </c>
      <c r="C246" s="126" t="s">
        <v>1199</v>
      </c>
      <c r="D246" s="124" t="s">
        <v>1200</v>
      </c>
      <c r="E246" s="125" t="s">
        <v>1201</v>
      </c>
      <c r="F246" s="125"/>
      <c r="G246" s="125" t="s">
        <v>936</v>
      </c>
      <c r="H246" s="127">
        <f>X246+AA246+AD246+AG246+AJ246+AM246+AP246+AS246+AV246+AY246+BB246+BE246</f>
        <v>0</v>
      </c>
      <c r="I246" s="127">
        <f>Y246+AB246+AE246+AH246+AK246+AN246+AQ246+AT246+AW246+AZ246+BC246+BF246</f>
        <v>0</v>
      </c>
      <c r="J246" s="127">
        <f t="shared" si="2339"/>
        <v>0</v>
      </c>
      <c r="K246" s="127"/>
      <c r="L246" s="155"/>
      <c r="M246" s="155"/>
      <c r="N246" s="127"/>
      <c r="O246" s="127"/>
      <c r="P246" s="127"/>
      <c r="Q246" s="127"/>
      <c r="R246" s="127"/>
      <c r="S246" s="127"/>
      <c r="T246" s="127"/>
      <c r="U246" s="127"/>
      <c r="V246" s="127"/>
      <c r="W246" s="127"/>
      <c r="X246" s="127">
        <f>VLOOKUP($C246,'1 预算编制表单'!$C:$BJ,27,FALSE)</f>
        <v>0</v>
      </c>
      <c r="Y246" s="127">
        <f>X246-Z246</f>
        <v>0</v>
      </c>
      <c r="Z246" s="127">
        <f>SUM(Z247:Z251)</f>
        <v>0</v>
      </c>
      <c r="AA246" s="127">
        <f>VLOOKUP($C246,'1 预算编制表单'!$C:$BJ,30,FALSE)</f>
        <v>0</v>
      </c>
      <c r="AB246" s="127">
        <f>AA246-AC246</f>
        <v>0</v>
      </c>
      <c r="AC246" s="127">
        <f>SUM(AC247:AC251)</f>
        <v>0</v>
      </c>
      <c r="AD246" s="127">
        <f>VLOOKUP($C246,'1 预算编制表单'!$C:$BJ,33,FALSE)</f>
        <v>0</v>
      </c>
      <c r="AE246" s="127">
        <f>AD246-AF246</f>
        <v>0</v>
      </c>
      <c r="AF246" s="127">
        <f>SUM(AF247:AF251)</f>
        <v>0</v>
      </c>
      <c r="AG246" s="127">
        <f>VLOOKUP($C246,'1 预算编制表单'!$C:$BJ,36,FALSE)</f>
        <v>0</v>
      </c>
      <c r="AH246" s="127">
        <f>AG246-AI246</f>
        <v>0</v>
      </c>
      <c r="AI246" s="127">
        <f>SUM(AI247:AI251)</f>
        <v>0</v>
      </c>
      <c r="AJ246" s="127">
        <f>VLOOKUP($C246,'1 预算编制表单'!$C:$BJ,39,FALSE)</f>
        <v>0</v>
      </c>
      <c r="AK246" s="127">
        <f>AJ246-AL246</f>
        <v>0</v>
      </c>
      <c r="AL246" s="127">
        <f>SUM(AL247:AL251)</f>
        <v>0</v>
      </c>
      <c r="AM246" s="127">
        <f>VLOOKUP($C246,'1 预算编制表单'!$C:$BJ,42,FALSE)</f>
        <v>0</v>
      </c>
      <c r="AN246" s="127">
        <f>AM246-AO246</f>
        <v>0</v>
      </c>
      <c r="AO246" s="127">
        <f>SUM(AO247:AO251)</f>
        <v>0</v>
      </c>
      <c r="AP246" s="127">
        <f>VLOOKUP($C246,'1 预算编制表单'!$C:$BJ,45,FALSE)</f>
        <v>0</v>
      </c>
      <c r="AQ246" s="127">
        <f>AP246-AR246</f>
        <v>0</v>
      </c>
      <c r="AR246" s="127">
        <f>SUM(AR247:AR251)</f>
        <v>0</v>
      </c>
      <c r="AS246" s="127">
        <f>VLOOKUP($C246,'1 预算编制表单'!$C:$BJ,48,FALSE)</f>
        <v>0</v>
      </c>
      <c r="AT246" s="127">
        <f>AS246-AU246</f>
        <v>0</v>
      </c>
      <c r="AU246" s="127">
        <f>SUM(AU247:AU251)</f>
        <v>0</v>
      </c>
      <c r="AV246" s="127">
        <f>VLOOKUP($C246,'1 预算编制表单'!$C:$BJ,51,FALSE)</f>
        <v>0</v>
      </c>
      <c r="AW246" s="127">
        <f>AV246-AX246</f>
        <v>0</v>
      </c>
      <c r="AX246" s="127">
        <f>SUM(AX247:AX251)</f>
        <v>0</v>
      </c>
      <c r="AY246" s="127">
        <f>VLOOKUP($C246,'1 预算编制表单'!$C:$BJ,54,FALSE)</f>
        <v>0</v>
      </c>
      <c r="AZ246" s="127">
        <f>AY246-BA246</f>
        <v>0</v>
      </c>
      <c r="BA246" s="127">
        <f>SUM(BA247:BA251)</f>
        <v>0</v>
      </c>
      <c r="BB246" s="127">
        <f>VLOOKUP($C246,'1 预算编制表单'!$C:$BJ,57,FALSE)</f>
        <v>0</v>
      </c>
      <c r="BC246" s="127">
        <f>BB246-BD246</f>
        <v>0</v>
      </c>
      <c r="BD246" s="127">
        <f>SUM(BD247:BD251)</f>
        <v>0</v>
      </c>
      <c r="BE246" s="127">
        <f>VLOOKUP($C246,'1 预算编制表单'!$C:$BJ,60,FALSE)</f>
        <v>0</v>
      </c>
      <c r="BF246" s="127">
        <f>BE246-BG246</f>
        <v>0</v>
      </c>
      <c r="BG246" s="127">
        <f>SUM(BG247:BG251)</f>
        <v>0</v>
      </c>
      <c r="BH246" s="127">
        <f>VLOOKUP($C246,'1 预算编制表单'!$C:$BJ,27,FALSE)</f>
        <v>0</v>
      </c>
      <c r="BI246" s="127">
        <f>BH246-BJ246</f>
        <v>0</v>
      </c>
      <c r="BJ246" s="127">
        <f>SUM(BJ247:BJ251)</f>
        <v>0</v>
      </c>
      <c r="BK246" s="127">
        <f>VLOOKUP($C246,'1 预算编制表单'!$C:$BJ,30,FALSE)</f>
        <v>0</v>
      </c>
      <c r="BL246" s="127">
        <f>BK246-BM246</f>
        <v>0</v>
      </c>
      <c r="BM246" s="127">
        <f>SUM(BM247:BM251)</f>
        <v>0</v>
      </c>
      <c r="BN246" s="127">
        <f>VLOOKUP($C246,'1 预算编制表单'!$C:$BJ,33,FALSE)</f>
        <v>0</v>
      </c>
      <c r="BO246" s="127">
        <f>BN246-BP246</f>
        <v>0</v>
      </c>
      <c r="BP246" s="127">
        <f>SUM(BP247:BP251)</f>
        <v>0</v>
      </c>
      <c r="BQ246" s="127">
        <f>VLOOKUP($C246,'1 预算编制表单'!$C:$BJ,36,FALSE)</f>
        <v>0</v>
      </c>
      <c r="BR246" s="127">
        <f>BQ246-BS246</f>
        <v>0</v>
      </c>
      <c r="BS246" s="127">
        <f>SUM(BS247:BS251)</f>
        <v>0</v>
      </c>
      <c r="BT246" s="127">
        <f>VLOOKUP($C246,'1 预算编制表单'!$C:$BJ,39,FALSE)</f>
        <v>0</v>
      </c>
      <c r="BU246" s="127">
        <f>BT246-BV246</f>
        <v>0</v>
      </c>
      <c r="BV246" s="127">
        <f>SUM(BV247:BV251)</f>
        <v>0</v>
      </c>
      <c r="BW246" s="127">
        <f>VLOOKUP($C246,'1 预算编制表单'!$C:$BJ,42,FALSE)</f>
        <v>0</v>
      </c>
      <c r="BX246" s="127">
        <f>BW246-BY246</f>
        <v>0</v>
      </c>
      <c r="BY246" s="127">
        <f>SUM(BY247:BY251)</f>
        <v>0</v>
      </c>
      <c r="BZ246" s="127">
        <f>VLOOKUP($C246,'1 预算编制表单'!$C:$BJ,45,FALSE)</f>
        <v>0</v>
      </c>
      <c r="CA246" s="127">
        <f>BZ246-CB246</f>
        <v>0</v>
      </c>
      <c r="CB246" s="127">
        <f>SUM(CB247:CB251)</f>
        <v>0</v>
      </c>
      <c r="CC246" s="127">
        <f>VLOOKUP($C246,'1 预算编制表单'!$C:$BJ,48,FALSE)</f>
        <v>0</v>
      </c>
      <c r="CD246" s="127">
        <f>CC246-CE246</f>
        <v>0</v>
      </c>
      <c r="CE246" s="127">
        <f>SUM(CE247:CE251)</f>
        <v>0</v>
      </c>
      <c r="CF246" s="127">
        <f>VLOOKUP($C246,'1 预算编制表单'!$C:$BJ,51,FALSE)</f>
        <v>0</v>
      </c>
      <c r="CG246" s="127">
        <f>CF246-CH246</f>
        <v>0</v>
      </c>
      <c r="CH246" s="127">
        <f>SUM(CH247:CH251)</f>
        <v>0</v>
      </c>
      <c r="CI246" s="127">
        <f>VLOOKUP($C246,'1 预算编制表单'!$C:$BJ,54,FALSE)</f>
        <v>0</v>
      </c>
      <c r="CJ246" s="127">
        <f>CI246-CK246</f>
        <v>0</v>
      </c>
      <c r="CK246" s="127">
        <f>SUM(CK247:CK251)</f>
        <v>0</v>
      </c>
      <c r="CL246" s="127">
        <f>VLOOKUP($C246,'1 预算编制表单'!$C:$BJ,57,FALSE)</f>
        <v>0</v>
      </c>
      <c r="CM246" s="127">
        <f>CL246-CN246</f>
        <v>0</v>
      </c>
      <c r="CN246" s="127">
        <f>SUM(CN247:CN251)</f>
        <v>0</v>
      </c>
      <c r="CO246" s="127">
        <f>VLOOKUP($C246,'1 预算编制表单'!$C:$BJ,60,FALSE)</f>
        <v>0</v>
      </c>
      <c r="CP246" s="127">
        <f>CO246-CQ246</f>
        <v>0</v>
      </c>
      <c r="CQ246" s="127">
        <f>SUM(CQ247:CQ251)</f>
        <v>0</v>
      </c>
    </row>
    <row r="247" s="89" customFormat="1" ht="24" hidden="1" customHeight="1" outlineLevel="4" spans="1:95">
      <c r="A247" s="128"/>
      <c r="B247" s="129"/>
      <c r="C247" s="130"/>
      <c r="D247" s="128"/>
      <c r="E247" s="129"/>
      <c r="F247" s="129"/>
      <c r="G247" s="129"/>
      <c r="H247" s="131"/>
      <c r="I247" s="131"/>
      <c r="J247" s="131">
        <f t="shared" si="2339"/>
        <v>0</v>
      </c>
      <c r="K247" s="131">
        <v>1</v>
      </c>
      <c r="L247" s="156"/>
      <c r="M247" s="157">
        <f>IFERROR(VLOOKUP($L247,'2-2 引出数据_合同数据仓库'!$B$5:$BP$200,3,FALSE),0)</f>
        <v>0</v>
      </c>
      <c r="N247" s="131"/>
      <c r="O247" s="157">
        <f>IFERROR(VLOOKUP((LEFT(VLOOKUP($L247,'2-2 引出数据_合同数据仓库'!$B$5:$BP$200,64,FALSE),15)&amp;(RIGHT(VLOOKUP($L247,'2-2 引出数据_合同数据仓库'!$B$5:$BP$200,64,FALSE),4)+1)),'2-2 引出数据_合同数据仓库'!$B$5:$BP$200,3,FALSE),0)</f>
        <v>0</v>
      </c>
      <c r="P247" s="131"/>
      <c r="Q247" s="131">
        <f>IFERROR(VLOOKUP($L247,'2-2 引出数据_合同数据仓库'!$B$5:$BP$200,28,FALSE),0)</f>
        <v>0</v>
      </c>
      <c r="R247" s="131">
        <f>IFERROR(VLOOKUP($L247,'2-2 引出数据_合同数据仓库'!$B$5:$BP$200,29,FALSE),0)</f>
        <v>0</v>
      </c>
      <c r="S247" s="131">
        <f>IFERROR(VLOOKUP($L247,'2-2 引出数据_合同数据仓库'!$B$5:$BP$200,4,FALSE),0)</f>
        <v>0</v>
      </c>
      <c r="T247" s="131"/>
      <c r="U247" s="131">
        <f>IFERROR(VLOOKUP($L247,'2-2 引出数据_合同数据仓库'!$B$5:$BP$200,15,FALSE),0)</f>
        <v>0</v>
      </c>
      <c r="V247" s="131">
        <f t="shared" ref="V247:V250" si="2916">U247/(S247-R247+1)*365</f>
        <v>0</v>
      </c>
      <c r="W247" s="131"/>
      <c r="X247" s="163">
        <v>45658</v>
      </c>
      <c r="Y247" s="163">
        <f t="shared" ref="Y247:Y250" si="2917">X247+30</f>
        <v>45688</v>
      </c>
      <c r="Z247" s="167">
        <f t="shared" ref="Z247:Z250" si="2918">IFERROR(IF(($R247-Y247)&gt;=0,0,IF(($S247-X247)&lt;0,0,IF(AND(($S247-Y247)&gt;0,(X247-$R247)&gt;0),$V247/365*(Y247-X247+1),IF(AND(($S247-Y247)&lt;=0,(X247-$R247)&gt;0),$V247/365*($S247-X247+1),$V247/365*(Y247-$R247+1))))),0)</f>
        <v>0</v>
      </c>
      <c r="AA247" s="163">
        <f t="shared" ref="AA247:AA250" si="2919">Y247+1</f>
        <v>45689</v>
      </c>
      <c r="AB247" s="163">
        <f t="shared" ref="AB247:AB250" si="2920">AA247+27</f>
        <v>45716</v>
      </c>
      <c r="AC247" s="167">
        <f t="shared" ref="AC247:AC250" si="2921">IFERROR(IF(($R247-AB247)&gt;=0,0,IF(($S247-AA247)&lt;0,0,IF(AND(($S247-AB247)&gt;0,(AA247-$R247)&gt;0),$V247/365*(AB247-AA247+1),IF(AND(($S247-AB247)&lt;=0,(AA247-$R247)&gt;0),$V247/365*($S247-AA247+1),$V247/365*(AB247-$R247+1))))),0)</f>
        <v>0</v>
      </c>
      <c r="AD247" s="163">
        <f t="shared" ref="AD247:AD250" si="2922">AB247+1</f>
        <v>45717</v>
      </c>
      <c r="AE247" s="163">
        <f t="shared" ref="AE247:AE250" si="2923">AD247+30</f>
        <v>45747</v>
      </c>
      <c r="AF247" s="167">
        <f t="shared" ref="AF247:AF250" si="2924">IFERROR(IF(($R247-AE247)&gt;=0,0,IF(($S247-AD247)&lt;0,0,IF(AND(($S247-AE247)&gt;0,(AD247-$R247)&gt;0),$V247/365*(AE247-AD247+1),IF(AND(($S247-AE247)&lt;=0,(AD247-$R247)&gt;0),$V247/365*($S247-AD247+1),$V247/365*(AE247-$R247+1))))),0)</f>
        <v>0</v>
      </c>
      <c r="AG247" s="163">
        <f t="shared" ref="AG247:AG250" si="2925">AE247+1</f>
        <v>45748</v>
      </c>
      <c r="AH247" s="163">
        <f t="shared" ref="AH247:AH250" si="2926">AG247+29</f>
        <v>45777</v>
      </c>
      <c r="AI247" s="167">
        <f t="shared" ref="AI247:AI250" si="2927">IFERROR(IF(($R247-AH247)&gt;=0,0,IF(($S247-AG247)&lt;0,0,IF(AND(($S247-AH247)&gt;0,(AG247-$R247)&gt;0),$V247/365*(AH247-AG247+1),IF(AND(($S247-AH247)&lt;=0,(AG247-$R247)&gt;0),$V247/365*($S247-AG247+1),$V247/365*(AH247-$R247+1))))),0)</f>
        <v>0</v>
      </c>
      <c r="AJ247" s="163">
        <f t="shared" ref="AJ247:AJ250" si="2928">AH247+1</f>
        <v>45778</v>
      </c>
      <c r="AK247" s="163">
        <f t="shared" ref="AK247:AK250" si="2929">AJ247+30</f>
        <v>45808</v>
      </c>
      <c r="AL247" s="167">
        <f t="shared" ref="AL247:AL250" si="2930">IFERROR(IF(($R247-AK247)&gt;=0,0,IF(($S247-AJ247)&lt;0,0,IF(AND(($S247-AK247)&gt;0,(AJ247-$R247)&gt;0),$V247/365*(AK247-AJ247+1),IF(AND(($S247-AK247)&lt;=0,(AJ247-$R247)&gt;0),$V247/365*($S247-AJ247+1),$V247/365*(AK247-$R247+1))))),0)</f>
        <v>0</v>
      </c>
      <c r="AM247" s="163">
        <f t="shared" ref="AM247:AM250" si="2931">AK247+1</f>
        <v>45809</v>
      </c>
      <c r="AN247" s="163">
        <f t="shared" ref="AN247:AN250" si="2932">AM247+29</f>
        <v>45838</v>
      </c>
      <c r="AO247" s="167">
        <f t="shared" ref="AO247:AO250" si="2933">IFERROR(IF(($R247-AN247)&gt;=0,0,IF(($S247-AM247)&lt;0,0,IF(AND(($S247-AN247)&gt;0,(AM247-$R247)&gt;0),$V247/365*(AN247-AM247+1),IF(AND(($S247-AN247)&lt;=0,(AM247-$R247)&gt;0),$V247/365*($S247-AM247+1),$V247/365*(AN247-$R247+1))))),0)</f>
        <v>0</v>
      </c>
      <c r="AP247" s="163">
        <f t="shared" ref="AP247:AP250" si="2934">AN247+1</f>
        <v>45839</v>
      </c>
      <c r="AQ247" s="163">
        <f t="shared" ref="AQ247:AQ250" si="2935">AP247+30</f>
        <v>45869</v>
      </c>
      <c r="AR247" s="167">
        <f t="shared" ref="AR247:AR250" si="2936">IFERROR(IF(($R247-AQ247)&gt;=0,0,IF(($S247-AP247)&lt;0,0,IF(AND(($S247-AQ247)&gt;0,(AP247-$R247)&gt;0),$V247/365*(AQ247-AP247+1),IF(AND(($S247-AQ247)&lt;=0,(AP247-$R247)&gt;0),$V247/365*($S247-AP247+1),$V247/365*(AQ247-$R247+1))))),0)</f>
        <v>0</v>
      </c>
      <c r="AS247" s="163">
        <f t="shared" ref="AS247:AS250" si="2937">AQ247+1</f>
        <v>45870</v>
      </c>
      <c r="AT247" s="163">
        <f t="shared" ref="AT247:AT250" si="2938">AS247+30</f>
        <v>45900</v>
      </c>
      <c r="AU247" s="167">
        <f t="shared" ref="AU247:AU250" si="2939">IFERROR(IF(($R247-AT247)&gt;=0,0,IF(($S247-AS247)&lt;0,0,IF(AND(($S247-AT247)&gt;0,(AS247-$R247)&gt;0),$V247/365*(AT247-AS247+1),IF(AND(($S247-AT247)&lt;=0,(AS247-$R247)&gt;0),$V247/365*($S247-AS247+1),$V247/365*(AT247-$R247+1))))),0)</f>
        <v>0</v>
      </c>
      <c r="AV247" s="163">
        <f t="shared" ref="AV247:AV250" si="2940">AT247+1</f>
        <v>45901</v>
      </c>
      <c r="AW247" s="163">
        <f t="shared" ref="AW247:AW250" si="2941">AV247+29</f>
        <v>45930</v>
      </c>
      <c r="AX247" s="167">
        <f t="shared" ref="AX247:AX250" si="2942">IFERROR(IF(($R247-AW247)&gt;=0,0,IF(($S247-AV247)&lt;0,0,IF(AND(($S247-AW247)&gt;0,(AV247-$R247)&gt;0),$V247/365*(AW247-AV247+1),IF(AND(($S247-AW247)&lt;=0,(AV247-$R247)&gt;0),$V247/365*($S247-AV247+1),$V247/365*(AW247-$R247+1))))),0)</f>
        <v>0</v>
      </c>
      <c r="AY247" s="163">
        <f t="shared" ref="AY247:AY250" si="2943">AW247+1</f>
        <v>45931</v>
      </c>
      <c r="AZ247" s="163">
        <f t="shared" ref="AZ247:AZ250" si="2944">AY247+30</f>
        <v>45961</v>
      </c>
      <c r="BA247" s="167">
        <f t="shared" ref="BA247:BA250" si="2945">IFERROR(IF(($R247-AZ247)&gt;=0,0,IF(($S247-AY247)&lt;0,0,IF(AND(($S247-AZ247)&gt;0,(AY247-$R247)&gt;0),$V247/365*(AZ247-AY247+1),IF(AND(($S247-AZ247)&lt;=0,(AY247-$R247)&gt;0),$V247/365*($S247-AY247+1),$V247/365*(AZ247-$R247+1))))),0)</f>
        <v>0</v>
      </c>
      <c r="BB247" s="163">
        <f t="shared" ref="BB247:BB250" si="2946">AZ247+1</f>
        <v>45962</v>
      </c>
      <c r="BC247" s="163">
        <f t="shared" ref="BC247:BC250" si="2947">BB247+29</f>
        <v>45991</v>
      </c>
      <c r="BD247" s="167">
        <f t="shared" ref="BD247:BD250" si="2948">IFERROR(IF(($R247-BC247)&gt;=0,0,IF(($S247-BB247)&lt;0,0,IF(AND(($S247-BC247)&gt;0,(BB247-$R247)&gt;0),$V247/365*(BC247-BB247+1),IF(AND(($S247-BC247)&lt;=0,(BB247-$R247)&gt;0),$V247/365*($S247-BB247+1),$V247/365*(BC247-$R247+1))))),0)</f>
        <v>0</v>
      </c>
      <c r="BE247" s="163">
        <f t="shared" ref="BE247:BE250" si="2949">BC247+1</f>
        <v>45992</v>
      </c>
      <c r="BF247" s="163">
        <f t="shared" ref="BF247:BF250" si="2950">BE247+30</f>
        <v>46022</v>
      </c>
      <c r="BG247" s="167">
        <f t="shared" ref="BG247:BG250" si="2951">IFERROR(IF(($R247-BF247)&gt;=0,0,IF(($S247-BE247)&lt;0,0,IF(AND(($S247-BF247)&gt;0,(BE247-$R247)&gt;0),$V247/365*(BF247-BE247+1),IF(AND(($S247-BF247)&lt;=0,(BE247-$R247)&gt;0),$V247/365*($S247-BE247+1),$V247/365*(BF247-$R247+1))))),0)</f>
        <v>0</v>
      </c>
      <c r="BH247" s="163">
        <v>46023</v>
      </c>
      <c r="BI247" s="163">
        <f t="shared" ref="BI247:BI250" si="2952">BH247+30</f>
        <v>46053</v>
      </c>
      <c r="BJ247" s="167">
        <f t="shared" ref="BJ247:BJ250" si="2953">IFERROR(IF(($R247-BI247)&gt;=0,0,IF(($S247-BH247)&lt;0,0,IF(AND(($S247-BI247)&gt;0,(BH247-$R247)&gt;0),$V247/365*(BI247-BH247+1),IF(AND(($S247-BI247)&lt;=0,(BH247-$R247)&gt;0),$V247/365*($S247-BH247+1),$V247/365*(BI247-$R247+1))))),0)</f>
        <v>0</v>
      </c>
      <c r="BK247" s="163">
        <f t="shared" ref="BK247:BK250" si="2954">BI247+1</f>
        <v>46054</v>
      </c>
      <c r="BL247" s="163">
        <f t="shared" ref="BL247:BL250" si="2955">BK247+27</f>
        <v>46081</v>
      </c>
      <c r="BM247" s="167">
        <f t="shared" ref="BM247:BM250" si="2956">IFERROR(IF(($R247-BL247)&gt;=0,0,IF(($S247-BK247)&lt;0,0,IF(AND(($S247-BL247)&gt;0,(BK247-$R247)&gt;0),$V247/365*(BL247-BK247+1),IF(AND(($S247-BL247)&lt;=0,(BK247-$R247)&gt;0),$V247/365*($S247-BK247+1),$V247/365*(BL247-$R247+1))))),0)</f>
        <v>0</v>
      </c>
      <c r="BN247" s="163">
        <f t="shared" ref="BN247:BN250" si="2957">BL247+1</f>
        <v>46082</v>
      </c>
      <c r="BO247" s="163">
        <f t="shared" ref="BO247:BO250" si="2958">BN247+30</f>
        <v>46112</v>
      </c>
      <c r="BP247" s="167">
        <f t="shared" ref="BP247:BP250" si="2959">IFERROR(IF(($R247-BO247)&gt;=0,0,IF(($S247-BN247)&lt;0,0,IF(AND(($S247-BO247)&gt;0,(BN247-$R247)&gt;0),$V247/365*(BO247-BN247+1),IF(AND(($S247-BO247)&lt;=0,(BN247-$R247)&gt;0),$V247/365*($S247-BN247+1),$V247/365*(BO247-$R247+1))))),0)</f>
        <v>0</v>
      </c>
      <c r="BQ247" s="163">
        <f t="shared" ref="BQ247:BQ250" si="2960">BO247+1</f>
        <v>46113</v>
      </c>
      <c r="BR247" s="163">
        <f t="shared" ref="BR247:BR250" si="2961">BQ247+29</f>
        <v>46142</v>
      </c>
      <c r="BS247" s="167">
        <f t="shared" ref="BS247:BS250" si="2962">IFERROR(IF(($R247-BR247)&gt;=0,0,IF(($S247-BQ247)&lt;0,0,IF(AND(($S247-BR247)&gt;0,(BQ247-$R247)&gt;0),$V247/365*(BR247-BQ247+1),IF(AND(($S247-BR247)&lt;=0,(BQ247-$R247)&gt;0),$V247/365*($S247-BQ247+1),$V247/365*(BR247-$R247+1))))),0)</f>
        <v>0</v>
      </c>
      <c r="BT247" s="163">
        <f t="shared" ref="BT247:BT250" si="2963">BR247+1</f>
        <v>46143</v>
      </c>
      <c r="BU247" s="163">
        <f t="shared" ref="BU247:BU250" si="2964">BT247+30</f>
        <v>46173</v>
      </c>
      <c r="BV247" s="167">
        <f t="shared" ref="BV247:BV250" si="2965">IFERROR(IF(($R247-BU247)&gt;=0,0,IF(($S247-BT247)&lt;0,0,IF(AND(($S247-BU247)&gt;0,(BT247-$R247)&gt;0),$V247/365*(BU247-BT247+1),IF(AND(($S247-BU247)&lt;=0,(BT247-$R247)&gt;0),$V247/365*($S247-BT247+1),$V247/365*(BU247-$R247+1))))),0)</f>
        <v>0</v>
      </c>
      <c r="BW247" s="163">
        <f t="shared" ref="BW247:BW250" si="2966">BU247+1</f>
        <v>46174</v>
      </c>
      <c r="BX247" s="163">
        <f t="shared" ref="BX247:BX250" si="2967">BW247+29</f>
        <v>46203</v>
      </c>
      <c r="BY247" s="167">
        <f t="shared" ref="BY247:BY250" si="2968">IFERROR(IF(($R247-BX247)&gt;=0,0,IF(($S247-BW247)&lt;0,0,IF(AND(($S247-BX247)&gt;0,(BW247-$R247)&gt;0),$V247/365*(BX247-BW247+1),IF(AND(($S247-BX247)&lt;=0,(BW247-$R247)&gt;0),$V247/365*($S247-BW247+1),$V247/365*(BX247-$R247+1))))),0)</f>
        <v>0</v>
      </c>
      <c r="BZ247" s="163">
        <f t="shared" ref="BZ247:BZ250" si="2969">BX247+1</f>
        <v>46204</v>
      </c>
      <c r="CA247" s="163">
        <f t="shared" ref="CA247:CA250" si="2970">BZ247+30</f>
        <v>46234</v>
      </c>
      <c r="CB247" s="167">
        <f t="shared" ref="CB247:CB250" si="2971">IFERROR(IF(($R247-CA247)&gt;=0,0,IF(($S247-BZ247)&lt;0,0,IF(AND(($S247-CA247)&gt;0,(BZ247-$R247)&gt;0),$V247/365*(CA247-BZ247+1),IF(AND(($S247-CA247)&lt;=0,(BZ247-$R247)&gt;0),$V247/365*($S247-BZ247+1),$V247/365*(CA247-$R247+1))))),0)</f>
        <v>0</v>
      </c>
      <c r="CC247" s="163">
        <f t="shared" ref="CC247:CC250" si="2972">CA247+1</f>
        <v>46235</v>
      </c>
      <c r="CD247" s="163">
        <f t="shared" ref="CD247:CD250" si="2973">CC247+30</f>
        <v>46265</v>
      </c>
      <c r="CE247" s="167">
        <f t="shared" ref="CE247:CE250" si="2974">IFERROR(IF(($R247-CD247)&gt;=0,0,IF(($S247-CC247)&lt;0,0,IF(AND(($S247-CD247)&gt;0,(CC247-$R247)&gt;0),$V247/365*(CD247-CC247+1),IF(AND(($S247-CD247)&lt;=0,(CC247-$R247)&gt;0),$V247/365*($S247-CC247+1),$V247/365*(CD247-$R247+1))))),0)</f>
        <v>0</v>
      </c>
      <c r="CF247" s="163">
        <f t="shared" ref="CF247:CF250" si="2975">CD247+1</f>
        <v>46266</v>
      </c>
      <c r="CG247" s="163">
        <f t="shared" ref="CG247:CG250" si="2976">CF247+29</f>
        <v>46295</v>
      </c>
      <c r="CH247" s="167">
        <f t="shared" ref="CH247:CH250" si="2977">IFERROR(IF(($R247-CG247)&gt;=0,0,IF(($S247-CF247)&lt;0,0,IF(AND(($S247-CG247)&gt;0,(CF247-$R247)&gt;0),$V247/365*(CG247-CF247+1),IF(AND(($S247-CG247)&lt;=0,(CF247-$R247)&gt;0),$V247/365*($S247-CF247+1),$V247/365*(CG247-$R247+1))))),0)</f>
        <v>0</v>
      </c>
      <c r="CI247" s="163">
        <f t="shared" ref="CI247:CI250" si="2978">CG247+1</f>
        <v>46296</v>
      </c>
      <c r="CJ247" s="163">
        <f t="shared" ref="CJ247:CJ250" si="2979">CI247+30</f>
        <v>46326</v>
      </c>
      <c r="CK247" s="167">
        <f t="shared" ref="CK247:CK250" si="2980">IFERROR(IF(($R247-CJ247)&gt;=0,0,IF(($S247-CI247)&lt;0,0,IF(AND(($S247-CJ247)&gt;0,(CI247-$R247)&gt;0),$V247/365*(CJ247-CI247+1),IF(AND(($S247-CJ247)&lt;=0,(CI247-$R247)&gt;0),$V247/365*($S247-CI247+1),$V247/365*(CJ247-$R247+1))))),0)</f>
        <v>0</v>
      </c>
      <c r="CL247" s="163">
        <f t="shared" ref="CL247:CL250" si="2981">CJ247+1</f>
        <v>46327</v>
      </c>
      <c r="CM247" s="163">
        <f t="shared" ref="CM247:CM250" si="2982">CL247+29</f>
        <v>46356</v>
      </c>
      <c r="CN247" s="167">
        <f t="shared" ref="CN247:CN250" si="2983">IFERROR(IF(($R247-CM247)&gt;=0,0,IF(($S247-CL247)&lt;0,0,IF(AND(($S247-CM247)&gt;0,(CL247-$R247)&gt;0),$V247/365*(CM247-CL247+1),IF(AND(($S247-CM247)&lt;=0,(CL247-$R247)&gt;0),$V247/365*($S247-CL247+1),$V247/365*(CM247-$R247+1))))),0)</f>
        <v>0</v>
      </c>
      <c r="CO247" s="163">
        <f t="shared" ref="CO247:CO250" si="2984">CM247+1</f>
        <v>46357</v>
      </c>
      <c r="CP247" s="163">
        <f t="shared" ref="CP247:CP250" si="2985">CO247+30</f>
        <v>46387</v>
      </c>
      <c r="CQ247" s="167">
        <f t="shared" ref="CQ247:CQ250" si="2986">IFERROR(IF(($R247-CP247)&gt;=0,0,IF(($S247-CO247)&lt;0,0,IF(AND(($S247-CP247)&gt;0,(CO247-$R247)&gt;0),$V247/365*(CP247-CO247+1),IF(AND(($S247-CP247)&lt;=0,(CO247-$R247)&gt;0),$V247/365*($S247-CO247+1),$V247/365*(CP247-$R247+1))))),0)</f>
        <v>0</v>
      </c>
    </row>
    <row r="248" s="89" customFormat="1" ht="24" hidden="1" customHeight="1" outlineLevel="4" spans="1:95">
      <c r="A248" s="128"/>
      <c r="B248" s="129"/>
      <c r="C248" s="130"/>
      <c r="D248" s="128"/>
      <c r="E248" s="129"/>
      <c r="F248" s="129"/>
      <c r="G248" s="129"/>
      <c r="H248" s="131"/>
      <c r="I248" s="131"/>
      <c r="J248" s="131">
        <f t="shared" si="2339"/>
        <v>0</v>
      </c>
      <c r="K248" s="131">
        <f t="shared" ref="K248:K250" si="2987">K247+1</f>
        <v>2</v>
      </c>
      <c r="L248" s="156"/>
      <c r="M248" s="157">
        <f>IFERROR(VLOOKUP($L248,'2-2 引出数据_合同数据仓库'!$B$5:$BP$200,3,FALSE),0)</f>
        <v>0</v>
      </c>
      <c r="N248" s="131"/>
      <c r="O248" s="157">
        <f>IFERROR(VLOOKUP((LEFT(VLOOKUP($L248,'2-2 引出数据_合同数据仓库'!$B$5:$BP$200,64,FALSE),15)&amp;(RIGHT(VLOOKUP($L248,'2-2 引出数据_合同数据仓库'!$B$5:$BP$200,64,FALSE),4)+1)),'2-2 引出数据_合同数据仓库'!$B$5:$BP$200,3,FALSE),0)</f>
        <v>0</v>
      </c>
      <c r="P248" s="131"/>
      <c r="Q248" s="131">
        <f>IFERROR(VLOOKUP($L248,'2-2 引出数据_合同数据仓库'!$B$5:$BP$200,28,FALSE),0)</f>
        <v>0</v>
      </c>
      <c r="R248" s="131">
        <f>IFERROR(VLOOKUP($L248,'2-2 引出数据_合同数据仓库'!$B$5:$BP$200,29,FALSE),0)</f>
        <v>0</v>
      </c>
      <c r="S248" s="131">
        <f>IFERROR(VLOOKUP($L248,'2-2 引出数据_合同数据仓库'!$B$5:$BP$200,4,FALSE),0)</f>
        <v>0</v>
      </c>
      <c r="T248" s="131"/>
      <c r="U248" s="131">
        <f>IFERROR(VLOOKUP($L248,'2-2 引出数据_合同数据仓库'!$B$5:$BP$200,15,FALSE),0)</f>
        <v>0</v>
      </c>
      <c r="V248" s="131">
        <f t="shared" si="2916"/>
        <v>0</v>
      </c>
      <c r="W248" s="131"/>
      <c r="X248" s="163">
        <v>45658</v>
      </c>
      <c r="Y248" s="163">
        <f t="shared" si="2917"/>
        <v>45688</v>
      </c>
      <c r="Z248" s="167">
        <f t="shared" si="2918"/>
        <v>0</v>
      </c>
      <c r="AA248" s="163">
        <f t="shared" si="2919"/>
        <v>45689</v>
      </c>
      <c r="AB248" s="163">
        <f t="shared" si="2920"/>
        <v>45716</v>
      </c>
      <c r="AC248" s="167">
        <f t="shared" si="2921"/>
        <v>0</v>
      </c>
      <c r="AD248" s="163">
        <f t="shared" si="2922"/>
        <v>45717</v>
      </c>
      <c r="AE248" s="163">
        <f t="shared" si="2923"/>
        <v>45747</v>
      </c>
      <c r="AF248" s="167">
        <f t="shared" si="2924"/>
        <v>0</v>
      </c>
      <c r="AG248" s="163">
        <f t="shared" si="2925"/>
        <v>45748</v>
      </c>
      <c r="AH248" s="163">
        <f t="shared" si="2926"/>
        <v>45777</v>
      </c>
      <c r="AI248" s="167">
        <f t="shared" si="2927"/>
        <v>0</v>
      </c>
      <c r="AJ248" s="163">
        <f t="shared" si="2928"/>
        <v>45778</v>
      </c>
      <c r="AK248" s="163">
        <f t="shared" si="2929"/>
        <v>45808</v>
      </c>
      <c r="AL248" s="167">
        <f t="shared" si="2930"/>
        <v>0</v>
      </c>
      <c r="AM248" s="163">
        <f t="shared" si="2931"/>
        <v>45809</v>
      </c>
      <c r="AN248" s="163">
        <f t="shared" si="2932"/>
        <v>45838</v>
      </c>
      <c r="AO248" s="167">
        <f t="shared" si="2933"/>
        <v>0</v>
      </c>
      <c r="AP248" s="163">
        <f t="shared" si="2934"/>
        <v>45839</v>
      </c>
      <c r="AQ248" s="163">
        <f t="shared" si="2935"/>
        <v>45869</v>
      </c>
      <c r="AR248" s="167">
        <f t="shared" si="2936"/>
        <v>0</v>
      </c>
      <c r="AS248" s="163">
        <f t="shared" si="2937"/>
        <v>45870</v>
      </c>
      <c r="AT248" s="163">
        <f t="shared" si="2938"/>
        <v>45900</v>
      </c>
      <c r="AU248" s="167">
        <f t="shared" si="2939"/>
        <v>0</v>
      </c>
      <c r="AV248" s="163">
        <f t="shared" si="2940"/>
        <v>45901</v>
      </c>
      <c r="AW248" s="163">
        <f t="shared" si="2941"/>
        <v>45930</v>
      </c>
      <c r="AX248" s="167">
        <f t="shared" si="2942"/>
        <v>0</v>
      </c>
      <c r="AY248" s="163">
        <f t="shared" si="2943"/>
        <v>45931</v>
      </c>
      <c r="AZ248" s="163">
        <f t="shared" si="2944"/>
        <v>45961</v>
      </c>
      <c r="BA248" s="167">
        <f t="shared" si="2945"/>
        <v>0</v>
      </c>
      <c r="BB248" s="163">
        <f t="shared" si="2946"/>
        <v>45962</v>
      </c>
      <c r="BC248" s="163">
        <f t="shared" si="2947"/>
        <v>45991</v>
      </c>
      <c r="BD248" s="167">
        <f t="shared" si="2948"/>
        <v>0</v>
      </c>
      <c r="BE248" s="163">
        <f t="shared" si="2949"/>
        <v>45992</v>
      </c>
      <c r="BF248" s="163">
        <f t="shared" si="2950"/>
        <v>46022</v>
      </c>
      <c r="BG248" s="167">
        <f t="shared" si="2951"/>
        <v>0</v>
      </c>
      <c r="BH248" s="163">
        <v>46023</v>
      </c>
      <c r="BI248" s="163">
        <f t="shared" si="2952"/>
        <v>46053</v>
      </c>
      <c r="BJ248" s="167">
        <f t="shared" si="2953"/>
        <v>0</v>
      </c>
      <c r="BK248" s="163">
        <f t="shared" si="2954"/>
        <v>46054</v>
      </c>
      <c r="BL248" s="163">
        <f t="shared" si="2955"/>
        <v>46081</v>
      </c>
      <c r="BM248" s="167">
        <f t="shared" si="2956"/>
        <v>0</v>
      </c>
      <c r="BN248" s="163">
        <f t="shared" si="2957"/>
        <v>46082</v>
      </c>
      <c r="BO248" s="163">
        <f t="shared" si="2958"/>
        <v>46112</v>
      </c>
      <c r="BP248" s="167">
        <f t="shared" si="2959"/>
        <v>0</v>
      </c>
      <c r="BQ248" s="163">
        <f t="shared" si="2960"/>
        <v>46113</v>
      </c>
      <c r="BR248" s="163">
        <f t="shared" si="2961"/>
        <v>46142</v>
      </c>
      <c r="BS248" s="167">
        <f t="shared" si="2962"/>
        <v>0</v>
      </c>
      <c r="BT248" s="163">
        <f t="shared" si="2963"/>
        <v>46143</v>
      </c>
      <c r="BU248" s="163">
        <f t="shared" si="2964"/>
        <v>46173</v>
      </c>
      <c r="BV248" s="167">
        <f t="shared" si="2965"/>
        <v>0</v>
      </c>
      <c r="BW248" s="163">
        <f t="shared" si="2966"/>
        <v>46174</v>
      </c>
      <c r="BX248" s="163">
        <f t="shared" si="2967"/>
        <v>46203</v>
      </c>
      <c r="BY248" s="167">
        <f t="shared" si="2968"/>
        <v>0</v>
      </c>
      <c r="BZ248" s="163">
        <f t="shared" si="2969"/>
        <v>46204</v>
      </c>
      <c r="CA248" s="163">
        <f t="shared" si="2970"/>
        <v>46234</v>
      </c>
      <c r="CB248" s="167">
        <f t="shared" si="2971"/>
        <v>0</v>
      </c>
      <c r="CC248" s="163">
        <f t="shared" si="2972"/>
        <v>46235</v>
      </c>
      <c r="CD248" s="163">
        <f t="shared" si="2973"/>
        <v>46265</v>
      </c>
      <c r="CE248" s="167">
        <f t="shared" si="2974"/>
        <v>0</v>
      </c>
      <c r="CF248" s="163">
        <f t="shared" si="2975"/>
        <v>46266</v>
      </c>
      <c r="CG248" s="163">
        <f t="shared" si="2976"/>
        <v>46295</v>
      </c>
      <c r="CH248" s="167">
        <f t="shared" si="2977"/>
        <v>0</v>
      </c>
      <c r="CI248" s="163">
        <f t="shared" si="2978"/>
        <v>46296</v>
      </c>
      <c r="CJ248" s="163">
        <f t="shared" si="2979"/>
        <v>46326</v>
      </c>
      <c r="CK248" s="167">
        <f t="shared" si="2980"/>
        <v>0</v>
      </c>
      <c r="CL248" s="163">
        <f t="shared" si="2981"/>
        <v>46327</v>
      </c>
      <c r="CM248" s="163">
        <f t="shared" si="2982"/>
        <v>46356</v>
      </c>
      <c r="CN248" s="167">
        <f t="shared" si="2983"/>
        <v>0</v>
      </c>
      <c r="CO248" s="163">
        <f t="shared" si="2984"/>
        <v>46357</v>
      </c>
      <c r="CP248" s="163">
        <f t="shared" si="2985"/>
        <v>46387</v>
      </c>
      <c r="CQ248" s="167">
        <f t="shared" si="2986"/>
        <v>0</v>
      </c>
    </row>
    <row r="249" s="89" customFormat="1" ht="24" hidden="1" customHeight="1" outlineLevel="4" spans="1:95">
      <c r="A249" s="128"/>
      <c r="B249" s="129"/>
      <c r="C249" s="130"/>
      <c r="D249" s="128"/>
      <c r="E249" s="129"/>
      <c r="F249" s="129"/>
      <c r="G249" s="129"/>
      <c r="H249" s="131"/>
      <c r="I249" s="131"/>
      <c r="J249" s="131">
        <f t="shared" si="2339"/>
        <v>0</v>
      </c>
      <c r="K249" s="131">
        <f t="shared" si="2987"/>
        <v>3</v>
      </c>
      <c r="L249" s="156"/>
      <c r="M249" s="157">
        <f>IFERROR(VLOOKUP($L249,'2-2 引出数据_合同数据仓库'!$B$5:$BP$200,3,FALSE),0)</f>
        <v>0</v>
      </c>
      <c r="N249" s="131"/>
      <c r="O249" s="157">
        <f>IFERROR(VLOOKUP((LEFT(VLOOKUP($L249,'2-2 引出数据_合同数据仓库'!$B$5:$BP$200,64,FALSE),15)&amp;(RIGHT(VLOOKUP($L249,'2-2 引出数据_合同数据仓库'!$B$5:$BP$200,64,FALSE),4)+1)),'2-2 引出数据_合同数据仓库'!$B$5:$BP$200,3,FALSE),0)</f>
        <v>0</v>
      </c>
      <c r="P249" s="131"/>
      <c r="Q249" s="131">
        <f>IFERROR(VLOOKUP($L249,'2-2 引出数据_合同数据仓库'!$B$5:$BP$200,28,FALSE),0)</f>
        <v>0</v>
      </c>
      <c r="R249" s="131">
        <f>IFERROR(VLOOKUP($L249,'2-2 引出数据_合同数据仓库'!$B$5:$BP$200,29,FALSE),0)</f>
        <v>0</v>
      </c>
      <c r="S249" s="131">
        <f>IFERROR(VLOOKUP($L249,'2-2 引出数据_合同数据仓库'!$B$5:$BP$200,4,FALSE),0)</f>
        <v>0</v>
      </c>
      <c r="T249" s="131"/>
      <c r="U249" s="131">
        <f>IFERROR(VLOOKUP($L249,'2-2 引出数据_合同数据仓库'!$B$5:$BP$200,15,FALSE),0)</f>
        <v>0</v>
      </c>
      <c r="V249" s="131">
        <f t="shared" si="2916"/>
        <v>0</v>
      </c>
      <c r="W249" s="131"/>
      <c r="X249" s="163">
        <v>45658</v>
      </c>
      <c r="Y249" s="163">
        <f t="shared" si="2917"/>
        <v>45688</v>
      </c>
      <c r="Z249" s="167">
        <f t="shared" si="2918"/>
        <v>0</v>
      </c>
      <c r="AA249" s="163">
        <f t="shared" si="2919"/>
        <v>45689</v>
      </c>
      <c r="AB249" s="163">
        <f t="shared" si="2920"/>
        <v>45716</v>
      </c>
      <c r="AC249" s="167">
        <f t="shared" si="2921"/>
        <v>0</v>
      </c>
      <c r="AD249" s="163">
        <f t="shared" si="2922"/>
        <v>45717</v>
      </c>
      <c r="AE249" s="163">
        <f t="shared" si="2923"/>
        <v>45747</v>
      </c>
      <c r="AF249" s="167">
        <f t="shared" si="2924"/>
        <v>0</v>
      </c>
      <c r="AG249" s="163">
        <f t="shared" si="2925"/>
        <v>45748</v>
      </c>
      <c r="AH249" s="163">
        <f t="shared" si="2926"/>
        <v>45777</v>
      </c>
      <c r="AI249" s="167">
        <f t="shared" si="2927"/>
        <v>0</v>
      </c>
      <c r="AJ249" s="163">
        <f t="shared" si="2928"/>
        <v>45778</v>
      </c>
      <c r="AK249" s="163">
        <f t="shared" si="2929"/>
        <v>45808</v>
      </c>
      <c r="AL249" s="167">
        <f t="shared" si="2930"/>
        <v>0</v>
      </c>
      <c r="AM249" s="163">
        <f t="shared" si="2931"/>
        <v>45809</v>
      </c>
      <c r="AN249" s="163">
        <f t="shared" si="2932"/>
        <v>45838</v>
      </c>
      <c r="AO249" s="167">
        <f t="shared" si="2933"/>
        <v>0</v>
      </c>
      <c r="AP249" s="163">
        <f t="shared" si="2934"/>
        <v>45839</v>
      </c>
      <c r="AQ249" s="163">
        <f t="shared" si="2935"/>
        <v>45869</v>
      </c>
      <c r="AR249" s="167">
        <f t="shared" si="2936"/>
        <v>0</v>
      </c>
      <c r="AS249" s="163">
        <f t="shared" si="2937"/>
        <v>45870</v>
      </c>
      <c r="AT249" s="163">
        <f t="shared" si="2938"/>
        <v>45900</v>
      </c>
      <c r="AU249" s="167">
        <f t="shared" si="2939"/>
        <v>0</v>
      </c>
      <c r="AV249" s="163">
        <f t="shared" si="2940"/>
        <v>45901</v>
      </c>
      <c r="AW249" s="163">
        <f t="shared" si="2941"/>
        <v>45930</v>
      </c>
      <c r="AX249" s="167">
        <f t="shared" si="2942"/>
        <v>0</v>
      </c>
      <c r="AY249" s="163">
        <f t="shared" si="2943"/>
        <v>45931</v>
      </c>
      <c r="AZ249" s="163">
        <f t="shared" si="2944"/>
        <v>45961</v>
      </c>
      <c r="BA249" s="167">
        <f t="shared" si="2945"/>
        <v>0</v>
      </c>
      <c r="BB249" s="163">
        <f t="shared" si="2946"/>
        <v>45962</v>
      </c>
      <c r="BC249" s="163">
        <f t="shared" si="2947"/>
        <v>45991</v>
      </c>
      <c r="BD249" s="167">
        <f t="shared" si="2948"/>
        <v>0</v>
      </c>
      <c r="BE249" s="163">
        <f t="shared" si="2949"/>
        <v>45992</v>
      </c>
      <c r="BF249" s="163">
        <f t="shared" si="2950"/>
        <v>46022</v>
      </c>
      <c r="BG249" s="167">
        <f t="shared" si="2951"/>
        <v>0</v>
      </c>
      <c r="BH249" s="163">
        <v>46023</v>
      </c>
      <c r="BI249" s="163">
        <f t="shared" si="2952"/>
        <v>46053</v>
      </c>
      <c r="BJ249" s="167">
        <f t="shared" si="2953"/>
        <v>0</v>
      </c>
      <c r="BK249" s="163">
        <f t="shared" si="2954"/>
        <v>46054</v>
      </c>
      <c r="BL249" s="163">
        <f t="shared" si="2955"/>
        <v>46081</v>
      </c>
      <c r="BM249" s="167">
        <f t="shared" si="2956"/>
        <v>0</v>
      </c>
      <c r="BN249" s="163">
        <f t="shared" si="2957"/>
        <v>46082</v>
      </c>
      <c r="BO249" s="163">
        <f t="shared" si="2958"/>
        <v>46112</v>
      </c>
      <c r="BP249" s="167">
        <f t="shared" si="2959"/>
        <v>0</v>
      </c>
      <c r="BQ249" s="163">
        <f t="shared" si="2960"/>
        <v>46113</v>
      </c>
      <c r="BR249" s="163">
        <f t="shared" si="2961"/>
        <v>46142</v>
      </c>
      <c r="BS249" s="167">
        <f t="shared" si="2962"/>
        <v>0</v>
      </c>
      <c r="BT249" s="163">
        <f t="shared" si="2963"/>
        <v>46143</v>
      </c>
      <c r="BU249" s="163">
        <f t="shared" si="2964"/>
        <v>46173</v>
      </c>
      <c r="BV249" s="167">
        <f t="shared" si="2965"/>
        <v>0</v>
      </c>
      <c r="BW249" s="163">
        <f t="shared" si="2966"/>
        <v>46174</v>
      </c>
      <c r="BX249" s="163">
        <f t="shared" si="2967"/>
        <v>46203</v>
      </c>
      <c r="BY249" s="167">
        <f t="shared" si="2968"/>
        <v>0</v>
      </c>
      <c r="BZ249" s="163">
        <f t="shared" si="2969"/>
        <v>46204</v>
      </c>
      <c r="CA249" s="163">
        <f t="shared" si="2970"/>
        <v>46234</v>
      </c>
      <c r="CB249" s="167">
        <f t="shared" si="2971"/>
        <v>0</v>
      </c>
      <c r="CC249" s="163">
        <f t="shared" si="2972"/>
        <v>46235</v>
      </c>
      <c r="CD249" s="163">
        <f t="shared" si="2973"/>
        <v>46265</v>
      </c>
      <c r="CE249" s="167">
        <f t="shared" si="2974"/>
        <v>0</v>
      </c>
      <c r="CF249" s="163">
        <f t="shared" si="2975"/>
        <v>46266</v>
      </c>
      <c r="CG249" s="163">
        <f t="shared" si="2976"/>
        <v>46295</v>
      </c>
      <c r="CH249" s="167">
        <f t="shared" si="2977"/>
        <v>0</v>
      </c>
      <c r="CI249" s="163">
        <f t="shared" si="2978"/>
        <v>46296</v>
      </c>
      <c r="CJ249" s="163">
        <f t="shared" si="2979"/>
        <v>46326</v>
      </c>
      <c r="CK249" s="167">
        <f t="shared" si="2980"/>
        <v>0</v>
      </c>
      <c r="CL249" s="163">
        <f t="shared" si="2981"/>
        <v>46327</v>
      </c>
      <c r="CM249" s="163">
        <f t="shared" si="2982"/>
        <v>46356</v>
      </c>
      <c r="CN249" s="167">
        <f t="shared" si="2983"/>
        <v>0</v>
      </c>
      <c r="CO249" s="163">
        <f t="shared" si="2984"/>
        <v>46357</v>
      </c>
      <c r="CP249" s="163">
        <f t="shared" si="2985"/>
        <v>46387</v>
      </c>
      <c r="CQ249" s="167">
        <f t="shared" si="2986"/>
        <v>0</v>
      </c>
    </row>
    <row r="250" s="89" customFormat="1" ht="24" hidden="1" customHeight="1" outlineLevel="4" spans="1:95">
      <c r="A250" s="128"/>
      <c r="B250" s="129"/>
      <c r="C250" s="130"/>
      <c r="D250" s="128"/>
      <c r="E250" s="129"/>
      <c r="F250" s="129"/>
      <c r="G250" s="129"/>
      <c r="H250" s="131"/>
      <c r="I250" s="131"/>
      <c r="J250" s="131">
        <f t="shared" si="2339"/>
        <v>0</v>
      </c>
      <c r="K250" s="131">
        <f t="shared" si="2987"/>
        <v>4</v>
      </c>
      <c r="L250" s="156"/>
      <c r="M250" s="157">
        <f>IFERROR(VLOOKUP($L250,'2-2 引出数据_合同数据仓库'!$B$5:$BP$200,3,FALSE),0)</f>
        <v>0</v>
      </c>
      <c r="N250" s="131"/>
      <c r="O250" s="157">
        <f>IFERROR(VLOOKUP((LEFT(VLOOKUP($L250,'2-2 引出数据_合同数据仓库'!$B$5:$BP$200,64,FALSE),15)&amp;(RIGHT(VLOOKUP($L250,'2-2 引出数据_合同数据仓库'!$B$5:$BP$200,64,FALSE),4)+1)),'2-2 引出数据_合同数据仓库'!$B$5:$BP$200,3,FALSE),0)</f>
        <v>0</v>
      </c>
      <c r="P250" s="131"/>
      <c r="Q250" s="131">
        <f>IFERROR(VLOOKUP($L250,'2-2 引出数据_合同数据仓库'!$B$5:$BP$200,28,FALSE),0)</f>
        <v>0</v>
      </c>
      <c r="R250" s="131">
        <f>IFERROR(VLOOKUP($L250,'2-2 引出数据_合同数据仓库'!$B$5:$BP$200,29,FALSE),0)</f>
        <v>0</v>
      </c>
      <c r="S250" s="131">
        <f>IFERROR(VLOOKUP($L250,'2-2 引出数据_合同数据仓库'!$B$5:$BP$200,4,FALSE),0)</f>
        <v>0</v>
      </c>
      <c r="T250" s="131"/>
      <c r="U250" s="131">
        <f>IFERROR(VLOOKUP($L250,'2-2 引出数据_合同数据仓库'!$B$5:$BP$200,15,FALSE),0)</f>
        <v>0</v>
      </c>
      <c r="V250" s="131">
        <f t="shared" si="2916"/>
        <v>0</v>
      </c>
      <c r="W250" s="131"/>
      <c r="X250" s="163">
        <v>45658</v>
      </c>
      <c r="Y250" s="163">
        <f t="shared" si="2917"/>
        <v>45688</v>
      </c>
      <c r="Z250" s="167">
        <f t="shared" si="2918"/>
        <v>0</v>
      </c>
      <c r="AA250" s="163">
        <f t="shared" si="2919"/>
        <v>45689</v>
      </c>
      <c r="AB250" s="163">
        <f t="shared" si="2920"/>
        <v>45716</v>
      </c>
      <c r="AC250" s="167">
        <f t="shared" si="2921"/>
        <v>0</v>
      </c>
      <c r="AD250" s="163">
        <f t="shared" si="2922"/>
        <v>45717</v>
      </c>
      <c r="AE250" s="163">
        <f t="shared" si="2923"/>
        <v>45747</v>
      </c>
      <c r="AF250" s="167">
        <f t="shared" si="2924"/>
        <v>0</v>
      </c>
      <c r="AG250" s="163">
        <f t="shared" si="2925"/>
        <v>45748</v>
      </c>
      <c r="AH250" s="163">
        <f t="shared" si="2926"/>
        <v>45777</v>
      </c>
      <c r="AI250" s="167">
        <f t="shared" si="2927"/>
        <v>0</v>
      </c>
      <c r="AJ250" s="163">
        <f t="shared" si="2928"/>
        <v>45778</v>
      </c>
      <c r="AK250" s="163">
        <f t="shared" si="2929"/>
        <v>45808</v>
      </c>
      <c r="AL250" s="167">
        <f t="shared" si="2930"/>
        <v>0</v>
      </c>
      <c r="AM250" s="163">
        <f t="shared" si="2931"/>
        <v>45809</v>
      </c>
      <c r="AN250" s="163">
        <f t="shared" si="2932"/>
        <v>45838</v>
      </c>
      <c r="AO250" s="167">
        <f t="shared" si="2933"/>
        <v>0</v>
      </c>
      <c r="AP250" s="163">
        <f t="shared" si="2934"/>
        <v>45839</v>
      </c>
      <c r="AQ250" s="163">
        <f t="shared" si="2935"/>
        <v>45869</v>
      </c>
      <c r="AR250" s="167">
        <f t="shared" si="2936"/>
        <v>0</v>
      </c>
      <c r="AS250" s="163">
        <f t="shared" si="2937"/>
        <v>45870</v>
      </c>
      <c r="AT250" s="163">
        <f t="shared" si="2938"/>
        <v>45900</v>
      </c>
      <c r="AU250" s="167">
        <f t="shared" si="2939"/>
        <v>0</v>
      </c>
      <c r="AV250" s="163">
        <f t="shared" si="2940"/>
        <v>45901</v>
      </c>
      <c r="AW250" s="163">
        <f t="shared" si="2941"/>
        <v>45930</v>
      </c>
      <c r="AX250" s="167">
        <f t="shared" si="2942"/>
        <v>0</v>
      </c>
      <c r="AY250" s="163">
        <f t="shared" si="2943"/>
        <v>45931</v>
      </c>
      <c r="AZ250" s="163">
        <f t="shared" si="2944"/>
        <v>45961</v>
      </c>
      <c r="BA250" s="167">
        <f t="shared" si="2945"/>
        <v>0</v>
      </c>
      <c r="BB250" s="163">
        <f t="shared" si="2946"/>
        <v>45962</v>
      </c>
      <c r="BC250" s="163">
        <f t="shared" si="2947"/>
        <v>45991</v>
      </c>
      <c r="BD250" s="167">
        <f t="shared" si="2948"/>
        <v>0</v>
      </c>
      <c r="BE250" s="163">
        <f t="shared" si="2949"/>
        <v>45992</v>
      </c>
      <c r="BF250" s="163">
        <f t="shared" si="2950"/>
        <v>46022</v>
      </c>
      <c r="BG250" s="167">
        <f t="shared" si="2951"/>
        <v>0</v>
      </c>
      <c r="BH250" s="163">
        <v>46023</v>
      </c>
      <c r="BI250" s="163">
        <f t="shared" si="2952"/>
        <v>46053</v>
      </c>
      <c r="BJ250" s="167">
        <f t="shared" si="2953"/>
        <v>0</v>
      </c>
      <c r="BK250" s="163">
        <f t="shared" si="2954"/>
        <v>46054</v>
      </c>
      <c r="BL250" s="163">
        <f t="shared" si="2955"/>
        <v>46081</v>
      </c>
      <c r="BM250" s="167">
        <f t="shared" si="2956"/>
        <v>0</v>
      </c>
      <c r="BN250" s="163">
        <f t="shared" si="2957"/>
        <v>46082</v>
      </c>
      <c r="BO250" s="163">
        <f t="shared" si="2958"/>
        <v>46112</v>
      </c>
      <c r="BP250" s="167">
        <f t="shared" si="2959"/>
        <v>0</v>
      </c>
      <c r="BQ250" s="163">
        <f t="shared" si="2960"/>
        <v>46113</v>
      </c>
      <c r="BR250" s="163">
        <f t="shared" si="2961"/>
        <v>46142</v>
      </c>
      <c r="BS250" s="167">
        <f t="shared" si="2962"/>
        <v>0</v>
      </c>
      <c r="BT250" s="163">
        <f t="shared" si="2963"/>
        <v>46143</v>
      </c>
      <c r="BU250" s="163">
        <f t="shared" si="2964"/>
        <v>46173</v>
      </c>
      <c r="BV250" s="167">
        <f t="shared" si="2965"/>
        <v>0</v>
      </c>
      <c r="BW250" s="163">
        <f t="shared" si="2966"/>
        <v>46174</v>
      </c>
      <c r="BX250" s="163">
        <f t="shared" si="2967"/>
        <v>46203</v>
      </c>
      <c r="BY250" s="167">
        <f t="shared" si="2968"/>
        <v>0</v>
      </c>
      <c r="BZ250" s="163">
        <f t="shared" si="2969"/>
        <v>46204</v>
      </c>
      <c r="CA250" s="163">
        <f t="shared" si="2970"/>
        <v>46234</v>
      </c>
      <c r="CB250" s="167">
        <f t="shared" si="2971"/>
        <v>0</v>
      </c>
      <c r="CC250" s="163">
        <f t="shared" si="2972"/>
        <v>46235</v>
      </c>
      <c r="CD250" s="163">
        <f t="shared" si="2973"/>
        <v>46265</v>
      </c>
      <c r="CE250" s="167">
        <f t="shared" si="2974"/>
        <v>0</v>
      </c>
      <c r="CF250" s="163">
        <f t="shared" si="2975"/>
        <v>46266</v>
      </c>
      <c r="CG250" s="163">
        <f t="shared" si="2976"/>
        <v>46295</v>
      </c>
      <c r="CH250" s="167">
        <f t="shared" si="2977"/>
        <v>0</v>
      </c>
      <c r="CI250" s="163">
        <f t="shared" si="2978"/>
        <v>46296</v>
      </c>
      <c r="CJ250" s="163">
        <f t="shared" si="2979"/>
        <v>46326</v>
      </c>
      <c r="CK250" s="167">
        <f t="shared" si="2980"/>
        <v>0</v>
      </c>
      <c r="CL250" s="163">
        <f t="shared" si="2981"/>
        <v>46327</v>
      </c>
      <c r="CM250" s="163">
        <f t="shared" si="2982"/>
        <v>46356</v>
      </c>
      <c r="CN250" s="167">
        <f t="shared" si="2983"/>
        <v>0</v>
      </c>
      <c r="CO250" s="163">
        <f t="shared" si="2984"/>
        <v>46357</v>
      </c>
      <c r="CP250" s="163">
        <f t="shared" si="2985"/>
        <v>46387</v>
      </c>
      <c r="CQ250" s="167">
        <f t="shared" si="2986"/>
        <v>0</v>
      </c>
    </row>
    <row r="251" s="89" customFormat="1" ht="24" hidden="1" customHeight="1" outlineLevel="4" spans="1:95">
      <c r="A251" s="132" t="s">
        <v>2813</v>
      </c>
      <c r="B251" s="133"/>
      <c r="C251" s="133"/>
      <c r="D251" s="133"/>
      <c r="E251" s="133"/>
      <c r="F251" s="133"/>
      <c r="G251" s="134"/>
      <c r="H251" s="135"/>
      <c r="I251" s="135"/>
      <c r="J251" s="135"/>
      <c r="K251" s="135"/>
      <c r="L251" s="158"/>
      <c r="M251" s="158"/>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c r="CL251" s="135"/>
      <c r="CM251" s="135"/>
      <c r="CN251" s="135"/>
      <c r="CO251" s="135"/>
      <c r="CP251" s="135"/>
      <c r="CQ251" s="135"/>
    </row>
    <row r="252" ht="24" customHeight="1" outlineLevel="2" collapsed="1" spans="1:95">
      <c r="A252" s="43"/>
      <c r="B252" s="121" t="s">
        <v>787</v>
      </c>
      <c r="C252" s="122" t="s">
        <v>38</v>
      </c>
      <c r="D252" s="43" t="s">
        <v>39</v>
      </c>
      <c r="E252" s="121"/>
      <c r="F252" s="121"/>
      <c r="G252" s="121"/>
      <c r="H252" s="123">
        <f>X252+AA252+AD252+AG252+AJ252+AM252+AP252+AS252+AV252+AY252+BB252+BE252</f>
        <v>0</v>
      </c>
      <c r="I252" s="123">
        <f>Y252+AB252+AE252+AH252+AK252+AN252+AQ252+AT252+AW252+AZ252+BC252+BF252</f>
        <v>0</v>
      </c>
      <c r="J252" s="123">
        <f t="shared" si="2339"/>
        <v>0</v>
      </c>
      <c r="K252" s="123"/>
      <c r="L252" s="154"/>
      <c r="M252" s="154"/>
      <c r="N252" s="123"/>
      <c r="O252" s="123"/>
      <c r="P252" s="123"/>
      <c r="Q252" s="123"/>
      <c r="R252" s="123"/>
      <c r="S252" s="123"/>
      <c r="T252" s="123"/>
      <c r="U252" s="123"/>
      <c r="V252" s="123"/>
      <c r="W252" s="123"/>
      <c r="X252" s="123">
        <f>VLOOKUP($C252,'1 预算编制表单'!$C:$BJ,27,FALSE)</f>
        <v>0</v>
      </c>
      <c r="Y252" s="123">
        <f>X252-Z252</f>
        <v>0</v>
      </c>
      <c r="Z252" s="123">
        <f>Z253+Z259</f>
        <v>0</v>
      </c>
      <c r="AA252" s="123">
        <f>VLOOKUP($C252,'1 预算编制表单'!$C:$BJ,30,FALSE)</f>
        <v>0</v>
      </c>
      <c r="AB252" s="123">
        <f>AA252-AC252</f>
        <v>0</v>
      </c>
      <c r="AC252" s="123">
        <f>AC253+AC259</f>
        <v>0</v>
      </c>
      <c r="AD252" s="123">
        <f>VLOOKUP($C252,'1 预算编制表单'!$C:$BJ,33,FALSE)</f>
        <v>0</v>
      </c>
      <c r="AE252" s="123">
        <f>AD252-AF252</f>
        <v>0</v>
      </c>
      <c r="AF252" s="123">
        <f>AF253+AF259</f>
        <v>0</v>
      </c>
      <c r="AG252" s="123">
        <f>VLOOKUP($C252,'1 预算编制表单'!$C:$BJ,36,FALSE)</f>
        <v>0</v>
      </c>
      <c r="AH252" s="123">
        <f>AG252-AI252</f>
        <v>0</v>
      </c>
      <c r="AI252" s="123">
        <f>AI253+AI259</f>
        <v>0</v>
      </c>
      <c r="AJ252" s="123">
        <f>VLOOKUP($C252,'1 预算编制表单'!$C:$BJ,39,FALSE)</f>
        <v>0</v>
      </c>
      <c r="AK252" s="123">
        <f>AJ252-AL252</f>
        <v>0</v>
      </c>
      <c r="AL252" s="123">
        <f>AL253+AL259</f>
        <v>0</v>
      </c>
      <c r="AM252" s="123">
        <f>VLOOKUP($C252,'1 预算编制表单'!$C:$BJ,42,FALSE)</f>
        <v>0</v>
      </c>
      <c r="AN252" s="123">
        <f>AM252-AO252</f>
        <v>0</v>
      </c>
      <c r="AO252" s="123">
        <f>AO253+AO259</f>
        <v>0</v>
      </c>
      <c r="AP252" s="123">
        <f>VLOOKUP($C252,'1 预算编制表单'!$C:$BJ,45,FALSE)</f>
        <v>0</v>
      </c>
      <c r="AQ252" s="123">
        <f>AP252-AR252</f>
        <v>0</v>
      </c>
      <c r="AR252" s="123">
        <f>AR253+AR259</f>
        <v>0</v>
      </c>
      <c r="AS252" s="123">
        <f>VLOOKUP($C252,'1 预算编制表单'!$C:$BJ,48,FALSE)</f>
        <v>0</v>
      </c>
      <c r="AT252" s="123">
        <f>AS252-AU252</f>
        <v>0</v>
      </c>
      <c r="AU252" s="123">
        <f>AU253+AU259</f>
        <v>0</v>
      </c>
      <c r="AV252" s="123">
        <f>VLOOKUP($C252,'1 预算编制表单'!$C:$BJ,51,FALSE)</f>
        <v>0</v>
      </c>
      <c r="AW252" s="123">
        <f>AV252-AX252</f>
        <v>0</v>
      </c>
      <c r="AX252" s="123">
        <f>AX253+AX259</f>
        <v>0</v>
      </c>
      <c r="AY252" s="123">
        <f>VLOOKUP($C252,'1 预算编制表单'!$C:$BJ,54,FALSE)</f>
        <v>0</v>
      </c>
      <c r="AZ252" s="123">
        <f>AY252-BA252</f>
        <v>0</v>
      </c>
      <c r="BA252" s="123">
        <f>BA253+BA259</f>
        <v>0</v>
      </c>
      <c r="BB252" s="123">
        <f>VLOOKUP($C252,'1 预算编制表单'!$C:$BJ,57,FALSE)</f>
        <v>0</v>
      </c>
      <c r="BC252" s="123">
        <f>BB252-BD252</f>
        <v>0</v>
      </c>
      <c r="BD252" s="123">
        <f>BD253+BD259</f>
        <v>0</v>
      </c>
      <c r="BE252" s="123">
        <f>VLOOKUP($C252,'1 预算编制表单'!$C:$BJ,60,FALSE)</f>
        <v>0</v>
      </c>
      <c r="BF252" s="123">
        <f>BE252-BG252</f>
        <v>0</v>
      </c>
      <c r="BG252" s="123">
        <f>BG253+BG259</f>
        <v>0</v>
      </c>
      <c r="BH252" s="123">
        <f>VLOOKUP($C252,'1 预算编制表单'!$C:$BJ,27,FALSE)</f>
        <v>0</v>
      </c>
      <c r="BI252" s="123">
        <f>BH252-BJ252</f>
        <v>0</v>
      </c>
      <c r="BJ252" s="123">
        <f>BJ253+BJ259</f>
        <v>0</v>
      </c>
      <c r="BK252" s="123">
        <f>VLOOKUP($C252,'1 预算编制表单'!$C:$BJ,30,FALSE)</f>
        <v>0</v>
      </c>
      <c r="BL252" s="123">
        <f>BK252-BM252</f>
        <v>0</v>
      </c>
      <c r="BM252" s="123">
        <f>BM253+BM259</f>
        <v>0</v>
      </c>
      <c r="BN252" s="123">
        <f>VLOOKUP($C252,'1 预算编制表单'!$C:$BJ,33,FALSE)</f>
        <v>0</v>
      </c>
      <c r="BO252" s="123">
        <f>BN252-BP252</f>
        <v>0</v>
      </c>
      <c r="BP252" s="123">
        <f>BP253+BP259</f>
        <v>0</v>
      </c>
      <c r="BQ252" s="123">
        <f>VLOOKUP($C252,'1 预算编制表单'!$C:$BJ,36,FALSE)</f>
        <v>0</v>
      </c>
      <c r="BR252" s="123">
        <f>BQ252-BS252</f>
        <v>0</v>
      </c>
      <c r="BS252" s="123">
        <f>BS253+BS259</f>
        <v>0</v>
      </c>
      <c r="BT252" s="123">
        <f>VLOOKUP($C252,'1 预算编制表单'!$C:$BJ,39,FALSE)</f>
        <v>0</v>
      </c>
      <c r="BU252" s="123">
        <f>BT252-BV252</f>
        <v>0</v>
      </c>
      <c r="BV252" s="123">
        <f>BV253+BV259</f>
        <v>0</v>
      </c>
      <c r="BW252" s="123">
        <f>VLOOKUP($C252,'1 预算编制表单'!$C:$BJ,42,FALSE)</f>
        <v>0</v>
      </c>
      <c r="BX252" s="123">
        <f>BW252-BY252</f>
        <v>0</v>
      </c>
      <c r="BY252" s="123">
        <f>BY253+BY259</f>
        <v>0</v>
      </c>
      <c r="BZ252" s="123">
        <f>VLOOKUP($C252,'1 预算编制表单'!$C:$BJ,45,FALSE)</f>
        <v>0</v>
      </c>
      <c r="CA252" s="123">
        <f>BZ252-CB252</f>
        <v>0</v>
      </c>
      <c r="CB252" s="123">
        <f>CB253+CB259</f>
        <v>0</v>
      </c>
      <c r="CC252" s="123">
        <f>VLOOKUP($C252,'1 预算编制表单'!$C:$BJ,48,FALSE)</f>
        <v>0</v>
      </c>
      <c r="CD252" s="123">
        <f>CC252-CE252</f>
        <v>0</v>
      </c>
      <c r="CE252" s="123">
        <f>CE253+CE259</f>
        <v>0</v>
      </c>
      <c r="CF252" s="123">
        <f>VLOOKUP($C252,'1 预算编制表单'!$C:$BJ,51,FALSE)</f>
        <v>0</v>
      </c>
      <c r="CG252" s="123">
        <f>CF252-CH252</f>
        <v>0</v>
      </c>
      <c r="CH252" s="123">
        <f>CH253+CH259</f>
        <v>0</v>
      </c>
      <c r="CI252" s="123">
        <f>VLOOKUP($C252,'1 预算编制表单'!$C:$BJ,54,FALSE)</f>
        <v>0</v>
      </c>
      <c r="CJ252" s="123">
        <f>CI252-CK252</f>
        <v>0</v>
      </c>
      <c r="CK252" s="123">
        <f>CK253+CK259</f>
        <v>0</v>
      </c>
      <c r="CL252" s="123">
        <f>VLOOKUP($C252,'1 预算编制表单'!$C:$BJ,57,FALSE)</f>
        <v>0</v>
      </c>
      <c r="CM252" s="123">
        <f>CL252-CN252</f>
        <v>0</v>
      </c>
      <c r="CN252" s="123">
        <f>CN253+CN259</f>
        <v>0</v>
      </c>
      <c r="CO252" s="123">
        <f>VLOOKUP($C252,'1 预算编制表单'!$C:$BJ,60,FALSE)</f>
        <v>0</v>
      </c>
      <c r="CP252" s="123">
        <f>CO252-CQ252</f>
        <v>0</v>
      </c>
      <c r="CQ252" s="123">
        <f>CQ253+CQ259</f>
        <v>0</v>
      </c>
    </row>
    <row r="253" ht="24" hidden="1" customHeight="1" outlineLevel="3" collapsed="1" spans="1:95">
      <c r="A253" s="124"/>
      <c r="B253" s="125" t="s">
        <v>792</v>
      </c>
      <c r="C253" s="126" t="s">
        <v>1202</v>
      </c>
      <c r="D253" s="124" t="s">
        <v>1203</v>
      </c>
      <c r="E253" s="125" t="s">
        <v>1204</v>
      </c>
      <c r="F253" s="125"/>
      <c r="G253" s="125" t="s">
        <v>936</v>
      </c>
      <c r="H253" s="127">
        <f>X253+AA253+AD253+AG253+AJ253+AM253+AP253+AS253+AV253+AY253+BB253+BE253</f>
        <v>0</v>
      </c>
      <c r="I253" s="127">
        <f>Y253+AB253+AE253+AH253+AK253+AN253+AQ253+AT253+AW253+AZ253+BC253+BF253</f>
        <v>0</v>
      </c>
      <c r="J253" s="127">
        <f t="shared" si="2339"/>
        <v>0</v>
      </c>
      <c r="K253" s="127"/>
      <c r="L253" s="155"/>
      <c r="M253" s="155"/>
      <c r="N253" s="127"/>
      <c r="O253" s="127"/>
      <c r="P253" s="127"/>
      <c r="Q253" s="127"/>
      <c r="R253" s="127"/>
      <c r="S253" s="127"/>
      <c r="T253" s="127"/>
      <c r="U253" s="127"/>
      <c r="V253" s="127"/>
      <c r="W253" s="127"/>
      <c r="X253" s="127">
        <f>VLOOKUP($C253,'1 预算编制表单'!$C:$BJ,27,FALSE)</f>
        <v>0</v>
      </c>
      <c r="Y253" s="127">
        <f>X253-Z253</f>
        <v>0</v>
      </c>
      <c r="Z253" s="127">
        <f>SUM(Z254:Z258)</f>
        <v>0</v>
      </c>
      <c r="AA253" s="127">
        <f>VLOOKUP($C253,'1 预算编制表单'!$C:$BJ,30,FALSE)</f>
        <v>0</v>
      </c>
      <c r="AB253" s="127">
        <f>AA253-AC253</f>
        <v>0</v>
      </c>
      <c r="AC253" s="127">
        <f>SUM(AC254:AC258)</f>
        <v>0</v>
      </c>
      <c r="AD253" s="127">
        <f>VLOOKUP($C253,'1 预算编制表单'!$C:$BJ,33,FALSE)</f>
        <v>0</v>
      </c>
      <c r="AE253" s="127">
        <f>AD253-AF253</f>
        <v>0</v>
      </c>
      <c r="AF253" s="127">
        <f>SUM(AF254:AF258)</f>
        <v>0</v>
      </c>
      <c r="AG253" s="127">
        <f>VLOOKUP($C253,'1 预算编制表单'!$C:$BJ,36,FALSE)</f>
        <v>0</v>
      </c>
      <c r="AH253" s="127">
        <f>AG253-AI253</f>
        <v>0</v>
      </c>
      <c r="AI253" s="127">
        <f>SUM(AI254:AI258)</f>
        <v>0</v>
      </c>
      <c r="AJ253" s="127">
        <f>VLOOKUP($C253,'1 预算编制表单'!$C:$BJ,39,FALSE)</f>
        <v>0</v>
      </c>
      <c r="AK253" s="127">
        <f>AJ253-AL253</f>
        <v>0</v>
      </c>
      <c r="AL253" s="127">
        <f>SUM(AL254:AL258)</f>
        <v>0</v>
      </c>
      <c r="AM253" s="127">
        <f>VLOOKUP($C253,'1 预算编制表单'!$C:$BJ,42,FALSE)</f>
        <v>0</v>
      </c>
      <c r="AN253" s="127">
        <f>AM253-AO253</f>
        <v>0</v>
      </c>
      <c r="AO253" s="127">
        <f>SUM(AO254:AO258)</f>
        <v>0</v>
      </c>
      <c r="AP253" s="127">
        <f>VLOOKUP($C253,'1 预算编制表单'!$C:$BJ,45,FALSE)</f>
        <v>0</v>
      </c>
      <c r="AQ253" s="127">
        <f>AP253-AR253</f>
        <v>0</v>
      </c>
      <c r="AR253" s="127">
        <f>SUM(AR254:AR258)</f>
        <v>0</v>
      </c>
      <c r="AS253" s="127">
        <f>VLOOKUP($C253,'1 预算编制表单'!$C:$BJ,48,FALSE)</f>
        <v>0</v>
      </c>
      <c r="AT253" s="127">
        <f>AS253-AU253</f>
        <v>0</v>
      </c>
      <c r="AU253" s="127">
        <f>SUM(AU254:AU258)</f>
        <v>0</v>
      </c>
      <c r="AV253" s="127">
        <f>VLOOKUP($C253,'1 预算编制表单'!$C:$BJ,51,FALSE)</f>
        <v>0</v>
      </c>
      <c r="AW253" s="127">
        <f>AV253-AX253</f>
        <v>0</v>
      </c>
      <c r="AX253" s="127">
        <f>SUM(AX254:AX258)</f>
        <v>0</v>
      </c>
      <c r="AY253" s="127">
        <f>VLOOKUP($C253,'1 预算编制表单'!$C:$BJ,54,FALSE)</f>
        <v>0</v>
      </c>
      <c r="AZ253" s="127">
        <f>AY253-BA253</f>
        <v>0</v>
      </c>
      <c r="BA253" s="127">
        <f>SUM(BA254:BA258)</f>
        <v>0</v>
      </c>
      <c r="BB253" s="127">
        <f>VLOOKUP($C253,'1 预算编制表单'!$C:$BJ,57,FALSE)</f>
        <v>0</v>
      </c>
      <c r="BC253" s="127">
        <f>BB253-BD253</f>
        <v>0</v>
      </c>
      <c r="BD253" s="127">
        <f>SUM(BD254:BD258)</f>
        <v>0</v>
      </c>
      <c r="BE253" s="127">
        <f>VLOOKUP($C253,'1 预算编制表单'!$C:$BJ,60,FALSE)</f>
        <v>0</v>
      </c>
      <c r="BF253" s="127">
        <f>BE253-BG253</f>
        <v>0</v>
      </c>
      <c r="BG253" s="127">
        <f>SUM(BG254:BG258)</f>
        <v>0</v>
      </c>
      <c r="BH253" s="127">
        <f>VLOOKUP($C253,'1 预算编制表单'!$C:$BJ,27,FALSE)</f>
        <v>0</v>
      </c>
      <c r="BI253" s="127">
        <f>BH253-BJ253</f>
        <v>0</v>
      </c>
      <c r="BJ253" s="127">
        <f>SUM(BJ254:BJ258)</f>
        <v>0</v>
      </c>
      <c r="BK253" s="127">
        <f>VLOOKUP($C253,'1 预算编制表单'!$C:$BJ,30,FALSE)</f>
        <v>0</v>
      </c>
      <c r="BL253" s="127">
        <f>BK253-BM253</f>
        <v>0</v>
      </c>
      <c r="BM253" s="127">
        <f>SUM(BM254:BM258)</f>
        <v>0</v>
      </c>
      <c r="BN253" s="127">
        <f>VLOOKUP($C253,'1 预算编制表单'!$C:$BJ,33,FALSE)</f>
        <v>0</v>
      </c>
      <c r="BO253" s="127">
        <f>BN253-BP253</f>
        <v>0</v>
      </c>
      <c r="BP253" s="127">
        <f>SUM(BP254:BP258)</f>
        <v>0</v>
      </c>
      <c r="BQ253" s="127">
        <f>VLOOKUP($C253,'1 预算编制表单'!$C:$BJ,36,FALSE)</f>
        <v>0</v>
      </c>
      <c r="BR253" s="127">
        <f>BQ253-BS253</f>
        <v>0</v>
      </c>
      <c r="BS253" s="127">
        <f>SUM(BS254:BS258)</f>
        <v>0</v>
      </c>
      <c r="BT253" s="127">
        <f>VLOOKUP($C253,'1 预算编制表单'!$C:$BJ,39,FALSE)</f>
        <v>0</v>
      </c>
      <c r="BU253" s="127">
        <f>BT253-BV253</f>
        <v>0</v>
      </c>
      <c r="BV253" s="127">
        <f>SUM(BV254:BV258)</f>
        <v>0</v>
      </c>
      <c r="BW253" s="127">
        <f>VLOOKUP($C253,'1 预算编制表单'!$C:$BJ,42,FALSE)</f>
        <v>0</v>
      </c>
      <c r="BX253" s="127">
        <f>BW253-BY253</f>
        <v>0</v>
      </c>
      <c r="BY253" s="127">
        <f>SUM(BY254:BY258)</f>
        <v>0</v>
      </c>
      <c r="BZ253" s="127">
        <f>VLOOKUP($C253,'1 预算编制表单'!$C:$BJ,45,FALSE)</f>
        <v>0</v>
      </c>
      <c r="CA253" s="127">
        <f>BZ253-CB253</f>
        <v>0</v>
      </c>
      <c r="CB253" s="127">
        <f>SUM(CB254:CB258)</f>
        <v>0</v>
      </c>
      <c r="CC253" s="127">
        <f>VLOOKUP($C253,'1 预算编制表单'!$C:$BJ,48,FALSE)</f>
        <v>0</v>
      </c>
      <c r="CD253" s="127">
        <f>CC253-CE253</f>
        <v>0</v>
      </c>
      <c r="CE253" s="127">
        <f>SUM(CE254:CE258)</f>
        <v>0</v>
      </c>
      <c r="CF253" s="127">
        <f>VLOOKUP($C253,'1 预算编制表单'!$C:$BJ,51,FALSE)</f>
        <v>0</v>
      </c>
      <c r="CG253" s="127">
        <f>CF253-CH253</f>
        <v>0</v>
      </c>
      <c r="CH253" s="127">
        <f>SUM(CH254:CH258)</f>
        <v>0</v>
      </c>
      <c r="CI253" s="127">
        <f>VLOOKUP($C253,'1 预算编制表单'!$C:$BJ,54,FALSE)</f>
        <v>0</v>
      </c>
      <c r="CJ253" s="127">
        <f>CI253-CK253</f>
        <v>0</v>
      </c>
      <c r="CK253" s="127">
        <f>SUM(CK254:CK258)</f>
        <v>0</v>
      </c>
      <c r="CL253" s="127">
        <f>VLOOKUP($C253,'1 预算编制表单'!$C:$BJ,57,FALSE)</f>
        <v>0</v>
      </c>
      <c r="CM253" s="127">
        <f>CL253-CN253</f>
        <v>0</v>
      </c>
      <c r="CN253" s="127">
        <f>SUM(CN254:CN258)</f>
        <v>0</v>
      </c>
      <c r="CO253" s="127">
        <f>VLOOKUP($C253,'1 预算编制表单'!$C:$BJ,60,FALSE)</f>
        <v>0</v>
      </c>
      <c r="CP253" s="127">
        <f>CO253-CQ253</f>
        <v>0</v>
      </c>
      <c r="CQ253" s="127">
        <f>SUM(CQ254:CQ258)</f>
        <v>0</v>
      </c>
    </row>
    <row r="254" s="89" customFormat="1" ht="24" hidden="1" customHeight="1" outlineLevel="4" spans="1:95">
      <c r="A254" s="128"/>
      <c r="B254" s="129"/>
      <c r="C254" s="130"/>
      <c r="D254" s="128"/>
      <c r="E254" s="129"/>
      <c r="F254" s="129"/>
      <c r="G254" s="129"/>
      <c r="H254" s="131"/>
      <c r="I254" s="131"/>
      <c r="J254" s="131">
        <f t="shared" si="2339"/>
        <v>0</v>
      </c>
      <c r="K254" s="131">
        <v>1</v>
      </c>
      <c r="L254" s="156"/>
      <c r="M254" s="157">
        <f>IFERROR(VLOOKUP($L254,'2-2 引出数据_合同数据仓库'!$B$5:$BP$200,3,FALSE),0)</f>
        <v>0</v>
      </c>
      <c r="N254" s="131"/>
      <c r="O254" s="157">
        <f>IFERROR(VLOOKUP((LEFT(VLOOKUP($L254,'2-2 引出数据_合同数据仓库'!$B$5:$BP$200,64,FALSE),15)&amp;(RIGHT(VLOOKUP($L254,'2-2 引出数据_合同数据仓库'!$B$5:$BP$200,64,FALSE),4)+1)),'2-2 引出数据_合同数据仓库'!$B$5:$BP$200,3,FALSE),0)</f>
        <v>0</v>
      </c>
      <c r="P254" s="131"/>
      <c r="Q254" s="131">
        <f>IFERROR(VLOOKUP($L254,'2-2 引出数据_合同数据仓库'!$B$5:$BP$200,28,FALSE),0)</f>
        <v>0</v>
      </c>
      <c r="R254" s="131">
        <f>IFERROR(VLOOKUP($L254,'2-2 引出数据_合同数据仓库'!$B$5:$BP$200,29,FALSE),0)</f>
        <v>0</v>
      </c>
      <c r="S254" s="131">
        <f>IFERROR(VLOOKUP($L254,'2-2 引出数据_合同数据仓库'!$B$5:$BP$200,4,FALSE),0)</f>
        <v>0</v>
      </c>
      <c r="T254" s="131"/>
      <c r="U254" s="131">
        <f>IFERROR(VLOOKUP($L254,'2-2 引出数据_合同数据仓库'!$B$5:$BP$200,15,FALSE),0)</f>
        <v>0</v>
      </c>
      <c r="V254" s="131">
        <f t="shared" ref="V254:V257" si="2988">U254/(S254-R254+1)*365</f>
        <v>0</v>
      </c>
      <c r="W254" s="131"/>
      <c r="X254" s="163">
        <v>45658</v>
      </c>
      <c r="Y254" s="163">
        <f t="shared" ref="Y254:Y257" si="2989">X254+30</f>
        <v>45688</v>
      </c>
      <c r="Z254" s="167">
        <f t="shared" ref="Z254:Z257" si="2990">IFERROR(IF(($R254-Y254)&gt;=0,0,IF(($S254-X254)&lt;0,0,IF(AND(($S254-Y254)&gt;0,(X254-$R254)&gt;0),$V254/365*(Y254-X254+1),IF(AND(($S254-Y254)&lt;=0,(X254-$R254)&gt;0),$V254/365*($S254-X254+1),$V254/365*(Y254-$R254+1))))),0)</f>
        <v>0</v>
      </c>
      <c r="AA254" s="163">
        <f t="shared" ref="AA254:AA257" si="2991">Y254+1</f>
        <v>45689</v>
      </c>
      <c r="AB254" s="163">
        <f t="shared" ref="AB254:AB257" si="2992">AA254+27</f>
        <v>45716</v>
      </c>
      <c r="AC254" s="167">
        <f t="shared" ref="AC254:AC257" si="2993">IFERROR(IF(($R254-AB254)&gt;=0,0,IF(($S254-AA254)&lt;0,0,IF(AND(($S254-AB254)&gt;0,(AA254-$R254)&gt;0),$V254/365*(AB254-AA254+1),IF(AND(($S254-AB254)&lt;=0,(AA254-$R254)&gt;0),$V254/365*($S254-AA254+1),$V254/365*(AB254-$R254+1))))),0)</f>
        <v>0</v>
      </c>
      <c r="AD254" s="163">
        <f t="shared" ref="AD254:AD257" si="2994">AB254+1</f>
        <v>45717</v>
      </c>
      <c r="AE254" s="163">
        <f t="shared" ref="AE254:AE257" si="2995">AD254+30</f>
        <v>45747</v>
      </c>
      <c r="AF254" s="167">
        <f t="shared" ref="AF254:AF257" si="2996">IFERROR(IF(($R254-AE254)&gt;=0,0,IF(($S254-AD254)&lt;0,0,IF(AND(($S254-AE254)&gt;0,(AD254-$R254)&gt;0),$V254/365*(AE254-AD254+1),IF(AND(($S254-AE254)&lt;=0,(AD254-$R254)&gt;0),$V254/365*($S254-AD254+1),$V254/365*(AE254-$R254+1))))),0)</f>
        <v>0</v>
      </c>
      <c r="AG254" s="163">
        <f t="shared" ref="AG254:AG257" si="2997">AE254+1</f>
        <v>45748</v>
      </c>
      <c r="AH254" s="163">
        <f t="shared" ref="AH254:AH257" si="2998">AG254+29</f>
        <v>45777</v>
      </c>
      <c r="AI254" s="167">
        <f t="shared" ref="AI254:AI257" si="2999">IFERROR(IF(($R254-AH254)&gt;=0,0,IF(($S254-AG254)&lt;0,0,IF(AND(($S254-AH254)&gt;0,(AG254-$R254)&gt;0),$V254/365*(AH254-AG254+1),IF(AND(($S254-AH254)&lt;=0,(AG254-$R254)&gt;0),$V254/365*($S254-AG254+1),$V254/365*(AH254-$R254+1))))),0)</f>
        <v>0</v>
      </c>
      <c r="AJ254" s="163">
        <f t="shared" ref="AJ254:AJ257" si="3000">AH254+1</f>
        <v>45778</v>
      </c>
      <c r="AK254" s="163">
        <f t="shared" ref="AK254:AK257" si="3001">AJ254+30</f>
        <v>45808</v>
      </c>
      <c r="AL254" s="167">
        <f t="shared" ref="AL254:AL257" si="3002">IFERROR(IF(($R254-AK254)&gt;=0,0,IF(($S254-AJ254)&lt;0,0,IF(AND(($S254-AK254)&gt;0,(AJ254-$R254)&gt;0),$V254/365*(AK254-AJ254+1),IF(AND(($S254-AK254)&lt;=0,(AJ254-$R254)&gt;0),$V254/365*($S254-AJ254+1),$V254/365*(AK254-$R254+1))))),0)</f>
        <v>0</v>
      </c>
      <c r="AM254" s="163">
        <f t="shared" ref="AM254:AM257" si="3003">AK254+1</f>
        <v>45809</v>
      </c>
      <c r="AN254" s="163">
        <f t="shared" ref="AN254:AN257" si="3004">AM254+29</f>
        <v>45838</v>
      </c>
      <c r="AO254" s="167">
        <f t="shared" ref="AO254:AO257" si="3005">IFERROR(IF(($R254-AN254)&gt;=0,0,IF(($S254-AM254)&lt;0,0,IF(AND(($S254-AN254)&gt;0,(AM254-$R254)&gt;0),$V254/365*(AN254-AM254+1),IF(AND(($S254-AN254)&lt;=0,(AM254-$R254)&gt;0),$V254/365*($S254-AM254+1),$V254/365*(AN254-$R254+1))))),0)</f>
        <v>0</v>
      </c>
      <c r="AP254" s="163">
        <f t="shared" ref="AP254:AP257" si="3006">AN254+1</f>
        <v>45839</v>
      </c>
      <c r="AQ254" s="163">
        <f t="shared" ref="AQ254:AQ257" si="3007">AP254+30</f>
        <v>45869</v>
      </c>
      <c r="AR254" s="167">
        <f t="shared" ref="AR254:AR257" si="3008">IFERROR(IF(($R254-AQ254)&gt;=0,0,IF(($S254-AP254)&lt;0,0,IF(AND(($S254-AQ254)&gt;0,(AP254-$R254)&gt;0),$V254/365*(AQ254-AP254+1),IF(AND(($S254-AQ254)&lt;=0,(AP254-$R254)&gt;0),$V254/365*($S254-AP254+1),$V254/365*(AQ254-$R254+1))))),0)</f>
        <v>0</v>
      </c>
      <c r="AS254" s="163">
        <f t="shared" ref="AS254:AS257" si="3009">AQ254+1</f>
        <v>45870</v>
      </c>
      <c r="AT254" s="163">
        <f t="shared" ref="AT254:AT257" si="3010">AS254+30</f>
        <v>45900</v>
      </c>
      <c r="AU254" s="167">
        <f t="shared" ref="AU254:AU257" si="3011">IFERROR(IF(($R254-AT254)&gt;=0,0,IF(($S254-AS254)&lt;0,0,IF(AND(($S254-AT254)&gt;0,(AS254-$R254)&gt;0),$V254/365*(AT254-AS254+1),IF(AND(($S254-AT254)&lt;=0,(AS254-$R254)&gt;0),$V254/365*($S254-AS254+1),$V254/365*(AT254-$R254+1))))),0)</f>
        <v>0</v>
      </c>
      <c r="AV254" s="163">
        <f t="shared" ref="AV254:AV257" si="3012">AT254+1</f>
        <v>45901</v>
      </c>
      <c r="AW254" s="163">
        <f t="shared" ref="AW254:AW257" si="3013">AV254+29</f>
        <v>45930</v>
      </c>
      <c r="AX254" s="167">
        <f t="shared" ref="AX254:AX257" si="3014">IFERROR(IF(($R254-AW254)&gt;=0,0,IF(($S254-AV254)&lt;0,0,IF(AND(($S254-AW254)&gt;0,(AV254-$R254)&gt;0),$V254/365*(AW254-AV254+1),IF(AND(($S254-AW254)&lt;=0,(AV254-$R254)&gt;0),$V254/365*($S254-AV254+1),$V254/365*(AW254-$R254+1))))),0)</f>
        <v>0</v>
      </c>
      <c r="AY254" s="163">
        <f t="shared" ref="AY254:AY257" si="3015">AW254+1</f>
        <v>45931</v>
      </c>
      <c r="AZ254" s="163">
        <f t="shared" ref="AZ254:AZ257" si="3016">AY254+30</f>
        <v>45961</v>
      </c>
      <c r="BA254" s="167">
        <f t="shared" ref="BA254:BA257" si="3017">IFERROR(IF(($R254-AZ254)&gt;=0,0,IF(($S254-AY254)&lt;0,0,IF(AND(($S254-AZ254)&gt;0,(AY254-$R254)&gt;0),$V254/365*(AZ254-AY254+1),IF(AND(($S254-AZ254)&lt;=0,(AY254-$R254)&gt;0),$V254/365*($S254-AY254+1),$V254/365*(AZ254-$R254+1))))),0)</f>
        <v>0</v>
      </c>
      <c r="BB254" s="163">
        <f t="shared" ref="BB254:BB257" si="3018">AZ254+1</f>
        <v>45962</v>
      </c>
      <c r="BC254" s="163">
        <f t="shared" ref="BC254:BC257" si="3019">BB254+29</f>
        <v>45991</v>
      </c>
      <c r="BD254" s="167">
        <f t="shared" ref="BD254:BD257" si="3020">IFERROR(IF(($R254-BC254)&gt;=0,0,IF(($S254-BB254)&lt;0,0,IF(AND(($S254-BC254)&gt;0,(BB254-$R254)&gt;0),$V254/365*(BC254-BB254+1),IF(AND(($S254-BC254)&lt;=0,(BB254-$R254)&gt;0),$V254/365*($S254-BB254+1),$V254/365*(BC254-$R254+1))))),0)</f>
        <v>0</v>
      </c>
      <c r="BE254" s="163">
        <f t="shared" ref="BE254:BE257" si="3021">BC254+1</f>
        <v>45992</v>
      </c>
      <c r="BF254" s="163">
        <f t="shared" ref="BF254:BF257" si="3022">BE254+30</f>
        <v>46022</v>
      </c>
      <c r="BG254" s="167">
        <f t="shared" ref="BG254:BG257" si="3023">IFERROR(IF(($R254-BF254)&gt;=0,0,IF(($S254-BE254)&lt;0,0,IF(AND(($S254-BF254)&gt;0,(BE254-$R254)&gt;0),$V254/365*(BF254-BE254+1),IF(AND(($S254-BF254)&lt;=0,(BE254-$R254)&gt;0),$V254/365*($S254-BE254+1),$V254/365*(BF254-$R254+1))))),0)</f>
        <v>0</v>
      </c>
      <c r="BH254" s="163">
        <v>46023</v>
      </c>
      <c r="BI254" s="163">
        <f t="shared" ref="BI254:BI257" si="3024">BH254+30</f>
        <v>46053</v>
      </c>
      <c r="BJ254" s="167">
        <f t="shared" ref="BJ254:BJ257" si="3025">IFERROR(IF(($R254-BI254)&gt;=0,0,IF(($S254-BH254)&lt;0,0,IF(AND(($S254-BI254)&gt;0,(BH254-$R254)&gt;0),$V254/365*(BI254-BH254+1),IF(AND(($S254-BI254)&lt;=0,(BH254-$R254)&gt;0),$V254/365*($S254-BH254+1),$V254/365*(BI254-$R254+1))))),0)</f>
        <v>0</v>
      </c>
      <c r="BK254" s="163">
        <f t="shared" ref="BK254:BK257" si="3026">BI254+1</f>
        <v>46054</v>
      </c>
      <c r="BL254" s="163">
        <f t="shared" ref="BL254:BL257" si="3027">BK254+27</f>
        <v>46081</v>
      </c>
      <c r="BM254" s="167">
        <f t="shared" ref="BM254:BM257" si="3028">IFERROR(IF(($R254-BL254)&gt;=0,0,IF(($S254-BK254)&lt;0,0,IF(AND(($S254-BL254)&gt;0,(BK254-$R254)&gt;0),$V254/365*(BL254-BK254+1),IF(AND(($S254-BL254)&lt;=0,(BK254-$R254)&gt;0),$V254/365*($S254-BK254+1),$V254/365*(BL254-$R254+1))))),0)</f>
        <v>0</v>
      </c>
      <c r="BN254" s="163">
        <f t="shared" ref="BN254:BN257" si="3029">BL254+1</f>
        <v>46082</v>
      </c>
      <c r="BO254" s="163">
        <f t="shared" ref="BO254:BO257" si="3030">BN254+30</f>
        <v>46112</v>
      </c>
      <c r="BP254" s="167">
        <f t="shared" ref="BP254:BP257" si="3031">IFERROR(IF(($R254-BO254)&gt;=0,0,IF(($S254-BN254)&lt;0,0,IF(AND(($S254-BO254)&gt;0,(BN254-$R254)&gt;0),$V254/365*(BO254-BN254+1),IF(AND(($S254-BO254)&lt;=0,(BN254-$R254)&gt;0),$V254/365*($S254-BN254+1),$V254/365*(BO254-$R254+1))))),0)</f>
        <v>0</v>
      </c>
      <c r="BQ254" s="163">
        <f t="shared" ref="BQ254:BQ257" si="3032">BO254+1</f>
        <v>46113</v>
      </c>
      <c r="BR254" s="163">
        <f t="shared" ref="BR254:BR257" si="3033">BQ254+29</f>
        <v>46142</v>
      </c>
      <c r="BS254" s="167">
        <f t="shared" ref="BS254:BS257" si="3034">IFERROR(IF(($R254-BR254)&gt;=0,0,IF(($S254-BQ254)&lt;0,0,IF(AND(($S254-BR254)&gt;0,(BQ254-$R254)&gt;0),$V254/365*(BR254-BQ254+1),IF(AND(($S254-BR254)&lt;=0,(BQ254-$R254)&gt;0),$V254/365*($S254-BQ254+1),$V254/365*(BR254-$R254+1))))),0)</f>
        <v>0</v>
      </c>
      <c r="BT254" s="163">
        <f t="shared" ref="BT254:BT257" si="3035">BR254+1</f>
        <v>46143</v>
      </c>
      <c r="BU254" s="163">
        <f t="shared" ref="BU254:BU257" si="3036">BT254+30</f>
        <v>46173</v>
      </c>
      <c r="BV254" s="167">
        <f t="shared" ref="BV254:BV257" si="3037">IFERROR(IF(($R254-BU254)&gt;=0,0,IF(($S254-BT254)&lt;0,0,IF(AND(($S254-BU254)&gt;0,(BT254-$R254)&gt;0),$V254/365*(BU254-BT254+1),IF(AND(($S254-BU254)&lt;=0,(BT254-$R254)&gt;0),$V254/365*($S254-BT254+1),$V254/365*(BU254-$R254+1))))),0)</f>
        <v>0</v>
      </c>
      <c r="BW254" s="163">
        <f t="shared" ref="BW254:BW257" si="3038">BU254+1</f>
        <v>46174</v>
      </c>
      <c r="BX254" s="163">
        <f t="shared" ref="BX254:BX257" si="3039">BW254+29</f>
        <v>46203</v>
      </c>
      <c r="BY254" s="167">
        <f t="shared" ref="BY254:BY257" si="3040">IFERROR(IF(($R254-BX254)&gt;=0,0,IF(($S254-BW254)&lt;0,0,IF(AND(($S254-BX254)&gt;0,(BW254-$R254)&gt;0),$V254/365*(BX254-BW254+1),IF(AND(($S254-BX254)&lt;=0,(BW254-$R254)&gt;0),$V254/365*($S254-BW254+1),$V254/365*(BX254-$R254+1))))),0)</f>
        <v>0</v>
      </c>
      <c r="BZ254" s="163">
        <f t="shared" ref="BZ254:BZ257" si="3041">BX254+1</f>
        <v>46204</v>
      </c>
      <c r="CA254" s="163">
        <f t="shared" ref="CA254:CA257" si="3042">BZ254+30</f>
        <v>46234</v>
      </c>
      <c r="CB254" s="167">
        <f t="shared" ref="CB254:CB257" si="3043">IFERROR(IF(($R254-CA254)&gt;=0,0,IF(($S254-BZ254)&lt;0,0,IF(AND(($S254-CA254)&gt;0,(BZ254-$R254)&gt;0),$V254/365*(CA254-BZ254+1),IF(AND(($S254-CA254)&lt;=0,(BZ254-$R254)&gt;0),$V254/365*($S254-BZ254+1),$V254/365*(CA254-$R254+1))))),0)</f>
        <v>0</v>
      </c>
      <c r="CC254" s="163">
        <f t="shared" ref="CC254:CC257" si="3044">CA254+1</f>
        <v>46235</v>
      </c>
      <c r="CD254" s="163">
        <f t="shared" ref="CD254:CD257" si="3045">CC254+30</f>
        <v>46265</v>
      </c>
      <c r="CE254" s="167">
        <f t="shared" ref="CE254:CE257" si="3046">IFERROR(IF(($R254-CD254)&gt;=0,0,IF(($S254-CC254)&lt;0,0,IF(AND(($S254-CD254)&gt;0,(CC254-$R254)&gt;0),$V254/365*(CD254-CC254+1),IF(AND(($S254-CD254)&lt;=0,(CC254-$R254)&gt;0),$V254/365*($S254-CC254+1),$V254/365*(CD254-$R254+1))))),0)</f>
        <v>0</v>
      </c>
      <c r="CF254" s="163">
        <f t="shared" ref="CF254:CF257" si="3047">CD254+1</f>
        <v>46266</v>
      </c>
      <c r="CG254" s="163">
        <f t="shared" ref="CG254:CG257" si="3048">CF254+29</f>
        <v>46295</v>
      </c>
      <c r="CH254" s="167">
        <f t="shared" ref="CH254:CH257" si="3049">IFERROR(IF(($R254-CG254)&gt;=0,0,IF(($S254-CF254)&lt;0,0,IF(AND(($S254-CG254)&gt;0,(CF254-$R254)&gt;0),$V254/365*(CG254-CF254+1),IF(AND(($S254-CG254)&lt;=0,(CF254-$R254)&gt;0),$V254/365*($S254-CF254+1),$V254/365*(CG254-$R254+1))))),0)</f>
        <v>0</v>
      </c>
      <c r="CI254" s="163">
        <f t="shared" ref="CI254:CI257" si="3050">CG254+1</f>
        <v>46296</v>
      </c>
      <c r="CJ254" s="163">
        <f t="shared" ref="CJ254:CJ257" si="3051">CI254+30</f>
        <v>46326</v>
      </c>
      <c r="CK254" s="167">
        <f t="shared" ref="CK254:CK257" si="3052">IFERROR(IF(($R254-CJ254)&gt;=0,0,IF(($S254-CI254)&lt;0,0,IF(AND(($S254-CJ254)&gt;0,(CI254-$R254)&gt;0),$V254/365*(CJ254-CI254+1),IF(AND(($S254-CJ254)&lt;=0,(CI254-$R254)&gt;0),$V254/365*($S254-CI254+1),$V254/365*(CJ254-$R254+1))))),0)</f>
        <v>0</v>
      </c>
      <c r="CL254" s="163">
        <f t="shared" ref="CL254:CL257" si="3053">CJ254+1</f>
        <v>46327</v>
      </c>
      <c r="CM254" s="163">
        <f t="shared" ref="CM254:CM257" si="3054">CL254+29</f>
        <v>46356</v>
      </c>
      <c r="CN254" s="167">
        <f t="shared" ref="CN254:CN257" si="3055">IFERROR(IF(($R254-CM254)&gt;=0,0,IF(($S254-CL254)&lt;0,0,IF(AND(($S254-CM254)&gt;0,(CL254-$R254)&gt;0),$V254/365*(CM254-CL254+1),IF(AND(($S254-CM254)&lt;=0,(CL254-$R254)&gt;0),$V254/365*($S254-CL254+1),$V254/365*(CM254-$R254+1))))),0)</f>
        <v>0</v>
      </c>
      <c r="CO254" s="163">
        <f t="shared" ref="CO254:CO257" si="3056">CM254+1</f>
        <v>46357</v>
      </c>
      <c r="CP254" s="163">
        <f t="shared" ref="CP254:CP257" si="3057">CO254+30</f>
        <v>46387</v>
      </c>
      <c r="CQ254" s="167">
        <f t="shared" ref="CQ254:CQ257" si="3058">IFERROR(IF(($R254-CP254)&gt;=0,0,IF(($S254-CO254)&lt;0,0,IF(AND(($S254-CP254)&gt;0,(CO254-$R254)&gt;0),$V254/365*(CP254-CO254+1),IF(AND(($S254-CP254)&lt;=0,(CO254-$R254)&gt;0),$V254/365*($S254-CO254+1),$V254/365*(CP254-$R254+1))))),0)</f>
        <v>0</v>
      </c>
    </row>
    <row r="255" s="89" customFormat="1" ht="24" hidden="1" customHeight="1" outlineLevel="4" spans="1:95">
      <c r="A255" s="128"/>
      <c r="B255" s="129"/>
      <c r="C255" s="130"/>
      <c r="D255" s="128"/>
      <c r="E255" s="129"/>
      <c r="F255" s="129"/>
      <c r="G255" s="129"/>
      <c r="H255" s="131"/>
      <c r="I255" s="131"/>
      <c r="J255" s="131">
        <f t="shared" si="2339"/>
        <v>0</v>
      </c>
      <c r="K255" s="131">
        <f t="shared" ref="K255:K257" si="3059">K254+1</f>
        <v>2</v>
      </c>
      <c r="L255" s="156"/>
      <c r="M255" s="157">
        <f>IFERROR(VLOOKUP($L255,'2-2 引出数据_合同数据仓库'!$B$5:$BP$200,3,FALSE),0)</f>
        <v>0</v>
      </c>
      <c r="N255" s="131"/>
      <c r="O255" s="157">
        <f>IFERROR(VLOOKUP((LEFT(VLOOKUP($L255,'2-2 引出数据_合同数据仓库'!$B$5:$BP$200,64,FALSE),15)&amp;(RIGHT(VLOOKUP($L255,'2-2 引出数据_合同数据仓库'!$B$5:$BP$200,64,FALSE),4)+1)),'2-2 引出数据_合同数据仓库'!$B$5:$BP$200,3,FALSE),0)</f>
        <v>0</v>
      </c>
      <c r="P255" s="131"/>
      <c r="Q255" s="131">
        <f>IFERROR(VLOOKUP($L255,'2-2 引出数据_合同数据仓库'!$B$5:$BP$200,28,FALSE),0)</f>
        <v>0</v>
      </c>
      <c r="R255" s="131">
        <f>IFERROR(VLOOKUP($L255,'2-2 引出数据_合同数据仓库'!$B$5:$BP$200,29,FALSE),0)</f>
        <v>0</v>
      </c>
      <c r="S255" s="131">
        <f>IFERROR(VLOOKUP($L255,'2-2 引出数据_合同数据仓库'!$B$5:$BP$200,4,FALSE),0)</f>
        <v>0</v>
      </c>
      <c r="T255" s="131"/>
      <c r="U255" s="131">
        <f>IFERROR(VLOOKUP($L255,'2-2 引出数据_合同数据仓库'!$B$5:$BP$200,15,FALSE),0)</f>
        <v>0</v>
      </c>
      <c r="V255" s="131">
        <f t="shared" si="2988"/>
        <v>0</v>
      </c>
      <c r="W255" s="131"/>
      <c r="X255" s="163">
        <v>45658</v>
      </c>
      <c r="Y255" s="163">
        <f t="shared" si="2989"/>
        <v>45688</v>
      </c>
      <c r="Z255" s="167">
        <f t="shared" si="2990"/>
        <v>0</v>
      </c>
      <c r="AA255" s="163">
        <f t="shared" si="2991"/>
        <v>45689</v>
      </c>
      <c r="AB255" s="163">
        <f t="shared" si="2992"/>
        <v>45716</v>
      </c>
      <c r="AC255" s="167">
        <f t="shared" si="2993"/>
        <v>0</v>
      </c>
      <c r="AD255" s="163">
        <f t="shared" si="2994"/>
        <v>45717</v>
      </c>
      <c r="AE255" s="163">
        <f t="shared" si="2995"/>
        <v>45747</v>
      </c>
      <c r="AF255" s="167">
        <f t="shared" si="2996"/>
        <v>0</v>
      </c>
      <c r="AG255" s="163">
        <f t="shared" si="2997"/>
        <v>45748</v>
      </c>
      <c r="AH255" s="163">
        <f t="shared" si="2998"/>
        <v>45777</v>
      </c>
      <c r="AI255" s="167">
        <f t="shared" si="2999"/>
        <v>0</v>
      </c>
      <c r="AJ255" s="163">
        <f t="shared" si="3000"/>
        <v>45778</v>
      </c>
      <c r="AK255" s="163">
        <f t="shared" si="3001"/>
        <v>45808</v>
      </c>
      <c r="AL255" s="167">
        <f t="shared" si="3002"/>
        <v>0</v>
      </c>
      <c r="AM255" s="163">
        <f t="shared" si="3003"/>
        <v>45809</v>
      </c>
      <c r="AN255" s="163">
        <f t="shared" si="3004"/>
        <v>45838</v>
      </c>
      <c r="AO255" s="167">
        <f t="shared" si="3005"/>
        <v>0</v>
      </c>
      <c r="AP255" s="163">
        <f t="shared" si="3006"/>
        <v>45839</v>
      </c>
      <c r="AQ255" s="163">
        <f t="shared" si="3007"/>
        <v>45869</v>
      </c>
      <c r="AR255" s="167">
        <f t="shared" si="3008"/>
        <v>0</v>
      </c>
      <c r="AS255" s="163">
        <f t="shared" si="3009"/>
        <v>45870</v>
      </c>
      <c r="AT255" s="163">
        <f t="shared" si="3010"/>
        <v>45900</v>
      </c>
      <c r="AU255" s="167">
        <f t="shared" si="3011"/>
        <v>0</v>
      </c>
      <c r="AV255" s="163">
        <f t="shared" si="3012"/>
        <v>45901</v>
      </c>
      <c r="AW255" s="163">
        <f t="shared" si="3013"/>
        <v>45930</v>
      </c>
      <c r="AX255" s="167">
        <f t="shared" si="3014"/>
        <v>0</v>
      </c>
      <c r="AY255" s="163">
        <f t="shared" si="3015"/>
        <v>45931</v>
      </c>
      <c r="AZ255" s="163">
        <f t="shared" si="3016"/>
        <v>45961</v>
      </c>
      <c r="BA255" s="167">
        <f t="shared" si="3017"/>
        <v>0</v>
      </c>
      <c r="BB255" s="163">
        <f t="shared" si="3018"/>
        <v>45962</v>
      </c>
      <c r="BC255" s="163">
        <f t="shared" si="3019"/>
        <v>45991</v>
      </c>
      <c r="BD255" s="167">
        <f t="shared" si="3020"/>
        <v>0</v>
      </c>
      <c r="BE255" s="163">
        <f t="shared" si="3021"/>
        <v>45992</v>
      </c>
      <c r="BF255" s="163">
        <f t="shared" si="3022"/>
        <v>46022</v>
      </c>
      <c r="BG255" s="167">
        <f t="shared" si="3023"/>
        <v>0</v>
      </c>
      <c r="BH255" s="163">
        <v>46023</v>
      </c>
      <c r="BI255" s="163">
        <f t="shared" si="3024"/>
        <v>46053</v>
      </c>
      <c r="BJ255" s="167">
        <f t="shared" si="3025"/>
        <v>0</v>
      </c>
      <c r="BK255" s="163">
        <f t="shared" si="3026"/>
        <v>46054</v>
      </c>
      <c r="BL255" s="163">
        <f t="shared" si="3027"/>
        <v>46081</v>
      </c>
      <c r="BM255" s="167">
        <f t="shared" si="3028"/>
        <v>0</v>
      </c>
      <c r="BN255" s="163">
        <f t="shared" si="3029"/>
        <v>46082</v>
      </c>
      <c r="BO255" s="163">
        <f t="shared" si="3030"/>
        <v>46112</v>
      </c>
      <c r="BP255" s="167">
        <f t="shared" si="3031"/>
        <v>0</v>
      </c>
      <c r="BQ255" s="163">
        <f t="shared" si="3032"/>
        <v>46113</v>
      </c>
      <c r="BR255" s="163">
        <f t="shared" si="3033"/>
        <v>46142</v>
      </c>
      <c r="BS255" s="167">
        <f t="shared" si="3034"/>
        <v>0</v>
      </c>
      <c r="BT255" s="163">
        <f t="shared" si="3035"/>
        <v>46143</v>
      </c>
      <c r="BU255" s="163">
        <f t="shared" si="3036"/>
        <v>46173</v>
      </c>
      <c r="BV255" s="167">
        <f t="shared" si="3037"/>
        <v>0</v>
      </c>
      <c r="BW255" s="163">
        <f t="shared" si="3038"/>
        <v>46174</v>
      </c>
      <c r="BX255" s="163">
        <f t="shared" si="3039"/>
        <v>46203</v>
      </c>
      <c r="BY255" s="167">
        <f t="shared" si="3040"/>
        <v>0</v>
      </c>
      <c r="BZ255" s="163">
        <f t="shared" si="3041"/>
        <v>46204</v>
      </c>
      <c r="CA255" s="163">
        <f t="shared" si="3042"/>
        <v>46234</v>
      </c>
      <c r="CB255" s="167">
        <f t="shared" si="3043"/>
        <v>0</v>
      </c>
      <c r="CC255" s="163">
        <f t="shared" si="3044"/>
        <v>46235</v>
      </c>
      <c r="CD255" s="163">
        <f t="shared" si="3045"/>
        <v>46265</v>
      </c>
      <c r="CE255" s="167">
        <f t="shared" si="3046"/>
        <v>0</v>
      </c>
      <c r="CF255" s="163">
        <f t="shared" si="3047"/>
        <v>46266</v>
      </c>
      <c r="CG255" s="163">
        <f t="shared" si="3048"/>
        <v>46295</v>
      </c>
      <c r="CH255" s="167">
        <f t="shared" si="3049"/>
        <v>0</v>
      </c>
      <c r="CI255" s="163">
        <f t="shared" si="3050"/>
        <v>46296</v>
      </c>
      <c r="CJ255" s="163">
        <f t="shared" si="3051"/>
        <v>46326</v>
      </c>
      <c r="CK255" s="167">
        <f t="shared" si="3052"/>
        <v>0</v>
      </c>
      <c r="CL255" s="163">
        <f t="shared" si="3053"/>
        <v>46327</v>
      </c>
      <c r="CM255" s="163">
        <f t="shared" si="3054"/>
        <v>46356</v>
      </c>
      <c r="CN255" s="167">
        <f t="shared" si="3055"/>
        <v>0</v>
      </c>
      <c r="CO255" s="163">
        <f t="shared" si="3056"/>
        <v>46357</v>
      </c>
      <c r="CP255" s="163">
        <f t="shared" si="3057"/>
        <v>46387</v>
      </c>
      <c r="CQ255" s="167">
        <f t="shared" si="3058"/>
        <v>0</v>
      </c>
    </row>
    <row r="256" s="89" customFormat="1" ht="24" hidden="1" customHeight="1" outlineLevel="4" spans="1:95">
      <c r="A256" s="128"/>
      <c r="B256" s="129"/>
      <c r="C256" s="130"/>
      <c r="D256" s="128"/>
      <c r="E256" s="129"/>
      <c r="F256" s="129"/>
      <c r="G256" s="129"/>
      <c r="H256" s="131"/>
      <c r="I256" s="131"/>
      <c r="J256" s="131">
        <f t="shared" si="2339"/>
        <v>0</v>
      </c>
      <c r="K256" s="131">
        <f t="shared" si="3059"/>
        <v>3</v>
      </c>
      <c r="L256" s="156"/>
      <c r="M256" s="157">
        <f>IFERROR(VLOOKUP($L256,'2-2 引出数据_合同数据仓库'!$B$5:$BP$200,3,FALSE),0)</f>
        <v>0</v>
      </c>
      <c r="N256" s="131"/>
      <c r="O256" s="157">
        <f>IFERROR(VLOOKUP((LEFT(VLOOKUP($L256,'2-2 引出数据_合同数据仓库'!$B$5:$BP$200,64,FALSE),15)&amp;(RIGHT(VLOOKUP($L256,'2-2 引出数据_合同数据仓库'!$B$5:$BP$200,64,FALSE),4)+1)),'2-2 引出数据_合同数据仓库'!$B$5:$BP$200,3,FALSE),0)</f>
        <v>0</v>
      </c>
      <c r="P256" s="131"/>
      <c r="Q256" s="131">
        <f>IFERROR(VLOOKUP($L256,'2-2 引出数据_合同数据仓库'!$B$5:$BP$200,28,FALSE),0)</f>
        <v>0</v>
      </c>
      <c r="R256" s="131">
        <f>IFERROR(VLOOKUP($L256,'2-2 引出数据_合同数据仓库'!$B$5:$BP$200,29,FALSE),0)</f>
        <v>0</v>
      </c>
      <c r="S256" s="131">
        <f>IFERROR(VLOOKUP($L256,'2-2 引出数据_合同数据仓库'!$B$5:$BP$200,4,FALSE),0)</f>
        <v>0</v>
      </c>
      <c r="T256" s="131"/>
      <c r="U256" s="131">
        <f>IFERROR(VLOOKUP($L256,'2-2 引出数据_合同数据仓库'!$B$5:$BP$200,15,FALSE),0)</f>
        <v>0</v>
      </c>
      <c r="V256" s="131">
        <f t="shared" si="2988"/>
        <v>0</v>
      </c>
      <c r="W256" s="131"/>
      <c r="X256" s="163">
        <v>45658</v>
      </c>
      <c r="Y256" s="163">
        <f t="shared" si="2989"/>
        <v>45688</v>
      </c>
      <c r="Z256" s="167">
        <f t="shared" si="2990"/>
        <v>0</v>
      </c>
      <c r="AA256" s="163">
        <f t="shared" si="2991"/>
        <v>45689</v>
      </c>
      <c r="AB256" s="163">
        <f t="shared" si="2992"/>
        <v>45716</v>
      </c>
      <c r="AC256" s="167">
        <f t="shared" si="2993"/>
        <v>0</v>
      </c>
      <c r="AD256" s="163">
        <f t="shared" si="2994"/>
        <v>45717</v>
      </c>
      <c r="AE256" s="163">
        <f t="shared" si="2995"/>
        <v>45747</v>
      </c>
      <c r="AF256" s="167">
        <f t="shared" si="2996"/>
        <v>0</v>
      </c>
      <c r="AG256" s="163">
        <f t="shared" si="2997"/>
        <v>45748</v>
      </c>
      <c r="AH256" s="163">
        <f t="shared" si="2998"/>
        <v>45777</v>
      </c>
      <c r="AI256" s="167">
        <f t="shared" si="2999"/>
        <v>0</v>
      </c>
      <c r="AJ256" s="163">
        <f t="shared" si="3000"/>
        <v>45778</v>
      </c>
      <c r="AK256" s="163">
        <f t="shared" si="3001"/>
        <v>45808</v>
      </c>
      <c r="AL256" s="167">
        <f t="shared" si="3002"/>
        <v>0</v>
      </c>
      <c r="AM256" s="163">
        <f t="shared" si="3003"/>
        <v>45809</v>
      </c>
      <c r="AN256" s="163">
        <f t="shared" si="3004"/>
        <v>45838</v>
      </c>
      <c r="AO256" s="167">
        <f t="shared" si="3005"/>
        <v>0</v>
      </c>
      <c r="AP256" s="163">
        <f t="shared" si="3006"/>
        <v>45839</v>
      </c>
      <c r="AQ256" s="163">
        <f t="shared" si="3007"/>
        <v>45869</v>
      </c>
      <c r="AR256" s="167">
        <f t="shared" si="3008"/>
        <v>0</v>
      </c>
      <c r="AS256" s="163">
        <f t="shared" si="3009"/>
        <v>45870</v>
      </c>
      <c r="AT256" s="163">
        <f t="shared" si="3010"/>
        <v>45900</v>
      </c>
      <c r="AU256" s="167">
        <f t="shared" si="3011"/>
        <v>0</v>
      </c>
      <c r="AV256" s="163">
        <f t="shared" si="3012"/>
        <v>45901</v>
      </c>
      <c r="AW256" s="163">
        <f t="shared" si="3013"/>
        <v>45930</v>
      </c>
      <c r="AX256" s="167">
        <f t="shared" si="3014"/>
        <v>0</v>
      </c>
      <c r="AY256" s="163">
        <f t="shared" si="3015"/>
        <v>45931</v>
      </c>
      <c r="AZ256" s="163">
        <f t="shared" si="3016"/>
        <v>45961</v>
      </c>
      <c r="BA256" s="167">
        <f t="shared" si="3017"/>
        <v>0</v>
      </c>
      <c r="BB256" s="163">
        <f t="shared" si="3018"/>
        <v>45962</v>
      </c>
      <c r="BC256" s="163">
        <f t="shared" si="3019"/>
        <v>45991</v>
      </c>
      <c r="BD256" s="167">
        <f t="shared" si="3020"/>
        <v>0</v>
      </c>
      <c r="BE256" s="163">
        <f t="shared" si="3021"/>
        <v>45992</v>
      </c>
      <c r="BF256" s="163">
        <f t="shared" si="3022"/>
        <v>46022</v>
      </c>
      <c r="BG256" s="167">
        <f t="shared" si="3023"/>
        <v>0</v>
      </c>
      <c r="BH256" s="163">
        <v>46023</v>
      </c>
      <c r="BI256" s="163">
        <f t="shared" si="3024"/>
        <v>46053</v>
      </c>
      <c r="BJ256" s="167">
        <f t="shared" si="3025"/>
        <v>0</v>
      </c>
      <c r="BK256" s="163">
        <f t="shared" si="3026"/>
        <v>46054</v>
      </c>
      <c r="BL256" s="163">
        <f t="shared" si="3027"/>
        <v>46081</v>
      </c>
      <c r="BM256" s="167">
        <f t="shared" si="3028"/>
        <v>0</v>
      </c>
      <c r="BN256" s="163">
        <f t="shared" si="3029"/>
        <v>46082</v>
      </c>
      <c r="BO256" s="163">
        <f t="shared" si="3030"/>
        <v>46112</v>
      </c>
      <c r="BP256" s="167">
        <f t="shared" si="3031"/>
        <v>0</v>
      </c>
      <c r="BQ256" s="163">
        <f t="shared" si="3032"/>
        <v>46113</v>
      </c>
      <c r="BR256" s="163">
        <f t="shared" si="3033"/>
        <v>46142</v>
      </c>
      <c r="BS256" s="167">
        <f t="shared" si="3034"/>
        <v>0</v>
      </c>
      <c r="BT256" s="163">
        <f t="shared" si="3035"/>
        <v>46143</v>
      </c>
      <c r="BU256" s="163">
        <f t="shared" si="3036"/>
        <v>46173</v>
      </c>
      <c r="BV256" s="167">
        <f t="shared" si="3037"/>
        <v>0</v>
      </c>
      <c r="BW256" s="163">
        <f t="shared" si="3038"/>
        <v>46174</v>
      </c>
      <c r="BX256" s="163">
        <f t="shared" si="3039"/>
        <v>46203</v>
      </c>
      <c r="BY256" s="167">
        <f t="shared" si="3040"/>
        <v>0</v>
      </c>
      <c r="BZ256" s="163">
        <f t="shared" si="3041"/>
        <v>46204</v>
      </c>
      <c r="CA256" s="163">
        <f t="shared" si="3042"/>
        <v>46234</v>
      </c>
      <c r="CB256" s="167">
        <f t="shared" si="3043"/>
        <v>0</v>
      </c>
      <c r="CC256" s="163">
        <f t="shared" si="3044"/>
        <v>46235</v>
      </c>
      <c r="CD256" s="163">
        <f t="shared" si="3045"/>
        <v>46265</v>
      </c>
      <c r="CE256" s="167">
        <f t="shared" si="3046"/>
        <v>0</v>
      </c>
      <c r="CF256" s="163">
        <f t="shared" si="3047"/>
        <v>46266</v>
      </c>
      <c r="CG256" s="163">
        <f t="shared" si="3048"/>
        <v>46295</v>
      </c>
      <c r="CH256" s="167">
        <f t="shared" si="3049"/>
        <v>0</v>
      </c>
      <c r="CI256" s="163">
        <f t="shared" si="3050"/>
        <v>46296</v>
      </c>
      <c r="CJ256" s="163">
        <f t="shared" si="3051"/>
        <v>46326</v>
      </c>
      <c r="CK256" s="167">
        <f t="shared" si="3052"/>
        <v>0</v>
      </c>
      <c r="CL256" s="163">
        <f t="shared" si="3053"/>
        <v>46327</v>
      </c>
      <c r="CM256" s="163">
        <f t="shared" si="3054"/>
        <v>46356</v>
      </c>
      <c r="CN256" s="167">
        <f t="shared" si="3055"/>
        <v>0</v>
      </c>
      <c r="CO256" s="163">
        <f t="shared" si="3056"/>
        <v>46357</v>
      </c>
      <c r="CP256" s="163">
        <f t="shared" si="3057"/>
        <v>46387</v>
      </c>
      <c r="CQ256" s="167">
        <f t="shared" si="3058"/>
        <v>0</v>
      </c>
    </row>
    <row r="257" s="89" customFormat="1" ht="24" hidden="1" customHeight="1" outlineLevel="4" spans="1:95">
      <c r="A257" s="128"/>
      <c r="B257" s="129"/>
      <c r="C257" s="130"/>
      <c r="D257" s="128"/>
      <c r="E257" s="129"/>
      <c r="F257" s="129"/>
      <c r="G257" s="129"/>
      <c r="H257" s="131"/>
      <c r="I257" s="131"/>
      <c r="J257" s="131">
        <f t="shared" si="2339"/>
        <v>0</v>
      </c>
      <c r="K257" s="131">
        <f t="shared" si="3059"/>
        <v>4</v>
      </c>
      <c r="L257" s="156"/>
      <c r="M257" s="157">
        <f>IFERROR(VLOOKUP($L257,'2-2 引出数据_合同数据仓库'!$B$5:$BP$200,3,FALSE),0)</f>
        <v>0</v>
      </c>
      <c r="N257" s="131"/>
      <c r="O257" s="157">
        <f>IFERROR(VLOOKUP((LEFT(VLOOKUP($L257,'2-2 引出数据_合同数据仓库'!$B$5:$BP$200,64,FALSE),15)&amp;(RIGHT(VLOOKUP($L257,'2-2 引出数据_合同数据仓库'!$B$5:$BP$200,64,FALSE),4)+1)),'2-2 引出数据_合同数据仓库'!$B$5:$BP$200,3,FALSE),0)</f>
        <v>0</v>
      </c>
      <c r="P257" s="131"/>
      <c r="Q257" s="131">
        <f>IFERROR(VLOOKUP($L257,'2-2 引出数据_合同数据仓库'!$B$5:$BP$200,28,FALSE),0)</f>
        <v>0</v>
      </c>
      <c r="R257" s="131">
        <f>IFERROR(VLOOKUP($L257,'2-2 引出数据_合同数据仓库'!$B$5:$BP$200,29,FALSE),0)</f>
        <v>0</v>
      </c>
      <c r="S257" s="131">
        <f>IFERROR(VLOOKUP($L257,'2-2 引出数据_合同数据仓库'!$B$5:$BP$200,4,FALSE),0)</f>
        <v>0</v>
      </c>
      <c r="T257" s="131"/>
      <c r="U257" s="131">
        <f>IFERROR(VLOOKUP($L257,'2-2 引出数据_合同数据仓库'!$B$5:$BP$200,15,FALSE),0)</f>
        <v>0</v>
      </c>
      <c r="V257" s="131">
        <f t="shared" si="2988"/>
        <v>0</v>
      </c>
      <c r="W257" s="131"/>
      <c r="X257" s="163">
        <v>45658</v>
      </c>
      <c r="Y257" s="163">
        <f t="shared" si="2989"/>
        <v>45688</v>
      </c>
      <c r="Z257" s="167">
        <f t="shared" si="2990"/>
        <v>0</v>
      </c>
      <c r="AA257" s="163">
        <f t="shared" si="2991"/>
        <v>45689</v>
      </c>
      <c r="AB257" s="163">
        <f t="shared" si="2992"/>
        <v>45716</v>
      </c>
      <c r="AC257" s="167">
        <f t="shared" si="2993"/>
        <v>0</v>
      </c>
      <c r="AD257" s="163">
        <f t="shared" si="2994"/>
        <v>45717</v>
      </c>
      <c r="AE257" s="163">
        <f t="shared" si="2995"/>
        <v>45747</v>
      </c>
      <c r="AF257" s="167">
        <f t="shared" si="2996"/>
        <v>0</v>
      </c>
      <c r="AG257" s="163">
        <f t="shared" si="2997"/>
        <v>45748</v>
      </c>
      <c r="AH257" s="163">
        <f t="shared" si="2998"/>
        <v>45777</v>
      </c>
      <c r="AI257" s="167">
        <f t="shared" si="2999"/>
        <v>0</v>
      </c>
      <c r="AJ257" s="163">
        <f t="shared" si="3000"/>
        <v>45778</v>
      </c>
      <c r="AK257" s="163">
        <f t="shared" si="3001"/>
        <v>45808</v>
      </c>
      <c r="AL257" s="167">
        <f t="shared" si="3002"/>
        <v>0</v>
      </c>
      <c r="AM257" s="163">
        <f t="shared" si="3003"/>
        <v>45809</v>
      </c>
      <c r="AN257" s="163">
        <f t="shared" si="3004"/>
        <v>45838</v>
      </c>
      <c r="AO257" s="167">
        <f t="shared" si="3005"/>
        <v>0</v>
      </c>
      <c r="AP257" s="163">
        <f t="shared" si="3006"/>
        <v>45839</v>
      </c>
      <c r="AQ257" s="163">
        <f t="shared" si="3007"/>
        <v>45869</v>
      </c>
      <c r="AR257" s="167">
        <f t="shared" si="3008"/>
        <v>0</v>
      </c>
      <c r="AS257" s="163">
        <f t="shared" si="3009"/>
        <v>45870</v>
      </c>
      <c r="AT257" s="163">
        <f t="shared" si="3010"/>
        <v>45900</v>
      </c>
      <c r="AU257" s="167">
        <f t="shared" si="3011"/>
        <v>0</v>
      </c>
      <c r="AV257" s="163">
        <f t="shared" si="3012"/>
        <v>45901</v>
      </c>
      <c r="AW257" s="163">
        <f t="shared" si="3013"/>
        <v>45930</v>
      </c>
      <c r="AX257" s="167">
        <f t="shared" si="3014"/>
        <v>0</v>
      </c>
      <c r="AY257" s="163">
        <f t="shared" si="3015"/>
        <v>45931</v>
      </c>
      <c r="AZ257" s="163">
        <f t="shared" si="3016"/>
        <v>45961</v>
      </c>
      <c r="BA257" s="167">
        <f t="shared" si="3017"/>
        <v>0</v>
      </c>
      <c r="BB257" s="163">
        <f t="shared" si="3018"/>
        <v>45962</v>
      </c>
      <c r="BC257" s="163">
        <f t="shared" si="3019"/>
        <v>45991</v>
      </c>
      <c r="BD257" s="167">
        <f t="shared" si="3020"/>
        <v>0</v>
      </c>
      <c r="BE257" s="163">
        <f t="shared" si="3021"/>
        <v>45992</v>
      </c>
      <c r="BF257" s="163">
        <f t="shared" si="3022"/>
        <v>46022</v>
      </c>
      <c r="BG257" s="167">
        <f t="shared" si="3023"/>
        <v>0</v>
      </c>
      <c r="BH257" s="163">
        <v>46023</v>
      </c>
      <c r="BI257" s="163">
        <f t="shared" si="3024"/>
        <v>46053</v>
      </c>
      <c r="BJ257" s="167">
        <f t="shared" si="3025"/>
        <v>0</v>
      </c>
      <c r="BK257" s="163">
        <f t="shared" si="3026"/>
        <v>46054</v>
      </c>
      <c r="BL257" s="163">
        <f t="shared" si="3027"/>
        <v>46081</v>
      </c>
      <c r="BM257" s="167">
        <f t="shared" si="3028"/>
        <v>0</v>
      </c>
      <c r="BN257" s="163">
        <f t="shared" si="3029"/>
        <v>46082</v>
      </c>
      <c r="BO257" s="163">
        <f t="shared" si="3030"/>
        <v>46112</v>
      </c>
      <c r="BP257" s="167">
        <f t="shared" si="3031"/>
        <v>0</v>
      </c>
      <c r="BQ257" s="163">
        <f t="shared" si="3032"/>
        <v>46113</v>
      </c>
      <c r="BR257" s="163">
        <f t="shared" si="3033"/>
        <v>46142</v>
      </c>
      <c r="BS257" s="167">
        <f t="shared" si="3034"/>
        <v>0</v>
      </c>
      <c r="BT257" s="163">
        <f t="shared" si="3035"/>
        <v>46143</v>
      </c>
      <c r="BU257" s="163">
        <f t="shared" si="3036"/>
        <v>46173</v>
      </c>
      <c r="BV257" s="167">
        <f t="shared" si="3037"/>
        <v>0</v>
      </c>
      <c r="BW257" s="163">
        <f t="shared" si="3038"/>
        <v>46174</v>
      </c>
      <c r="BX257" s="163">
        <f t="shared" si="3039"/>
        <v>46203</v>
      </c>
      <c r="BY257" s="167">
        <f t="shared" si="3040"/>
        <v>0</v>
      </c>
      <c r="BZ257" s="163">
        <f t="shared" si="3041"/>
        <v>46204</v>
      </c>
      <c r="CA257" s="163">
        <f t="shared" si="3042"/>
        <v>46234</v>
      </c>
      <c r="CB257" s="167">
        <f t="shared" si="3043"/>
        <v>0</v>
      </c>
      <c r="CC257" s="163">
        <f t="shared" si="3044"/>
        <v>46235</v>
      </c>
      <c r="CD257" s="163">
        <f t="shared" si="3045"/>
        <v>46265</v>
      </c>
      <c r="CE257" s="167">
        <f t="shared" si="3046"/>
        <v>0</v>
      </c>
      <c r="CF257" s="163">
        <f t="shared" si="3047"/>
        <v>46266</v>
      </c>
      <c r="CG257" s="163">
        <f t="shared" si="3048"/>
        <v>46295</v>
      </c>
      <c r="CH257" s="167">
        <f t="shared" si="3049"/>
        <v>0</v>
      </c>
      <c r="CI257" s="163">
        <f t="shared" si="3050"/>
        <v>46296</v>
      </c>
      <c r="CJ257" s="163">
        <f t="shared" si="3051"/>
        <v>46326</v>
      </c>
      <c r="CK257" s="167">
        <f t="shared" si="3052"/>
        <v>0</v>
      </c>
      <c r="CL257" s="163">
        <f t="shared" si="3053"/>
        <v>46327</v>
      </c>
      <c r="CM257" s="163">
        <f t="shared" si="3054"/>
        <v>46356</v>
      </c>
      <c r="CN257" s="167">
        <f t="shared" si="3055"/>
        <v>0</v>
      </c>
      <c r="CO257" s="163">
        <f t="shared" si="3056"/>
        <v>46357</v>
      </c>
      <c r="CP257" s="163">
        <f t="shared" si="3057"/>
        <v>46387</v>
      </c>
      <c r="CQ257" s="167">
        <f t="shared" si="3058"/>
        <v>0</v>
      </c>
    </row>
    <row r="258" s="89" customFormat="1" ht="24" hidden="1" customHeight="1" outlineLevel="4" spans="1:95">
      <c r="A258" s="132" t="s">
        <v>2813</v>
      </c>
      <c r="B258" s="133"/>
      <c r="C258" s="133"/>
      <c r="D258" s="133"/>
      <c r="E258" s="133"/>
      <c r="F258" s="133"/>
      <c r="G258" s="134"/>
      <c r="H258" s="135"/>
      <c r="I258" s="135"/>
      <c r="J258" s="135"/>
      <c r="K258" s="135"/>
      <c r="L258" s="158"/>
      <c r="M258" s="158"/>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c r="CL258" s="135"/>
      <c r="CM258" s="135"/>
      <c r="CN258" s="135"/>
      <c r="CO258" s="135"/>
      <c r="CP258" s="135"/>
      <c r="CQ258" s="135"/>
    </row>
    <row r="259" ht="24" hidden="1" customHeight="1" outlineLevel="3" collapsed="1" spans="1:95">
      <c r="A259" s="124"/>
      <c r="B259" s="125" t="s">
        <v>792</v>
      </c>
      <c r="C259" s="126" t="s">
        <v>1205</v>
      </c>
      <c r="D259" s="124" t="s">
        <v>1206</v>
      </c>
      <c r="E259" s="125" t="s">
        <v>1207</v>
      </c>
      <c r="F259" s="125"/>
      <c r="G259" s="125" t="s">
        <v>936</v>
      </c>
      <c r="H259" s="127">
        <f>X259+AA259+AD259+AG259+AJ259+AM259+AP259+AS259+AV259+AY259+BB259+BE259</f>
        <v>0</v>
      </c>
      <c r="I259" s="127">
        <f>Y259+AB259+AE259+AH259+AK259+AN259+AQ259+AT259+AW259+AZ259+BC259+BF259</f>
        <v>0</v>
      </c>
      <c r="J259" s="127">
        <f t="shared" si="2339"/>
        <v>0</v>
      </c>
      <c r="K259" s="127"/>
      <c r="L259" s="155"/>
      <c r="M259" s="155"/>
      <c r="N259" s="127"/>
      <c r="O259" s="127"/>
      <c r="P259" s="127"/>
      <c r="Q259" s="127"/>
      <c r="R259" s="127"/>
      <c r="S259" s="127"/>
      <c r="T259" s="127"/>
      <c r="U259" s="127"/>
      <c r="V259" s="127"/>
      <c r="W259" s="127"/>
      <c r="X259" s="127">
        <f>VLOOKUP($C259,'1 预算编制表单'!$C:$BJ,27,FALSE)</f>
        <v>0</v>
      </c>
      <c r="Y259" s="127">
        <f>X259-Z259</f>
        <v>0</v>
      </c>
      <c r="Z259" s="127">
        <f>SUM(Z260:Z264)</f>
        <v>0</v>
      </c>
      <c r="AA259" s="127">
        <f>VLOOKUP($C259,'1 预算编制表单'!$C:$BJ,30,FALSE)</f>
        <v>0</v>
      </c>
      <c r="AB259" s="127">
        <f>AA259-AC259</f>
        <v>0</v>
      </c>
      <c r="AC259" s="127">
        <f>SUM(AC260:AC264)</f>
        <v>0</v>
      </c>
      <c r="AD259" s="127">
        <f>VLOOKUP($C259,'1 预算编制表单'!$C:$BJ,33,FALSE)</f>
        <v>0</v>
      </c>
      <c r="AE259" s="127">
        <f>AD259-AF259</f>
        <v>0</v>
      </c>
      <c r="AF259" s="127">
        <f>SUM(AF260:AF264)</f>
        <v>0</v>
      </c>
      <c r="AG259" s="127">
        <f>VLOOKUP($C259,'1 预算编制表单'!$C:$BJ,36,FALSE)</f>
        <v>0</v>
      </c>
      <c r="AH259" s="127">
        <f>AG259-AI259</f>
        <v>0</v>
      </c>
      <c r="AI259" s="127">
        <f>SUM(AI260:AI264)</f>
        <v>0</v>
      </c>
      <c r="AJ259" s="127">
        <f>VLOOKUP($C259,'1 预算编制表单'!$C:$BJ,39,FALSE)</f>
        <v>0</v>
      </c>
      <c r="AK259" s="127">
        <f>AJ259-AL259</f>
        <v>0</v>
      </c>
      <c r="AL259" s="127">
        <f>SUM(AL260:AL264)</f>
        <v>0</v>
      </c>
      <c r="AM259" s="127">
        <f>VLOOKUP($C259,'1 预算编制表单'!$C:$BJ,42,FALSE)</f>
        <v>0</v>
      </c>
      <c r="AN259" s="127">
        <f>AM259-AO259</f>
        <v>0</v>
      </c>
      <c r="AO259" s="127">
        <f>SUM(AO260:AO264)</f>
        <v>0</v>
      </c>
      <c r="AP259" s="127">
        <f>VLOOKUP($C259,'1 预算编制表单'!$C:$BJ,45,FALSE)</f>
        <v>0</v>
      </c>
      <c r="AQ259" s="127">
        <f>AP259-AR259</f>
        <v>0</v>
      </c>
      <c r="AR259" s="127">
        <f>SUM(AR260:AR264)</f>
        <v>0</v>
      </c>
      <c r="AS259" s="127">
        <f>VLOOKUP($C259,'1 预算编制表单'!$C:$BJ,48,FALSE)</f>
        <v>0</v>
      </c>
      <c r="AT259" s="127">
        <f>AS259-AU259</f>
        <v>0</v>
      </c>
      <c r="AU259" s="127">
        <f>SUM(AU260:AU264)</f>
        <v>0</v>
      </c>
      <c r="AV259" s="127">
        <f>VLOOKUP($C259,'1 预算编制表单'!$C:$BJ,51,FALSE)</f>
        <v>0</v>
      </c>
      <c r="AW259" s="127">
        <f>AV259-AX259</f>
        <v>0</v>
      </c>
      <c r="AX259" s="127">
        <f>SUM(AX260:AX264)</f>
        <v>0</v>
      </c>
      <c r="AY259" s="127">
        <f>VLOOKUP($C259,'1 预算编制表单'!$C:$BJ,54,FALSE)</f>
        <v>0</v>
      </c>
      <c r="AZ259" s="127">
        <f>AY259-BA259</f>
        <v>0</v>
      </c>
      <c r="BA259" s="127">
        <f>SUM(BA260:BA264)</f>
        <v>0</v>
      </c>
      <c r="BB259" s="127">
        <f>VLOOKUP($C259,'1 预算编制表单'!$C:$BJ,57,FALSE)</f>
        <v>0</v>
      </c>
      <c r="BC259" s="127">
        <f>BB259-BD259</f>
        <v>0</v>
      </c>
      <c r="BD259" s="127">
        <f>SUM(BD260:BD264)</f>
        <v>0</v>
      </c>
      <c r="BE259" s="127">
        <f>VLOOKUP($C259,'1 预算编制表单'!$C:$BJ,60,FALSE)</f>
        <v>0</v>
      </c>
      <c r="BF259" s="127">
        <f>BE259-BG259</f>
        <v>0</v>
      </c>
      <c r="BG259" s="127">
        <f>SUM(BG260:BG264)</f>
        <v>0</v>
      </c>
      <c r="BH259" s="127">
        <f>VLOOKUP($C259,'1 预算编制表单'!$C:$BJ,27,FALSE)</f>
        <v>0</v>
      </c>
      <c r="BI259" s="127">
        <f>BH259-BJ259</f>
        <v>0</v>
      </c>
      <c r="BJ259" s="127">
        <f>SUM(BJ260:BJ264)</f>
        <v>0</v>
      </c>
      <c r="BK259" s="127">
        <f>VLOOKUP($C259,'1 预算编制表单'!$C:$BJ,30,FALSE)</f>
        <v>0</v>
      </c>
      <c r="BL259" s="127">
        <f>BK259-BM259</f>
        <v>0</v>
      </c>
      <c r="BM259" s="127">
        <f>SUM(BM260:BM264)</f>
        <v>0</v>
      </c>
      <c r="BN259" s="127">
        <f>VLOOKUP($C259,'1 预算编制表单'!$C:$BJ,33,FALSE)</f>
        <v>0</v>
      </c>
      <c r="BO259" s="127">
        <f>BN259-BP259</f>
        <v>0</v>
      </c>
      <c r="BP259" s="127">
        <f>SUM(BP260:BP264)</f>
        <v>0</v>
      </c>
      <c r="BQ259" s="127">
        <f>VLOOKUP($C259,'1 预算编制表单'!$C:$BJ,36,FALSE)</f>
        <v>0</v>
      </c>
      <c r="BR259" s="127">
        <f>BQ259-BS259</f>
        <v>0</v>
      </c>
      <c r="BS259" s="127">
        <f>SUM(BS260:BS264)</f>
        <v>0</v>
      </c>
      <c r="BT259" s="127">
        <f>VLOOKUP($C259,'1 预算编制表单'!$C:$BJ,39,FALSE)</f>
        <v>0</v>
      </c>
      <c r="BU259" s="127">
        <f>BT259-BV259</f>
        <v>0</v>
      </c>
      <c r="BV259" s="127">
        <f>SUM(BV260:BV264)</f>
        <v>0</v>
      </c>
      <c r="BW259" s="127">
        <f>VLOOKUP($C259,'1 预算编制表单'!$C:$BJ,42,FALSE)</f>
        <v>0</v>
      </c>
      <c r="BX259" s="127">
        <f>BW259-BY259</f>
        <v>0</v>
      </c>
      <c r="BY259" s="127">
        <f>SUM(BY260:BY264)</f>
        <v>0</v>
      </c>
      <c r="BZ259" s="127">
        <f>VLOOKUP($C259,'1 预算编制表单'!$C:$BJ,45,FALSE)</f>
        <v>0</v>
      </c>
      <c r="CA259" s="127">
        <f>BZ259-CB259</f>
        <v>0</v>
      </c>
      <c r="CB259" s="127">
        <f>SUM(CB260:CB264)</f>
        <v>0</v>
      </c>
      <c r="CC259" s="127">
        <f>VLOOKUP($C259,'1 预算编制表单'!$C:$BJ,48,FALSE)</f>
        <v>0</v>
      </c>
      <c r="CD259" s="127">
        <f>CC259-CE259</f>
        <v>0</v>
      </c>
      <c r="CE259" s="127">
        <f>SUM(CE260:CE264)</f>
        <v>0</v>
      </c>
      <c r="CF259" s="127">
        <f>VLOOKUP($C259,'1 预算编制表单'!$C:$BJ,51,FALSE)</f>
        <v>0</v>
      </c>
      <c r="CG259" s="127">
        <f>CF259-CH259</f>
        <v>0</v>
      </c>
      <c r="CH259" s="127">
        <f>SUM(CH260:CH264)</f>
        <v>0</v>
      </c>
      <c r="CI259" s="127">
        <f>VLOOKUP($C259,'1 预算编制表单'!$C:$BJ,54,FALSE)</f>
        <v>0</v>
      </c>
      <c r="CJ259" s="127">
        <f>CI259-CK259</f>
        <v>0</v>
      </c>
      <c r="CK259" s="127">
        <f>SUM(CK260:CK264)</f>
        <v>0</v>
      </c>
      <c r="CL259" s="127">
        <f>VLOOKUP($C259,'1 预算编制表单'!$C:$BJ,57,FALSE)</f>
        <v>0</v>
      </c>
      <c r="CM259" s="127">
        <f>CL259-CN259</f>
        <v>0</v>
      </c>
      <c r="CN259" s="127">
        <f>SUM(CN260:CN264)</f>
        <v>0</v>
      </c>
      <c r="CO259" s="127">
        <f>VLOOKUP($C259,'1 预算编制表单'!$C:$BJ,60,FALSE)</f>
        <v>0</v>
      </c>
      <c r="CP259" s="127">
        <f>CO259-CQ259</f>
        <v>0</v>
      </c>
      <c r="CQ259" s="127">
        <f>SUM(CQ260:CQ264)</f>
        <v>0</v>
      </c>
    </row>
    <row r="260" s="89" customFormat="1" ht="24" hidden="1" customHeight="1" outlineLevel="4" spans="1:95">
      <c r="A260" s="128"/>
      <c r="B260" s="129"/>
      <c r="C260" s="130"/>
      <c r="D260" s="128"/>
      <c r="E260" s="129"/>
      <c r="F260" s="129"/>
      <c r="G260" s="129"/>
      <c r="H260" s="131"/>
      <c r="I260" s="131"/>
      <c r="J260" s="131">
        <f t="shared" si="2339"/>
        <v>0</v>
      </c>
      <c r="K260" s="131">
        <v>1</v>
      </c>
      <c r="L260" s="156"/>
      <c r="M260" s="157">
        <f>IFERROR(VLOOKUP($L260,'2-2 引出数据_合同数据仓库'!$B$5:$BP$200,3,FALSE),0)</f>
        <v>0</v>
      </c>
      <c r="N260" s="131"/>
      <c r="O260" s="157">
        <f>IFERROR(VLOOKUP((LEFT(VLOOKUP($L260,'2-2 引出数据_合同数据仓库'!$B$5:$BP$200,64,FALSE),15)&amp;(RIGHT(VLOOKUP($L260,'2-2 引出数据_合同数据仓库'!$B$5:$BP$200,64,FALSE),4)+1)),'2-2 引出数据_合同数据仓库'!$B$5:$BP$200,3,FALSE),0)</f>
        <v>0</v>
      </c>
      <c r="P260" s="131"/>
      <c r="Q260" s="131">
        <f>IFERROR(VLOOKUP($L260,'2-2 引出数据_合同数据仓库'!$B$5:$BP$200,28,FALSE),0)</f>
        <v>0</v>
      </c>
      <c r="R260" s="131">
        <f>IFERROR(VLOOKUP($L260,'2-2 引出数据_合同数据仓库'!$B$5:$BP$200,29,FALSE),0)</f>
        <v>0</v>
      </c>
      <c r="S260" s="131">
        <f>IFERROR(VLOOKUP($L260,'2-2 引出数据_合同数据仓库'!$B$5:$BP$200,4,FALSE),0)</f>
        <v>0</v>
      </c>
      <c r="T260" s="131"/>
      <c r="U260" s="131">
        <f>IFERROR(VLOOKUP($L260,'2-2 引出数据_合同数据仓库'!$B$5:$BP$200,15,FALSE),0)</f>
        <v>0</v>
      </c>
      <c r="V260" s="131">
        <f t="shared" ref="V260:V263" si="3060">U260/(S260-R260+1)*365</f>
        <v>0</v>
      </c>
      <c r="W260" s="131"/>
      <c r="X260" s="163">
        <v>45658</v>
      </c>
      <c r="Y260" s="163">
        <f t="shared" ref="Y260:Y263" si="3061">X260+30</f>
        <v>45688</v>
      </c>
      <c r="Z260" s="167">
        <f t="shared" ref="Z260:Z263" si="3062">IFERROR(IF(($R260-Y260)&gt;=0,0,IF(($S260-X260)&lt;0,0,IF(AND(($S260-Y260)&gt;0,(X260-$R260)&gt;0),$V260/365*(Y260-X260+1),IF(AND(($S260-Y260)&lt;=0,(X260-$R260)&gt;0),$V260/365*($S260-X260+1),$V260/365*(Y260-$R260+1))))),0)</f>
        <v>0</v>
      </c>
      <c r="AA260" s="163">
        <f t="shared" ref="AA260:AA263" si="3063">Y260+1</f>
        <v>45689</v>
      </c>
      <c r="AB260" s="163">
        <f t="shared" ref="AB260:AB263" si="3064">AA260+27</f>
        <v>45716</v>
      </c>
      <c r="AC260" s="167">
        <f t="shared" ref="AC260:AC263" si="3065">IFERROR(IF(($R260-AB260)&gt;=0,0,IF(($S260-AA260)&lt;0,0,IF(AND(($S260-AB260)&gt;0,(AA260-$R260)&gt;0),$V260/365*(AB260-AA260+1),IF(AND(($S260-AB260)&lt;=0,(AA260-$R260)&gt;0),$V260/365*($S260-AA260+1),$V260/365*(AB260-$R260+1))))),0)</f>
        <v>0</v>
      </c>
      <c r="AD260" s="163">
        <f t="shared" ref="AD260:AD263" si="3066">AB260+1</f>
        <v>45717</v>
      </c>
      <c r="AE260" s="163">
        <f t="shared" ref="AE260:AE263" si="3067">AD260+30</f>
        <v>45747</v>
      </c>
      <c r="AF260" s="167">
        <f t="shared" ref="AF260:AF263" si="3068">IFERROR(IF(($R260-AE260)&gt;=0,0,IF(($S260-AD260)&lt;0,0,IF(AND(($S260-AE260)&gt;0,(AD260-$R260)&gt;0),$V260/365*(AE260-AD260+1),IF(AND(($S260-AE260)&lt;=0,(AD260-$R260)&gt;0),$V260/365*($S260-AD260+1),$V260/365*(AE260-$R260+1))))),0)</f>
        <v>0</v>
      </c>
      <c r="AG260" s="163">
        <f t="shared" ref="AG260:AG263" si="3069">AE260+1</f>
        <v>45748</v>
      </c>
      <c r="AH260" s="163">
        <f t="shared" ref="AH260:AH263" si="3070">AG260+29</f>
        <v>45777</v>
      </c>
      <c r="AI260" s="167">
        <f t="shared" ref="AI260:AI263" si="3071">IFERROR(IF(($R260-AH260)&gt;=0,0,IF(($S260-AG260)&lt;0,0,IF(AND(($S260-AH260)&gt;0,(AG260-$R260)&gt;0),$V260/365*(AH260-AG260+1),IF(AND(($S260-AH260)&lt;=0,(AG260-$R260)&gt;0),$V260/365*($S260-AG260+1),$V260/365*(AH260-$R260+1))))),0)</f>
        <v>0</v>
      </c>
      <c r="AJ260" s="163">
        <f t="shared" ref="AJ260:AJ263" si="3072">AH260+1</f>
        <v>45778</v>
      </c>
      <c r="AK260" s="163">
        <f t="shared" ref="AK260:AK263" si="3073">AJ260+30</f>
        <v>45808</v>
      </c>
      <c r="AL260" s="167">
        <f t="shared" ref="AL260:AL263" si="3074">IFERROR(IF(($R260-AK260)&gt;=0,0,IF(($S260-AJ260)&lt;0,0,IF(AND(($S260-AK260)&gt;0,(AJ260-$R260)&gt;0),$V260/365*(AK260-AJ260+1),IF(AND(($S260-AK260)&lt;=0,(AJ260-$R260)&gt;0),$V260/365*($S260-AJ260+1),$V260/365*(AK260-$R260+1))))),0)</f>
        <v>0</v>
      </c>
      <c r="AM260" s="163">
        <f t="shared" ref="AM260:AM263" si="3075">AK260+1</f>
        <v>45809</v>
      </c>
      <c r="AN260" s="163">
        <f t="shared" ref="AN260:AN263" si="3076">AM260+29</f>
        <v>45838</v>
      </c>
      <c r="AO260" s="167">
        <f t="shared" ref="AO260:AO263" si="3077">IFERROR(IF(($R260-AN260)&gt;=0,0,IF(($S260-AM260)&lt;0,0,IF(AND(($S260-AN260)&gt;0,(AM260-$R260)&gt;0),$V260/365*(AN260-AM260+1),IF(AND(($S260-AN260)&lt;=0,(AM260-$R260)&gt;0),$V260/365*($S260-AM260+1),$V260/365*(AN260-$R260+1))))),0)</f>
        <v>0</v>
      </c>
      <c r="AP260" s="163">
        <f t="shared" ref="AP260:AP263" si="3078">AN260+1</f>
        <v>45839</v>
      </c>
      <c r="AQ260" s="163">
        <f t="shared" ref="AQ260:AQ263" si="3079">AP260+30</f>
        <v>45869</v>
      </c>
      <c r="AR260" s="167">
        <f t="shared" ref="AR260:AR263" si="3080">IFERROR(IF(($R260-AQ260)&gt;=0,0,IF(($S260-AP260)&lt;0,0,IF(AND(($S260-AQ260)&gt;0,(AP260-$R260)&gt;0),$V260/365*(AQ260-AP260+1),IF(AND(($S260-AQ260)&lt;=0,(AP260-$R260)&gt;0),$V260/365*($S260-AP260+1),$V260/365*(AQ260-$R260+1))))),0)</f>
        <v>0</v>
      </c>
      <c r="AS260" s="163">
        <f t="shared" ref="AS260:AS263" si="3081">AQ260+1</f>
        <v>45870</v>
      </c>
      <c r="AT260" s="163">
        <f t="shared" ref="AT260:AT263" si="3082">AS260+30</f>
        <v>45900</v>
      </c>
      <c r="AU260" s="167">
        <f t="shared" ref="AU260:AU263" si="3083">IFERROR(IF(($R260-AT260)&gt;=0,0,IF(($S260-AS260)&lt;0,0,IF(AND(($S260-AT260)&gt;0,(AS260-$R260)&gt;0),$V260/365*(AT260-AS260+1),IF(AND(($S260-AT260)&lt;=0,(AS260-$R260)&gt;0),$V260/365*($S260-AS260+1),$V260/365*(AT260-$R260+1))))),0)</f>
        <v>0</v>
      </c>
      <c r="AV260" s="163">
        <f t="shared" ref="AV260:AV263" si="3084">AT260+1</f>
        <v>45901</v>
      </c>
      <c r="AW260" s="163">
        <f t="shared" ref="AW260:AW263" si="3085">AV260+29</f>
        <v>45930</v>
      </c>
      <c r="AX260" s="167">
        <f t="shared" ref="AX260:AX263" si="3086">IFERROR(IF(($R260-AW260)&gt;=0,0,IF(($S260-AV260)&lt;0,0,IF(AND(($S260-AW260)&gt;0,(AV260-$R260)&gt;0),$V260/365*(AW260-AV260+1),IF(AND(($S260-AW260)&lt;=0,(AV260-$R260)&gt;0),$V260/365*($S260-AV260+1),$V260/365*(AW260-$R260+1))))),0)</f>
        <v>0</v>
      </c>
      <c r="AY260" s="163">
        <f t="shared" ref="AY260:AY263" si="3087">AW260+1</f>
        <v>45931</v>
      </c>
      <c r="AZ260" s="163">
        <f t="shared" ref="AZ260:AZ263" si="3088">AY260+30</f>
        <v>45961</v>
      </c>
      <c r="BA260" s="167">
        <f t="shared" ref="BA260:BA263" si="3089">IFERROR(IF(($R260-AZ260)&gt;=0,0,IF(($S260-AY260)&lt;0,0,IF(AND(($S260-AZ260)&gt;0,(AY260-$R260)&gt;0),$V260/365*(AZ260-AY260+1),IF(AND(($S260-AZ260)&lt;=0,(AY260-$R260)&gt;0),$V260/365*($S260-AY260+1),$V260/365*(AZ260-$R260+1))))),0)</f>
        <v>0</v>
      </c>
      <c r="BB260" s="163">
        <f t="shared" ref="BB260:BB263" si="3090">AZ260+1</f>
        <v>45962</v>
      </c>
      <c r="BC260" s="163">
        <f t="shared" ref="BC260:BC263" si="3091">BB260+29</f>
        <v>45991</v>
      </c>
      <c r="BD260" s="167">
        <f t="shared" ref="BD260:BD263" si="3092">IFERROR(IF(($R260-BC260)&gt;=0,0,IF(($S260-BB260)&lt;0,0,IF(AND(($S260-BC260)&gt;0,(BB260-$R260)&gt;0),$V260/365*(BC260-BB260+1),IF(AND(($S260-BC260)&lt;=0,(BB260-$R260)&gt;0),$V260/365*($S260-BB260+1),$V260/365*(BC260-$R260+1))))),0)</f>
        <v>0</v>
      </c>
      <c r="BE260" s="163">
        <f t="shared" ref="BE260:BE263" si="3093">BC260+1</f>
        <v>45992</v>
      </c>
      <c r="BF260" s="163">
        <f t="shared" ref="BF260:BF263" si="3094">BE260+30</f>
        <v>46022</v>
      </c>
      <c r="BG260" s="167">
        <f t="shared" ref="BG260:BG263" si="3095">IFERROR(IF(($R260-BF260)&gt;=0,0,IF(($S260-BE260)&lt;0,0,IF(AND(($S260-BF260)&gt;0,(BE260-$R260)&gt;0),$V260/365*(BF260-BE260+1),IF(AND(($S260-BF260)&lt;=0,(BE260-$R260)&gt;0),$V260/365*($S260-BE260+1),$V260/365*(BF260-$R260+1))))),0)</f>
        <v>0</v>
      </c>
      <c r="BH260" s="163">
        <v>46023</v>
      </c>
      <c r="BI260" s="163">
        <f t="shared" ref="BI260:BI263" si="3096">BH260+30</f>
        <v>46053</v>
      </c>
      <c r="BJ260" s="167">
        <f t="shared" ref="BJ260:BJ263" si="3097">IFERROR(IF(($R260-BI260)&gt;=0,0,IF(($S260-BH260)&lt;0,0,IF(AND(($S260-BI260)&gt;0,(BH260-$R260)&gt;0),$V260/365*(BI260-BH260+1),IF(AND(($S260-BI260)&lt;=0,(BH260-$R260)&gt;0),$V260/365*($S260-BH260+1),$V260/365*(BI260-$R260+1))))),0)</f>
        <v>0</v>
      </c>
      <c r="BK260" s="163">
        <f t="shared" ref="BK260:BK263" si="3098">BI260+1</f>
        <v>46054</v>
      </c>
      <c r="BL260" s="163">
        <f t="shared" ref="BL260:BL263" si="3099">BK260+27</f>
        <v>46081</v>
      </c>
      <c r="BM260" s="167">
        <f t="shared" ref="BM260:BM263" si="3100">IFERROR(IF(($R260-BL260)&gt;=0,0,IF(($S260-BK260)&lt;0,0,IF(AND(($S260-BL260)&gt;0,(BK260-$R260)&gt;0),$V260/365*(BL260-BK260+1),IF(AND(($S260-BL260)&lt;=0,(BK260-$R260)&gt;0),$V260/365*($S260-BK260+1),$V260/365*(BL260-$R260+1))))),0)</f>
        <v>0</v>
      </c>
      <c r="BN260" s="163">
        <f t="shared" ref="BN260:BN263" si="3101">BL260+1</f>
        <v>46082</v>
      </c>
      <c r="BO260" s="163">
        <f t="shared" ref="BO260:BO263" si="3102">BN260+30</f>
        <v>46112</v>
      </c>
      <c r="BP260" s="167">
        <f t="shared" ref="BP260:BP263" si="3103">IFERROR(IF(($R260-BO260)&gt;=0,0,IF(($S260-BN260)&lt;0,0,IF(AND(($S260-BO260)&gt;0,(BN260-$R260)&gt;0),$V260/365*(BO260-BN260+1),IF(AND(($S260-BO260)&lt;=0,(BN260-$R260)&gt;0),$V260/365*($S260-BN260+1),$V260/365*(BO260-$R260+1))))),0)</f>
        <v>0</v>
      </c>
      <c r="BQ260" s="163">
        <f t="shared" ref="BQ260:BQ263" si="3104">BO260+1</f>
        <v>46113</v>
      </c>
      <c r="BR260" s="163">
        <f t="shared" ref="BR260:BR263" si="3105">BQ260+29</f>
        <v>46142</v>
      </c>
      <c r="BS260" s="167">
        <f t="shared" ref="BS260:BS263" si="3106">IFERROR(IF(($R260-BR260)&gt;=0,0,IF(($S260-BQ260)&lt;0,0,IF(AND(($S260-BR260)&gt;0,(BQ260-$R260)&gt;0),$V260/365*(BR260-BQ260+1),IF(AND(($S260-BR260)&lt;=0,(BQ260-$R260)&gt;0),$V260/365*($S260-BQ260+1),$V260/365*(BR260-$R260+1))))),0)</f>
        <v>0</v>
      </c>
      <c r="BT260" s="163">
        <f t="shared" ref="BT260:BT263" si="3107">BR260+1</f>
        <v>46143</v>
      </c>
      <c r="BU260" s="163">
        <f t="shared" ref="BU260:BU263" si="3108">BT260+30</f>
        <v>46173</v>
      </c>
      <c r="BV260" s="167">
        <f t="shared" ref="BV260:BV263" si="3109">IFERROR(IF(($R260-BU260)&gt;=0,0,IF(($S260-BT260)&lt;0,0,IF(AND(($S260-BU260)&gt;0,(BT260-$R260)&gt;0),$V260/365*(BU260-BT260+1),IF(AND(($S260-BU260)&lt;=0,(BT260-$R260)&gt;0),$V260/365*($S260-BT260+1),$V260/365*(BU260-$R260+1))))),0)</f>
        <v>0</v>
      </c>
      <c r="BW260" s="163">
        <f t="shared" ref="BW260:BW263" si="3110">BU260+1</f>
        <v>46174</v>
      </c>
      <c r="BX260" s="163">
        <f t="shared" ref="BX260:BX263" si="3111">BW260+29</f>
        <v>46203</v>
      </c>
      <c r="BY260" s="167">
        <f t="shared" ref="BY260:BY263" si="3112">IFERROR(IF(($R260-BX260)&gt;=0,0,IF(($S260-BW260)&lt;0,0,IF(AND(($S260-BX260)&gt;0,(BW260-$R260)&gt;0),$V260/365*(BX260-BW260+1),IF(AND(($S260-BX260)&lt;=0,(BW260-$R260)&gt;0),$V260/365*($S260-BW260+1),$V260/365*(BX260-$R260+1))))),0)</f>
        <v>0</v>
      </c>
      <c r="BZ260" s="163">
        <f t="shared" ref="BZ260:BZ263" si="3113">BX260+1</f>
        <v>46204</v>
      </c>
      <c r="CA260" s="163">
        <f t="shared" ref="CA260:CA263" si="3114">BZ260+30</f>
        <v>46234</v>
      </c>
      <c r="CB260" s="167">
        <f t="shared" ref="CB260:CB263" si="3115">IFERROR(IF(($R260-CA260)&gt;=0,0,IF(($S260-BZ260)&lt;0,0,IF(AND(($S260-CA260)&gt;0,(BZ260-$R260)&gt;0),$V260/365*(CA260-BZ260+1),IF(AND(($S260-CA260)&lt;=0,(BZ260-$R260)&gt;0),$V260/365*($S260-BZ260+1),$V260/365*(CA260-$R260+1))))),0)</f>
        <v>0</v>
      </c>
      <c r="CC260" s="163">
        <f t="shared" ref="CC260:CC263" si="3116">CA260+1</f>
        <v>46235</v>
      </c>
      <c r="CD260" s="163">
        <f t="shared" ref="CD260:CD263" si="3117">CC260+30</f>
        <v>46265</v>
      </c>
      <c r="CE260" s="167">
        <f t="shared" ref="CE260:CE263" si="3118">IFERROR(IF(($R260-CD260)&gt;=0,0,IF(($S260-CC260)&lt;0,0,IF(AND(($S260-CD260)&gt;0,(CC260-$R260)&gt;0),$V260/365*(CD260-CC260+1),IF(AND(($S260-CD260)&lt;=0,(CC260-$R260)&gt;0),$V260/365*($S260-CC260+1),$V260/365*(CD260-$R260+1))))),0)</f>
        <v>0</v>
      </c>
      <c r="CF260" s="163">
        <f t="shared" ref="CF260:CF263" si="3119">CD260+1</f>
        <v>46266</v>
      </c>
      <c r="CG260" s="163">
        <f t="shared" ref="CG260:CG263" si="3120">CF260+29</f>
        <v>46295</v>
      </c>
      <c r="CH260" s="167">
        <f t="shared" ref="CH260:CH263" si="3121">IFERROR(IF(($R260-CG260)&gt;=0,0,IF(($S260-CF260)&lt;0,0,IF(AND(($S260-CG260)&gt;0,(CF260-$R260)&gt;0),$V260/365*(CG260-CF260+1),IF(AND(($S260-CG260)&lt;=0,(CF260-$R260)&gt;0),$V260/365*($S260-CF260+1),$V260/365*(CG260-$R260+1))))),0)</f>
        <v>0</v>
      </c>
      <c r="CI260" s="163">
        <f t="shared" ref="CI260:CI263" si="3122">CG260+1</f>
        <v>46296</v>
      </c>
      <c r="CJ260" s="163">
        <f t="shared" ref="CJ260:CJ263" si="3123">CI260+30</f>
        <v>46326</v>
      </c>
      <c r="CK260" s="167">
        <f t="shared" ref="CK260:CK263" si="3124">IFERROR(IF(($R260-CJ260)&gt;=0,0,IF(($S260-CI260)&lt;0,0,IF(AND(($S260-CJ260)&gt;0,(CI260-$R260)&gt;0),$V260/365*(CJ260-CI260+1),IF(AND(($S260-CJ260)&lt;=0,(CI260-$R260)&gt;0),$V260/365*($S260-CI260+1),$V260/365*(CJ260-$R260+1))))),0)</f>
        <v>0</v>
      </c>
      <c r="CL260" s="163">
        <f t="shared" ref="CL260:CL263" si="3125">CJ260+1</f>
        <v>46327</v>
      </c>
      <c r="CM260" s="163">
        <f t="shared" ref="CM260:CM263" si="3126">CL260+29</f>
        <v>46356</v>
      </c>
      <c r="CN260" s="167">
        <f t="shared" ref="CN260:CN263" si="3127">IFERROR(IF(($R260-CM260)&gt;=0,0,IF(($S260-CL260)&lt;0,0,IF(AND(($S260-CM260)&gt;0,(CL260-$R260)&gt;0),$V260/365*(CM260-CL260+1),IF(AND(($S260-CM260)&lt;=0,(CL260-$R260)&gt;0),$V260/365*($S260-CL260+1),$V260/365*(CM260-$R260+1))))),0)</f>
        <v>0</v>
      </c>
      <c r="CO260" s="163">
        <f t="shared" ref="CO260:CO263" si="3128">CM260+1</f>
        <v>46357</v>
      </c>
      <c r="CP260" s="163">
        <f t="shared" ref="CP260:CP263" si="3129">CO260+30</f>
        <v>46387</v>
      </c>
      <c r="CQ260" s="167">
        <f t="shared" ref="CQ260:CQ263" si="3130">IFERROR(IF(($R260-CP260)&gt;=0,0,IF(($S260-CO260)&lt;0,0,IF(AND(($S260-CP260)&gt;0,(CO260-$R260)&gt;0),$V260/365*(CP260-CO260+1),IF(AND(($S260-CP260)&lt;=0,(CO260-$R260)&gt;0),$V260/365*($S260-CO260+1),$V260/365*(CP260-$R260+1))))),0)</f>
        <v>0</v>
      </c>
    </row>
    <row r="261" s="89" customFormat="1" ht="24" hidden="1" customHeight="1" outlineLevel="4" spans="1:95">
      <c r="A261" s="128"/>
      <c r="B261" s="129"/>
      <c r="C261" s="130"/>
      <c r="D261" s="128"/>
      <c r="E261" s="129"/>
      <c r="F261" s="129"/>
      <c r="G261" s="129"/>
      <c r="H261" s="131"/>
      <c r="I261" s="131"/>
      <c r="J261" s="131">
        <f t="shared" ref="J261:J324" si="3131">Z261+AC261+AF261+AI261+AL261+AO261+AR261+AU261+AX261+BA261+BD261+BG261</f>
        <v>0</v>
      </c>
      <c r="K261" s="131">
        <f t="shared" ref="K261:K263" si="3132">K260+1</f>
        <v>2</v>
      </c>
      <c r="L261" s="156"/>
      <c r="M261" s="157">
        <f>IFERROR(VLOOKUP($L261,'2-2 引出数据_合同数据仓库'!$B$5:$BP$200,3,FALSE),0)</f>
        <v>0</v>
      </c>
      <c r="N261" s="131"/>
      <c r="O261" s="157">
        <f>IFERROR(VLOOKUP((LEFT(VLOOKUP($L261,'2-2 引出数据_合同数据仓库'!$B$5:$BP$200,64,FALSE),15)&amp;(RIGHT(VLOOKUP($L261,'2-2 引出数据_合同数据仓库'!$B$5:$BP$200,64,FALSE),4)+1)),'2-2 引出数据_合同数据仓库'!$B$5:$BP$200,3,FALSE),0)</f>
        <v>0</v>
      </c>
      <c r="P261" s="131"/>
      <c r="Q261" s="131">
        <f>IFERROR(VLOOKUP($L261,'2-2 引出数据_合同数据仓库'!$B$5:$BP$200,28,FALSE),0)</f>
        <v>0</v>
      </c>
      <c r="R261" s="131">
        <f>IFERROR(VLOOKUP($L261,'2-2 引出数据_合同数据仓库'!$B$5:$BP$200,29,FALSE),0)</f>
        <v>0</v>
      </c>
      <c r="S261" s="131">
        <f>IFERROR(VLOOKUP($L261,'2-2 引出数据_合同数据仓库'!$B$5:$BP$200,4,FALSE),0)</f>
        <v>0</v>
      </c>
      <c r="T261" s="131"/>
      <c r="U261" s="131">
        <f>IFERROR(VLOOKUP($L261,'2-2 引出数据_合同数据仓库'!$B$5:$BP$200,15,FALSE),0)</f>
        <v>0</v>
      </c>
      <c r="V261" s="131">
        <f t="shared" si="3060"/>
        <v>0</v>
      </c>
      <c r="W261" s="131"/>
      <c r="X261" s="163">
        <v>45658</v>
      </c>
      <c r="Y261" s="163">
        <f t="shared" si="3061"/>
        <v>45688</v>
      </c>
      <c r="Z261" s="167">
        <f t="shared" si="3062"/>
        <v>0</v>
      </c>
      <c r="AA261" s="163">
        <f t="shared" si="3063"/>
        <v>45689</v>
      </c>
      <c r="AB261" s="163">
        <f t="shared" si="3064"/>
        <v>45716</v>
      </c>
      <c r="AC261" s="167">
        <f t="shared" si="3065"/>
        <v>0</v>
      </c>
      <c r="AD261" s="163">
        <f t="shared" si="3066"/>
        <v>45717</v>
      </c>
      <c r="AE261" s="163">
        <f t="shared" si="3067"/>
        <v>45747</v>
      </c>
      <c r="AF261" s="167">
        <f t="shared" si="3068"/>
        <v>0</v>
      </c>
      <c r="AG261" s="163">
        <f t="shared" si="3069"/>
        <v>45748</v>
      </c>
      <c r="AH261" s="163">
        <f t="shared" si="3070"/>
        <v>45777</v>
      </c>
      <c r="AI261" s="167">
        <f t="shared" si="3071"/>
        <v>0</v>
      </c>
      <c r="AJ261" s="163">
        <f t="shared" si="3072"/>
        <v>45778</v>
      </c>
      <c r="AK261" s="163">
        <f t="shared" si="3073"/>
        <v>45808</v>
      </c>
      <c r="AL261" s="167">
        <f t="shared" si="3074"/>
        <v>0</v>
      </c>
      <c r="AM261" s="163">
        <f t="shared" si="3075"/>
        <v>45809</v>
      </c>
      <c r="AN261" s="163">
        <f t="shared" si="3076"/>
        <v>45838</v>
      </c>
      <c r="AO261" s="167">
        <f t="shared" si="3077"/>
        <v>0</v>
      </c>
      <c r="AP261" s="163">
        <f t="shared" si="3078"/>
        <v>45839</v>
      </c>
      <c r="AQ261" s="163">
        <f t="shared" si="3079"/>
        <v>45869</v>
      </c>
      <c r="AR261" s="167">
        <f t="shared" si="3080"/>
        <v>0</v>
      </c>
      <c r="AS261" s="163">
        <f t="shared" si="3081"/>
        <v>45870</v>
      </c>
      <c r="AT261" s="163">
        <f t="shared" si="3082"/>
        <v>45900</v>
      </c>
      <c r="AU261" s="167">
        <f t="shared" si="3083"/>
        <v>0</v>
      </c>
      <c r="AV261" s="163">
        <f t="shared" si="3084"/>
        <v>45901</v>
      </c>
      <c r="AW261" s="163">
        <f t="shared" si="3085"/>
        <v>45930</v>
      </c>
      <c r="AX261" s="167">
        <f t="shared" si="3086"/>
        <v>0</v>
      </c>
      <c r="AY261" s="163">
        <f t="shared" si="3087"/>
        <v>45931</v>
      </c>
      <c r="AZ261" s="163">
        <f t="shared" si="3088"/>
        <v>45961</v>
      </c>
      <c r="BA261" s="167">
        <f t="shared" si="3089"/>
        <v>0</v>
      </c>
      <c r="BB261" s="163">
        <f t="shared" si="3090"/>
        <v>45962</v>
      </c>
      <c r="BC261" s="163">
        <f t="shared" si="3091"/>
        <v>45991</v>
      </c>
      <c r="BD261" s="167">
        <f t="shared" si="3092"/>
        <v>0</v>
      </c>
      <c r="BE261" s="163">
        <f t="shared" si="3093"/>
        <v>45992</v>
      </c>
      <c r="BF261" s="163">
        <f t="shared" si="3094"/>
        <v>46022</v>
      </c>
      <c r="BG261" s="167">
        <f t="shared" si="3095"/>
        <v>0</v>
      </c>
      <c r="BH261" s="163">
        <v>46023</v>
      </c>
      <c r="BI261" s="163">
        <f t="shared" si="3096"/>
        <v>46053</v>
      </c>
      <c r="BJ261" s="167">
        <f t="shared" si="3097"/>
        <v>0</v>
      </c>
      <c r="BK261" s="163">
        <f t="shared" si="3098"/>
        <v>46054</v>
      </c>
      <c r="BL261" s="163">
        <f t="shared" si="3099"/>
        <v>46081</v>
      </c>
      <c r="BM261" s="167">
        <f t="shared" si="3100"/>
        <v>0</v>
      </c>
      <c r="BN261" s="163">
        <f t="shared" si="3101"/>
        <v>46082</v>
      </c>
      <c r="BO261" s="163">
        <f t="shared" si="3102"/>
        <v>46112</v>
      </c>
      <c r="BP261" s="167">
        <f t="shared" si="3103"/>
        <v>0</v>
      </c>
      <c r="BQ261" s="163">
        <f t="shared" si="3104"/>
        <v>46113</v>
      </c>
      <c r="BR261" s="163">
        <f t="shared" si="3105"/>
        <v>46142</v>
      </c>
      <c r="BS261" s="167">
        <f t="shared" si="3106"/>
        <v>0</v>
      </c>
      <c r="BT261" s="163">
        <f t="shared" si="3107"/>
        <v>46143</v>
      </c>
      <c r="BU261" s="163">
        <f t="shared" si="3108"/>
        <v>46173</v>
      </c>
      <c r="BV261" s="167">
        <f t="shared" si="3109"/>
        <v>0</v>
      </c>
      <c r="BW261" s="163">
        <f t="shared" si="3110"/>
        <v>46174</v>
      </c>
      <c r="BX261" s="163">
        <f t="shared" si="3111"/>
        <v>46203</v>
      </c>
      <c r="BY261" s="167">
        <f t="shared" si="3112"/>
        <v>0</v>
      </c>
      <c r="BZ261" s="163">
        <f t="shared" si="3113"/>
        <v>46204</v>
      </c>
      <c r="CA261" s="163">
        <f t="shared" si="3114"/>
        <v>46234</v>
      </c>
      <c r="CB261" s="167">
        <f t="shared" si="3115"/>
        <v>0</v>
      </c>
      <c r="CC261" s="163">
        <f t="shared" si="3116"/>
        <v>46235</v>
      </c>
      <c r="CD261" s="163">
        <f t="shared" si="3117"/>
        <v>46265</v>
      </c>
      <c r="CE261" s="167">
        <f t="shared" si="3118"/>
        <v>0</v>
      </c>
      <c r="CF261" s="163">
        <f t="shared" si="3119"/>
        <v>46266</v>
      </c>
      <c r="CG261" s="163">
        <f t="shared" si="3120"/>
        <v>46295</v>
      </c>
      <c r="CH261" s="167">
        <f t="shared" si="3121"/>
        <v>0</v>
      </c>
      <c r="CI261" s="163">
        <f t="shared" si="3122"/>
        <v>46296</v>
      </c>
      <c r="CJ261" s="163">
        <f t="shared" si="3123"/>
        <v>46326</v>
      </c>
      <c r="CK261" s="167">
        <f t="shared" si="3124"/>
        <v>0</v>
      </c>
      <c r="CL261" s="163">
        <f t="shared" si="3125"/>
        <v>46327</v>
      </c>
      <c r="CM261" s="163">
        <f t="shared" si="3126"/>
        <v>46356</v>
      </c>
      <c r="CN261" s="167">
        <f t="shared" si="3127"/>
        <v>0</v>
      </c>
      <c r="CO261" s="163">
        <f t="shared" si="3128"/>
        <v>46357</v>
      </c>
      <c r="CP261" s="163">
        <f t="shared" si="3129"/>
        <v>46387</v>
      </c>
      <c r="CQ261" s="167">
        <f t="shared" si="3130"/>
        <v>0</v>
      </c>
    </row>
    <row r="262" s="89" customFormat="1" ht="24" hidden="1" customHeight="1" outlineLevel="4" spans="1:95">
      <c r="A262" s="128"/>
      <c r="B262" s="129"/>
      <c r="C262" s="130"/>
      <c r="D262" s="128"/>
      <c r="E262" s="129"/>
      <c r="F262" s="129"/>
      <c r="G262" s="129"/>
      <c r="H262" s="131"/>
      <c r="I262" s="131"/>
      <c r="J262" s="131">
        <f t="shared" si="3131"/>
        <v>0</v>
      </c>
      <c r="K262" s="131">
        <f t="shared" si="3132"/>
        <v>3</v>
      </c>
      <c r="L262" s="156"/>
      <c r="M262" s="157">
        <f>IFERROR(VLOOKUP($L262,'2-2 引出数据_合同数据仓库'!$B$5:$BP$200,3,FALSE),0)</f>
        <v>0</v>
      </c>
      <c r="N262" s="131"/>
      <c r="O262" s="157">
        <f>IFERROR(VLOOKUP((LEFT(VLOOKUP($L262,'2-2 引出数据_合同数据仓库'!$B$5:$BP$200,64,FALSE),15)&amp;(RIGHT(VLOOKUP($L262,'2-2 引出数据_合同数据仓库'!$B$5:$BP$200,64,FALSE),4)+1)),'2-2 引出数据_合同数据仓库'!$B$5:$BP$200,3,FALSE),0)</f>
        <v>0</v>
      </c>
      <c r="P262" s="131"/>
      <c r="Q262" s="131">
        <f>IFERROR(VLOOKUP($L262,'2-2 引出数据_合同数据仓库'!$B$5:$BP$200,28,FALSE),0)</f>
        <v>0</v>
      </c>
      <c r="R262" s="131">
        <f>IFERROR(VLOOKUP($L262,'2-2 引出数据_合同数据仓库'!$B$5:$BP$200,29,FALSE),0)</f>
        <v>0</v>
      </c>
      <c r="S262" s="131">
        <f>IFERROR(VLOOKUP($L262,'2-2 引出数据_合同数据仓库'!$B$5:$BP$200,4,FALSE),0)</f>
        <v>0</v>
      </c>
      <c r="T262" s="131"/>
      <c r="U262" s="131">
        <f>IFERROR(VLOOKUP($L262,'2-2 引出数据_合同数据仓库'!$B$5:$BP$200,15,FALSE),0)</f>
        <v>0</v>
      </c>
      <c r="V262" s="131">
        <f t="shared" si="3060"/>
        <v>0</v>
      </c>
      <c r="W262" s="131"/>
      <c r="X262" s="163">
        <v>45658</v>
      </c>
      <c r="Y262" s="163">
        <f t="shared" si="3061"/>
        <v>45688</v>
      </c>
      <c r="Z262" s="167">
        <f t="shared" si="3062"/>
        <v>0</v>
      </c>
      <c r="AA262" s="163">
        <f t="shared" si="3063"/>
        <v>45689</v>
      </c>
      <c r="AB262" s="163">
        <f t="shared" si="3064"/>
        <v>45716</v>
      </c>
      <c r="AC262" s="167">
        <f t="shared" si="3065"/>
        <v>0</v>
      </c>
      <c r="AD262" s="163">
        <f t="shared" si="3066"/>
        <v>45717</v>
      </c>
      <c r="AE262" s="163">
        <f t="shared" si="3067"/>
        <v>45747</v>
      </c>
      <c r="AF262" s="167">
        <f t="shared" si="3068"/>
        <v>0</v>
      </c>
      <c r="AG262" s="163">
        <f t="shared" si="3069"/>
        <v>45748</v>
      </c>
      <c r="AH262" s="163">
        <f t="shared" si="3070"/>
        <v>45777</v>
      </c>
      <c r="AI262" s="167">
        <f t="shared" si="3071"/>
        <v>0</v>
      </c>
      <c r="AJ262" s="163">
        <f t="shared" si="3072"/>
        <v>45778</v>
      </c>
      <c r="AK262" s="163">
        <f t="shared" si="3073"/>
        <v>45808</v>
      </c>
      <c r="AL262" s="167">
        <f t="shared" si="3074"/>
        <v>0</v>
      </c>
      <c r="AM262" s="163">
        <f t="shared" si="3075"/>
        <v>45809</v>
      </c>
      <c r="AN262" s="163">
        <f t="shared" si="3076"/>
        <v>45838</v>
      </c>
      <c r="AO262" s="167">
        <f t="shared" si="3077"/>
        <v>0</v>
      </c>
      <c r="AP262" s="163">
        <f t="shared" si="3078"/>
        <v>45839</v>
      </c>
      <c r="AQ262" s="163">
        <f t="shared" si="3079"/>
        <v>45869</v>
      </c>
      <c r="AR262" s="167">
        <f t="shared" si="3080"/>
        <v>0</v>
      </c>
      <c r="AS262" s="163">
        <f t="shared" si="3081"/>
        <v>45870</v>
      </c>
      <c r="AT262" s="163">
        <f t="shared" si="3082"/>
        <v>45900</v>
      </c>
      <c r="AU262" s="167">
        <f t="shared" si="3083"/>
        <v>0</v>
      </c>
      <c r="AV262" s="163">
        <f t="shared" si="3084"/>
        <v>45901</v>
      </c>
      <c r="AW262" s="163">
        <f t="shared" si="3085"/>
        <v>45930</v>
      </c>
      <c r="AX262" s="167">
        <f t="shared" si="3086"/>
        <v>0</v>
      </c>
      <c r="AY262" s="163">
        <f t="shared" si="3087"/>
        <v>45931</v>
      </c>
      <c r="AZ262" s="163">
        <f t="shared" si="3088"/>
        <v>45961</v>
      </c>
      <c r="BA262" s="167">
        <f t="shared" si="3089"/>
        <v>0</v>
      </c>
      <c r="BB262" s="163">
        <f t="shared" si="3090"/>
        <v>45962</v>
      </c>
      <c r="BC262" s="163">
        <f t="shared" si="3091"/>
        <v>45991</v>
      </c>
      <c r="BD262" s="167">
        <f t="shared" si="3092"/>
        <v>0</v>
      </c>
      <c r="BE262" s="163">
        <f t="shared" si="3093"/>
        <v>45992</v>
      </c>
      <c r="BF262" s="163">
        <f t="shared" si="3094"/>
        <v>46022</v>
      </c>
      <c r="BG262" s="167">
        <f t="shared" si="3095"/>
        <v>0</v>
      </c>
      <c r="BH262" s="163">
        <v>46023</v>
      </c>
      <c r="BI262" s="163">
        <f t="shared" si="3096"/>
        <v>46053</v>
      </c>
      <c r="BJ262" s="167">
        <f t="shared" si="3097"/>
        <v>0</v>
      </c>
      <c r="BK262" s="163">
        <f t="shared" si="3098"/>
        <v>46054</v>
      </c>
      <c r="BL262" s="163">
        <f t="shared" si="3099"/>
        <v>46081</v>
      </c>
      <c r="BM262" s="167">
        <f t="shared" si="3100"/>
        <v>0</v>
      </c>
      <c r="BN262" s="163">
        <f t="shared" si="3101"/>
        <v>46082</v>
      </c>
      <c r="BO262" s="163">
        <f t="shared" si="3102"/>
        <v>46112</v>
      </c>
      <c r="BP262" s="167">
        <f t="shared" si="3103"/>
        <v>0</v>
      </c>
      <c r="BQ262" s="163">
        <f t="shared" si="3104"/>
        <v>46113</v>
      </c>
      <c r="BR262" s="163">
        <f t="shared" si="3105"/>
        <v>46142</v>
      </c>
      <c r="BS262" s="167">
        <f t="shared" si="3106"/>
        <v>0</v>
      </c>
      <c r="BT262" s="163">
        <f t="shared" si="3107"/>
        <v>46143</v>
      </c>
      <c r="BU262" s="163">
        <f t="shared" si="3108"/>
        <v>46173</v>
      </c>
      <c r="BV262" s="167">
        <f t="shared" si="3109"/>
        <v>0</v>
      </c>
      <c r="BW262" s="163">
        <f t="shared" si="3110"/>
        <v>46174</v>
      </c>
      <c r="BX262" s="163">
        <f t="shared" si="3111"/>
        <v>46203</v>
      </c>
      <c r="BY262" s="167">
        <f t="shared" si="3112"/>
        <v>0</v>
      </c>
      <c r="BZ262" s="163">
        <f t="shared" si="3113"/>
        <v>46204</v>
      </c>
      <c r="CA262" s="163">
        <f t="shared" si="3114"/>
        <v>46234</v>
      </c>
      <c r="CB262" s="167">
        <f t="shared" si="3115"/>
        <v>0</v>
      </c>
      <c r="CC262" s="163">
        <f t="shared" si="3116"/>
        <v>46235</v>
      </c>
      <c r="CD262" s="163">
        <f t="shared" si="3117"/>
        <v>46265</v>
      </c>
      <c r="CE262" s="167">
        <f t="shared" si="3118"/>
        <v>0</v>
      </c>
      <c r="CF262" s="163">
        <f t="shared" si="3119"/>
        <v>46266</v>
      </c>
      <c r="CG262" s="163">
        <f t="shared" si="3120"/>
        <v>46295</v>
      </c>
      <c r="CH262" s="167">
        <f t="shared" si="3121"/>
        <v>0</v>
      </c>
      <c r="CI262" s="163">
        <f t="shared" si="3122"/>
        <v>46296</v>
      </c>
      <c r="CJ262" s="163">
        <f t="shared" si="3123"/>
        <v>46326</v>
      </c>
      <c r="CK262" s="167">
        <f t="shared" si="3124"/>
        <v>0</v>
      </c>
      <c r="CL262" s="163">
        <f t="shared" si="3125"/>
        <v>46327</v>
      </c>
      <c r="CM262" s="163">
        <f t="shared" si="3126"/>
        <v>46356</v>
      </c>
      <c r="CN262" s="167">
        <f t="shared" si="3127"/>
        <v>0</v>
      </c>
      <c r="CO262" s="163">
        <f t="shared" si="3128"/>
        <v>46357</v>
      </c>
      <c r="CP262" s="163">
        <f t="shared" si="3129"/>
        <v>46387</v>
      </c>
      <c r="CQ262" s="167">
        <f t="shared" si="3130"/>
        <v>0</v>
      </c>
    </row>
    <row r="263" s="89" customFormat="1" ht="24" hidden="1" customHeight="1" outlineLevel="4" spans="1:95">
      <c r="A263" s="128"/>
      <c r="B263" s="129"/>
      <c r="C263" s="130"/>
      <c r="D263" s="128"/>
      <c r="E263" s="129"/>
      <c r="F263" s="129"/>
      <c r="G263" s="129"/>
      <c r="H263" s="131"/>
      <c r="I263" s="131"/>
      <c r="J263" s="131">
        <f t="shared" si="3131"/>
        <v>0</v>
      </c>
      <c r="K263" s="131">
        <f t="shared" si="3132"/>
        <v>4</v>
      </c>
      <c r="L263" s="156"/>
      <c r="M263" s="157">
        <f>IFERROR(VLOOKUP($L263,'2-2 引出数据_合同数据仓库'!$B$5:$BP$200,3,FALSE),0)</f>
        <v>0</v>
      </c>
      <c r="N263" s="131"/>
      <c r="O263" s="157">
        <f>IFERROR(VLOOKUP((LEFT(VLOOKUP($L263,'2-2 引出数据_合同数据仓库'!$B$5:$BP$200,64,FALSE),15)&amp;(RIGHT(VLOOKUP($L263,'2-2 引出数据_合同数据仓库'!$B$5:$BP$200,64,FALSE),4)+1)),'2-2 引出数据_合同数据仓库'!$B$5:$BP$200,3,FALSE),0)</f>
        <v>0</v>
      </c>
      <c r="P263" s="131"/>
      <c r="Q263" s="131">
        <f>IFERROR(VLOOKUP($L263,'2-2 引出数据_合同数据仓库'!$B$5:$BP$200,28,FALSE),0)</f>
        <v>0</v>
      </c>
      <c r="R263" s="131">
        <f>IFERROR(VLOOKUP($L263,'2-2 引出数据_合同数据仓库'!$B$5:$BP$200,29,FALSE),0)</f>
        <v>0</v>
      </c>
      <c r="S263" s="131">
        <f>IFERROR(VLOOKUP($L263,'2-2 引出数据_合同数据仓库'!$B$5:$BP$200,4,FALSE),0)</f>
        <v>0</v>
      </c>
      <c r="T263" s="131"/>
      <c r="U263" s="131">
        <f>IFERROR(VLOOKUP($L263,'2-2 引出数据_合同数据仓库'!$B$5:$BP$200,15,FALSE),0)</f>
        <v>0</v>
      </c>
      <c r="V263" s="131">
        <f t="shared" si="3060"/>
        <v>0</v>
      </c>
      <c r="W263" s="131"/>
      <c r="X263" s="163">
        <v>45658</v>
      </c>
      <c r="Y263" s="163">
        <f t="shared" si="3061"/>
        <v>45688</v>
      </c>
      <c r="Z263" s="167">
        <f t="shared" si="3062"/>
        <v>0</v>
      </c>
      <c r="AA263" s="163">
        <f t="shared" si="3063"/>
        <v>45689</v>
      </c>
      <c r="AB263" s="163">
        <f t="shared" si="3064"/>
        <v>45716</v>
      </c>
      <c r="AC263" s="167">
        <f t="shared" si="3065"/>
        <v>0</v>
      </c>
      <c r="AD263" s="163">
        <f t="shared" si="3066"/>
        <v>45717</v>
      </c>
      <c r="AE263" s="163">
        <f t="shared" si="3067"/>
        <v>45747</v>
      </c>
      <c r="AF263" s="167">
        <f t="shared" si="3068"/>
        <v>0</v>
      </c>
      <c r="AG263" s="163">
        <f t="shared" si="3069"/>
        <v>45748</v>
      </c>
      <c r="AH263" s="163">
        <f t="shared" si="3070"/>
        <v>45777</v>
      </c>
      <c r="AI263" s="167">
        <f t="shared" si="3071"/>
        <v>0</v>
      </c>
      <c r="AJ263" s="163">
        <f t="shared" si="3072"/>
        <v>45778</v>
      </c>
      <c r="AK263" s="163">
        <f t="shared" si="3073"/>
        <v>45808</v>
      </c>
      <c r="AL263" s="167">
        <f t="shared" si="3074"/>
        <v>0</v>
      </c>
      <c r="AM263" s="163">
        <f t="shared" si="3075"/>
        <v>45809</v>
      </c>
      <c r="AN263" s="163">
        <f t="shared" si="3076"/>
        <v>45838</v>
      </c>
      <c r="AO263" s="167">
        <f t="shared" si="3077"/>
        <v>0</v>
      </c>
      <c r="AP263" s="163">
        <f t="shared" si="3078"/>
        <v>45839</v>
      </c>
      <c r="AQ263" s="163">
        <f t="shared" si="3079"/>
        <v>45869</v>
      </c>
      <c r="AR263" s="167">
        <f t="shared" si="3080"/>
        <v>0</v>
      </c>
      <c r="AS263" s="163">
        <f t="shared" si="3081"/>
        <v>45870</v>
      </c>
      <c r="AT263" s="163">
        <f t="shared" si="3082"/>
        <v>45900</v>
      </c>
      <c r="AU263" s="167">
        <f t="shared" si="3083"/>
        <v>0</v>
      </c>
      <c r="AV263" s="163">
        <f t="shared" si="3084"/>
        <v>45901</v>
      </c>
      <c r="AW263" s="163">
        <f t="shared" si="3085"/>
        <v>45930</v>
      </c>
      <c r="AX263" s="167">
        <f t="shared" si="3086"/>
        <v>0</v>
      </c>
      <c r="AY263" s="163">
        <f t="shared" si="3087"/>
        <v>45931</v>
      </c>
      <c r="AZ263" s="163">
        <f t="shared" si="3088"/>
        <v>45961</v>
      </c>
      <c r="BA263" s="167">
        <f t="shared" si="3089"/>
        <v>0</v>
      </c>
      <c r="BB263" s="163">
        <f t="shared" si="3090"/>
        <v>45962</v>
      </c>
      <c r="BC263" s="163">
        <f t="shared" si="3091"/>
        <v>45991</v>
      </c>
      <c r="BD263" s="167">
        <f t="shared" si="3092"/>
        <v>0</v>
      </c>
      <c r="BE263" s="163">
        <f t="shared" si="3093"/>
        <v>45992</v>
      </c>
      <c r="BF263" s="163">
        <f t="shared" si="3094"/>
        <v>46022</v>
      </c>
      <c r="BG263" s="167">
        <f t="shared" si="3095"/>
        <v>0</v>
      </c>
      <c r="BH263" s="163">
        <v>46023</v>
      </c>
      <c r="BI263" s="163">
        <f t="shared" si="3096"/>
        <v>46053</v>
      </c>
      <c r="BJ263" s="167">
        <f t="shared" si="3097"/>
        <v>0</v>
      </c>
      <c r="BK263" s="163">
        <f t="shared" si="3098"/>
        <v>46054</v>
      </c>
      <c r="BL263" s="163">
        <f t="shared" si="3099"/>
        <v>46081</v>
      </c>
      <c r="BM263" s="167">
        <f t="shared" si="3100"/>
        <v>0</v>
      </c>
      <c r="BN263" s="163">
        <f t="shared" si="3101"/>
        <v>46082</v>
      </c>
      <c r="BO263" s="163">
        <f t="shared" si="3102"/>
        <v>46112</v>
      </c>
      <c r="BP263" s="167">
        <f t="shared" si="3103"/>
        <v>0</v>
      </c>
      <c r="BQ263" s="163">
        <f t="shared" si="3104"/>
        <v>46113</v>
      </c>
      <c r="BR263" s="163">
        <f t="shared" si="3105"/>
        <v>46142</v>
      </c>
      <c r="BS263" s="167">
        <f t="shared" si="3106"/>
        <v>0</v>
      </c>
      <c r="BT263" s="163">
        <f t="shared" si="3107"/>
        <v>46143</v>
      </c>
      <c r="BU263" s="163">
        <f t="shared" si="3108"/>
        <v>46173</v>
      </c>
      <c r="BV263" s="167">
        <f t="shared" si="3109"/>
        <v>0</v>
      </c>
      <c r="BW263" s="163">
        <f t="shared" si="3110"/>
        <v>46174</v>
      </c>
      <c r="BX263" s="163">
        <f t="shared" si="3111"/>
        <v>46203</v>
      </c>
      <c r="BY263" s="167">
        <f t="shared" si="3112"/>
        <v>0</v>
      </c>
      <c r="BZ263" s="163">
        <f t="shared" si="3113"/>
        <v>46204</v>
      </c>
      <c r="CA263" s="163">
        <f t="shared" si="3114"/>
        <v>46234</v>
      </c>
      <c r="CB263" s="167">
        <f t="shared" si="3115"/>
        <v>0</v>
      </c>
      <c r="CC263" s="163">
        <f t="shared" si="3116"/>
        <v>46235</v>
      </c>
      <c r="CD263" s="163">
        <f t="shared" si="3117"/>
        <v>46265</v>
      </c>
      <c r="CE263" s="167">
        <f t="shared" si="3118"/>
        <v>0</v>
      </c>
      <c r="CF263" s="163">
        <f t="shared" si="3119"/>
        <v>46266</v>
      </c>
      <c r="CG263" s="163">
        <f t="shared" si="3120"/>
        <v>46295</v>
      </c>
      <c r="CH263" s="167">
        <f t="shared" si="3121"/>
        <v>0</v>
      </c>
      <c r="CI263" s="163">
        <f t="shared" si="3122"/>
        <v>46296</v>
      </c>
      <c r="CJ263" s="163">
        <f t="shared" si="3123"/>
        <v>46326</v>
      </c>
      <c r="CK263" s="167">
        <f t="shared" si="3124"/>
        <v>0</v>
      </c>
      <c r="CL263" s="163">
        <f t="shared" si="3125"/>
        <v>46327</v>
      </c>
      <c r="CM263" s="163">
        <f t="shared" si="3126"/>
        <v>46356</v>
      </c>
      <c r="CN263" s="167">
        <f t="shared" si="3127"/>
        <v>0</v>
      </c>
      <c r="CO263" s="163">
        <f t="shared" si="3128"/>
        <v>46357</v>
      </c>
      <c r="CP263" s="163">
        <f t="shared" si="3129"/>
        <v>46387</v>
      </c>
      <c r="CQ263" s="167">
        <f t="shared" si="3130"/>
        <v>0</v>
      </c>
    </row>
    <row r="264" s="89" customFormat="1" ht="24" hidden="1" customHeight="1" outlineLevel="4" spans="1:95">
      <c r="A264" s="132" t="s">
        <v>2813</v>
      </c>
      <c r="B264" s="133"/>
      <c r="C264" s="133"/>
      <c r="D264" s="133"/>
      <c r="E264" s="133"/>
      <c r="F264" s="133"/>
      <c r="G264" s="134"/>
      <c r="H264" s="135"/>
      <c r="I264" s="135"/>
      <c r="J264" s="135"/>
      <c r="K264" s="135"/>
      <c r="L264" s="158"/>
      <c r="M264" s="158"/>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c r="CL264" s="135"/>
      <c r="CM264" s="135"/>
      <c r="CN264" s="135"/>
      <c r="CO264" s="135"/>
      <c r="CP264" s="135"/>
      <c r="CQ264" s="135"/>
    </row>
    <row r="265" ht="24" customHeight="1" outlineLevel="2" collapsed="1" spans="1:95">
      <c r="A265" s="43"/>
      <c r="B265" s="121" t="s">
        <v>787</v>
      </c>
      <c r="C265" s="122" t="s">
        <v>40</v>
      </c>
      <c r="D265" s="43" t="s">
        <v>41</v>
      </c>
      <c r="E265" s="121"/>
      <c r="F265" s="121"/>
      <c r="G265" s="121"/>
      <c r="H265" s="123">
        <f>X265+AA265+AD265+AG265+AJ265+AM265+AP265+AS265+AV265+AY265+BB265+BE265</f>
        <v>0</v>
      </c>
      <c r="I265" s="123">
        <f>Y265+AB265+AE265+AH265+AK265+AN265+AQ265+AT265+AW265+AZ265+BC265+BF265</f>
        <v>-45160</v>
      </c>
      <c r="J265" s="123">
        <f t="shared" si="3131"/>
        <v>45160</v>
      </c>
      <c r="K265" s="123"/>
      <c r="L265" s="154"/>
      <c r="M265" s="154"/>
      <c r="N265" s="123"/>
      <c r="O265" s="123"/>
      <c r="P265" s="123"/>
      <c r="Q265" s="123"/>
      <c r="R265" s="123"/>
      <c r="S265" s="123"/>
      <c r="T265" s="123"/>
      <c r="U265" s="123"/>
      <c r="V265" s="123"/>
      <c r="W265" s="123"/>
      <c r="X265" s="123">
        <f>VLOOKUP($C265,'1 预算编制表单'!$C:$BJ,27,FALSE)</f>
        <v>0</v>
      </c>
      <c r="Y265" s="123">
        <f>X265-Z265</f>
        <v>0</v>
      </c>
      <c r="Z265" s="123">
        <f>Z266+Z272</f>
        <v>0</v>
      </c>
      <c r="AA265" s="123">
        <f>VLOOKUP($C265,'1 预算编制表单'!$C:$BJ,30,FALSE)</f>
        <v>0</v>
      </c>
      <c r="AB265" s="123">
        <f>AA265-AC265</f>
        <v>0</v>
      </c>
      <c r="AC265" s="123">
        <f>AC266+AC272</f>
        <v>0</v>
      </c>
      <c r="AD265" s="123">
        <f>VLOOKUP($C265,'1 预算编制表单'!$C:$BJ,33,FALSE)</f>
        <v>0</v>
      </c>
      <c r="AE265" s="123">
        <f>AD265-AF265</f>
        <v>-1253.73134328358</v>
      </c>
      <c r="AF265" s="123">
        <f>AF266+AF272</f>
        <v>1253.73134328358</v>
      </c>
      <c r="AG265" s="123">
        <f>VLOOKUP($C265,'1 预算编制表单'!$C:$BJ,36,FALSE)</f>
        <v>0</v>
      </c>
      <c r="AH265" s="123">
        <f>AG265-AI265</f>
        <v>-3134.32835820895</v>
      </c>
      <c r="AI265" s="123">
        <f>AI266+AI272</f>
        <v>3134.32835820895</v>
      </c>
      <c r="AJ265" s="123">
        <f>VLOOKUP($C265,'1 预算编制表单'!$C:$BJ,39,FALSE)</f>
        <v>0</v>
      </c>
      <c r="AK265" s="123">
        <f>AJ265-AL265</f>
        <v>-3238.80597014925</v>
      </c>
      <c r="AL265" s="123">
        <f>AL266+AL272</f>
        <v>3238.80597014925</v>
      </c>
      <c r="AM265" s="123">
        <f>VLOOKUP($C265,'1 预算编制表单'!$C:$BJ,42,FALSE)</f>
        <v>0</v>
      </c>
      <c r="AN265" s="123">
        <f>AM265-AO265</f>
        <v>-6326.32835820896</v>
      </c>
      <c r="AO265" s="123">
        <f>AO266+AO272</f>
        <v>6326.32835820896</v>
      </c>
      <c r="AP265" s="123">
        <f>VLOOKUP($C265,'1 预算编制表单'!$C:$BJ,45,FALSE)</f>
        <v>0</v>
      </c>
      <c r="AQ265" s="123">
        <f>AP265-AR265</f>
        <v>-7950.80597014925</v>
      </c>
      <c r="AR265" s="123">
        <f>AR266+AR272</f>
        <v>7950.80597014925</v>
      </c>
      <c r="AS265" s="123">
        <f>VLOOKUP($C265,'1 预算编制表单'!$C:$BJ,48,FALSE)</f>
        <v>0</v>
      </c>
      <c r="AT265" s="123">
        <f>AS265-AU265</f>
        <v>-4712</v>
      </c>
      <c r="AU265" s="123">
        <f>AU266+AU272</f>
        <v>4712</v>
      </c>
      <c r="AV265" s="123">
        <f>VLOOKUP($C265,'1 预算编制表单'!$C:$BJ,51,FALSE)</f>
        <v>0</v>
      </c>
      <c r="AW265" s="123">
        <f>AV265-AX265</f>
        <v>-4560</v>
      </c>
      <c r="AX265" s="123">
        <f>AX266+AX272</f>
        <v>4560</v>
      </c>
      <c r="AY265" s="123">
        <f>VLOOKUP($C265,'1 预算编制表单'!$C:$BJ,54,FALSE)</f>
        <v>0</v>
      </c>
      <c r="AZ265" s="123">
        <f>AY265-BA265</f>
        <v>-4712</v>
      </c>
      <c r="BA265" s="123">
        <f>BA266+BA272</f>
        <v>4712</v>
      </c>
      <c r="BB265" s="123">
        <f>VLOOKUP($C265,'1 预算编制表单'!$C:$BJ,57,FALSE)</f>
        <v>0</v>
      </c>
      <c r="BC265" s="123">
        <f>BB265-BD265</f>
        <v>-4560</v>
      </c>
      <c r="BD265" s="123">
        <f>BD266+BD272</f>
        <v>4560</v>
      </c>
      <c r="BE265" s="123">
        <f>VLOOKUP($C265,'1 预算编制表单'!$C:$BJ,60,FALSE)</f>
        <v>0</v>
      </c>
      <c r="BF265" s="123">
        <f>BE265-BG265</f>
        <v>-4712</v>
      </c>
      <c r="BG265" s="123">
        <f>BG266+BG272</f>
        <v>4712</v>
      </c>
      <c r="BH265" s="123">
        <f>VLOOKUP($C265,'1 预算编制表单'!$C:$BJ,27,FALSE)</f>
        <v>0</v>
      </c>
      <c r="BI265" s="123">
        <f>BH265-BJ265</f>
        <v>-4712</v>
      </c>
      <c r="BJ265" s="123">
        <f>BJ266+BJ272</f>
        <v>4712</v>
      </c>
      <c r="BK265" s="123">
        <f>VLOOKUP($C265,'1 预算编制表单'!$C:$BJ,30,FALSE)</f>
        <v>0</v>
      </c>
      <c r="BL265" s="123">
        <f>BK265-BM265</f>
        <v>-4256</v>
      </c>
      <c r="BM265" s="123">
        <f>BM266+BM272</f>
        <v>4256</v>
      </c>
      <c r="BN265" s="123">
        <f>VLOOKUP($C265,'1 预算编制表单'!$C:$BJ,33,FALSE)</f>
        <v>0</v>
      </c>
      <c r="BO265" s="123">
        <f>BN265-BP265</f>
        <v>-4712</v>
      </c>
      <c r="BP265" s="123">
        <f>BP266+BP272</f>
        <v>4712</v>
      </c>
      <c r="BQ265" s="123">
        <f>VLOOKUP($C265,'1 预算编制表单'!$C:$BJ,36,FALSE)</f>
        <v>0</v>
      </c>
      <c r="BR265" s="123">
        <f>BQ265-BS265</f>
        <v>-4560</v>
      </c>
      <c r="BS265" s="123">
        <f>BS266+BS272</f>
        <v>4560</v>
      </c>
      <c r="BT265" s="123">
        <f>VLOOKUP($C265,'1 预算编制表单'!$C:$BJ,39,FALSE)</f>
        <v>0</v>
      </c>
      <c r="BU265" s="123">
        <f>BT265-BV265</f>
        <v>0</v>
      </c>
      <c r="BV265" s="123">
        <f>BV266+BV272</f>
        <v>0</v>
      </c>
      <c r="BW265" s="123">
        <f>VLOOKUP($C265,'1 预算编制表单'!$C:$BJ,42,FALSE)</f>
        <v>0</v>
      </c>
      <c r="BX265" s="123">
        <f>BW265-BY265</f>
        <v>0</v>
      </c>
      <c r="BY265" s="123">
        <f>BY266+BY272</f>
        <v>0</v>
      </c>
      <c r="BZ265" s="123">
        <f>VLOOKUP($C265,'1 预算编制表单'!$C:$BJ,45,FALSE)</f>
        <v>0</v>
      </c>
      <c r="CA265" s="123">
        <f>BZ265-CB265</f>
        <v>0</v>
      </c>
      <c r="CB265" s="123">
        <f>CB266+CB272</f>
        <v>0</v>
      </c>
      <c r="CC265" s="123">
        <f>VLOOKUP($C265,'1 预算编制表单'!$C:$BJ,48,FALSE)</f>
        <v>0</v>
      </c>
      <c r="CD265" s="123">
        <f>CC265-CE265</f>
        <v>0</v>
      </c>
      <c r="CE265" s="123">
        <f>CE266+CE272</f>
        <v>0</v>
      </c>
      <c r="CF265" s="123">
        <f>VLOOKUP($C265,'1 预算编制表单'!$C:$BJ,51,FALSE)</f>
        <v>0</v>
      </c>
      <c r="CG265" s="123">
        <f>CF265-CH265</f>
        <v>0</v>
      </c>
      <c r="CH265" s="123">
        <f>CH266+CH272</f>
        <v>0</v>
      </c>
      <c r="CI265" s="123">
        <f>VLOOKUP($C265,'1 预算编制表单'!$C:$BJ,54,FALSE)</f>
        <v>0</v>
      </c>
      <c r="CJ265" s="123">
        <f>CI265-CK265</f>
        <v>0</v>
      </c>
      <c r="CK265" s="123">
        <f>CK266+CK272</f>
        <v>0</v>
      </c>
      <c r="CL265" s="123">
        <f>VLOOKUP($C265,'1 预算编制表单'!$C:$BJ,57,FALSE)</f>
        <v>0</v>
      </c>
      <c r="CM265" s="123">
        <f>CL265-CN265</f>
        <v>0</v>
      </c>
      <c r="CN265" s="123">
        <f>CN266+CN272</f>
        <v>0</v>
      </c>
      <c r="CO265" s="123">
        <f>VLOOKUP($C265,'1 预算编制表单'!$C:$BJ,60,FALSE)</f>
        <v>0</v>
      </c>
      <c r="CP265" s="123">
        <f>CO265-CQ265</f>
        <v>0</v>
      </c>
      <c r="CQ265" s="123">
        <f>CQ266+CQ272</f>
        <v>0</v>
      </c>
    </row>
    <row r="266" ht="24" hidden="1" customHeight="1" outlineLevel="3" collapsed="1" spans="1:95">
      <c r="A266" s="124"/>
      <c r="B266" s="125" t="s">
        <v>792</v>
      </c>
      <c r="C266" s="126" t="s">
        <v>1208</v>
      </c>
      <c r="D266" s="124" t="s">
        <v>1209</v>
      </c>
      <c r="E266" s="125" t="s">
        <v>1210</v>
      </c>
      <c r="F266" s="125"/>
      <c r="G266" s="125" t="s">
        <v>936</v>
      </c>
      <c r="H266" s="127">
        <f>X266+AA266+AD266+AG266+AJ266+AM266+AP266+AS266+AV266+AY266+BB266+BE266</f>
        <v>0</v>
      </c>
      <c r="I266" s="127">
        <f>Y266+AB266+AE266+AH266+AK266+AN266+AQ266+AT266+AW266+AZ266+BC266+BF266</f>
        <v>0</v>
      </c>
      <c r="J266" s="127">
        <f t="shared" si="3131"/>
        <v>0</v>
      </c>
      <c r="K266" s="127"/>
      <c r="L266" s="155"/>
      <c r="M266" s="155"/>
      <c r="N266" s="127"/>
      <c r="O266" s="127"/>
      <c r="P266" s="127"/>
      <c r="Q266" s="127"/>
      <c r="R266" s="127"/>
      <c r="S266" s="127"/>
      <c r="T266" s="127"/>
      <c r="U266" s="127"/>
      <c r="V266" s="127"/>
      <c r="W266" s="127"/>
      <c r="X266" s="127">
        <f>VLOOKUP($C266,'1 预算编制表单'!$C:$BJ,27,FALSE)</f>
        <v>0</v>
      </c>
      <c r="Y266" s="127">
        <f>X266-Z266</f>
        <v>0</v>
      </c>
      <c r="Z266" s="127">
        <f>SUM(Z267:Z271)</f>
        <v>0</v>
      </c>
      <c r="AA266" s="127">
        <f>VLOOKUP($C266,'1 预算编制表单'!$C:$BJ,30,FALSE)</f>
        <v>0</v>
      </c>
      <c r="AB266" s="127">
        <f>AA266-AC266</f>
        <v>0</v>
      </c>
      <c r="AC266" s="127">
        <f>SUM(AC267:AC271)</f>
        <v>0</v>
      </c>
      <c r="AD266" s="127">
        <f>VLOOKUP($C266,'1 预算编制表单'!$C:$BJ,33,FALSE)</f>
        <v>0</v>
      </c>
      <c r="AE266" s="127">
        <f>AD266-AF266</f>
        <v>0</v>
      </c>
      <c r="AF266" s="127">
        <f>SUM(AF267:AF271)</f>
        <v>0</v>
      </c>
      <c r="AG266" s="127">
        <f>VLOOKUP($C266,'1 预算编制表单'!$C:$BJ,36,FALSE)</f>
        <v>0</v>
      </c>
      <c r="AH266" s="127">
        <f>AG266-AI266</f>
        <v>0</v>
      </c>
      <c r="AI266" s="127">
        <f>SUM(AI267:AI271)</f>
        <v>0</v>
      </c>
      <c r="AJ266" s="127">
        <f>VLOOKUP($C266,'1 预算编制表单'!$C:$BJ,39,FALSE)</f>
        <v>0</v>
      </c>
      <c r="AK266" s="127">
        <f>AJ266-AL266</f>
        <v>0</v>
      </c>
      <c r="AL266" s="127">
        <f>SUM(AL267:AL271)</f>
        <v>0</v>
      </c>
      <c r="AM266" s="127">
        <f>VLOOKUP($C266,'1 预算编制表单'!$C:$BJ,42,FALSE)</f>
        <v>0</v>
      </c>
      <c r="AN266" s="127">
        <f>AM266-AO266</f>
        <v>0</v>
      </c>
      <c r="AO266" s="127">
        <f>SUM(AO267:AO271)</f>
        <v>0</v>
      </c>
      <c r="AP266" s="127">
        <f>VLOOKUP($C266,'1 预算编制表单'!$C:$BJ,45,FALSE)</f>
        <v>0</v>
      </c>
      <c r="AQ266" s="127">
        <f>AP266-AR266</f>
        <v>0</v>
      </c>
      <c r="AR266" s="127">
        <f>SUM(AR267:AR271)</f>
        <v>0</v>
      </c>
      <c r="AS266" s="127">
        <f>VLOOKUP($C266,'1 预算编制表单'!$C:$BJ,48,FALSE)</f>
        <v>0</v>
      </c>
      <c r="AT266" s="127">
        <f>AS266-AU266</f>
        <v>0</v>
      </c>
      <c r="AU266" s="127">
        <f>SUM(AU267:AU271)</f>
        <v>0</v>
      </c>
      <c r="AV266" s="127">
        <f>VLOOKUP($C266,'1 预算编制表单'!$C:$BJ,51,FALSE)</f>
        <v>0</v>
      </c>
      <c r="AW266" s="127">
        <f>AV266-AX266</f>
        <v>0</v>
      </c>
      <c r="AX266" s="127">
        <f>SUM(AX267:AX271)</f>
        <v>0</v>
      </c>
      <c r="AY266" s="127">
        <f>VLOOKUP($C266,'1 预算编制表单'!$C:$BJ,54,FALSE)</f>
        <v>0</v>
      </c>
      <c r="AZ266" s="127">
        <f>AY266-BA266</f>
        <v>0</v>
      </c>
      <c r="BA266" s="127">
        <f>SUM(BA267:BA271)</f>
        <v>0</v>
      </c>
      <c r="BB266" s="127">
        <f>VLOOKUP($C266,'1 预算编制表单'!$C:$BJ,57,FALSE)</f>
        <v>0</v>
      </c>
      <c r="BC266" s="127">
        <f>BB266-BD266</f>
        <v>0</v>
      </c>
      <c r="BD266" s="127">
        <f>SUM(BD267:BD271)</f>
        <v>0</v>
      </c>
      <c r="BE266" s="127">
        <f>VLOOKUP($C266,'1 预算编制表单'!$C:$BJ,60,FALSE)</f>
        <v>0</v>
      </c>
      <c r="BF266" s="127">
        <f>BE266-BG266</f>
        <v>0</v>
      </c>
      <c r="BG266" s="127">
        <f>SUM(BG267:BG271)</f>
        <v>0</v>
      </c>
      <c r="BH266" s="127">
        <f>VLOOKUP($C266,'1 预算编制表单'!$C:$BJ,27,FALSE)</f>
        <v>0</v>
      </c>
      <c r="BI266" s="127">
        <f>BH266-BJ266</f>
        <v>0</v>
      </c>
      <c r="BJ266" s="127">
        <f>SUM(BJ267:BJ271)</f>
        <v>0</v>
      </c>
      <c r="BK266" s="127">
        <f>VLOOKUP($C266,'1 预算编制表单'!$C:$BJ,30,FALSE)</f>
        <v>0</v>
      </c>
      <c r="BL266" s="127">
        <f>BK266-BM266</f>
        <v>0</v>
      </c>
      <c r="BM266" s="127">
        <f>SUM(BM267:BM271)</f>
        <v>0</v>
      </c>
      <c r="BN266" s="127">
        <f>VLOOKUP($C266,'1 预算编制表单'!$C:$BJ,33,FALSE)</f>
        <v>0</v>
      </c>
      <c r="BO266" s="127">
        <f>BN266-BP266</f>
        <v>0</v>
      </c>
      <c r="BP266" s="127">
        <f>SUM(BP267:BP271)</f>
        <v>0</v>
      </c>
      <c r="BQ266" s="127">
        <f>VLOOKUP($C266,'1 预算编制表单'!$C:$BJ,36,FALSE)</f>
        <v>0</v>
      </c>
      <c r="BR266" s="127">
        <f>BQ266-BS266</f>
        <v>0</v>
      </c>
      <c r="BS266" s="127">
        <f>SUM(BS267:BS271)</f>
        <v>0</v>
      </c>
      <c r="BT266" s="127">
        <f>VLOOKUP($C266,'1 预算编制表单'!$C:$BJ,39,FALSE)</f>
        <v>0</v>
      </c>
      <c r="BU266" s="127">
        <f>BT266-BV266</f>
        <v>0</v>
      </c>
      <c r="BV266" s="127">
        <f>SUM(BV267:BV271)</f>
        <v>0</v>
      </c>
      <c r="BW266" s="127">
        <f>VLOOKUP($C266,'1 预算编制表单'!$C:$BJ,42,FALSE)</f>
        <v>0</v>
      </c>
      <c r="BX266" s="127">
        <f>BW266-BY266</f>
        <v>0</v>
      </c>
      <c r="BY266" s="127">
        <f>SUM(BY267:BY271)</f>
        <v>0</v>
      </c>
      <c r="BZ266" s="127">
        <f>VLOOKUP($C266,'1 预算编制表单'!$C:$BJ,45,FALSE)</f>
        <v>0</v>
      </c>
      <c r="CA266" s="127">
        <f>BZ266-CB266</f>
        <v>0</v>
      </c>
      <c r="CB266" s="127">
        <f>SUM(CB267:CB271)</f>
        <v>0</v>
      </c>
      <c r="CC266" s="127">
        <f>VLOOKUP($C266,'1 预算编制表单'!$C:$BJ,48,FALSE)</f>
        <v>0</v>
      </c>
      <c r="CD266" s="127">
        <f>CC266-CE266</f>
        <v>0</v>
      </c>
      <c r="CE266" s="127">
        <f>SUM(CE267:CE271)</f>
        <v>0</v>
      </c>
      <c r="CF266" s="127">
        <f>VLOOKUP($C266,'1 预算编制表单'!$C:$BJ,51,FALSE)</f>
        <v>0</v>
      </c>
      <c r="CG266" s="127">
        <f>CF266-CH266</f>
        <v>0</v>
      </c>
      <c r="CH266" s="127">
        <f>SUM(CH267:CH271)</f>
        <v>0</v>
      </c>
      <c r="CI266" s="127">
        <f>VLOOKUP($C266,'1 预算编制表单'!$C:$BJ,54,FALSE)</f>
        <v>0</v>
      </c>
      <c r="CJ266" s="127">
        <f>CI266-CK266</f>
        <v>0</v>
      </c>
      <c r="CK266" s="127">
        <f>SUM(CK267:CK271)</f>
        <v>0</v>
      </c>
      <c r="CL266" s="127">
        <f>VLOOKUP($C266,'1 预算编制表单'!$C:$BJ,57,FALSE)</f>
        <v>0</v>
      </c>
      <c r="CM266" s="127">
        <f>CL266-CN266</f>
        <v>0</v>
      </c>
      <c r="CN266" s="127">
        <f>SUM(CN267:CN271)</f>
        <v>0</v>
      </c>
      <c r="CO266" s="127">
        <f>VLOOKUP($C266,'1 预算编制表单'!$C:$BJ,60,FALSE)</f>
        <v>0</v>
      </c>
      <c r="CP266" s="127">
        <f>CO266-CQ266</f>
        <v>0</v>
      </c>
      <c r="CQ266" s="127">
        <f>SUM(CQ267:CQ271)</f>
        <v>0</v>
      </c>
    </row>
    <row r="267" s="89" customFormat="1" ht="24" hidden="1" customHeight="1" outlineLevel="4" spans="1:95">
      <c r="A267" s="128"/>
      <c r="B267" s="129"/>
      <c r="C267" s="130"/>
      <c r="D267" s="128"/>
      <c r="E267" s="129"/>
      <c r="F267" s="129"/>
      <c r="G267" s="129"/>
      <c r="H267" s="131"/>
      <c r="I267" s="131"/>
      <c r="J267" s="131">
        <f t="shared" si="3131"/>
        <v>0</v>
      </c>
      <c r="K267" s="131">
        <v>1</v>
      </c>
      <c r="L267" s="156"/>
      <c r="M267" s="157">
        <f>IFERROR(VLOOKUP($L267,'2-2 引出数据_合同数据仓库'!$B$5:$BP$200,3,FALSE),0)</f>
        <v>0</v>
      </c>
      <c r="N267" s="131"/>
      <c r="O267" s="157">
        <f>IFERROR(VLOOKUP((LEFT(VLOOKUP($L267,'2-2 引出数据_合同数据仓库'!$B$5:$BP$200,64,FALSE),15)&amp;(RIGHT(VLOOKUP($L267,'2-2 引出数据_合同数据仓库'!$B$5:$BP$200,64,FALSE),4)+1)),'2-2 引出数据_合同数据仓库'!$B$5:$BP$200,3,FALSE),0)</f>
        <v>0</v>
      </c>
      <c r="P267" s="131"/>
      <c r="Q267" s="131">
        <f>IFERROR(VLOOKUP($L267,'2-2 引出数据_合同数据仓库'!$B$5:$BP$200,28,FALSE),0)</f>
        <v>0</v>
      </c>
      <c r="R267" s="131">
        <f>IFERROR(VLOOKUP($L267,'2-2 引出数据_合同数据仓库'!$B$5:$BP$200,29,FALSE),0)</f>
        <v>0</v>
      </c>
      <c r="S267" s="131">
        <f>IFERROR(VLOOKUP($L267,'2-2 引出数据_合同数据仓库'!$B$5:$BP$200,4,FALSE),0)</f>
        <v>0</v>
      </c>
      <c r="T267" s="131"/>
      <c r="U267" s="131">
        <f>IFERROR(VLOOKUP($L267,'2-2 引出数据_合同数据仓库'!$B$5:$BP$200,15,FALSE),0)</f>
        <v>0</v>
      </c>
      <c r="V267" s="131">
        <f t="shared" ref="V267:V270" si="3133">U267/(S267-R267+1)*365</f>
        <v>0</v>
      </c>
      <c r="W267" s="131"/>
      <c r="X267" s="163">
        <v>45658</v>
      </c>
      <c r="Y267" s="163">
        <f t="shared" ref="Y267:Y270" si="3134">X267+30</f>
        <v>45688</v>
      </c>
      <c r="Z267" s="167">
        <f t="shared" ref="Z267:Z270" si="3135">IFERROR(IF(($R267-Y267)&gt;=0,0,IF(($S267-X267)&lt;0,0,IF(AND(($S267-Y267)&gt;0,(X267-$R267)&gt;0),$V267/365*(Y267-X267+1),IF(AND(($S267-Y267)&lt;=0,(X267-$R267)&gt;0),$V267/365*($S267-X267+1),$V267/365*(Y267-$R267+1))))),0)</f>
        <v>0</v>
      </c>
      <c r="AA267" s="163">
        <f t="shared" ref="AA267:AA270" si="3136">Y267+1</f>
        <v>45689</v>
      </c>
      <c r="AB267" s="163">
        <f t="shared" ref="AB267:AB270" si="3137">AA267+27</f>
        <v>45716</v>
      </c>
      <c r="AC267" s="167">
        <f t="shared" ref="AC267:AC270" si="3138">IFERROR(IF(($R267-AB267)&gt;=0,0,IF(($S267-AA267)&lt;0,0,IF(AND(($S267-AB267)&gt;0,(AA267-$R267)&gt;0),$V267/365*(AB267-AA267+1),IF(AND(($S267-AB267)&lt;=0,(AA267-$R267)&gt;0),$V267/365*($S267-AA267+1),$V267/365*(AB267-$R267+1))))),0)</f>
        <v>0</v>
      </c>
      <c r="AD267" s="163">
        <f t="shared" ref="AD267:AD270" si="3139">AB267+1</f>
        <v>45717</v>
      </c>
      <c r="AE267" s="163">
        <f t="shared" ref="AE267:AE270" si="3140">AD267+30</f>
        <v>45747</v>
      </c>
      <c r="AF267" s="167">
        <f t="shared" ref="AF267:AF270" si="3141">IFERROR(IF(($R267-AE267)&gt;=0,0,IF(($S267-AD267)&lt;0,0,IF(AND(($S267-AE267)&gt;0,(AD267-$R267)&gt;0),$V267/365*(AE267-AD267+1),IF(AND(($S267-AE267)&lt;=0,(AD267-$R267)&gt;0),$V267/365*($S267-AD267+1),$V267/365*(AE267-$R267+1))))),0)</f>
        <v>0</v>
      </c>
      <c r="AG267" s="163">
        <f t="shared" ref="AG267:AG270" si="3142">AE267+1</f>
        <v>45748</v>
      </c>
      <c r="AH267" s="163">
        <f t="shared" ref="AH267:AH270" si="3143">AG267+29</f>
        <v>45777</v>
      </c>
      <c r="AI267" s="167">
        <f t="shared" ref="AI267:AI270" si="3144">IFERROR(IF(($R267-AH267)&gt;=0,0,IF(($S267-AG267)&lt;0,0,IF(AND(($S267-AH267)&gt;0,(AG267-$R267)&gt;0),$V267/365*(AH267-AG267+1),IF(AND(($S267-AH267)&lt;=0,(AG267-$R267)&gt;0),$V267/365*($S267-AG267+1),$V267/365*(AH267-$R267+1))))),0)</f>
        <v>0</v>
      </c>
      <c r="AJ267" s="163">
        <f t="shared" ref="AJ267:AJ270" si="3145">AH267+1</f>
        <v>45778</v>
      </c>
      <c r="AK267" s="163">
        <f t="shared" ref="AK267:AK270" si="3146">AJ267+30</f>
        <v>45808</v>
      </c>
      <c r="AL267" s="167">
        <f t="shared" ref="AL267:AL270" si="3147">IFERROR(IF(($R267-AK267)&gt;=0,0,IF(($S267-AJ267)&lt;0,0,IF(AND(($S267-AK267)&gt;0,(AJ267-$R267)&gt;0),$V267/365*(AK267-AJ267+1),IF(AND(($S267-AK267)&lt;=0,(AJ267-$R267)&gt;0),$V267/365*($S267-AJ267+1),$V267/365*(AK267-$R267+1))))),0)</f>
        <v>0</v>
      </c>
      <c r="AM267" s="163">
        <f t="shared" ref="AM267:AM270" si="3148">AK267+1</f>
        <v>45809</v>
      </c>
      <c r="AN267" s="163">
        <f t="shared" ref="AN267:AN270" si="3149">AM267+29</f>
        <v>45838</v>
      </c>
      <c r="AO267" s="167">
        <f t="shared" ref="AO267:AO270" si="3150">IFERROR(IF(($R267-AN267)&gt;=0,0,IF(($S267-AM267)&lt;0,0,IF(AND(($S267-AN267)&gt;0,(AM267-$R267)&gt;0),$V267/365*(AN267-AM267+1),IF(AND(($S267-AN267)&lt;=0,(AM267-$R267)&gt;0),$V267/365*($S267-AM267+1),$V267/365*(AN267-$R267+1))))),0)</f>
        <v>0</v>
      </c>
      <c r="AP267" s="163">
        <f t="shared" ref="AP267:AP270" si="3151">AN267+1</f>
        <v>45839</v>
      </c>
      <c r="AQ267" s="163">
        <f t="shared" ref="AQ267:AQ270" si="3152">AP267+30</f>
        <v>45869</v>
      </c>
      <c r="AR267" s="167">
        <f t="shared" ref="AR267:AR270" si="3153">IFERROR(IF(($R267-AQ267)&gt;=0,0,IF(($S267-AP267)&lt;0,0,IF(AND(($S267-AQ267)&gt;0,(AP267-$R267)&gt;0),$V267/365*(AQ267-AP267+1),IF(AND(($S267-AQ267)&lt;=0,(AP267-$R267)&gt;0),$V267/365*($S267-AP267+1),$V267/365*(AQ267-$R267+1))))),0)</f>
        <v>0</v>
      </c>
      <c r="AS267" s="163">
        <f t="shared" ref="AS267:AS270" si="3154">AQ267+1</f>
        <v>45870</v>
      </c>
      <c r="AT267" s="163">
        <f t="shared" ref="AT267:AT270" si="3155">AS267+30</f>
        <v>45900</v>
      </c>
      <c r="AU267" s="167">
        <f t="shared" ref="AU267:AU270" si="3156">IFERROR(IF(($R267-AT267)&gt;=0,0,IF(($S267-AS267)&lt;0,0,IF(AND(($S267-AT267)&gt;0,(AS267-$R267)&gt;0),$V267/365*(AT267-AS267+1),IF(AND(($S267-AT267)&lt;=0,(AS267-$R267)&gt;0),$V267/365*($S267-AS267+1),$V267/365*(AT267-$R267+1))))),0)</f>
        <v>0</v>
      </c>
      <c r="AV267" s="163">
        <f t="shared" ref="AV267:AV270" si="3157">AT267+1</f>
        <v>45901</v>
      </c>
      <c r="AW267" s="163">
        <f t="shared" ref="AW267:AW270" si="3158">AV267+29</f>
        <v>45930</v>
      </c>
      <c r="AX267" s="167">
        <f t="shared" ref="AX267:AX270" si="3159">IFERROR(IF(($R267-AW267)&gt;=0,0,IF(($S267-AV267)&lt;0,0,IF(AND(($S267-AW267)&gt;0,(AV267-$R267)&gt;0),$V267/365*(AW267-AV267+1),IF(AND(($S267-AW267)&lt;=0,(AV267-$R267)&gt;0),$V267/365*($S267-AV267+1),$V267/365*(AW267-$R267+1))))),0)</f>
        <v>0</v>
      </c>
      <c r="AY267" s="163">
        <f t="shared" ref="AY267:AY270" si="3160">AW267+1</f>
        <v>45931</v>
      </c>
      <c r="AZ267" s="163">
        <f t="shared" ref="AZ267:AZ270" si="3161">AY267+30</f>
        <v>45961</v>
      </c>
      <c r="BA267" s="167">
        <f t="shared" ref="BA267:BA270" si="3162">IFERROR(IF(($R267-AZ267)&gt;=0,0,IF(($S267-AY267)&lt;0,0,IF(AND(($S267-AZ267)&gt;0,(AY267-$R267)&gt;0),$V267/365*(AZ267-AY267+1),IF(AND(($S267-AZ267)&lt;=0,(AY267-$R267)&gt;0),$V267/365*($S267-AY267+1),$V267/365*(AZ267-$R267+1))))),0)</f>
        <v>0</v>
      </c>
      <c r="BB267" s="163">
        <f t="shared" ref="BB267:BB270" si="3163">AZ267+1</f>
        <v>45962</v>
      </c>
      <c r="BC267" s="163">
        <f t="shared" ref="BC267:BC270" si="3164">BB267+29</f>
        <v>45991</v>
      </c>
      <c r="BD267" s="167">
        <f t="shared" ref="BD267:BD270" si="3165">IFERROR(IF(($R267-BC267)&gt;=0,0,IF(($S267-BB267)&lt;0,0,IF(AND(($S267-BC267)&gt;0,(BB267-$R267)&gt;0),$V267/365*(BC267-BB267+1),IF(AND(($S267-BC267)&lt;=0,(BB267-$R267)&gt;0),$V267/365*($S267-BB267+1),$V267/365*(BC267-$R267+1))))),0)</f>
        <v>0</v>
      </c>
      <c r="BE267" s="163">
        <f t="shared" ref="BE267:BE270" si="3166">BC267+1</f>
        <v>45992</v>
      </c>
      <c r="BF267" s="163">
        <f t="shared" ref="BF267:BF270" si="3167">BE267+30</f>
        <v>46022</v>
      </c>
      <c r="BG267" s="167">
        <f t="shared" ref="BG267:BG270" si="3168">IFERROR(IF(($R267-BF267)&gt;=0,0,IF(($S267-BE267)&lt;0,0,IF(AND(($S267-BF267)&gt;0,(BE267-$R267)&gt;0),$V267/365*(BF267-BE267+1),IF(AND(($S267-BF267)&lt;=0,(BE267-$R267)&gt;0),$V267/365*($S267-BE267+1),$V267/365*(BF267-$R267+1))))),0)</f>
        <v>0</v>
      </c>
      <c r="BH267" s="163">
        <v>46023</v>
      </c>
      <c r="BI267" s="163">
        <f t="shared" ref="BI267:BI270" si="3169">BH267+30</f>
        <v>46053</v>
      </c>
      <c r="BJ267" s="167">
        <f t="shared" ref="BJ267:BJ270" si="3170">IFERROR(IF(($R267-BI267)&gt;=0,0,IF(($S267-BH267)&lt;0,0,IF(AND(($S267-BI267)&gt;0,(BH267-$R267)&gt;0),$V267/365*(BI267-BH267+1),IF(AND(($S267-BI267)&lt;=0,(BH267-$R267)&gt;0),$V267/365*($S267-BH267+1),$V267/365*(BI267-$R267+1))))),0)</f>
        <v>0</v>
      </c>
      <c r="BK267" s="163">
        <f t="shared" ref="BK267:BK270" si="3171">BI267+1</f>
        <v>46054</v>
      </c>
      <c r="BL267" s="163">
        <f t="shared" ref="BL267:BL270" si="3172">BK267+27</f>
        <v>46081</v>
      </c>
      <c r="BM267" s="167">
        <f t="shared" ref="BM267:BM270" si="3173">IFERROR(IF(($R267-BL267)&gt;=0,0,IF(($S267-BK267)&lt;0,0,IF(AND(($S267-BL267)&gt;0,(BK267-$R267)&gt;0),$V267/365*(BL267-BK267+1),IF(AND(($S267-BL267)&lt;=0,(BK267-$R267)&gt;0),$V267/365*($S267-BK267+1),$V267/365*(BL267-$R267+1))))),0)</f>
        <v>0</v>
      </c>
      <c r="BN267" s="163">
        <f t="shared" ref="BN267:BN270" si="3174">BL267+1</f>
        <v>46082</v>
      </c>
      <c r="BO267" s="163">
        <f t="shared" ref="BO267:BO270" si="3175">BN267+30</f>
        <v>46112</v>
      </c>
      <c r="BP267" s="167">
        <f t="shared" ref="BP267:BP270" si="3176">IFERROR(IF(($R267-BO267)&gt;=0,0,IF(($S267-BN267)&lt;0,0,IF(AND(($S267-BO267)&gt;0,(BN267-$R267)&gt;0),$V267/365*(BO267-BN267+1),IF(AND(($S267-BO267)&lt;=0,(BN267-$R267)&gt;0),$V267/365*($S267-BN267+1),$V267/365*(BO267-$R267+1))))),0)</f>
        <v>0</v>
      </c>
      <c r="BQ267" s="163">
        <f t="shared" ref="BQ267:BQ270" si="3177">BO267+1</f>
        <v>46113</v>
      </c>
      <c r="BR267" s="163">
        <f t="shared" ref="BR267:BR270" si="3178">BQ267+29</f>
        <v>46142</v>
      </c>
      <c r="BS267" s="167">
        <f t="shared" ref="BS267:BS270" si="3179">IFERROR(IF(($R267-BR267)&gt;=0,0,IF(($S267-BQ267)&lt;0,0,IF(AND(($S267-BR267)&gt;0,(BQ267-$R267)&gt;0),$V267/365*(BR267-BQ267+1),IF(AND(($S267-BR267)&lt;=0,(BQ267-$R267)&gt;0),$V267/365*($S267-BQ267+1),$V267/365*(BR267-$R267+1))))),0)</f>
        <v>0</v>
      </c>
      <c r="BT267" s="163">
        <f t="shared" ref="BT267:BT270" si="3180">BR267+1</f>
        <v>46143</v>
      </c>
      <c r="BU267" s="163">
        <f t="shared" ref="BU267:BU270" si="3181">BT267+30</f>
        <v>46173</v>
      </c>
      <c r="BV267" s="167">
        <f t="shared" ref="BV267:BV270" si="3182">IFERROR(IF(($R267-BU267)&gt;=0,0,IF(($S267-BT267)&lt;0,0,IF(AND(($S267-BU267)&gt;0,(BT267-$R267)&gt;0),$V267/365*(BU267-BT267+1),IF(AND(($S267-BU267)&lt;=0,(BT267-$R267)&gt;0),$V267/365*($S267-BT267+1),$V267/365*(BU267-$R267+1))))),0)</f>
        <v>0</v>
      </c>
      <c r="BW267" s="163">
        <f t="shared" ref="BW267:BW270" si="3183">BU267+1</f>
        <v>46174</v>
      </c>
      <c r="BX267" s="163">
        <f t="shared" ref="BX267:BX270" si="3184">BW267+29</f>
        <v>46203</v>
      </c>
      <c r="BY267" s="167">
        <f t="shared" ref="BY267:BY270" si="3185">IFERROR(IF(($R267-BX267)&gt;=0,0,IF(($S267-BW267)&lt;0,0,IF(AND(($S267-BX267)&gt;0,(BW267-$R267)&gt;0),$V267/365*(BX267-BW267+1),IF(AND(($S267-BX267)&lt;=0,(BW267-$R267)&gt;0),$V267/365*($S267-BW267+1),$V267/365*(BX267-$R267+1))))),0)</f>
        <v>0</v>
      </c>
      <c r="BZ267" s="163">
        <f t="shared" ref="BZ267:BZ270" si="3186">BX267+1</f>
        <v>46204</v>
      </c>
      <c r="CA267" s="163">
        <f t="shared" ref="CA267:CA270" si="3187">BZ267+30</f>
        <v>46234</v>
      </c>
      <c r="CB267" s="167">
        <f t="shared" ref="CB267:CB270" si="3188">IFERROR(IF(($R267-CA267)&gt;=0,0,IF(($S267-BZ267)&lt;0,0,IF(AND(($S267-CA267)&gt;0,(BZ267-$R267)&gt;0),$V267/365*(CA267-BZ267+1),IF(AND(($S267-CA267)&lt;=0,(BZ267-$R267)&gt;0),$V267/365*($S267-BZ267+1),$V267/365*(CA267-$R267+1))))),0)</f>
        <v>0</v>
      </c>
      <c r="CC267" s="163">
        <f t="shared" ref="CC267:CC270" si="3189">CA267+1</f>
        <v>46235</v>
      </c>
      <c r="CD267" s="163">
        <f t="shared" ref="CD267:CD270" si="3190">CC267+30</f>
        <v>46265</v>
      </c>
      <c r="CE267" s="167">
        <f t="shared" ref="CE267:CE270" si="3191">IFERROR(IF(($R267-CD267)&gt;=0,0,IF(($S267-CC267)&lt;0,0,IF(AND(($S267-CD267)&gt;0,(CC267-$R267)&gt;0),$V267/365*(CD267-CC267+1),IF(AND(($S267-CD267)&lt;=0,(CC267-$R267)&gt;0),$V267/365*($S267-CC267+1),$V267/365*(CD267-$R267+1))))),0)</f>
        <v>0</v>
      </c>
      <c r="CF267" s="163">
        <f t="shared" ref="CF267:CF270" si="3192">CD267+1</f>
        <v>46266</v>
      </c>
      <c r="CG267" s="163">
        <f t="shared" ref="CG267:CG270" si="3193">CF267+29</f>
        <v>46295</v>
      </c>
      <c r="CH267" s="167">
        <f t="shared" ref="CH267:CH270" si="3194">IFERROR(IF(($R267-CG267)&gt;=0,0,IF(($S267-CF267)&lt;0,0,IF(AND(($S267-CG267)&gt;0,(CF267-$R267)&gt;0),$V267/365*(CG267-CF267+1),IF(AND(($S267-CG267)&lt;=0,(CF267-$R267)&gt;0),$V267/365*($S267-CF267+1),$V267/365*(CG267-$R267+1))))),0)</f>
        <v>0</v>
      </c>
      <c r="CI267" s="163">
        <f t="shared" ref="CI267:CI270" si="3195">CG267+1</f>
        <v>46296</v>
      </c>
      <c r="CJ267" s="163">
        <f t="shared" ref="CJ267:CJ270" si="3196">CI267+30</f>
        <v>46326</v>
      </c>
      <c r="CK267" s="167">
        <f t="shared" ref="CK267:CK270" si="3197">IFERROR(IF(($R267-CJ267)&gt;=0,0,IF(($S267-CI267)&lt;0,0,IF(AND(($S267-CJ267)&gt;0,(CI267-$R267)&gt;0),$V267/365*(CJ267-CI267+1),IF(AND(($S267-CJ267)&lt;=0,(CI267-$R267)&gt;0),$V267/365*($S267-CI267+1),$V267/365*(CJ267-$R267+1))))),0)</f>
        <v>0</v>
      </c>
      <c r="CL267" s="163">
        <f t="shared" ref="CL267:CL270" si="3198">CJ267+1</f>
        <v>46327</v>
      </c>
      <c r="CM267" s="163">
        <f t="shared" ref="CM267:CM270" si="3199">CL267+29</f>
        <v>46356</v>
      </c>
      <c r="CN267" s="167">
        <f t="shared" ref="CN267:CN270" si="3200">IFERROR(IF(($R267-CM267)&gt;=0,0,IF(($S267-CL267)&lt;0,0,IF(AND(($S267-CM267)&gt;0,(CL267-$R267)&gt;0),$V267/365*(CM267-CL267+1),IF(AND(($S267-CM267)&lt;=0,(CL267-$R267)&gt;0),$V267/365*($S267-CL267+1),$V267/365*(CM267-$R267+1))))),0)</f>
        <v>0</v>
      </c>
      <c r="CO267" s="163">
        <f t="shared" ref="CO267:CO270" si="3201">CM267+1</f>
        <v>46357</v>
      </c>
      <c r="CP267" s="163">
        <f t="shared" ref="CP267:CP270" si="3202">CO267+30</f>
        <v>46387</v>
      </c>
      <c r="CQ267" s="167">
        <f t="shared" ref="CQ267:CQ270" si="3203">IFERROR(IF(($R267-CP267)&gt;=0,0,IF(($S267-CO267)&lt;0,0,IF(AND(($S267-CP267)&gt;0,(CO267-$R267)&gt;0),$V267/365*(CP267-CO267+1),IF(AND(($S267-CP267)&lt;=0,(CO267-$R267)&gt;0),$V267/365*($S267-CO267+1),$V267/365*(CP267-$R267+1))))),0)</f>
        <v>0</v>
      </c>
    </row>
    <row r="268" s="89" customFormat="1" ht="24" hidden="1" customHeight="1" outlineLevel="4" spans="1:95">
      <c r="A268" s="128"/>
      <c r="B268" s="129"/>
      <c r="C268" s="130"/>
      <c r="D268" s="128"/>
      <c r="E268" s="129"/>
      <c r="F268" s="129"/>
      <c r="G268" s="129"/>
      <c r="H268" s="131"/>
      <c r="I268" s="131"/>
      <c r="J268" s="131">
        <f t="shared" si="3131"/>
        <v>0</v>
      </c>
      <c r="K268" s="131">
        <f t="shared" ref="K268:K270" si="3204">K267+1</f>
        <v>2</v>
      </c>
      <c r="L268" s="156"/>
      <c r="M268" s="157">
        <f>IFERROR(VLOOKUP($L268,'2-2 引出数据_合同数据仓库'!$B$5:$BP$200,3,FALSE),0)</f>
        <v>0</v>
      </c>
      <c r="N268" s="131"/>
      <c r="O268" s="157">
        <f>IFERROR(VLOOKUP((LEFT(VLOOKUP($L268,'2-2 引出数据_合同数据仓库'!$B$5:$BP$200,64,FALSE),15)&amp;(RIGHT(VLOOKUP($L268,'2-2 引出数据_合同数据仓库'!$B$5:$BP$200,64,FALSE),4)+1)),'2-2 引出数据_合同数据仓库'!$B$5:$BP$200,3,FALSE),0)</f>
        <v>0</v>
      </c>
      <c r="P268" s="131"/>
      <c r="Q268" s="131">
        <f>IFERROR(VLOOKUP($L268,'2-2 引出数据_合同数据仓库'!$B$5:$BP$200,28,FALSE),0)</f>
        <v>0</v>
      </c>
      <c r="R268" s="131">
        <f>IFERROR(VLOOKUP($L268,'2-2 引出数据_合同数据仓库'!$B$5:$BP$200,29,FALSE),0)</f>
        <v>0</v>
      </c>
      <c r="S268" s="131">
        <f>IFERROR(VLOOKUP($L268,'2-2 引出数据_合同数据仓库'!$B$5:$BP$200,4,FALSE),0)</f>
        <v>0</v>
      </c>
      <c r="T268" s="131"/>
      <c r="U268" s="131">
        <f>IFERROR(VLOOKUP($L268,'2-2 引出数据_合同数据仓库'!$B$5:$BP$200,15,FALSE),0)</f>
        <v>0</v>
      </c>
      <c r="V268" s="131">
        <f t="shared" si="3133"/>
        <v>0</v>
      </c>
      <c r="W268" s="131"/>
      <c r="X268" s="163">
        <v>45658</v>
      </c>
      <c r="Y268" s="163">
        <f t="shared" si="3134"/>
        <v>45688</v>
      </c>
      <c r="Z268" s="167">
        <f t="shared" si="3135"/>
        <v>0</v>
      </c>
      <c r="AA268" s="163">
        <f t="shared" si="3136"/>
        <v>45689</v>
      </c>
      <c r="AB268" s="163">
        <f t="shared" si="3137"/>
        <v>45716</v>
      </c>
      <c r="AC268" s="167">
        <f t="shared" si="3138"/>
        <v>0</v>
      </c>
      <c r="AD268" s="163">
        <f t="shared" si="3139"/>
        <v>45717</v>
      </c>
      <c r="AE268" s="163">
        <f t="shared" si="3140"/>
        <v>45747</v>
      </c>
      <c r="AF268" s="167">
        <f t="shared" si="3141"/>
        <v>0</v>
      </c>
      <c r="AG268" s="163">
        <f t="shared" si="3142"/>
        <v>45748</v>
      </c>
      <c r="AH268" s="163">
        <f t="shared" si="3143"/>
        <v>45777</v>
      </c>
      <c r="AI268" s="167">
        <f t="shared" si="3144"/>
        <v>0</v>
      </c>
      <c r="AJ268" s="163">
        <f t="shared" si="3145"/>
        <v>45778</v>
      </c>
      <c r="AK268" s="163">
        <f t="shared" si="3146"/>
        <v>45808</v>
      </c>
      <c r="AL268" s="167">
        <f t="shared" si="3147"/>
        <v>0</v>
      </c>
      <c r="AM268" s="163">
        <f t="shared" si="3148"/>
        <v>45809</v>
      </c>
      <c r="AN268" s="163">
        <f t="shared" si="3149"/>
        <v>45838</v>
      </c>
      <c r="AO268" s="167">
        <f t="shared" si="3150"/>
        <v>0</v>
      </c>
      <c r="AP268" s="163">
        <f t="shared" si="3151"/>
        <v>45839</v>
      </c>
      <c r="AQ268" s="163">
        <f t="shared" si="3152"/>
        <v>45869</v>
      </c>
      <c r="AR268" s="167">
        <f t="shared" si="3153"/>
        <v>0</v>
      </c>
      <c r="AS268" s="163">
        <f t="shared" si="3154"/>
        <v>45870</v>
      </c>
      <c r="AT268" s="163">
        <f t="shared" si="3155"/>
        <v>45900</v>
      </c>
      <c r="AU268" s="167">
        <f t="shared" si="3156"/>
        <v>0</v>
      </c>
      <c r="AV268" s="163">
        <f t="shared" si="3157"/>
        <v>45901</v>
      </c>
      <c r="AW268" s="163">
        <f t="shared" si="3158"/>
        <v>45930</v>
      </c>
      <c r="AX268" s="167">
        <f t="shared" si="3159"/>
        <v>0</v>
      </c>
      <c r="AY268" s="163">
        <f t="shared" si="3160"/>
        <v>45931</v>
      </c>
      <c r="AZ268" s="163">
        <f t="shared" si="3161"/>
        <v>45961</v>
      </c>
      <c r="BA268" s="167">
        <f t="shared" si="3162"/>
        <v>0</v>
      </c>
      <c r="BB268" s="163">
        <f t="shared" si="3163"/>
        <v>45962</v>
      </c>
      <c r="BC268" s="163">
        <f t="shared" si="3164"/>
        <v>45991</v>
      </c>
      <c r="BD268" s="167">
        <f t="shared" si="3165"/>
        <v>0</v>
      </c>
      <c r="BE268" s="163">
        <f t="shared" si="3166"/>
        <v>45992</v>
      </c>
      <c r="BF268" s="163">
        <f t="shared" si="3167"/>
        <v>46022</v>
      </c>
      <c r="BG268" s="167">
        <f t="shared" si="3168"/>
        <v>0</v>
      </c>
      <c r="BH268" s="163">
        <v>46023</v>
      </c>
      <c r="BI268" s="163">
        <f t="shared" si="3169"/>
        <v>46053</v>
      </c>
      <c r="BJ268" s="167">
        <f t="shared" si="3170"/>
        <v>0</v>
      </c>
      <c r="BK268" s="163">
        <f t="shared" si="3171"/>
        <v>46054</v>
      </c>
      <c r="BL268" s="163">
        <f t="shared" si="3172"/>
        <v>46081</v>
      </c>
      <c r="BM268" s="167">
        <f t="shared" si="3173"/>
        <v>0</v>
      </c>
      <c r="BN268" s="163">
        <f t="shared" si="3174"/>
        <v>46082</v>
      </c>
      <c r="BO268" s="163">
        <f t="shared" si="3175"/>
        <v>46112</v>
      </c>
      <c r="BP268" s="167">
        <f t="shared" si="3176"/>
        <v>0</v>
      </c>
      <c r="BQ268" s="163">
        <f t="shared" si="3177"/>
        <v>46113</v>
      </c>
      <c r="BR268" s="163">
        <f t="shared" si="3178"/>
        <v>46142</v>
      </c>
      <c r="BS268" s="167">
        <f t="shared" si="3179"/>
        <v>0</v>
      </c>
      <c r="BT268" s="163">
        <f t="shared" si="3180"/>
        <v>46143</v>
      </c>
      <c r="BU268" s="163">
        <f t="shared" si="3181"/>
        <v>46173</v>
      </c>
      <c r="BV268" s="167">
        <f t="shared" si="3182"/>
        <v>0</v>
      </c>
      <c r="BW268" s="163">
        <f t="shared" si="3183"/>
        <v>46174</v>
      </c>
      <c r="BX268" s="163">
        <f t="shared" si="3184"/>
        <v>46203</v>
      </c>
      <c r="BY268" s="167">
        <f t="shared" si="3185"/>
        <v>0</v>
      </c>
      <c r="BZ268" s="163">
        <f t="shared" si="3186"/>
        <v>46204</v>
      </c>
      <c r="CA268" s="163">
        <f t="shared" si="3187"/>
        <v>46234</v>
      </c>
      <c r="CB268" s="167">
        <f t="shared" si="3188"/>
        <v>0</v>
      </c>
      <c r="CC268" s="163">
        <f t="shared" si="3189"/>
        <v>46235</v>
      </c>
      <c r="CD268" s="163">
        <f t="shared" si="3190"/>
        <v>46265</v>
      </c>
      <c r="CE268" s="167">
        <f t="shared" si="3191"/>
        <v>0</v>
      </c>
      <c r="CF268" s="163">
        <f t="shared" si="3192"/>
        <v>46266</v>
      </c>
      <c r="CG268" s="163">
        <f t="shared" si="3193"/>
        <v>46295</v>
      </c>
      <c r="CH268" s="167">
        <f t="shared" si="3194"/>
        <v>0</v>
      </c>
      <c r="CI268" s="163">
        <f t="shared" si="3195"/>
        <v>46296</v>
      </c>
      <c r="CJ268" s="163">
        <f t="shared" si="3196"/>
        <v>46326</v>
      </c>
      <c r="CK268" s="167">
        <f t="shared" si="3197"/>
        <v>0</v>
      </c>
      <c r="CL268" s="163">
        <f t="shared" si="3198"/>
        <v>46327</v>
      </c>
      <c r="CM268" s="163">
        <f t="shared" si="3199"/>
        <v>46356</v>
      </c>
      <c r="CN268" s="167">
        <f t="shared" si="3200"/>
        <v>0</v>
      </c>
      <c r="CO268" s="163">
        <f t="shared" si="3201"/>
        <v>46357</v>
      </c>
      <c r="CP268" s="163">
        <f t="shared" si="3202"/>
        <v>46387</v>
      </c>
      <c r="CQ268" s="167">
        <f t="shared" si="3203"/>
        <v>0</v>
      </c>
    </row>
    <row r="269" s="89" customFormat="1" ht="24" hidden="1" customHeight="1" outlineLevel="4" spans="1:95">
      <c r="A269" s="128"/>
      <c r="B269" s="129"/>
      <c r="C269" s="130"/>
      <c r="D269" s="128"/>
      <c r="E269" s="129"/>
      <c r="F269" s="129"/>
      <c r="G269" s="129"/>
      <c r="H269" s="131"/>
      <c r="I269" s="131"/>
      <c r="J269" s="131">
        <f t="shared" si="3131"/>
        <v>0</v>
      </c>
      <c r="K269" s="131">
        <f t="shared" si="3204"/>
        <v>3</v>
      </c>
      <c r="L269" s="156"/>
      <c r="M269" s="157">
        <f>IFERROR(VLOOKUP($L269,'2-2 引出数据_合同数据仓库'!$B$5:$BP$200,3,FALSE),0)</f>
        <v>0</v>
      </c>
      <c r="N269" s="131"/>
      <c r="O269" s="157">
        <f>IFERROR(VLOOKUP((LEFT(VLOOKUP($L269,'2-2 引出数据_合同数据仓库'!$B$5:$BP$200,64,FALSE),15)&amp;(RIGHT(VLOOKUP($L269,'2-2 引出数据_合同数据仓库'!$B$5:$BP$200,64,FALSE),4)+1)),'2-2 引出数据_合同数据仓库'!$B$5:$BP$200,3,FALSE),0)</f>
        <v>0</v>
      </c>
      <c r="P269" s="131"/>
      <c r="Q269" s="131">
        <f>IFERROR(VLOOKUP($L269,'2-2 引出数据_合同数据仓库'!$B$5:$BP$200,28,FALSE),0)</f>
        <v>0</v>
      </c>
      <c r="R269" s="131">
        <f>IFERROR(VLOOKUP($L269,'2-2 引出数据_合同数据仓库'!$B$5:$BP$200,29,FALSE),0)</f>
        <v>0</v>
      </c>
      <c r="S269" s="131">
        <f>IFERROR(VLOOKUP($L269,'2-2 引出数据_合同数据仓库'!$B$5:$BP$200,4,FALSE),0)</f>
        <v>0</v>
      </c>
      <c r="T269" s="131"/>
      <c r="U269" s="131">
        <f>IFERROR(VLOOKUP($L269,'2-2 引出数据_合同数据仓库'!$B$5:$BP$200,15,FALSE),0)</f>
        <v>0</v>
      </c>
      <c r="V269" s="131">
        <f t="shared" si="3133"/>
        <v>0</v>
      </c>
      <c r="W269" s="131"/>
      <c r="X269" s="163">
        <v>45658</v>
      </c>
      <c r="Y269" s="163">
        <f t="shared" si="3134"/>
        <v>45688</v>
      </c>
      <c r="Z269" s="167">
        <f t="shared" si="3135"/>
        <v>0</v>
      </c>
      <c r="AA269" s="163">
        <f t="shared" si="3136"/>
        <v>45689</v>
      </c>
      <c r="AB269" s="163">
        <f t="shared" si="3137"/>
        <v>45716</v>
      </c>
      <c r="AC269" s="167">
        <f t="shared" si="3138"/>
        <v>0</v>
      </c>
      <c r="AD269" s="163">
        <f t="shared" si="3139"/>
        <v>45717</v>
      </c>
      <c r="AE269" s="163">
        <f t="shared" si="3140"/>
        <v>45747</v>
      </c>
      <c r="AF269" s="167">
        <f t="shared" si="3141"/>
        <v>0</v>
      </c>
      <c r="AG269" s="163">
        <f t="shared" si="3142"/>
        <v>45748</v>
      </c>
      <c r="AH269" s="163">
        <f t="shared" si="3143"/>
        <v>45777</v>
      </c>
      <c r="AI269" s="167">
        <f t="shared" si="3144"/>
        <v>0</v>
      </c>
      <c r="AJ269" s="163">
        <f t="shared" si="3145"/>
        <v>45778</v>
      </c>
      <c r="AK269" s="163">
        <f t="shared" si="3146"/>
        <v>45808</v>
      </c>
      <c r="AL269" s="167">
        <f t="shared" si="3147"/>
        <v>0</v>
      </c>
      <c r="AM269" s="163">
        <f t="shared" si="3148"/>
        <v>45809</v>
      </c>
      <c r="AN269" s="163">
        <f t="shared" si="3149"/>
        <v>45838</v>
      </c>
      <c r="AO269" s="167">
        <f t="shared" si="3150"/>
        <v>0</v>
      </c>
      <c r="AP269" s="163">
        <f t="shared" si="3151"/>
        <v>45839</v>
      </c>
      <c r="AQ269" s="163">
        <f t="shared" si="3152"/>
        <v>45869</v>
      </c>
      <c r="AR269" s="167">
        <f t="shared" si="3153"/>
        <v>0</v>
      </c>
      <c r="AS269" s="163">
        <f t="shared" si="3154"/>
        <v>45870</v>
      </c>
      <c r="AT269" s="163">
        <f t="shared" si="3155"/>
        <v>45900</v>
      </c>
      <c r="AU269" s="167">
        <f t="shared" si="3156"/>
        <v>0</v>
      </c>
      <c r="AV269" s="163">
        <f t="shared" si="3157"/>
        <v>45901</v>
      </c>
      <c r="AW269" s="163">
        <f t="shared" si="3158"/>
        <v>45930</v>
      </c>
      <c r="AX269" s="167">
        <f t="shared" si="3159"/>
        <v>0</v>
      </c>
      <c r="AY269" s="163">
        <f t="shared" si="3160"/>
        <v>45931</v>
      </c>
      <c r="AZ269" s="163">
        <f t="shared" si="3161"/>
        <v>45961</v>
      </c>
      <c r="BA269" s="167">
        <f t="shared" si="3162"/>
        <v>0</v>
      </c>
      <c r="BB269" s="163">
        <f t="shared" si="3163"/>
        <v>45962</v>
      </c>
      <c r="BC269" s="163">
        <f t="shared" si="3164"/>
        <v>45991</v>
      </c>
      <c r="BD269" s="167">
        <f t="shared" si="3165"/>
        <v>0</v>
      </c>
      <c r="BE269" s="163">
        <f t="shared" si="3166"/>
        <v>45992</v>
      </c>
      <c r="BF269" s="163">
        <f t="shared" si="3167"/>
        <v>46022</v>
      </c>
      <c r="BG269" s="167">
        <f t="shared" si="3168"/>
        <v>0</v>
      </c>
      <c r="BH269" s="163">
        <v>46023</v>
      </c>
      <c r="BI269" s="163">
        <f t="shared" si="3169"/>
        <v>46053</v>
      </c>
      <c r="BJ269" s="167">
        <f t="shared" si="3170"/>
        <v>0</v>
      </c>
      <c r="BK269" s="163">
        <f t="shared" si="3171"/>
        <v>46054</v>
      </c>
      <c r="BL269" s="163">
        <f t="shared" si="3172"/>
        <v>46081</v>
      </c>
      <c r="BM269" s="167">
        <f t="shared" si="3173"/>
        <v>0</v>
      </c>
      <c r="BN269" s="163">
        <f t="shared" si="3174"/>
        <v>46082</v>
      </c>
      <c r="BO269" s="163">
        <f t="shared" si="3175"/>
        <v>46112</v>
      </c>
      <c r="BP269" s="167">
        <f t="shared" si="3176"/>
        <v>0</v>
      </c>
      <c r="BQ269" s="163">
        <f t="shared" si="3177"/>
        <v>46113</v>
      </c>
      <c r="BR269" s="163">
        <f t="shared" si="3178"/>
        <v>46142</v>
      </c>
      <c r="BS269" s="167">
        <f t="shared" si="3179"/>
        <v>0</v>
      </c>
      <c r="BT269" s="163">
        <f t="shared" si="3180"/>
        <v>46143</v>
      </c>
      <c r="BU269" s="163">
        <f t="shared" si="3181"/>
        <v>46173</v>
      </c>
      <c r="BV269" s="167">
        <f t="shared" si="3182"/>
        <v>0</v>
      </c>
      <c r="BW269" s="163">
        <f t="shared" si="3183"/>
        <v>46174</v>
      </c>
      <c r="BX269" s="163">
        <f t="shared" si="3184"/>
        <v>46203</v>
      </c>
      <c r="BY269" s="167">
        <f t="shared" si="3185"/>
        <v>0</v>
      </c>
      <c r="BZ269" s="163">
        <f t="shared" si="3186"/>
        <v>46204</v>
      </c>
      <c r="CA269" s="163">
        <f t="shared" si="3187"/>
        <v>46234</v>
      </c>
      <c r="CB269" s="167">
        <f t="shared" si="3188"/>
        <v>0</v>
      </c>
      <c r="CC269" s="163">
        <f t="shared" si="3189"/>
        <v>46235</v>
      </c>
      <c r="CD269" s="163">
        <f t="shared" si="3190"/>
        <v>46265</v>
      </c>
      <c r="CE269" s="167">
        <f t="shared" si="3191"/>
        <v>0</v>
      </c>
      <c r="CF269" s="163">
        <f t="shared" si="3192"/>
        <v>46266</v>
      </c>
      <c r="CG269" s="163">
        <f t="shared" si="3193"/>
        <v>46295</v>
      </c>
      <c r="CH269" s="167">
        <f t="shared" si="3194"/>
        <v>0</v>
      </c>
      <c r="CI269" s="163">
        <f t="shared" si="3195"/>
        <v>46296</v>
      </c>
      <c r="CJ269" s="163">
        <f t="shared" si="3196"/>
        <v>46326</v>
      </c>
      <c r="CK269" s="167">
        <f t="shared" si="3197"/>
        <v>0</v>
      </c>
      <c r="CL269" s="163">
        <f t="shared" si="3198"/>
        <v>46327</v>
      </c>
      <c r="CM269" s="163">
        <f t="shared" si="3199"/>
        <v>46356</v>
      </c>
      <c r="CN269" s="167">
        <f t="shared" si="3200"/>
        <v>0</v>
      </c>
      <c r="CO269" s="163">
        <f t="shared" si="3201"/>
        <v>46357</v>
      </c>
      <c r="CP269" s="163">
        <f t="shared" si="3202"/>
        <v>46387</v>
      </c>
      <c r="CQ269" s="167">
        <f t="shared" si="3203"/>
        <v>0</v>
      </c>
    </row>
    <row r="270" s="89" customFormat="1" ht="24" hidden="1" customHeight="1" outlineLevel="4" spans="1:95">
      <c r="A270" s="128"/>
      <c r="B270" s="129"/>
      <c r="C270" s="130"/>
      <c r="D270" s="128"/>
      <c r="E270" s="129"/>
      <c r="F270" s="129"/>
      <c r="G270" s="129"/>
      <c r="H270" s="131"/>
      <c r="I270" s="131"/>
      <c r="J270" s="131">
        <f t="shared" si="3131"/>
        <v>0</v>
      </c>
      <c r="K270" s="131">
        <f t="shared" si="3204"/>
        <v>4</v>
      </c>
      <c r="L270" s="156"/>
      <c r="M270" s="157">
        <f>IFERROR(VLOOKUP($L270,'2-2 引出数据_合同数据仓库'!$B$5:$BP$200,3,FALSE),0)</f>
        <v>0</v>
      </c>
      <c r="N270" s="131"/>
      <c r="O270" s="157">
        <f>IFERROR(VLOOKUP((LEFT(VLOOKUP($L270,'2-2 引出数据_合同数据仓库'!$B$5:$BP$200,64,FALSE),15)&amp;(RIGHT(VLOOKUP($L270,'2-2 引出数据_合同数据仓库'!$B$5:$BP$200,64,FALSE),4)+1)),'2-2 引出数据_合同数据仓库'!$B$5:$BP$200,3,FALSE),0)</f>
        <v>0</v>
      </c>
      <c r="P270" s="131"/>
      <c r="Q270" s="131">
        <f>IFERROR(VLOOKUP($L270,'2-2 引出数据_合同数据仓库'!$B$5:$BP$200,28,FALSE),0)</f>
        <v>0</v>
      </c>
      <c r="R270" s="131">
        <f>IFERROR(VLOOKUP($L270,'2-2 引出数据_合同数据仓库'!$B$5:$BP$200,29,FALSE),0)</f>
        <v>0</v>
      </c>
      <c r="S270" s="131">
        <f>IFERROR(VLOOKUP($L270,'2-2 引出数据_合同数据仓库'!$B$5:$BP$200,4,FALSE),0)</f>
        <v>0</v>
      </c>
      <c r="T270" s="131"/>
      <c r="U270" s="131">
        <f>IFERROR(VLOOKUP($L270,'2-2 引出数据_合同数据仓库'!$B$5:$BP$200,15,FALSE),0)</f>
        <v>0</v>
      </c>
      <c r="V270" s="131">
        <f t="shared" si="3133"/>
        <v>0</v>
      </c>
      <c r="W270" s="131"/>
      <c r="X270" s="163">
        <v>45658</v>
      </c>
      <c r="Y270" s="163">
        <f t="shared" si="3134"/>
        <v>45688</v>
      </c>
      <c r="Z270" s="167">
        <f t="shared" si="3135"/>
        <v>0</v>
      </c>
      <c r="AA270" s="163">
        <f t="shared" si="3136"/>
        <v>45689</v>
      </c>
      <c r="AB270" s="163">
        <f t="shared" si="3137"/>
        <v>45716</v>
      </c>
      <c r="AC270" s="167">
        <f t="shared" si="3138"/>
        <v>0</v>
      </c>
      <c r="AD270" s="163">
        <f t="shared" si="3139"/>
        <v>45717</v>
      </c>
      <c r="AE270" s="163">
        <f t="shared" si="3140"/>
        <v>45747</v>
      </c>
      <c r="AF270" s="167">
        <f t="shared" si="3141"/>
        <v>0</v>
      </c>
      <c r="AG270" s="163">
        <f t="shared" si="3142"/>
        <v>45748</v>
      </c>
      <c r="AH270" s="163">
        <f t="shared" si="3143"/>
        <v>45777</v>
      </c>
      <c r="AI270" s="167">
        <f t="shared" si="3144"/>
        <v>0</v>
      </c>
      <c r="AJ270" s="163">
        <f t="shared" si="3145"/>
        <v>45778</v>
      </c>
      <c r="AK270" s="163">
        <f t="shared" si="3146"/>
        <v>45808</v>
      </c>
      <c r="AL270" s="167">
        <f t="shared" si="3147"/>
        <v>0</v>
      </c>
      <c r="AM270" s="163">
        <f t="shared" si="3148"/>
        <v>45809</v>
      </c>
      <c r="AN270" s="163">
        <f t="shared" si="3149"/>
        <v>45838</v>
      </c>
      <c r="AO270" s="167">
        <f t="shared" si="3150"/>
        <v>0</v>
      </c>
      <c r="AP270" s="163">
        <f t="shared" si="3151"/>
        <v>45839</v>
      </c>
      <c r="AQ270" s="163">
        <f t="shared" si="3152"/>
        <v>45869</v>
      </c>
      <c r="AR270" s="167">
        <f t="shared" si="3153"/>
        <v>0</v>
      </c>
      <c r="AS270" s="163">
        <f t="shared" si="3154"/>
        <v>45870</v>
      </c>
      <c r="AT270" s="163">
        <f t="shared" si="3155"/>
        <v>45900</v>
      </c>
      <c r="AU270" s="167">
        <f t="shared" si="3156"/>
        <v>0</v>
      </c>
      <c r="AV270" s="163">
        <f t="shared" si="3157"/>
        <v>45901</v>
      </c>
      <c r="AW270" s="163">
        <f t="shared" si="3158"/>
        <v>45930</v>
      </c>
      <c r="AX270" s="167">
        <f t="shared" si="3159"/>
        <v>0</v>
      </c>
      <c r="AY270" s="163">
        <f t="shared" si="3160"/>
        <v>45931</v>
      </c>
      <c r="AZ270" s="163">
        <f t="shared" si="3161"/>
        <v>45961</v>
      </c>
      <c r="BA270" s="167">
        <f t="shared" si="3162"/>
        <v>0</v>
      </c>
      <c r="BB270" s="163">
        <f t="shared" si="3163"/>
        <v>45962</v>
      </c>
      <c r="BC270" s="163">
        <f t="shared" si="3164"/>
        <v>45991</v>
      </c>
      <c r="BD270" s="167">
        <f t="shared" si="3165"/>
        <v>0</v>
      </c>
      <c r="BE270" s="163">
        <f t="shared" si="3166"/>
        <v>45992</v>
      </c>
      <c r="BF270" s="163">
        <f t="shared" si="3167"/>
        <v>46022</v>
      </c>
      <c r="BG270" s="167">
        <f t="shared" si="3168"/>
        <v>0</v>
      </c>
      <c r="BH270" s="163">
        <v>46023</v>
      </c>
      <c r="BI270" s="163">
        <f t="shared" si="3169"/>
        <v>46053</v>
      </c>
      <c r="BJ270" s="167">
        <f t="shared" si="3170"/>
        <v>0</v>
      </c>
      <c r="BK270" s="163">
        <f t="shared" si="3171"/>
        <v>46054</v>
      </c>
      <c r="BL270" s="163">
        <f t="shared" si="3172"/>
        <v>46081</v>
      </c>
      <c r="BM270" s="167">
        <f t="shared" si="3173"/>
        <v>0</v>
      </c>
      <c r="BN270" s="163">
        <f t="shared" si="3174"/>
        <v>46082</v>
      </c>
      <c r="BO270" s="163">
        <f t="shared" si="3175"/>
        <v>46112</v>
      </c>
      <c r="BP270" s="167">
        <f t="shared" si="3176"/>
        <v>0</v>
      </c>
      <c r="BQ270" s="163">
        <f t="shared" si="3177"/>
        <v>46113</v>
      </c>
      <c r="BR270" s="163">
        <f t="shared" si="3178"/>
        <v>46142</v>
      </c>
      <c r="BS270" s="167">
        <f t="shared" si="3179"/>
        <v>0</v>
      </c>
      <c r="BT270" s="163">
        <f t="shared" si="3180"/>
        <v>46143</v>
      </c>
      <c r="BU270" s="163">
        <f t="shared" si="3181"/>
        <v>46173</v>
      </c>
      <c r="BV270" s="167">
        <f t="shared" si="3182"/>
        <v>0</v>
      </c>
      <c r="BW270" s="163">
        <f t="shared" si="3183"/>
        <v>46174</v>
      </c>
      <c r="BX270" s="163">
        <f t="shared" si="3184"/>
        <v>46203</v>
      </c>
      <c r="BY270" s="167">
        <f t="shared" si="3185"/>
        <v>0</v>
      </c>
      <c r="BZ270" s="163">
        <f t="shared" si="3186"/>
        <v>46204</v>
      </c>
      <c r="CA270" s="163">
        <f t="shared" si="3187"/>
        <v>46234</v>
      </c>
      <c r="CB270" s="167">
        <f t="shared" si="3188"/>
        <v>0</v>
      </c>
      <c r="CC270" s="163">
        <f t="shared" si="3189"/>
        <v>46235</v>
      </c>
      <c r="CD270" s="163">
        <f t="shared" si="3190"/>
        <v>46265</v>
      </c>
      <c r="CE270" s="167">
        <f t="shared" si="3191"/>
        <v>0</v>
      </c>
      <c r="CF270" s="163">
        <f t="shared" si="3192"/>
        <v>46266</v>
      </c>
      <c r="CG270" s="163">
        <f t="shared" si="3193"/>
        <v>46295</v>
      </c>
      <c r="CH270" s="167">
        <f t="shared" si="3194"/>
        <v>0</v>
      </c>
      <c r="CI270" s="163">
        <f t="shared" si="3195"/>
        <v>46296</v>
      </c>
      <c r="CJ270" s="163">
        <f t="shared" si="3196"/>
        <v>46326</v>
      </c>
      <c r="CK270" s="167">
        <f t="shared" si="3197"/>
        <v>0</v>
      </c>
      <c r="CL270" s="163">
        <f t="shared" si="3198"/>
        <v>46327</v>
      </c>
      <c r="CM270" s="163">
        <f t="shared" si="3199"/>
        <v>46356</v>
      </c>
      <c r="CN270" s="167">
        <f t="shared" si="3200"/>
        <v>0</v>
      </c>
      <c r="CO270" s="163">
        <f t="shared" si="3201"/>
        <v>46357</v>
      </c>
      <c r="CP270" s="163">
        <f t="shared" si="3202"/>
        <v>46387</v>
      </c>
      <c r="CQ270" s="167">
        <f t="shared" si="3203"/>
        <v>0</v>
      </c>
    </row>
    <row r="271" s="89" customFormat="1" ht="24" hidden="1" customHeight="1" outlineLevel="4" spans="1:95">
      <c r="A271" s="132" t="s">
        <v>2813</v>
      </c>
      <c r="B271" s="133"/>
      <c r="C271" s="133"/>
      <c r="D271" s="133"/>
      <c r="E271" s="133"/>
      <c r="F271" s="133"/>
      <c r="G271" s="134"/>
      <c r="H271" s="135"/>
      <c r="I271" s="135"/>
      <c r="J271" s="135"/>
      <c r="K271" s="135"/>
      <c r="L271" s="158"/>
      <c r="M271" s="158"/>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c r="CL271" s="135"/>
      <c r="CM271" s="135"/>
      <c r="CN271" s="135"/>
      <c r="CO271" s="135"/>
      <c r="CP271" s="135"/>
      <c r="CQ271" s="135"/>
    </row>
    <row r="272" ht="24" hidden="1" customHeight="1" outlineLevel="3" collapsed="1" spans="1:95">
      <c r="A272" s="124"/>
      <c r="B272" s="125" t="s">
        <v>792</v>
      </c>
      <c r="C272" s="126" t="s">
        <v>1211</v>
      </c>
      <c r="D272" s="124" t="s">
        <v>1212</v>
      </c>
      <c r="E272" s="125"/>
      <c r="F272" s="125"/>
      <c r="G272" s="125"/>
      <c r="H272" s="127">
        <f>X272+AA272+AD272+AG272+AJ272+AM272+AP272+AS272+AV272+AY272+BB272+BE272</f>
        <v>0</v>
      </c>
      <c r="I272" s="127">
        <f>Y272+AB272+AE272+AH272+AK272+AN272+AQ272+AT272+AW272+AZ272+BC272+BF272</f>
        <v>-45160</v>
      </c>
      <c r="J272" s="127">
        <f t="shared" si="3131"/>
        <v>45160</v>
      </c>
      <c r="K272" s="127"/>
      <c r="L272" s="155"/>
      <c r="M272" s="155"/>
      <c r="N272" s="127"/>
      <c r="O272" s="127"/>
      <c r="P272" s="127"/>
      <c r="Q272" s="127"/>
      <c r="R272" s="127"/>
      <c r="S272" s="127"/>
      <c r="T272" s="127"/>
      <c r="U272" s="127"/>
      <c r="V272" s="127"/>
      <c r="W272" s="127"/>
      <c r="X272" s="127">
        <f>VLOOKUP($C272,'1 预算编制表单'!$C:$BJ,27,FALSE)</f>
        <v>0</v>
      </c>
      <c r="Y272" s="127">
        <f>X272-Z272</f>
        <v>0</v>
      </c>
      <c r="Z272" s="127">
        <f>SUM(Z273:Z277)</f>
        <v>0</v>
      </c>
      <c r="AA272" s="127">
        <f>VLOOKUP($C272,'1 预算编制表单'!$C:$BJ,30,FALSE)</f>
        <v>0</v>
      </c>
      <c r="AB272" s="127">
        <f>AA272-AC272</f>
        <v>0</v>
      </c>
      <c r="AC272" s="127">
        <f>SUM(AC273:AC277)</f>
        <v>0</v>
      </c>
      <c r="AD272" s="127">
        <f>VLOOKUP($C272,'1 预算编制表单'!$C:$BJ,33,FALSE)</f>
        <v>0</v>
      </c>
      <c r="AE272" s="127">
        <f>AD272-AF272</f>
        <v>-1253.73134328358</v>
      </c>
      <c r="AF272" s="127">
        <f>SUM(AF273:AF277)</f>
        <v>1253.73134328358</v>
      </c>
      <c r="AG272" s="127">
        <f>VLOOKUP($C272,'1 预算编制表单'!$C:$BJ,36,FALSE)</f>
        <v>0</v>
      </c>
      <c r="AH272" s="127">
        <f>AG272-AI272</f>
        <v>-3134.32835820895</v>
      </c>
      <c r="AI272" s="127">
        <f>SUM(AI273:AI277)</f>
        <v>3134.32835820895</v>
      </c>
      <c r="AJ272" s="127">
        <f>VLOOKUP($C272,'1 预算编制表单'!$C:$BJ,39,FALSE)</f>
        <v>0</v>
      </c>
      <c r="AK272" s="127">
        <f>AJ272-AL272</f>
        <v>-3238.80597014925</v>
      </c>
      <c r="AL272" s="127">
        <f>SUM(AL273:AL277)</f>
        <v>3238.80597014925</v>
      </c>
      <c r="AM272" s="127">
        <f>VLOOKUP($C272,'1 预算编制表单'!$C:$BJ,42,FALSE)</f>
        <v>0</v>
      </c>
      <c r="AN272" s="127">
        <f>AM272-AO272</f>
        <v>-6326.32835820896</v>
      </c>
      <c r="AO272" s="127">
        <f>SUM(AO273:AO277)</f>
        <v>6326.32835820896</v>
      </c>
      <c r="AP272" s="127">
        <f>VLOOKUP($C272,'1 预算编制表单'!$C:$BJ,45,FALSE)</f>
        <v>0</v>
      </c>
      <c r="AQ272" s="127">
        <f>AP272-AR272</f>
        <v>-7950.80597014925</v>
      </c>
      <c r="AR272" s="127">
        <f>SUM(AR273:AR277)</f>
        <v>7950.80597014925</v>
      </c>
      <c r="AS272" s="127">
        <f>VLOOKUP($C272,'1 预算编制表单'!$C:$BJ,48,FALSE)</f>
        <v>0</v>
      </c>
      <c r="AT272" s="127">
        <f>AS272-AU272</f>
        <v>-4712</v>
      </c>
      <c r="AU272" s="127">
        <f>SUM(AU273:AU277)</f>
        <v>4712</v>
      </c>
      <c r="AV272" s="127">
        <f>VLOOKUP($C272,'1 预算编制表单'!$C:$BJ,51,FALSE)</f>
        <v>0</v>
      </c>
      <c r="AW272" s="127">
        <f>AV272-AX272</f>
        <v>-4560</v>
      </c>
      <c r="AX272" s="127">
        <f>SUM(AX273:AX277)</f>
        <v>4560</v>
      </c>
      <c r="AY272" s="127">
        <f>VLOOKUP($C272,'1 预算编制表单'!$C:$BJ,54,FALSE)</f>
        <v>0</v>
      </c>
      <c r="AZ272" s="127">
        <f>AY272-BA272</f>
        <v>-4712</v>
      </c>
      <c r="BA272" s="127">
        <f>SUM(BA273:BA277)</f>
        <v>4712</v>
      </c>
      <c r="BB272" s="127">
        <f>VLOOKUP($C272,'1 预算编制表单'!$C:$BJ,57,FALSE)</f>
        <v>0</v>
      </c>
      <c r="BC272" s="127">
        <f>BB272-BD272</f>
        <v>-4560</v>
      </c>
      <c r="BD272" s="127">
        <f>SUM(BD273:BD277)</f>
        <v>4560</v>
      </c>
      <c r="BE272" s="127">
        <f>VLOOKUP($C272,'1 预算编制表单'!$C:$BJ,60,FALSE)</f>
        <v>0</v>
      </c>
      <c r="BF272" s="127">
        <f>BE272-BG272</f>
        <v>-4712</v>
      </c>
      <c r="BG272" s="127">
        <f>SUM(BG273:BG277)</f>
        <v>4712</v>
      </c>
      <c r="BH272" s="127">
        <f>VLOOKUP($C272,'1 预算编制表单'!$C:$BJ,27,FALSE)</f>
        <v>0</v>
      </c>
      <c r="BI272" s="127">
        <f>BH272-BJ272</f>
        <v>-4712</v>
      </c>
      <c r="BJ272" s="127">
        <f>SUM(BJ273:BJ277)</f>
        <v>4712</v>
      </c>
      <c r="BK272" s="127">
        <f>VLOOKUP($C272,'1 预算编制表单'!$C:$BJ,30,FALSE)</f>
        <v>0</v>
      </c>
      <c r="BL272" s="127">
        <f>BK272-BM272</f>
        <v>-4256</v>
      </c>
      <c r="BM272" s="127">
        <f>SUM(BM273:BM277)</f>
        <v>4256</v>
      </c>
      <c r="BN272" s="127">
        <f>VLOOKUP($C272,'1 预算编制表单'!$C:$BJ,33,FALSE)</f>
        <v>0</v>
      </c>
      <c r="BO272" s="127">
        <f>BN272-BP272</f>
        <v>-4712</v>
      </c>
      <c r="BP272" s="127">
        <f>SUM(BP273:BP277)</f>
        <v>4712</v>
      </c>
      <c r="BQ272" s="127">
        <f>VLOOKUP($C272,'1 预算编制表单'!$C:$BJ,36,FALSE)</f>
        <v>0</v>
      </c>
      <c r="BR272" s="127">
        <f>BQ272-BS272</f>
        <v>-4560</v>
      </c>
      <c r="BS272" s="127">
        <f>SUM(BS273:BS277)</f>
        <v>4560</v>
      </c>
      <c r="BT272" s="127">
        <f>VLOOKUP($C272,'1 预算编制表单'!$C:$BJ,39,FALSE)</f>
        <v>0</v>
      </c>
      <c r="BU272" s="127">
        <f>BT272-BV272</f>
        <v>0</v>
      </c>
      <c r="BV272" s="127">
        <f>SUM(BV273:BV277)</f>
        <v>0</v>
      </c>
      <c r="BW272" s="127">
        <f>VLOOKUP($C272,'1 预算编制表单'!$C:$BJ,42,FALSE)</f>
        <v>0</v>
      </c>
      <c r="BX272" s="127">
        <f>BW272-BY272</f>
        <v>0</v>
      </c>
      <c r="BY272" s="127">
        <f>SUM(BY273:BY277)</f>
        <v>0</v>
      </c>
      <c r="BZ272" s="127">
        <f>VLOOKUP($C272,'1 预算编制表单'!$C:$BJ,45,FALSE)</f>
        <v>0</v>
      </c>
      <c r="CA272" s="127">
        <f>BZ272-CB272</f>
        <v>0</v>
      </c>
      <c r="CB272" s="127">
        <f>SUM(CB273:CB277)</f>
        <v>0</v>
      </c>
      <c r="CC272" s="127">
        <f>VLOOKUP($C272,'1 预算编制表单'!$C:$BJ,48,FALSE)</f>
        <v>0</v>
      </c>
      <c r="CD272" s="127">
        <f>CC272-CE272</f>
        <v>0</v>
      </c>
      <c r="CE272" s="127">
        <f>SUM(CE273:CE277)</f>
        <v>0</v>
      </c>
      <c r="CF272" s="127">
        <f>VLOOKUP($C272,'1 预算编制表单'!$C:$BJ,51,FALSE)</f>
        <v>0</v>
      </c>
      <c r="CG272" s="127">
        <f>CF272-CH272</f>
        <v>0</v>
      </c>
      <c r="CH272" s="127">
        <f>SUM(CH273:CH277)</f>
        <v>0</v>
      </c>
      <c r="CI272" s="127">
        <f>VLOOKUP($C272,'1 预算编制表单'!$C:$BJ,54,FALSE)</f>
        <v>0</v>
      </c>
      <c r="CJ272" s="127">
        <f>CI272-CK272</f>
        <v>0</v>
      </c>
      <c r="CK272" s="127">
        <f>SUM(CK273:CK277)</f>
        <v>0</v>
      </c>
      <c r="CL272" s="127">
        <f>VLOOKUP($C272,'1 预算编制表单'!$C:$BJ,57,FALSE)</f>
        <v>0</v>
      </c>
      <c r="CM272" s="127">
        <f>CL272-CN272</f>
        <v>0</v>
      </c>
      <c r="CN272" s="127">
        <f>SUM(CN273:CN277)</f>
        <v>0</v>
      </c>
      <c r="CO272" s="127">
        <f>VLOOKUP($C272,'1 预算编制表单'!$C:$BJ,60,FALSE)</f>
        <v>0</v>
      </c>
      <c r="CP272" s="127">
        <f>CO272-CQ272</f>
        <v>0</v>
      </c>
      <c r="CQ272" s="127">
        <f>SUM(CQ273:CQ277)</f>
        <v>0</v>
      </c>
    </row>
    <row r="273" s="89" customFormat="1" ht="24" hidden="1" customHeight="1" outlineLevel="4" spans="1:95">
      <c r="A273" s="128"/>
      <c r="B273" s="129"/>
      <c r="C273" s="130"/>
      <c r="D273" s="128"/>
      <c r="E273" s="129"/>
      <c r="F273" s="129"/>
      <c r="G273" s="129"/>
      <c r="H273" s="131"/>
      <c r="I273" s="131"/>
      <c r="J273" s="131">
        <f t="shared" si="3131"/>
        <v>31160</v>
      </c>
      <c r="K273" s="131">
        <v>1</v>
      </c>
      <c r="L273" s="156" t="s">
        <v>2820</v>
      </c>
      <c r="M273" s="157" t="str">
        <f>IFERROR(VLOOKUP($L273,'2-2 引出数据_合同数据仓库'!$B$5:$BP$200,3,FALSE),0)</f>
        <v>深圳非住二片区中海油大厦化粪池清掏服务合同</v>
      </c>
      <c r="N273" s="131"/>
      <c r="O273" s="157">
        <f>IFERROR(VLOOKUP((LEFT(VLOOKUP($L273,'2-2 引出数据_合同数据仓库'!$B$5:$BP$200,64,FALSE),15)&amp;(RIGHT(VLOOKUP($L273,'2-2 引出数据_合同数据仓库'!$B$5:$BP$200,64,FALSE),4)+1)),'2-2 引出数据_合同数据仓库'!$B$5:$BP$200,3,FALSE),0)</f>
        <v>0</v>
      </c>
      <c r="P273" s="131"/>
      <c r="Q273" s="131" t="str">
        <f>IFERROR(VLOOKUP($L273,'2-2 引出数据_合同数据仓库'!$B$5:$BP$200,28,FALSE),0)</f>
        <v>2025-06-10</v>
      </c>
      <c r="R273" s="131" t="str">
        <f>IFERROR(VLOOKUP($L273,'2-2 引出数据_合同数据仓库'!$B$5:$BP$200,29,FALSE),0)</f>
        <v>2025-06-10</v>
      </c>
      <c r="S273" s="131" t="str">
        <f>IFERROR(VLOOKUP($L273,'2-2 引出数据_合同数据仓库'!$B$5:$BP$200,4,FALSE),0)</f>
        <v>2026-04-30</v>
      </c>
      <c r="T273" s="131"/>
      <c r="U273" s="131">
        <f>IFERROR(VLOOKUP($L273,'2-2 引出数据_合同数据仓库'!$B$5:$BP$200,15,FALSE),0)</f>
        <v>49400</v>
      </c>
      <c r="V273" s="131">
        <f t="shared" ref="V273:V276" si="3205">U273/(S273-R273+1)*365</f>
        <v>55480</v>
      </c>
      <c r="W273" s="131"/>
      <c r="X273" s="163">
        <v>45658</v>
      </c>
      <c r="Y273" s="163">
        <f t="shared" ref="Y273:Y276" si="3206">X273+30</f>
        <v>45688</v>
      </c>
      <c r="Z273" s="167">
        <f t="shared" ref="Z273:Z276" si="3207">IFERROR(IF(($R273-Y273)&gt;=0,0,IF(($S273-X273)&lt;0,0,IF(AND(($S273-Y273)&gt;0,(X273-$R273)&gt;0),$V273/365*(Y273-X273+1),IF(AND(($S273-Y273)&lt;=0,(X273-$R273)&gt;0),$V273/365*($S273-X273+1),$V273/365*(Y273-$R273+1))))),0)</f>
        <v>0</v>
      </c>
      <c r="AA273" s="163">
        <f t="shared" ref="AA273:AA276" si="3208">Y273+1</f>
        <v>45689</v>
      </c>
      <c r="AB273" s="163">
        <f t="shared" ref="AB273:AB276" si="3209">AA273+27</f>
        <v>45716</v>
      </c>
      <c r="AC273" s="167">
        <f t="shared" ref="AC273:AC276" si="3210">IFERROR(IF(($R273-AB273)&gt;=0,0,IF(($S273-AA273)&lt;0,0,IF(AND(($S273-AB273)&gt;0,(AA273-$R273)&gt;0),$V273/365*(AB273-AA273+1),IF(AND(($S273-AB273)&lt;=0,(AA273-$R273)&gt;0),$V273/365*($S273-AA273+1),$V273/365*(AB273-$R273+1))))),0)</f>
        <v>0</v>
      </c>
      <c r="AD273" s="163">
        <f t="shared" ref="AD273:AD276" si="3211">AB273+1</f>
        <v>45717</v>
      </c>
      <c r="AE273" s="163">
        <f t="shared" ref="AE273:AE276" si="3212">AD273+30</f>
        <v>45747</v>
      </c>
      <c r="AF273" s="167">
        <f t="shared" ref="AF273:AF276" si="3213">IFERROR(IF(($R273-AE273)&gt;=0,0,IF(($S273-AD273)&lt;0,0,IF(AND(($S273-AE273)&gt;0,(AD273-$R273)&gt;0),$V273/365*(AE273-AD273+1),IF(AND(($S273-AE273)&lt;=0,(AD273-$R273)&gt;0),$V273/365*($S273-AD273+1),$V273/365*(AE273-$R273+1))))),0)</f>
        <v>0</v>
      </c>
      <c r="AG273" s="163">
        <f t="shared" ref="AG273:AG276" si="3214">AE273+1</f>
        <v>45748</v>
      </c>
      <c r="AH273" s="163">
        <f t="shared" ref="AH273:AH276" si="3215">AG273+29</f>
        <v>45777</v>
      </c>
      <c r="AI273" s="167">
        <f t="shared" ref="AI273:AI276" si="3216">IFERROR(IF(($R273-AH273)&gt;=0,0,IF(($S273-AG273)&lt;0,0,IF(AND(($S273-AH273)&gt;0,(AG273-$R273)&gt;0),$V273/365*(AH273-AG273+1),IF(AND(($S273-AH273)&lt;=0,(AG273-$R273)&gt;0),$V273/365*($S273-AG273+1),$V273/365*(AH273-$R273+1))))),0)</f>
        <v>0</v>
      </c>
      <c r="AJ273" s="163">
        <f t="shared" ref="AJ273:AJ276" si="3217">AH273+1</f>
        <v>45778</v>
      </c>
      <c r="AK273" s="163">
        <f t="shared" ref="AK273:AK276" si="3218">AJ273+30</f>
        <v>45808</v>
      </c>
      <c r="AL273" s="167">
        <f t="shared" ref="AL273:AL276" si="3219">IFERROR(IF(($R273-AK273)&gt;=0,0,IF(($S273-AJ273)&lt;0,0,IF(AND(($S273-AK273)&gt;0,(AJ273-$R273)&gt;0),$V273/365*(AK273-AJ273+1),IF(AND(($S273-AK273)&lt;=0,(AJ273-$R273)&gt;0),$V273/365*($S273-AJ273+1),$V273/365*(AK273-$R273+1))))),0)</f>
        <v>0</v>
      </c>
      <c r="AM273" s="163">
        <f t="shared" ref="AM273:AM276" si="3220">AK273+1</f>
        <v>45809</v>
      </c>
      <c r="AN273" s="163">
        <f t="shared" ref="AN273:AN276" si="3221">AM273+29</f>
        <v>45838</v>
      </c>
      <c r="AO273" s="167">
        <f t="shared" ref="AO273:AO276" si="3222">IFERROR(IF(($R273-AN273)&gt;=0,0,IF(($S273-AM273)&lt;0,0,IF(AND(($S273-AN273)&gt;0,(AM273-$R273)&gt;0),$V273/365*(AN273-AM273+1),IF(AND(($S273-AN273)&lt;=0,(AM273-$R273)&gt;0),$V273/365*($S273-AM273+1),$V273/365*(AN273-$R273+1))))),0)</f>
        <v>3192</v>
      </c>
      <c r="AP273" s="163">
        <f t="shared" ref="AP273:AP276" si="3223">AN273+1</f>
        <v>45839</v>
      </c>
      <c r="AQ273" s="163">
        <f t="shared" ref="AQ273:AQ276" si="3224">AP273+30</f>
        <v>45869</v>
      </c>
      <c r="AR273" s="167">
        <f t="shared" ref="AR273:AR276" si="3225">IFERROR(IF(($R273-AQ273)&gt;=0,0,IF(($S273-AP273)&lt;0,0,IF(AND(($S273-AQ273)&gt;0,(AP273-$R273)&gt;0),$V273/365*(AQ273-AP273+1),IF(AND(($S273-AQ273)&lt;=0,(AP273-$R273)&gt;0),$V273/365*($S273-AP273+1),$V273/365*(AQ273-$R273+1))))),0)</f>
        <v>4712</v>
      </c>
      <c r="AS273" s="163">
        <f t="shared" ref="AS273:AS276" si="3226">AQ273+1</f>
        <v>45870</v>
      </c>
      <c r="AT273" s="163">
        <f t="shared" ref="AT273:AT276" si="3227">AS273+30</f>
        <v>45900</v>
      </c>
      <c r="AU273" s="167">
        <f t="shared" ref="AU273:AU276" si="3228">IFERROR(IF(($R273-AT273)&gt;=0,0,IF(($S273-AS273)&lt;0,0,IF(AND(($S273-AT273)&gt;0,(AS273-$R273)&gt;0),$V273/365*(AT273-AS273+1),IF(AND(($S273-AT273)&lt;=0,(AS273-$R273)&gt;0),$V273/365*($S273-AS273+1),$V273/365*(AT273-$R273+1))))),0)</f>
        <v>4712</v>
      </c>
      <c r="AV273" s="163">
        <f t="shared" ref="AV273:AV276" si="3229">AT273+1</f>
        <v>45901</v>
      </c>
      <c r="AW273" s="163">
        <f t="shared" ref="AW273:AW276" si="3230">AV273+29</f>
        <v>45930</v>
      </c>
      <c r="AX273" s="167">
        <f t="shared" ref="AX273:AX276" si="3231">IFERROR(IF(($R273-AW273)&gt;=0,0,IF(($S273-AV273)&lt;0,0,IF(AND(($S273-AW273)&gt;0,(AV273-$R273)&gt;0),$V273/365*(AW273-AV273+1),IF(AND(($S273-AW273)&lt;=0,(AV273-$R273)&gt;0),$V273/365*($S273-AV273+1),$V273/365*(AW273-$R273+1))))),0)</f>
        <v>4560</v>
      </c>
      <c r="AY273" s="163">
        <f t="shared" ref="AY273:AY276" si="3232">AW273+1</f>
        <v>45931</v>
      </c>
      <c r="AZ273" s="163">
        <f t="shared" ref="AZ273:AZ276" si="3233">AY273+30</f>
        <v>45961</v>
      </c>
      <c r="BA273" s="167">
        <f t="shared" ref="BA273:BA276" si="3234">IFERROR(IF(($R273-AZ273)&gt;=0,0,IF(($S273-AY273)&lt;0,0,IF(AND(($S273-AZ273)&gt;0,(AY273-$R273)&gt;0),$V273/365*(AZ273-AY273+1),IF(AND(($S273-AZ273)&lt;=0,(AY273-$R273)&gt;0),$V273/365*($S273-AY273+1),$V273/365*(AZ273-$R273+1))))),0)</f>
        <v>4712</v>
      </c>
      <c r="BB273" s="163">
        <f t="shared" ref="BB273:BB276" si="3235">AZ273+1</f>
        <v>45962</v>
      </c>
      <c r="BC273" s="163">
        <f t="shared" ref="BC273:BC276" si="3236">BB273+29</f>
        <v>45991</v>
      </c>
      <c r="BD273" s="167">
        <f t="shared" ref="BD273:BD276" si="3237">IFERROR(IF(($R273-BC273)&gt;=0,0,IF(($S273-BB273)&lt;0,0,IF(AND(($S273-BC273)&gt;0,(BB273-$R273)&gt;0),$V273/365*(BC273-BB273+1),IF(AND(($S273-BC273)&lt;=0,(BB273-$R273)&gt;0),$V273/365*($S273-BB273+1),$V273/365*(BC273-$R273+1))))),0)</f>
        <v>4560</v>
      </c>
      <c r="BE273" s="163">
        <f t="shared" ref="BE273:BE276" si="3238">BC273+1</f>
        <v>45992</v>
      </c>
      <c r="BF273" s="163">
        <f t="shared" ref="BF273:BF276" si="3239">BE273+30</f>
        <v>46022</v>
      </c>
      <c r="BG273" s="167">
        <f t="shared" ref="BG273:BG276" si="3240">IFERROR(IF(($R273-BF273)&gt;=0,0,IF(($S273-BE273)&lt;0,0,IF(AND(($S273-BF273)&gt;0,(BE273-$R273)&gt;0),$V273/365*(BF273-BE273+1),IF(AND(($S273-BF273)&lt;=0,(BE273-$R273)&gt;0),$V273/365*($S273-BE273+1),$V273/365*(BF273-$R273+1))))),0)</f>
        <v>4712</v>
      </c>
      <c r="BH273" s="163">
        <v>46023</v>
      </c>
      <c r="BI273" s="163">
        <f t="shared" ref="BI273:BI276" si="3241">BH273+30</f>
        <v>46053</v>
      </c>
      <c r="BJ273" s="167">
        <f t="shared" ref="BJ273:BJ276" si="3242">IFERROR(IF(($R273-BI273)&gt;=0,0,IF(($S273-BH273)&lt;0,0,IF(AND(($S273-BI273)&gt;0,(BH273-$R273)&gt;0),$V273/365*(BI273-BH273+1),IF(AND(($S273-BI273)&lt;=0,(BH273-$R273)&gt;0),$V273/365*($S273-BH273+1),$V273/365*(BI273-$R273+1))))),0)</f>
        <v>4712</v>
      </c>
      <c r="BK273" s="163">
        <f t="shared" ref="BK273:BK276" si="3243">BI273+1</f>
        <v>46054</v>
      </c>
      <c r="BL273" s="163">
        <f t="shared" ref="BL273:BL276" si="3244">BK273+27</f>
        <v>46081</v>
      </c>
      <c r="BM273" s="167">
        <f t="shared" ref="BM273:BM276" si="3245">IFERROR(IF(($R273-BL273)&gt;=0,0,IF(($S273-BK273)&lt;0,0,IF(AND(($S273-BL273)&gt;0,(BK273-$R273)&gt;0),$V273/365*(BL273-BK273+1),IF(AND(($S273-BL273)&lt;=0,(BK273-$R273)&gt;0),$V273/365*($S273-BK273+1),$V273/365*(BL273-$R273+1))))),0)</f>
        <v>4256</v>
      </c>
      <c r="BN273" s="163">
        <f t="shared" ref="BN273:BN276" si="3246">BL273+1</f>
        <v>46082</v>
      </c>
      <c r="BO273" s="163">
        <f t="shared" ref="BO273:BO276" si="3247">BN273+30</f>
        <v>46112</v>
      </c>
      <c r="BP273" s="167">
        <f t="shared" ref="BP273:BP276" si="3248">IFERROR(IF(($R273-BO273)&gt;=0,0,IF(($S273-BN273)&lt;0,0,IF(AND(($S273-BO273)&gt;0,(BN273-$R273)&gt;0),$V273/365*(BO273-BN273+1),IF(AND(($S273-BO273)&lt;=0,(BN273-$R273)&gt;0),$V273/365*($S273-BN273+1),$V273/365*(BO273-$R273+1))))),0)</f>
        <v>4712</v>
      </c>
      <c r="BQ273" s="163">
        <f t="shared" ref="BQ273:BQ276" si="3249">BO273+1</f>
        <v>46113</v>
      </c>
      <c r="BR273" s="163">
        <f t="shared" ref="BR273:BR276" si="3250">BQ273+29</f>
        <v>46142</v>
      </c>
      <c r="BS273" s="167">
        <f t="shared" ref="BS273:BS276" si="3251">IFERROR(IF(($R273-BR273)&gt;=0,0,IF(($S273-BQ273)&lt;0,0,IF(AND(($S273-BR273)&gt;0,(BQ273-$R273)&gt;0),$V273/365*(BR273-BQ273+1),IF(AND(($S273-BR273)&lt;=0,(BQ273-$R273)&gt;0),$V273/365*($S273-BQ273+1),$V273/365*(BR273-$R273+1))))),0)</f>
        <v>4560</v>
      </c>
      <c r="BT273" s="163">
        <f t="shared" ref="BT273:BT276" si="3252">BR273+1</f>
        <v>46143</v>
      </c>
      <c r="BU273" s="163">
        <f t="shared" ref="BU273:BU276" si="3253">BT273+30</f>
        <v>46173</v>
      </c>
      <c r="BV273" s="167">
        <f t="shared" ref="BV273:BV276" si="3254">IFERROR(IF(($R273-BU273)&gt;=0,0,IF(($S273-BT273)&lt;0,0,IF(AND(($S273-BU273)&gt;0,(BT273-$R273)&gt;0),$V273/365*(BU273-BT273+1),IF(AND(($S273-BU273)&lt;=0,(BT273-$R273)&gt;0),$V273/365*($S273-BT273+1),$V273/365*(BU273-$R273+1))))),0)</f>
        <v>0</v>
      </c>
      <c r="BW273" s="163">
        <f t="shared" ref="BW273:BW276" si="3255">BU273+1</f>
        <v>46174</v>
      </c>
      <c r="BX273" s="163">
        <f t="shared" ref="BX273:BX276" si="3256">BW273+29</f>
        <v>46203</v>
      </c>
      <c r="BY273" s="167">
        <f t="shared" ref="BY273:BY276" si="3257">IFERROR(IF(($R273-BX273)&gt;=0,0,IF(($S273-BW273)&lt;0,0,IF(AND(($S273-BX273)&gt;0,(BW273-$R273)&gt;0),$V273/365*(BX273-BW273+1),IF(AND(($S273-BX273)&lt;=0,(BW273-$R273)&gt;0),$V273/365*($S273-BW273+1),$V273/365*(BX273-$R273+1))))),0)</f>
        <v>0</v>
      </c>
      <c r="BZ273" s="163">
        <f t="shared" ref="BZ273:BZ276" si="3258">BX273+1</f>
        <v>46204</v>
      </c>
      <c r="CA273" s="163">
        <f t="shared" ref="CA273:CA276" si="3259">BZ273+30</f>
        <v>46234</v>
      </c>
      <c r="CB273" s="167">
        <f t="shared" ref="CB273:CB276" si="3260">IFERROR(IF(($R273-CA273)&gt;=0,0,IF(($S273-BZ273)&lt;0,0,IF(AND(($S273-CA273)&gt;0,(BZ273-$R273)&gt;0),$V273/365*(CA273-BZ273+1),IF(AND(($S273-CA273)&lt;=0,(BZ273-$R273)&gt;0),$V273/365*($S273-BZ273+1),$V273/365*(CA273-$R273+1))))),0)</f>
        <v>0</v>
      </c>
      <c r="CC273" s="163">
        <f t="shared" ref="CC273:CC276" si="3261">CA273+1</f>
        <v>46235</v>
      </c>
      <c r="CD273" s="163">
        <f t="shared" ref="CD273:CD276" si="3262">CC273+30</f>
        <v>46265</v>
      </c>
      <c r="CE273" s="167">
        <f t="shared" ref="CE273:CE276" si="3263">IFERROR(IF(($R273-CD273)&gt;=0,0,IF(($S273-CC273)&lt;0,0,IF(AND(($S273-CD273)&gt;0,(CC273-$R273)&gt;0),$V273/365*(CD273-CC273+1),IF(AND(($S273-CD273)&lt;=0,(CC273-$R273)&gt;0),$V273/365*($S273-CC273+1),$V273/365*(CD273-$R273+1))))),0)</f>
        <v>0</v>
      </c>
      <c r="CF273" s="163">
        <f t="shared" ref="CF273:CF276" si="3264">CD273+1</f>
        <v>46266</v>
      </c>
      <c r="CG273" s="163">
        <f t="shared" ref="CG273:CG276" si="3265">CF273+29</f>
        <v>46295</v>
      </c>
      <c r="CH273" s="167">
        <f t="shared" ref="CH273:CH276" si="3266">IFERROR(IF(($R273-CG273)&gt;=0,0,IF(($S273-CF273)&lt;0,0,IF(AND(($S273-CG273)&gt;0,(CF273-$R273)&gt;0),$V273/365*(CG273-CF273+1),IF(AND(($S273-CG273)&lt;=0,(CF273-$R273)&gt;0),$V273/365*($S273-CF273+1),$V273/365*(CG273-$R273+1))))),0)</f>
        <v>0</v>
      </c>
      <c r="CI273" s="163">
        <f t="shared" ref="CI273:CI276" si="3267">CG273+1</f>
        <v>46296</v>
      </c>
      <c r="CJ273" s="163">
        <f t="shared" ref="CJ273:CJ276" si="3268">CI273+30</f>
        <v>46326</v>
      </c>
      <c r="CK273" s="167">
        <f t="shared" ref="CK273:CK276" si="3269">IFERROR(IF(($R273-CJ273)&gt;=0,0,IF(($S273-CI273)&lt;0,0,IF(AND(($S273-CJ273)&gt;0,(CI273-$R273)&gt;0),$V273/365*(CJ273-CI273+1),IF(AND(($S273-CJ273)&lt;=0,(CI273-$R273)&gt;0),$V273/365*($S273-CI273+1),$V273/365*(CJ273-$R273+1))))),0)</f>
        <v>0</v>
      </c>
      <c r="CL273" s="163">
        <f t="shared" ref="CL273:CL276" si="3270">CJ273+1</f>
        <v>46327</v>
      </c>
      <c r="CM273" s="163">
        <f t="shared" ref="CM273:CM276" si="3271">CL273+29</f>
        <v>46356</v>
      </c>
      <c r="CN273" s="167">
        <f t="shared" ref="CN273:CN276" si="3272">IFERROR(IF(($R273-CM273)&gt;=0,0,IF(($S273-CL273)&lt;0,0,IF(AND(($S273-CM273)&gt;0,(CL273-$R273)&gt;0),$V273/365*(CM273-CL273+1),IF(AND(($S273-CM273)&lt;=0,(CL273-$R273)&gt;0),$V273/365*($S273-CL273+1),$V273/365*(CM273-$R273+1))))),0)</f>
        <v>0</v>
      </c>
      <c r="CO273" s="163">
        <f t="shared" ref="CO273:CO276" si="3273">CM273+1</f>
        <v>46357</v>
      </c>
      <c r="CP273" s="163">
        <f t="shared" ref="CP273:CP276" si="3274">CO273+30</f>
        <v>46387</v>
      </c>
      <c r="CQ273" s="167">
        <f t="shared" ref="CQ273:CQ276" si="3275">IFERROR(IF(($R273-CP273)&gt;=0,0,IF(($S273-CO273)&lt;0,0,IF(AND(($S273-CP273)&gt;0,(CO273-$R273)&gt;0),$V273/365*(CP273-CO273+1),IF(AND(($S273-CP273)&lt;=0,(CO273-$R273)&gt;0),$V273/365*($S273-CO273+1),$V273/365*(CP273-$R273+1))))),0)</f>
        <v>0</v>
      </c>
    </row>
    <row r="274" s="89" customFormat="1" ht="24" hidden="1" customHeight="1" outlineLevel="4" spans="1:95">
      <c r="A274" s="128"/>
      <c r="B274" s="129"/>
      <c r="C274" s="130"/>
      <c r="D274" s="128"/>
      <c r="E274" s="129"/>
      <c r="F274" s="129"/>
      <c r="G274" s="129"/>
      <c r="H274" s="131"/>
      <c r="I274" s="131"/>
      <c r="J274" s="131">
        <f t="shared" si="3131"/>
        <v>14000</v>
      </c>
      <c r="K274" s="131">
        <f t="shared" ref="K274:K276" si="3276">K273+1</f>
        <v>2</v>
      </c>
      <c r="L274" s="156" t="s">
        <v>2821</v>
      </c>
      <c r="M274" s="157" t="str">
        <f>IFERROR(VLOOKUP($L274,'2-2 引出数据_合同数据仓库'!$B$5:$BP$200,3,FALSE),0)</f>
        <v>深圳非住二片区中海油大厦化粪池清掏合同</v>
      </c>
      <c r="N274" s="131"/>
      <c r="O274" s="157">
        <f>IFERROR(VLOOKUP((LEFT(VLOOKUP($L274,'2-2 引出数据_合同数据仓库'!$B$5:$BP$200,64,FALSE),15)&amp;(RIGHT(VLOOKUP($L274,'2-2 引出数据_合同数据仓库'!$B$5:$BP$200,64,FALSE),4)+1)),'2-2 引出数据_合同数据仓库'!$B$5:$BP$200,3,FALSE),0)</f>
        <v>0</v>
      </c>
      <c r="P274" s="131"/>
      <c r="Q274" s="131" t="str">
        <f>IFERROR(VLOOKUP($L274,'2-2 引出数据_合同数据仓库'!$B$5:$BP$200,28,FALSE),0)</f>
        <v>2025-03-20</v>
      </c>
      <c r="R274" s="131" t="str">
        <f>IFERROR(VLOOKUP($L274,'2-2 引出数据_合同数据仓库'!$B$5:$BP$200,29,FALSE),0)</f>
        <v>2025-03-20</v>
      </c>
      <c r="S274" s="131" t="str">
        <f>IFERROR(VLOOKUP($L274,'2-2 引出数据_合同数据仓库'!$B$5:$BP$200,4,FALSE),0)</f>
        <v>2025-07-31</v>
      </c>
      <c r="T274" s="131"/>
      <c r="U274" s="131">
        <f>IFERROR(VLOOKUP($L274,'2-2 引出数据_合同数据仓库'!$B$5:$BP$200,15,FALSE),0)</f>
        <v>14000</v>
      </c>
      <c r="V274" s="131">
        <f t="shared" si="3205"/>
        <v>38134.3283582089</v>
      </c>
      <c r="W274" s="131"/>
      <c r="X274" s="163">
        <v>45658</v>
      </c>
      <c r="Y274" s="163">
        <f t="shared" si="3206"/>
        <v>45688</v>
      </c>
      <c r="Z274" s="167">
        <f t="shared" si="3207"/>
        <v>0</v>
      </c>
      <c r="AA274" s="163">
        <f t="shared" si="3208"/>
        <v>45689</v>
      </c>
      <c r="AB274" s="163">
        <f t="shared" si="3209"/>
        <v>45716</v>
      </c>
      <c r="AC274" s="167">
        <f t="shared" si="3210"/>
        <v>0</v>
      </c>
      <c r="AD274" s="163">
        <f t="shared" si="3211"/>
        <v>45717</v>
      </c>
      <c r="AE274" s="163">
        <f t="shared" si="3212"/>
        <v>45747</v>
      </c>
      <c r="AF274" s="167">
        <f t="shared" si="3213"/>
        <v>1253.73134328358</v>
      </c>
      <c r="AG274" s="163">
        <f t="shared" si="3214"/>
        <v>45748</v>
      </c>
      <c r="AH274" s="163">
        <f t="shared" si="3215"/>
        <v>45777</v>
      </c>
      <c r="AI274" s="167">
        <f t="shared" si="3216"/>
        <v>3134.32835820895</v>
      </c>
      <c r="AJ274" s="163">
        <f t="shared" si="3217"/>
        <v>45778</v>
      </c>
      <c r="AK274" s="163">
        <f t="shared" si="3218"/>
        <v>45808</v>
      </c>
      <c r="AL274" s="167">
        <f t="shared" si="3219"/>
        <v>3238.80597014925</v>
      </c>
      <c r="AM274" s="163">
        <f t="shared" si="3220"/>
        <v>45809</v>
      </c>
      <c r="AN274" s="163">
        <f t="shared" si="3221"/>
        <v>45838</v>
      </c>
      <c r="AO274" s="167">
        <f t="shared" si="3222"/>
        <v>3134.32835820895</v>
      </c>
      <c r="AP274" s="163">
        <f t="shared" si="3223"/>
        <v>45839</v>
      </c>
      <c r="AQ274" s="163">
        <f t="shared" si="3224"/>
        <v>45869</v>
      </c>
      <c r="AR274" s="167">
        <f t="shared" si="3225"/>
        <v>3238.80597014925</v>
      </c>
      <c r="AS274" s="163">
        <f t="shared" si="3226"/>
        <v>45870</v>
      </c>
      <c r="AT274" s="163">
        <f t="shared" si="3227"/>
        <v>45900</v>
      </c>
      <c r="AU274" s="167">
        <f t="shared" si="3228"/>
        <v>0</v>
      </c>
      <c r="AV274" s="163">
        <f t="shared" si="3229"/>
        <v>45901</v>
      </c>
      <c r="AW274" s="163">
        <f t="shared" si="3230"/>
        <v>45930</v>
      </c>
      <c r="AX274" s="167">
        <f t="shared" si="3231"/>
        <v>0</v>
      </c>
      <c r="AY274" s="163">
        <f t="shared" si="3232"/>
        <v>45931</v>
      </c>
      <c r="AZ274" s="163">
        <f t="shared" si="3233"/>
        <v>45961</v>
      </c>
      <c r="BA274" s="167">
        <f t="shared" si="3234"/>
        <v>0</v>
      </c>
      <c r="BB274" s="163">
        <f t="shared" si="3235"/>
        <v>45962</v>
      </c>
      <c r="BC274" s="163">
        <f t="shared" si="3236"/>
        <v>45991</v>
      </c>
      <c r="BD274" s="167">
        <f t="shared" si="3237"/>
        <v>0</v>
      </c>
      <c r="BE274" s="163">
        <f t="shared" si="3238"/>
        <v>45992</v>
      </c>
      <c r="BF274" s="163">
        <f t="shared" si="3239"/>
        <v>46022</v>
      </c>
      <c r="BG274" s="167">
        <f t="shared" si="3240"/>
        <v>0</v>
      </c>
      <c r="BH274" s="163">
        <v>46023</v>
      </c>
      <c r="BI274" s="163">
        <f t="shared" si="3241"/>
        <v>46053</v>
      </c>
      <c r="BJ274" s="167">
        <f t="shared" si="3242"/>
        <v>0</v>
      </c>
      <c r="BK274" s="163">
        <f t="shared" si="3243"/>
        <v>46054</v>
      </c>
      <c r="BL274" s="163">
        <f t="shared" si="3244"/>
        <v>46081</v>
      </c>
      <c r="BM274" s="167">
        <f t="shared" si="3245"/>
        <v>0</v>
      </c>
      <c r="BN274" s="163">
        <f t="shared" si="3246"/>
        <v>46082</v>
      </c>
      <c r="BO274" s="163">
        <f t="shared" si="3247"/>
        <v>46112</v>
      </c>
      <c r="BP274" s="167">
        <f t="shared" si="3248"/>
        <v>0</v>
      </c>
      <c r="BQ274" s="163">
        <f t="shared" si="3249"/>
        <v>46113</v>
      </c>
      <c r="BR274" s="163">
        <f t="shared" si="3250"/>
        <v>46142</v>
      </c>
      <c r="BS274" s="167">
        <f t="shared" si="3251"/>
        <v>0</v>
      </c>
      <c r="BT274" s="163">
        <f t="shared" si="3252"/>
        <v>46143</v>
      </c>
      <c r="BU274" s="163">
        <f t="shared" si="3253"/>
        <v>46173</v>
      </c>
      <c r="BV274" s="167">
        <f t="shared" si="3254"/>
        <v>0</v>
      </c>
      <c r="BW274" s="163">
        <f t="shared" si="3255"/>
        <v>46174</v>
      </c>
      <c r="BX274" s="163">
        <f t="shared" si="3256"/>
        <v>46203</v>
      </c>
      <c r="BY274" s="167">
        <f t="shared" si="3257"/>
        <v>0</v>
      </c>
      <c r="BZ274" s="163">
        <f t="shared" si="3258"/>
        <v>46204</v>
      </c>
      <c r="CA274" s="163">
        <f t="shared" si="3259"/>
        <v>46234</v>
      </c>
      <c r="CB274" s="167">
        <f t="shared" si="3260"/>
        <v>0</v>
      </c>
      <c r="CC274" s="163">
        <f t="shared" si="3261"/>
        <v>46235</v>
      </c>
      <c r="CD274" s="163">
        <f t="shared" si="3262"/>
        <v>46265</v>
      </c>
      <c r="CE274" s="167">
        <f t="shared" si="3263"/>
        <v>0</v>
      </c>
      <c r="CF274" s="163">
        <f t="shared" si="3264"/>
        <v>46266</v>
      </c>
      <c r="CG274" s="163">
        <f t="shared" si="3265"/>
        <v>46295</v>
      </c>
      <c r="CH274" s="167">
        <f t="shared" si="3266"/>
        <v>0</v>
      </c>
      <c r="CI274" s="163">
        <f t="shared" si="3267"/>
        <v>46296</v>
      </c>
      <c r="CJ274" s="163">
        <f t="shared" si="3268"/>
        <v>46326</v>
      </c>
      <c r="CK274" s="167">
        <f t="shared" si="3269"/>
        <v>0</v>
      </c>
      <c r="CL274" s="163">
        <f t="shared" si="3270"/>
        <v>46327</v>
      </c>
      <c r="CM274" s="163">
        <f t="shared" si="3271"/>
        <v>46356</v>
      </c>
      <c r="CN274" s="167">
        <f t="shared" si="3272"/>
        <v>0</v>
      </c>
      <c r="CO274" s="163">
        <f t="shared" si="3273"/>
        <v>46357</v>
      </c>
      <c r="CP274" s="163">
        <f t="shared" si="3274"/>
        <v>46387</v>
      </c>
      <c r="CQ274" s="167">
        <f t="shared" si="3275"/>
        <v>0</v>
      </c>
    </row>
    <row r="275" s="89" customFormat="1" ht="24" hidden="1" customHeight="1" outlineLevel="4" spans="1:95">
      <c r="A275" s="128"/>
      <c r="B275" s="129"/>
      <c r="C275" s="130"/>
      <c r="D275" s="128"/>
      <c r="E275" s="129"/>
      <c r="F275" s="129"/>
      <c r="G275" s="129"/>
      <c r="H275" s="131"/>
      <c r="I275" s="131"/>
      <c r="J275" s="131">
        <f t="shared" si="3131"/>
        <v>0</v>
      </c>
      <c r="K275" s="131">
        <f t="shared" si="3276"/>
        <v>3</v>
      </c>
      <c r="L275" s="156"/>
      <c r="M275" s="157">
        <f>IFERROR(VLOOKUP($L275,'2-2 引出数据_合同数据仓库'!$B$5:$BP$200,3,FALSE),0)</f>
        <v>0</v>
      </c>
      <c r="N275" s="131"/>
      <c r="O275" s="157">
        <f>IFERROR(VLOOKUP((LEFT(VLOOKUP($L275,'2-2 引出数据_合同数据仓库'!$B$5:$BP$200,64,FALSE),15)&amp;(RIGHT(VLOOKUP($L275,'2-2 引出数据_合同数据仓库'!$B$5:$BP$200,64,FALSE),4)+1)),'2-2 引出数据_合同数据仓库'!$B$5:$BP$200,3,FALSE),0)</f>
        <v>0</v>
      </c>
      <c r="P275" s="131"/>
      <c r="Q275" s="131">
        <f>IFERROR(VLOOKUP($L275,'2-2 引出数据_合同数据仓库'!$B$5:$BP$200,28,FALSE),0)</f>
        <v>0</v>
      </c>
      <c r="R275" s="131">
        <f>IFERROR(VLOOKUP($L275,'2-2 引出数据_合同数据仓库'!$B$5:$BP$200,29,FALSE),0)</f>
        <v>0</v>
      </c>
      <c r="S275" s="131">
        <f>IFERROR(VLOOKUP($L275,'2-2 引出数据_合同数据仓库'!$B$5:$BP$200,4,FALSE),0)</f>
        <v>0</v>
      </c>
      <c r="T275" s="131"/>
      <c r="U275" s="131">
        <f>IFERROR(VLOOKUP($L275,'2-2 引出数据_合同数据仓库'!$B$5:$BP$200,15,FALSE),0)</f>
        <v>0</v>
      </c>
      <c r="V275" s="131">
        <f t="shared" si="3205"/>
        <v>0</v>
      </c>
      <c r="W275" s="131"/>
      <c r="X275" s="163">
        <v>45658</v>
      </c>
      <c r="Y275" s="163">
        <f t="shared" si="3206"/>
        <v>45688</v>
      </c>
      <c r="Z275" s="167">
        <f t="shared" si="3207"/>
        <v>0</v>
      </c>
      <c r="AA275" s="163">
        <f t="shared" si="3208"/>
        <v>45689</v>
      </c>
      <c r="AB275" s="163">
        <f t="shared" si="3209"/>
        <v>45716</v>
      </c>
      <c r="AC275" s="167">
        <f t="shared" si="3210"/>
        <v>0</v>
      </c>
      <c r="AD275" s="163">
        <f t="shared" si="3211"/>
        <v>45717</v>
      </c>
      <c r="AE275" s="163">
        <f t="shared" si="3212"/>
        <v>45747</v>
      </c>
      <c r="AF275" s="167">
        <f t="shared" si="3213"/>
        <v>0</v>
      </c>
      <c r="AG275" s="163">
        <f t="shared" si="3214"/>
        <v>45748</v>
      </c>
      <c r="AH275" s="163">
        <f t="shared" si="3215"/>
        <v>45777</v>
      </c>
      <c r="AI275" s="167">
        <f t="shared" si="3216"/>
        <v>0</v>
      </c>
      <c r="AJ275" s="163">
        <f t="shared" si="3217"/>
        <v>45778</v>
      </c>
      <c r="AK275" s="163">
        <f t="shared" si="3218"/>
        <v>45808</v>
      </c>
      <c r="AL275" s="167">
        <f t="shared" si="3219"/>
        <v>0</v>
      </c>
      <c r="AM275" s="163">
        <f t="shared" si="3220"/>
        <v>45809</v>
      </c>
      <c r="AN275" s="163">
        <f t="shared" si="3221"/>
        <v>45838</v>
      </c>
      <c r="AO275" s="167">
        <f t="shared" si="3222"/>
        <v>0</v>
      </c>
      <c r="AP275" s="163">
        <f t="shared" si="3223"/>
        <v>45839</v>
      </c>
      <c r="AQ275" s="163">
        <f t="shared" si="3224"/>
        <v>45869</v>
      </c>
      <c r="AR275" s="167">
        <f t="shared" si="3225"/>
        <v>0</v>
      </c>
      <c r="AS275" s="163">
        <f t="shared" si="3226"/>
        <v>45870</v>
      </c>
      <c r="AT275" s="163">
        <f t="shared" si="3227"/>
        <v>45900</v>
      </c>
      <c r="AU275" s="167">
        <f t="shared" si="3228"/>
        <v>0</v>
      </c>
      <c r="AV275" s="163">
        <f t="shared" si="3229"/>
        <v>45901</v>
      </c>
      <c r="AW275" s="163">
        <f t="shared" si="3230"/>
        <v>45930</v>
      </c>
      <c r="AX275" s="167">
        <f t="shared" si="3231"/>
        <v>0</v>
      </c>
      <c r="AY275" s="163">
        <f t="shared" si="3232"/>
        <v>45931</v>
      </c>
      <c r="AZ275" s="163">
        <f t="shared" si="3233"/>
        <v>45961</v>
      </c>
      <c r="BA275" s="167">
        <f t="shared" si="3234"/>
        <v>0</v>
      </c>
      <c r="BB275" s="163">
        <f t="shared" si="3235"/>
        <v>45962</v>
      </c>
      <c r="BC275" s="163">
        <f t="shared" si="3236"/>
        <v>45991</v>
      </c>
      <c r="BD275" s="167">
        <f t="shared" si="3237"/>
        <v>0</v>
      </c>
      <c r="BE275" s="163">
        <f t="shared" si="3238"/>
        <v>45992</v>
      </c>
      <c r="BF275" s="163">
        <f t="shared" si="3239"/>
        <v>46022</v>
      </c>
      <c r="BG275" s="167">
        <f t="shared" si="3240"/>
        <v>0</v>
      </c>
      <c r="BH275" s="163">
        <v>46023</v>
      </c>
      <c r="BI275" s="163">
        <f t="shared" si="3241"/>
        <v>46053</v>
      </c>
      <c r="BJ275" s="167">
        <f t="shared" si="3242"/>
        <v>0</v>
      </c>
      <c r="BK275" s="163">
        <f t="shared" si="3243"/>
        <v>46054</v>
      </c>
      <c r="BL275" s="163">
        <f t="shared" si="3244"/>
        <v>46081</v>
      </c>
      <c r="BM275" s="167">
        <f t="shared" si="3245"/>
        <v>0</v>
      </c>
      <c r="BN275" s="163">
        <f t="shared" si="3246"/>
        <v>46082</v>
      </c>
      <c r="BO275" s="163">
        <f t="shared" si="3247"/>
        <v>46112</v>
      </c>
      <c r="BP275" s="167">
        <f t="shared" si="3248"/>
        <v>0</v>
      </c>
      <c r="BQ275" s="163">
        <f t="shared" si="3249"/>
        <v>46113</v>
      </c>
      <c r="BR275" s="163">
        <f t="shared" si="3250"/>
        <v>46142</v>
      </c>
      <c r="BS275" s="167">
        <f t="shared" si="3251"/>
        <v>0</v>
      </c>
      <c r="BT275" s="163">
        <f t="shared" si="3252"/>
        <v>46143</v>
      </c>
      <c r="BU275" s="163">
        <f t="shared" si="3253"/>
        <v>46173</v>
      </c>
      <c r="BV275" s="167">
        <f t="shared" si="3254"/>
        <v>0</v>
      </c>
      <c r="BW275" s="163">
        <f t="shared" si="3255"/>
        <v>46174</v>
      </c>
      <c r="BX275" s="163">
        <f t="shared" si="3256"/>
        <v>46203</v>
      </c>
      <c r="BY275" s="167">
        <f t="shared" si="3257"/>
        <v>0</v>
      </c>
      <c r="BZ275" s="163">
        <f t="shared" si="3258"/>
        <v>46204</v>
      </c>
      <c r="CA275" s="163">
        <f t="shared" si="3259"/>
        <v>46234</v>
      </c>
      <c r="CB275" s="167">
        <f t="shared" si="3260"/>
        <v>0</v>
      </c>
      <c r="CC275" s="163">
        <f t="shared" si="3261"/>
        <v>46235</v>
      </c>
      <c r="CD275" s="163">
        <f t="shared" si="3262"/>
        <v>46265</v>
      </c>
      <c r="CE275" s="167">
        <f t="shared" si="3263"/>
        <v>0</v>
      </c>
      <c r="CF275" s="163">
        <f t="shared" si="3264"/>
        <v>46266</v>
      </c>
      <c r="CG275" s="163">
        <f t="shared" si="3265"/>
        <v>46295</v>
      </c>
      <c r="CH275" s="167">
        <f t="shared" si="3266"/>
        <v>0</v>
      </c>
      <c r="CI275" s="163">
        <f t="shared" si="3267"/>
        <v>46296</v>
      </c>
      <c r="CJ275" s="163">
        <f t="shared" si="3268"/>
        <v>46326</v>
      </c>
      <c r="CK275" s="167">
        <f t="shared" si="3269"/>
        <v>0</v>
      </c>
      <c r="CL275" s="163">
        <f t="shared" si="3270"/>
        <v>46327</v>
      </c>
      <c r="CM275" s="163">
        <f t="shared" si="3271"/>
        <v>46356</v>
      </c>
      <c r="CN275" s="167">
        <f t="shared" si="3272"/>
        <v>0</v>
      </c>
      <c r="CO275" s="163">
        <f t="shared" si="3273"/>
        <v>46357</v>
      </c>
      <c r="CP275" s="163">
        <f t="shared" si="3274"/>
        <v>46387</v>
      </c>
      <c r="CQ275" s="167">
        <f t="shared" si="3275"/>
        <v>0</v>
      </c>
    </row>
    <row r="276" s="89" customFormat="1" ht="24" hidden="1" customHeight="1" outlineLevel="4" spans="1:95">
      <c r="A276" s="128"/>
      <c r="B276" s="129"/>
      <c r="C276" s="130"/>
      <c r="D276" s="128"/>
      <c r="E276" s="129"/>
      <c r="F276" s="129"/>
      <c r="G276" s="129"/>
      <c r="H276" s="131"/>
      <c r="I276" s="131"/>
      <c r="J276" s="131">
        <f t="shared" si="3131"/>
        <v>0</v>
      </c>
      <c r="K276" s="131">
        <f t="shared" si="3276"/>
        <v>4</v>
      </c>
      <c r="L276" s="156"/>
      <c r="M276" s="157">
        <f>IFERROR(VLOOKUP($L276,'2-2 引出数据_合同数据仓库'!$B$5:$BP$200,3,FALSE),0)</f>
        <v>0</v>
      </c>
      <c r="N276" s="131"/>
      <c r="O276" s="157">
        <f>IFERROR(VLOOKUP((LEFT(VLOOKUP($L276,'2-2 引出数据_合同数据仓库'!$B$5:$BP$200,64,FALSE),15)&amp;(RIGHT(VLOOKUP($L276,'2-2 引出数据_合同数据仓库'!$B$5:$BP$200,64,FALSE),4)+1)),'2-2 引出数据_合同数据仓库'!$B$5:$BP$200,3,FALSE),0)</f>
        <v>0</v>
      </c>
      <c r="P276" s="131"/>
      <c r="Q276" s="131">
        <f>IFERROR(VLOOKUP($L276,'2-2 引出数据_合同数据仓库'!$B$5:$BP$200,28,FALSE),0)</f>
        <v>0</v>
      </c>
      <c r="R276" s="131">
        <f>IFERROR(VLOOKUP($L276,'2-2 引出数据_合同数据仓库'!$B$5:$BP$200,29,FALSE),0)</f>
        <v>0</v>
      </c>
      <c r="S276" s="131">
        <f>IFERROR(VLOOKUP($L276,'2-2 引出数据_合同数据仓库'!$B$5:$BP$200,4,FALSE),0)</f>
        <v>0</v>
      </c>
      <c r="T276" s="131"/>
      <c r="U276" s="131">
        <f>IFERROR(VLOOKUP($L276,'2-2 引出数据_合同数据仓库'!$B$5:$BP$200,15,FALSE),0)</f>
        <v>0</v>
      </c>
      <c r="V276" s="131">
        <f t="shared" si="3205"/>
        <v>0</v>
      </c>
      <c r="W276" s="131"/>
      <c r="X276" s="163">
        <v>45658</v>
      </c>
      <c r="Y276" s="163">
        <f t="shared" si="3206"/>
        <v>45688</v>
      </c>
      <c r="Z276" s="167">
        <f t="shared" si="3207"/>
        <v>0</v>
      </c>
      <c r="AA276" s="163">
        <f t="shared" si="3208"/>
        <v>45689</v>
      </c>
      <c r="AB276" s="163">
        <f t="shared" si="3209"/>
        <v>45716</v>
      </c>
      <c r="AC276" s="167">
        <f t="shared" si="3210"/>
        <v>0</v>
      </c>
      <c r="AD276" s="163">
        <f t="shared" si="3211"/>
        <v>45717</v>
      </c>
      <c r="AE276" s="163">
        <f t="shared" si="3212"/>
        <v>45747</v>
      </c>
      <c r="AF276" s="167">
        <f t="shared" si="3213"/>
        <v>0</v>
      </c>
      <c r="AG276" s="163">
        <f t="shared" si="3214"/>
        <v>45748</v>
      </c>
      <c r="AH276" s="163">
        <f t="shared" si="3215"/>
        <v>45777</v>
      </c>
      <c r="AI276" s="167">
        <f t="shared" si="3216"/>
        <v>0</v>
      </c>
      <c r="AJ276" s="163">
        <f t="shared" si="3217"/>
        <v>45778</v>
      </c>
      <c r="AK276" s="163">
        <f t="shared" si="3218"/>
        <v>45808</v>
      </c>
      <c r="AL276" s="167">
        <f t="shared" si="3219"/>
        <v>0</v>
      </c>
      <c r="AM276" s="163">
        <f t="shared" si="3220"/>
        <v>45809</v>
      </c>
      <c r="AN276" s="163">
        <f t="shared" si="3221"/>
        <v>45838</v>
      </c>
      <c r="AO276" s="167">
        <f t="shared" si="3222"/>
        <v>0</v>
      </c>
      <c r="AP276" s="163">
        <f t="shared" si="3223"/>
        <v>45839</v>
      </c>
      <c r="AQ276" s="163">
        <f t="shared" si="3224"/>
        <v>45869</v>
      </c>
      <c r="AR276" s="167">
        <f t="shared" si="3225"/>
        <v>0</v>
      </c>
      <c r="AS276" s="163">
        <f t="shared" si="3226"/>
        <v>45870</v>
      </c>
      <c r="AT276" s="163">
        <f t="shared" si="3227"/>
        <v>45900</v>
      </c>
      <c r="AU276" s="167">
        <f t="shared" si="3228"/>
        <v>0</v>
      </c>
      <c r="AV276" s="163">
        <f t="shared" si="3229"/>
        <v>45901</v>
      </c>
      <c r="AW276" s="163">
        <f t="shared" si="3230"/>
        <v>45930</v>
      </c>
      <c r="AX276" s="167">
        <f t="shared" si="3231"/>
        <v>0</v>
      </c>
      <c r="AY276" s="163">
        <f t="shared" si="3232"/>
        <v>45931</v>
      </c>
      <c r="AZ276" s="163">
        <f t="shared" si="3233"/>
        <v>45961</v>
      </c>
      <c r="BA276" s="167">
        <f t="shared" si="3234"/>
        <v>0</v>
      </c>
      <c r="BB276" s="163">
        <f t="shared" si="3235"/>
        <v>45962</v>
      </c>
      <c r="BC276" s="163">
        <f t="shared" si="3236"/>
        <v>45991</v>
      </c>
      <c r="BD276" s="167">
        <f t="shared" si="3237"/>
        <v>0</v>
      </c>
      <c r="BE276" s="163">
        <f t="shared" si="3238"/>
        <v>45992</v>
      </c>
      <c r="BF276" s="163">
        <f t="shared" si="3239"/>
        <v>46022</v>
      </c>
      <c r="BG276" s="167">
        <f t="shared" si="3240"/>
        <v>0</v>
      </c>
      <c r="BH276" s="163">
        <v>46023</v>
      </c>
      <c r="BI276" s="163">
        <f t="shared" si="3241"/>
        <v>46053</v>
      </c>
      <c r="BJ276" s="167">
        <f t="shared" si="3242"/>
        <v>0</v>
      </c>
      <c r="BK276" s="163">
        <f t="shared" si="3243"/>
        <v>46054</v>
      </c>
      <c r="BL276" s="163">
        <f t="shared" si="3244"/>
        <v>46081</v>
      </c>
      <c r="BM276" s="167">
        <f t="shared" si="3245"/>
        <v>0</v>
      </c>
      <c r="BN276" s="163">
        <f t="shared" si="3246"/>
        <v>46082</v>
      </c>
      <c r="BO276" s="163">
        <f t="shared" si="3247"/>
        <v>46112</v>
      </c>
      <c r="BP276" s="167">
        <f t="shared" si="3248"/>
        <v>0</v>
      </c>
      <c r="BQ276" s="163">
        <f t="shared" si="3249"/>
        <v>46113</v>
      </c>
      <c r="BR276" s="163">
        <f t="shared" si="3250"/>
        <v>46142</v>
      </c>
      <c r="BS276" s="167">
        <f t="shared" si="3251"/>
        <v>0</v>
      </c>
      <c r="BT276" s="163">
        <f t="shared" si="3252"/>
        <v>46143</v>
      </c>
      <c r="BU276" s="163">
        <f t="shared" si="3253"/>
        <v>46173</v>
      </c>
      <c r="BV276" s="167">
        <f t="shared" si="3254"/>
        <v>0</v>
      </c>
      <c r="BW276" s="163">
        <f t="shared" si="3255"/>
        <v>46174</v>
      </c>
      <c r="BX276" s="163">
        <f t="shared" si="3256"/>
        <v>46203</v>
      </c>
      <c r="BY276" s="167">
        <f t="shared" si="3257"/>
        <v>0</v>
      </c>
      <c r="BZ276" s="163">
        <f t="shared" si="3258"/>
        <v>46204</v>
      </c>
      <c r="CA276" s="163">
        <f t="shared" si="3259"/>
        <v>46234</v>
      </c>
      <c r="CB276" s="167">
        <f t="shared" si="3260"/>
        <v>0</v>
      </c>
      <c r="CC276" s="163">
        <f t="shared" si="3261"/>
        <v>46235</v>
      </c>
      <c r="CD276" s="163">
        <f t="shared" si="3262"/>
        <v>46265</v>
      </c>
      <c r="CE276" s="167">
        <f t="shared" si="3263"/>
        <v>0</v>
      </c>
      <c r="CF276" s="163">
        <f t="shared" si="3264"/>
        <v>46266</v>
      </c>
      <c r="CG276" s="163">
        <f t="shared" si="3265"/>
        <v>46295</v>
      </c>
      <c r="CH276" s="167">
        <f t="shared" si="3266"/>
        <v>0</v>
      </c>
      <c r="CI276" s="163">
        <f t="shared" si="3267"/>
        <v>46296</v>
      </c>
      <c r="CJ276" s="163">
        <f t="shared" si="3268"/>
        <v>46326</v>
      </c>
      <c r="CK276" s="167">
        <f t="shared" si="3269"/>
        <v>0</v>
      </c>
      <c r="CL276" s="163">
        <f t="shared" si="3270"/>
        <v>46327</v>
      </c>
      <c r="CM276" s="163">
        <f t="shared" si="3271"/>
        <v>46356</v>
      </c>
      <c r="CN276" s="167">
        <f t="shared" si="3272"/>
        <v>0</v>
      </c>
      <c r="CO276" s="163">
        <f t="shared" si="3273"/>
        <v>46357</v>
      </c>
      <c r="CP276" s="163">
        <f t="shared" si="3274"/>
        <v>46387</v>
      </c>
      <c r="CQ276" s="167">
        <f t="shared" si="3275"/>
        <v>0</v>
      </c>
    </row>
    <row r="277" s="89" customFormat="1" ht="24" hidden="1" customHeight="1" outlineLevel="4" spans="1:95">
      <c r="A277" s="132" t="s">
        <v>2813</v>
      </c>
      <c r="B277" s="133"/>
      <c r="C277" s="133"/>
      <c r="D277" s="133"/>
      <c r="E277" s="133"/>
      <c r="F277" s="133"/>
      <c r="G277" s="134"/>
      <c r="H277" s="135"/>
      <c r="I277" s="135"/>
      <c r="J277" s="135"/>
      <c r="K277" s="135"/>
      <c r="L277" s="158"/>
      <c r="M277" s="158"/>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c r="CL277" s="135"/>
      <c r="CM277" s="135"/>
      <c r="CN277" s="135"/>
      <c r="CO277" s="135"/>
      <c r="CP277" s="135"/>
      <c r="CQ277" s="135"/>
    </row>
    <row r="278" ht="24" customHeight="1" outlineLevel="2" collapsed="1" spans="1:95">
      <c r="A278" s="43"/>
      <c r="B278" s="121" t="s">
        <v>787</v>
      </c>
      <c r="C278" s="122" t="s">
        <v>42</v>
      </c>
      <c r="D278" s="43" t="s">
        <v>43</v>
      </c>
      <c r="E278" s="121"/>
      <c r="F278" s="121"/>
      <c r="G278" s="121"/>
      <c r="H278" s="123">
        <f>X278+AA278+AD278+AG278+AJ278+AM278+AP278+AS278+AV278+AY278+BB278+BE278</f>
        <v>0</v>
      </c>
      <c r="I278" s="123">
        <f>Y278+AB278+AE278+AH278+AK278+AN278+AQ278+AT278+AW278+AZ278+BC278+BF278</f>
        <v>-257718.214491552</v>
      </c>
      <c r="J278" s="123">
        <f t="shared" si="3131"/>
        <v>257718.214491552</v>
      </c>
      <c r="K278" s="123"/>
      <c r="L278" s="154"/>
      <c r="M278" s="154"/>
      <c r="N278" s="123"/>
      <c r="O278" s="123"/>
      <c r="P278" s="123"/>
      <c r="Q278" s="123"/>
      <c r="R278" s="123"/>
      <c r="S278" s="123"/>
      <c r="T278" s="123"/>
      <c r="U278" s="123"/>
      <c r="V278" s="123"/>
      <c r="W278" s="123"/>
      <c r="X278" s="123">
        <f>VLOOKUP($C278,'1 预算编制表单'!$C:$BJ,27,FALSE)</f>
        <v>0</v>
      </c>
      <c r="Y278" s="123">
        <f>X278-Z278</f>
        <v>-2051.6264597729</v>
      </c>
      <c r="Z278" s="123">
        <f>Z279+Z285+Z291+Z297+Z303+Z309+Z315+Z321+Z327+Z333</f>
        <v>2051.6264597729</v>
      </c>
      <c r="AA278" s="123">
        <f>VLOOKUP($C278,'1 预算编制表单'!$C:$BJ,30,FALSE)</f>
        <v>0</v>
      </c>
      <c r="AB278" s="123">
        <f>AA278-AC278</f>
        <v>-6702.25885965976</v>
      </c>
      <c r="AC278" s="123">
        <f>AC279+AC285+AC291+AC297+AC303+AC309+AC315+AC321+AC327+AC333</f>
        <v>6702.25885965976</v>
      </c>
      <c r="AD278" s="123">
        <f>VLOOKUP($C278,'1 预算编制表单'!$C:$BJ,33,FALSE)</f>
        <v>0</v>
      </c>
      <c r="AE278" s="123">
        <f>AD278-AF278</f>
        <v>-21234.0388049537</v>
      </c>
      <c r="AF278" s="123">
        <f>AF279+AF285+AF291+AF297+AF303+AF309+AF315+AF321+AF327+AF333</f>
        <v>21234.0388049537</v>
      </c>
      <c r="AG278" s="123">
        <f>VLOOKUP($C278,'1 预算编制表单'!$C:$BJ,36,FALSE)</f>
        <v>0</v>
      </c>
      <c r="AH278" s="123">
        <f>AG278-AI278</f>
        <v>-24843.3044036908</v>
      </c>
      <c r="AI278" s="123">
        <f>AI279+AI285+AI291+AI297+AI303+AI309+AI315+AI321+AI327+AI333</f>
        <v>24843.3044036908</v>
      </c>
      <c r="AJ278" s="123">
        <f>VLOOKUP($C278,'1 预算编制表单'!$C:$BJ,39,FALSE)</f>
        <v>0</v>
      </c>
      <c r="AK278" s="123">
        <f>AJ278-AL278</f>
        <v>-25671.4145504805</v>
      </c>
      <c r="AL278" s="123">
        <f>AL279+AL285+AL291+AL297+AL303+AL309+AL315+AL321+AL327+AL333</f>
        <v>25671.4145504805</v>
      </c>
      <c r="AM278" s="123">
        <f>VLOOKUP($C278,'1 预算编制表单'!$C:$BJ,42,FALSE)</f>
        <v>0</v>
      </c>
      <c r="AN278" s="123">
        <f>AM278-AO278</f>
        <v>-24843.3044036908</v>
      </c>
      <c r="AO278" s="123">
        <f>AO279+AO285+AO291+AO297+AO303+AO309+AO315+AO321+AO327+AO333</f>
        <v>24843.3044036908</v>
      </c>
      <c r="AP278" s="123">
        <f>VLOOKUP($C278,'1 预算编制表单'!$C:$BJ,45,FALSE)</f>
        <v>0</v>
      </c>
      <c r="AQ278" s="123">
        <f>AP278-AR278</f>
        <v>-25671.4145504805</v>
      </c>
      <c r="AR278" s="123">
        <f>AR279+AR285+AR291+AR297+AR303+AR309+AR315+AR321+AR327+AR333</f>
        <v>25671.4145504805</v>
      </c>
      <c r="AS278" s="123">
        <f>VLOOKUP($C278,'1 预算编制表单'!$C:$BJ,48,FALSE)</f>
        <v>0</v>
      </c>
      <c r="AT278" s="123">
        <f>AS278-AU278</f>
        <v>-25671.4145504805</v>
      </c>
      <c r="AU278" s="123">
        <f>AU279+AU285+AU291+AU297+AU303+AU309+AU315+AU321+AU327+AU333</f>
        <v>25671.4145504805</v>
      </c>
      <c r="AV278" s="123">
        <f>VLOOKUP($C278,'1 预算编制表单'!$C:$BJ,51,FALSE)</f>
        <v>0</v>
      </c>
      <c r="AW278" s="123">
        <f>AV278-AX278</f>
        <v>-24843.3044036908</v>
      </c>
      <c r="AX278" s="123">
        <f>AX279+AX285+AX291+AX297+AX303+AX309+AX315+AX321+AX327+AX333</f>
        <v>24843.3044036908</v>
      </c>
      <c r="AY278" s="123">
        <f>VLOOKUP($C278,'1 预算编制表单'!$C:$BJ,54,FALSE)</f>
        <v>0</v>
      </c>
      <c r="AZ278" s="123">
        <f>AY278-BA278</f>
        <v>-25671.4145504805</v>
      </c>
      <c r="BA278" s="123">
        <f>BA279+BA285+BA291+BA297+BA303+BA309+BA315+BA321+BA327+BA333</f>
        <v>25671.4145504805</v>
      </c>
      <c r="BB278" s="123">
        <f>VLOOKUP($C278,'1 预算编制表单'!$C:$BJ,57,FALSE)</f>
        <v>0</v>
      </c>
      <c r="BC278" s="123">
        <f>BB278-BD278</f>
        <v>-24843.3044036908</v>
      </c>
      <c r="BD278" s="123">
        <f>BD279+BD285+BD291+BD297+BD303+BD309+BD315+BD321+BD327+BD333</f>
        <v>24843.3044036908</v>
      </c>
      <c r="BE278" s="123">
        <f>VLOOKUP($C278,'1 预算编制表单'!$C:$BJ,60,FALSE)</f>
        <v>0</v>
      </c>
      <c r="BF278" s="123">
        <f>BE278-BG278</f>
        <v>-25671.4145504805</v>
      </c>
      <c r="BG278" s="123">
        <f>BG279+BG285+BG291+BG297+BG303+BG309+BG315+BG321+BG327+BG333</f>
        <v>25671.4145504805</v>
      </c>
      <c r="BH278" s="123">
        <f>VLOOKUP($C278,'1 预算编制表单'!$C:$BJ,27,FALSE)</f>
        <v>0</v>
      </c>
      <c r="BI278" s="123">
        <f>BH278-BJ278</f>
        <v>-4437.37574552684</v>
      </c>
      <c r="BJ278" s="123">
        <f>BJ279+BJ285+BJ291+BJ297+BJ303+BJ309+BJ315+BJ321+BJ327+BJ333</f>
        <v>4437.37574552684</v>
      </c>
      <c r="BK278" s="123">
        <f>VLOOKUP($C278,'1 预算编制表单'!$C:$BJ,30,FALSE)</f>
        <v>0</v>
      </c>
      <c r="BL278" s="123">
        <f>BK278-BM278</f>
        <v>-4007.95228628231</v>
      </c>
      <c r="BM278" s="123">
        <f>BM279+BM285+BM291+BM297+BM303+BM309+BM315+BM321+BM327+BM333</f>
        <v>4007.95228628231</v>
      </c>
      <c r="BN278" s="123">
        <f>VLOOKUP($C278,'1 预算编制表单'!$C:$BJ,33,FALSE)</f>
        <v>0</v>
      </c>
      <c r="BO278" s="123">
        <f>BN278-BP278</f>
        <v>-4437.37574552684</v>
      </c>
      <c r="BP278" s="123">
        <f>BP279+BP285+BP291+BP297+BP303+BP309+BP315+BP321+BP327+BP333</f>
        <v>4437.37574552684</v>
      </c>
      <c r="BQ278" s="123">
        <f>VLOOKUP($C278,'1 预算编制表单'!$C:$BJ,36,FALSE)</f>
        <v>0</v>
      </c>
      <c r="BR278" s="123">
        <f>BQ278-BS278</f>
        <v>-4294.23459244533</v>
      </c>
      <c r="BS278" s="123">
        <f>BS279+BS285+BS291+BS297+BS303+BS309+BS315+BS321+BS327+BS333</f>
        <v>4294.23459244533</v>
      </c>
      <c r="BT278" s="123">
        <f>VLOOKUP($C278,'1 预算编制表单'!$C:$BJ,39,FALSE)</f>
        <v>0</v>
      </c>
      <c r="BU278" s="123">
        <f>BT278-BV278</f>
        <v>-4437.37574552684</v>
      </c>
      <c r="BV278" s="123">
        <f>BV279+BV285+BV291+BV297+BV303+BV309+BV315+BV321+BV327+BV333</f>
        <v>4437.37574552684</v>
      </c>
      <c r="BW278" s="123">
        <f>VLOOKUP($C278,'1 预算编制表单'!$C:$BJ,42,FALSE)</f>
        <v>0</v>
      </c>
      <c r="BX278" s="123">
        <f>BW278-BY278</f>
        <v>-4294.23459244533</v>
      </c>
      <c r="BY278" s="123">
        <f>BY279+BY285+BY291+BY297+BY303+BY309+BY315+BY321+BY327+BY333</f>
        <v>4294.23459244533</v>
      </c>
      <c r="BZ278" s="123">
        <f>VLOOKUP($C278,'1 预算编制表单'!$C:$BJ,45,FALSE)</f>
        <v>0</v>
      </c>
      <c r="CA278" s="123">
        <f>BZ278-CB278</f>
        <v>-4437.37574552684</v>
      </c>
      <c r="CB278" s="123">
        <f>CB279+CB285+CB291+CB297+CB303+CB309+CB315+CB321+CB327+CB333</f>
        <v>4437.37574552684</v>
      </c>
      <c r="CC278" s="123">
        <f>VLOOKUP($C278,'1 预算编制表单'!$C:$BJ,48,FALSE)</f>
        <v>0</v>
      </c>
      <c r="CD278" s="123">
        <f>CC278-CE278</f>
        <v>-4437.37574552684</v>
      </c>
      <c r="CE278" s="123">
        <f>CE279+CE285+CE291+CE297+CE303+CE309+CE315+CE321+CE327+CE333</f>
        <v>4437.37574552684</v>
      </c>
      <c r="CF278" s="123">
        <f>VLOOKUP($C278,'1 预算编制表单'!$C:$BJ,51,FALSE)</f>
        <v>0</v>
      </c>
      <c r="CG278" s="123">
        <f>CF278-CH278</f>
        <v>-4294.23459244533</v>
      </c>
      <c r="CH278" s="123">
        <f>CH279+CH285+CH291+CH297+CH303+CH309+CH315+CH321+CH327+CH333</f>
        <v>4294.23459244533</v>
      </c>
      <c r="CI278" s="123">
        <f>VLOOKUP($C278,'1 预算编制表单'!$C:$BJ,54,FALSE)</f>
        <v>0</v>
      </c>
      <c r="CJ278" s="123">
        <f>CI278-CK278</f>
        <v>-4437.37574552684</v>
      </c>
      <c r="CK278" s="123">
        <f>CK279+CK285+CK291+CK297+CK303+CK309+CK315+CK321+CK327+CK333</f>
        <v>4437.37574552684</v>
      </c>
      <c r="CL278" s="123">
        <f>VLOOKUP($C278,'1 预算编制表单'!$C:$BJ,57,FALSE)</f>
        <v>0</v>
      </c>
      <c r="CM278" s="123">
        <f>CL278-CN278</f>
        <v>-4294.23459244533</v>
      </c>
      <c r="CN278" s="123">
        <f>CN279+CN285+CN291+CN297+CN303+CN309+CN315+CN321+CN327+CN333</f>
        <v>4294.23459244533</v>
      </c>
      <c r="CO278" s="123">
        <f>VLOOKUP($C278,'1 预算编制表单'!$C:$BJ,60,FALSE)</f>
        <v>0</v>
      </c>
      <c r="CP278" s="123">
        <f>CO278-CQ278</f>
        <v>-4437.37574552684</v>
      </c>
      <c r="CQ278" s="123">
        <f>CQ279+CQ285+CQ291+CQ297+CQ303+CQ309+CQ315+CQ321+CQ327+CQ333</f>
        <v>4437.37574552684</v>
      </c>
    </row>
    <row r="279" ht="24" hidden="1" customHeight="1" outlineLevel="3" collapsed="1" spans="1:95">
      <c r="A279" s="124"/>
      <c r="B279" s="125" t="s">
        <v>792</v>
      </c>
      <c r="C279" s="126" t="s">
        <v>1238</v>
      </c>
      <c r="D279" s="124" t="s">
        <v>1239</v>
      </c>
      <c r="E279" s="125" t="s">
        <v>1240</v>
      </c>
      <c r="F279" s="125"/>
      <c r="G279" s="125" t="s">
        <v>936</v>
      </c>
      <c r="H279" s="127">
        <f>X279+AA279+AD279+AG279+AJ279+AM279+AP279+AS279+AV279+AY279+BB279+BE279</f>
        <v>0</v>
      </c>
      <c r="I279" s="127">
        <f>Y279+AB279+AE279+AH279+AK279+AN279+AQ279+AT279+AW279+AZ279+BC279+BF279</f>
        <v>-163227.009279826</v>
      </c>
      <c r="J279" s="127">
        <f t="shared" si="3131"/>
        <v>163227.009279826</v>
      </c>
      <c r="K279" s="127"/>
      <c r="L279" s="155"/>
      <c r="M279" s="155"/>
      <c r="N279" s="127"/>
      <c r="O279" s="127"/>
      <c r="P279" s="127"/>
      <c r="Q279" s="127"/>
      <c r="R279" s="127"/>
      <c r="S279" s="127"/>
      <c r="T279" s="127"/>
      <c r="U279" s="127"/>
      <c r="V279" s="127"/>
      <c r="W279" s="127"/>
      <c r="X279" s="127">
        <f>VLOOKUP($C279,'1 预算编制表单'!$C:$BJ,27,FALSE)</f>
        <v>0</v>
      </c>
      <c r="Y279" s="127">
        <f>X279-Z279</f>
        <v>-2051.6264597729</v>
      </c>
      <c r="Z279" s="127">
        <f>SUM(Z280:Z284)</f>
        <v>2051.6264597729</v>
      </c>
      <c r="AA279" s="127">
        <f>VLOOKUP($C279,'1 预算编制表单'!$C:$BJ,30,FALSE)</f>
        <v>0</v>
      </c>
      <c r="AB279" s="127">
        <f>AA279-AC279</f>
        <v>-6702.25885965976</v>
      </c>
      <c r="AC279" s="127">
        <f>SUM(AC280:AC284)</f>
        <v>6702.25885965976</v>
      </c>
      <c r="AD279" s="127">
        <f>VLOOKUP($C279,'1 预算编制表单'!$C:$BJ,33,FALSE)</f>
        <v>0</v>
      </c>
      <c r="AE279" s="127">
        <f>AD279-AF279</f>
        <v>-11661.4003684716</v>
      </c>
      <c r="AF279" s="127">
        <f>SUM(AF280:AF284)</f>
        <v>11661.4003684716</v>
      </c>
      <c r="AG279" s="127">
        <f>VLOOKUP($C279,'1 预算编制表单'!$C:$BJ,36,FALSE)</f>
        <v>0</v>
      </c>
      <c r="AH279" s="127">
        <f>AG279-AI279</f>
        <v>-15579.4607554824</v>
      </c>
      <c r="AI279" s="127">
        <f>SUM(AI280:AI284)</f>
        <v>15579.4607554824</v>
      </c>
      <c r="AJ279" s="127">
        <f>VLOOKUP($C279,'1 预算编制表单'!$C:$BJ,39,FALSE)</f>
        <v>0</v>
      </c>
      <c r="AK279" s="127">
        <f>AJ279-AL279</f>
        <v>-16098.7761139984</v>
      </c>
      <c r="AL279" s="127">
        <f>SUM(AL280:AL284)</f>
        <v>16098.7761139984</v>
      </c>
      <c r="AM279" s="127">
        <f>VLOOKUP($C279,'1 预算编制表单'!$C:$BJ,42,FALSE)</f>
        <v>0</v>
      </c>
      <c r="AN279" s="127">
        <f>AM279-AO279</f>
        <v>-15579.4607554824</v>
      </c>
      <c r="AO279" s="127">
        <f>SUM(AO280:AO284)</f>
        <v>15579.4607554824</v>
      </c>
      <c r="AP279" s="127">
        <f>VLOOKUP($C279,'1 预算编制表单'!$C:$BJ,45,FALSE)</f>
        <v>0</v>
      </c>
      <c r="AQ279" s="127">
        <f>AP279-AR279</f>
        <v>-16098.7761139984</v>
      </c>
      <c r="AR279" s="127">
        <f>SUM(AR280:AR284)</f>
        <v>16098.7761139984</v>
      </c>
      <c r="AS279" s="127">
        <f>VLOOKUP($C279,'1 预算编制表单'!$C:$BJ,48,FALSE)</f>
        <v>0</v>
      </c>
      <c r="AT279" s="127">
        <f>AS279-AU279</f>
        <v>-16098.7761139984</v>
      </c>
      <c r="AU279" s="127">
        <f>SUM(AU280:AU284)</f>
        <v>16098.7761139984</v>
      </c>
      <c r="AV279" s="127">
        <f>VLOOKUP($C279,'1 预算编制表单'!$C:$BJ,51,FALSE)</f>
        <v>0</v>
      </c>
      <c r="AW279" s="127">
        <f>AV279-AX279</f>
        <v>-15579.4607554824</v>
      </c>
      <c r="AX279" s="127">
        <f>SUM(AX280:AX284)</f>
        <v>15579.4607554824</v>
      </c>
      <c r="AY279" s="127">
        <f>VLOOKUP($C279,'1 预算编制表单'!$C:$BJ,54,FALSE)</f>
        <v>0</v>
      </c>
      <c r="AZ279" s="127">
        <f>AY279-BA279</f>
        <v>-16098.7761139984</v>
      </c>
      <c r="BA279" s="127">
        <f>SUM(BA280:BA284)</f>
        <v>16098.7761139984</v>
      </c>
      <c r="BB279" s="127">
        <f>VLOOKUP($C279,'1 预算编制表单'!$C:$BJ,57,FALSE)</f>
        <v>0</v>
      </c>
      <c r="BC279" s="127">
        <f>BB279-BD279</f>
        <v>-15579.4607554824</v>
      </c>
      <c r="BD279" s="127">
        <f>SUM(BD280:BD284)</f>
        <v>15579.4607554824</v>
      </c>
      <c r="BE279" s="127">
        <f>VLOOKUP($C279,'1 预算编制表单'!$C:$BJ,60,FALSE)</f>
        <v>0</v>
      </c>
      <c r="BF279" s="127">
        <f>BE279-BG279</f>
        <v>-16098.7761139984</v>
      </c>
      <c r="BG279" s="127">
        <f>SUM(BG280:BG284)</f>
        <v>16098.7761139984</v>
      </c>
      <c r="BH279" s="127">
        <f>VLOOKUP($C279,'1 预算编制表单'!$C:$BJ,27,FALSE)</f>
        <v>0</v>
      </c>
      <c r="BI279" s="127">
        <f>BH279-BJ279</f>
        <v>-4437.37574552684</v>
      </c>
      <c r="BJ279" s="127">
        <f>SUM(BJ280:BJ284)</f>
        <v>4437.37574552684</v>
      </c>
      <c r="BK279" s="127">
        <f>VLOOKUP($C279,'1 预算编制表单'!$C:$BJ,30,FALSE)</f>
        <v>0</v>
      </c>
      <c r="BL279" s="127">
        <f>BK279-BM279</f>
        <v>-4007.95228628231</v>
      </c>
      <c r="BM279" s="127">
        <f>SUM(BM280:BM284)</f>
        <v>4007.95228628231</v>
      </c>
      <c r="BN279" s="127">
        <f>VLOOKUP($C279,'1 预算编制表单'!$C:$BJ,33,FALSE)</f>
        <v>0</v>
      </c>
      <c r="BO279" s="127">
        <f>BN279-BP279</f>
        <v>-4437.37574552684</v>
      </c>
      <c r="BP279" s="127">
        <f>SUM(BP280:BP284)</f>
        <v>4437.37574552684</v>
      </c>
      <c r="BQ279" s="127">
        <f>VLOOKUP($C279,'1 预算编制表单'!$C:$BJ,36,FALSE)</f>
        <v>0</v>
      </c>
      <c r="BR279" s="127">
        <f>BQ279-BS279</f>
        <v>-4294.23459244533</v>
      </c>
      <c r="BS279" s="127">
        <f>SUM(BS280:BS284)</f>
        <v>4294.23459244533</v>
      </c>
      <c r="BT279" s="127">
        <f>VLOOKUP($C279,'1 预算编制表单'!$C:$BJ,39,FALSE)</f>
        <v>0</v>
      </c>
      <c r="BU279" s="127">
        <f>BT279-BV279</f>
        <v>-4437.37574552684</v>
      </c>
      <c r="BV279" s="127">
        <f>SUM(BV280:BV284)</f>
        <v>4437.37574552684</v>
      </c>
      <c r="BW279" s="127">
        <f>VLOOKUP($C279,'1 预算编制表单'!$C:$BJ,42,FALSE)</f>
        <v>0</v>
      </c>
      <c r="BX279" s="127">
        <f>BW279-BY279</f>
        <v>-4294.23459244533</v>
      </c>
      <c r="BY279" s="127">
        <f>SUM(BY280:BY284)</f>
        <v>4294.23459244533</v>
      </c>
      <c r="BZ279" s="127">
        <f>VLOOKUP($C279,'1 预算编制表单'!$C:$BJ,45,FALSE)</f>
        <v>0</v>
      </c>
      <c r="CA279" s="127">
        <f>BZ279-CB279</f>
        <v>-4437.37574552684</v>
      </c>
      <c r="CB279" s="127">
        <f>SUM(CB280:CB284)</f>
        <v>4437.37574552684</v>
      </c>
      <c r="CC279" s="127">
        <f>VLOOKUP($C279,'1 预算编制表单'!$C:$BJ,48,FALSE)</f>
        <v>0</v>
      </c>
      <c r="CD279" s="127">
        <f>CC279-CE279</f>
        <v>-4437.37574552684</v>
      </c>
      <c r="CE279" s="127">
        <f>SUM(CE280:CE284)</f>
        <v>4437.37574552684</v>
      </c>
      <c r="CF279" s="127">
        <f>VLOOKUP($C279,'1 预算编制表单'!$C:$BJ,51,FALSE)</f>
        <v>0</v>
      </c>
      <c r="CG279" s="127">
        <f>CF279-CH279</f>
        <v>-4294.23459244533</v>
      </c>
      <c r="CH279" s="127">
        <f>SUM(CH280:CH284)</f>
        <v>4294.23459244533</v>
      </c>
      <c r="CI279" s="127">
        <f>VLOOKUP($C279,'1 预算编制表单'!$C:$BJ,54,FALSE)</f>
        <v>0</v>
      </c>
      <c r="CJ279" s="127">
        <f>CI279-CK279</f>
        <v>-4437.37574552684</v>
      </c>
      <c r="CK279" s="127">
        <f>SUM(CK280:CK284)</f>
        <v>4437.37574552684</v>
      </c>
      <c r="CL279" s="127">
        <f>VLOOKUP($C279,'1 预算编制表单'!$C:$BJ,57,FALSE)</f>
        <v>0</v>
      </c>
      <c r="CM279" s="127">
        <f>CL279-CN279</f>
        <v>-4294.23459244533</v>
      </c>
      <c r="CN279" s="127">
        <f>SUM(CN280:CN284)</f>
        <v>4294.23459244533</v>
      </c>
      <c r="CO279" s="127">
        <f>VLOOKUP($C279,'1 预算编制表单'!$C:$BJ,60,FALSE)</f>
        <v>0</v>
      </c>
      <c r="CP279" s="127">
        <f>CO279-CQ279</f>
        <v>-4437.37574552684</v>
      </c>
      <c r="CQ279" s="127">
        <f>SUM(CQ280:CQ284)</f>
        <v>4437.37574552684</v>
      </c>
    </row>
    <row r="280" s="89" customFormat="1" ht="24" hidden="1" customHeight="1" outlineLevel="4" spans="1:95">
      <c r="A280" s="128"/>
      <c r="B280" s="129"/>
      <c r="C280" s="130"/>
      <c r="D280" s="128"/>
      <c r="E280" s="129"/>
      <c r="F280" s="129"/>
      <c r="G280" s="129"/>
      <c r="H280" s="131"/>
      <c r="I280" s="131"/>
      <c r="J280" s="131">
        <f t="shared" si="3131"/>
        <v>12000</v>
      </c>
      <c r="K280" s="131">
        <v>1</v>
      </c>
      <c r="L280" s="156" t="s">
        <v>2822</v>
      </c>
      <c r="M280" s="157" t="str">
        <f>IFERROR(VLOOKUP($L280,'2-2 引出数据_合同数据仓库'!$B$5:$BP$200,3,FALSE),0)</f>
        <v/>
      </c>
      <c r="N280" s="131"/>
      <c r="O280" s="157">
        <f>IFERROR(VLOOKUP((LEFT(VLOOKUP($L280,'2-2 引出数据_合同数据仓库'!$B$5:$BP$200,64,FALSE),15)&amp;(RIGHT(VLOOKUP($L280,'2-2 引出数据_合同数据仓库'!$B$5:$BP$200,64,FALSE),4)+1)),'2-2 引出数据_合同数据仓库'!$B$5:$BP$200,3,FALSE),0)</f>
        <v>0</v>
      </c>
      <c r="P280" s="131"/>
      <c r="Q280" s="131">
        <f>IFERROR(VLOOKUP($L280,'2-2 引出数据_合同数据仓库'!$B$5:$BP$200,28,FALSE),0)</f>
        <v>0</v>
      </c>
      <c r="R280" s="131" t="str">
        <f>IFERROR(VLOOKUP($L280,'2-2 引出数据_合同数据仓库'!$B$5:$BP$200,29,FALSE),0)</f>
        <v>2025-01-01</v>
      </c>
      <c r="S280" s="131" t="str">
        <f>IFERROR(VLOOKUP($L280,'2-2 引出数据_合同数据仓库'!$B$5:$BP$200,4,FALSE),0)</f>
        <v>2025-12-31</v>
      </c>
      <c r="T280" s="131"/>
      <c r="U280" s="131">
        <f>IFERROR(VLOOKUP($L280,'2-2 引出数据_合同数据仓库'!$B$5:$BP$200,15,FALSE),0)</f>
        <v>12000</v>
      </c>
      <c r="V280" s="131">
        <f t="shared" ref="V280:V283" si="3277">U280/(S280-R280+1)*365</f>
        <v>12000</v>
      </c>
      <c r="W280" s="131"/>
      <c r="X280" s="163">
        <v>45658</v>
      </c>
      <c r="Y280" s="163">
        <f t="shared" ref="Y280:Y283" si="3278">X280+30</f>
        <v>45688</v>
      </c>
      <c r="Z280" s="167">
        <f t="shared" ref="Z280:Z283" si="3279">IFERROR(IF(($R280-Y280)&gt;=0,0,IF(($S280-X280)&lt;0,0,IF(AND(($S280-Y280)&gt;0,(X280-$R280)&gt;0),$V280/365*(Y280-X280+1),IF(AND(($S280-Y280)&lt;=0,(X280-$R280)&gt;0),$V280/365*($S280-X280+1),$V280/365*(Y280-$R280+1))))),0)</f>
        <v>1019.17808219178</v>
      </c>
      <c r="AA280" s="163">
        <f t="shared" ref="AA280:AA283" si="3280">Y280+1</f>
        <v>45689</v>
      </c>
      <c r="AB280" s="163">
        <f t="shared" ref="AB280:AB283" si="3281">AA280+27</f>
        <v>45716</v>
      </c>
      <c r="AC280" s="167">
        <f t="shared" ref="AC280:AC283" si="3282">IFERROR(IF(($R280-AB280)&gt;=0,0,IF(($S280-AA280)&lt;0,0,IF(AND(($S280-AB280)&gt;0,(AA280-$R280)&gt;0),$V280/365*(AB280-AA280+1),IF(AND(($S280-AB280)&lt;=0,(AA280-$R280)&gt;0),$V280/365*($S280-AA280+1),$V280/365*(AB280-$R280+1))))),0)</f>
        <v>920.54794520548</v>
      </c>
      <c r="AD280" s="163">
        <f t="shared" ref="AD280:AD283" si="3283">AB280+1</f>
        <v>45717</v>
      </c>
      <c r="AE280" s="163">
        <f t="shared" ref="AE280:AE283" si="3284">AD280+30</f>
        <v>45747</v>
      </c>
      <c r="AF280" s="167">
        <f t="shared" ref="AF280:AF283" si="3285">IFERROR(IF(($R280-AE280)&gt;=0,0,IF(($S280-AD280)&lt;0,0,IF(AND(($S280-AE280)&gt;0,(AD280-$R280)&gt;0),$V280/365*(AE280-AD280+1),IF(AND(($S280-AE280)&lt;=0,(AD280-$R280)&gt;0),$V280/365*($S280-AD280+1),$V280/365*(AE280-$R280+1))))),0)</f>
        <v>1019.17808219178</v>
      </c>
      <c r="AG280" s="163">
        <f t="shared" ref="AG280:AG283" si="3286">AE280+1</f>
        <v>45748</v>
      </c>
      <c r="AH280" s="163">
        <f t="shared" ref="AH280:AH283" si="3287">AG280+29</f>
        <v>45777</v>
      </c>
      <c r="AI280" s="167">
        <f t="shared" ref="AI280:AI283" si="3288">IFERROR(IF(($R280-AH280)&gt;=0,0,IF(($S280-AG280)&lt;0,0,IF(AND(($S280-AH280)&gt;0,(AG280-$R280)&gt;0),$V280/365*(AH280-AG280+1),IF(AND(($S280-AH280)&lt;=0,(AG280-$R280)&gt;0),$V280/365*($S280-AG280+1),$V280/365*(AH280-$R280+1))))),0)</f>
        <v>986.301369863014</v>
      </c>
      <c r="AJ280" s="163">
        <f t="shared" ref="AJ280:AJ283" si="3289">AH280+1</f>
        <v>45778</v>
      </c>
      <c r="AK280" s="163">
        <f t="shared" ref="AK280:AK283" si="3290">AJ280+30</f>
        <v>45808</v>
      </c>
      <c r="AL280" s="167">
        <f t="shared" ref="AL280:AL283" si="3291">IFERROR(IF(($R280-AK280)&gt;=0,0,IF(($S280-AJ280)&lt;0,0,IF(AND(($S280-AK280)&gt;0,(AJ280-$R280)&gt;0),$V280/365*(AK280-AJ280+1),IF(AND(($S280-AK280)&lt;=0,(AJ280-$R280)&gt;0),$V280/365*($S280-AJ280+1),$V280/365*(AK280-$R280+1))))),0)</f>
        <v>1019.17808219178</v>
      </c>
      <c r="AM280" s="163">
        <f t="shared" ref="AM280:AM283" si="3292">AK280+1</f>
        <v>45809</v>
      </c>
      <c r="AN280" s="163">
        <f t="shared" ref="AN280:AN283" si="3293">AM280+29</f>
        <v>45838</v>
      </c>
      <c r="AO280" s="167">
        <f t="shared" ref="AO280:AO283" si="3294">IFERROR(IF(($R280-AN280)&gt;=0,0,IF(($S280-AM280)&lt;0,0,IF(AND(($S280-AN280)&gt;0,(AM280-$R280)&gt;0),$V280/365*(AN280-AM280+1),IF(AND(($S280-AN280)&lt;=0,(AM280-$R280)&gt;0),$V280/365*($S280-AM280+1),$V280/365*(AN280-$R280+1))))),0)</f>
        <v>986.301369863014</v>
      </c>
      <c r="AP280" s="163">
        <f t="shared" ref="AP280:AP283" si="3295">AN280+1</f>
        <v>45839</v>
      </c>
      <c r="AQ280" s="163">
        <f t="shared" ref="AQ280:AQ283" si="3296">AP280+30</f>
        <v>45869</v>
      </c>
      <c r="AR280" s="167">
        <f t="shared" ref="AR280:AR283" si="3297">IFERROR(IF(($R280-AQ280)&gt;=0,0,IF(($S280-AP280)&lt;0,0,IF(AND(($S280-AQ280)&gt;0,(AP280-$R280)&gt;0),$V280/365*(AQ280-AP280+1),IF(AND(($S280-AQ280)&lt;=0,(AP280-$R280)&gt;0),$V280/365*($S280-AP280+1),$V280/365*(AQ280-$R280+1))))),0)</f>
        <v>1019.17808219178</v>
      </c>
      <c r="AS280" s="163">
        <f t="shared" ref="AS280:AS283" si="3298">AQ280+1</f>
        <v>45870</v>
      </c>
      <c r="AT280" s="163">
        <f t="shared" ref="AT280:AT283" si="3299">AS280+30</f>
        <v>45900</v>
      </c>
      <c r="AU280" s="167">
        <f t="shared" ref="AU280:AU283" si="3300">IFERROR(IF(($R280-AT280)&gt;=0,0,IF(($S280-AS280)&lt;0,0,IF(AND(($S280-AT280)&gt;0,(AS280-$R280)&gt;0),$V280/365*(AT280-AS280+1),IF(AND(($S280-AT280)&lt;=0,(AS280-$R280)&gt;0),$V280/365*($S280-AS280+1),$V280/365*(AT280-$R280+1))))),0)</f>
        <v>1019.17808219178</v>
      </c>
      <c r="AV280" s="163">
        <f t="shared" ref="AV280:AV283" si="3301">AT280+1</f>
        <v>45901</v>
      </c>
      <c r="AW280" s="163">
        <f t="shared" ref="AW280:AW283" si="3302">AV280+29</f>
        <v>45930</v>
      </c>
      <c r="AX280" s="167">
        <f t="shared" ref="AX280:AX283" si="3303">IFERROR(IF(($R280-AW280)&gt;=0,0,IF(($S280-AV280)&lt;0,0,IF(AND(($S280-AW280)&gt;0,(AV280-$R280)&gt;0),$V280/365*(AW280-AV280+1),IF(AND(($S280-AW280)&lt;=0,(AV280-$R280)&gt;0),$V280/365*($S280-AV280+1),$V280/365*(AW280-$R280+1))))),0)</f>
        <v>986.301369863014</v>
      </c>
      <c r="AY280" s="163">
        <f t="shared" ref="AY280:AY283" si="3304">AW280+1</f>
        <v>45931</v>
      </c>
      <c r="AZ280" s="163">
        <f t="shared" ref="AZ280:AZ283" si="3305">AY280+30</f>
        <v>45961</v>
      </c>
      <c r="BA280" s="167">
        <f t="shared" ref="BA280:BA283" si="3306">IFERROR(IF(($R280-AZ280)&gt;=0,0,IF(($S280-AY280)&lt;0,0,IF(AND(($S280-AZ280)&gt;0,(AY280-$R280)&gt;0),$V280/365*(AZ280-AY280+1),IF(AND(($S280-AZ280)&lt;=0,(AY280-$R280)&gt;0),$V280/365*($S280-AY280+1),$V280/365*(AZ280-$R280+1))))),0)</f>
        <v>1019.17808219178</v>
      </c>
      <c r="BB280" s="163">
        <f t="shared" ref="BB280:BB283" si="3307">AZ280+1</f>
        <v>45962</v>
      </c>
      <c r="BC280" s="163">
        <f t="shared" ref="BC280:BC283" si="3308">BB280+29</f>
        <v>45991</v>
      </c>
      <c r="BD280" s="167">
        <f t="shared" ref="BD280:BD283" si="3309">IFERROR(IF(($R280-BC280)&gt;=0,0,IF(($S280-BB280)&lt;0,0,IF(AND(($S280-BC280)&gt;0,(BB280-$R280)&gt;0),$V280/365*(BC280-BB280+1),IF(AND(($S280-BC280)&lt;=0,(BB280-$R280)&gt;0),$V280/365*($S280-BB280+1),$V280/365*(BC280-$R280+1))))),0)</f>
        <v>986.301369863014</v>
      </c>
      <c r="BE280" s="163">
        <f t="shared" ref="BE280:BE283" si="3310">BC280+1</f>
        <v>45992</v>
      </c>
      <c r="BF280" s="163">
        <f t="shared" ref="BF280:BF283" si="3311">BE280+30</f>
        <v>46022</v>
      </c>
      <c r="BG280" s="167">
        <f t="shared" ref="BG280:BG283" si="3312">IFERROR(IF(($R280-BF280)&gt;=0,0,IF(($S280-BE280)&lt;0,0,IF(AND(($S280-BF280)&gt;0,(BE280-$R280)&gt;0),$V280/365*(BF280-BE280+1),IF(AND(($S280-BF280)&lt;=0,(BE280-$R280)&gt;0),$V280/365*($S280-BE280+1),$V280/365*(BF280-$R280+1))))),0)</f>
        <v>1019.17808219178</v>
      </c>
      <c r="BH280" s="163">
        <v>46023</v>
      </c>
      <c r="BI280" s="163">
        <f t="shared" ref="BI280:BI283" si="3313">BH280+30</f>
        <v>46053</v>
      </c>
      <c r="BJ280" s="167">
        <f t="shared" ref="BJ280:BJ283" si="3314">IFERROR(IF(($R280-BI280)&gt;=0,0,IF(($S280-BH280)&lt;0,0,IF(AND(($S280-BI280)&gt;0,(BH280-$R280)&gt;0),$V280/365*(BI280-BH280+1),IF(AND(($S280-BI280)&lt;=0,(BH280-$R280)&gt;0),$V280/365*($S280-BH280+1),$V280/365*(BI280-$R280+1))))),0)</f>
        <v>0</v>
      </c>
      <c r="BK280" s="163">
        <f t="shared" ref="BK280:BK283" si="3315">BI280+1</f>
        <v>46054</v>
      </c>
      <c r="BL280" s="163">
        <f t="shared" ref="BL280:BL283" si="3316">BK280+27</f>
        <v>46081</v>
      </c>
      <c r="BM280" s="167">
        <f t="shared" ref="BM280:BM283" si="3317">IFERROR(IF(($R280-BL280)&gt;=0,0,IF(($S280-BK280)&lt;0,0,IF(AND(($S280-BL280)&gt;0,(BK280-$R280)&gt;0),$V280/365*(BL280-BK280+1),IF(AND(($S280-BL280)&lt;=0,(BK280-$R280)&gt;0),$V280/365*($S280-BK280+1),$V280/365*(BL280-$R280+1))))),0)</f>
        <v>0</v>
      </c>
      <c r="BN280" s="163">
        <f t="shared" ref="BN280:BN283" si="3318">BL280+1</f>
        <v>46082</v>
      </c>
      <c r="BO280" s="163">
        <f t="shared" ref="BO280:BO283" si="3319">BN280+30</f>
        <v>46112</v>
      </c>
      <c r="BP280" s="167">
        <f t="shared" ref="BP280:BP283" si="3320">IFERROR(IF(($R280-BO280)&gt;=0,0,IF(($S280-BN280)&lt;0,0,IF(AND(($S280-BO280)&gt;0,(BN280-$R280)&gt;0),$V280/365*(BO280-BN280+1),IF(AND(($S280-BO280)&lt;=0,(BN280-$R280)&gt;0),$V280/365*($S280-BN280+1),$V280/365*(BO280-$R280+1))))),0)</f>
        <v>0</v>
      </c>
      <c r="BQ280" s="163">
        <f t="shared" ref="BQ280:BQ283" si="3321">BO280+1</f>
        <v>46113</v>
      </c>
      <c r="BR280" s="163">
        <f t="shared" ref="BR280:BR283" si="3322">BQ280+29</f>
        <v>46142</v>
      </c>
      <c r="BS280" s="167">
        <f t="shared" ref="BS280:BS283" si="3323">IFERROR(IF(($R280-BR280)&gt;=0,0,IF(($S280-BQ280)&lt;0,0,IF(AND(($S280-BR280)&gt;0,(BQ280-$R280)&gt;0),$V280/365*(BR280-BQ280+1),IF(AND(($S280-BR280)&lt;=0,(BQ280-$R280)&gt;0),$V280/365*($S280-BQ280+1),$V280/365*(BR280-$R280+1))))),0)</f>
        <v>0</v>
      </c>
      <c r="BT280" s="163">
        <f t="shared" ref="BT280:BT283" si="3324">BR280+1</f>
        <v>46143</v>
      </c>
      <c r="BU280" s="163">
        <f t="shared" ref="BU280:BU283" si="3325">BT280+30</f>
        <v>46173</v>
      </c>
      <c r="BV280" s="167">
        <f t="shared" ref="BV280:BV283" si="3326">IFERROR(IF(($R280-BU280)&gt;=0,0,IF(($S280-BT280)&lt;0,0,IF(AND(($S280-BU280)&gt;0,(BT280-$R280)&gt;0),$V280/365*(BU280-BT280+1),IF(AND(($S280-BU280)&lt;=0,(BT280-$R280)&gt;0),$V280/365*($S280-BT280+1),$V280/365*(BU280-$R280+1))))),0)</f>
        <v>0</v>
      </c>
      <c r="BW280" s="163">
        <f t="shared" ref="BW280:BW283" si="3327">BU280+1</f>
        <v>46174</v>
      </c>
      <c r="BX280" s="163">
        <f t="shared" ref="BX280:BX283" si="3328">BW280+29</f>
        <v>46203</v>
      </c>
      <c r="BY280" s="167">
        <f t="shared" ref="BY280:BY283" si="3329">IFERROR(IF(($R280-BX280)&gt;=0,0,IF(($S280-BW280)&lt;0,0,IF(AND(($S280-BX280)&gt;0,(BW280-$R280)&gt;0),$V280/365*(BX280-BW280+1),IF(AND(($S280-BX280)&lt;=0,(BW280-$R280)&gt;0),$V280/365*($S280-BW280+1),$V280/365*(BX280-$R280+1))))),0)</f>
        <v>0</v>
      </c>
      <c r="BZ280" s="163">
        <f t="shared" ref="BZ280:BZ283" si="3330">BX280+1</f>
        <v>46204</v>
      </c>
      <c r="CA280" s="163">
        <f t="shared" ref="CA280:CA283" si="3331">BZ280+30</f>
        <v>46234</v>
      </c>
      <c r="CB280" s="167">
        <f t="shared" ref="CB280:CB283" si="3332">IFERROR(IF(($R280-CA280)&gt;=0,0,IF(($S280-BZ280)&lt;0,0,IF(AND(($S280-CA280)&gt;0,(BZ280-$R280)&gt;0),$V280/365*(CA280-BZ280+1),IF(AND(($S280-CA280)&lt;=0,(BZ280-$R280)&gt;0),$V280/365*($S280-BZ280+1),$V280/365*(CA280-$R280+1))))),0)</f>
        <v>0</v>
      </c>
      <c r="CC280" s="163">
        <f t="shared" ref="CC280:CC283" si="3333">CA280+1</f>
        <v>46235</v>
      </c>
      <c r="CD280" s="163">
        <f t="shared" ref="CD280:CD283" si="3334">CC280+30</f>
        <v>46265</v>
      </c>
      <c r="CE280" s="167">
        <f t="shared" ref="CE280:CE283" si="3335">IFERROR(IF(($R280-CD280)&gt;=0,0,IF(($S280-CC280)&lt;0,0,IF(AND(($S280-CD280)&gt;0,(CC280-$R280)&gt;0),$V280/365*(CD280-CC280+1),IF(AND(($S280-CD280)&lt;=0,(CC280-$R280)&gt;0),$V280/365*($S280-CC280+1),$V280/365*(CD280-$R280+1))))),0)</f>
        <v>0</v>
      </c>
      <c r="CF280" s="163">
        <f t="shared" ref="CF280:CF283" si="3336">CD280+1</f>
        <v>46266</v>
      </c>
      <c r="CG280" s="163">
        <f t="shared" ref="CG280:CG283" si="3337">CF280+29</f>
        <v>46295</v>
      </c>
      <c r="CH280" s="167">
        <f t="shared" ref="CH280:CH283" si="3338">IFERROR(IF(($R280-CG280)&gt;=0,0,IF(($S280-CF280)&lt;0,0,IF(AND(($S280-CG280)&gt;0,(CF280-$R280)&gt;0),$V280/365*(CG280-CF280+1),IF(AND(($S280-CG280)&lt;=0,(CF280-$R280)&gt;0),$V280/365*($S280-CF280+1),$V280/365*(CG280-$R280+1))))),0)</f>
        <v>0</v>
      </c>
      <c r="CI280" s="163">
        <f t="shared" ref="CI280:CI283" si="3339">CG280+1</f>
        <v>46296</v>
      </c>
      <c r="CJ280" s="163">
        <f t="shared" ref="CJ280:CJ283" si="3340">CI280+30</f>
        <v>46326</v>
      </c>
      <c r="CK280" s="167">
        <f t="shared" ref="CK280:CK283" si="3341">IFERROR(IF(($R280-CJ280)&gt;=0,0,IF(($S280-CI280)&lt;0,0,IF(AND(($S280-CJ280)&gt;0,(CI280-$R280)&gt;0),$V280/365*(CJ280-CI280+1),IF(AND(($S280-CJ280)&lt;=0,(CI280-$R280)&gt;0),$V280/365*($S280-CI280+1),$V280/365*(CJ280-$R280+1))))),0)</f>
        <v>0</v>
      </c>
      <c r="CL280" s="163">
        <f t="shared" ref="CL280:CL283" si="3342">CJ280+1</f>
        <v>46327</v>
      </c>
      <c r="CM280" s="163">
        <f t="shared" ref="CM280:CM283" si="3343">CL280+29</f>
        <v>46356</v>
      </c>
      <c r="CN280" s="167">
        <f t="shared" ref="CN280:CN283" si="3344">IFERROR(IF(($R280-CM280)&gt;=0,0,IF(($S280-CL280)&lt;0,0,IF(AND(($S280-CM280)&gt;0,(CL280-$R280)&gt;0),$V280/365*(CM280-CL280+1),IF(AND(($S280-CM280)&lt;=0,(CL280-$R280)&gt;0),$V280/365*($S280-CL280+1),$V280/365*(CM280-$R280+1))))),0)</f>
        <v>0</v>
      </c>
      <c r="CO280" s="163">
        <f t="shared" ref="CO280:CO283" si="3345">CM280+1</f>
        <v>46357</v>
      </c>
      <c r="CP280" s="163">
        <f t="shared" ref="CP280:CP283" si="3346">CO280+30</f>
        <v>46387</v>
      </c>
      <c r="CQ280" s="167">
        <f t="shared" ref="CQ280:CQ283" si="3347">IFERROR(IF(($R280-CP280)&gt;=0,0,IF(($S280-CO280)&lt;0,0,IF(AND(($S280-CP280)&gt;0,(CO280-$R280)&gt;0),$V280/365*(CP280-CO280+1),IF(AND(($S280-CP280)&lt;=0,(CO280-$R280)&gt;0),$V280/365*($S280-CO280+1),$V280/365*(CP280-$R280+1))))),0)</f>
        <v>0</v>
      </c>
    </row>
    <row r="281" s="89" customFormat="1" ht="24" hidden="1" customHeight="1" outlineLevel="4" spans="1:95">
      <c r="A281" s="128"/>
      <c r="B281" s="129"/>
      <c r="C281" s="130"/>
      <c r="D281" s="128"/>
      <c r="E281" s="129"/>
      <c r="F281" s="129"/>
      <c r="G281" s="129"/>
      <c r="H281" s="131"/>
      <c r="I281" s="131"/>
      <c r="J281" s="131">
        <f t="shared" si="3131"/>
        <v>39363.8170974155</v>
      </c>
      <c r="K281" s="131">
        <f t="shared" ref="K281:K283" si="3348">K280+1</f>
        <v>2</v>
      </c>
      <c r="L281" s="156" t="s">
        <v>2823</v>
      </c>
      <c r="M281" s="157" t="str">
        <f>IFERROR(VLOOKUP($L281,'2-2 引出数据_合同数据仓库'!$B$5:$BP$200,3,FALSE),0)</f>
        <v>深圳非住二片区中海油大厦停车场管理系统维护合同</v>
      </c>
      <c r="N281" s="131"/>
      <c r="O281" s="157">
        <f>IFERROR(VLOOKUP((LEFT(VLOOKUP($L281,'2-2 引出数据_合同数据仓库'!$B$5:$BP$200,64,FALSE),15)&amp;(RIGHT(VLOOKUP($L281,'2-2 引出数据_合同数据仓库'!$B$5:$BP$200,64,FALSE),4)+1)),'2-2 引出数据_合同数据仓库'!$B$5:$BP$200,3,FALSE),0)</f>
        <v>0</v>
      </c>
      <c r="P281" s="131"/>
      <c r="Q281" s="131" t="str">
        <f>IFERROR(VLOOKUP($L281,'2-2 引出数据_合同数据仓库'!$B$5:$BP$200,28,FALSE),0)</f>
        <v>2025-03-31</v>
      </c>
      <c r="R281" s="131" t="str">
        <f>IFERROR(VLOOKUP($L281,'2-2 引出数据_合同数据仓库'!$B$5:$BP$200,29,FALSE),0)</f>
        <v>2025-03-31</v>
      </c>
      <c r="S281" s="131" t="str">
        <f>IFERROR(VLOOKUP($L281,'2-2 引出数据_合同数据仓库'!$B$5:$BP$200,4,FALSE),0)</f>
        <v>2027-12-31</v>
      </c>
      <c r="T281" s="131"/>
      <c r="U281" s="131">
        <f>IFERROR(VLOOKUP($L281,'2-2 引出数据_合同数据仓库'!$B$5:$BP$200,15,FALSE),0)</f>
        <v>144000</v>
      </c>
      <c r="V281" s="131">
        <f t="shared" si="3277"/>
        <v>52246.5208747515</v>
      </c>
      <c r="W281" s="131"/>
      <c r="X281" s="163">
        <v>45658</v>
      </c>
      <c r="Y281" s="163">
        <f t="shared" si="3278"/>
        <v>45688</v>
      </c>
      <c r="Z281" s="167">
        <f t="shared" si="3279"/>
        <v>0</v>
      </c>
      <c r="AA281" s="163">
        <f t="shared" si="3280"/>
        <v>45689</v>
      </c>
      <c r="AB281" s="163">
        <f t="shared" si="3281"/>
        <v>45716</v>
      </c>
      <c r="AC281" s="167">
        <f t="shared" si="3282"/>
        <v>0</v>
      </c>
      <c r="AD281" s="163">
        <f t="shared" si="3283"/>
        <v>45717</v>
      </c>
      <c r="AE281" s="163">
        <f t="shared" si="3284"/>
        <v>45747</v>
      </c>
      <c r="AF281" s="167">
        <f t="shared" si="3285"/>
        <v>0</v>
      </c>
      <c r="AG281" s="163">
        <f t="shared" si="3286"/>
        <v>45748</v>
      </c>
      <c r="AH281" s="163">
        <f t="shared" si="3287"/>
        <v>45777</v>
      </c>
      <c r="AI281" s="167">
        <f t="shared" si="3288"/>
        <v>4294.23459244533</v>
      </c>
      <c r="AJ281" s="163">
        <f t="shared" si="3289"/>
        <v>45778</v>
      </c>
      <c r="AK281" s="163">
        <f t="shared" si="3290"/>
        <v>45808</v>
      </c>
      <c r="AL281" s="167">
        <f t="shared" si="3291"/>
        <v>4437.37574552684</v>
      </c>
      <c r="AM281" s="163">
        <f t="shared" si="3292"/>
        <v>45809</v>
      </c>
      <c r="AN281" s="163">
        <f t="shared" si="3293"/>
        <v>45838</v>
      </c>
      <c r="AO281" s="167">
        <f t="shared" si="3294"/>
        <v>4294.23459244533</v>
      </c>
      <c r="AP281" s="163">
        <f t="shared" si="3295"/>
        <v>45839</v>
      </c>
      <c r="AQ281" s="163">
        <f t="shared" si="3296"/>
        <v>45869</v>
      </c>
      <c r="AR281" s="167">
        <f t="shared" si="3297"/>
        <v>4437.37574552684</v>
      </c>
      <c r="AS281" s="163">
        <f t="shared" si="3298"/>
        <v>45870</v>
      </c>
      <c r="AT281" s="163">
        <f t="shared" si="3299"/>
        <v>45900</v>
      </c>
      <c r="AU281" s="167">
        <f t="shared" si="3300"/>
        <v>4437.37574552684</v>
      </c>
      <c r="AV281" s="163">
        <f t="shared" si="3301"/>
        <v>45901</v>
      </c>
      <c r="AW281" s="163">
        <f t="shared" si="3302"/>
        <v>45930</v>
      </c>
      <c r="AX281" s="167">
        <f t="shared" si="3303"/>
        <v>4294.23459244533</v>
      </c>
      <c r="AY281" s="163">
        <f t="shared" si="3304"/>
        <v>45931</v>
      </c>
      <c r="AZ281" s="163">
        <f t="shared" si="3305"/>
        <v>45961</v>
      </c>
      <c r="BA281" s="167">
        <f t="shared" si="3306"/>
        <v>4437.37574552684</v>
      </c>
      <c r="BB281" s="163">
        <f t="shared" si="3307"/>
        <v>45962</v>
      </c>
      <c r="BC281" s="163">
        <f t="shared" si="3308"/>
        <v>45991</v>
      </c>
      <c r="BD281" s="167">
        <f t="shared" si="3309"/>
        <v>4294.23459244533</v>
      </c>
      <c r="BE281" s="163">
        <f t="shared" si="3310"/>
        <v>45992</v>
      </c>
      <c r="BF281" s="163">
        <f t="shared" si="3311"/>
        <v>46022</v>
      </c>
      <c r="BG281" s="167">
        <f t="shared" si="3312"/>
        <v>4437.37574552684</v>
      </c>
      <c r="BH281" s="163">
        <v>46023</v>
      </c>
      <c r="BI281" s="163">
        <f t="shared" si="3313"/>
        <v>46053</v>
      </c>
      <c r="BJ281" s="167">
        <f t="shared" si="3314"/>
        <v>4437.37574552684</v>
      </c>
      <c r="BK281" s="163">
        <f t="shared" si="3315"/>
        <v>46054</v>
      </c>
      <c r="BL281" s="163">
        <f t="shared" si="3316"/>
        <v>46081</v>
      </c>
      <c r="BM281" s="167">
        <f t="shared" si="3317"/>
        <v>4007.95228628231</v>
      </c>
      <c r="BN281" s="163">
        <f t="shared" si="3318"/>
        <v>46082</v>
      </c>
      <c r="BO281" s="163">
        <f t="shared" si="3319"/>
        <v>46112</v>
      </c>
      <c r="BP281" s="167">
        <f t="shared" si="3320"/>
        <v>4437.37574552684</v>
      </c>
      <c r="BQ281" s="163">
        <f t="shared" si="3321"/>
        <v>46113</v>
      </c>
      <c r="BR281" s="163">
        <f t="shared" si="3322"/>
        <v>46142</v>
      </c>
      <c r="BS281" s="167">
        <f t="shared" si="3323"/>
        <v>4294.23459244533</v>
      </c>
      <c r="BT281" s="163">
        <f t="shared" si="3324"/>
        <v>46143</v>
      </c>
      <c r="BU281" s="163">
        <f t="shared" si="3325"/>
        <v>46173</v>
      </c>
      <c r="BV281" s="167">
        <f t="shared" si="3326"/>
        <v>4437.37574552684</v>
      </c>
      <c r="BW281" s="163">
        <f t="shared" si="3327"/>
        <v>46174</v>
      </c>
      <c r="BX281" s="163">
        <f t="shared" si="3328"/>
        <v>46203</v>
      </c>
      <c r="BY281" s="167">
        <f t="shared" si="3329"/>
        <v>4294.23459244533</v>
      </c>
      <c r="BZ281" s="163">
        <f t="shared" si="3330"/>
        <v>46204</v>
      </c>
      <c r="CA281" s="163">
        <f t="shared" si="3331"/>
        <v>46234</v>
      </c>
      <c r="CB281" s="167">
        <f t="shared" si="3332"/>
        <v>4437.37574552684</v>
      </c>
      <c r="CC281" s="163">
        <f t="shared" si="3333"/>
        <v>46235</v>
      </c>
      <c r="CD281" s="163">
        <f t="shared" si="3334"/>
        <v>46265</v>
      </c>
      <c r="CE281" s="167">
        <f t="shared" si="3335"/>
        <v>4437.37574552684</v>
      </c>
      <c r="CF281" s="163">
        <f t="shared" si="3336"/>
        <v>46266</v>
      </c>
      <c r="CG281" s="163">
        <f t="shared" si="3337"/>
        <v>46295</v>
      </c>
      <c r="CH281" s="167">
        <f t="shared" si="3338"/>
        <v>4294.23459244533</v>
      </c>
      <c r="CI281" s="163">
        <f t="shared" si="3339"/>
        <v>46296</v>
      </c>
      <c r="CJ281" s="163">
        <f t="shared" si="3340"/>
        <v>46326</v>
      </c>
      <c r="CK281" s="167">
        <f t="shared" si="3341"/>
        <v>4437.37574552684</v>
      </c>
      <c r="CL281" s="163">
        <f t="shared" si="3342"/>
        <v>46327</v>
      </c>
      <c r="CM281" s="163">
        <f t="shared" si="3343"/>
        <v>46356</v>
      </c>
      <c r="CN281" s="167">
        <f t="shared" si="3344"/>
        <v>4294.23459244533</v>
      </c>
      <c r="CO281" s="163">
        <f t="shared" si="3345"/>
        <v>46357</v>
      </c>
      <c r="CP281" s="163">
        <f t="shared" si="3346"/>
        <v>46387</v>
      </c>
      <c r="CQ281" s="167">
        <f t="shared" si="3347"/>
        <v>4437.37574552684</v>
      </c>
    </row>
    <row r="282" s="89" customFormat="1" ht="24" hidden="1" customHeight="1" outlineLevel="4" spans="1:95">
      <c r="A282" s="128"/>
      <c r="B282" s="129"/>
      <c r="C282" s="130"/>
      <c r="D282" s="128"/>
      <c r="E282" s="129"/>
      <c r="F282" s="129"/>
      <c r="G282" s="129"/>
      <c r="H282" s="131"/>
      <c r="I282" s="131"/>
      <c r="J282" s="131">
        <f t="shared" si="3131"/>
        <v>41863.1921824104</v>
      </c>
      <c r="K282" s="131">
        <f t="shared" si="3348"/>
        <v>3</v>
      </c>
      <c r="L282" s="156" t="s">
        <v>2824</v>
      </c>
      <c r="M282" s="157" t="str">
        <f>IFERROR(VLOOKUP($L282,'2-2 引出数据_合同数据仓库'!$B$5:$BP$200,3,FALSE),0)</f>
        <v>深圳非住二片区中海油大厦UPS电源维保合同</v>
      </c>
      <c r="N282" s="131"/>
      <c r="O282" s="157">
        <f>IFERROR(VLOOKUP((LEFT(VLOOKUP($L282,'2-2 引出数据_合同数据仓库'!$B$5:$BP$200,64,FALSE),15)&amp;(RIGHT(VLOOKUP($L282,'2-2 引出数据_合同数据仓库'!$B$5:$BP$200,64,FALSE),4)+1)),'2-2 引出数据_合同数据仓库'!$B$5:$BP$200,3,FALSE),0)</f>
        <v>0</v>
      </c>
      <c r="P282" s="131"/>
      <c r="Q282" s="131" t="str">
        <f>IFERROR(VLOOKUP($L282,'2-2 引出数据_合同数据仓库'!$B$5:$BP$200,28,FALSE),0)</f>
        <v>2025-02-28</v>
      </c>
      <c r="R282" s="131" t="str">
        <f>IFERROR(VLOOKUP($L282,'2-2 引出数据_合同数据仓库'!$B$5:$BP$200,29,FALSE),0)</f>
        <v>2025-02-28</v>
      </c>
      <c r="S282" s="131" t="str">
        <f>IFERROR(VLOOKUP($L282,'2-2 引出数据_合同数据仓库'!$B$5:$BP$200,4,FALSE),0)</f>
        <v>2025-12-31</v>
      </c>
      <c r="T282" s="131"/>
      <c r="U282" s="131">
        <f>IFERROR(VLOOKUP($L282,'2-2 引出数据_合同数据仓库'!$B$5:$BP$200,15,FALSE),0)</f>
        <v>42000</v>
      </c>
      <c r="V282" s="131">
        <f t="shared" si="3277"/>
        <v>49934.8534201954</v>
      </c>
      <c r="W282" s="131"/>
      <c r="X282" s="163">
        <v>45658</v>
      </c>
      <c r="Y282" s="163">
        <f t="shared" si="3278"/>
        <v>45688</v>
      </c>
      <c r="Z282" s="167">
        <f t="shared" si="3279"/>
        <v>0</v>
      </c>
      <c r="AA282" s="163">
        <f t="shared" si="3280"/>
        <v>45689</v>
      </c>
      <c r="AB282" s="163">
        <f t="shared" si="3281"/>
        <v>45716</v>
      </c>
      <c r="AC282" s="167">
        <f t="shared" si="3282"/>
        <v>0</v>
      </c>
      <c r="AD282" s="163">
        <f t="shared" si="3283"/>
        <v>45717</v>
      </c>
      <c r="AE282" s="163">
        <f t="shared" si="3284"/>
        <v>45747</v>
      </c>
      <c r="AF282" s="167">
        <f t="shared" si="3285"/>
        <v>4241.04234527687</v>
      </c>
      <c r="AG282" s="163">
        <f t="shared" si="3286"/>
        <v>45748</v>
      </c>
      <c r="AH282" s="163">
        <f t="shared" si="3287"/>
        <v>45777</v>
      </c>
      <c r="AI282" s="167">
        <f t="shared" si="3288"/>
        <v>4104.2345276873</v>
      </c>
      <c r="AJ282" s="163">
        <f t="shared" si="3289"/>
        <v>45778</v>
      </c>
      <c r="AK282" s="163">
        <f t="shared" si="3290"/>
        <v>45808</v>
      </c>
      <c r="AL282" s="167">
        <f t="shared" si="3291"/>
        <v>4241.04234527687</v>
      </c>
      <c r="AM282" s="163">
        <f t="shared" si="3292"/>
        <v>45809</v>
      </c>
      <c r="AN282" s="163">
        <f t="shared" si="3293"/>
        <v>45838</v>
      </c>
      <c r="AO282" s="167">
        <f t="shared" si="3294"/>
        <v>4104.2345276873</v>
      </c>
      <c r="AP282" s="163">
        <f t="shared" si="3295"/>
        <v>45839</v>
      </c>
      <c r="AQ282" s="163">
        <f t="shared" si="3296"/>
        <v>45869</v>
      </c>
      <c r="AR282" s="167">
        <f t="shared" si="3297"/>
        <v>4241.04234527687</v>
      </c>
      <c r="AS282" s="163">
        <f t="shared" si="3298"/>
        <v>45870</v>
      </c>
      <c r="AT282" s="163">
        <f t="shared" si="3299"/>
        <v>45900</v>
      </c>
      <c r="AU282" s="167">
        <f t="shared" si="3300"/>
        <v>4241.04234527687</v>
      </c>
      <c r="AV282" s="163">
        <f t="shared" si="3301"/>
        <v>45901</v>
      </c>
      <c r="AW282" s="163">
        <f t="shared" si="3302"/>
        <v>45930</v>
      </c>
      <c r="AX282" s="167">
        <f t="shared" si="3303"/>
        <v>4104.2345276873</v>
      </c>
      <c r="AY282" s="163">
        <f t="shared" si="3304"/>
        <v>45931</v>
      </c>
      <c r="AZ282" s="163">
        <f t="shared" si="3305"/>
        <v>45961</v>
      </c>
      <c r="BA282" s="167">
        <f t="shared" si="3306"/>
        <v>4241.04234527687</v>
      </c>
      <c r="BB282" s="163">
        <f t="shared" si="3307"/>
        <v>45962</v>
      </c>
      <c r="BC282" s="163">
        <f t="shared" si="3308"/>
        <v>45991</v>
      </c>
      <c r="BD282" s="167">
        <f t="shared" si="3309"/>
        <v>4104.2345276873</v>
      </c>
      <c r="BE282" s="163">
        <f t="shared" si="3310"/>
        <v>45992</v>
      </c>
      <c r="BF282" s="163">
        <f t="shared" si="3311"/>
        <v>46022</v>
      </c>
      <c r="BG282" s="167">
        <f t="shared" si="3312"/>
        <v>4241.04234527687</v>
      </c>
      <c r="BH282" s="163">
        <v>46023</v>
      </c>
      <c r="BI282" s="163">
        <f t="shared" si="3313"/>
        <v>46053</v>
      </c>
      <c r="BJ282" s="167">
        <f t="shared" si="3314"/>
        <v>0</v>
      </c>
      <c r="BK282" s="163">
        <f t="shared" si="3315"/>
        <v>46054</v>
      </c>
      <c r="BL282" s="163">
        <f t="shared" si="3316"/>
        <v>46081</v>
      </c>
      <c r="BM282" s="167">
        <f t="shared" si="3317"/>
        <v>0</v>
      </c>
      <c r="BN282" s="163">
        <f t="shared" si="3318"/>
        <v>46082</v>
      </c>
      <c r="BO282" s="163">
        <f t="shared" si="3319"/>
        <v>46112</v>
      </c>
      <c r="BP282" s="167">
        <f t="shared" si="3320"/>
        <v>0</v>
      </c>
      <c r="BQ282" s="163">
        <f t="shared" si="3321"/>
        <v>46113</v>
      </c>
      <c r="BR282" s="163">
        <f t="shared" si="3322"/>
        <v>46142</v>
      </c>
      <c r="BS282" s="167">
        <f t="shared" si="3323"/>
        <v>0</v>
      </c>
      <c r="BT282" s="163">
        <f t="shared" si="3324"/>
        <v>46143</v>
      </c>
      <c r="BU282" s="163">
        <f t="shared" si="3325"/>
        <v>46173</v>
      </c>
      <c r="BV282" s="167">
        <f t="shared" si="3326"/>
        <v>0</v>
      </c>
      <c r="BW282" s="163">
        <f t="shared" si="3327"/>
        <v>46174</v>
      </c>
      <c r="BX282" s="163">
        <f t="shared" si="3328"/>
        <v>46203</v>
      </c>
      <c r="BY282" s="167">
        <f t="shared" si="3329"/>
        <v>0</v>
      </c>
      <c r="BZ282" s="163">
        <f t="shared" si="3330"/>
        <v>46204</v>
      </c>
      <c r="CA282" s="163">
        <f t="shared" si="3331"/>
        <v>46234</v>
      </c>
      <c r="CB282" s="167">
        <f t="shared" si="3332"/>
        <v>0</v>
      </c>
      <c r="CC282" s="163">
        <f t="shared" si="3333"/>
        <v>46235</v>
      </c>
      <c r="CD282" s="163">
        <f t="shared" si="3334"/>
        <v>46265</v>
      </c>
      <c r="CE282" s="167">
        <f t="shared" si="3335"/>
        <v>0</v>
      </c>
      <c r="CF282" s="163">
        <f t="shared" si="3336"/>
        <v>46266</v>
      </c>
      <c r="CG282" s="163">
        <f t="shared" si="3337"/>
        <v>46295</v>
      </c>
      <c r="CH282" s="167">
        <f t="shared" si="3338"/>
        <v>0</v>
      </c>
      <c r="CI282" s="163">
        <f t="shared" si="3339"/>
        <v>46296</v>
      </c>
      <c r="CJ282" s="163">
        <f t="shared" si="3340"/>
        <v>46326</v>
      </c>
      <c r="CK282" s="167">
        <f t="shared" si="3341"/>
        <v>0</v>
      </c>
      <c r="CL282" s="163">
        <f t="shared" si="3342"/>
        <v>46327</v>
      </c>
      <c r="CM282" s="163">
        <f t="shared" si="3343"/>
        <v>46356</v>
      </c>
      <c r="CN282" s="167">
        <f t="shared" si="3344"/>
        <v>0</v>
      </c>
      <c r="CO282" s="163">
        <f t="shared" si="3345"/>
        <v>46357</v>
      </c>
      <c r="CP282" s="163">
        <f t="shared" si="3346"/>
        <v>46387</v>
      </c>
      <c r="CQ282" s="167">
        <f t="shared" si="3347"/>
        <v>0</v>
      </c>
    </row>
    <row r="283" s="89" customFormat="1" ht="24" hidden="1" customHeight="1" outlineLevel="4" spans="1:95">
      <c r="A283" s="128"/>
      <c r="B283" s="129"/>
      <c r="C283" s="130"/>
      <c r="D283" s="128"/>
      <c r="E283" s="129"/>
      <c r="F283" s="129"/>
      <c r="G283" s="129"/>
      <c r="H283" s="131"/>
      <c r="I283" s="131"/>
      <c r="J283" s="131">
        <f t="shared" si="3131"/>
        <v>70000</v>
      </c>
      <c r="K283" s="131">
        <f t="shared" si="3348"/>
        <v>4</v>
      </c>
      <c r="L283" s="156" t="s">
        <v>2825</v>
      </c>
      <c r="M283" s="157" t="str">
        <f>IFERROR(VLOOKUP($L283,'2-2 引出数据_合同数据仓库'!$B$5:$BP$200,3,FALSE),0)</f>
        <v>关于深圳中海油大厦擦窗机与高空作业平台维保合同评审的申请</v>
      </c>
      <c r="N283" s="131"/>
      <c r="O283" s="157">
        <f>IFERROR(VLOOKUP((LEFT(VLOOKUP($L283,'2-2 引出数据_合同数据仓库'!$B$5:$BP$200,64,FALSE),15)&amp;(RIGHT(VLOOKUP($L283,'2-2 引出数据_合同数据仓库'!$B$5:$BP$200,64,FALSE),4)+1)),'2-2 引出数据_合同数据仓库'!$B$5:$BP$200,3,FALSE),0)</f>
        <v>0</v>
      </c>
      <c r="P283" s="131"/>
      <c r="Q283" s="131" t="str">
        <f>IFERROR(VLOOKUP($L283,'2-2 引出数据_合同数据仓库'!$B$5:$BP$200,28,FALSE),0)</f>
        <v>2025-01-24</v>
      </c>
      <c r="R283" s="131" t="str">
        <f>IFERROR(VLOOKUP($L283,'2-2 引出数据_合同数据仓库'!$B$5:$BP$200,29,FALSE),0)</f>
        <v>2025-01-27</v>
      </c>
      <c r="S283" s="131" t="str">
        <f>IFERROR(VLOOKUP($L283,'2-2 引出数据_合同数据仓库'!$B$5:$BP$200,4,FALSE),0)</f>
        <v>2025-12-31</v>
      </c>
      <c r="T283" s="131"/>
      <c r="U283" s="131">
        <f>IFERROR(VLOOKUP($L283,'2-2 引出数据_合同数据仓库'!$B$5:$BP$200,15,FALSE),0)</f>
        <v>70000</v>
      </c>
      <c r="V283" s="131">
        <f t="shared" si="3277"/>
        <v>75368.7315634218</v>
      </c>
      <c r="W283" s="131"/>
      <c r="X283" s="163">
        <v>45658</v>
      </c>
      <c r="Y283" s="163">
        <f t="shared" si="3278"/>
        <v>45688</v>
      </c>
      <c r="Z283" s="167">
        <f t="shared" si="3279"/>
        <v>1032.44837758112</v>
      </c>
      <c r="AA283" s="163">
        <f t="shared" si="3280"/>
        <v>45689</v>
      </c>
      <c r="AB283" s="163">
        <f t="shared" si="3281"/>
        <v>45716</v>
      </c>
      <c r="AC283" s="167">
        <f t="shared" si="3282"/>
        <v>5781.71091445428</v>
      </c>
      <c r="AD283" s="163">
        <f t="shared" si="3283"/>
        <v>45717</v>
      </c>
      <c r="AE283" s="163">
        <f t="shared" si="3284"/>
        <v>45747</v>
      </c>
      <c r="AF283" s="167">
        <f t="shared" si="3285"/>
        <v>6401.17994100295</v>
      </c>
      <c r="AG283" s="163">
        <f t="shared" si="3286"/>
        <v>45748</v>
      </c>
      <c r="AH283" s="163">
        <f t="shared" si="3287"/>
        <v>45777</v>
      </c>
      <c r="AI283" s="167">
        <f t="shared" si="3288"/>
        <v>6194.69026548673</v>
      </c>
      <c r="AJ283" s="163">
        <f t="shared" si="3289"/>
        <v>45778</v>
      </c>
      <c r="AK283" s="163">
        <f t="shared" si="3290"/>
        <v>45808</v>
      </c>
      <c r="AL283" s="167">
        <f t="shared" si="3291"/>
        <v>6401.17994100295</v>
      </c>
      <c r="AM283" s="163">
        <f t="shared" si="3292"/>
        <v>45809</v>
      </c>
      <c r="AN283" s="163">
        <f t="shared" si="3293"/>
        <v>45838</v>
      </c>
      <c r="AO283" s="167">
        <f t="shared" si="3294"/>
        <v>6194.69026548673</v>
      </c>
      <c r="AP283" s="163">
        <f t="shared" si="3295"/>
        <v>45839</v>
      </c>
      <c r="AQ283" s="163">
        <f t="shared" si="3296"/>
        <v>45869</v>
      </c>
      <c r="AR283" s="167">
        <f t="shared" si="3297"/>
        <v>6401.17994100295</v>
      </c>
      <c r="AS283" s="163">
        <f t="shared" si="3298"/>
        <v>45870</v>
      </c>
      <c r="AT283" s="163">
        <f t="shared" si="3299"/>
        <v>45900</v>
      </c>
      <c r="AU283" s="167">
        <f t="shared" si="3300"/>
        <v>6401.17994100295</v>
      </c>
      <c r="AV283" s="163">
        <f t="shared" si="3301"/>
        <v>45901</v>
      </c>
      <c r="AW283" s="163">
        <f t="shared" si="3302"/>
        <v>45930</v>
      </c>
      <c r="AX283" s="167">
        <f t="shared" si="3303"/>
        <v>6194.69026548673</v>
      </c>
      <c r="AY283" s="163">
        <f t="shared" si="3304"/>
        <v>45931</v>
      </c>
      <c r="AZ283" s="163">
        <f t="shared" si="3305"/>
        <v>45961</v>
      </c>
      <c r="BA283" s="167">
        <f t="shared" si="3306"/>
        <v>6401.17994100295</v>
      </c>
      <c r="BB283" s="163">
        <f t="shared" si="3307"/>
        <v>45962</v>
      </c>
      <c r="BC283" s="163">
        <f t="shared" si="3308"/>
        <v>45991</v>
      </c>
      <c r="BD283" s="167">
        <f t="shared" si="3309"/>
        <v>6194.69026548673</v>
      </c>
      <c r="BE283" s="163">
        <f t="shared" si="3310"/>
        <v>45992</v>
      </c>
      <c r="BF283" s="163">
        <f t="shared" si="3311"/>
        <v>46022</v>
      </c>
      <c r="BG283" s="167">
        <f t="shared" si="3312"/>
        <v>6401.17994100295</v>
      </c>
      <c r="BH283" s="163">
        <v>46023</v>
      </c>
      <c r="BI283" s="163">
        <f t="shared" si="3313"/>
        <v>46053</v>
      </c>
      <c r="BJ283" s="167">
        <f t="shared" si="3314"/>
        <v>0</v>
      </c>
      <c r="BK283" s="163">
        <f t="shared" si="3315"/>
        <v>46054</v>
      </c>
      <c r="BL283" s="163">
        <f t="shared" si="3316"/>
        <v>46081</v>
      </c>
      <c r="BM283" s="167">
        <f t="shared" si="3317"/>
        <v>0</v>
      </c>
      <c r="BN283" s="163">
        <f t="shared" si="3318"/>
        <v>46082</v>
      </c>
      <c r="BO283" s="163">
        <f t="shared" si="3319"/>
        <v>46112</v>
      </c>
      <c r="BP283" s="167">
        <f t="shared" si="3320"/>
        <v>0</v>
      </c>
      <c r="BQ283" s="163">
        <f t="shared" si="3321"/>
        <v>46113</v>
      </c>
      <c r="BR283" s="163">
        <f t="shared" si="3322"/>
        <v>46142</v>
      </c>
      <c r="BS283" s="167">
        <f t="shared" si="3323"/>
        <v>0</v>
      </c>
      <c r="BT283" s="163">
        <f t="shared" si="3324"/>
        <v>46143</v>
      </c>
      <c r="BU283" s="163">
        <f t="shared" si="3325"/>
        <v>46173</v>
      </c>
      <c r="BV283" s="167">
        <f t="shared" si="3326"/>
        <v>0</v>
      </c>
      <c r="BW283" s="163">
        <f t="shared" si="3327"/>
        <v>46174</v>
      </c>
      <c r="BX283" s="163">
        <f t="shared" si="3328"/>
        <v>46203</v>
      </c>
      <c r="BY283" s="167">
        <f t="shared" si="3329"/>
        <v>0</v>
      </c>
      <c r="BZ283" s="163">
        <f t="shared" si="3330"/>
        <v>46204</v>
      </c>
      <c r="CA283" s="163">
        <f t="shared" si="3331"/>
        <v>46234</v>
      </c>
      <c r="CB283" s="167">
        <f t="shared" si="3332"/>
        <v>0</v>
      </c>
      <c r="CC283" s="163">
        <f t="shared" si="3333"/>
        <v>46235</v>
      </c>
      <c r="CD283" s="163">
        <f t="shared" si="3334"/>
        <v>46265</v>
      </c>
      <c r="CE283" s="167">
        <f t="shared" si="3335"/>
        <v>0</v>
      </c>
      <c r="CF283" s="163">
        <f t="shared" si="3336"/>
        <v>46266</v>
      </c>
      <c r="CG283" s="163">
        <f t="shared" si="3337"/>
        <v>46295</v>
      </c>
      <c r="CH283" s="167">
        <f t="shared" si="3338"/>
        <v>0</v>
      </c>
      <c r="CI283" s="163">
        <f t="shared" si="3339"/>
        <v>46296</v>
      </c>
      <c r="CJ283" s="163">
        <f t="shared" si="3340"/>
        <v>46326</v>
      </c>
      <c r="CK283" s="167">
        <f t="shared" si="3341"/>
        <v>0</v>
      </c>
      <c r="CL283" s="163">
        <f t="shared" si="3342"/>
        <v>46327</v>
      </c>
      <c r="CM283" s="163">
        <f t="shared" si="3343"/>
        <v>46356</v>
      </c>
      <c r="CN283" s="167">
        <f t="shared" si="3344"/>
        <v>0</v>
      </c>
      <c r="CO283" s="163">
        <f t="shared" si="3345"/>
        <v>46357</v>
      </c>
      <c r="CP283" s="163">
        <f t="shared" si="3346"/>
        <v>46387</v>
      </c>
      <c r="CQ283" s="167">
        <f t="shared" si="3347"/>
        <v>0</v>
      </c>
    </row>
    <row r="284" s="89" customFormat="1" ht="24" hidden="1" customHeight="1" outlineLevel="4" spans="1:95">
      <c r="A284" s="132" t="s">
        <v>2813</v>
      </c>
      <c r="B284" s="133"/>
      <c r="C284" s="133"/>
      <c r="D284" s="133"/>
      <c r="E284" s="133"/>
      <c r="F284" s="133"/>
      <c r="G284" s="134"/>
      <c r="H284" s="135"/>
      <c r="I284" s="135"/>
      <c r="J284" s="135"/>
      <c r="K284" s="135"/>
      <c r="L284" s="158"/>
      <c r="M284" s="158"/>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c r="CL284" s="135"/>
      <c r="CM284" s="135"/>
      <c r="CN284" s="135"/>
      <c r="CO284" s="135"/>
      <c r="CP284" s="135"/>
      <c r="CQ284" s="135"/>
    </row>
    <row r="285" ht="24" hidden="1" customHeight="1" outlineLevel="3" collapsed="1" spans="1:95">
      <c r="A285" s="124"/>
      <c r="B285" s="125" t="s">
        <v>792</v>
      </c>
      <c r="C285" s="126" t="s">
        <v>1241</v>
      </c>
      <c r="D285" s="124" t="s">
        <v>1242</v>
      </c>
      <c r="E285" s="125" t="s">
        <v>1243</v>
      </c>
      <c r="F285" s="125"/>
      <c r="G285" s="125" t="s">
        <v>936</v>
      </c>
      <c r="H285" s="127">
        <f>X285+AA285+AD285+AG285+AJ285+AM285+AP285+AS285+AV285+AY285+BB285+BE285</f>
        <v>0</v>
      </c>
      <c r="I285" s="127">
        <f>Y285+AB285+AE285+AH285+AK285+AN285+AQ285+AT285+AW285+AZ285+BC285+BF285</f>
        <v>0</v>
      </c>
      <c r="J285" s="127">
        <f t="shared" si="3131"/>
        <v>0</v>
      </c>
      <c r="K285" s="127"/>
      <c r="L285" s="155"/>
      <c r="M285" s="155"/>
      <c r="N285" s="127"/>
      <c r="O285" s="127"/>
      <c r="P285" s="127"/>
      <c r="Q285" s="127"/>
      <c r="R285" s="127"/>
      <c r="S285" s="127"/>
      <c r="T285" s="127"/>
      <c r="U285" s="127"/>
      <c r="V285" s="127"/>
      <c r="W285" s="127"/>
      <c r="X285" s="127">
        <f>VLOOKUP($C285,'1 预算编制表单'!$C:$BJ,27,FALSE)</f>
        <v>0</v>
      </c>
      <c r="Y285" s="127">
        <f>X285-Z285</f>
        <v>0</v>
      </c>
      <c r="Z285" s="127">
        <f>SUM(Z286:Z290)</f>
        <v>0</v>
      </c>
      <c r="AA285" s="127">
        <f>VLOOKUP($C285,'1 预算编制表单'!$C:$BJ,30,FALSE)</f>
        <v>0</v>
      </c>
      <c r="AB285" s="127">
        <f>AA285-AC285</f>
        <v>0</v>
      </c>
      <c r="AC285" s="127">
        <f>SUM(AC286:AC290)</f>
        <v>0</v>
      </c>
      <c r="AD285" s="127">
        <f>VLOOKUP($C285,'1 预算编制表单'!$C:$BJ,33,FALSE)</f>
        <v>0</v>
      </c>
      <c r="AE285" s="127">
        <f>AD285-AF285</f>
        <v>0</v>
      </c>
      <c r="AF285" s="127">
        <f>SUM(AF286:AF290)</f>
        <v>0</v>
      </c>
      <c r="AG285" s="127">
        <f>VLOOKUP($C285,'1 预算编制表单'!$C:$BJ,36,FALSE)</f>
        <v>0</v>
      </c>
      <c r="AH285" s="127">
        <f>AG285-AI285</f>
        <v>0</v>
      </c>
      <c r="AI285" s="127">
        <f>SUM(AI286:AI290)</f>
        <v>0</v>
      </c>
      <c r="AJ285" s="127">
        <f>VLOOKUP($C285,'1 预算编制表单'!$C:$BJ,39,FALSE)</f>
        <v>0</v>
      </c>
      <c r="AK285" s="127">
        <f>AJ285-AL285</f>
        <v>0</v>
      </c>
      <c r="AL285" s="127">
        <f>SUM(AL286:AL290)</f>
        <v>0</v>
      </c>
      <c r="AM285" s="127">
        <f>VLOOKUP($C285,'1 预算编制表单'!$C:$BJ,42,FALSE)</f>
        <v>0</v>
      </c>
      <c r="AN285" s="127">
        <f>AM285-AO285</f>
        <v>0</v>
      </c>
      <c r="AO285" s="127">
        <f>SUM(AO286:AO290)</f>
        <v>0</v>
      </c>
      <c r="AP285" s="127">
        <f>VLOOKUP($C285,'1 预算编制表单'!$C:$BJ,45,FALSE)</f>
        <v>0</v>
      </c>
      <c r="AQ285" s="127">
        <f>AP285-AR285</f>
        <v>0</v>
      </c>
      <c r="AR285" s="127">
        <f>SUM(AR286:AR290)</f>
        <v>0</v>
      </c>
      <c r="AS285" s="127">
        <f>VLOOKUP($C285,'1 预算编制表单'!$C:$BJ,48,FALSE)</f>
        <v>0</v>
      </c>
      <c r="AT285" s="127">
        <f>AS285-AU285</f>
        <v>0</v>
      </c>
      <c r="AU285" s="127">
        <f>SUM(AU286:AU290)</f>
        <v>0</v>
      </c>
      <c r="AV285" s="127">
        <f>VLOOKUP($C285,'1 预算编制表单'!$C:$BJ,51,FALSE)</f>
        <v>0</v>
      </c>
      <c r="AW285" s="127">
        <f>AV285-AX285</f>
        <v>0</v>
      </c>
      <c r="AX285" s="127">
        <f>SUM(AX286:AX290)</f>
        <v>0</v>
      </c>
      <c r="AY285" s="127">
        <f>VLOOKUP($C285,'1 预算编制表单'!$C:$BJ,54,FALSE)</f>
        <v>0</v>
      </c>
      <c r="AZ285" s="127">
        <f>AY285-BA285</f>
        <v>0</v>
      </c>
      <c r="BA285" s="127">
        <f>SUM(BA286:BA290)</f>
        <v>0</v>
      </c>
      <c r="BB285" s="127">
        <f>VLOOKUP($C285,'1 预算编制表单'!$C:$BJ,57,FALSE)</f>
        <v>0</v>
      </c>
      <c r="BC285" s="127">
        <f>BB285-BD285</f>
        <v>0</v>
      </c>
      <c r="BD285" s="127">
        <f>SUM(BD286:BD290)</f>
        <v>0</v>
      </c>
      <c r="BE285" s="127">
        <f>VLOOKUP($C285,'1 预算编制表单'!$C:$BJ,60,FALSE)</f>
        <v>0</v>
      </c>
      <c r="BF285" s="127">
        <f>BE285-BG285</f>
        <v>0</v>
      </c>
      <c r="BG285" s="127">
        <f>SUM(BG286:BG290)</f>
        <v>0</v>
      </c>
      <c r="BH285" s="127">
        <f>VLOOKUP($C285,'1 预算编制表单'!$C:$BJ,27,FALSE)</f>
        <v>0</v>
      </c>
      <c r="BI285" s="127">
        <f>BH285-BJ285</f>
        <v>0</v>
      </c>
      <c r="BJ285" s="127">
        <f>SUM(BJ286:BJ290)</f>
        <v>0</v>
      </c>
      <c r="BK285" s="127">
        <f>VLOOKUP($C285,'1 预算编制表单'!$C:$BJ,30,FALSE)</f>
        <v>0</v>
      </c>
      <c r="BL285" s="127">
        <f>BK285-BM285</f>
        <v>0</v>
      </c>
      <c r="BM285" s="127">
        <f>SUM(BM286:BM290)</f>
        <v>0</v>
      </c>
      <c r="BN285" s="127">
        <f>VLOOKUP($C285,'1 预算编制表单'!$C:$BJ,33,FALSE)</f>
        <v>0</v>
      </c>
      <c r="BO285" s="127">
        <f>BN285-BP285</f>
        <v>0</v>
      </c>
      <c r="BP285" s="127">
        <f>SUM(BP286:BP290)</f>
        <v>0</v>
      </c>
      <c r="BQ285" s="127">
        <f>VLOOKUP($C285,'1 预算编制表单'!$C:$BJ,36,FALSE)</f>
        <v>0</v>
      </c>
      <c r="BR285" s="127">
        <f>BQ285-BS285</f>
        <v>0</v>
      </c>
      <c r="BS285" s="127">
        <f>SUM(BS286:BS290)</f>
        <v>0</v>
      </c>
      <c r="BT285" s="127">
        <f>VLOOKUP($C285,'1 预算编制表单'!$C:$BJ,39,FALSE)</f>
        <v>0</v>
      </c>
      <c r="BU285" s="127">
        <f>BT285-BV285</f>
        <v>0</v>
      </c>
      <c r="BV285" s="127">
        <f>SUM(BV286:BV290)</f>
        <v>0</v>
      </c>
      <c r="BW285" s="127">
        <f>VLOOKUP($C285,'1 预算编制表单'!$C:$BJ,42,FALSE)</f>
        <v>0</v>
      </c>
      <c r="BX285" s="127">
        <f>BW285-BY285</f>
        <v>0</v>
      </c>
      <c r="BY285" s="127">
        <f>SUM(BY286:BY290)</f>
        <v>0</v>
      </c>
      <c r="BZ285" s="127">
        <f>VLOOKUP($C285,'1 预算编制表单'!$C:$BJ,45,FALSE)</f>
        <v>0</v>
      </c>
      <c r="CA285" s="127">
        <f>BZ285-CB285</f>
        <v>0</v>
      </c>
      <c r="CB285" s="127">
        <f>SUM(CB286:CB290)</f>
        <v>0</v>
      </c>
      <c r="CC285" s="127">
        <f>VLOOKUP($C285,'1 预算编制表单'!$C:$BJ,48,FALSE)</f>
        <v>0</v>
      </c>
      <c r="CD285" s="127">
        <f>CC285-CE285</f>
        <v>0</v>
      </c>
      <c r="CE285" s="127">
        <f>SUM(CE286:CE290)</f>
        <v>0</v>
      </c>
      <c r="CF285" s="127">
        <f>VLOOKUP($C285,'1 预算编制表单'!$C:$BJ,51,FALSE)</f>
        <v>0</v>
      </c>
      <c r="CG285" s="127">
        <f>CF285-CH285</f>
        <v>0</v>
      </c>
      <c r="CH285" s="127">
        <f>SUM(CH286:CH290)</f>
        <v>0</v>
      </c>
      <c r="CI285" s="127">
        <f>VLOOKUP($C285,'1 预算编制表单'!$C:$BJ,54,FALSE)</f>
        <v>0</v>
      </c>
      <c r="CJ285" s="127">
        <f>CI285-CK285</f>
        <v>0</v>
      </c>
      <c r="CK285" s="127">
        <f>SUM(CK286:CK290)</f>
        <v>0</v>
      </c>
      <c r="CL285" s="127">
        <f>VLOOKUP($C285,'1 预算编制表单'!$C:$BJ,57,FALSE)</f>
        <v>0</v>
      </c>
      <c r="CM285" s="127">
        <f>CL285-CN285</f>
        <v>0</v>
      </c>
      <c r="CN285" s="127">
        <f>SUM(CN286:CN290)</f>
        <v>0</v>
      </c>
      <c r="CO285" s="127">
        <f>VLOOKUP($C285,'1 预算编制表单'!$C:$BJ,60,FALSE)</f>
        <v>0</v>
      </c>
      <c r="CP285" s="127">
        <f>CO285-CQ285</f>
        <v>0</v>
      </c>
      <c r="CQ285" s="127">
        <f>SUM(CQ286:CQ290)</f>
        <v>0</v>
      </c>
    </row>
    <row r="286" s="89" customFormat="1" ht="24" hidden="1" customHeight="1" outlineLevel="4" spans="1:95">
      <c r="A286" s="128"/>
      <c r="B286" s="129"/>
      <c r="C286" s="130"/>
      <c r="D286" s="128"/>
      <c r="E286" s="129"/>
      <c r="F286" s="129"/>
      <c r="G286" s="129"/>
      <c r="H286" s="131"/>
      <c r="I286" s="131"/>
      <c r="J286" s="131">
        <f t="shared" si="3131"/>
        <v>0</v>
      </c>
      <c r="K286" s="131">
        <v>1</v>
      </c>
      <c r="L286" s="156" t="s">
        <v>2826</v>
      </c>
      <c r="M286" s="157">
        <f>IFERROR(VLOOKUP($L286,'2-2 引出数据_合同数据仓库'!$B$5:$BP$200,3,FALSE),0)</f>
        <v>0</v>
      </c>
      <c r="N286" s="131"/>
      <c r="O286" s="157">
        <f>IFERROR(VLOOKUP((LEFT(VLOOKUP($L286,'2-2 引出数据_合同数据仓库'!$B$5:$BP$200,64,FALSE),15)&amp;(RIGHT(VLOOKUP($L286,'2-2 引出数据_合同数据仓库'!$B$5:$BP$200,64,FALSE),4)+1)),'2-2 引出数据_合同数据仓库'!$B$5:$BP$200,3,FALSE),0)</f>
        <v>0</v>
      </c>
      <c r="P286" s="131"/>
      <c r="Q286" s="131">
        <f>IFERROR(VLOOKUP($L286,'2-2 引出数据_合同数据仓库'!$B$5:$BP$200,28,FALSE),0)</f>
        <v>0</v>
      </c>
      <c r="R286" s="131">
        <f>IFERROR(VLOOKUP($L286,'2-2 引出数据_合同数据仓库'!$B$5:$BP$200,29,FALSE),0)</f>
        <v>0</v>
      </c>
      <c r="S286" s="131">
        <f>IFERROR(VLOOKUP($L286,'2-2 引出数据_合同数据仓库'!$B$5:$BP$200,4,FALSE),0)</f>
        <v>0</v>
      </c>
      <c r="T286" s="131"/>
      <c r="U286" s="131">
        <f>IFERROR(VLOOKUP($L286,'2-2 引出数据_合同数据仓库'!$B$5:$BP$200,15,FALSE),0)</f>
        <v>0</v>
      </c>
      <c r="V286" s="131">
        <f t="shared" ref="V286:V289" si="3349">U286/(S286-R286+1)*365</f>
        <v>0</v>
      </c>
      <c r="W286" s="131"/>
      <c r="X286" s="163">
        <v>45658</v>
      </c>
      <c r="Y286" s="163">
        <f t="shared" ref="Y286:Y289" si="3350">X286+30</f>
        <v>45688</v>
      </c>
      <c r="Z286" s="167">
        <f t="shared" ref="Z286:Z289" si="3351">IFERROR(IF(($R286-Y286)&gt;=0,0,IF(($S286-X286)&lt;0,0,IF(AND(($S286-Y286)&gt;0,(X286-$R286)&gt;0),$V286/365*(Y286-X286+1),IF(AND(($S286-Y286)&lt;=0,(X286-$R286)&gt;0),$V286/365*($S286-X286+1),$V286/365*(Y286-$R286+1))))),0)</f>
        <v>0</v>
      </c>
      <c r="AA286" s="163">
        <f t="shared" ref="AA286:AA289" si="3352">Y286+1</f>
        <v>45689</v>
      </c>
      <c r="AB286" s="163">
        <f t="shared" ref="AB286:AB289" si="3353">AA286+27</f>
        <v>45716</v>
      </c>
      <c r="AC286" s="167">
        <f t="shared" ref="AC286:AC289" si="3354">IFERROR(IF(($R286-AB286)&gt;=0,0,IF(($S286-AA286)&lt;0,0,IF(AND(($S286-AB286)&gt;0,(AA286-$R286)&gt;0),$V286/365*(AB286-AA286+1),IF(AND(($S286-AB286)&lt;=0,(AA286-$R286)&gt;0),$V286/365*($S286-AA286+1),$V286/365*(AB286-$R286+1))))),0)</f>
        <v>0</v>
      </c>
      <c r="AD286" s="163">
        <f t="shared" ref="AD286:AD289" si="3355">AB286+1</f>
        <v>45717</v>
      </c>
      <c r="AE286" s="163">
        <f t="shared" ref="AE286:AE289" si="3356">AD286+30</f>
        <v>45747</v>
      </c>
      <c r="AF286" s="167">
        <f t="shared" ref="AF286:AF289" si="3357">IFERROR(IF(($R286-AE286)&gt;=0,0,IF(($S286-AD286)&lt;0,0,IF(AND(($S286-AE286)&gt;0,(AD286-$R286)&gt;0),$V286/365*(AE286-AD286+1),IF(AND(($S286-AE286)&lt;=0,(AD286-$R286)&gt;0),$V286/365*($S286-AD286+1),$V286/365*(AE286-$R286+1))))),0)</f>
        <v>0</v>
      </c>
      <c r="AG286" s="163">
        <f t="shared" ref="AG286:AG289" si="3358">AE286+1</f>
        <v>45748</v>
      </c>
      <c r="AH286" s="163">
        <f t="shared" ref="AH286:AH289" si="3359">AG286+29</f>
        <v>45777</v>
      </c>
      <c r="AI286" s="167">
        <f t="shared" ref="AI286:AI289" si="3360">IFERROR(IF(($R286-AH286)&gt;=0,0,IF(($S286-AG286)&lt;0,0,IF(AND(($S286-AH286)&gt;0,(AG286-$R286)&gt;0),$V286/365*(AH286-AG286+1),IF(AND(($S286-AH286)&lt;=0,(AG286-$R286)&gt;0),$V286/365*($S286-AG286+1),$V286/365*(AH286-$R286+1))))),0)</f>
        <v>0</v>
      </c>
      <c r="AJ286" s="163">
        <f t="shared" ref="AJ286:AJ289" si="3361">AH286+1</f>
        <v>45778</v>
      </c>
      <c r="AK286" s="163">
        <f t="shared" ref="AK286:AK289" si="3362">AJ286+30</f>
        <v>45808</v>
      </c>
      <c r="AL286" s="167">
        <f t="shared" ref="AL286:AL289" si="3363">IFERROR(IF(($R286-AK286)&gt;=0,0,IF(($S286-AJ286)&lt;0,0,IF(AND(($S286-AK286)&gt;0,(AJ286-$R286)&gt;0),$V286/365*(AK286-AJ286+1),IF(AND(($S286-AK286)&lt;=0,(AJ286-$R286)&gt;0),$V286/365*($S286-AJ286+1),$V286/365*(AK286-$R286+1))))),0)</f>
        <v>0</v>
      </c>
      <c r="AM286" s="163">
        <f t="shared" ref="AM286:AM289" si="3364">AK286+1</f>
        <v>45809</v>
      </c>
      <c r="AN286" s="163">
        <f t="shared" ref="AN286:AN289" si="3365">AM286+29</f>
        <v>45838</v>
      </c>
      <c r="AO286" s="167">
        <f t="shared" ref="AO286:AO289" si="3366">IFERROR(IF(($R286-AN286)&gt;=0,0,IF(($S286-AM286)&lt;0,0,IF(AND(($S286-AN286)&gt;0,(AM286-$R286)&gt;0),$V286/365*(AN286-AM286+1),IF(AND(($S286-AN286)&lt;=0,(AM286-$R286)&gt;0),$V286/365*($S286-AM286+1),$V286/365*(AN286-$R286+1))))),0)</f>
        <v>0</v>
      </c>
      <c r="AP286" s="163">
        <f t="shared" ref="AP286:AP289" si="3367">AN286+1</f>
        <v>45839</v>
      </c>
      <c r="AQ286" s="163">
        <f t="shared" ref="AQ286:AQ289" si="3368">AP286+30</f>
        <v>45869</v>
      </c>
      <c r="AR286" s="167">
        <f t="shared" ref="AR286:AR289" si="3369">IFERROR(IF(($R286-AQ286)&gt;=0,0,IF(($S286-AP286)&lt;0,0,IF(AND(($S286-AQ286)&gt;0,(AP286-$R286)&gt;0),$V286/365*(AQ286-AP286+1),IF(AND(($S286-AQ286)&lt;=0,(AP286-$R286)&gt;0),$V286/365*($S286-AP286+1),$V286/365*(AQ286-$R286+1))))),0)</f>
        <v>0</v>
      </c>
      <c r="AS286" s="163">
        <f t="shared" ref="AS286:AS289" si="3370">AQ286+1</f>
        <v>45870</v>
      </c>
      <c r="AT286" s="163">
        <f t="shared" ref="AT286:AT289" si="3371">AS286+30</f>
        <v>45900</v>
      </c>
      <c r="AU286" s="167">
        <f t="shared" ref="AU286:AU289" si="3372">IFERROR(IF(($R286-AT286)&gt;=0,0,IF(($S286-AS286)&lt;0,0,IF(AND(($S286-AT286)&gt;0,(AS286-$R286)&gt;0),$V286/365*(AT286-AS286+1),IF(AND(($S286-AT286)&lt;=0,(AS286-$R286)&gt;0),$V286/365*($S286-AS286+1),$V286/365*(AT286-$R286+1))))),0)</f>
        <v>0</v>
      </c>
      <c r="AV286" s="163">
        <f t="shared" ref="AV286:AV289" si="3373">AT286+1</f>
        <v>45901</v>
      </c>
      <c r="AW286" s="163">
        <f t="shared" ref="AW286:AW289" si="3374">AV286+29</f>
        <v>45930</v>
      </c>
      <c r="AX286" s="167">
        <f t="shared" ref="AX286:AX289" si="3375">IFERROR(IF(($R286-AW286)&gt;=0,0,IF(($S286-AV286)&lt;0,0,IF(AND(($S286-AW286)&gt;0,(AV286-$R286)&gt;0),$V286/365*(AW286-AV286+1),IF(AND(($S286-AW286)&lt;=0,(AV286-$R286)&gt;0),$V286/365*($S286-AV286+1),$V286/365*(AW286-$R286+1))))),0)</f>
        <v>0</v>
      </c>
      <c r="AY286" s="163">
        <f t="shared" ref="AY286:AY289" si="3376">AW286+1</f>
        <v>45931</v>
      </c>
      <c r="AZ286" s="163">
        <f t="shared" ref="AZ286:AZ289" si="3377">AY286+30</f>
        <v>45961</v>
      </c>
      <c r="BA286" s="167">
        <f t="shared" ref="BA286:BA289" si="3378">IFERROR(IF(($R286-AZ286)&gt;=0,0,IF(($S286-AY286)&lt;0,0,IF(AND(($S286-AZ286)&gt;0,(AY286-$R286)&gt;0),$V286/365*(AZ286-AY286+1),IF(AND(($S286-AZ286)&lt;=0,(AY286-$R286)&gt;0),$V286/365*($S286-AY286+1),$V286/365*(AZ286-$R286+1))))),0)</f>
        <v>0</v>
      </c>
      <c r="BB286" s="163">
        <f t="shared" ref="BB286:BB289" si="3379">AZ286+1</f>
        <v>45962</v>
      </c>
      <c r="BC286" s="163">
        <f t="shared" ref="BC286:BC289" si="3380">BB286+29</f>
        <v>45991</v>
      </c>
      <c r="BD286" s="167">
        <f t="shared" ref="BD286:BD289" si="3381">IFERROR(IF(($R286-BC286)&gt;=0,0,IF(($S286-BB286)&lt;0,0,IF(AND(($S286-BC286)&gt;0,(BB286-$R286)&gt;0),$V286/365*(BC286-BB286+1),IF(AND(($S286-BC286)&lt;=0,(BB286-$R286)&gt;0),$V286/365*($S286-BB286+1),$V286/365*(BC286-$R286+1))))),0)</f>
        <v>0</v>
      </c>
      <c r="BE286" s="163">
        <f t="shared" ref="BE286:BE289" si="3382">BC286+1</f>
        <v>45992</v>
      </c>
      <c r="BF286" s="163">
        <f t="shared" ref="BF286:BF289" si="3383">BE286+30</f>
        <v>46022</v>
      </c>
      <c r="BG286" s="167">
        <f t="shared" ref="BG286:BG289" si="3384">IFERROR(IF(($R286-BF286)&gt;=0,0,IF(($S286-BE286)&lt;0,0,IF(AND(($S286-BF286)&gt;0,(BE286-$R286)&gt;0),$V286/365*(BF286-BE286+1),IF(AND(($S286-BF286)&lt;=0,(BE286-$R286)&gt;0),$V286/365*($S286-BE286+1),$V286/365*(BF286-$R286+1))))),0)</f>
        <v>0</v>
      </c>
      <c r="BH286" s="163">
        <v>46023</v>
      </c>
      <c r="BI286" s="163">
        <f t="shared" ref="BI286:BI289" si="3385">BH286+30</f>
        <v>46053</v>
      </c>
      <c r="BJ286" s="167">
        <f t="shared" ref="BJ286:BJ289" si="3386">IFERROR(IF(($R286-BI286)&gt;=0,0,IF(($S286-BH286)&lt;0,0,IF(AND(($S286-BI286)&gt;0,(BH286-$R286)&gt;0),$V286/365*(BI286-BH286+1),IF(AND(($S286-BI286)&lt;=0,(BH286-$R286)&gt;0),$V286/365*($S286-BH286+1),$V286/365*(BI286-$R286+1))))),0)</f>
        <v>0</v>
      </c>
      <c r="BK286" s="163">
        <f t="shared" ref="BK286:BK289" si="3387">BI286+1</f>
        <v>46054</v>
      </c>
      <c r="BL286" s="163">
        <f t="shared" ref="BL286:BL289" si="3388">BK286+27</f>
        <v>46081</v>
      </c>
      <c r="BM286" s="167">
        <f t="shared" ref="BM286:BM289" si="3389">IFERROR(IF(($R286-BL286)&gt;=0,0,IF(($S286-BK286)&lt;0,0,IF(AND(($S286-BL286)&gt;0,(BK286-$R286)&gt;0),$V286/365*(BL286-BK286+1),IF(AND(($S286-BL286)&lt;=0,(BK286-$R286)&gt;0),$V286/365*($S286-BK286+1),$V286/365*(BL286-$R286+1))))),0)</f>
        <v>0</v>
      </c>
      <c r="BN286" s="163">
        <f t="shared" ref="BN286:BN289" si="3390">BL286+1</f>
        <v>46082</v>
      </c>
      <c r="BO286" s="163">
        <f t="shared" ref="BO286:BO289" si="3391">BN286+30</f>
        <v>46112</v>
      </c>
      <c r="BP286" s="167">
        <f t="shared" ref="BP286:BP289" si="3392">IFERROR(IF(($R286-BO286)&gt;=0,0,IF(($S286-BN286)&lt;0,0,IF(AND(($S286-BO286)&gt;0,(BN286-$R286)&gt;0),$V286/365*(BO286-BN286+1),IF(AND(($S286-BO286)&lt;=0,(BN286-$R286)&gt;0),$V286/365*($S286-BN286+1),$V286/365*(BO286-$R286+1))))),0)</f>
        <v>0</v>
      </c>
      <c r="BQ286" s="163">
        <f t="shared" ref="BQ286:BQ289" si="3393">BO286+1</f>
        <v>46113</v>
      </c>
      <c r="BR286" s="163">
        <f t="shared" ref="BR286:BR289" si="3394">BQ286+29</f>
        <v>46142</v>
      </c>
      <c r="BS286" s="167">
        <f t="shared" ref="BS286:BS289" si="3395">IFERROR(IF(($R286-BR286)&gt;=0,0,IF(($S286-BQ286)&lt;0,0,IF(AND(($S286-BR286)&gt;0,(BQ286-$R286)&gt;0),$V286/365*(BR286-BQ286+1),IF(AND(($S286-BR286)&lt;=0,(BQ286-$R286)&gt;0),$V286/365*($S286-BQ286+1),$V286/365*(BR286-$R286+1))))),0)</f>
        <v>0</v>
      </c>
      <c r="BT286" s="163">
        <f t="shared" ref="BT286:BT289" si="3396">BR286+1</f>
        <v>46143</v>
      </c>
      <c r="BU286" s="163">
        <f t="shared" ref="BU286:BU289" si="3397">BT286+30</f>
        <v>46173</v>
      </c>
      <c r="BV286" s="167">
        <f t="shared" ref="BV286:BV289" si="3398">IFERROR(IF(($R286-BU286)&gt;=0,0,IF(($S286-BT286)&lt;0,0,IF(AND(($S286-BU286)&gt;0,(BT286-$R286)&gt;0),$V286/365*(BU286-BT286+1),IF(AND(($S286-BU286)&lt;=0,(BT286-$R286)&gt;0),$V286/365*($S286-BT286+1),$V286/365*(BU286-$R286+1))))),0)</f>
        <v>0</v>
      </c>
      <c r="BW286" s="163">
        <f t="shared" ref="BW286:BW289" si="3399">BU286+1</f>
        <v>46174</v>
      </c>
      <c r="BX286" s="163">
        <f t="shared" ref="BX286:BX289" si="3400">BW286+29</f>
        <v>46203</v>
      </c>
      <c r="BY286" s="167">
        <f t="shared" ref="BY286:BY289" si="3401">IFERROR(IF(($R286-BX286)&gt;=0,0,IF(($S286-BW286)&lt;0,0,IF(AND(($S286-BX286)&gt;0,(BW286-$R286)&gt;0),$V286/365*(BX286-BW286+1),IF(AND(($S286-BX286)&lt;=0,(BW286-$R286)&gt;0),$V286/365*($S286-BW286+1),$V286/365*(BX286-$R286+1))))),0)</f>
        <v>0</v>
      </c>
      <c r="BZ286" s="163">
        <f t="shared" ref="BZ286:BZ289" si="3402">BX286+1</f>
        <v>46204</v>
      </c>
      <c r="CA286" s="163">
        <f t="shared" ref="CA286:CA289" si="3403">BZ286+30</f>
        <v>46234</v>
      </c>
      <c r="CB286" s="167">
        <f t="shared" ref="CB286:CB289" si="3404">IFERROR(IF(($R286-CA286)&gt;=0,0,IF(($S286-BZ286)&lt;0,0,IF(AND(($S286-CA286)&gt;0,(BZ286-$R286)&gt;0),$V286/365*(CA286-BZ286+1),IF(AND(($S286-CA286)&lt;=0,(BZ286-$R286)&gt;0),$V286/365*($S286-BZ286+1),$V286/365*(CA286-$R286+1))))),0)</f>
        <v>0</v>
      </c>
      <c r="CC286" s="163">
        <f t="shared" ref="CC286:CC289" si="3405">CA286+1</f>
        <v>46235</v>
      </c>
      <c r="CD286" s="163">
        <f t="shared" ref="CD286:CD289" si="3406">CC286+30</f>
        <v>46265</v>
      </c>
      <c r="CE286" s="167">
        <f t="shared" ref="CE286:CE289" si="3407">IFERROR(IF(($R286-CD286)&gt;=0,0,IF(($S286-CC286)&lt;0,0,IF(AND(($S286-CD286)&gt;0,(CC286-$R286)&gt;0),$V286/365*(CD286-CC286+1),IF(AND(($S286-CD286)&lt;=0,(CC286-$R286)&gt;0),$V286/365*($S286-CC286+1),$V286/365*(CD286-$R286+1))))),0)</f>
        <v>0</v>
      </c>
      <c r="CF286" s="163">
        <f t="shared" ref="CF286:CF289" si="3408">CD286+1</f>
        <v>46266</v>
      </c>
      <c r="CG286" s="163">
        <f t="shared" ref="CG286:CG289" si="3409">CF286+29</f>
        <v>46295</v>
      </c>
      <c r="CH286" s="167">
        <f t="shared" ref="CH286:CH289" si="3410">IFERROR(IF(($R286-CG286)&gt;=0,0,IF(($S286-CF286)&lt;0,0,IF(AND(($S286-CG286)&gt;0,(CF286-$R286)&gt;0),$V286/365*(CG286-CF286+1),IF(AND(($S286-CG286)&lt;=0,(CF286-$R286)&gt;0),$V286/365*($S286-CF286+1),$V286/365*(CG286-$R286+1))))),0)</f>
        <v>0</v>
      </c>
      <c r="CI286" s="163">
        <f t="shared" ref="CI286:CI289" si="3411">CG286+1</f>
        <v>46296</v>
      </c>
      <c r="CJ286" s="163">
        <f t="shared" ref="CJ286:CJ289" si="3412">CI286+30</f>
        <v>46326</v>
      </c>
      <c r="CK286" s="167">
        <f t="shared" ref="CK286:CK289" si="3413">IFERROR(IF(($R286-CJ286)&gt;=0,0,IF(($S286-CI286)&lt;0,0,IF(AND(($S286-CJ286)&gt;0,(CI286-$R286)&gt;0),$V286/365*(CJ286-CI286+1),IF(AND(($S286-CJ286)&lt;=0,(CI286-$R286)&gt;0),$V286/365*($S286-CI286+1),$V286/365*(CJ286-$R286+1))))),0)</f>
        <v>0</v>
      </c>
      <c r="CL286" s="163">
        <f t="shared" ref="CL286:CL289" si="3414">CJ286+1</f>
        <v>46327</v>
      </c>
      <c r="CM286" s="163">
        <f t="shared" ref="CM286:CM289" si="3415">CL286+29</f>
        <v>46356</v>
      </c>
      <c r="CN286" s="167">
        <f t="shared" ref="CN286:CN289" si="3416">IFERROR(IF(($R286-CM286)&gt;=0,0,IF(($S286-CL286)&lt;0,0,IF(AND(($S286-CM286)&gt;0,(CL286-$R286)&gt;0),$V286/365*(CM286-CL286+1),IF(AND(($S286-CM286)&lt;=0,(CL286-$R286)&gt;0),$V286/365*($S286-CL286+1),$V286/365*(CM286-$R286+1))))),0)</f>
        <v>0</v>
      </c>
      <c r="CO286" s="163">
        <f t="shared" ref="CO286:CO289" si="3417">CM286+1</f>
        <v>46357</v>
      </c>
      <c r="CP286" s="163">
        <f t="shared" ref="CP286:CP289" si="3418">CO286+30</f>
        <v>46387</v>
      </c>
      <c r="CQ286" s="167">
        <f t="shared" ref="CQ286:CQ289" si="3419">IFERROR(IF(($R286-CP286)&gt;=0,0,IF(($S286-CO286)&lt;0,0,IF(AND(($S286-CP286)&gt;0,(CO286-$R286)&gt;0),$V286/365*(CP286-CO286+1),IF(AND(($S286-CP286)&lt;=0,(CO286-$R286)&gt;0),$V286/365*($S286-CO286+1),$V286/365*(CP286-$R286+1))))),0)</f>
        <v>0</v>
      </c>
    </row>
    <row r="287" s="89" customFormat="1" ht="24" hidden="1" customHeight="1" outlineLevel="4" spans="1:95">
      <c r="A287" s="128"/>
      <c r="B287" s="129"/>
      <c r="C287" s="130"/>
      <c r="D287" s="128"/>
      <c r="E287" s="129"/>
      <c r="F287" s="129"/>
      <c r="G287" s="129"/>
      <c r="H287" s="131"/>
      <c r="I287" s="131"/>
      <c r="J287" s="131">
        <f t="shared" si="3131"/>
        <v>0</v>
      </c>
      <c r="K287" s="131">
        <f t="shared" ref="K287:K289" si="3420">K286+1</f>
        <v>2</v>
      </c>
      <c r="L287" s="156"/>
      <c r="M287" s="157">
        <f>IFERROR(VLOOKUP($L287,'2-2 引出数据_合同数据仓库'!$B$5:$BP$200,3,FALSE),0)</f>
        <v>0</v>
      </c>
      <c r="N287" s="131"/>
      <c r="O287" s="157">
        <f>IFERROR(VLOOKUP((LEFT(VLOOKUP($L287,'2-2 引出数据_合同数据仓库'!$B$5:$BP$200,64,FALSE),15)&amp;(RIGHT(VLOOKUP($L287,'2-2 引出数据_合同数据仓库'!$B$5:$BP$200,64,FALSE),4)+1)),'2-2 引出数据_合同数据仓库'!$B$5:$BP$200,3,FALSE),0)</f>
        <v>0</v>
      </c>
      <c r="P287" s="131"/>
      <c r="Q287" s="131">
        <f>IFERROR(VLOOKUP($L287,'2-2 引出数据_合同数据仓库'!$B$5:$BP$200,28,FALSE),0)</f>
        <v>0</v>
      </c>
      <c r="R287" s="131">
        <f>IFERROR(VLOOKUP($L287,'2-2 引出数据_合同数据仓库'!$B$5:$BP$200,29,FALSE),0)</f>
        <v>0</v>
      </c>
      <c r="S287" s="131">
        <f>IFERROR(VLOOKUP($L287,'2-2 引出数据_合同数据仓库'!$B$5:$BP$200,4,FALSE),0)</f>
        <v>0</v>
      </c>
      <c r="T287" s="131"/>
      <c r="U287" s="131">
        <f>IFERROR(VLOOKUP($L287,'2-2 引出数据_合同数据仓库'!$B$5:$BP$200,15,FALSE),0)</f>
        <v>0</v>
      </c>
      <c r="V287" s="131">
        <f t="shared" si="3349"/>
        <v>0</v>
      </c>
      <c r="W287" s="131"/>
      <c r="X287" s="163">
        <v>45658</v>
      </c>
      <c r="Y287" s="163">
        <f t="shared" si="3350"/>
        <v>45688</v>
      </c>
      <c r="Z287" s="167">
        <f t="shared" si="3351"/>
        <v>0</v>
      </c>
      <c r="AA287" s="163">
        <f t="shared" si="3352"/>
        <v>45689</v>
      </c>
      <c r="AB287" s="163">
        <f t="shared" si="3353"/>
        <v>45716</v>
      </c>
      <c r="AC287" s="167">
        <f t="shared" si="3354"/>
        <v>0</v>
      </c>
      <c r="AD287" s="163">
        <f t="shared" si="3355"/>
        <v>45717</v>
      </c>
      <c r="AE287" s="163">
        <f t="shared" si="3356"/>
        <v>45747</v>
      </c>
      <c r="AF287" s="167">
        <f t="shared" si="3357"/>
        <v>0</v>
      </c>
      <c r="AG287" s="163">
        <f t="shared" si="3358"/>
        <v>45748</v>
      </c>
      <c r="AH287" s="163">
        <f t="shared" si="3359"/>
        <v>45777</v>
      </c>
      <c r="AI287" s="167">
        <f t="shared" si="3360"/>
        <v>0</v>
      </c>
      <c r="AJ287" s="163">
        <f t="shared" si="3361"/>
        <v>45778</v>
      </c>
      <c r="AK287" s="163">
        <f t="shared" si="3362"/>
        <v>45808</v>
      </c>
      <c r="AL287" s="167">
        <f t="shared" si="3363"/>
        <v>0</v>
      </c>
      <c r="AM287" s="163">
        <f t="shared" si="3364"/>
        <v>45809</v>
      </c>
      <c r="AN287" s="163">
        <f t="shared" si="3365"/>
        <v>45838</v>
      </c>
      <c r="AO287" s="167">
        <f t="shared" si="3366"/>
        <v>0</v>
      </c>
      <c r="AP287" s="163">
        <f t="shared" si="3367"/>
        <v>45839</v>
      </c>
      <c r="AQ287" s="163">
        <f t="shared" si="3368"/>
        <v>45869</v>
      </c>
      <c r="AR287" s="167">
        <f t="shared" si="3369"/>
        <v>0</v>
      </c>
      <c r="AS287" s="163">
        <f t="shared" si="3370"/>
        <v>45870</v>
      </c>
      <c r="AT287" s="163">
        <f t="shared" si="3371"/>
        <v>45900</v>
      </c>
      <c r="AU287" s="167">
        <f t="shared" si="3372"/>
        <v>0</v>
      </c>
      <c r="AV287" s="163">
        <f t="shared" si="3373"/>
        <v>45901</v>
      </c>
      <c r="AW287" s="163">
        <f t="shared" si="3374"/>
        <v>45930</v>
      </c>
      <c r="AX287" s="167">
        <f t="shared" si="3375"/>
        <v>0</v>
      </c>
      <c r="AY287" s="163">
        <f t="shared" si="3376"/>
        <v>45931</v>
      </c>
      <c r="AZ287" s="163">
        <f t="shared" si="3377"/>
        <v>45961</v>
      </c>
      <c r="BA287" s="167">
        <f t="shared" si="3378"/>
        <v>0</v>
      </c>
      <c r="BB287" s="163">
        <f t="shared" si="3379"/>
        <v>45962</v>
      </c>
      <c r="BC287" s="163">
        <f t="shared" si="3380"/>
        <v>45991</v>
      </c>
      <c r="BD287" s="167">
        <f t="shared" si="3381"/>
        <v>0</v>
      </c>
      <c r="BE287" s="163">
        <f t="shared" si="3382"/>
        <v>45992</v>
      </c>
      <c r="BF287" s="163">
        <f t="shared" si="3383"/>
        <v>46022</v>
      </c>
      <c r="BG287" s="167">
        <f t="shared" si="3384"/>
        <v>0</v>
      </c>
      <c r="BH287" s="163">
        <v>46023</v>
      </c>
      <c r="BI287" s="163">
        <f t="shared" si="3385"/>
        <v>46053</v>
      </c>
      <c r="BJ287" s="167">
        <f t="shared" si="3386"/>
        <v>0</v>
      </c>
      <c r="BK287" s="163">
        <f t="shared" si="3387"/>
        <v>46054</v>
      </c>
      <c r="BL287" s="163">
        <f t="shared" si="3388"/>
        <v>46081</v>
      </c>
      <c r="BM287" s="167">
        <f t="shared" si="3389"/>
        <v>0</v>
      </c>
      <c r="BN287" s="163">
        <f t="shared" si="3390"/>
        <v>46082</v>
      </c>
      <c r="BO287" s="163">
        <f t="shared" si="3391"/>
        <v>46112</v>
      </c>
      <c r="BP287" s="167">
        <f t="shared" si="3392"/>
        <v>0</v>
      </c>
      <c r="BQ287" s="163">
        <f t="shared" si="3393"/>
        <v>46113</v>
      </c>
      <c r="BR287" s="163">
        <f t="shared" si="3394"/>
        <v>46142</v>
      </c>
      <c r="BS287" s="167">
        <f t="shared" si="3395"/>
        <v>0</v>
      </c>
      <c r="BT287" s="163">
        <f t="shared" si="3396"/>
        <v>46143</v>
      </c>
      <c r="BU287" s="163">
        <f t="shared" si="3397"/>
        <v>46173</v>
      </c>
      <c r="BV287" s="167">
        <f t="shared" si="3398"/>
        <v>0</v>
      </c>
      <c r="BW287" s="163">
        <f t="shared" si="3399"/>
        <v>46174</v>
      </c>
      <c r="BX287" s="163">
        <f t="shared" si="3400"/>
        <v>46203</v>
      </c>
      <c r="BY287" s="167">
        <f t="shared" si="3401"/>
        <v>0</v>
      </c>
      <c r="BZ287" s="163">
        <f t="shared" si="3402"/>
        <v>46204</v>
      </c>
      <c r="CA287" s="163">
        <f t="shared" si="3403"/>
        <v>46234</v>
      </c>
      <c r="CB287" s="167">
        <f t="shared" si="3404"/>
        <v>0</v>
      </c>
      <c r="CC287" s="163">
        <f t="shared" si="3405"/>
        <v>46235</v>
      </c>
      <c r="CD287" s="163">
        <f t="shared" si="3406"/>
        <v>46265</v>
      </c>
      <c r="CE287" s="167">
        <f t="shared" si="3407"/>
        <v>0</v>
      </c>
      <c r="CF287" s="163">
        <f t="shared" si="3408"/>
        <v>46266</v>
      </c>
      <c r="CG287" s="163">
        <f t="shared" si="3409"/>
        <v>46295</v>
      </c>
      <c r="CH287" s="167">
        <f t="shared" si="3410"/>
        <v>0</v>
      </c>
      <c r="CI287" s="163">
        <f t="shared" si="3411"/>
        <v>46296</v>
      </c>
      <c r="CJ287" s="163">
        <f t="shared" si="3412"/>
        <v>46326</v>
      </c>
      <c r="CK287" s="167">
        <f t="shared" si="3413"/>
        <v>0</v>
      </c>
      <c r="CL287" s="163">
        <f t="shared" si="3414"/>
        <v>46327</v>
      </c>
      <c r="CM287" s="163">
        <f t="shared" si="3415"/>
        <v>46356</v>
      </c>
      <c r="CN287" s="167">
        <f t="shared" si="3416"/>
        <v>0</v>
      </c>
      <c r="CO287" s="163">
        <f t="shared" si="3417"/>
        <v>46357</v>
      </c>
      <c r="CP287" s="163">
        <f t="shared" si="3418"/>
        <v>46387</v>
      </c>
      <c r="CQ287" s="167">
        <f t="shared" si="3419"/>
        <v>0</v>
      </c>
    </row>
    <row r="288" s="89" customFormat="1" ht="24" hidden="1" customHeight="1" outlineLevel="4" spans="1:95">
      <c r="A288" s="128"/>
      <c r="B288" s="129"/>
      <c r="C288" s="130"/>
      <c r="D288" s="128"/>
      <c r="E288" s="129"/>
      <c r="F288" s="129"/>
      <c r="G288" s="129"/>
      <c r="H288" s="131"/>
      <c r="I288" s="131"/>
      <c r="J288" s="131">
        <f t="shared" si="3131"/>
        <v>0</v>
      </c>
      <c r="K288" s="131">
        <f t="shared" si="3420"/>
        <v>3</v>
      </c>
      <c r="L288" s="156"/>
      <c r="M288" s="157">
        <f>IFERROR(VLOOKUP($L288,'2-2 引出数据_合同数据仓库'!$B$5:$BP$200,3,FALSE),0)</f>
        <v>0</v>
      </c>
      <c r="N288" s="131"/>
      <c r="O288" s="157">
        <f>IFERROR(VLOOKUP((LEFT(VLOOKUP($L288,'2-2 引出数据_合同数据仓库'!$B$5:$BP$200,64,FALSE),15)&amp;(RIGHT(VLOOKUP($L288,'2-2 引出数据_合同数据仓库'!$B$5:$BP$200,64,FALSE),4)+1)),'2-2 引出数据_合同数据仓库'!$B$5:$BP$200,3,FALSE),0)</f>
        <v>0</v>
      </c>
      <c r="P288" s="131"/>
      <c r="Q288" s="131">
        <f>IFERROR(VLOOKUP($L288,'2-2 引出数据_合同数据仓库'!$B$5:$BP$200,28,FALSE),0)</f>
        <v>0</v>
      </c>
      <c r="R288" s="131">
        <f>IFERROR(VLOOKUP($L288,'2-2 引出数据_合同数据仓库'!$B$5:$BP$200,29,FALSE),0)</f>
        <v>0</v>
      </c>
      <c r="S288" s="131">
        <f>IFERROR(VLOOKUP($L288,'2-2 引出数据_合同数据仓库'!$B$5:$BP$200,4,FALSE),0)</f>
        <v>0</v>
      </c>
      <c r="T288" s="131"/>
      <c r="U288" s="131">
        <f>IFERROR(VLOOKUP($L288,'2-2 引出数据_合同数据仓库'!$B$5:$BP$200,15,FALSE),0)</f>
        <v>0</v>
      </c>
      <c r="V288" s="131">
        <f t="shared" si="3349"/>
        <v>0</v>
      </c>
      <c r="W288" s="131"/>
      <c r="X288" s="163">
        <v>45658</v>
      </c>
      <c r="Y288" s="163">
        <f t="shared" si="3350"/>
        <v>45688</v>
      </c>
      <c r="Z288" s="167">
        <f t="shared" si="3351"/>
        <v>0</v>
      </c>
      <c r="AA288" s="163">
        <f t="shared" si="3352"/>
        <v>45689</v>
      </c>
      <c r="AB288" s="163">
        <f t="shared" si="3353"/>
        <v>45716</v>
      </c>
      <c r="AC288" s="167">
        <f t="shared" si="3354"/>
        <v>0</v>
      </c>
      <c r="AD288" s="163">
        <f t="shared" si="3355"/>
        <v>45717</v>
      </c>
      <c r="AE288" s="163">
        <f t="shared" si="3356"/>
        <v>45747</v>
      </c>
      <c r="AF288" s="167">
        <f t="shared" si="3357"/>
        <v>0</v>
      </c>
      <c r="AG288" s="163">
        <f t="shared" si="3358"/>
        <v>45748</v>
      </c>
      <c r="AH288" s="163">
        <f t="shared" si="3359"/>
        <v>45777</v>
      </c>
      <c r="AI288" s="167">
        <f t="shared" si="3360"/>
        <v>0</v>
      </c>
      <c r="AJ288" s="163">
        <f t="shared" si="3361"/>
        <v>45778</v>
      </c>
      <c r="AK288" s="163">
        <f t="shared" si="3362"/>
        <v>45808</v>
      </c>
      <c r="AL288" s="167">
        <f t="shared" si="3363"/>
        <v>0</v>
      </c>
      <c r="AM288" s="163">
        <f t="shared" si="3364"/>
        <v>45809</v>
      </c>
      <c r="AN288" s="163">
        <f t="shared" si="3365"/>
        <v>45838</v>
      </c>
      <c r="AO288" s="167">
        <f t="shared" si="3366"/>
        <v>0</v>
      </c>
      <c r="AP288" s="163">
        <f t="shared" si="3367"/>
        <v>45839</v>
      </c>
      <c r="AQ288" s="163">
        <f t="shared" si="3368"/>
        <v>45869</v>
      </c>
      <c r="AR288" s="167">
        <f t="shared" si="3369"/>
        <v>0</v>
      </c>
      <c r="AS288" s="163">
        <f t="shared" si="3370"/>
        <v>45870</v>
      </c>
      <c r="AT288" s="163">
        <f t="shared" si="3371"/>
        <v>45900</v>
      </c>
      <c r="AU288" s="167">
        <f t="shared" si="3372"/>
        <v>0</v>
      </c>
      <c r="AV288" s="163">
        <f t="shared" si="3373"/>
        <v>45901</v>
      </c>
      <c r="AW288" s="163">
        <f t="shared" si="3374"/>
        <v>45930</v>
      </c>
      <c r="AX288" s="167">
        <f t="shared" si="3375"/>
        <v>0</v>
      </c>
      <c r="AY288" s="163">
        <f t="shared" si="3376"/>
        <v>45931</v>
      </c>
      <c r="AZ288" s="163">
        <f t="shared" si="3377"/>
        <v>45961</v>
      </c>
      <c r="BA288" s="167">
        <f t="shared" si="3378"/>
        <v>0</v>
      </c>
      <c r="BB288" s="163">
        <f t="shared" si="3379"/>
        <v>45962</v>
      </c>
      <c r="BC288" s="163">
        <f t="shared" si="3380"/>
        <v>45991</v>
      </c>
      <c r="BD288" s="167">
        <f t="shared" si="3381"/>
        <v>0</v>
      </c>
      <c r="BE288" s="163">
        <f t="shared" si="3382"/>
        <v>45992</v>
      </c>
      <c r="BF288" s="163">
        <f t="shared" si="3383"/>
        <v>46022</v>
      </c>
      <c r="BG288" s="167">
        <f t="shared" si="3384"/>
        <v>0</v>
      </c>
      <c r="BH288" s="163">
        <v>46023</v>
      </c>
      <c r="BI288" s="163">
        <f t="shared" si="3385"/>
        <v>46053</v>
      </c>
      <c r="BJ288" s="167">
        <f t="shared" si="3386"/>
        <v>0</v>
      </c>
      <c r="BK288" s="163">
        <f t="shared" si="3387"/>
        <v>46054</v>
      </c>
      <c r="BL288" s="163">
        <f t="shared" si="3388"/>
        <v>46081</v>
      </c>
      <c r="BM288" s="167">
        <f t="shared" si="3389"/>
        <v>0</v>
      </c>
      <c r="BN288" s="163">
        <f t="shared" si="3390"/>
        <v>46082</v>
      </c>
      <c r="BO288" s="163">
        <f t="shared" si="3391"/>
        <v>46112</v>
      </c>
      <c r="BP288" s="167">
        <f t="shared" si="3392"/>
        <v>0</v>
      </c>
      <c r="BQ288" s="163">
        <f t="shared" si="3393"/>
        <v>46113</v>
      </c>
      <c r="BR288" s="163">
        <f t="shared" si="3394"/>
        <v>46142</v>
      </c>
      <c r="BS288" s="167">
        <f t="shared" si="3395"/>
        <v>0</v>
      </c>
      <c r="BT288" s="163">
        <f t="shared" si="3396"/>
        <v>46143</v>
      </c>
      <c r="BU288" s="163">
        <f t="shared" si="3397"/>
        <v>46173</v>
      </c>
      <c r="BV288" s="167">
        <f t="shared" si="3398"/>
        <v>0</v>
      </c>
      <c r="BW288" s="163">
        <f t="shared" si="3399"/>
        <v>46174</v>
      </c>
      <c r="BX288" s="163">
        <f t="shared" si="3400"/>
        <v>46203</v>
      </c>
      <c r="BY288" s="167">
        <f t="shared" si="3401"/>
        <v>0</v>
      </c>
      <c r="BZ288" s="163">
        <f t="shared" si="3402"/>
        <v>46204</v>
      </c>
      <c r="CA288" s="163">
        <f t="shared" si="3403"/>
        <v>46234</v>
      </c>
      <c r="CB288" s="167">
        <f t="shared" si="3404"/>
        <v>0</v>
      </c>
      <c r="CC288" s="163">
        <f t="shared" si="3405"/>
        <v>46235</v>
      </c>
      <c r="CD288" s="163">
        <f t="shared" si="3406"/>
        <v>46265</v>
      </c>
      <c r="CE288" s="167">
        <f t="shared" si="3407"/>
        <v>0</v>
      </c>
      <c r="CF288" s="163">
        <f t="shared" si="3408"/>
        <v>46266</v>
      </c>
      <c r="CG288" s="163">
        <f t="shared" si="3409"/>
        <v>46295</v>
      </c>
      <c r="CH288" s="167">
        <f t="shared" si="3410"/>
        <v>0</v>
      </c>
      <c r="CI288" s="163">
        <f t="shared" si="3411"/>
        <v>46296</v>
      </c>
      <c r="CJ288" s="163">
        <f t="shared" si="3412"/>
        <v>46326</v>
      </c>
      <c r="CK288" s="167">
        <f t="shared" si="3413"/>
        <v>0</v>
      </c>
      <c r="CL288" s="163">
        <f t="shared" si="3414"/>
        <v>46327</v>
      </c>
      <c r="CM288" s="163">
        <f t="shared" si="3415"/>
        <v>46356</v>
      </c>
      <c r="CN288" s="167">
        <f t="shared" si="3416"/>
        <v>0</v>
      </c>
      <c r="CO288" s="163">
        <f t="shared" si="3417"/>
        <v>46357</v>
      </c>
      <c r="CP288" s="163">
        <f t="shared" si="3418"/>
        <v>46387</v>
      </c>
      <c r="CQ288" s="167">
        <f t="shared" si="3419"/>
        <v>0</v>
      </c>
    </row>
    <row r="289" s="89" customFormat="1" ht="24" hidden="1" customHeight="1" outlineLevel="4" spans="1:95">
      <c r="A289" s="128"/>
      <c r="B289" s="129"/>
      <c r="C289" s="130"/>
      <c r="D289" s="128"/>
      <c r="E289" s="129"/>
      <c r="F289" s="129"/>
      <c r="G289" s="129"/>
      <c r="H289" s="131"/>
      <c r="I289" s="131"/>
      <c r="J289" s="131">
        <f t="shared" si="3131"/>
        <v>0</v>
      </c>
      <c r="K289" s="131">
        <f t="shared" si="3420"/>
        <v>4</v>
      </c>
      <c r="L289" s="156"/>
      <c r="M289" s="157">
        <f>IFERROR(VLOOKUP($L289,'2-2 引出数据_合同数据仓库'!$B$5:$BP$200,3,FALSE),0)</f>
        <v>0</v>
      </c>
      <c r="N289" s="131"/>
      <c r="O289" s="157">
        <f>IFERROR(VLOOKUP((LEFT(VLOOKUP($L289,'2-2 引出数据_合同数据仓库'!$B$5:$BP$200,64,FALSE),15)&amp;(RIGHT(VLOOKUP($L289,'2-2 引出数据_合同数据仓库'!$B$5:$BP$200,64,FALSE),4)+1)),'2-2 引出数据_合同数据仓库'!$B$5:$BP$200,3,FALSE),0)</f>
        <v>0</v>
      </c>
      <c r="P289" s="131"/>
      <c r="Q289" s="131">
        <f>IFERROR(VLOOKUP($L289,'2-2 引出数据_合同数据仓库'!$B$5:$BP$200,28,FALSE),0)</f>
        <v>0</v>
      </c>
      <c r="R289" s="131">
        <f>IFERROR(VLOOKUP($L289,'2-2 引出数据_合同数据仓库'!$B$5:$BP$200,29,FALSE),0)</f>
        <v>0</v>
      </c>
      <c r="S289" s="131">
        <f>IFERROR(VLOOKUP($L289,'2-2 引出数据_合同数据仓库'!$B$5:$BP$200,4,FALSE),0)</f>
        <v>0</v>
      </c>
      <c r="T289" s="131"/>
      <c r="U289" s="131">
        <f>IFERROR(VLOOKUP($L289,'2-2 引出数据_合同数据仓库'!$B$5:$BP$200,15,FALSE),0)</f>
        <v>0</v>
      </c>
      <c r="V289" s="131">
        <f t="shared" si="3349"/>
        <v>0</v>
      </c>
      <c r="W289" s="131"/>
      <c r="X289" s="163">
        <v>45658</v>
      </c>
      <c r="Y289" s="163">
        <f t="shared" si="3350"/>
        <v>45688</v>
      </c>
      <c r="Z289" s="167">
        <f t="shared" si="3351"/>
        <v>0</v>
      </c>
      <c r="AA289" s="163">
        <f t="shared" si="3352"/>
        <v>45689</v>
      </c>
      <c r="AB289" s="163">
        <f t="shared" si="3353"/>
        <v>45716</v>
      </c>
      <c r="AC289" s="167">
        <f t="shared" si="3354"/>
        <v>0</v>
      </c>
      <c r="AD289" s="163">
        <f t="shared" si="3355"/>
        <v>45717</v>
      </c>
      <c r="AE289" s="163">
        <f t="shared" si="3356"/>
        <v>45747</v>
      </c>
      <c r="AF289" s="167">
        <f t="shared" si="3357"/>
        <v>0</v>
      </c>
      <c r="AG289" s="163">
        <f t="shared" si="3358"/>
        <v>45748</v>
      </c>
      <c r="AH289" s="163">
        <f t="shared" si="3359"/>
        <v>45777</v>
      </c>
      <c r="AI289" s="167">
        <f t="shared" si="3360"/>
        <v>0</v>
      </c>
      <c r="AJ289" s="163">
        <f t="shared" si="3361"/>
        <v>45778</v>
      </c>
      <c r="AK289" s="163">
        <f t="shared" si="3362"/>
        <v>45808</v>
      </c>
      <c r="AL289" s="167">
        <f t="shared" si="3363"/>
        <v>0</v>
      </c>
      <c r="AM289" s="163">
        <f t="shared" si="3364"/>
        <v>45809</v>
      </c>
      <c r="AN289" s="163">
        <f t="shared" si="3365"/>
        <v>45838</v>
      </c>
      <c r="AO289" s="167">
        <f t="shared" si="3366"/>
        <v>0</v>
      </c>
      <c r="AP289" s="163">
        <f t="shared" si="3367"/>
        <v>45839</v>
      </c>
      <c r="AQ289" s="163">
        <f t="shared" si="3368"/>
        <v>45869</v>
      </c>
      <c r="AR289" s="167">
        <f t="shared" si="3369"/>
        <v>0</v>
      </c>
      <c r="AS289" s="163">
        <f t="shared" si="3370"/>
        <v>45870</v>
      </c>
      <c r="AT289" s="163">
        <f t="shared" si="3371"/>
        <v>45900</v>
      </c>
      <c r="AU289" s="167">
        <f t="shared" si="3372"/>
        <v>0</v>
      </c>
      <c r="AV289" s="163">
        <f t="shared" si="3373"/>
        <v>45901</v>
      </c>
      <c r="AW289" s="163">
        <f t="shared" si="3374"/>
        <v>45930</v>
      </c>
      <c r="AX289" s="167">
        <f t="shared" si="3375"/>
        <v>0</v>
      </c>
      <c r="AY289" s="163">
        <f t="shared" si="3376"/>
        <v>45931</v>
      </c>
      <c r="AZ289" s="163">
        <f t="shared" si="3377"/>
        <v>45961</v>
      </c>
      <c r="BA289" s="167">
        <f t="shared" si="3378"/>
        <v>0</v>
      </c>
      <c r="BB289" s="163">
        <f t="shared" si="3379"/>
        <v>45962</v>
      </c>
      <c r="BC289" s="163">
        <f t="shared" si="3380"/>
        <v>45991</v>
      </c>
      <c r="BD289" s="167">
        <f t="shared" si="3381"/>
        <v>0</v>
      </c>
      <c r="BE289" s="163">
        <f t="shared" si="3382"/>
        <v>45992</v>
      </c>
      <c r="BF289" s="163">
        <f t="shared" si="3383"/>
        <v>46022</v>
      </c>
      <c r="BG289" s="167">
        <f t="shared" si="3384"/>
        <v>0</v>
      </c>
      <c r="BH289" s="163">
        <v>46023</v>
      </c>
      <c r="BI289" s="163">
        <f t="shared" si="3385"/>
        <v>46053</v>
      </c>
      <c r="BJ289" s="167">
        <f t="shared" si="3386"/>
        <v>0</v>
      </c>
      <c r="BK289" s="163">
        <f t="shared" si="3387"/>
        <v>46054</v>
      </c>
      <c r="BL289" s="163">
        <f t="shared" si="3388"/>
        <v>46081</v>
      </c>
      <c r="BM289" s="167">
        <f t="shared" si="3389"/>
        <v>0</v>
      </c>
      <c r="BN289" s="163">
        <f t="shared" si="3390"/>
        <v>46082</v>
      </c>
      <c r="BO289" s="163">
        <f t="shared" si="3391"/>
        <v>46112</v>
      </c>
      <c r="BP289" s="167">
        <f t="shared" si="3392"/>
        <v>0</v>
      </c>
      <c r="BQ289" s="163">
        <f t="shared" si="3393"/>
        <v>46113</v>
      </c>
      <c r="BR289" s="163">
        <f t="shared" si="3394"/>
        <v>46142</v>
      </c>
      <c r="BS289" s="167">
        <f t="shared" si="3395"/>
        <v>0</v>
      </c>
      <c r="BT289" s="163">
        <f t="shared" si="3396"/>
        <v>46143</v>
      </c>
      <c r="BU289" s="163">
        <f t="shared" si="3397"/>
        <v>46173</v>
      </c>
      <c r="BV289" s="167">
        <f t="shared" si="3398"/>
        <v>0</v>
      </c>
      <c r="BW289" s="163">
        <f t="shared" si="3399"/>
        <v>46174</v>
      </c>
      <c r="BX289" s="163">
        <f t="shared" si="3400"/>
        <v>46203</v>
      </c>
      <c r="BY289" s="167">
        <f t="shared" si="3401"/>
        <v>0</v>
      </c>
      <c r="BZ289" s="163">
        <f t="shared" si="3402"/>
        <v>46204</v>
      </c>
      <c r="CA289" s="163">
        <f t="shared" si="3403"/>
        <v>46234</v>
      </c>
      <c r="CB289" s="167">
        <f t="shared" si="3404"/>
        <v>0</v>
      </c>
      <c r="CC289" s="163">
        <f t="shared" si="3405"/>
        <v>46235</v>
      </c>
      <c r="CD289" s="163">
        <f t="shared" si="3406"/>
        <v>46265</v>
      </c>
      <c r="CE289" s="167">
        <f t="shared" si="3407"/>
        <v>0</v>
      </c>
      <c r="CF289" s="163">
        <f t="shared" si="3408"/>
        <v>46266</v>
      </c>
      <c r="CG289" s="163">
        <f t="shared" si="3409"/>
        <v>46295</v>
      </c>
      <c r="CH289" s="167">
        <f t="shared" si="3410"/>
        <v>0</v>
      </c>
      <c r="CI289" s="163">
        <f t="shared" si="3411"/>
        <v>46296</v>
      </c>
      <c r="CJ289" s="163">
        <f t="shared" si="3412"/>
        <v>46326</v>
      </c>
      <c r="CK289" s="167">
        <f t="shared" si="3413"/>
        <v>0</v>
      </c>
      <c r="CL289" s="163">
        <f t="shared" si="3414"/>
        <v>46327</v>
      </c>
      <c r="CM289" s="163">
        <f t="shared" si="3415"/>
        <v>46356</v>
      </c>
      <c r="CN289" s="167">
        <f t="shared" si="3416"/>
        <v>0</v>
      </c>
      <c r="CO289" s="163">
        <f t="shared" si="3417"/>
        <v>46357</v>
      </c>
      <c r="CP289" s="163">
        <f t="shared" si="3418"/>
        <v>46387</v>
      </c>
      <c r="CQ289" s="167">
        <f t="shared" si="3419"/>
        <v>0</v>
      </c>
    </row>
    <row r="290" s="89" customFormat="1" ht="24" hidden="1" customHeight="1" outlineLevel="4" spans="1:95">
      <c r="A290" s="132" t="s">
        <v>2813</v>
      </c>
      <c r="B290" s="133"/>
      <c r="C290" s="133"/>
      <c r="D290" s="133"/>
      <c r="E290" s="133"/>
      <c r="F290" s="133"/>
      <c r="G290" s="134"/>
      <c r="H290" s="135"/>
      <c r="I290" s="135"/>
      <c r="J290" s="135"/>
      <c r="K290" s="135"/>
      <c r="L290" s="158"/>
      <c r="M290" s="158"/>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c r="CL290" s="135"/>
      <c r="CM290" s="135"/>
      <c r="CN290" s="135"/>
      <c r="CO290" s="135"/>
      <c r="CP290" s="135"/>
      <c r="CQ290" s="135"/>
    </row>
    <row r="291" ht="24" hidden="1" customHeight="1" outlineLevel="3" collapsed="1" spans="1:95">
      <c r="A291" s="124"/>
      <c r="B291" s="125" t="s">
        <v>792</v>
      </c>
      <c r="C291" s="126" t="s">
        <v>1244</v>
      </c>
      <c r="D291" s="124" t="s">
        <v>1245</v>
      </c>
      <c r="E291" s="125"/>
      <c r="F291" s="125"/>
      <c r="G291" s="125" t="s">
        <v>936</v>
      </c>
      <c r="H291" s="127">
        <f>X291+AA291+AD291+AG291+AJ291+AM291+AP291+AS291+AV291+AY291+BB291+BE291</f>
        <v>0</v>
      </c>
      <c r="I291" s="127">
        <f>Y291+AB291+AE291+AH291+AK291+AN291+AQ291+AT291+AW291+AZ291+BC291+BF291</f>
        <v>0</v>
      </c>
      <c r="J291" s="127">
        <f t="shared" si="3131"/>
        <v>0</v>
      </c>
      <c r="K291" s="127"/>
      <c r="L291" s="155"/>
      <c r="M291" s="155"/>
      <c r="N291" s="127"/>
      <c r="O291" s="127"/>
      <c r="P291" s="127"/>
      <c r="Q291" s="127"/>
      <c r="R291" s="127"/>
      <c r="S291" s="127"/>
      <c r="T291" s="127"/>
      <c r="U291" s="127"/>
      <c r="V291" s="127"/>
      <c r="W291" s="127"/>
      <c r="X291" s="127">
        <f>VLOOKUP($C291,'1 预算编制表单'!$C:$BJ,27,FALSE)</f>
        <v>0</v>
      </c>
      <c r="Y291" s="127">
        <f>X291-Z291</f>
        <v>0</v>
      </c>
      <c r="Z291" s="127">
        <f>SUM(Z292:Z296)</f>
        <v>0</v>
      </c>
      <c r="AA291" s="127">
        <f>VLOOKUP($C291,'1 预算编制表单'!$C:$BJ,30,FALSE)</f>
        <v>0</v>
      </c>
      <c r="AB291" s="127">
        <f>AA291-AC291</f>
        <v>0</v>
      </c>
      <c r="AC291" s="127">
        <f>SUM(AC292:AC296)</f>
        <v>0</v>
      </c>
      <c r="AD291" s="127">
        <f>VLOOKUP($C291,'1 预算编制表单'!$C:$BJ,33,FALSE)</f>
        <v>0</v>
      </c>
      <c r="AE291" s="127">
        <f>AD291-AF291</f>
        <v>0</v>
      </c>
      <c r="AF291" s="127">
        <f>SUM(AF292:AF296)</f>
        <v>0</v>
      </c>
      <c r="AG291" s="127">
        <f>VLOOKUP($C291,'1 预算编制表单'!$C:$BJ,36,FALSE)</f>
        <v>0</v>
      </c>
      <c r="AH291" s="127">
        <f>AG291-AI291</f>
        <v>0</v>
      </c>
      <c r="AI291" s="127">
        <f>SUM(AI292:AI296)</f>
        <v>0</v>
      </c>
      <c r="AJ291" s="127">
        <f>VLOOKUP($C291,'1 预算编制表单'!$C:$BJ,39,FALSE)</f>
        <v>0</v>
      </c>
      <c r="AK291" s="127">
        <f>AJ291-AL291</f>
        <v>0</v>
      </c>
      <c r="AL291" s="127">
        <f>SUM(AL292:AL296)</f>
        <v>0</v>
      </c>
      <c r="AM291" s="127">
        <f>VLOOKUP($C291,'1 预算编制表单'!$C:$BJ,42,FALSE)</f>
        <v>0</v>
      </c>
      <c r="AN291" s="127">
        <f>AM291-AO291</f>
        <v>0</v>
      </c>
      <c r="AO291" s="127">
        <f>SUM(AO292:AO296)</f>
        <v>0</v>
      </c>
      <c r="AP291" s="127">
        <f>VLOOKUP($C291,'1 预算编制表单'!$C:$BJ,45,FALSE)</f>
        <v>0</v>
      </c>
      <c r="AQ291" s="127">
        <f>AP291-AR291</f>
        <v>0</v>
      </c>
      <c r="AR291" s="127">
        <f>SUM(AR292:AR296)</f>
        <v>0</v>
      </c>
      <c r="AS291" s="127">
        <f>VLOOKUP($C291,'1 预算编制表单'!$C:$BJ,48,FALSE)</f>
        <v>0</v>
      </c>
      <c r="AT291" s="127">
        <f>AS291-AU291</f>
        <v>0</v>
      </c>
      <c r="AU291" s="127">
        <f>SUM(AU292:AU296)</f>
        <v>0</v>
      </c>
      <c r="AV291" s="127">
        <f>VLOOKUP($C291,'1 预算编制表单'!$C:$BJ,51,FALSE)</f>
        <v>0</v>
      </c>
      <c r="AW291" s="127">
        <f>AV291-AX291</f>
        <v>0</v>
      </c>
      <c r="AX291" s="127">
        <f>SUM(AX292:AX296)</f>
        <v>0</v>
      </c>
      <c r="AY291" s="127">
        <f>VLOOKUP($C291,'1 预算编制表单'!$C:$BJ,54,FALSE)</f>
        <v>0</v>
      </c>
      <c r="AZ291" s="127">
        <f>AY291-BA291</f>
        <v>0</v>
      </c>
      <c r="BA291" s="127">
        <f>SUM(BA292:BA296)</f>
        <v>0</v>
      </c>
      <c r="BB291" s="127">
        <f>VLOOKUP($C291,'1 预算编制表单'!$C:$BJ,57,FALSE)</f>
        <v>0</v>
      </c>
      <c r="BC291" s="127">
        <f>BB291-BD291</f>
        <v>0</v>
      </c>
      <c r="BD291" s="127">
        <f>SUM(BD292:BD296)</f>
        <v>0</v>
      </c>
      <c r="BE291" s="127">
        <f>VLOOKUP($C291,'1 预算编制表单'!$C:$BJ,60,FALSE)</f>
        <v>0</v>
      </c>
      <c r="BF291" s="127">
        <f>BE291-BG291</f>
        <v>0</v>
      </c>
      <c r="BG291" s="127">
        <f>SUM(BG292:BG296)</f>
        <v>0</v>
      </c>
      <c r="BH291" s="127">
        <f>VLOOKUP($C291,'1 预算编制表单'!$C:$BJ,27,FALSE)</f>
        <v>0</v>
      </c>
      <c r="BI291" s="127">
        <f>BH291-BJ291</f>
        <v>0</v>
      </c>
      <c r="BJ291" s="127">
        <f>SUM(BJ292:BJ296)</f>
        <v>0</v>
      </c>
      <c r="BK291" s="127">
        <f>VLOOKUP($C291,'1 预算编制表单'!$C:$BJ,30,FALSE)</f>
        <v>0</v>
      </c>
      <c r="BL291" s="127">
        <f>BK291-BM291</f>
        <v>0</v>
      </c>
      <c r="BM291" s="127">
        <f>SUM(BM292:BM296)</f>
        <v>0</v>
      </c>
      <c r="BN291" s="127">
        <f>VLOOKUP($C291,'1 预算编制表单'!$C:$BJ,33,FALSE)</f>
        <v>0</v>
      </c>
      <c r="BO291" s="127">
        <f>BN291-BP291</f>
        <v>0</v>
      </c>
      <c r="BP291" s="127">
        <f>SUM(BP292:BP296)</f>
        <v>0</v>
      </c>
      <c r="BQ291" s="127">
        <f>VLOOKUP($C291,'1 预算编制表单'!$C:$BJ,36,FALSE)</f>
        <v>0</v>
      </c>
      <c r="BR291" s="127">
        <f>BQ291-BS291</f>
        <v>0</v>
      </c>
      <c r="BS291" s="127">
        <f>SUM(BS292:BS296)</f>
        <v>0</v>
      </c>
      <c r="BT291" s="127">
        <f>VLOOKUP($C291,'1 预算编制表单'!$C:$BJ,39,FALSE)</f>
        <v>0</v>
      </c>
      <c r="BU291" s="127">
        <f>BT291-BV291</f>
        <v>0</v>
      </c>
      <c r="BV291" s="127">
        <f>SUM(BV292:BV296)</f>
        <v>0</v>
      </c>
      <c r="BW291" s="127">
        <f>VLOOKUP($C291,'1 预算编制表单'!$C:$BJ,42,FALSE)</f>
        <v>0</v>
      </c>
      <c r="BX291" s="127">
        <f>BW291-BY291</f>
        <v>0</v>
      </c>
      <c r="BY291" s="127">
        <f>SUM(BY292:BY296)</f>
        <v>0</v>
      </c>
      <c r="BZ291" s="127">
        <f>VLOOKUP($C291,'1 预算编制表单'!$C:$BJ,45,FALSE)</f>
        <v>0</v>
      </c>
      <c r="CA291" s="127">
        <f>BZ291-CB291</f>
        <v>0</v>
      </c>
      <c r="CB291" s="127">
        <f>SUM(CB292:CB296)</f>
        <v>0</v>
      </c>
      <c r="CC291" s="127">
        <f>VLOOKUP($C291,'1 预算编制表单'!$C:$BJ,48,FALSE)</f>
        <v>0</v>
      </c>
      <c r="CD291" s="127">
        <f>CC291-CE291</f>
        <v>0</v>
      </c>
      <c r="CE291" s="127">
        <f>SUM(CE292:CE296)</f>
        <v>0</v>
      </c>
      <c r="CF291" s="127">
        <f>VLOOKUP($C291,'1 预算编制表单'!$C:$BJ,51,FALSE)</f>
        <v>0</v>
      </c>
      <c r="CG291" s="127">
        <f>CF291-CH291</f>
        <v>0</v>
      </c>
      <c r="CH291" s="127">
        <f>SUM(CH292:CH296)</f>
        <v>0</v>
      </c>
      <c r="CI291" s="127">
        <f>VLOOKUP($C291,'1 预算编制表单'!$C:$BJ,54,FALSE)</f>
        <v>0</v>
      </c>
      <c r="CJ291" s="127">
        <f>CI291-CK291</f>
        <v>0</v>
      </c>
      <c r="CK291" s="127">
        <f>SUM(CK292:CK296)</f>
        <v>0</v>
      </c>
      <c r="CL291" s="127">
        <f>VLOOKUP($C291,'1 预算编制表单'!$C:$BJ,57,FALSE)</f>
        <v>0</v>
      </c>
      <c r="CM291" s="127">
        <f>CL291-CN291</f>
        <v>0</v>
      </c>
      <c r="CN291" s="127">
        <f>SUM(CN292:CN296)</f>
        <v>0</v>
      </c>
      <c r="CO291" s="127">
        <f>VLOOKUP($C291,'1 预算编制表单'!$C:$BJ,60,FALSE)</f>
        <v>0</v>
      </c>
      <c r="CP291" s="127">
        <f>CO291-CQ291</f>
        <v>0</v>
      </c>
      <c r="CQ291" s="127">
        <f>SUM(CQ292:CQ296)</f>
        <v>0</v>
      </c>
    </row>
    <row r="292" s="89" customFormat="1" ht="24" hidden="1" customHeight="1" outlineLevel="4" spans="1:95">
      <c r="A292" s="128"/>
      <c r="B292" s="129"/>
      <c r="C292" s="130"/>
      <c r="D292" s="128"/>
      <c r="E292" s="129"/>
      <c r="F292" s="129"/>
      <c r="G292" s="129"/>
      <c r="H292" s="131"/>
      <c r="I292" s="131"/>
      <c r="J292" s="131">
        <f t="shared" si="3131"/>
        <v>0</v>
      </c>
      <c r="K292" s="131">
        <v>1</v>
      </c>
      <c r="L292" s="156"/>
      <c r="M292" s="157">
        <f>IFERROR(VLOOKUP($L292,'2-2 引出数据_合同数据仓库'!$B$5:$BP$200,3,FALSE),0)</f>
        <v>0</v>
      </c>
      <c r="N292" s="131"/>
      <c r="O292" s="157">
        <f>IFERROR(VLOOKUP((LEFT(VLOOKUP($L292,'2-2 引出数据_合同数据仓库'!$B$5:$BP$200,64,FALSE),15)&amp;(RIGHT(VLOOKUP($L292,'2-2 引出数据_合同数据仓库'!$B$5:$BP$200,64,FALSE),4)+1)),'2-2 引出数据_合同数据仓库'!$B$5:$BP$200,3,FALSE),0)</f>
        <v>0</v>
      </c>
      <c r="P292" s="131"/>
      <c r="Q292" s="131">
        <f>IFERROR(VLOOKUP($L292,'2-2 引出数据_合同数据仓库'!$B$5:$BP$200,28,FALSE),0)</f>
        <v>0</v>
      </c>
      <c r="R292" s="131">
        <f>IFERROR(VLOOKUP($L292,'2-2 引出数据_合同数据仓库'!$B$5:$BP$200,29,FALSE),0)</f>
        <v>0</v>
      </c>
      <c r="S292" s="131">
        <f>IFERROR(VLOOKUP($L292,'2-2 引出数据_合同数据仓库'!$B$5:$BP$200,4,FALSE),0)</f>
        <v>0</v>
      </c>
      <c r="T292" s="131"/>
      <c r="U292" s="131">
        <f>IFERROR(VLOOKUP($L292,'2-2 引出数据_合同数据仓库'!$B$5:$BP$200,15,FALSE),0)</f>
        <v>0</v>
      </c>
      <c r="V292" s="131">
        <f t="shared" ref="V292:V295" si="3421">U292/(S292-R292+1)*365</f>
        <v>0</v>
      </c>
      <c r="W292" s="131"/>
      <c r="X292" s="163">
        <v>45658</v>
      </c>
      <c r="Y292" s="163">
        <f t="shared" ref="Y292:Y295" si="3422">X292+30</f>
        <v>45688</v>
      </c>
      <c r="Z292" s="167">
        <f t="shared" ref="Z292:Z295" si="3423">IFERROR(IF(($R292-Y292)&gt;=0,0,IF(($S292-X292)&lt;0,0,IF(AND(($S292-Y292)&gt;0,(X292-$R292)&gt;0),$V292/365*(Y292-X292+1),IF(AND(($S292-Y292)&lt;=0,(X292-$R292)&gt;0),$V292/365*($S292-X292+1),$V292/365*(Y292-$R292+1))))),0)</f>
        <v>0</v>
      </c>
      <c r="AA292" s="163">
        <f t="shared" ref="AA292:AA295" si="3424">Y292+1</f>
        <v>45689</v>
      </c>
      <c r="AB292" s="163">
        <f t="shared" ref="AB292:AB295" si="3425">AA292+27</f>
        <v>45716</v>
      </c>
      <c r="AC292" s="167">
        <f t="shared" ref="AC292:AC295" si="3426">IFERROR(IF(($R292-AB292)&gt;=0,0,IF(($S292-AA292)&lt;0,0,IF(AND(($S292-AB292)&gt;0,(AA292-$R292)&gt;0),$V292/365*(AB292-AA292+1),IF(AND(($S292-AB292)&lt;=0,(AA292-$R292)&gt;0),$V292/365*($S292-AA292+1),$V292/365*(AB292-$R292+1))))),0)</f>
        <v>0</v>
      </c>
      <c r="AD292" s="163">
        <f t="shared" ref="AD292:AD295" si="3427">AB292+1</f>
        <v>45717</v>
      </c>
      <c r="AE292" s="163">
        <f t="shared" ref="AE292:AE295" si="3428">AD292+30</f>
        <v>45747</v>
      </c>
      <c r="AF292" s="167">
        <f t="shared" ref="AF292:AF295" si="3429">IFERROR(IF(($R292-AE292)&gt;=0,0,IF(($S292-AD292)&lt;0,0,IF(AND(($S292-AE292)&gt;0,(AD292-$R292)&gt;0),$V292/365*(AE292-AD292+1),IF(AND(($S292-AE292)&lt;=0,(AD292-$R292)&gt;0),$V292/365*($S292-AD292+1),$V292/365*(AE292-$R292+1))))),0)</f>
        <v>0</v>
      </c>
      <c r="AG292" s="163">
        <f t="shared" ref="AG292:AG295" si="3430">AE292+1</f>
        <v>45748</v>
      </c>
      <c r="AH292" s="163">
        <f t="shared" ref="AH292:AH295" si="3431">AG292+29</f>
        <v>45777</v>
      </c>
      <c r="AI292" s="167">
        <f t="shared" ref="AI292:AI295" si="3432">IFERROR(IF(($R292-AH292)&gt;=0,0,IF(($S292-AG292)&lt;0,0,IF(AND(($S292-AH292)&gt;0,(AG292-$R292)&gt;0),$V292/365*(AH292-AG292+1),IF(AND(($S292-AH292)&lt;=0,(AG292-$R292)&gt;0),$V292/365*($S292-AG292+1),$V292/365*(AH292-$R292+1))))),0)</f>
        <v>0</v>
      </c>
      <c r="AJ292" s="163">
        <f t="shared" ref="AJ292:AJ295" si="3433">AH292+1</f>
        <v>45778</v>
      </c>
      <c r="AK292" s="163">
        <f t="shared" ref="AK292:AK295" si="3434">AJ292+30</f>
        <v>45808</v>
      </c>
      <c r="AL292" s="167">
        <f t="shared" ref="AL292:AL295" si="3435">IFERROR(IF(($R292-AK292)&gt;=0,0,IF(($S292-AJ292)&lt;0,0,IF(AND(($S292-AK292)&gt;0,(AJ292-$R292)&gt;0),$V292/365*(AK292-AJ292+1),IF(AND(($S292-AK292)&lt;=0,(AJ292-$R292)&gt;0),$V292/365*($S292-AJ292+1),$V292/365*(AK292-$R292+1))))),0)</f>
        <v>0</v>
      </c>
      <c r="AM292" s="163">
        <f t="shared" ref="AM292:AM295" si="3436">AK292+1</f>
        <v>45809</v>
      </c>
      <c r="AN292" s="163">
        <f t="shared" ref="AN292:AN295" si="3437">AM292+29</f>
        <v>45838</v>
      </c>
      <c r="AO292" s="167">
        <f t="shared" ref="AO292:AO295" si="3438">IFERROR(IF(($R292-AN292)&gt;=0,0,IF(($S292-AM292)&lt;0,0,IF(AND(($S292-AN292)&gt;0,(AM292-$R292)&gt;0),$V292/365*(AN292-AM292+1),IF(AND(($S292-AN292)&lt;=0,(AM292-$R292)&gt;0),$V292/365*($S292-AM292+1),$V292/365*(AN292-$R292+1))))),0)</f>
        <v>0</v>
      </c>
      <c r="AP292" s="163">
        <f t="shared" ref="AP292:AP295" si="3439">AN292+1</f>
        <v>45839</v>
      </c>
      <c r="AQ292" s="163">
        <f t="shared" ref="AQ292:AQ295" si="3440">AP292+30</f>
        <v>45869</v>
      </c>
      <c r="AR292" s="167">
        <f t="shared" ref="AR292:AR295" si="3441">IFERROR(IF(($R292-AQ292)&gt;=0,0,IF(($S292-AP292)&lt;0,0,IF(AND(($S292-AQ292)&gt;0,(AP292-$R292)&gt;0),$V292/365*(AQ292-AP292+1),IF(AND(($S292-AQ292)&lt;=0,(AP292-$R292)&gt;0),$V292/365*($S292-AP292+1),$V292/365*(AQ292-$R292+1))))),0)</f>
        <v>0</v>
      </c>
      <c r="AS292" s="163">
        <f t="shared" ref="AS292:AS295" si="3442">AQ292+1</f>
        <v>45870</v>
      </c>
      <c r="AT292" s="163">
        <f t="shared" ref="AT292:AT295" si="3443">AS292+30</f>
        <v>45900</v>
      </c>
      <c r="AU292" s="167">
        <f t="shared" ref="AU292:AU295" si="3444">IFERROR(IF(($R292-AT292)&gt;=0,0,IF(($S292-AS292)&lt;0,0,IF(AND(($S292-AT292)&gt;0,(AS292-$R292)&gt;0),$V292/365*(AT292-AS292+1),IF(AND(($S292-AT292)&lt;=0,(AS292-$R292)&gt;0),$V292/365*($S292-AS292+1),$V292/365*(AT292-$R292+1))))),0)</f>
        <v>0</v>
      </c>
      <c r="AV292" s="163">
        <f t="shared" ref="AV292:AV295" si="3445">AT292+1</f>
        <v>45901</v>
      </c>
      <c r="AW292" s="163">
        <f t="shared" ref="AW292:AW295" si="3446">AV292+29</f>
        <v>45930</v>
      </c>
      <c r="AX292" s="167">
        <f t="shared" ref="AX292:AX295" si="3447">IFERROR(IF(($R292-AW292)&gt;=0,0,IF(($S292-AV292)&lt;0,0,IF(AND(($S292-AW292)&gt;0,(AV292-$R292)&gt;0),$V292/365*(AW292-AV292+1),IF(AND(($S292-AW292)&lt;=0,(AV292-$R292)&gt;0),$V292/365*($S292-AV292+1),$V292/365*(AW292-$R292+1))))),0)</f>
        <v>0</v>
      </c>
      <c r="AY292" s="163">
        <f t="shared" ref="AY292:AY295" si="3448">AW292+1</f>
        <v>45931</v>
      </c>
      <c r="AZ292" s="163">
        <f t="shared" ref="AZ292:AZ295" si="3449">AY292+30</f>
        <v>45961</v>
      </c>
      <c r="BA292" s="167">
        <f t="shared" ref="BA292:BA295" si="3450">IFERROR(IF(($R292-AZ292)&gt;=0,0,IF(($S292-AY292)&lt;0,0,IF(AND(($S292-AZ292)&gt;0,(AY292-$R292)&gt;0),$V292/365*(AZ292-AY292+1),IF(AND(($S292-AZ292)&lt;=0,(AY292-$R292)&gt;0),$V292/365*($S292-AY292+1),$V292/365*(AZ292-$R292+1))))),0)</f>
        <v>0</v>
      </c>
      <c r="BB292" s="163">
        <f t="shared" ref="BB292:BB295" si="3451">AZ292+1</f>
        <v>45962</v>
      </c>
      <c r="BC292" s="163">
        <f t="shared" ref="BC292:BC295" si="3452">BB292+29</f>
        <v>45991</v>
      </c>
      <c r="BD292" s="167">
        <f t="shared" ref="BD292:BD295" si="3453">IFERROR(IF(($R292-BC292)&gt;=0,0,IF(($S292-BB292)&lt;0,0,IF(AND(($S292-BC292)&gt;0,(BB292-$R292)&gt;0),$V292/365*(BC292-BB292+1),IF(AND(($S292-BC292)&lt;=0,(BB292-$R292)&gt;0),$V292/365*($S292-BB292+1),$V292/365*(BC292-$R292+1))))),0)</f>
        <v>0</v>
      </c>
      <c r="BE292" s="163">
        <f t="shared" ref="BE292:BE295" si="3454">BC292+1</f>
        <v>45992</v>
      </c>
      <c r="BF292" s="163">
        <f t="shared" ref="BF292:BF295" si="3455">BE292+30</f>
        <v>46022</v>
      </c>
      <c r="BG292" s="167">
        <f t="shared" ref="BG292:BG295" si="3456">IFERROR(IF(($R292-BF292)&gt;=0,0,IF(($S292-BE292)&lt;0,0,IF(AND(($S292-BF292)&gt;0,(BE292-$R292)&gt;0),$V292/365*(BF292-BE292+1),IF(AND(($S292-BF292)&lt;=0,(BE292-$R292)&gt;0),$V292/365*($S292-BE292+1),$V292/365*(BF292-$R292+1))))),0)</f>
        <v>0</v>
      </c>
      <c r="BH292" s="163">
        <v>46023</v>
      </c>
      <c r="BI292" s="163">
        <f t="shared" ref="BI292:BI295" si="3457">BH292+30</f>
        <v>46053</v>
      </c>
      <c r="BJ292" s="167">
        <f t="shared" ref="BJ292:BJ295" si="3458">IFERROR(IF(($R292-BI292)&gt;=0,0,IF(($S292-BH292)&lt;0,0,IF(AND(($S292-BI292)&gt;0,(BH292-$R292)&gt;0),$V292/365*(BI292-BH292+1),IF(AND(($S292-BI292)&lt;=0,(BH292-$R292)&gt;0),$V292/365*($S292-BH292+1),$V292/365*(BI292-$R292+1))))),0)</f>
        <v>0</v>
      </c>
      <c r="BK292" s="163">
        <f t="shared" ref="BK292:BK295" si="3459">BI292+1</f>
        <v>46054</v>
      </c>
      <c r="BL292" s="163">
        <f t="shared" ref="BL292:BL295" si="3460">BK292+27</f>
        <v>46081</v>
      </c>
      <c r="BM292" s="167">
        <f t="shared" ref="BM292:BM295" si="3461">IFERROR(IF(($R292-BL292)&gt;=0,0,IF(($S292-BK292)&lt;0,0,IF(AND(($S292-BL292)&gt;0,(BK292-$R292)&gt;0),$V292/365*(BL292-BK292+1),IF(AND(($S292-BL292)&lt;=0,(BK292-$R292)&gt;0),$V292/365*($S292-BK292+1),$V292/365*(BL292-$R292+1))))),0)</f>
        <v>0</v>
      </c>
      <c r="BN292" s="163">
        <f t="shared" ref="BN292:BN295" si="3462">BL292+1</f>
        <v>46082</v>
      </c>
      <c r="BO292" s="163">
        <f t="shared" ref="BO292:BO295" si="3463">BN292+30</f>
        <v>46112</v>
      </c>
      <c r="BP292" s="167">
        <f t="shared" ref="BP292:BP295" si="3464">IFERROR(IF(($R292-BO292)&gt;=0,0,IF(($S292-BN292)&lt;0,0,IF(AND(($S292-BO292)&gt;0,(BN292-$R292)&gt;0),$V292/365*(BO292-BN292+1),IF(AND(($S292-BO292)&lt;=0,(BN292-$R292)&gt;0),$V292/365*($S292-BN292+1),$V292/365*(BO292-$R292+1))))),0)</f>
        <v>0</v>
      </c>
      <c r="BQ292" s="163">
        <f t="shared" ref="BQ292:BQ295" si="3465">BO292+1</f>
        <v>46113</v>
      </c>
      <c r="BR292" s="163">
        <f t="shared" ref="BR292:BR295" si="3466">BQ292+29</f>
        <v>46142</v>
      </c>
      <c r="BS292" s="167">
        <f t="shared" ref="BS292:BS295" si="3467">IFERROR(IF(($R292-BR292)&gt;=0,0,IF(($S292-BQ292)&lt;0,0,IF(AND(($S292-BR292)&gt;0,(BQ292-$R292)&gt;0),$V292/365*(BR292-BQ292+1),IF(AND(($S292-BR292)&lt;=0,(BQ292-$R292)&gt;0),$V292/365*($S292-BQ292+1),$V292/365*(BR292-$R292+1))))),0)</f>
        <v>0</v>
      </c>
      <c r="BT292" s="163">
        <f t="shared" ref="BT292:BT295" si="3468">BR292+1</f>
        <v>46143</v>
      </c>
      <c r="BU292" s="163">
        <f t="shared" ref="BU292:BU295" si="3469">BT292+30</f>
        <v>46173</v>
      </c>
      <c r="BV292" s="167">
        <f t="shared" ref="BV292:BV295" si="3470">IFERROR(IF(($R292-BU292)&gt;=0,0,IF(($S292-BT292)&lt;0,0,IF(AND(($S292-BU292)&gt;0,(BT292-$R292)&gt;0),$V292/365*(BU292-BT292+1),IF(AND(($S292-BU292)&lt;=0,(BT292-$R292)&gt;0),$V292/365*($S292-BT292+1),$V292/365*(BU292-$R292+1))))),0)</f>
        <v>0</v>
      </c>
      <c r="BW292" s="163">
        <f t="shared" ref="BW292:BW295" si="3471">BU292+1</f>
        <v>46174</v>
      </c>
      <c r="BX292" s="163">
        <f t="shared" ref="BX292:BX295" si="3472">BW292+29</f>
        <v>46203</v>
      </c>
      <c r="BY292" s="167">
        <f t="shared" ref="BY292:BY295" si="3473">IFERROR(IF(($R292-BX292)&gt;=0,0,IF(($S292-BW292)&lt;0,0,IF(AND(($S292-BX292)&gt;0,(BW292-$R292)&gt;0),$V292/365*(BX292-BW292+1),IF(AND(($S292-BX292)&lt;=0,(BW292-$R292)&gt;0),$V292/365*($S292-BW292+1),$V292/365*(BX292-$R292+1))))),0)</f>
        <v>0</v>
      </c>
      <c r="BZ292" s="163">
        <f t="shared" ref="BZ292:BZ295" si="3474">BX292+1</f>
        <v>46204</v>
      </c>
      <c r="CA292" s="163">
        <f t="shared" ref="CA292:CA295" si="3475">BZ292+30</f>
        <v>46234</v>
      </c>
      <c r="CB292" s="167">
        <f t="shared" ref="CB292:CB295" si="3476">IFERROR(IF(($R292-CA292)&gt;=0,0,IF(($S292-BZ292)&lt;0,0,IF(AND(($S292-CA292)&gt;0,(BZ292-$R292)&gt;0),$V292/365*(CA292-BZ292+1),IF(AND(($S292-CA292)&lt;=0,(BZ292-$R292)&gt;0),$V292/365*($S292-BZ292+1),$V292/365*(CA292-$R292+1))))),0)</f>
        <v>0</v>
      </c>
      <c r="CC292" s="163">
        <f t="shared" ref="CC292:CC295" si="3477">CA292+1</f>
        <v>46235</v>
      </c>
      <c r="CD292" s="163">
        <f t="shared" ref="CD292:CD295" si="3478">CC292+30</f>
        <v>46265</v>
      </c>
      <c r="CE292" s="167">
        <f t="shared" ref="CE292:CE295" si="3479">IFERROR(IF(($R292-CD292)&gt;=0,0,IF(($S292-CC292)&lt;0,0,IF(AND(($S292-CD292)&gt;0,(CC292-$R292)&gt;0),$V292/365*(CD292-CC292+1),IF(AND(($S292-CD292)&lt;=0,(CC292-$R292)&gt;0),$V292/365*($S292-CC292+1),$V292/365*(CD292-$R292+1))))),0)</f>
        <v>0</v>
      </c>
      <c r="CF292" s="163">
        <f t="shared" ref="CF292:CF295" si="3480">CD292+1</f>
        <v>46266</v>
      </c>
      <c r="CG292" s="163">
        <f t="shared" ref="CG292:CG295" si="3481">CF292+29</f>
        <v>46295</v>
      </c>
      <c r="CH292" s="167">
        <f t="shared" ref="CH292:CH295" si="3482">IFERROR(IF(($R292-CG292)&gt;=0,0,IF(($S292-CF292)&lt;0,0,IF(AND(($S292-CG292)&gt;0,(CF292-$R292)&gt;0),$V292/365*(CG292-CF292+1),IF(AND(($S292-CG292)&lt;=0,(CF292-$R292)&gt;0),$V292/365*($S292-CF292+1),$V292/365*(CG292-$R292+1))))),0)</f>
        <v>0</v>
      </c>
      <c r="CI292" s="163">
        <f t="shared" ref="CI292:CI295" si="3483">CG292+1</f>
        <v>46296</v>
      </c>
      <c r="CJ292" s="163">
        <f t="shared" ref="CJ292:CJ295" si="3484">CI292+30</f>
        <v>46326</v>
      </c>
      <c r="CK292" s="167">
        <f t="shared" ref="CK292:CK295" si="3485">IFERROR(IF(($R292-CJ292)&gt;=0,0,IF(($S292-CI292)&lt;0,0,IF(AND(($S292-CJ292)&gt;0,(CI292-$R292)&gt;0),$V292/365*(CJ292-CI292+1),IF(AND(($S292-CJ292)&lt;=0,(CI292-$R292)&gt;0),$V292/365*($S292-CI292+1),$V292/365*(CJ292-$R292+1))))),0)</f>
        <v>0</v>
      </c>
      <c r="CL292" s="163">
        <f t="shared" ref="CL292:CL295" si="3486">CJ292+1</f>
        <v>46327</v>
      </c>
      <c r="CM292" s="163">
        <f t="shared" ref="CM292:CM295" si="3487">CL292+29</f>
        <v>46356</v>
      </c>
      <c r="CN292" s="167">
        <f t="shared" ref="CN292:CN295" si="3488">IFERROR(IF(($R292-CM292)&gt;=0,0,IF(($S292-CL292)&lt;0,0,IF(AND(($S292-CM292)&gt;0,(CL292-$R292)&gt;0),$V292/365*(CM292-CL292+1),IF(AND(($S292-CM292)&lt;=0,(CL292-$R292)&gt;0),$V292/365*($S292-CL292+1),$V292/365*(CM292-$R292+1))))),0)</f>
        <v>0</v>
      </c>
      <c r="CO292" s="163">
        <f t="shared" ref="CO292:CO295" si="3489">CM292+1</f>
        <v>46357</v>
      </c>
      <c r="CP292" s="163">
        <f t="shared" ref="CP292:CP295" si="3490">CO292+30</f>
        <v>46387</v>
      </c>
      <c r="CQ292" s="167">
        <f t="shared" ref="CQ292:CQ295" si="3491">IFERROR(IF(($R292-CP292)&gt;=0,0,IF(($S292-CO292)&lt;0,0,IF(AND(($S292-CP292)&gt;0,(CO292-$R292)&gt;0),$V292/365*(CP292-CO292+1),IF(AND(($S292-CP292)&lt;=0,(CO292-$R292)&gt;0),$V292/365*($S292-CO292+1),$V292/365*(CP292-$R292+1))))),0)</f>
        <v>0</v>
      </c>
    </row>
    <row r="293" s="89" customFormat="1" ht="24" hidden="1" customHeight="1" outlineLevel="4" spans="1:95">
      <c r="A293" s="128"/>
      <c r="B293" s="129"/>
      <c r="C293" s="130"/>
      <c r="D293" s="128"/>
      <c r="E293" s="129"/>
      <c r="F293" s="129"/>
      <c r="G293" s="129"/>
      <c r="H293" s="131"/>
      <c r="I293" s="131"/>
      <c r="J293" s="131">
        <f t="shared" si="3131"/>
        <v>0</v>
      </c>
      <c r="K293" s="131">
        <f t="shared" ref="K293:K295" si="3492">K292+1</f>
        <v>2</v>
      </c>
      <c r="L293" s="156"/>
      <c r="M293" s="157">
        <f>IFERROR(VLOOKUP($L293,'2-2 引出数据_合同数据仓库'!$B$5:$BP$200,3,FALSE),0)</f>
        <v>0</v>
      </c>
      <c r="N293" s="131"/>
      <c r="O293" s="157">
        <f>IFERROR(VLOOKUP((LEFT(VLOOKUP($L293,'2-2 引出数据_合同数据仓库'!$B$5:$BP$200,64,FALSE),15)&amp;(RIGHT(VLOOKUP($L293,'2-2 引出数据_合同数据仓库'!$B$5:$BP$200,64,FALSE),4)+1)),'2-2 引出数据_合同数据仓库'!$B$5:$BP$200,3,FALSE),0)</f>
        <v>0</v>
      </c>
      <c r="P293" s="131"/>
      <c r="Q293" s="131">
        <f>IFERROR(VLOOKUP($L293,'2-2 引出数据_合同数据仓库'!$B$5:$BP$200,28,FALSE),0)</f>
        <v>0</v>
      </c>
      <c r="R293" s="131">
        <f>IFERROR(VLOOKUP($L293,'2-2 引出数据_合同数据仓库'!$B$5:$BP$200,29,FALSE),0)</f>
        <v>0</v>
      </c>
      <c r="S293" s="131">
        <f>IFERROR(VLOOKUP($L293,'2-2 引出数据_合同数据仓库'!$B$5:$BP$200,4,FALSE),0)</f>
        <v>0</v>
      </c>
      <c r="T293" s="131"/>
      <c r="U293" s="131">
        <f>IFERROR(VLOOKUP($L293,'2-2 引出数据_合同数据仓库'!$B$5:$BP$200,15,FALSE),0)</f>
        <v>0</v>
      </c>
      <c r="V293" s="131">
        <f t="shared" si="3421"/>
        <v>0</v>
      </c>
      <c r="W293" s="131"/>
      <c r="X293" s="163">
        <v>45658</v>
      </c>
      <c r="Y293" s="163">
        <f t="shared" si="3422"/>
        <v>45688</v>
      </c>
      <c r="Z293" s="167">
        <f t="shared" si="3423"/>
        <v>0</v>
      </c>
      <c r="AA293" s="163">
        <f t="shared" si="3424"/>
        <v>45689</v>
      </c>
      <c r="AB293" s="163">
        <f t="shared" si="3425"/>
        <v>45716</v>
      </c>
      <c r="AC293" s="167">
        <f t="shared" si="3426"/>
        <v>0</v>
      </c>
      <c r="AD293" s="163">
        <f t="shared" si="3427"/>
        <v>45717</v>
      </c>
      <c r="AE293" s="163">
        <f t="shared" si="3428"/>
        <v>45747</v>
      </c>
      <c r="AF293" s="167">
        <f t="shared" si="3429"/>
        <v>0</v>
      </c>
      <c r="AG293" s="163">
        <f t="shared" si="3430"/>
        <v>45748</v>
      </c>
      <c r="AH293" s="163">
        <f t="shared" si="3431"/>
        <v>45777</v>
      </c>
      <c r="AI293" s="167">
        <f t="shared" si="3432"/>
        <v>0</v>
      </c>
      <c r="AJ293" s="163">
        <f t="shared" si="3433"/>
        <v>45778</v>
      </c>
      <c r="AK293" s="163">
        <f t="shared" si="3434"/>
        <v>45808</v>
      </c>
      <c r="AL293" s="167">
        <f t="shared" si="3435"/>
        <v>0</v>
      </c>
      <c r="AM293" s="163">
        <f t="shared" si="3436"/>
        <v>45809</v>
      </c>
      <c r="AN293" s="163">
        <f t="shared" si="3437"/>
        <v>45838</v>
      </c>
      <c r="AO293" s="167">
        <f t="shared" si="3438"/>
        <v>0</v>
      </c>
      <c r="AP293" s="163">
        <f t="shared" si="3439"/>
        <v>45839</v>
      </c>
      <c r="AQ293" s="163">
        <f t="shared" si="3440"/>
        <v>45869</v>
      </c>
      <c r="AR293" s="167">
        <f t="shared" si="3441"/>
        <v>0</v>
      </c>
      <c r="AS293" s="163">
        <f t="shared" si="3442"/>
        <v>45870</v>
      </c>
      <c r="AT293" s="163">
        <f t="shared" si="3443"/>
        <v>45900</v>
      </c>
      <c r="AU293" s="167">
        <f t="shared" si="3444"/>
        <v>0</v>
      </c>
      <c r="AV293" s="163">
        <f t="shared" si="3445"/>
        <v>45901</v>
      </c>
      <c r="AW293" s="163">
        <f t="shared" si="3446"/>
        <v>45930</v>
      </c>
      <c r="AX293" s="167">
        <f t="shared" si="3447"/>
        <v>0</v>
      </c>
      <c r="AY293" s="163">
        <f t="shared" si="3448"/>
        <v>45931</v>
      </c>
      <c r="AZ293" s="163">
        <f t="shared" si="3449"/>
        <v>45961</v>
      </c>
      <c r="BA293" s="167">
        <f t="shared" si="3450"/>
        <v>0</v>
      </c>
      <c r="BB293" s="163">
        <f t="shared" si="3451"/>
        <v>45962</v>
      </c>
      <c r="BC293" s="163">
        <f t="shared" si="3452"/>
        <v>45991</v>
      </c>
      <c r="BD293" s="167">
        <f t="shared" si="3453"/>
        <v>0</v>
      </c>
      <c r="BE293" s="163">
        <f t="shared" si="3454"/>
        <v>45992</v>
      </c>
      <c r="BF293" s="163">
        <f t="shared" si="3455"/>
        <v>46022</v>
      </c>
      <c r="BG293" s="167">
        <f t="shared" si="3456"/>
        <v>0</v>
      </c>
      <c r="BH293" s="163">
        <v>46023</v>
      </c>
      <c r="BI293" s="163">
        <f t="shared" si="3457"/>
        <v>46053</v>
      </c>
      <c r="BJ293" s="167">
        <f t="shared" si="3458"/>
        <v>0</v>
      </c>
      <c r="BK293" s="163">
        <f t="shared" si="3459"/>
        <v>46054</v>
      </c>
      <c r="BL293" s="163">
        <f t="shared" si="3460"/>
        <v>46081</v>
      </c>
      <c r="BM293" s="167">
        <f t="shared" si="3461"/>
        <v>0</v>
      </c>
      <c r="BN293" s="163">
        <f t="shared" si="3462"/>
        <v>46082</v>
      </c>
      <c r="BO293" s="163">
        <f t="shared" si="3463"/>
        <v>46112</v>
      </c>
      <c r="BP293" s="167">
        <f t="shared" si="3464"/>
        <v>0</v>
      </c>
      <c r="BQ293" s="163">
        <f t="shared" si="3465"/>
        <v>46113</v>
      </c>
      <c r="BR293" s="163">
        <f t="shared" si="3466"/>
        <v>46142</v>
      </c>
      <c r="BS293" s="167">
        <f t="shared" si="3467"/>
        <v>0</v>
      </c>
      <c r="BT293" s="163">
        <f t="shared" si="3468"/>
        <v>46143</v>
      </c>
      <c r="BU293" s="163">
        <f t="shared" si="3469"/>
        <v>46173</v>
      </c>
      <c r="BV293" s="167">
        <f t="shared" si="3470"/>
        <v>0</v>
      </c>
      <c r="BW293" s="163">
        <f t="shared" si="3471"/>
        <v>46174</v>
      </c>
      <c r="BX293" s="163">
        <f t="shared" si="3472"/>
        <v>46203</v>
      </c>
      <c r="BY293" s="167">
        <f t="shared" si="3473"/>
        <v>0</v>
      </c>
      <c r="BZ293" s="163">
        <f t="shared" si="3474"/>
        <v>46204</v>
      </c>
      <c r="CA293" s="163">
        <f t="shared" si="3475"/>
        <v>46234</v>
      </c>
      <c r="CB293" s="167">
        <f t="shared" si="3476"/>
        <v>0</v>
      </c>
      <c r="CC293" s="163">
        <f t="shared" si="3477"/>
        <v>46235</v>
      </c>
      <c r="CD293" s="163">
        <f t="shared" si="3478"/>
        <v>46265</v>
      </c>
      <c r="CE293" s="167">
        <f t="shared" si="3479"/>
        <v>0</v>
      </c>
      <c r="CF293" s="163">
        <f t="shared" si="3480"/>
        <v>46266</v>
      </c>
      <c r="CG293" s="163">
        <f t="shared" si="3481"/>
        <v>46295</v>
      </c>
      <c r="CH293" s="167">
        <f t="shared" si="3482"/>
        <v>0</v>
      </c>
      <c r="CI293" s="163">
        <f t="shared" si="3483"/>
        <v>46296</v>
      </c>
      <c r="CJ293" s="163">
        <f t="shared" si="3484"/>
        <v>46326</v>
      </c>
      <c r="CK293" s="167">
        <f t="shared" si="3485"/>
        <v>0</v>
      </c>
      <c r="CL293" s="163">
        <f t="shared" si="3486"/>
        <v>46327</v>
      </c>
      <c r="CM293" s="163">
        <f t="shared" si="3487"/>
        <v>46356</v>
      </c>
      <c r="CN293" s="167">
        <f t="shared" si="3488"/>
        <v>0</v>
      </c>
      <c r="CO293" s="163">
        <f t="shared" si="3489"/>
        <v>46357</v>
      </c>
      <c r="CP293" s="163">
        <f t="shared" si="3490"/>
        <v>46387</v>
      </c>
      <c r="CQ293" s="167">
        <f t="shared" si="3491"/>
        <v>0</v>
      </c>
    </row>
    <row r="294" s="89" customFormat="1" ht="24" hidden="1" customHeight="1" outlineLevel="4" spans="1:95">
      <c r="A294" s="128"/>
      <c r="B294" s="129"/>
      <c r="C294" s="130"/>
      <c r="D294" s="128"/>
      <c r="E294" s="129"/>
      <c r="F294" s="129"/>
      <c r="G294" s="129"/>
      <c r="H294" s="131"/>
      <c r="I294" s="131"/>
      <c r="J294" s="131">
        <f t="shared" si="3131"/>
        <v>0</v>
      </c>
      <c r="K294" s="131">
        <f t="shared" si="3492"/>
        <v>3</v>
      </c>
      <c r="L294" s="156"/>
      <c r="M294" s="157">
        <f>IFERROR(VLOOKUP($L294,'2-2 引出数据_合同数据仓库'!$B$5:$BP$200,3,FALSE),0)</f>
        <v>0</v>
      </c>
      <c r="N294" s="131"/>
      <c r="O294" s="157">
        <f>IFERROR(VLOOKUP((LEFT(VLOOKUP($L294,'2-2 引出数据_合同数据仓库'!$B$5:$BP$200,64,FALSE),15)&amp;(RIGHT(VLOOKUP($L294,'2-2 引出数据_合同数据仓库'!$B$5:$BP$200,64,FALSE),4)+1)),'2-2 引出数据_合同数据仓库'!$B$5:$BP$200,3,FALSE),0)</f>
        <v>0</v>
      </c>
      <c r="P294" s="131"/>
      <c r="Q294" s="131">
        <f>IFERROR(VLOOKUP($L294,'2-2 引出数据_合同数据仓库'!$B$5:$BP$200,28,FALSE),0)</f>
        <v>0</v>
      </c>
      <c r="R294" s="131">
        <f>IFERROR(VLOOKUP($L294,'2-2 引出数据_合同数据仓库'!$B$5:$BP$200,29,FALSE),0)</f>
        <v>0</v>
      </c>
      <c r="S294" s="131">
        <f>IFERROR(VLOOKUP($L294,'2-2 引出数据_合同数据仓库'!$B$5:$BP$200,4,FALSE),0)</f>
        <v>0</v>
      </c>
      <c r="T294" s="131"/>
      <c r="U294" s="131">
        <f>IFERROR(VLOOKUP($L294,'2-2 引出数据_合同数据仓库'!$B$5:$BP$200,15,FALSE),0)</f>
        <v>0</v>
      </c>
      <c r="V294" s="131">
        <f t="shared" si="3421"/>
        <v>0</v>
      </c>
      <c r="W294" s="131"/>
      <c r="X294" s="163">
        <v>45658</v>
      </c>
      <c r="Y294" s="163">
        <f t="shared" si="3422"/>
        <v>45688</v>
      </c>
      <c r="Z294" s="167">
        <f t="shared" si="3423"/>
        <v>0</v>
      </c>
      <c r="AA294" s="163">
        <f t="shared" si="3424"/>
        <v>45689</v>
      </c>
      <c r="AB294" s="163">
        <f t="shared" si="3425"/>
        <v>45716</v>
      </c>
      <c r="AC294" s="167">
        <f t="shared" si="3426"/>
        <v>0</v>
      </c>
      <c r="AD294" s="163">
        <f t="shared" si="3427"/>
        <v>45717</v>
      </c>
      <c r="AE294" s="163">
        <f t="shared" si="3428"/>
        <v>45747</v>
      </c>
      <c r="AF294" s="167">
        <f t="shared" si="3429"/>
        <v>0</v>
      </c>
      <c r="AG294" s="163">
        <f t="shared" si="3430"/>
        <v>45748</v>
      </c>
      <c r="AH294" s="163">
        <f t="shared" si="3431"/>
        <v>45777</v>
      </c>
      <c r="AI294" s="167">
        <f t="shared" si="3432"/>
        <v>0</v>
      </c>
      <c r="AJ294" s="163">
        <f t="shared" si="3433"/>
        <v>45778</v>
      </c>
      <c r="AK294" s="163">
        <f t="shared" si="3434"/>
        <v>45808</v>
      </c>
      <c r="AL294" s="167">
        <f t="shared" si="3435"/>
        <v>0</v>
      </c>
      <c r="AM294" s="163">
        <f t="shared" si="3436"/>
        <v>45809</v>
      </c>
      <c r="AN294" s="163">
        <f t="shared" si="3437"/>
        <v>45838</v>
      </c>
      <c r="AO294" s="167">
        <f t="shared" si="3438"/>
        <v>0</v>
      </c>
      <c r="AP294" s="163">
        <f t="shared" si="3439"/>
        <v>45839</v>
      </c>
      <c r="AQ294" s="163">
        <f t="shared" si="3440"/>
        <v>45869</v>
      </c>
      <c r="AR294" s="167">
        <f t="shared" si="3441"/>
        <v>0</v>
      </c>
      <c r="AS294" s="163">
        <f t="shared" si="3442"/>
        <v>45870</v>
      </c>
      <c r="AT294" s="163">
        <f t="shared" si="3443"/>
        <v>45900</v>
      </c>
      <c r="AU294" s="167">
        <f t="shared" si="3444"/>
        <v>0</v>
      </c>
      <c r="AV294" s="163">
        <f t="shared" si="3445"/>
        <v>45901</v>
      </c>
      <c r="AW294" s="163">
        <f t="shared" si="3446"/>
        <v>45930</v>
      </c>
      <c r="AX294" s="167">
        <f t="shared" si="3447"/>
        <v>0</v>
      </c>
      <c r="AY294" s="163">
        <f t="shared" si="3448"/>
        <v>45931</v>
      </c>
      <c r="AZ294" s="163">
        <f t="shared" si="3449"/>
        <v>45961</v>
      </c>
      <c r="BA294" s="167">
        <f t="shared" si="3450"/>
        <v>0</v>
      </c>
      <c r="BB294" s="163">
        <f t="shared" si="3451"/>
        <v>45962</v>
      </c>
      <c r="BC294" s="163">
        <f t="shared" si="3452"/>
        <v>45991</v>
      </c>
      <c r="BD294" s="167">
        <f t="shared" si="3453"/>
        <v>0</v>
      </c>
      <c r="BE294" s="163">
        <f t="shared" si="3454"/>
        <v>45992</v>
      </c>
      <c r="BF294" s="163">
        <f t="shared" si="3455"/>
        <v>46022</v>
      </c>
      <c r="BG294" s="167">
        <f t="shared" si="3456"/>
        <v>0</v>
      </c>
      <c r="BH294" s="163">
        <v>46023</v>
      </c>
      <c r="BI294" s="163">
        <f t="shared" si="3457"/>
        <v>46053</v>
      </c>
      <c r="BJ294" s="167">
        <f t="shared" si="3458"/>
        <v>0</v>
      </c>
      <c r="BK294" s="163">
        <f t="shared" si="3459"/>
        <v>46054</v>
      </c>
      <c r="BL294" s="163">
        <f t="shared" si="3460"/>
        <v>46081</v>
      </c>
      <c r="BM294" s="167">
        <f t="shared" si="3461"/>
        <v>0</v>
      </c>
      <c r="BN294" s="163">
        <f t="shared" si="3462"/>
        <v>46082</v>
      </c>
      <c r="BO294" s="163">
        <f t="shared" si="3463"/>
        <v>46112</v>
      </c>
      <c r="BP294" s="167">
        <f t="shared" si="3464"/>
        <v>0</v>
      </c>
      <c r="BQ294" s="163">
        <f t="shared" si="3465"/>
        <v>46113</v>
      </c>
      <c r="BR294" s="163">
        <f t="shared" si="3466"/>
        <v>46142</v>
      </c>
      <c r="BS294" s="167">
        <f t="shared" si="3467"/>
        <v>0</v>
      </c>
      <c r="BT294" s="163">
        <f t="shared" si="3468"/>
        <v>46143</v>
      </c>
      <c r="BU294" s="163">
        <f t="shared" si="3469"/>
        <v>46173</v>
      </c>
      <c r="BV294" s="167">
        <f t="shared" si="3470"/>
        <v>0</v>
      </c>
      <c r="BW294" s="163">
        <f t="shared" si="3471"/>
        <v>46174</v>
      </c>
      <c r="BX294" s="163">
        <f t="shared" si="3472"/>
        <v>46203</v>
      </c>
      <c r="BY294" s="167">
        <f t="shared" si="3473"/>
        <v>0</v>
      </c>
      <c r="BZ294" s="163">
        <f t="shared" si="3474"/>
        <v>46204</v>
      </c>
      <c r="CA294" s="163">
        <f t="shared" si="3475"/>
        <v>46234</v>
      </c>
      <c r="CB294" s="167">
        <f t="shared" si="3476"/>
        <v>0</v>
      </c>
      <c r="CC294" s="163">
        <f t="shared" si="3477"/>
        <v>46235</v>
      </c>
      <c r="CD294" s="163">
        <f t="shared" si="3478"/>
        <v>46265</v>
      </c>
      <c r="CE294" s="167">
        <f t="shared" si="3479"/>
        <v>0</v>
      </c>
      <c r="CF294" s="163">
        <f t="shared" si="3480"/>
        <v>46266</v>
      </c>
      <c r="CG294" s="163">
        <f t="shared" si="3481"/>
        <v>46295</v>
      </c>
      <c r="CH294" s="167">
        <f t="shared" si="3482"/>
        <v>0</v>
      </c>
      <c r="CI294" s="163">
        <f t="shared" si="3483"/>
        <v>46296</v>
      </c>
      <c r="CJ294" s="163">
        <f t="shared" si="3484"/>
        <v>46326</v>
      </c>
      <c r="CK294" s="167">
        <f t="shared" si="3485"/>
        <v>0</v>
      </c>
      <c r="CL294" s="163">
        <f t="shared" si="3486"/>
        <v>46327</v>
      </c>
      <c r="CM294" s="163">
        <f t="shared" si="3487"/>
        <v>46356</v>
      </c>
      <c r="CN294" s="167">
        <f t="shared" si="3488"/>
        <v>0</v>
      </c>
      <c r="CO294" s="163">
        <f t="shared" si="3489"/>
        <v>46357</v>
      </c>
      <c r="CP294" s="163">
        <f t="shared" si="3490"/>
        <v>46387</v>
      </c>
      <c r="CQ294" s="167">
        <f t="shared" si="3491"/>
        <v>0</v>
      </c>
    </row>
    <row r="295" s="89" customFormat="1" ht="24" hidden="1" customHeight="1" outlineLevel="4" spans="1:95">
      <c r="A295" s="128"/>
      <c r="B295" s="129"/>
      <c r="C295" s="130"/>
      <c r="D295" s="128"/>
      <c r="E295" s="129"/>
      <c r="F295" s="129"/>
      <c r="G295" s="129"/>
      <c r="H295" s="131"/>
      <c r="I295" s="131"/>
      <c r="J295" s="131">
        <f t="shared" si="3131"/>
        <v>0</v>
      </c>
      <c r="K295" s="131">
        <f t="shared" si="3492"/>
        <v>4</v>
      </c>
      <c r="L295" s="156"/>
      <c r="M295" s="157">
        <f>IFERROR(VLOOKUP($L295,'2-2 引出数据_合同数据仓库'!$B$5:$BP$200,3,FALSE),0)</f>
        <v>0</v>
      </c>
      <c r="N295" s="131"/>
      <c r="O295" s="157">
        <f>IFERROR(VLOOKUP((LEFT(VLOOKUP($L295,'2-2 引出数据_合同数据仓库'!$B$5:$BP$200,64,FALSE),15)&amp;(RIGHT(VLOOKUP($L295,'2-2 引出数据_合同数据仓库'!$B$5:$BP$200,64,FALSE),4)+1)),'2-2 引出数据_合同数据仓库'!$B$5:$BP$200,3,FALSE),0)</f>
        <v>0</v>
      </c>
      <c r="P295" s="131"/>
      <c r="Q295" s="131">
        <f>IFERROR(VLOOKUP($L295,'2-2 引出数据_合同数据仓库'!$B$5:$BP$200,28,FALSE),0)</f>
        <v>0</v>
      </c>
      <c r="R295" s="131">
        <f>IFERROR(VLOOKUP($L295,'2-2 引出数据_合同数据仓库'!$B$5:$BP$200,29,FALSE),0)</f>
        <v>0</v>
      </c>
      <c r="S295" s="131">
        <f>IFERROR(VLOOKUP($L295,'2-2 引出数据_合同数据仓库'!$B$5:$BP$200,4,FALSE),0)</f>
        <v>0</v>
      </c>
      <c r="T295" s="131"/>
      <c r="U295" s="131">
        <f>IFERROR(VLOOKUP($L295,'2-2 引出数据_合同数据仓库'!$B$5:$BP$200,15,FALSE),0)</f>
        <v>0</v>
      </c>
      <c r="V295" s="131">
        <f t="shared" si="3421"/>
        <v>0</v>
      </c>
      <c r="W295" s="131"/>
      <c r="X295" s="163">
        <v>45658</v>
      </c>
      <c r="Y295" s="163">
        <f t="shared" si="3422"/>
        <v>45688</v>
      </c>
      <c r="Z295" s="167">
        <f t="shared" si="3423"/>
        <v>0</v>
      </c>
      <c r="AA295" s="163">
        <f t="shared" si="3424"/>
        <v>45689</v>
      </c>
      <c r="AB295" s="163">
        <f t="shared" si="3425"/>
        <v>45716</v>
      </c>
      <c r="AC295" s="167">
        <f t="shared" si="3426"/>
        <v>0</v>
      </c>
      <c r="AD295" s="163">
        <f t="shared" si="3427"/>
        <v>45717</v>
      </c>
      <c r="AE295" s="163">
        <f t="shared" si="3428"/>
        <v>45747</v>
      </c>
      <c r="AF295" s="167">
        <f t="shared" si="3429"/>
        <v>0</v>
      </c>
      <c r="AG295" s="163">
        <f t="shared" si="3430"/>
        <v>45748</v>
      </c>
      <c r="AH295" s="163">
        <f t="shared" si="3431"/>
        <v>45777</v>
      </c>
      <c r="AI295" s="167">
        <f t="shared" si="3432"/>
        <v>0</v>
      </c>
      <c r="AJ295" s="163">
        <f t="shared" si="3433"/>
        <v>45778</v>
      </c>
      <c r="AK295" s="163">
        <f t="shared" si="3434"/>
        <v>45808</v>
      </c>
      <c r="AL295" s="167">
        <f t="shared" si="3435"/>
        <v>0</v>
      </c>
      <c r="AM295" s="163">
        <f t="shared" si="3436"/>
        <v>45809</v>
      </c>
      <c r="AN295" s="163">
        <f t="shared" si="3437"/>
        <v>45838</v>
      </c>
      <c r="AO295" s="167">
        <f t="shared" si="3438"/>
        <v>0</v>
      </c>
      <c r="AP295" s="163">
        <f t="shared" si="3439"/>
        <v>45839</v>
      </c>
      <c r="AQ295" s="163">
        <f t="shared" si="3440"/>
        <v>45869</v>
      </c>
      <c r="AR295" s="167">
        <f t="shared" si="3441"/>
        <v>0</v>
      </c>
      <c r="AS295" s="163">
        <f t="shared" si="3442"/>
        <v>45870</v>
      </c>
      <c r="AT295" s="163">
        <f t="shared" si="3443"/>
        <v>45900</v>
      </c>
      <c r="AU295" s="167">
        <f t="shared" si="3444"/>
        <v>0</v>
      </c>
      <c r="AV295" s="163">
        <f t="shared" si="3445"/>
        <v>45901</v>
      </c>
      <c r="AW295" s="163">
        <f t="shared" si="3446"/>
        <v>45930</v>
      </c>
      <c r="AX295" s="167">
        <f t="shared" si="3447"/>
        <v>0</v>
      </c>
      <c r="AY295" s="163">
        <f t="shared" si="3448"/>
        <v>45931</v>
      </c>
      <c r="AZ295" s="163">
        <f t="shared" si="3449"/>
        <v>45961</v>
      </c>
      <c r="BA295" s="167">
        <f t="shared" si="3450"/>
        <v>0</v>
      </c>
      <c r="BB295" s="163">
        <f t="shared" si="3451"/>
        <v>45962</v>
      </c>
      <c r="BC295" s="163">
        <f t="shared" si="3452"/>
        <v>45991</v>
      </c>
      <c r="BD295" s="167">
        <f t="shared" si="3453"/>
        <v>0</v>
      </c>
      <c r="BE295" s="163">
        <f t="shared" si="3454"/>
        <v>45992</v>
      </c>
      <c r="BF295" s="163">
        <f t="shared" si="3455"/>
        <v>46022</v>
      </c>
      <c r="BG295" s="167">
        <f t="shared" si="3456"/>
        <v>0</v>
      </c>
      <c r="BH295" s="163">
        <v>46023</v>
      </c>
      <c r="BI295" s="163">
        <f t="shared" si="3457"/>
        <v>46053</v>
      </c>
      <c r="BJ295" s="167">
        <f t="shared" si="3458"/>
        <v>0</v>
      </c>
      <c r="BK295" s="163">
        <f t="shared" si="3459"/>
        <v>46054</v>
      </c>
      <c r="BL295" s="163">
        <f t="shared" si="3460"/>
        <v>46081</v>
      </c>
      <c r="BM295" s="167">
        <f t="shared" si="3461"/>
        <v>0</v>
      </c>
      <c r="BN295" s="163">
        <f t="shared" si="3462"/>
        <v>46082</v>
      </c>
      <c r="BO295" s="163">
        <f t="shared" si="3463"/>
        <v>46112</v>
      </c>
      <c r="BP295" s="167">
        <f t="shared" si="3464"/>
        <v>0</v>
      </c>
      <c r="BQ295" s="163">
        <f t="shared" si="3465"/>
        <v>46113</v>
      </c>
      <c r="BR295" s="163">
        <f t="shared" si="3466"/>
        <v>46142</v>
      </c>
      <c r="BS295" s="167">
        <f t="shared" si="3467"/>
        <v>0</v>
      </c>
      <c r="BT295" s="163">
        <f t="shared" si="3468"/>
        <v>46143</v>
      </c>
      <c r="BU295" s="163">
        <f t="shared" si="3469"/>
        <v>46173</v>
      </c>
      <c r="BV295" s="167">
        <f t="shared" si="3470"/>
        <v>0</v>
      </c>
      <c r="BW295" s="163">
        <f t="shared" si="3471"/>
        <v>46174</v>
      </c>
      <c r="BX295" s="163">
        <f t="shared" si="3472"/>
        <v>46203</v>
      </c>
      <c r="BY295" s="167">
        <f t="shared" si="3473"/>
        <v>0</v>
      </c>
      <c r="BZ295" s="163">
        <f t="shared" si="3474"/>
        <v>46204</v>
      </c>
      <c r="CA295" s="163">
        <f t="shared" si="3475"/>
        <v>46234</v>
      </c>
      <c r="CB295" s="167">
        <f t="shared" si="3476"/>
        <v>0</v>
      </c>
      <c r="CC295" s="163">
        <f t="shared" si="3477"/>
        <v>46235</v>
      </c>
      <c r="CD295" s="163">
        <f t="shared" si="3478"/>
        <v>46265</v>
      </c>
      <c r="CE295" s="167">
        <f t="shared" si="3479"/>
        <v>0</v>
      </c>
      <c r="CF295" s="163">
        <f t="shared" si="3480"/>
        <v>46266</v>
      </c>
      <c r="CG295" s="163">
        <f t="shared" si="3481"/>
        <v>46295</v>
      </c>
      <c r="CH295" s="167">
        <f t="shared" si="3482"/>
        <v>0</v>
      </c>
      <c r="CI295" s="163">
        <f t="shared" si="3483"/>
        <v>46296</v>
      </c>
      <c r="CJ295" s="163">
        <f t="shared" si="3484"/>
        <v>46326</v>
      </c>
      <c r="CK295" s="167">
        <f t="shared" si="3485"/>
        <v>0</v>
      </c>
      <c r="CL295" s="163">
        <f t="shared" si="3486"/>
        <v>46327</v>
      </c>
      <c r="CM295" s="163">
        <f t="shared" si="3487"/>
        <v>46356</v>
      </c>
      <c r="CN295" s="167">
        <f t="shared" si="3488"/>
        <v>0</v>
      </c>
      <c r="CO295" s="163">
        <f t="shared" si="3489"/>
        <v>46357</v>
      </c>
      <c r="CP295" s="163">
        <f t="shared" si="3490"/>
        <v>46387</v>
      </c>
      <c r="CQ295" s="167">
        <f t="shared" si="3491"/>
        <v>0</v>
      </c>
    </row>
    <row r="296" s="89" customFormat="1" ht="24" hidden="1" customHeight="1" outlineLevel="4" spans="1:95">
      <c r="A296" s="132" t="s">
        <v>2813</v>
      </c>
      <c r="B296" s="133"/>
      <c r="C296" s="133"/>
      <c r="D296" s="133"/>
      <c r="E296" s="133"/>
      <c r="F296" s="133"/>
      <c r="G296" s="134"/>
      <c r="H296" s="135"/>
      <c r="I296" s="135"/>
      <c r="J296" s="135"/>
      <c r="K296" s="135"/>
      <c r="L296" s="158"/>
      <c r="M296" s="158"/>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c r="CL296" s="135"/>
      <c r="CM296" s="135"/>
      <c r="CN296" s="135"/>
      <c r="CO296" s="135"/>
      <c r="CP296" s="135"/>
      <c r="CQ296" s="135"/>
    </row>
    <row r="297" ht="24" hidden="1" customHeight="1" outlineLevel="3" collapsed="1" spans="1:95">
      <c r="A297" s="124"/>
      <c r="B297" s="125" t="s">
        <v>792</v>
      </c>
      <c r="C297" s="126" t="s">
        <v>1246</v>
      </c>
      <c r="D297" s="124" t="s">
        <v>1247</v>
      </c>
      <c r="E297" s="125" t="s">
        <v>1248</v>
      </c>
      <c r="F297" s="125"/>
      <c r="G297" s="125" t="s">
        <v>936</v>
      </c>
      <c r="H297" s="127">
        <f>X297+AA297+AD297+AG297+AJ297+AM297+AP297+AS297+AV297+AY297+BB297+BE297</f>
        <v>0</v>
      </c>
      <c r="I297" s="127">
        <f>Y297+AB297+AE297+AH297+AK297+AN297+AQ297+AT297+AW297+AZ297+BC297+BF297</f>
        <v>0</v>
      </c>
      <c r="J297" s="127">
        <f t="shared" si="3131"/>
        <v>0</v>
      </c>
      <c r="K297" s="127"/>
      <c r="L297" s="155"/>
      <c r="M297" s="155"/>
      <c r="N297" s="127"/>
      <c r="O297" s="127"/>
      <c r="P297" s="127"/>
      <c r="Q297" s="127"/>
      <c r="R297" s="127"/>
      <c r="S297" s="127"/>
      <c r="T297" s="127"/>
      <c r="U297" s="127"/>
      <c r="V297" s="127"/>
      <c r="W297" s="127"/>
      <c r="X297" s="127">
        <f>VLOOKUP($C297,'1 预算编制表单'!$C:$BJ,27,FALSE)</f>
        <v>0</v>
      </c>
      <c r="Y297" s="127">
        <f>X297-Z297</f>
        <v>0</v>
      </c>
      <c r="Z297" s="127">
        <f>SUM(Z298:Z302)</f>
        <v>0</v>
      </c>
      <c r="AA297" s="127">
        <f>VLOOKUP($C297,'1 预算编制表单'!$C:$BJ,30,FALSE)</f>
        <v>0</v>
      </c>
      <c r="AB297" s="127">
        <f>AA297-AC297</f>
        <v>0</v>
      </c>
      <c r="AC297" s="127">
        <f>SUM(AC298:AC302)</f>
        <v>0</v>
      </c>
      <c r="AD297" s="127">
        <f>VLOOKUP($C297,'1 预算编制表单'!$C:$BJ,33,FALSE)</f>
        <v>0</v>
      </c>
      <c r="AE297" s="127">
        <f>AD297-AF297</f>
        <v>0</v>
      </c>
      <c r="AF297" s="127">
        <f>SUM(AF298:AF302)</f>
        <v>0</v>
      </c>
      <c r="AG297" s="127">
        <f>VLOOKUP($C297,'1 预算编制表单'!$C:$BJ,36,FALSE)</f>
        <v>0</v>
      </c>
      <c r="AH297" s="127">
        <f>AG297-AI297</f>
        <v>0</v>
      </c>
      <c r="AI297" s="127">
        <f>SUM(AI298:AI302)</f>
        <v>0</v>
      </c>
      <c r="AJ297" s="127">
        <f>VLOOKUP($C297,'1 预算编制表单'!$C:$BJ,39,FALSE)</f>
        <v>0</v>
      </c>
      <c r="AK297" s="127">
        <f>AJ297-AL297</f>
        <v>0</v>
      </c>
      <c r="AL297" s="127">
        <f>SUM(AL298:AL302)</f>
        <v>0</v>
      </c>
      <c r="AM297" s="127">
        <f>VLOOKUP($C297,'1 预算编制表单'!$C:$BJ,42,FALSE)</f>
        <v>0</v>
      </c>
      <c r="AN297" s="127">
        <f>AM297-AO297</f>
        <v>0</v>
      </c>
      <c r="AO297" s="127">
        <f>SUM(AO298:AO302)</f>
        <v>0</v>
      </c>
      <c r="AP297" s="127">
        <f>VLOOKUP($C297,'1 预算编制表单'!$C:$BJ,45,FALSE)</f>
        <v>0</v>
      </c>
      <c r="AQ297" s="127">
        <f>AP297-AR297</f>
        <v>0</v>
      </c>
      <c r="AR297" s="127">
        <f>SUM(AR298:AR302)</f>
        <v>0</v>
      </c>
      <c r="AS297" s="127">
        <f>VLOOKUP($C297,'1 预算编制表单'!$C:$BJ,48,FALSE)</f>
        <v>0</v>
      </c>
      <c r="AT297" s="127">
        <f>AS297-AU297</f>
        <v>0</v>
      </c>
      <c r="AU297" s="127">
        <f>SUM(AU298:AU302)</f>
        <v>0</v>
      </c>
      <c r="AV297" s="127">
        <f>VLOOKUP($C297,'1 预算编制表单'!$C:$BJ,51,FALSE)</f>
        <v>0</v>
      </c>
      <c r="AW297" s="127">
        <f>AV297-AX297</f>
        <v>0</v>
      </c>
      <c r="AX297" s="127">
        <f>SUM(AX298:AX302)</f>
        <v>0</v>
      </c>
      <c r="AY297" s="127">
        <f>VLOOKUP($C297,'1 预算编制表单'!$C:$BJ,54,FALSE)</f>
        <v>0</v>
      </c>
      <c r="AZ297" s="127">
        <f>AY297-BA297</f>
        <v>0</v>
      </c>
      <c r="BA297" s="127">
        <f>SUM(BA298:BA302)</f>
        <v>0</v>
      </c>
      <c r="BB297" s="127">
        <f>VLOOKUP($C297,'1 预算编制表单'!$C:$BJ,57,FALSE)</f>
        <v>0</v>
      </c>
      <c r="BC297" s="127">
        <f>BB297-BD297</f>
        <v>0</v>
      </c>
      <c r="BD297" s="127">
        <f>SUM(BD298:BD302)</f>
        <v>0</v>
      </c>
      <c r="BE297" s="127">
        <f>VLOOKUP($C297,'1 预算编制表单'!$C:$BJ,60,FALSE)</f>
        <v>0</v>
      </c>
      <c r="BF297" s="127">
        <f>BE297-BG297</f>
        <v>0</v>
      </c>
      <c r="BG297" s="127">
        <f>SUM(BG298:BG302)</f>
        <v>0</v>
      </c>
      <c r="BH297" s="127">
        <f>VLOOKUP($C297,'1 预算编制表单'!$C:$BJ,27,FALSE)</f>
        <v>0</v>
      </c>
      <c r="BI297" s="127">
        <f>BH297-BJ297</f>
        <v>0</v>
      </c>
      <c r="BJ297" s="127">
        <f>SUM(BJ298:BJ302)</f>
        <v>0</v>
      </c>
      <c r="BK297" s="127">
        <f>VLOOKUP($C297,'1 预算编制表单'!$C:$BJ,30,FALSE)</f>
        <v>0</v>
      </c>
      <c r="BL297" s="127">
        <f>BK297-BM297</f>
        <v>0</v>
      </c>
      <c r="BM297" s="127">
        <f>SUM(BM298:BM302)</f>
        <v>0</v>
      </c>
      <c r="BN297" s="127">
        <f>VLOOKUP($C297,'1 预算编制表单'!$C:$BJ,33,FALSE)</f>
        <v>0</v>
      </c>
      <c r="BO297" s="127">
        <f>BN297-BP297</f>
        <v>0</v>
      </c>
      <c r="BP297" s="127">
        <f>SUM(BP298:BP302)</f>
        <v>0</v>
      </c>
      <c r="BQ297" s="127">
        <f>VLOOKUP($C297,'1 预算编制表单'!$C:$BJ,36,FALSE)</f>
        <v>0</v>
      </c>
      <c r="BR297" s="127">
        <f>BQ297-BS297</f>
        <v>0</v>
      </c>
      <c r="BS297" s="127">
        <f>SUM(BS298:BS302)</f>
        <v>0</v>
      </c>
      <c r="BT297" s="127">
        <f>VLOOKUP($C297,'1 预算编制表单'!$C:$BJ,39,FALSE)</f>
        <v>0</v>
      </c>
      <c r="BU297" s="127">
        <f>BT297-BV297</f>
        <v>0</v>
      </c>
      <c r="BV297" s="127">
        <f>SUM(BV298:BV302)</f>
        <v>0</v>
      </c>
      <c r="BW297" s="127">
        <f>VLOOKUP($C297,'1 预算编制表单'!$C:$BJ,42,FALSE)</f>
        <v>0</v>
      </c>
      <c r="BX297" s="127">
        <f>BW297-BY297</f>
        <v>0</v>
      </c>
      <c r="BY297" s="127">
        <f>SUM(BY298:BY302)</f>
        <v>0</v>
      </c>
      <c r="BZ297" s="127">
        <f>VLOOKUP($C297,'1 预算编制表单'!$C:$BJ,45,FALSE)</f>
        <v>0</v>
      </c>
      <c r="CA297" s="127">
        <f>BZ297-CB297</f>
        <v>0</v>
      </c>
      <c r="CB297" s="127">
        <f>SUM(CB298:CB302)</f>
        <v>0</v>
      </c>
      <c r="CC297" s="127">
        <f>VLOOKUP($C297,'1 预算编制表单'!$C:$BJ,48,FALSE)</f>
        <v>0</v>
      </c>
      <c r="CD297" s="127">
        <f>CC297-CE297</f>
        <v>0</v>
      </c>
      <c r="CE297" s="127">
        <f>SUM(CE298:CE302)</f>
        <v>0</v>
      </c>
      <c r="CF297" s="127">
        <f>VLOOKUP($C297,'1 预算编制表单'!$C:$BJ,51,FALSE)</f>
        <v>0</v>
      </c>
      <c r="CG297" s="127">
        <f>CF297-CH297</f>
        <v>0</v>
      </c>
      <c r="CH297" s="127">
        <f>SUM(CH298:CH302)</f>
        <v>0</v>
      </c>
      <c r="CI297" s="127">
        <f>VLOOKUP($C297,'1 预算编制表单'!$C:$BJ,54,FALSE)</f>
        <v>0</v>
      </c>
      <c r="CJ297" s="127">
        <f>CI297-CK297</f>
        <v>0</v>
      </c>
      <c r="CK297" s="127">
        <f>SUM(CK298:CK302)</f>
        <v>0</v>
      </c>
      <c r="CL297" s="127">
        <f>VLOOKUP($C297,'1 预算编制表单'!$C:$BJ,57,FALSE)</f>
        <v>0</v>
      </c>
      <c r="CM297" s="127">
        <f>CL297-CN297</f>
        <v>0</v>
      </c>
      <c r="CN297" s="127">
        <f>SUM(CN298:CN302)</f>
        <v>0</v>
      </c>
      <c r="CO297" s="127">
        <f>VLOOKUP($C297,'1 预算编制表单'!$C:$BJ,60,FALSE)</f>
        <v>0</v>
      </c>
      <c r="CP297" s="127">
        <f>CO297-CQ297</f>
        <v>0</v>
      </c>
      <c r="CQ297" s="127">
        <f>SUM(CQ298:CQ302)</f>
        <v>0</v>
      </c>
    </row>
    <row r="298" s="89" customFormat="1" ht="24" hidden="1" customHeight="1" outlineLevel="4" spans="1:95">
      <c r="A298" s="128"/>
      <c r="B298" s="129"/>
      <c r="C298" s="130"/>
      <c r="D298" s="128"/>
      <c r="E298" s="129"/>
      <c r="F298" s="129"/>
      <c r="G298" s="129"/>
      <c r="H298" s="131"/>
      <c r="I298" s="131"/>
      <c r="J298" s="131">
        <f t="shared" si="3131"/>
        <v>0</v>
      </c>
      <c r="K298" s="131">
        <v>1</v>
      </c>
      <c r="L298" s="156"/>
      <c r="M298" s="157">
        <f>IFERROR(VLOOKUP($L298,'2-2 引出数据_合同数据仓库'!$B$5:$BP$200,3,FALSE),0)</f>
        <v>0</v>
      </c>
      <c r="N298" s="131"/>
      <c r="O298" s="157">
        <f>IFERROR(VLOOKUP((LEFT(VLOOKUP($L298,'2-2 引出数据_合同数据仓库'!$B$5:$BP$200,64,FALSE),15)&amp;(RIGHT(VLOOKUP($L298,'2-2 引出数据_合同数据仓库'!$B$5:$BP$200,64,FALSE),4)+1)),'2-2 引出数据_合同数据仓库'!$B$5:$BP$200,3,FALSE),0)</f>
        <v>0</v>
      </c>
      <c r="P298" s="131"/>
      <c r="Q298" s="131">
        <f>IFERROR(VLOOKUP($L298,'2-2 引出数据_合同数据仓库'!$B$5:$BP$200,28,FALSE),0)</f>
        <v>0</v>
      </c>
      <c r="R298" s="131">
        <f>IFERROR(VLOOKUP($L298,'2-2 引出数据_合同数据仓库'!$B$5:$BP$200,29,FALSE),0)</f>
        <v>0</v>
      </c>
      <c r="S298" s="131">
        <f>IFERROR(VLOOKUP($L298,'2-2 引出数据_合同数据仓库'!$B$5:$BP$200,4,FALSE),0)</f>
        <v>0</v>
      </c>
      <c r="T298" s="131"/>
      <c r="U298" s="131">
        <f>IFERROR(VLOOKUP($L298,'2-2 引出数据_合同数据仓库'!$B$5:$BP$200,15,FALSE),0)</f>
        <v>0</v>
      </c>
      <c r="V298" s="131">
        <f t="shared" ref="V298:V301" si="3493">U298/(S298-R298+1)*365</f>
        <v>0</v>
      </c>
      <c r="W298" s="131"/>
      <c r="X298" s="163">
        <v>45658</v>
      </c>
      <c r="Y298" s="163">
        <f t="shared" ref="Y298:Y301" si="3494">X298+30</f>
        <v>45688</v>
      </c>
      <c r="Z298" s="167">
        <f t="shared" ref="Z298:Z301" si="3495">IFERROR(IF(($R298-Y298)&gt;=0,0,IF(($S298-X298)&lt;0,0,IF(AND(($S298-Y298)&gt;0,(X298-$R298)&gt;0),$V298/365*(Y298-X298+1),IF(AND(($S298-Y298)&lt;=0,(X298-$R298)&gt;0),$V298/365*($S298-X298+1),$V298/365*(Y298-$R298+1))))),0)</f>
        <v>0</v>
      </c>
      <c r="AA298" s="163">
        <f t="shared" ref="AA298:AA301" si="3496">Y298+1</f>
        <v>45689</v>
      </c>
      <c r="AB298" s="163">
        <f t="shared" ref="AB298:AB301" si="3497">AA298+27</f>
        <v>45716</v>
      </c>
      <c r="AC298" s="167">
        <f t="shared" ref="AC298:AC301" si="3498">IFERROR(IF(($R298-AB298)&gt;=0,0,IF(($S298-AA298)&lt;0,0,IF(AND(($S298-AB298)&gt;0,(AA298-$R298)&gt;0),$V298/365*(AB298-AA298+1),IF(AND(($S298-AB298)&lt;=0,(AA298-$R298)&gt;0),$V298/365*($S298-AA298+1),$V298/365*(AB298-$R298+1))))),0)</f>
        <v>0</v>
      </c>
      <c r="AD298" s="163">
        <f t="shared" ref="AD298:AD301" si="3499">AB298+1</f>
        <v>45717</v>
      </c>
      <c r="AE298" s="163">
        <f t="shared" ref="AE298:AE301" si="3500">AD298+30</f>
        <v>45747</v>
      </c>
      <c r="AF298" s="167">
        <f t="shared" ref="AF298:AF301" si="3501">IFERROR(IF(($R298-AE298)&gt;=0,0,IF(($S298-AD298)&lt;0,0,IF(AND(($S298-AE298)&gt;0,(AD298-$R298)&gt;0),$V298/365*(AE298-AD298+1),IF(AND(($S298-AE298)&lt;=0,(AD298-$R298)&gt;0),$V298/365*($S298-AD298+1),$V298/365*(AE298-$R298+1))))),0)</f>
        <v>0</v>
      </c>
      <c r="AG298" s="163">
        <f t="shared" ref="AG298:AG301" si="3502">AE298+1</f>
        <v>45748</v>
      </c>
      <c r="AH298" s="163">
        <f t="shared" ref="AH298:AH301" si="3503">AG298+29</f>
        <v>45777</v>
      </c>
      <c r="AI298" s="167">
        <f t="shared" ref="AI298:AI301" si="3504">IFERROR(IF(($R298-AH298)&gt;=0,0,IF(($S298-AG298)&lt;0,0,IF(AND(($S298-AH298)&gt;0,(AG298-$R298)&gt;0),$V298/365*(AH298-AG298+1),IF(AND(($S298-AH298)&lt;=0,(AG298-$R298)&gt;0),$V298/365*($S298-AG298+1),$V298/365*(AH298-$R298+1))))),0)</f>
        <v>0</v>
      </c>
      <c r="AJ298" s="163">
        <f t="shared" ref="AJ298:AJ301" si="3505">AH298+1</f>
        <v>45778</v>
      </c>
      <c r="AK298" s="163">
        <f t="shared" ref="AK298:AK301" si="3506">AJ298+30</f>
        <v>45808</v>
      </c>
      <c r="AL298" s="167">
        <f t="shared" ref="AL298:AL301" si="3507">IFERROR(IF(($R298-AK298)&gt;=0,0,IF(($S298-AJ298)&lt;0,0,IF(AND(($S298-AK298)&gt;0,(AJ298-$R298)&gt;0),$V298/365*(AK298-AJ298+1),IF(AND(($S298-AK298)&lt;=0,(AJ298-$R298)&gt;0),$V298/365*($S298-AJ298+1),$V298/365*(AK298-$R298+1))))),0)</f>
        <v>0</v>
      </c>
      <c r="AM298" s="163">
        <f t="shared" ref="AM298:AM301" si="3508">AK298+1</f>
        <v>45809</v>
      </c>
      <c r="AN298" s="163">
        <f t="shared" ref="AN298:AN301" si="3509">AM298+29</f>
        <v>45838</v>
      </c>
      <c r="AO298" s="167">
        <f t="shared" ref="AO298:AO301" si="3510">IFERROR(IF(($R298-AN298)&gt;=0,0,IF(($S298-AM298)&lt;0,0,IF(AND(($S298-AN298)&gt;0,(AM298-$R298)&gt;0),$V298/365*(AN298-AM298+1),IF(AND(($S298-AN298)&lt;=0,(AM298-$R298)&gt;0),$V298/365*($S298-AM298+1),$V298/365*(AN298-$R298+1))))),0)</f>
        <v>0</v>
      </c>
      <c r="AP298" s="163">
        <f t="shared" ref="AP298:AP301" si="3511">AN298+1</f>
        <v>45839</v>
      </c>
      <c r="AQ298" s="163">
        <f t="shared" ref="AQ298:AQ301" si="3512">AP298+30</f>
        <v>45869</v>
      </c>
      <c r="AR298" s="167">
        <f t="shared" ref="AR298:AR301" si="3513">IFERROR(IF(($R298-AQ298)&gt;=0,0,IF(($S298-AP298)&lt;0,0,IF(AND(($S298-AQ298)&gt;0,(AP298-$R298)&gt;0),$V298/365*(AQ298-AP298+1),IF(AND(($S298-AQ298)&lt;=0,(AP298-$R298)&gt;0),$V298/365*($S298-AP298+1),$V298/365*(AQ298-$R298+1))))),0)</f>
        <v>0</v>
      </c>
      <c r="AS298" s="163">
        <f t="shared" ref="AS298:AS301" si="3514">AQ298+1</f>
        <v>45870</v>
      </c>
      <c r="AT298" s="163">
        <f t="shared" ref="AT298:AT301" si="3515">AS298+30</f>
        <v>45900</v>
      </c>
      <c r="AU298" s="167">
        <f t="shared" ref="AU298:AU301" si="3516">IFERROR(IF(($R298-AT298)&gt;=0,0,IF(($S298-AS298)&lt;0,0,IF(AND(($S298-AT298)&gt;0,(AS298-$R298)&gt;0),$V298/365*(AT298-AS298+1),IF(AND(($S298-AT298)&lt;=0,(AS298-$R298)&gt;0),$V298/365*($S298-AS298+1),$V298/365*(AT298-$R298+1))))),0)</f>
        <v>0</v>
      </c>
      <c r="AV298" s="163">
        <f t="shared" ref="AV298:AV301" si="3517">AT298+1</f>
        <v>45901</v>
      </c>
      <c r="AW298" s="163">
        <f t="shared" ref="AW298:AW301" si="3518">AV298+29</f>
        <v>45930</v>
      </c>
      <c r="AX298" s="167">
        <f t="shared" ref="AX298:AX301" si="3519">IFERROR(IF(($R298-AW298)&gt;=0,0,IF(($S298-AV298)&lt;0,0,IF(AND(($S298-AW298)&gt;0,(AV298-$R298)&gt;0),$V298/365*(AW298-AV298+1),IF(AND(($S298-AW298)&lt;=0,(AV298-$R298)&gt;0),$V298/365*($S298-AV298+1),$V298/365*(AW298-$R298+1))))),0)</f>
        <v>0</v>
      </c>
      <c r="AY298" s="163">
        <f t="shared" ref="AY298:AY301" si="3520">AW298+1</f>
        <v>45931</v>
      </c>
      <c r="AZ298" s="163">
        <f t="shared" ref="AZ298:AZ301" si="3521">AY298+30</f>
        <v>45961</v>
      </c>
      <c r="BA298" s="167">
        <f t="shared" ref="BA298:BA301" si="3522">IFERROR(IF(($R298-AZ298)&gt;=0,0,IF(($S298-AY298)&lt;0,0,IF(AND(($S298-AZ298)&gt;0,(AY298-$R298)&gt;0),$V298/365*(AZ298-AY298+1),IF(AND(($S298-AZ298)&lt;=0,(AY298-$R298)&gt;0),$V298/365*($S298-AY298+1),$V298/365*(AZ298-$R298+1))))),0)</f>
        <v>0</v>
      </c>
      <c r="BB298" s="163">
        <f t="shared" ref="BB298:BB301" si="3523">AZ298+1</f>
        <v>45962</v>
      </c>
      <c r="BC298" s="163">
        <f t="shared" ref="BC298:BC301" si="3524">BB298+29</f>
        <v>45991</v>
      </c>
      <c r="BD298" s="167">
        <f t="shared" ref="BD298:BD301" si="3525">IFERROR(IF(($R298-BC298)&gt;=0,0,IF(($S298-BB298)&lt;0,0,IF(AND(($S298-BC298)&gt;0,(BB298-$R298)&gt;0),$V298/365*(BC298-BB298+1),IF(AND(($S298-BC298)&lt;=0,(BB298-$R298)&gt;0),$V298/365*($S298-BB298+1),$V298/365*(BC298-$R298+1))))),0)</f>
        <v>0</v>
      </c>
      <c r="BE298" s="163">
        <f t="shared" ref="BE298:BE301" si="3526">BC298+1</f>
        <v>45992</v>
      </c>
      <c r="BF298" s="163">
        <f t="shared" ref="BF298:BF301" si="3527">BE298+30</f>
        <v>46022</v>
      </c>
      <c r="BG298" s="167">
        <f t="shared" ref="BG298:BG301" si="3528">IFERROR(IF(($R298-BF298)&gt;=0,0,IF(($S298-BE298)&lt;0,0,IF(AND(($S298-BF298)&gt;0,(BE298-$R298)&gt;0),$V298/365*(BF298-BE298+1),IF(AND(($S298-BF298)&lt;=0,(BE298-$R298)&gt;0),$V298/365*($S298-BE298+1),$V298/365*(BF298-$R298+1))))),0)</f>
        <v>0</v>
      </c>
      <c r="BH298" s="163">
        <v>46023</v>
      </c>
      <c r="BI298" s="163">
        <f t="shared" ref="BI298:BI301" si="3529">BH298+30</f>
        <v>46053</v>
      </c>
      <c r="BJ298" s="167">
        <f t="shared" ref="BJ298:BJ301" si="3530">IFERROR(IF(($R298-BI298)&gt;=0,0,IF(($S298-BH298)&lt;0,0,IF(AND(($S298-BI298)&gt;0,(BH298-$R298)&gt;0),$V298/365*(BI298-BH298+1),IF(AND(($S298-BI298)&lt;=0,(BH298-$R298)&gt;0),$V298/365*($S298-BH298+1),$V298/365*(BI298-$R298+1))))),0)</f>
        <v>0</v>
      </c>
      <c r="BK298" s="163">
        <f t="shared" ref="BK298:BK301" si="3531">BI298+1</f>
        <v>46054</v>
      </c>
      <c r="BL298" s="163">
        <f t="shared" ref="BL298:BL301" si="3532">BK298+27</f>
        <v>46081</v>
      </c>
      <c r="BM298" s="167">
        <f t="shared" ref="BM298:BM301" si="3533">IFERROR(IF(($R298-BL298)&gt;=0,0,IF(($S298-BK298)&lt;0,0,IF(AND(($S298-BL298)&gt;0,(BK298-$R298)&gt;0),$V298/365*(BL298-BK298+1),IF(AND(($S298-BL298)&lt;=0,(BK298-$R298)&gt;0),$V298/365*($S298-BK298+1),$V298/365*(BL298-$R298+1))))),0)</f>
        <v>0</v>
      </c>
      <c r="BN298" s="163">
        <f t="shared" ref="BN298:BN301" si="3534">BL298+1</f>
        <v>46082</v>
      </c>
      <c r="BO298" s="163">
        <f t="shared" ref="BO298:BO301" si="3535">BN298+30</f>
        <v>46112</v>
      </c>
      <c r="BP298" s="167">
        <f t="shared" ref="BP298:BP301" si="3536">IFERROR(IF(($R298-BO298)&gt;=0,0,IF(($S298-BN298)&lt;0,0,IF(AND(($S298-BO298)&gt;0,(BN298-$R298)&gt;0),$V298/365*(BO298-BN298+1),IF(AND(($S298-BO298)&lt;=0,(BN298-$R298)&gt;0),$V298/365*($S298-BN298+1),$V298/365*(BO298-$R298+1))))),0)</f>
        <v>0</v>
      </c>
      <c r="BQ298" s="163">
        <f t="shared" ref="BQ298:BQ301" si="3537">BO298+1</f>
        <v>46113</v>
      </c>
      <c r="BR298" s="163">
        <f t="shared" ref="BR298:BR301" si="3538">BQ298+29</f>
        <v>46142</v>
      </c>
      <c r="BS298" s="167">
        <f t="shared" ref="BS298:BS301" si="3539">IFERROR(IF(($R298-BR298)&gt;=0,0,IF(($S298-BQ298)&lt;0,0,IF(AND(($S298-BR298)&gt;0,(BQ298-$R298)&gt;0),$V298/365*(BR298-BQ298+1),IF(AND(($S298-BR298)&lt;=0,(BQ298-$R298)&gt;0),$V298/365*($S298-BQ298+1),$V298/365*(BR298-$R298+1))))),0)</f>
        <v>0</v>
      </c>
      <c r="BT298" s="163">
        <f t="shared" ref="BT298:BT301" si="3540">BR298+1</f>
        <v>46143</v>
      </c>
      <c r="BU298" s="163">
        <f t="shared" ref="BU298:BU301" si="3541">BT298+30</f>
        <v>46173</v>
      </c>
      <c r="BV298" s="167">
        <f t="shared" ref="BV298:BV301" si="3542">IFERROR(IF(($R298-BU298)&gt;=0,0,IF(($S298-BT298)&lt;0,0,IF(AND(($S298-BU298)&gt;0,(BT298-$R298)&gt;0),$V298/365*(BU298-BT298+1),IF(AND(($S298-BU298)&lt;=0,(BT298-$R298)&gt;0),$V298/365*($S298-BT298+1),$V298/365*(BU298-$R298+1))))),0)</f>
        <v>0</v>
      </c>
      <c r="BW298" s="163">
        <f t="shared" ref="BW298:BW301" si="3543">BU298+1</f>
        <v>46174</v>
      </c>
      <c r="BX298" s="163">
        <f t="shared" ref="BX298:BX301" si="3544">BW298+29</f>
        <v>46203</v>
      </c>
      <c r="BY298" s="167">
        <f t="shared" ref="BY298:BY301" si="3545">IFERROR(IF(($R298-BX298)&gt;=0,0,IF(($S298-BW298)&lt;0,0,IF(AND(($S298-BX298)&gt;0,(BW298-$R298)&gt;0),$V298/365*(BX298-BW298+1),IF(AND(($S298-BX298)&lt;=0,(BW298-$R298)&gt;0),$V298/365*($S298-BW298+1),$V298/365*(BX298-$R298+1))))),0)</f>
        <v>0</v>
      </c>
      <c r="BZ298" s="163">
        <f t="shared" ref="BZ298:BZ301" si="3546">BX298+1</f>
        <v>46204</v>
      </c>
      <c r="CA298" s="163">
        <f t="shared" ref="CA298:CA301" si="3547">BZ298+30</f>
        <v>46234</v>
      </c>
      <c r="CB298" s="167">
        <f t="shared" ref="CB298:CB301" si="3548">IFERROR(IF(($R298-CA298)&gt;=0,0,IF(($S298-BZ298)&lt;0,0,IF(AND(($S298-CA298)&gt;0,(BZ298-$R298)&gt;0),$V298/365*(CA298-BZ298+1),IF(AND(($S298-CA298)&lt;=0,(BZ298-$R298)&gt;0),$V298/365*($S298-BZ298+1),$V298/365*(CA298-$R298+1))))),0)</f>
        <v>0</v>
      </c>
      <c r="CC298" s="163">
        <f t="shared" ref="CC298:CC301" si="3549">CA298+1</f>
        <v>46235</v>
      </c>
      <c r="CD298" s="163">
        <f t="shared" ref="CD298:CD301" si="3550">CC298+30</f>
        <v>46265</v>
      </c>
      <c r="CE298" s="167">
        <f t="shared" ref="CE298:CE301" si="3551">IFERROR(IF(($R298-CD298)&gt;=0,0,IF(($S298-CC298)&lt;0,0,IF(AND(($S298-CD298)&gt;0,(CC298-$R298)&gt;0),$V298/365*(CD298-CC298+1),IF(AND(($S298-CD298)&lt;=0,(CC298-$R298)&gt;0),$V298/365*($S298-CC298+1),$V298/365*(CD298-$R298+1))))),0)</f>
        <v>0</v>
      </c>
      <c r="CF298" s="163">
        <f t="shared" ref="CF298:CF301" si="3552">CD298+1</f>
        <v>46266</v>
      </c>
      <c r="CG298" s="163">
        <f t="shared" ref="CG298:CG301" si="3553">CF298+29</f>
        <v>46295</v>
      </c>
      <c r="CH298" s="167">
        <f t="shared" ref="CH298:CH301" si="3554">IFERROR(IF(($R298-CG298)&gt;=0,0,IF(($S298-CF298)&lt;0,0,IF(AND(($S298-CG298)&gt;0,(CF298-$R298)&gt;0),$V298/365*(CG298-CF298+1),IF(AND(($S298-CG298)&lt;=0,(CF298-$R298)&gt;0),$V298/365*($S298-CF298+1),$V298/365*(CG298-$R298+1))))),0)</f>
        <v>0</v>
      </c>
      <c r="CI298" s="163">
        <f t="shared" ref="CI298:CI301" si="3555">CG298+1</f>
        <v>46296</v>
      </c>
      <c r="CJ298" s="163">
        <f t="shared" ref="CJ298:CJ301" si="3556">CI298+30</f>
        <v>46326</v>
      </c>
      <c r="CK298" s="167">
        <f t="shared" ref="CK298:CK301" si="3557">IFERROR(IF(($R298-CJ298)&gt;=0,0,IF(($S298-CI298)&lt;0,0,IF(AND(($S298-CJ298)&gt;0,(CI298-$R298)&gt;0),$V298/365*(CJ298-CI298+1),IF(AND(($S298-CJ298)&lt;=0,(CI298-$R298)&gt;0),$V298/365*($S298-CI298+1),$V298/365*(CJ298-$R298+1))))),0)</f>
        <v>0</v>
      </c>
      <c r="CL298" s="163">
        <f t="shared" ref="CL298:CL301" si="3558">CJ298+1</f>
        <v>46327</v>
      </c>
      <c r="CM298" s="163">
        <f t="shared" ref="CM298:CM301" si="3559">CL298+29</f>
        <v>46356</v>
      </c>
      <c r="CN298" s="167">
        <f t="shared" ref="CN298:CN301" si="3560">IFERROR(IF(($R298-CM298)&gt;=0,0,IF(($S298-CL298)&lt;0,0,IF(AND(($S298-CM298)&gt;0,(CL298-$R298)&gt;0),$V298/365*(CM298-CL298+1),IF(AND(($S298-CM298)&lt;=0,(CL298-$R298)&gt;0),$V298/365*($S298-CL298+1),$V298/365*(CM298-$R298+1))))),0)</f>
        <v>0</v>
      </c>
      <c r="CO298" s="163">
        <f t="shared" ref="CO298:CO301" si="3561">CM298+1</f>
        <v>46357</v>
      </c>
      <c r="CP298" s="163">
        <f t="shared" ref="CP298:CP301" si="3562">CO298+30</f>
        <v>46387</v>
      </c>
      <c r="CQ298" s="167">
        <f t="shared" ref="CQ298:CQ301" si="3563">IFERROR(IF(($R298-CP298)&gt;=0,0,IF(($S298-CO298)&lt;0,0,IF(AND(($S298-CP298)&gt;0,(CO298-$R298)&gt;0),$V298/365*(CP298-CO298+1),IF(AND(($S298-CP298)&lt;=0,(CO298-$R298)&gt;0),$V298/365*($S298-CO298+1),$V298/365*(CP298-$R298+1))))),0)</f>
        <v>0</v>
      </c>
    </row>
    <row r="299" s="89" customFormat="1" ht="24" hidden="1" customHeight="1" outlineLevel="4" spans="1:95">
      <c r="A299" s="128"/>
      <c r="B299" s="129"/>
      <c r="C299" s="130"/>
      <c r="D299" s="128"/>
      <c r="E299" s="129"/>
      <c r="F299" s="129"/>
      <c r="G299" s="129"/>
      <c r="H299" s="131"/>
      <c r="I299" s="131"/>
      <c r="J299" s="131">
        <f t="shared" si="3131"/>
        <v>0</v>
      </c>
      <c r="K299" s="131">
        <f t="shared" ref="K299:K301" si="3564">K298+1</f>
        <v>2</v>
      </c>
      <c r="L299" s="156"/>
      <c r="M299" s="157">
        <f>IFERROR(VLOOKUP($L299,'2-2 引出数据_合同数据仓库'!$B$5:$BP$200,3,FALSE),0)</f>
        <v>0</v>
      </c>
      <c r="N299" s="131"/>
      <c r="O299" s="157">
        <f>IFERROR(VLOOKUP((LEFT(VLOOKUP($L299,'2-2 引出数据_合同数据仓库'!$B$5:$BP$200,64,FALSE),15)&amp;(RIGHT(VLOOKUP($L299,'2-2 引出数据_合同数据仓库'!$B$5:$BP$200,64,FALSE),4)+1)),'2-2 引出数据_合同数据仓库'!$B$5:$BP$200,3,FALSE),0)</f>
        <v>0</v>
      </c>
      <c r="P299" s="131"/>
      <c r="Q299" s="131">
        <f>IFERROR(VLOOKUP($L299,'2-2 引出数据_合同数据仓库'!$B$5:$BP$200,28,FALSE),0)</f>
        <v>0</v>
      </c>
      <c r="R299" s="131">
        <f>IFERROR(VLOOKUP($L299,'2-2 引出数据_合同数据仓库'!$B$5:$BP$200,29,FALSE),0)</f>
        <v>0</v>
      </c>
      <c r="S299" s="131">
        <f>IFERROR(VLOOKUP($L299,'2-2 引出数据_合同数据仓库'!$B$5:$BP$200,4,FALSE),0)</f>
        <v>0</v>
      </c>
      <c r="T299" s="131"/>
      <c r="U299" s="131">
        <f>IFERROR(VLOOKUP($L299,'2-2 引出数据_合同数据仓库'!$B$5:$BP$200,15,FALSE),0)</f>
        <v>0</v>
      </c>
      <c r="V299" s="131">
        <f t="shared" si="3493"/>
        <v>0</v>
      </c>
      <c r="W299" s="131"/>
      <c r="X299" s="163">
        <v>45658</v>
      </c>
      <c r="Y299" s="163">
        <f t="shared" si="3494"/>
        <v>45688</v>
      </c>
      <c r="Z299" s="167">
        <f t="shared" si="3495"/>
        <v>0</v>
      </c>
      <c r="AA299" s="163">
        <f t="shared" si="3496"/>
        <v>45689</v>
      </c>
      <c r="AB299" s="163">
        <f t="shared" si="3497"/>
        <v>45716</v>
      </c>
      <c r="AC299" s="167">
        <f t="shared" si="3498"/>
        <v>0</v>
      </c>
      <c r="AD299" s="163">
        <f t="shared" si="3499"/>
        <v>45717</v>
      </c>
      <c r="AE299" s="163">
        <f t="shared" si="3500"/>
        <v>45747</v>
      </c>
      <c r="AF299" s="167">
        <f t="shared" si="3501"/>
        <v>0</v>
      </c>
      <c r="AG299" s="163">
        <f t="shared" si="3502"/>
        <v>45748</v>
      </c>
      <c r="AH299" s="163">
        <f t="shared" si="3503"/>
        <v>45777</v>
      </c>
      <c r="AI299" s="167">
        <f t="shared" si="3504"/>
        <v>0</v>
      </c>
      <c r="AJ299" s="163">
        <f t="shared" si="3505"/>
        <v>45778</v>
      </c>
      <c r="AK299" s="163">
        <f t="shared" si="3506"/>
        <v>45808</v>
      </c>
      <c r="AL299" s="167">
        <f t="shared" si="3507"/>
        <v>0</v>
      </c>
      <c r="AM299" s="163">
        <f t="shared" si="3508"/>
        <v>45809</v>
      </c>
      <c r="AN299" s="163">
        <f t="shared" si="3509"/>
        <v>45838</v>
      </c>
      <c r="AO299" s="167">
        <f t="shared" si="3510"/>
        <v>0</v>
      </c>
      <c r="AP299" s="163">
        <f t="shared" si="3511"/>
        <v>45839</v>
      </c>
      <c r="AQ299" s="163">
        <f t="shared" si="3512"/>
        <v>45869</v>
      </c>
      <c r="AR299" s="167">
        <f t="shared" si="3513"/>
        <v>0</v>
      </c>
      <c r="AS299" s="163">
        <f t="shared" si="3514"/>
        <v>45870</v>
      </c>
      <c r="AT299" s="163">
        <f t="shared" si="3515"/>
        <v>45900</v>
      </c>
      <c r="AU299" s="167">
        <f t="shared" si="3516"/>
        <v>0</v>
      </c>
      <c r="AV299" s="163">
        <f t="shared" si="3517"/>
        <v>45901</v>
      </c>
      <c r="AW299" s="163">
        <f t="shared" si="3518"/>
        <v>45930</v>
      </c>
      <c r="AX299" s="167">
        <f t="shared" si="3519"/>
        <v>0</v>
      </c>
      <c r="AY299" s="163">
        <f t="shared" si="3520"/>
        <v>45931</v>
      </c>
      <c r="AZ299" s="163">
        <f t="shared" si="3521"/>
        <v>45961</v>
      </c>
      <c r="BA299" s="167">
        <f t="shared" si="3522"/>
        <v>0</v>
      </c>
      <c r="BB299" s="163">
        <f t="shared" si="3523"/>
        <v>45962</v>
      </c>
      <c r="BC299" s="163">
        <f t="shared" si="3524"/>
        <v>45991</v>
      </c>
      <c r="BD299" s="167">
        <f t="shared" si="3525"/>
        <v>0</v>
      </c>
      <c r="BE299" s="163">
        <f t="shared" si="3526"/>
        <v>45992</v>
      </c>
      <c r="BF299" s="163">
        <f t="shared" si="3527"/>
        <v>46022</v>
      </c>
      <c r="BG299" s="167">
        <f t="shared" si="3528"/>
        <v>0</v>
      </c>
      <c r="BH299" s="163">
        <v>46023</v>
      </c>
      <c r="BI299" s="163">
        <f t="shared" si="3529"/>
        <v>46053</v>
      </c>
      <c r="BJ299" s="167">
        <f t="shared" si="3530"/>
        <v>0</v>
      </c>
      <c r="BK299" s="163">
        <f t="shared" si="3531"/>
        <v>46054</v>
      </c>
      <c r="BL299" s="163">
        <f t="shared" si="3532"/>
        <v>46081</v>
      </c>
      <c r="BM299" s="167">
        <f t="shared" si="3533"/>
        <v>0</v>
      </c>
      <c r="BN299" s="163">
        <f t="shared" si="3534"/>
        <v>46082</v>
      </c>
      <c r="BO299" s="163">
        <f t="shared" si="3535"/>
        <v>46112</v>
      </c>
      <c r="BP299" s="167">
        <f t="shared" si="3536"/>
        <v>0</v>
      </c>
      <c r="BQ299" s="163">
        <f t="shared" si="3537"/>
        <v>46113</v>
      </c>
      <c r="BR299" s="163">
        <f t="shared" si="3538"/>
        <v>46142</v>
      </c>
      <c r="BS299" s="167">
        <f t="shared" si="3539"/>
        <v>0</v>
      </c>
      <c r="BT299" s="163">
        <f t="shared" si="3540"/>
        <v>46143</v>
      </c>
      <c r="BU299" s="163">
        <f t="shared" si="3541"/>
        <v>46173</v>
      </c>
      <c r="BV299" s="167">
        <f t="shared" si="3542"/>
        <v>0</v>
      </c>
      <c r="BW299" s="163">
        <f t="shared" si="3543"/>
        <v>46174</v>
      </c>
      <c r="BX299" s="163">
        <f t="shared" si="3544"/>
        <v>46203</v>
      </c>
      <c r="BY299" s="167">
        <f t="shared" si="3545"/>
        <v>0</v>
      </c>
      <c r="BZ299" s="163">
        <f t="shared" si="3546"/>
        <v>46204</v>
      </c>
      <c r="CA299" s="163">
        <f t="shared" si="3547"/>
        <v>46234</v>
      </c>
      <c r="CB299" s="167">
        <f t="shared" si="3548"/>
        <v>0</v>
      </c>
      <c r="CC299" s="163">
        <f t="shared" si="3549"/>
        <v>46235</v>
      </c>
      <c r="CD299" s="163">
        <f t="shared" si="3550"/>
        <v>46265</v>
      </c>
      <c r="CE299" s="167">
        <f t="shared" si="3551"/>
        <v>0</v>
      </c>
      <c r="CF299" s="163">
        <f t="shared" si="3552"/>
        <v>46266</v>
      </c>
      <c r="CG299" s="163">
        <f t="shared" si="3553"/>
        <v>46295</v>
      </c>
      <c r="CH299" s="167">
        <f t="shared" si="3554"/>
        <v>0</v>
      </c>
      <c r="CI299" s="163">
        <f t="shared" si="3555"/>
        <v>46296</v>
      </c>
      <c r="CJ299" s="163">
        <f t="shared" si="3556"/>
        <v>46326</v>
      </c>
      <c r="CK299" s="167">
        <f t="shared" si="3557"/>
        <v>0</v>
      </c>
      <c r="CL299" s="163">
        <f t="shared" si="3558"/>
        <v>46327</v>
      </c>
      <c r="CM299" s="163">
        <f t="shared" si="3559"/>
        <v>46356</v>
      </c>
      <c r="CN299" s="167">
        <f t="shared" si="3560"/>
        <v>0</v>
      </c>
      <c r="CO299" s="163">
        <f t="shared" si="3561"/>
        <v>46357</v>
      </c>
      <c r="CP299" s="163">
        <f t="shared" si="3562"/>
        <v>46387</v>
      </c>
      <c r="CQ299" s="167">
        <f t="shared" si="3563"/>
        <v>0</v>
      </c>
    </row>
    <row r="300" s="89" customFormat="1" ht="24" hidden="1" customHeight="1" outlineLevel="4" spans="1:95">
      <c r="A300" s="128"/>
      <c r="B300" s="129"/>
      <c r="C300" s="130"/>
      <c r="D300" s="128"/>
      <c r="E300" s="129"/>
      <c r="F300" s="129"/>
      <c r="G300" s="129"/>
      <c r="H300" s="131"/>
      <c r="I300" s="131"/>
      <c r="J300" s="131">
        <f t="shared" si="3131"/>
        <v>0</v>
      </c>
      <c r="K300" s="131">
        <f t="shared" si="3564"/>
        <v>3</v>
      </c>
      <c r="L300" s="156"/>
      <c r="M300" s="157">
        <f>IFERROR(VLOOKUP($L300,'2-2 引出数据_合同数据仓库'!$B$5:$BP$200,3,FALSE),0)</f>
        <v>0</v>
      </c>
      <c r="N300" s="131"/>
      <c r="O300" s="157">
        <f>IFERROR(VLOOKUP((LEFT(VLOOKUP($L300,'2-2 引出数据_合同数据仓库'!$B$5:$BP$200,64,FALSE),15)&amp;(RIGHT(VLOOKUP($L300,'2-2 引出数据_合同数据仓库'!$B$5:$BP$200,64,FALSE),4)+1)),'2-2 引出数据_合同数据仓库'!$B$5:$BP$200,3,FALSE),0)</f>
        <v>0</v>
      </c>
      <c r="P300" s="131"/>
      <c r="Q300" s="131">
        <f>IFERROR(VLOOKUP($L300,'2-2 引出数据_合同数据仓库'!$B$5:$BP$200,28,FALSE),0)</f>
        <v>0</v>
      </c>
      <c r="R300" s="131">
        <f>IFERROR(VLOOKUP($L300,'2-2 引出数据_合同数据仓库'!$B$5:$BP$200,29,FALSE),0)</f>
        <v>0</v>
      </c>
      <c r="S300" s="131">
        <f>IFERROR(VLOOKUP($L300,'2-2 引出数据_合同数据仓库'!$B$5:$BP$200,4,FALSE),0)</f>
        <v>0</v>
      </c>
      <c r="T300" s="131"/>
      <c r="U300" s="131">
        <f>IFERROR(VLOOKUP($L300,'2-2 引出数据_合同数据仓库'!$B$5:$BP$200,15,FALSE),0)</f>
        <v>0</v>
      </c>
      <c r="V300" s="131">
        <f t="shared" si="3493"/>
        <v>0</v>
      </c>
      <c r="W300" s="131"/>
      <c r="X300" s="163">
        <v>45658</v>
      </c>
      <c r="Y300" s="163">
        <f t="shared" si="3494"/>
        <v>45688</v>
      </c>
      <c r="Z300" s="167">
        <f t="shared" si="3495"/>
        <v>0</v>
      </c>
      <c r="AA300" s="163">
        <f t="shared" si="3496"/>
        <v>45689</v>
      </c>
      <c r="AB300" s="163">
        <f t="shared" si="3497"/>
        <v>45716</v>
      </c>
      <c r="AC300" s="167">
        <f t="shared" si="3498"/>
        <v>0</v>
      </c>
      <c r="AD300" s="163">
        <f t="shared" si="3499"/>
        <v>45717</v>
      </c>
      <c r="AE300" s="163">
        <f t="shared" si="3500"/>
        <v>45747</v>
      </c>
      <c r="AF300" s="167">
        <f t="shared" si="3501"/>
        <v>0</v>
      </c>
      <c r="AG300" s="163">
        <f t="shared" si="3502"/>
        <v>45748</v>
      </c>
      <c r="AH300" s="163">
        <f t="shared" si="3503"/>
        <v>45777</v>
      </c>
      <c r="AI300" s="167">
        <f t="shared" si="3504"/>
        <v>0</v>
      </c>
      <c r="AJ300" s="163">
        <f t="shared" si="3505"/>
        <v>45778</v>
      </c>
      <c r="AK300" s="163">
        <f t="shared" si="3506"/>
        <v>45808</v>
      </c>
      <c r="AL300" s="167">
        <f t="shared" si="3507"/>
        <v>0</v>
      </c>
      <c r="AM300" s="163">
        <f t="shared" si="3508"/>
        <v>45809</v>
      </c>
      <c r="AN300" s="163">
        <f t="shared" si="3509"/>
        <v>45838</v>
      </c>
      <c r="AO300" s="167">
        <f t="shared" si="3510"/>
        <v>0</v>
      </c>
      <c r="AP300" s="163">
        <f t="shared" si="3511"/>
        <v>45839</v>
      </c>
      <c r="AQ300" s="163">
        <f t="shared" si="3512"/>
        <v>45869</v>
      </c>
      <c r="AR300" s="167">
        <f t="shared" si="3513"/>
        <v>0</v>
      </c>
      <c r="AS300" s="163">
        <f t="shared" si="3514"/>
        <v>45870</v>
      </c>
      <c r="AT300" s="163">
        <f t="shared" si="3515"/>
        <v>45900</v>
      </c>
      <c r="AU300" s="167">
        <f t="shared" si="3516"/>
        <v>0</v>
      </c>
      <c r="AV300" s="163">
        <f t="shared" si="3517"/>
        <v>45901</v>
      </c>
      <c r="AW300" s="163">
        <f t="shared" si="3518"/>
        <v>45930</v>
      </c>
      <c r="AX300" s="167">
        <f t="shared" si="3519"/>
        <v>0</v>
      </c>
      <c r="AY300" s="163">
        <f t="shared" si="3520"/>
        <v>45931</v>
      </c>
      <c r="AZ300" s="163">
        <f t="shared" si="3521"/>
        <v>45961</v>
      </c>
      <c r="BA300" s="167">
        <f t="shared" si="3522"/>
        <v>0</v>
      </c>
      <c r="BB300" s="163">
        <f t="shared" si="3523"/>
        <v>45962</v>
      </c>
      <c r="BC300" s="163">
        <f t="shared" si="3524"/>
        <v>45991</v>
      </c>
      <c r="BD300" s="167">
        <f t="shared" si="3525"/>
        <v>0</v>
      </c>
      <c r="BE300" s="163">
        <f t="shared" si="3526"/>
        <v>45992</v>
      </c>
      <c r="BF300" s="163">
        <f t="shared" si="3527"/>
        <v>46022</v>
      </c>
      <c r="BG300" s="167">
        <f t="shared" si="3528"/>
        <v>0</v>
      </c>
      <c r="BH300" s="163">
        <v>46023</v>
      </c>
      <c r="BI300" s="163">
        <f t="shared" si="3529"/>
        <v>46053</v>
      </c>
      <c r="BJ300" s="167">
        <f t="shared" si="3530"/>
        <v>0</v>
      </c>
      <c r="BK300" s="163">
        <f t="shared" si="3531"/>
        <v>46054</v>
      </c>
      <c r="BL300" s="163">
        <f t="shared" si="3532"/>
        <v>46081</v>
      </c>
      <c r="BM300" s="167">
        <f t="shared" si="3533"/>
        <v>0</v>
      </c>
      <c r="BN300" s="163">
        <f t="shared" si="3534"/>
        <v>46082</v>
      </c>
      <c r="BO300" s="163">
        <f t="shared" si="3535"/>
        <v>46112</v>
      </c>
      <c r="BP300" s="167">
        <f t="shared" si="3536"/>
        <v>0</v>
      </c>
      <c r="BQ300" s="163">
        <f t="shared" si="3537"/>
        <v>46113</v>
      </c>
      <c r="BR300" s="163">
        <f t="shared" si="3538"/>
        <v>46142</v>
      </c>
      <c r="BS300" s="167">
        <f t="shared" si="3539"/>
        <v>0</v>
      </c>
      <c r="BT300" s="163">
        <f t="shared" si="3540"/>
        <v>46143</v>
      </c>
      <c r="BU300" s="163">
        <f t="shared" si="3541"/>
        <v>46173</v>
      </c>
      <c r="BV300" s="167">
        <f t="shared" si="3542"/>
        <v>0</v>
      </c>
      <c r="BW300" s="163">
        <f t="shared" si="3543"/>
        <v>46174</v>
      </c>
      <c r="BX300" s="163">
        <f t="shared" si="3544"/>
        <v>46203</v>
      </c>
      <c r="BY300" s="167">
        <f t="shared" si="3545"/>
        <v>0</v>
      </c>
      <c r="BZ300" s="163">
        <f t="shared" si="3546"/>
        <v>46204</v>
      </c>
      <c r="CA300" s="163">
        <f t="shared" si="3547"/>
        <v>46234</v>
      </c>
      <c r="CB300" s="167">
        <f t="shared" si="3548"/>
        <v>0</v>
      </c>
      <c r="CC300" s="163">
        <f t="shared" si="3549"/>
        <v>46235</v>
      </c>
      <c r="CD300" s="163">
        <f t="shared" si="3550"/>
        <v>46265</v>
      </c>
      <c r="CE300" s="167">
        <f t="shared" si="3551"/>
        <v>0</v>
      </c>
      <c r="CF300" s="163">
        <f t="shared" si="3552"/>
        <v>46266</v>
      </c>
      <c r="CG300" s="163">
        <f t="shared" si="3553"/>
        <v>46295</v>
      </c>
      <c r="CH300" s="167">
        <f t="shared" si="3554"/>
        <v>0</v>
      </c>
      <c r="CI300" s="163">
        <f t="shared" si="3555"/>
        <v>46296</v>
      </c>
      <c r="CJ300" s="163">
        <f t="shared" si="3556"/>
        <v>46326</v>
      </c>
      <c r="CK300" s="167">
        <f t="shared" si="3557"/>
        <v>0</v>
      </c>
      <c r="CL300" s="163">
        <f t="shared" si="3558"/>
        <v>46327</v>
      </c>
      <c r="CM300" s="163">
        <f t="shared" si="3559"/>
        <v>46356</v>
      </c>
      <c r="CN300" s="167">
        <f t="shared" si="3560"/>
        <v>0</v>
      </c>
      <c r="CO300" s="163">
        <f t="shared" si="3561"/>
        <v>46357</v>
      </c>
      <c r="CP300" s="163">
        <f t="shared" si="3562"/>
        <v>46387</v>
      </c>
      <c r="CQ300" s="167">
        <f t="shared" si="3563"/>
        <v>0</v>
      </c>
    </row>
    <row r="301" s="89" customFormat="1" ht="24" hidden="1" customHeight="1" outlineLevel="4" spans="1:95">
      <c r="A301" s="128"/>
      <c r="B301" s="129"/>
      <c r="C301" s="130"/>
      <c r="D301" s="128"/>
      <c r="E301" s="129"/>
      <c r="F301" s="129"/>
      <c r="G301" s="129"/>
      <c r="H301" s="131"/>
      <c r="I301" s="131"/>
      <c r="J301" s="131">
        <f t="shared" si="3131"/>
        <v>0</v>
      </c>
      <c r="K301" s="131">
        <f t="shared" si="3564"/>
        <v>4</v>
      </c>
      <c r="L301" s="156"/>
      <c r="M301" s="157">
        <f>IFERROR(VLOOKUP($L301,'2-2 引出数据_合同数据仓库'!$B$5:$BP$200,3,FALSE),0)</f>
        <v>0</v>
      </c>
      <c r="N301" s="131"/>
      <c r="O301" s="157">
        <f>IFERROR(VLOOKUP((LEFT(VLOOKUP($L301,'2-2 引出数据_合同数据仓库'!$B$5:$BP$200,64,FALSE),15)&amp;(RIGHT(VLOOKUP($L301,'2-2 引出数据_合同数据仓库'!$B$5:$BP$200,64,FALSE),4)+1)),'2-2 引出数据_合同数据仓库'!$B$5:$BP$200,3,FALSE),0)</f>
        <v>0</v>
      </c>
      <c r="P301" s="131"/>
      <c r="Q301" s="131">
        <f>IFERROR(VLOOKUP($L301,'2-2 引出数据_合同数据仓库'!$B$5:$BP$200,28,FALSE),0)</f>
        <v>0</v>
      </c>
      <c r="R301" s="131">
        <f>IFERROR(VLOOKUP($L301,'2-2 引出数据_合同数据仓库'!$B$5:$BP$200,29,FALSE),0)</f>
        <v>0</v>
      </c>
      <c r="S301" s="131">
        <f>IFERROR(VLOOKUP($L301,'2-2 引出数据_合同数据仓库'!$B$5:$BP$200,4,FALSE),0)</f>
        <v>0</v>
      </c>
      <c r="T301" s="131"/>
      <c r="U301" s="131">
        <f>IFERROR(VLOOKUP($L301,'2-2 引出数据_合同数据仓库'!$B$5:$BP$200,15,FALSE),0)</f>
        <v>0</v>
      </c>
      <c r="V301" s="131">
        <f t="shared" si="3493"/>
        <v>0</v>
      </c>
      <c r="W301" s="131"/>
      <c r="X301" s="163">
        <v>45658</v>
      </c>
      <c r="Y301" s="163">
        <f t="shared" si="3494"/>
        <v>45688</v>
      </c>
      <c r="Z301" s="167">
        <f t="shared" si="3495"/>
        <v>0</v>
      </c>
      <c r="AA301" s="163">
        <f t="shared" si="3496"/>
        <v>45689</v>
      </c>
      <c r="AB301" s="163">
        <f t="shared" si="3497"/>
        <v>45716</v>
      </c>
      <c r="AC301" s="167">
        <f t="shared" si="3498"/>
        <v>0</v>
      </c>
      <c r="AD301" s="163">
        <f t="shared" si="3499"/>
        <v>45717</v>
      </c>
      <c r="AE301" s="163">
        <f t="shared" si="3500"/>
        <v>45747</v>
      </c>
      <c r="AF301" s="167">
        <f t="shared" si="3501"/>
        <v>0</v>
      </c>
      <c r="AG301" s="163">
        <f t="shared" si="3502"/>
        <v>45748</v>
      </c>
      <c r="AH301" s="163">
        <f t="shared" si="3503"/>
        <v>45777</v>
      </c>
      <c r="AI301" s="167">
        <f t="shared" si="3504"/>
        <v>0</v>
      </c>
      <c r="AJ301" s="163">
        <f t="shared" si="3505"/>
        <v>45778</v>
      </c>
      <c r="AK301" s="163">
        <f t="shared" si="3506"/>
        <v>45808</v>
      </c>
      <c r="AL301" s="167">
        <f t="shared" si="3507"/>
        <v>0</v>
      </c>
      <c r="AM301" s="163">
        <f t="shared" si="3508"/>
        <v>45809</v>
      </c>
      <c r="AN301" s="163">
        <f t="shared" si="3509"/>
        <v>45838</v>
      </c>
      <c r="AO301" s="167">
        <f t="shared" si="3510"/>
        <v>0</v>
      </c>
      <c r="AP301" s="163">
        <f t="shared" si="3511"/>
        <v>45839</v>
      </c>
      <c r="AQ301" s="163">
        <f t="shared" si="3512"/>
        <v>45869</v>
      </c>
      <c r="AR301" s="167">
        <f t="shared" si="3513"/>
        <v>0</v>
      </c>
      <c r="AS301" s="163">
        <f t="shared" si="3514"/>
        <v>45870</v>
      </c>
      <c r="AT301" s="163">
        <f t="shared" si="3515"/>
        <v>45900</v>
      </c>
      <c r="AU301" s="167">
        <f t="shared" si="3516"/>
        <v>0</v>
      </c>
      <c r="AV301" s="163">
        <f t="shared" si="3517"/>
        <v>45901</v>
      </c>
      <c r="AW301" s="163">
        <f t="shared" si="3518"/>
        <v>45930</v>
      </c>
      <c r="AX301" s="167">
        <f t="shared" si="3519"/>
        <v>0</v>
      </c>
      <c r="AY301" s="163">
        <f t="shared" si="3520"/>
        <v>45931</v>
      </c>
      <c r="AZ301" s="163">
        <f t="shared" si="3521"/>
        <v>45961</v>
      </c>
      <c r="BA301" s="167">
        <f t="shared" si="3522"/>
        <v>0</v>
      </c>
      <c r="BB301" s="163">
        <f t="shared" si="3523"/>
        <v>45962</v>
      </c>
      <c r="BC301" s="163">
        <f t="shared" si="3524"/>
        <v>45991</v>
      </c>
      <c r="BD301" s="167">
        <f t="shared" si="3525"/>
        <v>0</v>
      </c>
      <c r="BE301" s="163">
        <f t="shared" si="3526"/>
        <v>45992</v>
      </c>
      <c r="BF301" s="163">
        <f t="shared" si="3527"/>
        <v>46022</v>
      </c>
      <c r="BG301" s="167">
        <f t="shared" si="3528"/>
        <v>0</v>
      </c>
      <c r="BH301" s="163">
        <v>46023</v>
      </c>
      <c r="BI301" s="163">
        <f t="shared" si="3529"/>
        <v>46053</v>
      </c>
      <c r="BJ301" s="167">
        <f t="shared" si="3530"/>
        <v>0</v>
      </c>
      <c r="BK301" s="163">
        <f t="shared" si="3531"/>
        <v>46054</v>
      </c>
      <c r="BL301" s="163">
        <f t="shared" si="3532"/>
        <v>46081</v>
      </c>
      <c r="BM301" s="167">
        <f t="shared" si="3533"/>
        <v>0</v>
      </c>
      <c r="BN301" s="163">
        <f t="shared" si="3534"/>
        <v>46082</v>
      </c>
      <c r="BO301" s="163">
        <f t="shared" si="3535"/>
        <v>46112</v>
      </c>
      <c r="BP301" s="167">
        <f t="shared" si="3536"/>
        <v>0</v>
      </c>
      <c r="BQ301" s="163">
        <f t="shared" si="3537"/>
        <v>46113</v>
      </c>
      <c r="BR301" s="163">
        <f t="shared" si="3538"/>
        <v>46142</v>
      </c>
      <c r="BS301" s="167">
        <f t="shared" si="3539"/>
        <v>0</v>
      </c>
      <c r="BT301" s="163">
        <f t="shared" si="3540"/>
        <v>46143</v>
      </c>
      <c r="BU301" s="163">
        <f t="shared" si="3541"/>
        <v>46173</v>
      </c>
      <c r="BV301" s="167">
        <f t="shared" si="3542"/>
        <v>0</v>
      </c>
      <c r="BW301" s="163">
        <f t="shared" si="3543"/>
        <v>46174</v>
      </c>
      <c r="BX301" s="163">
        <f t="shared" si="3544"/>
        <v>46203</v>
      </c>
      <c r="BY301" s="167">
        <f t="shared" si="3545"/>
        <v>0</v>
      </c>
      <c r="BZ301" s="163">
        <f t="shared" si="3546"/>
        <v>46204</v>
      </c>
      <c r="CA301" s="163">
        <f t="shared" si="3547"/>
        <v>46234</v>
      </c>
      <c r="CB301" s="167">
        <f t="shared" si="3548"/>
        <v>0</v>
      </c>
      <c r="CC301" s="163">
        <f t="shared" si="3549"/>
        <v>46235</v>
      </c>
      <c r="CD301" s="163">
        <f t="shared" si="3550"/>
        <v>46265</v>
      </c>
      <c r="CE301" s="167">
        <f t="shared" si="3551"/>
        <v>0</v>
      </c>
      <c r="CF301" s="163">
        <f t="shared" si="3552"/>
        <v>46266</v>
      </c>
      <c r="CG301" s="163">
        <f t="shared" si="3553"/>
        <v>46295</v>
      </c>
      <c r="CH301" s="167">
        <f t="shared" si="3554"/>
        <v>0</v>
      </c>
      <c r="CI301" s="163">
        <f t="shared" si="3555"/>
        <v>46296</v>
      </c>
      <c r="CJ301" s="163">
        <f t="shared" si="3556"/>
        <v>46326</v>
      </c>
      <c r="CK301" s="167">
        <f t="shared" si="3557"/>
        <v>0</v>
      </c>
      <c r="CL301" s="163">
        <f t="shared" si="3558"/>
        <v>46327</v>
      </c>
      <c r="CM301" s="163">
        <f t="shared" si="3559"/>
        <v>46356</v>
      </c>
      <c r="CN301" s="167">
        <f t="shared" si="3560"/>
        <v>0</v>
      </c>
      <c r="CO301" s="163">
        <f t="shared" si="3561"/>
        <v>46357</v>
      </c>
      <c r="CP301" s="163">
        <f t="shared" si="3562"/>
        <v>46387</v>
      </c>
      <c r="CQ301" s="167">
        <f t="shared" si="3563"/>
        <v>0</v>
      </c>
    </row>
    <row r="302" s="89" customFormat="1" ht="24" hidden="1" customHeight="1" outlineLevel="4" spans="1:95">
      <c r="A302" s="132" t="s">
        <v>2813</v>
      </c>
      <c r="B302" s="133"/>
      <c r="C302" s="133"/>
      <c r="D302" s="133"/>
      <c r="E302" s="133"/>
      <c r="F302" s="133"/>
      <c r="G302" s="134"/>
      <c r="H302" s="135"/>
      <c r="I302" s="135"/>
      <c r="J302" s="135"/>
      <c r="K302" s="135"/>
      <c r="L302" s="158"/>
      <c r="M302" s="158"/>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c r="CL302" s="135"/>
      <c r="CM302" s="135"/>
      <c r="CN302" s="135"/>
      <c r="CO302" s="135"/>
      <c r="CP302" s="135"/>
      <c r="CQ302" s="135"/>
    </row>
    <row r="303" ht="24" hidden="1" customHeight="1" outlineLevel="3" collapsed="1" spans="1:95">
      <c r="A303" s="124"/>
      <c r="B303" s="125" t="s">
        <v>792</v>
      </c>
      <c r="C303" s="126" t="s">
        <v>1249</v>
      </c>
      <c r="D303" s="124" t="s">
        <v>1250</v>
      </c>
      <c r="E303" s="125" t="s">
        <v>1251</v>
      </c>
      <c r="F303" s="125"/>
      <c r="G303" s="125" t="s">
        <v>936</v>
      </c>
      <c r="H303" s="127">
        <f>X303+AA303+AD303+AG303+AJ303+AM303+AP303+AS303+AV303+AY303+BB303+BE303</f>
        <v>0</v>
      </c>
      <c r="I303" s="127">
        <f>Y303+AB303+AE303+AH303+AK303+AN303+AQ303+AT303+AW303+AZ303+BC303+BF303</f>
        <v>0</v>
      </c>
      <c r="J303" s="127">
        <f t="shared" si="3131"/>
        <v>0</v>
      </c>
      <c r="K303" s="127"/>
      <c r="L303" s="155"/>
      <c r="M303" s="155"/>
      <c r="N303" s="127"/>
      <c r="O303" s="127"/>
      <c r="P303" s="127"/>
      <c r="Q303" s="127"/>
      <c r="R303" s="127"/>
      <c r="S303" s="127"/>
      <c r="T303" s="127"/>
      <c r="U303" s="127"/>
      <c r="V303" s="127"/>
      <c r="W303" s="127"/>
      <c r="X303" s="127">
        <f>VLOOKUP($C303,'1 预算编制表单'!$C:$BJ,27,FALSE)</f>
        <v>0</v>
      </c>
      <c r="Y303" s="127">
        <f>X303-Z303</f>
        <v>0</v>
      </c>
      <c r="Z303" s="127">
        <f>SUM(Z304:Z308)</f>
        <v>0</v>
      </c>
      <c r="AA303" s="127">
        <f>VLOOKUP($C303,'1 预算编制表单'!$C:$BJ,30,FALSE)</f>
        <v>0</v>
      </c>
      <c r="AB303" s="127">
        <f>AA303-AC303</f>
        <v>0</v>
      </c>
      <c r="AC303" s="127">
        <f>SUM(AC304:AC308)</f>
        <v>0</v>
      </c>
      <c r="AD303" s="127">
        <f>VLOOKUP($C303,'1 预算编制表单'!$C:$BJ,33,FALSE)</f>
        <v>0</v>
      </c>
      <c r="AE303" s="127">
        <f>AD303-AF303</f>
        <v>0</v>
      </c>
      <c r="AF303" s="127">
        <f>SUM(AF304:AF308)</f>
        <v>0</v>
      </c>
      <c r="AG303" s="127">
        <f>VLOOKUP($C303,'1 预算编制表单'!$C:$BJ,36,FALSE)</f>
        <v>0</v>
      </c>
      <c r="AH303" s="127">
        <f>AG303-AI303</f>
        <v>0</v>
      </c>
      <c r="AI303" s="127">
        <f>SUM(AI304:AI308)</f>
        <v>0</v>
      </c>
      <c r="AJ303" s="127">
        <f>VLOOKUP($C303,'1 预算编制表单'!$C:$BJ,39,FALSE)</f>
        <v>0</v>
      </c>
      <c r="AK303" s="127">
        <f>AJ303-AL303</f>
        <v>0</v>
      </c>
      <c r="AL303" s="127">
        <f>SUM(AL304:AL308)</f>
        <v>0</v>
      </c>
      <c r="AM303" s="127">
        <f>VLOOKUP($C303,'1 预算编制表单'!$C:$BJ,42,FALSE)</f>
        <v>0</v>
      </c>
      <c r="AN303" s="127">
        <f>AM303-AO303</f>
        <v>0</v>
      </c>
      <c r="AO303" s="127">
        <f>SUM(AO304:AO308)</f>
        <v>0</v>
      </c>
      <c r="AP303" s="127">
        <f>VLOOKUP($C303,'1 预算编制表单'!$C:$BJ,45,FALSE)</f>
        <v>0</v>
      </c>
      <c r="AQ303" s="127">
        <f>AP303-AR303</f>
        <v>0</v>
      </c>
      <c r="AR303" s="127">
        <f>SUM(AR304:AR308)</f>
        <v>0</v>
      </c>
      <c r="AS303" s="127">
        <f>VLOOKUP($C303,'1 预算编制表单'!$C:$BJ,48,FALSE)</f>
        <v>0</v>
      </c>
      <c r="AT303" s="127">
        <f>AS303-AU303</f>
        <v>0</v>
      </c>
      <c r="AU303" s="127">
        <f>SUM(AU304:AU308)</f>
        <v>0</v>
      </c>
      <c r="AV303" s="127">
        <f>VLOOKUP($C303,'1 预算编制表单'!$C:$BJ,51,FALSE)</f>
        <v>0</v>
      </c>
      <c r="AW303" s="127">
        <f>AV303-AX303</f>
        <v>0</v>
      </c>
      <c r="AX303" s="127">
        <f>SUM(AX304:AX308)</f>
        <v>0</v>
      </c>
      <c r="AY303" s="127">
        <f>VLOOKUP($C303,'1 预算编制表单'!$C:$BJ,54,FALSE)</f>
        <v>0</v>
      </c>
      <c r="AZ303" s="127">
        <f>AY303-BA303</f>
        <v>0</v>
      </c>
      <c r="BA303" s="127">
        <f>SUM(BA304:BA308)</f>
        <v>0</v>
      </c>
      <c r="BB303" s="127">
        <f>VLOOKUP($C303,'1 预算编制表单'!$C:$BJ,57,FALSE)</f>
        <v>0</v>
      </c>
      <c r="BC303" s="127">
        <f>BB303-BD303</f>
        <v>0</v>
      </c>
      <c r="BD303" s="127">
        <f>SUM(BD304:BD308)</f>
        <v>0</v>
      </c>
      <c r="BE303" s="127">
        <f>VLOOKUP($C303,'1 预算编制表单'!$C:$BJ,60,FALSE)</f>
        <v>0</v>
      </c>
      <c r="BF303" s="127">
        <f>BE303-BG303</f>
        <v>0</v>
      </c>
      <c r="BG303" s="127">
        <f>SUM(BG304:BG308)</f>
        <v>0</v>
      </c>
      <c r="BH303" s="127">
        <f>VLOOKUP($C303,'1 预算编制表单'!$C:$BJ,27,FALSE)</f>
        <v>0</v>
      </c>
      <c r="BI303" s="127">
        <f>BH303-BJ303</f>
        <v>0</v>
      </c>
      <c r="BJ303" s="127">
        <f>SUM(BJ304:BJ308)</f>
        <v>0</v>
      </c>
      <c r="BK303" s="127">
        <f>VLOOKUP($C303,'1 预算编制表单'!$C:$BJ,30,FALSE)</f>
        <v>0</v>
      </c>
      <c r="BL303" s="127">
        <f>BK303-BM303</f>
        <v>0</v>
      </c>
      <c r="BM303" s="127">
        <f>SUM(BM304:BM308)</f>
        <v>0</v>
      </c>
      <c r="BN303" s="127">
        <f>VLOOKUP($C303,'1 预算编制表单'!$C:$BJ,33,FALSE)</f>
        <v>0</v>
      </c>
      <c r="BO303" s="127">
        <f>BN303-BP303</f>
        <v>0</v>
      </c>
      <c r="BP303" s="127">
        <f>SUM(BP304:BP308)</f>
        <v>0</v>
      </c>
      <c r="BQ303" s="127">
        <f>VLOOKUP($C303,'1 预算编制表单'!$C:$BJ,36,FALSE)</f>
        <v>0</v>
      </c>
      <c r="BR303" s="127">
        <f>BQ303-BS303</f>
        <v>0</v>
      </c>
      <c r="BS303" s="127">
        <f>SUM(BS304:BS308)</f>
        <v>0</v>
      </c>
      <c r="BT303" s="127">
        <f>VLOOKUP($C303,'1 预算编制表单'!$C:$BJ,39,FALSE)</f>
        <v>0</v>
      </c>
      <c r="BU303" s="127">
        <f>BT303-BV303</f>
        <v>0</v>
      </c>
      <c r="BV303" s="127">
        <f>SUM(BV304:BV308)</f>
        <v>0</v>
      </c>
      <c r="BW303" s="127">
        <f>VLOOKUP($C303,'1 预算编制表单'!$C:$BJ,42,FALSE)</f>
        <v>0</v>
      </c>
      <c r="BX303" s="127">
        <f>BW303-BY303</f>
        <v>0</v>
      </c>
      <c r="BY303" s="127">
        <f>SUM(BY304:BY308)</f>
        <v>0</v>
      </c>
      <c r="BZ303" s="127">
        <f>VLOOKUP($C303,'1 预算编制表单'!$C:$BJ,45,FALSE)</f>
        <v>0</v>
      </c>
      <c r="CA303" s="127">
        <f>BZ303-CB303</f>
        <v>0</v>
      </c>
      <c r="CB303" s="127">
        <f>SUM(CB304:CB308)</f>
        <v>0</v>
      </c>
      <c r="CC303" s="127">
        <f>VLOOKUP($C303,'1 预算编制表单'!$C:$BJ,48,FALSE)</f>
        <v>0</v>
      </c>
      <c r="CD303" s="127">
        <f>CC303-CE303</f>
        <v>0</v>
      </c>
      <c r="CE303" s="127">
        <f>SUM(CE304:CE308)</f>
        <v>0</v>
      </c>
      <c r="CF303" s="127">
        <f>VLOOKUP($C303,'1 预算编制表单'!$C:$BJ,51,FALSE)</f>
        <v>0</v>
      </c>
      <c r="CG303" s="127">
        <f>CF303-CH303</f>
        <v>0</v>
      </c>
      <c r="CH303" s="127">
        <f>SUM(CH304:CH308)</f>
        <v>0</v>
      </c>
      <c r="CI303" s="127">
        <f>VLOOKUP($C303,'1 预算编制表单'!$C:$BJ,54,FALSE)</f>
        <v>0</v>
      </c>
      <c r="CJ303" s="127">
        <f>CI303-CK303</f>
        <v>0</v>
      </c>
      <c r="CK303" s="127">
        <f>SUM(CK304:CK308)</f>
        <v>0</v>
      </c>
      <c r="CL303" s="127">
        <f>VLOOKUP($C303,'1 预算编制表单'!$C:$BJ,57,FALSE)</f>
        <v>0</v>
      </c>
      <c r="CM303" s="127">
        <f>CL303-CN303</f>
        <v>0</v>
      </c>
      <c r="CN303" s="127">
        <f>SUM(CN304:CN308)</f>
        <v>0</v>
      </c>
      <c r="CO303" s="127">
        <f>VLOOKUP($C303,'1 预算编制表单'!$C:$BJ,60,FALSE)</f>
        <v>0</v>
      </c>
      <c r="CP303" s="127">
        <f>CO303-CQ303</f>
        <v>0</v>
      </c>
      <c r="CQ303" s="127">
        <f>SUM(CQ304:CQ308)</f>
        <v>0</v>
      </c>
    </row>
    <row r="304" s="89" customFormat="1" ht="24" hidden="1" customHeight="1" outlineLevel="4" spans="1:95">
      <c r="A304" s="128"/>
      <c r="B304" s="129"/>
      <c r="C304" s="130"/>
      <c r="D304" s="128"/>
      <c r="E304" s="129"/>
      <c r="F304" s="129"/>
      <c r="G304" s="129"/>
      <c r="H304" s="131"/>
      <c r="I304" s="131"/>
      <c r="J304" s="131">
        <f t="shared" si="3131"/>
        <v>0</v>
      </c>
      <c r="K304" s="131">
        <v>1</v>
      </c>
      <c r="L304" s="156"/>
      <c r="M304" s="157">
        <f>IFERROR(VLOOKUP($L304,'2-2 引出数据_合同数据仓库'!$B$5:$BP$200,3,FALSE),0)</f>
        <v>0</v>
      </c>
      <c r="N304" s="131"/>
      <c r="O304" s="157">
        <f>IFERROR(VLOOKUP((LEFT(VLOOKUP($L304,'2-2 引出数据_合同数据仓库'!$B$5:$BP$200,64,FALSE),15)&amp;(RIGHT(VLOOKUP($L304,'2-2 引出数据_合同数据仓库'!$B$5:$BP$200,64,FALSE),4)+1)),'2-2 引出数据_合同数据仓库'!$B$5:$BP$200,3,FALSE),0)</f>
        <v>0</v>
      </c>
      <c r="P304" s="131"/>
      <c r="Q304" s="131">
        <f>IFERROR(VLOOKUP($L304,'2-2 引出数据_合同数据仓库'!$B$5:$BP$200,28,FALSE),0)</f>
        <v>0</v>
      </c>
      <c r="R304" s="131">
        <f>IFERROR(VLOOKUP($L304,'2-2 引出数据_合同数据仓库'!$B$5:$BP$200,29,FALSE),0)</f>
        <v>0</v>
      </c>
      <c r="S304" s="131">
        <f>IFERROR(VLOOKUP($L304,'2-2 引出数据_合同数据仓库'!$B$5:$BP$200,4,FALSE),0)</f>
        <v>0</v>
      </c>
      <c r="T304" s="131"/>
      <c r="U304" s="131">
        <f>IFERROR(VLOOKUP($L304,'2-2 引出数据_合同数据仓库'!$B$5:$BP$200,15,FALSE),0)</f>
        <v>0</v>
      </c>
      <c r="V304" s="131">
        <f t="shared" ref="V304:V307" si="3565">U304/(S304-R304+1)*365</f>
        <v>0</v>
      </c>
      <c r="W304" s="131"/>
      <c r="X304" s="163">
        <v>45658</v>
      </c>
      <c r="Y304" s="163">
        <f t="shared" ref="Y304:Y307" si="3566">X304+30</f>
        <v>45688</v>
      </c>
      <c r="Z304" s="167">
        <f t="shared" ref="Z304:Z307" si="3567">IFERROR(IF(($R304-Y304)&gt;=0,0,IF(($S304-X304)&lt;0,0,IF(AND(($S304-Y304)&gt;0,(X304-$R304)&gt;0),$V304/365*(Y304-X304+1),IF(AND(($S304-Y304)&lt;=0,(X304-$R304)&gt;0),$V304/365*($S304-X304+1),$V304/365*(Y304-$R304+1))))),0)</f>
        <v>0</v>
      </c>
      <c r="AA304" s="163">
        <f t="shared" ref="AA304:AA307" si="3568">Y304+1</f>
        <v>45689</v>
      </c>
      <c r="AB304" s="163">
        <f t="shared" ref="AB304:AB307" si="3569">AA304+27</f>
        <v>45716</v>
      </c>
      <c r="AC304" s="167">
        <f t="shared" ref="AC304:AC307" si="3570">IFERROR(IF(($R304-AB304)&gt;=0,0,IF(($S304-AA304)&lt;0,0,IF(AND(($S304-AB304)&gt;0,(AA304-$R304)&gt;0),$V304/365*(AB304-AA304+1),IF(AND(($S304-AB304)&lt;=0,(AA304-$R304)&gt;0),$V304/365*($S304-AA304+1),$V304/365*(AB304-$R304+1))))),0)</f>
        <v>0</v>
      </c>
      <c r="AD304" s="163">
        <f t="shared" ref="AD304:AD307" si="3571">AB304+1</f>
        <v>45717</v>
      </c>
      <c r="AE304" s="163">
        <f t="shared" ref="AE304:AE307" si="3572">AD304+30</f>
        <v>45747</v>
      </c>
      <c r="AF304" s="167">
        <f t="shared" ref="AF304:AF307" si="3573">IFERROR(IF(($R304-AE304)&gt;=0,0,IF(($S304-AD304)&lt;0,0,IF(AND(($S304-AE304)&gt;0,(AD304-$R304)&gt;0),$V304/365*(AE304-AD304+1),IF(AND(($S304-AE304)&lt;=0,(AD304-$R304)&gt;0),$V304/365*($S304-AD304+1),$V304/365*(AE304-$R304+1))))),0)</f>
        <v>0</v>
      </c>
      <c r="AG304" s="163">
        <f t="shared" ref="AG304:AG307" si="3574">AE304+1</f>
        <v>45748</v>
      </c>
      <c r="AH304" s="163">
        <f t="shared" ref="AH304:AH307" si="3575">AG304+29</f>
        <v>45777</v>
      </c>
      <c r="AI304" s="167">
        <f t="shared" ref="AI304:AI307" si="3576">IFERROR(IF(($R304-AH304)&gt;=0,0,IF(($S304-AG304)&lt;0,0,IF(AND(($S304-AH304)&gt;0,(AG304-$R304)&gt;0),$V304/365*(AH304-AG304+1),IF(AND(($S304-AH304)&lt;=0,(AG304-$R304)&gt;0),$V304/365*($S304-AG304+1),$V304/365*(AH304-$R304+1))))),0)</f>
        <v>0</v>
      </c>
      <c r="AJ304" s="163">
        <f t="shared" ref="AJ304:AJ307" si="3577">AH304+1</f>
        <v>45778</v>
      </c>
      <c r="AK304" s="163">
        <f t="shared" ref="AK304:AK307" si="3578">AJ304+30</f>
        <v>45808</v>
      </c>
      <c r="AL304" s="167">
        <f t="shared" ref="AL304:AL307" si="3579">IFERROR(IF(($R304-AK304)&gt;=0,0,IF(($S304-AJ304)&lt;0,0,IF(AND(($S304-AK304)&gt;0,(AJ304-$R304)&gt;0),$V304/365*(AK304-AJ304+1),IF(AND(($S304-AK304)&lt;=0,(AJ304-$R304)&gt;0),$V304/365*($S304-AJ304+1),$V304/365*(AK304-$R304+1))))),0)</f>
        <v>0</v>
      </c>
      <c r="AM304" s="163">
        <f t="shared" ref="AM304:AM307" si="3580">AK304+1</f>
        <v>45809</v>
      </c>
      <c r="AN304" s="163">
        <f t="shared" ref="AN304:AN307" si="3581">AM304+29</f>
        <v>45838</v>
      </c>
      <c r="AO304" s="167">
        <f t="shared" ref="AO304:AO307" si="3582">IFERROR(IF(($R304-AN304)&gt;=0,0,IF(($S304-AM304)&lt;0,0,IF(AND(($S304-AN304)&gt;0,(AM304-$R304)&gt;0),$V304/365*(AN304-AM304+1),IF(AND(($S304-AN304)&lt;=0,(AM304-$R304)&gt;0),$V304/365*($S304-AM304+1),$V304/365*(AN304-$R304+1))))),0)</f>
        <v>0</v>
      </c>
      <c r="AP304" s="163">
        <f t="shared" ref="AP304:AP307" si="3583">AN304+1</f>
        <v>45839</v>
      </c>
      <c r="AQ304" s="163">
        <f t="shared" ref="AQ304:AQ307" si="3584">AP304+30</f>
        <v>45869</v>
      </c>
      <c r="AR304" s="167">
        <f t="shared" ref="AR304:AR307" si="3585">IFERROR(IF(($R304-AQ304)&gt;=0,0,IF(($S304-AP304)&lt;0,0,IF(AND(($S304-AQ304)&gt;0,(AP304-$R304)&gt;0),$V304/365*(AQ304-AP304+1),IF(AND(($S304-AQ304)&lt;=0,(AP304-$R304)&gt;0),$V304/365*($S304-AP304+1),$V304/365*(AQ304-$R304+1))))),0)</f>
        <v>0</v>
      </c>
      <c r="AS304" s="163">
        <f t="shared" ref="AS304:AS307" si="3586">AQ304+1</f>
        <v>45870</v>
      </c>
      <c r="AT304" s="163">
        <f t="shared" ref="AT304:AT307" si="3587">AS304+30</f>
        <v>45900</v>
      </c>
      <c r="AU304" s="167">
        <f t="shared" ref="AU304:AU307" si="3588">IFERROR(IF(($R304-AT304)&gt;=0,0,IF(($S304-AS304)&lt;0,0,IF(AND(($S304-AT304)&gt;0,(AS304-$R304)&gt;0),$V304/365*(AT304-AS304+1),IF(AND(($S304-AT304)&lt;=0,(AS304-$R304)&gt;0),$V304/365*($S304-AS304+1),$V304/365*(AT304-$R304+1))))),0)</f>
        <v>0</v>
      </c>
      <c r="AV304" s="163">
        <f t="shared" ref="AV304:AV307" si="3589">AT304+1</f>
        <v>45901</v>
      </c>
      <c r="AW304" s="163">
        <f t="shared" ref="AW304:AW307" si="3590">AV304+29</f>
        <v>45930</v>
      </c>
      <c r="AX304" s="167">
        <f t="shared" ref="AX304:AX307" si="3591">IFERROR(IF(($R304-AW304)&gt;=0,0,IF(($S304-AV304)&lt;0,0,IF(AND(($S304-AW304)&gt;0,(AV304-$R304)&gt;0),$V304/365*(AW304-AV304+1),IF(AND(($S304-AW304)&lt;=0,(AV304-$R304)&gt;0),$V304/365*($S304-AV304+1),$V304/365*(AW304-$R304+1))))),0)</f>
        <v>0</v>
      </c>
      <c r="AY304" s="163">
        <f t="shared" ref="AY304:AY307" si="3592">AW304+1</f>
        <v>45931</v>
      </c>
      <c r="AZ304" s="163">
        <f t="shared" ref="AZ304:AZ307" si="3593">AY304+30</f>
        <v>45961</v>
      </c>
      <c r="BA304" s="167">
        <f t="shared" ref="BA304:BA307" si="3594">IFERROR(IF(($R304-AZ304)&gt;=0,0,IF(($S304-AY304)&lt;0,0,IF(AND(($S304-AZ304)&gt;0,(AY304-$R304)&gt;0),$V304/365*(AZ304-AY304+1),IF(AND(($S304-AZ304)&lt;=0,(AY304-$R304)&gt;0),$V304/365*($S304-AY304+1),$V304/365*(AZ304-$R304+1))))),0)</f>
        <v>0</v>
      </c>
      <c r="BB304" s="163">
        <f t="shared" ref="BB304:BB307" si="3595">AZ304+1</f>
        <v>45962</v>
      </c>
      <c r="BC304" s="163">
        <f t="shared" ref="BC304:BC307" si="3596">BB304+29</f>
        <v>45991</v>
      </c>
      <c r="BD304" s="167">
        <f t="shared" ref="BD304:BD307" si="3597">IFERROR(IF(($R304-BC304)&gt;=0,0,IF(($S304-BB304)&lt;0,0,IF(AND(($S304-BC304)&gt;0,(BB304-$R304)&gt;0),$V304/365*(BC304-BB304+1),IF(AND(($S304-BC304)&lt;=0,(BB304-$R304)&gt;0),$V304/365*($S304-BB304+1),$V304/365*(BC304-$R304+1))))),0)</f>
        <v>0</v>
      </c>
      <c r="BE304" s="163">
        <f t="shared" ref="BE304:BE307" si="3598">BC304+1</f>
        <v>45992</v>
      </c>
      <c r="BF304" s="163">
        <f t="shared" ref="BF304:BF307" si="3599">BE304+30</f>
        <v>46022</v>
      </c>
      <c r="BG304" s="167">
        <f t="shared" ref="BG304:BG307" si="3600">IFERROR(IF(($R304-BF304)&gt;=0,0,IF(($S304-BE304)&lt;0,0,IF(AND(($S304-BF304)&gt;0,(BE304-$R304)&gt;0),$V304/365*(BF304-BE304+1),IF(AND(($S304-BF304)&lt;=0,(BE304-$R304)&gt;0),$V304/365*($S304-BE304+1),$V304/365*(BF304-$R304+1))))),0)</f>
        <v>0</v>
      </c>
      <c r="BH304" s="163">
        <v>46023</v>
      </c>
      <c r="BI304" s="163">
        <f t="shared" ref="BI304:BI307" si="3601">BH304+30</f>
        <v>46053</v>
      </c>
      <c r="BJ304" s="167">
        <f t="shared" ref="BJ304:BJ307" si="3602">IFERROR(IF(($R304-BI304)&gt;=0,0,IF(($S304-BH304)&lt;0,0,IF(AND(($S304-BI304)&gt;0,(BH304-$R304)&gt;0),$V304/365*(BI304-BH304+1),IF(AND(($S304-BI304)&lt;=0,(BH304-$R304)&gt;0),$V304/365*($S304-BH304+1),$V304/365*(BI304-$R304+1))))),0)</f>
        <v>0</v>
      </c>
      <c r="BK304" s="163">
        <f t="shared" ref="BK304:BK307" si="3603">BI304+1</f>
        <v>46054</v>
      </c>
      <c r="BL304" s="163">
        <f t="shared" ref="BL304:BL307" si="3604">BK304+27</f>
        <v>46081</v>
      </c>
      <c r="BM304" s="167">
        <f t="shared" ref="BM304:BM307" si="3605">IFERROR(IF(($R304-BL304)&gt;=0,0,IF(($S304-BK304)&lt;0,0,IF(AND(($S304-BL304)&gt;0,(BK304-$R304)&gt;0),$V304/365*(BL304-BK304+1),IF(AND(($S304-BL304)&lt;=0,(BK304-$R304)&gt;0),$V304/365*($S304-BK304+1),$V304/365*(BL304-$R304+1))))),0)</f>
        <v>0</v>
      </c>
      <c r="BN304" s="163">
        <f t="shared" ref="BN304:BN307" si="3606">BL304+1</f>
        <v>46082</v>
      </c>
      <c r="BO304" s="163">
        <f t="shared" ref="BO304:BO307" si="3607">BN304+30</f>
        <v>46112</v>
      </c>
      <c r="BP304" s="167">
        <f t="shared" ref="BP304:BP307" si="3608">IFERROR(IF(($R304-BO304)&gt;=0,0,IF(($S304-BN304)&lt;0,0,IF(AND(($S304-BO304)&gt;0,(BN304-$R304)&gt;0),$V304/365*(BO304-BN304+1),IF(AND(($S304-BO304)&lt;=0,(BN304-$R304)&gt;0),$V304/365*($S304-BN304+1),$V304/365*(BO304-$R304+1))))),0)</f>
        <v>0</v>
      </c>
      <c r="BQ304" s="163">
        <f t="shared" ref="BQ304:BQ307" si="3609">BO304+1</f>
        <v>46113</v>
      </c>
      <c r="BR304" s="163">
        <f t="shared" ref="BR304:BR307" si="3610">BQ304+29</f>
        <v>46142</v>
      </c>
      <c r="BS304" s="167">
        <f t="shared" ref="BS304:BS307" si="3611">IFERROR(IF(($R304-BR304)&gt;=0,0,IF(($S304-BQ304)&lt;0,0,IF(AND(($S304-BR304)&gt;0,(BQ304-$R304)&gt;0),$V304/365*(BR304-BQ304+1),IF(AND(($S304-BR304)&lt;=0,(BQ304-$R304)&gt;0),$V304/365*($S304-BQ304+1),$V304/365*(BR304-$R304+1))))),0)</f>
        <v>0</v>
      </c>
      <c r="BT304" s="163">
        <f t="shared" ref="BT304:BT307" si="3612">BR304+1</f>
        <v>46143</v>
      </c>
      <c r="BU304" s="163">
        <f t="shared" ref="BU304:BU307" si="3613">BT304+30</f>
        <v>46173</v>
      </c>
      <c r="BV304" s="167">
        <f t="shared" ref="BV304:BV307" si="3614">IFERROR(IF(($R304-BU304)&gt;=0,0,IF(($S304-BT304)&lt;0,0,IF(AND(($S304-BU304)&gt;0,(BT304-$R304)&gt;0),$V304/365*(BU304-BT304+1),IF(AND(($S304-BU304)&lt;=0,(BT304-$R304)&gt;0),$V304/365*($S304-BT304+1),$V304/365*(BU304-$R304+1))))),0)</f>
        <v>0</v>
      </c>
      <c r="BW304" s="163">
        <f t="shared" ref="BW304:BW307" si="3615">BU304+1</f>
        <v>46174</v>
      </c>
      <c r="BX304" s="163">
        <f t="shared" ref="BX304:BX307" si="3616">BW304+29</f>
        <v>46203</v>
      </c>
      <c r="BY304" s="167">
        <f t="shared" ref="BY304:BY307" si="3617">IFERROR(IF(($R304-BX304)&gt;=0,0,IF(($S304-BW304)&lt;0,0,IF(AND(($S304-BX304)&gt;0,(BW304-$R304)&gt;0),$V304/365*(BX304-BW304+1),IF(AND(($S304-BX304)&lt;=0,(BW304-$R304)&gt;0),$V304/365*($S304-BW304+1),$V304/365*(BX304-$R304+1))))),0)</f>
        <v>0</v>
      </c>
      <c r="BZ304" s="163">
        <f t="shared" ref="BZ304:BZ307" si="3618">BX304+1</f>
        <v>46204</v>
      </c>
      <c r="CA304" s="163">
        <f t="shared" ref="CA304:CA307" si="3619">BZ304+30</f>
        <v>46234</v>
      </c>
      <c r="CB304" s="167">
        <f t="shared" ref="CB304:CB307" si="3620">IFERROR(IF(($R304-CA304)&gt;=0,0,IF(($S304-BZ304)&lt;0,0,IF(AND(($S304-CA304)&gt;0,(BZ304-$R304)&gt;0),$V304/365*(CA304-BZ304+1),IF(AND(($S304-CA304)&lt;=0,(BZ304-$R304)&gt;0),$V304/365*($S304-BZ304+1),$V304/365*(CA304-$R304+1))))),0)</f>
        <v>0</v>
      </c>
      <c r="CC304" s="163">
        <f t="shared" ref="CC304:CC307" si="3621">CA304+1</f>
        <v>46235</v>
      </c>
      <c r="CD304" s="163">
        <f t="shared" ref="CD304:CD307" si="3622">CC304+30</f>
        <v>46265</v>
      </c>
      <c r="CE304" s="167">
        <f t="shared" ref="CE304:CE307" si="3623">IFERROR(IF(($R304-CD304)&gt;=0,0,IF(($S304-CC304)&lt;0,0,IF(AND(($S304-CD304)&gt;0,(CC304-$R304)&gt;0),$V304/365*(CD304-CC304+1),IF(AND(($S304-CD304)&lt;=0,(CC304-$R304)&gt;0),$V304/365*($S304-CC304+1),$V304/365*(CD304-$R304+1))))),0)</f>
        <v>0</v>
      </c>
      <c r="CF304" s="163">
        <f t="shared" ref="CF304:CF307" si="3624">CD304+1</f>
        <v>46266</v>
      </c>
      <c r="CG304" s="163">
        <f t="shared" ref="CG304:CG307" si="3625">CF304+29</f>
        <v>46295</v>
      </c>
      <c r="CH304" s="167">
        <f t="shared" ref="CH304:CH307" si="3626">IFERROR(IF(($R304-CG304)&gt;=0,0,IF(($S304-CF304)&lt;0,0,IF(AND(($S304-CG304)&gt;0,(CF304-$R304)&gt;0),$V304/365*(CG304-CF304+1),IF(AND(($S304-CG304)&lt;=0,(CF304-$R304)&gt;0),$V304/365*($S304-CF304+1),$V304/365*(CG304-$R304+1))))),0)</f>
        <v>0</v>
      </c>
      <c r="CI304" s="163">
        <f t="shared" ref="CI304:CI307" si="3627">CG304+1</f>
        <v>46296</v>
      </c>
      <c r="CJ304" s="163">
        <f t="shared" ref="CJ304:CJ307" si="3628">CI304+30</f>
        <v>46326</v>
      </c>
      <c r="CK304" s="167">
        <f t="shared" ref="CK304:CK307" si="3629">IFERROR(IF(($R304-CJ304)&gt;=0,0,IF(($S304-CI304)&lt;0,0,IF(AND(($S304-CJ304)&gt;0,(CI304-$R304)&gt;0),$V304/365*(CJ304-CI304+1),IF(AND(($S304-CJ304)&lt;=0,(CI304-$R304)&gt;0),$V304/365*($S304-CI304+1),$V304/365*(CJ304-$R304+1))))),0)</f>
        <v>0</v>
      </c>
      <c r="CL304" s="163">
        <f t="shared" ref="CL304:CL307" si="3630">CJ304+1</f>
        <v>46327</v>
      </c>
      <c r="CM304" s="163">
        <f t="shared" ref="CM304:CM307" si="3631">CL304+29</f>
        <v>46356</v>
      </c>
      <c r="CN304" s="167">
        <f t="shared" ref="CN304:CN307" si="3632">IFERROR(IF(($R304-CM304)&gt;=0,0,IF(($S304-CL304)&lt;0,0,IF(AND(($S304-CM304)&gt;0,(CL304-$R304)&gt;0),$V304/365*(CM304-CL304+1),IF(AND(($S304-CM304)&lt;=0,(CL304-$R304)&gt;0),$V304/365*($S304-CL304+1),$V304/365*(CM304-$R304+1))))),0)</f>
        <v>0</v>
      </c>
      <c r="CO304" s="163">
        <f t="shared" ref="CO304:CO307" si="3633">CM304+1</f>
        <v>46357</v>
      </c>
      <c r="CP304" s="163">
        <f t="shared" ref="CP304:CP307" si="3634">CO304+30</f>
        <v>46387</v>
      </c>
      <c r="CQ304" s="167">
        <f t="shared" ref="CQ304:CQ307" si="3635">IFERROR(IF(($R304-CP304)&gt;=0,0,IF(($S304-CO304)&lt;0,0,IF(AND(($S304-CP304)&gt;0,(CO304-$R304)&gt;0),$V304/365*(CP304-CO304+1),IF(AND(($S304-CP304)&lt;=0,(CO304-$R304)&gt;0),$V304/365*($S304-CO304+1),$V304/365*(CP304-$R304+1))))),0)</f>
        <v>0</v>
      </c>
    </row>
    <row r="305" s="89" customFormat="1" ht="24" hidden="1" customHeight="1" outlineLevel="4" spans="1:95">
      <c r="A305" s="128"/>
      <c r="B305" s="129"/>
      <c r="C305" s="130"/>
      <c r="D305" s="128"/>
      <c r="E305" s="129"/>
      <c r="F305" s="129"/>
      <c r="G305" s="129"/>
      <c r="H305" s="131"/>
      <c r="I305" s="131"/>
      <c r="J305" s="131">
        <f t="shared" si="3131"/>
        <v>0</v>
      </c>
      <c r="K305" s="131">
        <f t="shared" ref="K305:K307" si="3636">K304+1</f>
        <v>2</v>
      </c>
      <c r="L305" s="156"/>
      <c r="M305" s="157">
        <f>IFERROR(VLOOKUP($L305,'2-2 引出数据_合同数据仓库'!$B$5:$BP$200,3,FALSE),0)</f>
        <v>0</v>
      </c>
      <c r="N305" s="131"/>
      <c r="O305" s="157">
        <f>IFERROR(VLOOKUP((LEFT(VLOOKUP($L305,'2-2 引出数据_合同数据仓库'!$B$5:$BP$200,64,FALSE),15)&amp;(RIGHT(VLOOKUP($L305,'2-2 引出数据_合同数据仓库'!$B$5:$BP$200,64,FALSE),4)+1)),'2-2 引出数据_合同数据仓库'!$B$5:$BP$200,3,FALSE),0)</f>
        <v>0</v>
      </c>
      <c r="P305" s="131"/>
      <c r="Q305" s="131">
        <f>IFERROR(VLOOKUP($L305,'2-2 引出数据_合同数据仓库'!$B$5:$BP$200,28,FALSE),0)</f>
        <v>0</v>
      </c>
      <c r="R305" s="131">
        <f>IFERROR(VLOOKUP($L305,'2-2 引出数据_合同数据仓库'!$B$5:$BP$200,29,FALSE),0)</f>
        <v>0</v>
      </c>
      <c r="S305" s="131">
        <f>IFERROR(VLOOKUP($L305,'2-2 引出数据_合同数据仓库'!$B$5:$BP$200,4,FALSE),0)</f>
        <v>0</v>
      </c>
      <c r="T305" s="131"/>
      <c r="U305" s="131">
        <f>IFERROR(VLOOKUP($L305,'2-2 引出数据_合同数据仓库'!$B$5:$BP$200,15,FALSE),0)</f>
        <v>0</v>
      </c>
      <c r="V305" s="131">
        <f t="shared" si="3565"/>
        <v>0</v>
      </c>
      <c r="W305" s="131"/>
      <c r="X305" s="163">
        <v>45658</v>
      </c>
      <c r="Y305" s="163">
        <f t="shared" si="3566"/>
        <v>45688</v>
      </c>
      <c r="Z305" s="167">
        <f t="shared" si="3567"/>
        <v>0</v>
      </c>
      <c r="AA305" s="163">
        <f t="shared" si="3568"/>
        <v>45689</v>
      </c>
      <c r="AB305" s="163">
        <f t="shared" si="3569"/>
        <v>45716</v>
      </c>
      <c r="AC305" s="167">
        <f t="shared" si="3570"/>
        <v>0</v>
      </c>
      <c r="AD305" s="163">
        <f t="shared" si="3571"/>
        <v>45717</v>
      </c>
      <c r="AE305" s="163">
        <f t="shared" si="3572"/>
        <v>45747</v>
      </c>
      <c r="AF305" s="167">
        <f t="shared" si="3573"/>
        <v>0</v>
      </c>
      <c r="AG305" s="163">
        <f t="shared" si="3574"/>
        <v>45748</v>
      </c>
      <c r="AH305" s="163">
        <f t="shared" si="3575"/>
        <v>45777</v>
      </c>
      <c r="AI305" s="167">
        <f t="shared" si="3576"/>
        <v>0</v>
      </c>
      <c r="AJ305" s="163">
        <f t="shared" si="3577"/>
        <v>45778</v>
      </c>
      <c r="AK305" s="163">
        <f t="shared" si="3578"/>
        <v>45808</v>
      </c>
      <c r="AL305" s="167">
        <f t="shared" si="3579"/>
        <v>0</v>
      </c>
      <c r="AM305" s="163">
        <f t="shared" si="3580"/>
        <v>45809</v>
      </c>
      <c r="AN305" s="163">
        <f t="shared" si="3581"/>
        <v>45838</v>
      </c>
      <c r="AO305" s="167">
        <f t="shared" si="3582"/>
        <v>0</v>
      </c>
      <c r="AP305" s="163">
        <f t="shared" si="3583"/>
        <v>45839</v>
      </c>
      <c r="AQ305" s="163">
        <f t="shared" si="3584"/>
        <v>45869</v>
      </c>
      <c r="AR305" s="167">
        <f t="shared" si="3585"/>
        <v>0</v>
      </c>
      <c r="AS305" s="163">
        <f t="shared" si="3586"/>
        <v>45870</v>
      </c>
      <c r="AT305" s="163">
        <f t="shared" si="3587"/>
        <v>45900</v>
      </c>
      <c r="AU305" s="167">
        <f t="shared" si="3588"/>
        <v>0</v>
      </c>
      <c r="AV305" s="163">
        <f t="shared" si="3589"/>
        <v>45901</v>
      </c>
      <c r="AW305" s="163">
        <f t="shared" si="3590"/>
        <v>45930</v>
      </c>
      <c r="AX305" s="167">
        <f t="shared" si="3591"/>
        <v>0</v>
      </c>
      <c r="AY305" s="163">
        <f t="shared" si="3592"/>
        <v>45931</v>
      </c>
      <c r="AZ305" s="163">
        <f t="shared" si="3593"/>
        <v>45961</v>
      </c>
      <c r="BA305" s="167">
        <f t="shared" si="3594"/>
        <v>0</v>
      </c>
      <c r="BB305" s="163">
        <f t="shared" si="3595"/>
        <v>45962</v>
      </c>
      <c r="BC305" s="163">
        <f t="shared" si="3596"/>
        <v>45991</v>
      </c>
      <c r="BD305" s="167">
        <f t="shared" si="3597"/>
        <v>0</v>
      </c>
      <c r="BE305" s="163">
        <f t="shared" si="3598"/>
        <v>45992</v>
      </c>
      <c r="BF305" s="163">
        <f t="shared" si="3599"/>
        <v>46022</v>
      </c>
      <c r="BG305" s="167">
        <f t="shared" si="3600"/>
        <v>0</v>
      </c>
      <c r="BH305" s="163">
        <v>46023</v>
      </c>
      <c r="BI305" s="163">
        <f t="shared" si="3601"/>
        <v>46053</v>
      </c>
      <c r="BJ305" s="167">
        <f t="shared" si="3602"/>
        <v>0</v>
      </c>
      <c r="BK305" s="163">
        <f t="shared" si="3603"/>
        <v>46054</v>
      </c>
      <c r="BL305" s="163">
        <f t="shared" si="3604"/>
        <v>46081</v>
      </c>
      <c r="BM305" s="167">
        <f t="shared" si="3605"/>
        <v>0</v>
      </c>
      <c r="BN305" s="163">
        <f t="shared" si="3606"/>
        <v>46082</v>
      </c>
      <c r="BO305" s="163">
        <f t="shared" si="3607"/>
        <v>46112</v>
      </c>
      <c r="BP305" s="167">
        <f t="shared" si="3608"/>
        <v>0</v>
      </c>
      <c r="BQ305" s="163">
        <f t="shared" si="3609"/>
        <v>46113</v>
      </c>
      <c r="BR305" s="163">
        <f t="shared" si="3610"/>
        <v>46142</v>
      </c>
      <c r="BS305" s="167">
        <f t="shared" si="3611"/>
        <v>0</v>
      </c>
      <c r="BT305" s="163">
        <f t="shared" si="3612"/>
        <v>46143</v>
      </c>
      <c r="BU305" s="163">
        <f t="shared" si="3613"/>
        <v>46173</v>
      </c>
      <c r="BV305" s="167">
        <f t="shared" si="3614"/>
        <v>0</v>
      </c>
      <c r="BW305" s="163">
        <f t="shared" si="3615"/>
        <v>46174</v>
      </c>
      <c r="BX305" s="163">
        <f t="shared" si="3616"/>
        <v>46203</v>
      </c>
      <c r="BY305" s="167">
        <f t="shared" si="3617"/>
        <v>0</v>
      </c>
      <c r="BZ305" s="163">
        <f t="shared" si="3618"/>
        <v>46204</v>
      </c>
      <c r="CA305" s="163">
        <f t="shared" si="3619"/>
        <v>46234</v>
      </c>
      <c r="CB305" s="167">
        <f t="shared" si="3620"/>
        <v>0</v>
      </c>
      <c r="CC305" s="163">
        <f t="shared" si="3621"/>
        <v>46235</v>
      </c>
      <c r="CD305" s="163">
        <f t="shared" si="3622"/>
        <v>46265</v>
      </c>
      <c r="CE305" s="167">
        <f t="shared" si="3623"/>
        <v>0</v>
      </c>
      <c r="CF305" s="163">
        <f t="shared" si="3624"/>
        <v>46266</v>
      </c>
      <c r="CG305" s="163">
        <f t="shared" si="3625"/>
        <v>46295</v>
      </c>
      <c r="CH305" s="167">
        <f t="shared" si="3626"/>
        <v>0</v>
      </c>
      <c r="CI305" s="163">
        <f t="shared" si="3627"/>
        <v>46296</v>
      </c>
      <c r="CJ305" s="163">
        <f t="shared" si="3628"/>
        <v>46326</v>
      </c>
      <c r="CK305" s="167">
        <f t="shared" si="3629"/>
        <v>0</v>
      </c>
      <c r="CL305" s="163">
        <f t="shared" si="3630"/>
        <v>46327</v>
      </c>
      <c r="CM305" s="163">
        <f t="shared" si="3631"/>
        <v>46356</v>
      </c>
      <c r="CN305" s="167">
        <f t="shared" si="3632"/>
        <v>0</v>
      </c>
      <c r="CO305" s="163">
        <f t="shared" si="3633"/>
        <v>46357</v>
      </c>
      <c r="CP305" s="163">
        <f t="shared" si="3634"/>
        <v>46387</v>
      </c>
      <c r="CQ305" s="167">
        <f t="shared" si="3635"/>
        <v>0</v>
      </c>
    </row>
    <row r="306" s="89" customFormat="1" ht="24" hidden="1" customHeight="1" outlineLevel="4" spans="1:95">
      <c r="A306" s="128"/>
      <c r="B306" s="129"/>
      <c r="C306" s="130"/>
      <c r="D306" s="128"/>
      <c r="E306" s="129"/>
      <c r="F306" s="129"/>
      <c r="G306" s="129"/>
      <c r="H306" s="131"/>
      <c r="I306" s="131"/>
      <c r="J306" s="131">
        <f t="shared" si="3131"/>
        <v>0</v>
      </c>
      <c r="K306" s="131">
        <f t="shared" si="3636"/>
        <v>3</v>
      </c>
      <c r="L306" s="156"/>
      <c r="M306" s="157">
        <f>IFERROR(VLOOKUP($L306,'2-2 引出数据_合同数据仓库'!$B$5:$BP$200,3,FALSE),0)</f>
        <v>0</v>
      </c>
      <c r="N306" s="131"/>
      <c r="O306" s="157">
        <f>IFERROR(VLOOKUP((LEFT(VLOOKUP($L306,'2-2 引出数据_合同数据仓库'!$B$5:$BP$200,64,FALSE),15)&amp;(RIGHT(VLOOKUP($L306,'2-2 引出数据_合同数据仓库'!$B$5:$BP$200,64,FALSE),4)+1)),'2-2 引出数据_合同数据仓库'!$B$5:$BP$200,3,FALSE),0)</f>
        <v>0</v>
      </c>
      <c r="P306" s="131"/>
      <c r="Q306" s="131">
        <f>IFERROR(VLOOKUP($L306,'2-2 引出数据_合同数据仓库'!$B$5:$BP$200,28,FALSE),0)</f>
        <v>0</v>
      </c>
      <c r="R306" s="131">
        <f>IFERROR(VLOOKUP($L306,'2-2 引出数据_合同数据仓库'!$B$5:$BP$200,29,FALSE),0)</f>
        <v>0</v>
      </c>
      <c r="S306" s="131">
        <f>IFERROR(VLOOKUP($L306,'2-2 引出数据_合同数据仓库'!$B$5:$BP$200,4,FALSE),0)</f>
        <v>0</v>
      </c>
      <c r="T306" s="131"/>
      <c r="U306" s="131">
        <f>IFERROR(VLOOKUP($L306,'2-2 引出数据_合同数据仓库'!$B$5:$BP$200,15,FALSE),0)</f>
        <v>0</v>
      </c>
      <c r="V306" s="131">
        <f t="shared" si="3565"/>
        <v>0</v>
      </c>
      <c r="W306" s="131"/>
      <c r="X306" s="163">
        <v>45658</v>
      </c>
      <c r="Y306" s="163">
        <f t="shared" si="3566"/>
        <v>45688</v>
      </c>
      <c r="Z306" s="167">
        <f t="shared" si="3567"/>
        <v>0</v>
      </c>
      <c r="AA306" s="163">
        <f t="shared" si="3568"/>
        <v>45689</v>
      </c>
      <c r="AB306" s="163">
        <f t="shared" si="3569"/>
        <v>45716</v>
      </c>
      <c r="AC306" s="167">
        <f t="shared" si="3570"/>
        <v>0</v>
      </c>
      <c r="AD306" s="163">
        <f t="shared" si="3571"/>
        <v>45717</v>
      </c>
      <c r="AE306" s="163">
        <f t="shared" si="3572"/>
        <v>45747</v>
      </c>
      <c r="AF306" s="167">
        <f t="shared" si="3573"/>
        <v>0</v>
      </c>
      <c r="AG306" s="163">
        <f t="shared" si="3574"/>
        <v>45748</v>
      </c>
      <c r="AH306" s="163">
        <f t="shared" si="3575"/>
        <v>45777</v>
      </c>
      <c r="AI306" s="167">
        <f t="shared" si="3576"/>
        <v>0</v>
      </c>
      <c r="AJ306" s="163">
        <f t="shared" si="3577"/>
        <v>45778</v>
      </c>
      <c r="AK306" s="163">
        <f t="shared" si="3578"/>
        <v>45808</v>
      </c>
      <c r="AL306" s="167">
        <f t="shared" si="3579"/>
        <v>0</v>
      </c>
      <c r="AM306" s="163">
        <f t="shared" si="3580"/>
        <v>45809</v>
      </c>
      <c r="AN306" s="163">
        <f t="shared" si="3581"/>
        <v>45838</v>
      </c>
      <c r="AO306" s="167">
        <f t="shared" si="3582"/>
        <v>0</v>
      </c>
      <c r="AP306" s="163">
        <f t="shared" si="3583"/>
        <v>45839</v>
      </c>
      <c r="AQ306" s="163">
        <f t="shared" si="3584"/>
        <v>45869</v>
      </c>
      <c r="AR306" s="167">
        <f t="shared" si="3585"/>
        <v>0</v>
      </c>
      <c r="AS306" s="163">
        <f t="shared" si="3586"/>
        <v>45870</v>
      </c>
      <c r="AT306" s="163">
        <f t="shared" si="3587"/>
        <v>45900</v>
      </c>
      <c r="AU306" s="167">
        <f t="shared" si="3588"/>
        <v>0</v>
      </c>
      <c r="AV306" s="163">
        <f t="shared" si="3589"/>
        <v>45901</v>
      </c>
      <c r="AW306" s="163">
        <f t="shared" si="3590"/>
        <v>45930</v>
      </c>
      <c r="AX306" s="167">
        <f t="shared" si="3591"/>
        <v>0</v>
      </c>
      <c r="AY306" s="163">
        <f t="shared" si="3592"/>
        <v>45931</v>
      </c>
      <c r="AZ306" s="163">
        <f t="shared" si="3593"/>
        <v>45961</v>
      </c>
      <c r="BA306" s="167">
        <f t="shared" si="3594"/>
        <v>0</v>
      </c>
      <c r="BB306" s="163">
        <f t="shared" si="3595"/>
        <v>45962</v>
      </c>
      <c r="BC306" s="163">
        <f t="shared" si="3596"/>
        <v>45991</v>
      </c>
      <c r="BD306" s="167">
        <f t="shared" si="3597"/>
        <v>0</v>
      </c>
      <c r="BE306" s="163">
        <f t="shared" si="3598"/>
        <v>45992</v>
      </c>
      <c r="BF306" s="163">
        <f t="shared" si="3599"/>
        <v>46022</v>
      </c>
      <c r="BG306" s="167">
        <f t="shared" si="3600"/>
        <v>0</v>
      </c>
      <c r="BH306" s="163">
        <v>46023</v>
      </c>
      <c r="BI306" s="163">
        <f t="shared" si="3601"/>
        <v>46053</v>
      </c>
      <c r="BJ306" s="167">
        <f t="shared" si="3602"/>
        <v>0</v>
      </c>
      <c r="BK306" s="163">
        <f t="shared" si="3603"/>
        <v>46054</v>
      </c>
      <c r="BL306" s="163">
        <f t="shared" si="3604"/>
        <v>46081</v>
      </c>
      <c r="BM306" s="167">
        <f t="shared" si="3605"/>
        <v>0</v>
      </c>
      <c r="BN306" s="163">
        <f t="shared" si="3606"/>
        <v>46082</v>
      </c>
      <c r="BO306" s="163">
        <f t="shared" si="3607"/>
        <v>46112</v>
      </c>
      <c r="BP306" s="167">
        <f t="shared" si="3608"/>
        <v>0</v>
      </c>
      <c r="BQ306" s="163">
        <f t="shared" si="3609"/>
        <v>46113</v>
      </c>
      <c r="BR306" s="163">
        <f t="shared" si="3610"/>
        <v>46142</v>
      </c>
      <c r="BS306" s="167">
        <f t="shared" si="3611"/>
        <v>0</v>
      </c>
      <c r="BT306" s="163">
        <f t="shared" si="3612"/>
        <v>46143</v>
      </c>
      <c r="BU306" s="163">
        <f t="shared" si="3613"/>
        <v>46173</v>
      </c>
      <c r="BV306" s="167">
        <f t="shared" si="3614"/>
        <v>0</v>
      </c>
      <c r="BW306" s="163">
        <f t="shared" si="3615"/>
        <v>46174</v>
      </c>
      <c r="BX306" s="163">
        <f t="shared" si="3616"/>
        <v>46203</v>
      </c>
      <c r="BY306" s="167">
        <f t="shared" si="3617"/>
        <v>0</v>
      </c>
      <c r="BZ306" s="163">
        <f t="shared" si="3618"/>
        <v>46204</v>
      </c>
      <c r="CA306" s="163">
        <f t="shared" si="3619"/>
        <v>46234</v>
      </c>
      <c r="CB306" s="167">
        <f t="shared" si="3620"/>
        <v>0</v>
      </c>
      <c r="CC306" s="163">
        <f t="shared" si="3621"/>
        <v>46235</v>
      </c>
      <c r="CD306" s="163">
        <f t="shared" si="3622"/>
        <v>46265</v>
      </c>
      <c r="CE306" s="167">
        <f t="shared" si="3623"/>
        <v>0</v>
      </c>
      <c r="CF306" s="163">
        <f t="shared" si="3624"/>
        <v>46266</v>
      </c>
      <c r="CG306" s="163">
        <f t="shared" si="3625"/>
        <v>46295</v>
      </c>
      <c r="CH306" s="167">
        <f t="shared" si="3626"/>
        <v>0</v>
      </c>
      <c r="CI306" s="163">
        <f t="shared" si="3627"/>
        <v>46296</v>
      </c>
      <c r="CJ306" s="163">
        <f t="shared" si="3628"/>
        <v>46326</v>
      </c>
      <c r="CK306" s="167">
        <f t="shared" si="3629"/>
        <v>0</v>
      </c>
      <c r="CL306" s="163">
        <f t="shared" si="3630"/>
        <v>46327</v>
      </c>
      <c r="CM306" s="163">
        <f t="shared" si="3631"/>
        <v>46356</v>
      </c>
      <c r="CN306" s="167">
        <f t="shared" si="3632"/>
        <v>0</v>
      </c>
      <c r="CO306" s="163">
        <f t="shared" si="3633"/>
        <v>46357</v>
      </c>
      <c r="CP306" s="163">
        <f t="shared" si="3634"/>
        <v>46387</v>
      </c>
      <c r="CQ306" s="167">
        <f t="shared" si="3635"/>
        <v>0</v>
      </c>
    </row>
    <row r="307" s="89" customFormat="1" ht="24" hidden="1" customHeight="1" outlineLevel="4" spans="1:95">
      <c r="A307" s="128"/>
      <c r="B307" s="129"/>
      <c r="C307" s="130"/>
      <c r="D307" s="128"/>
      <c r="E307" s="129"/>
      <c r="F307" s="129"/>
      <c r="G307" s="129"/>
      <c r="H307" s="131"/>
      <c r="I307" s="131"/>
      <c r="J307" s="131">
        <f t="shared" si="3131"/>
        <v>0</v>
      </c>
      <c r="K307" s="131">
        <f t="shared" si="3636"/>
        <v>4</v>
      </c>
      <c r="L307" s="156"/>
      <c r="M307" s="157">
        <f>IFERROR(VLOOKUP($L307,'2-2 引出数据_合同数据仓库'!$B$5:$BP$200,3,FALSE),0)</f>
        <v>0</v>
      </c>
      <c r="N307" s="131"/>
      <c r="O307" s="157">
        <f>IFERROR(VLOOKUP((LEFT(VLOOKUP($L307,'2-2 引出数据_合同数据仓库'!$B$5:$BP$200,64,FALSE),15)&amp;(RIGHT(VLOOKUP($L307,'2-2 引出数据_合同数据仓库'!$B$5:$BP$200,64,FALSE),4)+1)),'2-2 引出数据_合同数据仓库'!$B$5:$BP$200,3,FALSE),0)</f>
        <v>0</v>
      </c>
      <c r="P307" s="131"/>
      <c r="Q307" s="131">
        <f>IFERROR(VLOOKUP($L307,'2-2 引出数据_合同数据仓库'!$B$5:$BP$200,28,FALSE),0)</f>
        <v>0</v>
      </c>
      <c r="R307" s="131">
        <f>IFERROR(VLOOKUP($L307,'2-2 引出数据_合同数据仓库'!$B$5:$BP$200,29,FALSE),0)</f>
        <v>0</v>
      </c>
      <c r="S307" s="131">
        <f>IFERROR(VLOOKUP($L307,'2-2 引出数据_合同数据仓库'!$B$5:$BP$200,4,FALSE),0)</f>
        <v>0</v>
      </c>
      <c r="T307" s="131"/>
      <c r="U307" s="131">
        <f>IFERROR(VLOOKUP($L307,'2-2 引出数据_合同数据仓库'!$B$5:$BP$200,15,FALSE),0)</f>
        <v>0</v>
      </c>
      <c r="V307" s="131">
        <f t="shared" si="3565"/>
        <v>0</v>
      </c>
      <c r="W307" s="131"/>
      <c r="X307" s="163">
        <v>45658</v>
      </c>
      <c r="Y307" s="163">
        <f t="shared" si="3566"/>
        <v>45688</v>
      </c>
      <c r="Z307" s="167">
        <f t="shared" si="3567"/>
        <v>0</v>
      </c>
      <c r="AA307" s="163">
        <f t="shared" si="3568"/>
        <v>45689</v>
      </c>
      <c r="AB307" s="163">
        <f t="shared" si="3569"/>
        <v>45716</v>
      </c>
      <c r="AC307" s="167">
        <f t="shared" si="3570"/>
        <v>0</v>
      </c>
      <c r="AD307" s="163">
        <f t="shared" si="3571"/>
        <v>45717</v>
      </c>
      <c r="AE307" s="163">
        <f t="shared" si="3572"/>
        <v>45747</v>
      </c>
      <c r="AF307" s="167">
        <f t="shared" si="3573"/>
        <v>0</v>
      </c>
      <c r="AG307" s="163">
        <f t="shared" si="3574"/>
        <v>45748</v>
      </c>
      <c r="AH307" s="163">
        <f t="shared" si="3575"/>
        <v>45777</v>
      </c>
      <c r="AI307" s="167">
        <f t="shared" si="3576"/>
        <v>0</v>
      </c>
      <c r="AJ307" s="163">
        <f t="shared" si="3577"/>
        <v>45778</v>
      </c>
      <c r="AK307" s="163">
        <f t="shared" si="3578"/>
        <v>45808</v>
      </c>
      <c r="AL307" s="167">
        <f t="shared" si="3579"/>
        <v>0</v>
      </c>
      <c r="AM307" s="163">
        <f t="shared" si="3580"/>
        <v>45809</v>
      </c>
      <c r="AN307" s="163">
        <f t="shared" si="3581"/>
        <v>45838</v>
      </c>
      <c r="AO307" s="167">
        <f t="shared" si="3582"/>
        <v>0</v>
      </c>
      <c r="AP307" s="163">
        <f t="shared" si="3583"/>
        <v>45839</v>
      </c>
      <c r="AQ307" s="163">
        <f t="shared" si="3584"/>
        <v>45869</v>
      </c>
      <c r="AR307" s="167">
        <f t="shared" si="3585"/>
        <v>0</v>
      </c>
      <c r="AS307" s="163">
        <f t="shared" si="3586"/>
        <v>45870</v>
      </c>
      <c r="AT307" s="163">
        <f t="shared" si="3587"/>
        <v>45900</v>
      </c>
      <c r="AU307" s="167">
        <f t="shared" si="3588"/>
        <v>0</v>
      </c>
      <c r="AV307" s="163">
        <f t="shared" si="3589"/>
        <v>45901</v>
      </c>
      <c r="AW307" s="163">
        <f t="shared" si="3590"/>
        <v>45930</v>
      </c>
      <c r="AX307" s="167">
        <f t="shared" si="3591"/>
        <v>0</v>
      </c>
      <c r="AY307" s="163">
        <f t="shared" si="3592"/>
        <v>45931</v>
      </c>
      <c r="AZ307" s="163">
        <f t="shared" si="3593"/>
        <v>45961</v>
      </c>
      <c r="BA307" s="167">
        <f t="shared" si="3594"/>
        <v>0</v>
      </c>
      <c r="BB307" s="163">
        <f t="shared" si="3595"/>
        <v>45962</v>
      </c>
      <c r="BC307" s="163">
        <f t="shared" si="3596"/>
        <v>45991</v>
      </c>
      <c r="BD307" s="167">
        <f t="shared" si="3597"/>
        <v>0</v>
      </c>
      <c r="BE307" s="163">
        <f t="shared" si="3598"/>
        <v>45992</v>
      </c>
      <c r="BF307" s="163">
        <f t="shared" si="3599"/>
        <v>46022</v>
      </c>
      <c r="BG307" s="167">
        <f t="shared" si="3600"/>
        <v>0</v>
      </c>
      <c r="BH307" s="163">
        <v>46023</v>
      </c>
      <c r="BI307" s="163">
        <f t="shared" si="3601"/>
        <v>46053</v>
      </c>
      <c r="BJ307" s="167">
        <f t="shared" si="3602"/>
        <v>0</v>
      </c>
      <c r="BK307" s="163">
        <f t="shared" si="3603"/>
        <v>46054</v>
      </c>
      <c r="BL307" s="163">
        <f t="shared" si="3604"/>
        <v>46081</v>
      </c>
      <c r="BM307" s="167">
        <f t="shared" si="3605"/>
        <v>0</v>
      </c>
      <c r="BN307" s="163">
        <f t="shared" si="3606"/>
        <v>46082</v>
      </c>
      <c r="BO307" s="163">
        <f t="shared" si="3607"/>
        <v>46112</v>
      </c>
      <c r="BP307" s="167">
        <f t="shared" si="3608"/>
        <v>0</v>
      </c>
      <c r="BQ307" s="163">
        <f t="shared" si="3609"/>
        <v>46113</v>
      </c>
      <c r="BR307" s="163">
        <f t="shared" si="3610"/>
        <v>46142</v>
      </c>
      <c r="BS307" s="167">
        <f t="shared" si="3611"/>
        <v>0</v>
      </c>
      <c r="BT307" s="163">
        <f t="shared" si="3612"/>
        <v>46143</v>
      </c>
      <c r="BU307" s="163">
        <f t="shared" si="3613"/>
        <v>46173</v>
      </c>
      <c r="BV307" s="167">
        <f t="shared" si="3614"/>
        <v>0</v>
      </c>
      <c r="BW307" s="163">
        <f t="shared" si="3615"/>
        <v>46174</v>
      </c>
      <c r="BX307" s="163">
        <f t="shared" si="3616"/>
        <v>46203</v>
      </c>
      <c r="BY307" s="167">
        <f t="shared" si="3617"/>
        <v>0</v>
      </c>
      <c r="BZ307" s="163">
        <f t="shared" si="3618"/>
        <v>46204</v>
      </c>
      <c r="CA307" s="163">
        <f t="shared" si="3619"/>
        <v>46234</v>
      </c>
      <c r="CB307" s="167">
        <f t="shared" si="3620"/>
        <v>0</v>
      </c>
      <c r="CC307" s="163">
        <f t="shared" si="3621"/>
        <v>46235</v>
      </c>
      <c r="CD307" s="163">
        <f t="shared" si="3622"/>
        <v>46265</v>
      </c>
      <c r="CE307" s="167">
        <f t="shared" si="3623"/>
        <v>0</v>
      </c>
      <c r="CF307" s="163">
        <f t="shared" si="3624"/>
        <v>46266</v>
      </c>
      <c r="CG307" s="163">
        <f t="shared" si="3625"/>
        <v>46295</v>
      </c>
      <c r="CH307" s="167">
        <f t="shared" si="3626"/>
        <v>0</v>
      </c>
      <c r="CI307" s="163">
        <f t="shared" si="3627"/>
        <v>46296</v>
      </c>
      <c r="CJ307" s="163">
        <f t="shared" si="3628"/>
        <v>46326</v>
      </c>
      <c r="CK307" s="167">
        <f t="shared" si="3629"/>
        <v>0</v>
      </c>
      <c r="CL307" s="163">
        <f t="shared" si="3630"/>
        <v>46327</v>
      </c>
      <c r="CM307" s="163">
        <f t="shared" si="3631"/>
        <v>46356</v>
      </c>
      <c r="CN307" s="167">
        <f t="shared" si="3632"/>
        <v>0</v>
      </c>
      <c r="CO307" s="163">
        <f t="shared" si="3633"/>
        <v>46357</v>
      </c>
      <c r="CP307" s="163">
        <f t="shared" si="3634"/>
        <v>46387</v>
      </c>
      <c r="CQ307" s="167">
        <f t="shared" si="3635"/>
        <v>0</v>
      </c>
    </row>
    <row r="308" s="89" customFormat="1" ht="24" hidden="1" customHeight="1" outlineLevel="4" spans="1:95">
      <c r="A308" s="132" t="s">
        <v>2813</v>
      </c>
      <c r="B308" s="133"/>
      <c r="C308" s="133"/>
      <c r="D308" s="133"/>
      <c r="E308" s="133"/>
      <c r="F308" s="133"/>
      <c r="G308" s="134"/>
      <c r="H308" s="135"/>
      <c r="I308" s="135"/>
      <c r="J308" s="135"/>
      <c r="K308" s="135"/>
      <c r="L308" s="158"/>
      <c r="M308" s="158"/>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c r="CL308" s="135"/>
      <c r="CM308" s="135"/>
      <c r="CN308" s="135"/>
      <c r="CO308" s="135"/>
      <c r="CP308" s="135"/>
      <c r="CQ308" s="135"/>
    </row>
    <row r="309" ht="24" hidden="1" customHeight="1" outlineLevel="3" collapsed="1" spans="1:95">
      <c r="A309" s="124"/>
      <c r="B309" s="125" t="s">
        <v>792</v>
      </c>
      <c r="C309" s="126" t="s">
        <v>1252</v>
      </c>
      <c r="D309" s="124" t="s">
        <v>1253</v>
      </c>
      <c r="E309" s="125" t="s">
        <v>1254</v>
      </c>
      <c r="F309" s="125"/>
      <c r="G309" s="125" t="s">
        <v>936</v>
      </c>
      <c r="H309" s="127">
        <f>X309+AA309+AD309+AG309+AJ309+AM309+AP309+AS309+AV309+AY309+BB309+BE309</f>
        <v>0</v>
      </c>
      <c r="I309" s="127">
        <f>Y309+AB309+AE309+AH309+AK309+AN309+AQ309+AT309+AW309+AZ309+BC309+BF309</f>
        <v>0</v>
      </c>
      <c r="J309" s="127">
        <f t="shared" si="3131"/>
        <v>0</v>
      </c>
      <c r="K309" s="127"/>
      <c r="L309" s="155"/>
      <c r="M309" s="155"/>
      <c r="N309" s="127"/>
      <c r="O309" s="127"/>
      <c r="P309" s="127"/>
      <c r="Q309" s="127"/>
      <c r="R309" s="127"/>
      <c r="S309" s="127"/>
      <c r="T309" s="127"/>
      <c r="U309" s="127"/>
      <c r="V309" s="127"/>
      <c r="W309" s="127"/>
      <c r="X309" s="127">
        <f>VLOOKUP($C309,'1 预算编制表单'!$C:$BJ,27,FALSE)</f>
        <v>0</v>
      </c>
      <c r="Y309" s="127">
        <f>X309-Z309</f>
        <v>0</v>
      </c>
      <c r="Z309" s="127">
        <f>SUM(Z310:Z314)</f>
        <v>0</v>
      </c>
      <c r="AA309" s="127">
        <f>VLOOKUP($C309,'1 预算编制表单'!$C:$BJ,30,FALSE)</f>
        <v>0</v>
      </c>
      <c r="AB309" s="127">
        <f>AA309-AC309</f>
        <v>0</v>
      </c>
      <c r="AC309" s="127">
        <f>SUM(AC310:AC314)</f>
        <v>0</v>
      </c>
      <c r="AD309" s="127">
        <f>VLOOKUP($C309,'1 预算编制表单'!$C:$BJ,33,FALSE)</f>
        <v>0</v>
      </c>
      <c r="AE309" s="127">
        <f>AD309-AF309</f>
        <v>0</v>
      </c>
      <c r="AF309" s="127">
        <f>SUM(AF310:AF314)</f>
        <v>0</v>
      </c>
      <c r="AG309" s="127">
        <f>VLOOKUP($C309,'1 预算编制表单'!$C:$BJ,36,FALSE)</f>
        <v>0</v>
      </c>
      <c r="AH309" s="127">
        <f>AG309-AI309</f>
        <v>0</v>
      </c>
      <c r="AI309" s="127">
        <f>SUM(AI310:AI314)</f>
        <v>0</v>
      </c>
      <c r="AJ309" s="127">
        <f>VLOOKUP($C309,'1 预算编制表单'!$C:$BJ,39,FALSE)</f>
        <v>0</v>
      </c>
      <c r="AK309" s="127">
        <f>AJ309-AL309</f>
        <v>0</v>
      </c>
      <c r="AL309" s="127">
        <f>SUM(AL310:AL314)</f>
        <v>0</v>
      </c>
      <c r="AM309" s="127">
        <f>VLOOKUP($C309,'1 预算编制表单'!$C:$BJ,42,FALSE)</f>
        <v>0</v>
      </c>
      <c r="AN309" s="127">
        <f>AM309-AO309</f>
        <v>0</v>
      </c>
      <c r="AO309" s="127">
        <f>SUM(AO310:AO314)</f>
        <v>0</v>
      </c>
      <c r="AP309" s="127">
        <f>VLOOKUP($C309,'1 预算编制表单'!$C:$BJ,45,FALSE)</f>
        <v>0</v>
      </c>
      <c r="AQ309" s="127">
        <f>AP309-AR309</f>
        <v>0</v>
      </c>
      <c r="AR309" s="127">
        <f>SUM(AR310:AR314)</f>
        <v>0</v>
      </c>
      <c r="AS309" s="127">
        <f>VLOOKUP($C309,'1 预算编制表单'!$C:$BJ,48,FALSE)</f>
        <v>0</v>
      </c>
      <c r="AT309" s="127">
        <f>AS309-AU309</f>
        <v>0</v>
      </c>
      <c r="AU309" s="127">
        <f>SUM(AU310:AU314)</f>
        <v>0</v>
      </c>
      <c r="AV309" s="127">
        <f>VLOOKUP($C309,'1 预算编制表单'!$C:$BJ,51,FALSE)</f>
        <v>0</v>
      </c>
      <c r="AW309" s="127">
        <f>AV309-AX309</f>
        <v>0</v>
      </c>
      <c r="AX309" s="127">
        <f>SUM(AX310:AX314)</f>
        <v>0</v>
      </c>
      <c r="AY309" s="127">
        <f>VLOOKUP($C309,'1 预算编制表单'!$C:$BJ,54,FALSE)</f>
        <v>0</v>
      </c>
      <c r="AZ309" s="127">
        <f>AY309-BA309</f>
        <v>0</v>
      </c>
      <c r="BA309" s="127">
        <f>SUM(BA310:BA314)</f>
        <v>0</v>
      </c>
      <c r="BB309" s="127">
        <f>VLOOKUP($C309,'1 预算编制表单'!$C:$BJ,57,FALSE)</f>
        <v>0</v>
      </c>
      <c r="BC309" s="127">
        <f>BB309-BD309</f>
        <v>0</v>
      </c>
      <c r="BD309" s="127">
        <f>SUM(BD310:BD314)</f>
        <v>0</v>
      </c>
      <c r="BE309" s="127">
        <f>VLOOKUP($C309,'1 预算编制表单'!$C:$BJ,60,FALSE)</f>
        <v>0</v>
      </c>
      <c r="BF309" s="127">
        <f>BE309-BG309</f>
        <v>0</v>
      </c>
      <c r="BG309" s="127">
        <f>SUM(BG310:BG314)</f>
        <v>0</v>
      </c>
      <c r="BH309" s="127">
        <f>VLOOKUP($C309,'1 预算编制表单'!$C:$BJ,27,FALSE)</f>
        <v>0</v>
      </c>
      <c r="BI309" s="127">
        <f>BH309-BJ309</f>
        <v>0</v>
      </c>
      <c r="BJ309" s="127">
        <f>SUM(BJ310:BJ314)</f>
        <v>0</v>
      </c>
      <c r="BK309" s="127">
        <f>VLOOKUP($C309,'1 预算编制表单'!$C:$BJ,30,FALSE)</f>
        <v>0</v>
      </c>
      <c r="BL309" s="127">
        <f>BK309-BM309</f>
        <v>0</v>
      </c>
      <c r="BM309" s="127">
        <f>SUM(BM310:BM314)</f>
        <v>0</v>
      </c>
      <c r="BN309" s="127">
        <f>VLOOKUP($C309,'1 预算编制表单'!$C:$BJ,33,FALSE)</f>
        <v>0</v>
      </c>
      <c r="BO309" s="127">
        <f>BN309-BP309</f>
        <v>0</v>
      </c>
      <c r="BP309" s="127">
        <f>SUM(BP310:BP314)</f>
        <v>0</v>
      </c>
      <c r="BQ309" s="127">
        <f>VLOOKUP($C309,'1 预算编制表单'!$C:$BJ,36,FALSE)</f>
        <v>0</v>
      </c>
      <c r="BR309" s="127">
        <f>BQ309-BS309</f>
        <v>0</v>
      </c>
      <c r="BS309" s="127">
        <f>SUM(BS310:BS314)</f>
        <v>0</v>
      </c>
      <c r="BT309" s="127">
        <f>VLOOKUP($C309,'1 预算编制表单'!$C:$BJ,39,FALSE)</f>
        <v>0</v>
      </c>
      <c r="BU309" s="127">
        <f>BT309-BV309</f>
        <v>0</v>
      </c>
      <c r="BV309" s="127">
        <f>SUM(BV310:BV314)</f>
        <v>0</v>
      </c>
      <c r="BW309" s="127">
        <f>VLOOKUP($C309,'1 预算编制表单'!$C:$BJ,42,FALSE)</f>
        <v>0</v>
      </c>
      <c r="BX309" s="127">
        <f>BW309-BY309</f>
        <v>0</v>
      </c>
      <c r="BY309" s="127">
        <f>SUM(BY310:BY314)</f>
        <v>0</v>
      </c>
      <c r="BZ309" s="127">
        <f>VLOOKUP($C309,'1 预算编制表单'!$C:$BJ,45,FALSE)</f>
        <v>0</v>
      </c>
      <c r="CA309" s="127">
        <f>BZ309-CB309</f>
        <v>0</v>
      </c>
      <c r="CB309" s="127">
        <f>SUM(CB310:CB314)</f>
        <v>0</v>
      </c>
      <c r="CC309" s="127">
        <f>VLOOKUP($C309,'1 预算编制表单'!$C:$BJ,48,FALSE)</f>
        <v>0</v>
      </c>
      <c r="CD309" s="127">
        <f>CC309-CE309</f>
        <v>0</v>
      </c>
      <c r="CE309" s="127">
        <f>SUM(CE310:CE314)</f>
        <v>0</v>
      </c>
      <c r="CF309" s="127">
        <f>VLOOKUP($C309,'1 预算编制表单'!$C:$BJ,51,FALSE)</f>
        <v>0</v>
      </c>
      <c r="CG309" s="127">
        <f>CF309-CH309</f>
        <v>0</v>
      </c>
      <c r="CH309" s="127">
        <f>SUM(CH310:CH314)</f>
        <v>0</v>
      </c>
      <c r="CI309" s="127">
        <f>VLOOKUP($C309,'1 预算编制表单'!$C:$BJ,54,FALSE)</f>
        <v>0</v>
      </c>
      <c r="CJ309" s="127">
        <f>CI309-CK309</f>
        <v>0</v>
      </c>
      <c r="CK309" s="127">
        <f>SUM(CK310:CK314)</f>
        <v>0</v>
      </c>
      <c r="CL309" s="127">
        <f>VLOOKUP($C309,'1 预算编制表单'!$C:$BJ,57,FALSE)</f>
        <v>0</v>
      </c>
      <c r="CM309" s="127">
        <f>CL309-CN309</f>
        <v>0</v>
      </c>
      <c r="CN309" s="127">
        <f>SUM(CN310:CN314)</f>
        <v>0</v>
      </c>
      <c r="CO309" s="127">
        <f>VLOOKUP($C309,'1 预算编制表单'!$C:$BJ,60,FALSE)</f>
        <v>0</v>
      </c>
      <c r="CP309" s="127">
        <f>CO309-CQ309</f>
        <v>0</v>
      </c>
      <c r="CQ309" s="127">
        <f>SUM(CQ310:CQ314)</f>
        <v>0</v>
      </c>
    </row>
    <row r="310" s="89" customFormat="1" ht="24" hidden="1" customHeight="1" outlineLevel="4" spans="1:95">
      <c r="A310" s="128"/>
      <c r="B310" s="129"/>
      <c r="C310" s="130"/>
      <c r="D310" s="128"/>
      <c r="E310" s="129"/>
      <c r="F310" s="129"/>
      <c r="G310" s="129"/>
      <c r="H310" s="131"/>
      <c r="I310" s="131"/>
      <c r="J310" s="131">
        <f t="shared" si="3131"/>
        <v>0</v>
      </c>
      <c r="K310" s="131">
        <v>1</v>
      </c>
      <c r="L310" s="156"/>
      <c r="M310" s="157">
        <f>IFERROR(VLOOKUP($L310,'2-2 引出数据_合同数据仓库'!$B$5:$BP$200,3,FALSE),0)</f>
        <v>0</v>
      </c>
      <c r="N310" s="131"/>
      <c r="O310" s="157">
        <f>IFERROR(VLOOKUP((LEFT(VLOOKUP($L310,'2-2 引出数据_合同数据仓库'!$B$5:$BP$200,64,FALSE),15)&amp;(RIGHT(VLOOKUP($L310,'2-2 引出数据_合同数据仓库'!$B$5:$BP$200,64,FALSE),4)+1)),'2-2 引出数据_合同数据仓库'!$B$5:$BP$200,3,FALSE),0)</f>
        <v>0</v>
      </c>
      <c r="P310" s="131"/>
      <c r="Q310" s="131">
        <f>IFERROR(VLOOKUP($L310,'2-2 引出数据_合同数据仓库'!$B$5:$BP$200,28,FALSE),0)</f>
        <v>0</v>
      </c>
      <c r="R310" s="131">
        <f>IFERROR(VLOOKUP($L310,'2-2 引出数据_合同数据仓库'!$B$5:$BP$200,29,FALSE),0)</f>
        <v>0</v>
      </c>
      <c r="S310" s="131">
        <f>IFERROR(VLOOKUP($L310,'2-2 引出数据_合同数据仓库'!$B$5:$BP$200,4,FALSE),0)</f>
        <v>0</v>
      </c>
      <c r="T310" s="131"/>
      <c r="U310" s="131">
        <f>IFERROR(VLOOKUP($L310,'2-2 引出数据_合同数据仓库'!$B$5:$BP$200,15,FALSE),0)</f>
        <v>0</v>
      </c>
      <c r="V310" s="131">
        <f t="shared" ref="V310:V313" si="3637">U310/(S310-R310+1)*365</f>
        <v>0</v>
      </c>
      <c r="W310" s="131"/>
      <c r="X310" s="163">
        <v>45658</v>
      </c>
      <c r="Y310" s="163">
        <f t="shared" ref="Y310:Y313" si="3638">X310+30</f>
        <v>45688</v>
      </c>
      <c r="Z310" s="167">
        <f t="shared" ref="Z310:Z313" si="3639">IFERROR(IF(($R310-Y310)&gt;=0,0,IF(($S310-X310)&lt;0,0,IF(AND(($S310-Y310)&gt;0,(X310-$R310)&gt;0),$V310/365*(Y310-X310+1),IF(AND(($S310-Y310)&lt;=0,(X310-$R310)&gt;0),$V310/365*($S310-X310+1),$V310/365*(Y310-$R310+1))))),0)</f>
        <v>0</v>
      </c>
      <c r="AA310" s="163">
        <f t="shared" ref="AA310:AA313" si="3640">Y310+1</f>
        <v>45689</v>
      </c>
      <c r="AB310" s="163">
        <f t="shared" ref="AB310:AB313" si="3641">AA310+27</f>
        <v>45716</v>
      </c>
      <c r="AC310" s="167">
        <f t="shared" ref="AC310:AC313" si="3642">IFERROR(IF(($R310-AB310)&gt;=0,0,IF(($S310-AA310)&lt;0,0,IF(AND(($S310-AB310)&gt;0,(AA310-$R310)&gt;0),$V310/365*(AB310-AA310+1),IF(AND(($S310-AB310)&lt;=0,(AA310-$R310)&gt;0),$V310/365*($S310-AA310+1),$V310/365*(AB310-$R310+1))))),0)</f>
        <v>0</v>
      </c>
      <c r="AD310" s="163">
        <f t="shared" ref="AD310:AD313" si="3643">AB310+1</f>
        <v>45717</v>
      </c>
      <c r="AE310" s="163">
        <f t="shared" ref="AE310:AE313" si="3644">AD310+30</f>
        <v>45747</v>
      </c>
      <c r="AF310" s="167">
        <f t="shared" ref="AF310:AF313" si="3645">IFERROR(IF(($R310-AE310)&gt;=0,0,IF(($S310-AD310)&lt;0,0,IF(AND(($S310-AE310)&gt;0,(AD310-$R310)&gt;0),$V310/365*(AE310-AD310+1),IF(AND(($S310-AE310)&lt;=0,(AD310-$R310)&gt;0),$V310/365*($S310-AD310+1),$V310/365*(AE310-$R310+1))))),0)</f>
        <v>0</v>
      </c>
      <c r="AG310" s="163">
        <f t="shared" ref="AG310:AG313" si="3646">AE310+1</f>
        <v>45748</v>
      </c>
      <c r="AH310" s="163">
        <f t="shared" ref="AH310:AH313" si="3647">AG310+29</f>
        <v>45777</v>
      </c>
      <c r="AI310" s="167">
        <f t="shared" ref="AI310:AI313" si="3648">IFERROR(IF(($R310-AH310)&gt;=0,0,IF(($S310-AG310)&lt;0,0,IF(AND(($S310-AH310)&gt;0,(AG310-$R310)&gt;0),$V310/365*(AH310-AG310+1),IF(AND(($S310-AH310)&lt;=0,(AG310-$R310)&gt;0),$V310/365*($S310-AG310+1),$V310/365*(AH310-$R310+1))))),0)</f>
        <v>0</v>
      </c>
      <c r="AJ310" s="163">
        <f t="shared" ref="AJ310:AJ313" si="3649">AH310+1</f>
        <v>45778</v>
      </c>
      <c r="AK310" s="163">
        <f t="shared" ref="AK310:AK313" si="3650">AJ310+30</f>
        <v>45808</v>
      </c>
      <c r="AL310" s="167">
        <f t="shared" ref="AL310:AL313" si="3651">IFERROR(IF(($R310-AK310)&gt;=0,0,IF(($S310-AJ310)&lt;0,0,IF(AND(($S310-AK310)&gt;0,(AJ310-$R310)&gt;0),$V310/365*(AK310-AJ310+1),IF(AND(($S310-AK310)&lt;=0,(AJ310-$R310)&gt;0),$V310/365*($S310-AJ310+1),$V310/365*(AK310-$R310+1))))),0)</f>
        <v>0</v>
      </c>
      <c r="AM310" s="163">
        <f t="shared" ref="AM310:AM313" si="3652">AK310+1</f>
        <v>45809</v>
      </c>
      <c r="AN310" s="163">
        <f t="shared" ref="AN310:AN313" si="3653">AM310+29</f>
        <v>45838</v>
      </c>
      <c r="AO310" s="167">
        <f t="shared" ref="AO310:AO313" si="3654">IFERROR(IF(($R310-AN310)&gt;=0,0,IF(($S310-AM310)&lt;0,0,IF(AND(($S310-AN310)&gt;0,(AM310-$R310)&gt;0),$V310/365*(AN310-AM310+1),IF(AND(($S310-AN310)&lt;=0,(AM310-$R310)&gt;0),$V310/365*($S310-AM310+1),$V310/365*(AN310-$R310+1))))),0)</f>
        <v>0</v>
      </c>
      <c r="AP310" s="163">
        <f t="shared" ref="AP310:AP313" si="3655">AN310+1</f>
        <v>45839</v>
      </c>
      <c r="AQ310" s="163">
        <f t="shared" ref="AQ310:AQ313" si="3656">AP310+30</f>
        <v>45869</v>
      </c>
      <c r="AR310" s="167">
        <f t="shared" ref="AR310:AR313" si="3657">IFERROR(IF(($R310-AQ310)&gt;=0,0,IF(($S310-AP310)&lt;0,0,IF(AND(($S310-AQ310)&gt;0,(AP310-$R310)&gt;0),$V310/365*(AQ310-AP310+1),IF(AND(($S310-AQ310)&lt;=0,(AP310-$R310)&gt;0),$V310/365*($S310-AP310+1),$V310/365*(AQ310-$R310+1))))),0)</f>
        <v>0</v>
      </c>
      <c r="AS310" s="163">
        <f t="shared" ref="AS310:AS313" si="3658">AQ310+1</f>
        <v>45870</v>
      </c>
      <c r="AT310" s="163">
        <f t="shared" ref="AT310:AT313" si="3659">AS310+30</f>
        <v>45900</v>
      </c>
      <c r="AU310" s="167">
        <f t="shared" ref="AU310:AU313" si="3660">IFERROR(IF(($R310-AT310)&gt;=0,0,IF(($S310-AS310)&lt;0,0,IF(AND(($S310-AT310)&gt;0,(AS310-$R310)&gt;0),$V310/365*(AT310-AS310+1),IF(AND(($S310-AT310)&lt;=0,(AS310-$R310)&gt;0),$V310/365*($S310-AS310+1),$V310/365*(AT310-$R310+1))))),0)</f>
        <v>0</v>
      </c>
      <c r="AV310" s="163">
        <f t="shared" ref="AV310:AV313" si="3661">AT310+1</f>
        <v>45901</v>
      </c>
      <c r="AW310" s="163">
        <f t="shared" ref="AW310:AW313" si="3662">AV310+29</f>
        <v>45930</v>
      </c>
      <c r="AX310" s="167">
        <f t="shared" ref="AX310:AX313" si="3663">IFERROR(IF(($R310-AW310)&gt;=0,0,IF(($S310-AV310)&lt;0,0,IF(AND(($S310-AW310)&gt;0,(AV310-$R310)&gt;0),$V310/365*(AW310-AV310+1),IF(AND(($S310-AW310)&lt;=0,(AV310-$R310)&gt;0),$V310/365*($S310-AV310+1),$V310/365*(AW310-$R310+1))))),0)</f>
        <v>0</v>
      </c>
      <c r="AY310" s="163">
        <f t="shared" ref="AY310:AY313" si="3664">AW310+1</f>
        <v>45931</v>
      </c>
      <c r="AZ310" s="163">
        <f t="shared" ref="AZ310:AZ313" si="3665">AY310+30</f>
        <v>45961</v>
      </c>
      <c r="BA310" s="167">
        <f t="shared" ref="BA310:BA313" si="3666">IFERROR(IF(($R310-AZ310)&gt;=0,0,IF(($S310-AY310)&lt;0,0,IF(AND(($S310-AZ310)&gt;0,(AY310-$R310)&gt;0),$V310/365*(AZ310-AY310+1),IF(AND(($S310-AZ310)&lt;=0,(AY310-$R310)&gt;0),$V310/365*($S310-AY310+1),$V310/365*(AZ310-$R310+1))))),0)</f>
        <v>0</v>
      </c>
      <c r="BB310" s="163">
        <f t="shared" ref="BB310:BB313" si="3667">AZ310+1</f>
        <v>45962</v>
      </c>
      <c r="BC310" s="163">
        <f t="shared" ref="BC310:BC313" si="3668">BB310+29</f>
        <v>45991</v>
      </c>
      <c r="BD310" s="167">
        <f t="shared" ref="BD310:BD313" si="3669">IFERROR(IF(($R310-BC310)&gt;=0,0,IF(($S310-BB310)&lt;0,0,IF(AND(($S310-BC310)&gt;0,(BB310-$R310)&gt;0),$V310/365*(BC310-BB310+1),IF(AND(($S310-BC310)&lt;=0,(BB310-$R310)&gt;0),$V310/365*($S310-BB310+1),$V310/365*(BC310-$R310+1))))),0)</f>
        <v>0</v>
      </c>
      <c r="BE310" s="163">
        <f t="shared" ref="BE310:BE313" si="3670">BC310+1</f>
        <v>45992</v>
      </c>
      <c r="BF310" s="163">
        <f t="shared" ref="BF310:BF313" si="3671">BE310+30</f>
        <v>46022</v>
      </c>
      <c r="BG310" s="167">
        <f t="shared" ref="BG310:BG313" si="3672">IFERROR(IF(($R310-BF310)&gt;=0,0,IF(($S310-BE310)&lt;0,0,IF(AND(($S310-BF310)&gt;0,(BE310-$R310)&gt;0),$V310/365*(BF310-BE310+1),IF(AND(($S310-BF310)&lt;=0,(BE310-$R310)&gt;0),$V310/365*($S310-BE310+1),$V310/365*(BF310-$R310+1))))),0)</f>
        <v>0</v>
      </c>
      <c r="BH310" s="163">
        <v>46023</v>
      </c>
      <c r="BI310" s="163">
        <f t="shared" ref="BI310:BI313" si="3673">BH310+30</f>
        <v>46053</v>
      </c>
      <c r="BJ310" s="167">
        <f t="shared" ref="BJ310:BJ313" si="3674">IFERROR(IF(($R310-BI310)&gt;=0,0,IF(($S310-BH310)&lt;0,0,IF(AND(($S310-BI310)&gt;0,(BH310-$R310)&gt;0),$V310/365*(BI310-BH310+1),IF(AND(($S310-BI310)&lt;=0,(BH310-$R310)&gt;0),$V310/365*($S310-BH310+1),$V310/365*(BI310-$R310+1))))),0)</f>
        <v>0</v>
      </c>
      <c r="BK310" s="163">
        <f t="shared" ref="BK310:BK313" si="3675">BI310+1</f>
        <v>46054</v>
      </c>
      <c r="BL310" s="163">
        <f t="shared" ref="BL310:BL313" si="3676">BK310+27</f>
        <v>46081</v>
      </c>
      <c r="BM310" s="167">
        <f t="shared" ref="BM310:BM313" si="3677">IFERROR(IF(($R310-BL310)&gt;=0,0,IF(($S310-BK310)&lt;0,0,IF(AND(($S310-BL310)&gt;0,(BK310-$R310)&gt;0),$V310/365*(BL310-BK310+1),IF(AND(($S310-BL310)&lt;=0,(BK310-$R310)&gt;0),$V310/365*($S310-BK310+1),$V310/365*(BL310-$R310+1))))),0)</f>
        <v>0</v>
      </c>
      <c r="BN310" s="163">
        <f t="shared" ref="BN310:BN313" si="3678">BL310+1</f>
        <v>46082</v>
      </c>
      <c r="BO310" s="163">
        <f t="shared" ref="BO310:BO313" si="3679">BN310+30</f>
        <v>46112</v>
      </c>
      <c r="BP310" s="167">
        <f t="shared" ref="BP310:BP313" si="3680">IFERROR(IF(($R310-BO310)&gt;=0,0,IF(($S310-BN310)&lt;0,0,IF(AND(($S310-BO310)&gt;0,(BN310-$R310)&gt;0),$V310/365*(BO310-BN310+1),IF(AND(($S310-BO310)&lt;=0,(BN310-$R310)&gt;0),$V310/365*($S310-BN310+1),$V310/365*(BO310-$R310+1))))),0)</f>
        <v>0</v>
      </c>
      <c r="BQ310" s="163">
        <f t="shared" ref="BQ310:BQ313" si="3681">BO310+1</f>
        <v>46113</v>
      </c>
      <c r="BR310" s="163">
        <f t="shared" ref="BR310:BR313" si="3682">BQ310+29</f>
        <v>46142</v>
      </c>
      <c r="BS310" s="167">
        <f t="shared" ref="BS310:BS313" si="3683">IFERROR(IF(($R310-BR310)&gt;=0,0,IF(($S310-BQ310)&lt;0,0,IF(AND(($S310-BR310)&gt;0,(BQ310-$R310)&gt;0),$V310/365*(BR310-BQ310+1),IF(AND(($S310-BR310)&lt;=0,(BQ310-$R310)&gt;0),$V310/365*($S310-BQ310+1),$V310/365*(BR310-$R310+1))))),0)</f>
        <v>0</v>
      </c>
      <c r="BT310" s="163">
        <f t="shared" ref="BT310:BT313" si="3684">BR310+1</f>
        <v>46143</v>
      </c>
      <c r="BU310" s="163">
        <f t="shared" ref="BU310:BU313" si="3685">BT310+30</f>
        <v>46173</v>
      </c>
      <c r="BV310" s="167">
        <f t="shared" ref="BV310:BV313" si="3686">IFERROR(IF(($R310-BU310)&gt;=0,0,IF(($S310-BT310)&lt;0,0,IF(AND(($S310-BU310)&gt;0,(BT310-$R310)&gt;0),$V310/365*(BU310-BT310+1),IF(AND(($S310-BU310)&lt;=0,(BT310-$R310)&gt;0),$V310/365*($S310-BT310+1),$V310/365*(BU310-$R310+1))))),0)</f>
        <v>0</v>
      </c>
      <c r="BW310" s="163">
        <f t="shared" ref="BW310:BW313" si="3687">BU310+1</f>
        <v>46174</v>
      </c>
      <c r="BX310" s="163">
        <f t="shared" ref="BX310:BX313" si="3688">BW310+29</f>
        <v>46203</v>
      </c>
      <c r="BY310" s="167">
        <f t="shared" ref="BY310:BY313" si="3689">IFERROR(IF(($R310-BX310)&gt;=0,0,IF(($S310-BW310)&lt;0,0,IF(AND(($S310-BX310)&gt;0,(BW310-$R310)&gt;0),$V310/365*(BX310-BW310+1),IF(AND(($S310-BX310)&lt;=0,(BW310-$R310)&gt;0),$V310/365*($S310-BW310+1),$V310/365*(BX310-$R310+1))))),0)</f>
        <v>0</v>
      </c>
      <c r="BZ310" s="163">
        <f t="shared" ref="BZ310:BZ313" si="3690">BX310+1</f>
        <v>46204</v>
      </c>
      <c r="CA310" s="163">
        <f t="shared" ref="CA310:CA313" si="3691">BZ310+30</f>
        <v>46234</v>
      </c>
      <c r="CB310" s="167">
        <f t="shared" ref="CB310:CB313" si="3692">IFERROR(IF(($R310-CA310)&gt;=0,0,IF(($S310-BZ310)&lt;0,0,IF(AND(($S310-CA310)&gt;0,(BZ310-$R310)&gt;0),$V310/365*(CA310-BZ310+1),IF(AND(($S310-CA310)&lt;=0,(BZ310-$R310)&gt;0),$V310/365*($S310-BZ310+1),$V310/365*(CA310-$R310+1))))),0)</f>
        <v>0</v>
      </c>
      <c r="CC310" s="163">
        <f t="shared" ref="CC310:CC313" si="3693">CA310+1</f>
        <v>46235</v>
      </c>
      <c r="CD310" s="163">
        <f t="shared" ref="CD310:CD313" si="3694">CC310+30</f>
        <v>46265</v>
      </c>
      <c r="CE310" s="167">
        <f t="shared" ref="CE310:CE313" si="3695">IFERROR(IF(($R310-CD310)&gt;=0,0,IF(($S310-CC310)&lt;0,0,IF(AND(($S310-CD310)&gt;0,(CC310-$R310)&gt;0),$V310/365*(CD310-CC310+1),IF(AND(($S310-CD310)&lt;=0,(CC310-$R310)&gt;0),$V310/365*($S310-CC310+1),$V310/365*(CD310-$R310+1))))),0)</f>
        <v>0</v>
      </c>
      <c r="CF310" s="163">
        <f t="shared" ref="CF310:CF313" si="3696">CD310+1</f>
        <v>46266</v>
      </c>
      <c r="CG310" s="163">
        <f t="shared" ref="CG310:CG313" si="3697">CF310+29</f>
        <v>46295</v>
      </c>
      <c r="CH310" s="167">
        <f t="shared" ref="CH310:CH313" si="3698">IFERROR(IF(($R310-CG310)&gt;=0,0,IF(($S310-CF310)&lt;0,0,IF(AND(($S310-CG310)&gt;0,(CF310-$R310)&gt;0),$V310/365*(CG310-CF310+1),IF(AND(($S310-CG310)&lt;=0,(CF310-$R310)&gt;0),$V310/365*($S310-CF310+1),$V310/365*(CG310-$R310+1))))),0)</f>
        <v>0</v>
      </c>
      <c r="CI310" s="163">
        <f t="shared" ref="CI310:CI313" si="3699">CG310+1</f>
        <v>46296</v>
      </c>
      <c r="CJ310" s="163">
        <f t="shared" ref="CJ310:CJ313" si="3700">CI310+30</f>
        <v>46326</v>
      </c>
      <c r="CK310" s="167">
        <f t="shared" ref="CK310:CK313" si="3701">IFERROR(IF(($R310-CJ310)&gt;=0,0,IF(($S310-CI310)&lt;0,0,IF(AND(($S310-CJ310)&gt;0,(CI310-$R310)&gt;0),$V310/365*(CJ310-CI310+1),IF(AND(($S310-CJ310)&lt;=0,(CI310-$R310)&gt;0),$V310/365*($S310-CI310+1),$V310/365*(CJ310-$R310+1))))),0)</f>
        <v>0</v>
      </c>
      <c r="CL310" s="163">
        <f t="shared" ref="CL310:CL313" si="3702">CJ310+1</f>
        <v>46327</v>
      </c>
      <c r="CM310" s="163">
        <f t="shared" ref="CM310:CM313" si="3703">CL310+29</f>
        <v>46356</v>
      </c>
      <c r="CN310" s="167">
        <f t="shared" ref="CN310:CN313" si="3704">IFERROR(IF(($R310-CM310)&gt;=0,0,IF(($S310-CL310)&lt;0,0,IF(AND(($S310-CM310)&gt;0,(CL310-$R310)&gt;0),$V310/365*(CM310-CL310+1),IF(AND(($S310-CM310)&lt;=0,(CL310-$R310)&gt;0),$V310/365*($S310-CL310+1),$V310/365*(CM310-$R310+1))))),0)</f>
        <v>0</v>
      </c>
      <c r="CO310" s="163">
        <f t="shared" ref="CO310:CO313" si="3705">CM310+1</f>
        <v>46357</v>
      </c>
      <c r="CP310" s="163">
        <f t="shared" ref="CP310:CP313" si="3706">CO310+30</f>
        <v>46387</v>
      </c>
      <c r="CQ310" s="167">
        <f t="shared" ref="CQ310:CQ313" si="3707">IFERROR(IF(($R310-CP310)&gt;=0,0,IF(($S310-CO310)&lt;0,0,IF(AND(($S310-CP310)&gt;0,(CO310-$R310)&gt;0),$V310/365*(CP310-CO310+1),IF(AND(($S310-CP310)&lt;=0,(CO310-$R310)&gt;0),$V310/365*($S310-CO310+1),$V310/365*(CP310-$R310+1))))),0)</f>
        <v>0</v>
      </c>
    </row>
    <row r="311" s="89" customFormat="1" ht="24" hidden="1" customHeight="1" outlineLevel="4" spans="1:95">
      <c r="A311" s="128"/>
      <c r="B311" s="129"/>
      <c r="C311" s="130"/>
      <c r="D311" s="128"/>
      <c r="E311" s="129"/>
      <c r="F311" s="129"/>
      <c r="G311" s="129"/>
      <c r="H311" s="131"/>
      <c r="I311" s="131"/>
      <c r="J311" s="131">
        <f t="shared" si="3131"/>
        <v>0</v>
      </c>
      <c r="K311" s="131">
        <f t="shared" ref="K311:K313" si="3708">K310+1</f>
        <v>2</v>
      </c>
      <c r="L311" s="156"/>
      <c r="M311" s="157">
        <f>IFERROR(VLOOKUP($L311,'2-2 引出数据_合同数据仓库'!$B$5:$BP$200,3,FALSE),0)</f>
        <v>0</v>
      </c>
      <c r="N311" s="131"/>
      <c r="O311" s="157">
        <f>IFERROR(VLOOKUP((LEFT(VLOOKUP($L311,'2-2 引出数据_合同数据仓库'!$B$5:$BP$200,64,FALSE),15)&amp;(RIGHT(VLOOKUP($L311,'2-2 引出数据_合同数据仓库'!$B$5:$BP$200,64,FALSE),4)+1)),'2-2 引出数据_合同数据仓库'!$B$5:$BP$200,3,FALSE),0)</f>
        <v>0</v>
      </c>
      <c r="P311" s="131"/>
      <c r="Q311" s="131">
        <f>IFERROR(VLOOKUP($L311,'2-2 引出数据_合同数据仓库'!$B$5:$BP$200,28,FALSE),0)</f>
        <v>0</v>
      </c>
      <c r="R311" s="131">
        <f>IFERROR(VLOOKUP($L311,'2-2 引出数据_合同数据仓库'!$B$5:$BP$200,29,FALSE),0)</f>
        <v>0</v>
      </c>
      <c r="S311" s="131">
        <f>IFERROR(VLOOKUP($L311,'2-2 引出数据_合同数据仓库'!$B$5:$BP$200,4,FALSE),0)</f>
        <v>0</v>
      </c>
      <c r="T311" s="131"/>
      <c r="U311" s="131">
        <f>IFERROR(VLOOKUP($L311,'2-2 引出数据_合同数据仓库'!$B$5:$BP$200,15,FALSE),0)</f>
        <v>0</v>
      </c>
      <c r="V311" s="131">
        <f t="shared" si="3637"/>
        <v>0</v>
      </c>
      <c r="W311" s="131"/>
      <c r="X311" s="163">
        <v>45658</v>
      </c>
      <c r="Y311" s="163">
        <f t="shared" si="3638"/>
        <v>45688</v>
      </c>
      <c r="Z311" s="167">
        <f t="shared" si="3639"/>
        <v>0</v>
      </c>
      <c r="AA311" s="163">
        <f t="shared" si="3640"/>
        <v>45689</v>
      </c>
      <c r="AB311" s="163">
        <f t="shared" si="3641"/>
        <v>45716</v>
      </c>
      <c r="AC311" s="167">
        <f t="shared" si="3642"/>
        <v>0</v>
      </c>
      <c r="AD311" s="163">
        <f t="shared" si="3643"/>
        <v>45717</v>
      </c>
      <c r="AE311" s="163">
        <f t="shared" si="3644"/>
        <v>45747</v>
      </c>
      <c r="AF311" s="167">
        <f t="shared" si="3645"/>
        <v>0</v>
      </c>
      <c r="AG311" s="163">
        <f t="shared" si="3646"/>
        <v>45748</v>
      </c>
      <c r="AH311" s="163">
        <f t="shared" si="3647"/>
        <v>45777</v>
      </c>
      <c r="AI311" s="167">
        <f t="shared" si="3648"/>
        <v>0</v>
      </c>
      <c r="AJ311" s="163">
        <f t="shared" si="3649"/>
        <v>45778</v>
      </c>
      <c r="AK311" s="163">
        <f t="shared" si="3650"/>
        <v>45808</v>
      </c>
      <c r="AL311" s="167">
        <f t="shared" si="3651"/>
        <v>0</v>
      </c>
      <c r="AM311" s="163">
        <f t="shared" si="3652"/>
        <v>45809</v>
      </c>
      <c r="AN311" s="163">
        <f t="shared" si="3653"/>
        <v>45838</v>
      </c>
      <c r="AO311" s="167">
        <f t="shared" si="3654"/>
        <v>0</v>
      </c>
      <c r="AP311" s="163">
        <f t="shared" si="3655"/>
        <v>45839</v>
      </c>
      <c r="AQ311" s="163">
        <f t="shared" si="3656"/>
        <v>45869</v>
      </c>
      <c r="AR311" s="167">
        <f t="shared" si="3657"/>
        <v>0</v>
      </c>
      <c r="AS311" s="163">
        <f t="shared" si="3658"/>
        <v>45870</v>
      </c>
      <c r="AT311" s="163">
        <f t="shared" si="3659"/>
        <v>45900</v>
      </c>
      <c r="AU311" s="167">
        <f t="shared" si="3660"/>
        <v>0</v>
      </c>
      <c r="AV311" s="163">
        <f t="shared" si="3661"/>
        <v>45901</v>
      </c>
      <c r="AW311" s="163">
        <f t="shared" si="3662"/>
        <v>45930</v>
      </c>
      <c r="AX311" s="167">
        <f t="shared" si="3663"/>
        <v>0</v>
      </c>
      <c r="AY311" s="163">
        <f t="shared" si="3664"/>
        <v>45931</v>
      </c>
      <c r="AZ311" s="163">
        <f t="shared" si="3665"/>
        <v>45961</v>
      </c>
      <c r="BA311" s="167">
        <f t="shared" si="3666"/>
        <v>0</v>
      </c>
      <c r="BB311" s="163">
        <f t="shared" si="3667"/>
        <v>45962</v>
      </c>
      <c r="BC311" s="163">
        <f t="shared" si="3668"/>
        <v>45991</v>
      </c>
      <c r="BD311" s="167">
        <f t="shared" si="3669"/>
        <v>0</v>
      </c>
      <c r="BE311" s="163">
        <f t="shared" si="3670"/>
        <v>45992</v>
      </c>
      <c r="BF311" s="163">
        <f t="shared" si="3671"/>
        <v>46022</v>
      </c>
      <c r="BG311" s="167">
        <f t="shared" si="3672"/>
        <v>0</v>
      </c>
      <c r="BH311" s="163">
        <v>46023</v>
      </c>
      <c r="BI311" s="163">
        <f t="shared" si="3673"/>
        <v>46053</v>
      </c>
      <c r="BJ311" s="167">
        <f t="shared" si="3674"/>
        <v>0</v>
      </c>
      <c r="BK311" s="163">
        <f t="shared" si="3675"/>
        <v>46054</v>
      </c>
      <c r="BL311" s="163">
        <f t="shared" si="3676"/>
        <v>46081</v>
      </c>
      <c r="BM311" s="167">
        <f t="shared" si="3677"/>
        <v>0</v>
      </c>
      <c r="BN311" s="163">
        <f t="shared" si="3678"/>
        <v>46082</v>
      </c>
      <c r="BO311" s="163">
        <f t="shared" si="3679"/>
        <v>46112</v>
      </c>
      <c r="BP311" s="167">
        <f t="shared" si="3680"/>
        <v>0</v>
      </c>
      <c r="BQ311" s="163">
        <f t="shared" si="3681"/>
        <v>46113</v>
      </c>
      <c r="BR311" s="163">
        <f t="shared" si="3682"/>
        <v>46142</v>
      </c>
      <c r="BS311" s="167">
        <f t="shared" si="3683"/>
        <v>0</v>
      </c>
      <c r="BT311" s="163">
        <f t="shared" si="3684"/>
        <v>46143</v>
      </c>
      <c r="BU311" s="163">
        <f t="shared" si="3685"/>
        <v>46173</v>
      </c>
      <c r="BV311" s="167">
        <f t="shared" si="3686"/>
        <v>0</v>
      </c>
      <c r="BW311" s="163">
        <f t="shared" si="3687"/>
        <v>46174</v>
      </c>
      <c r="BX311" s="163">
        <f t="shared" si="3688"/>
        <v>46203</v>
      </c>
      <c r="BY311" s="167">
        <f t="shared" si="3689"/>
        <v>0</v>
      </c>
      <c r="BZ311" s="163">
        <f t="shared" si="3690"/>
        <v>46204</v>
      </c>
      <c r="CA311" s="163">
        <f t="shared" si="3691"/>
        <v>46234</v>
      </c>
      <c r="CB311" s="167">
        <f t="shared" si="3692"/>
        <v>0</v>
      </c>
      <c r="CC311" s="163">
        <f t="shared" si="3693"/>
        <v>46235</v>
      </c>
      <c r="CD311" s="163">
        <f t="shared" si="3694"/>
        <v>46265</v>
      </c>
      <c r="CE311" s="167">
        <f t="shared" si="3695"/>
        <v>0</v>
      </c>
      <c r="CF311" s="163">
        <f t="shared" si="3696"/>
        <v>46266</v>
      </c>
      <c r="CG311" s="163">
        <f t="shared" si="3697"/>
        <v>46295</v>
      </c>
      <c r="CH311" s="167">
        <f t="shared" si="3698"/>
        <v>0</v>
      </c>
      <c r="CI311" s="163">
        <f t="shared" si="3699"/>
        <v>46296</v>
      </c>
      <c r="CJ311" s="163">
        <f t="shared" si="3700"/>
        <v>46326</v>
      </c>
      <c r="CK311" s="167">
        <f t="shared" si="3701"/>
        <v>0</v>
      </c>
      <c r="CL311" s="163">
        <f t="shared" si="3702"/>
        <v>46327</v>
      </c>
      <c r="CM311" s="163">
        <f t="shared" si="3703"/>
        <v>46356</v>
      </c>
      <c r="CN311" s="167">
        <f t="shared" si="3704"/>
        <v>0</v>
      </c>
      <c r="CO311" s="163">
        <f t="shared" si="3705"/>
        <v>46357</v>
      </c>
      <c r="CP311" s="163">
        <f t="shared" si="3706"/>
        <v>46387</v>
      </c>
      <c r="CQ311" s="167">
        <f t="shared" si="3707"/>
        <v>0</v>
      </c>
    </row>
    <row r="312" s="89" customFormat="1" ht="24" hidden="1" customHeight="1" outlineLevel="4" spans="1:95">
      <c r="A312" s="128"/>
      <c r="B312" s="129"/>
      <c r="C312" s="130"/>
      <c r="D312" s="128"/>
      <c r="E312" s="129"/>
      <c r="F312" s="129"/>
      <c r="G312" s="129"/>
      <c r="H312" s="131"/>
      <c r="I312" s="131"/>
      <c r="J312" s="131">
        <f t="shared" si="3131"/>
        <v>0</v>
      </c>
      <c r="K312" s="131">
        <f t="shared" si="3708"/>
        <v>3</v>
      </c>
      <c r="L312" s="156"/>
      <c r="M312" s="157">
        <f>IFERROR(VLOOKUP($L312,'2-2 引出数据_合同数据仓库'!$B$5:$BP$200,3,FALSE),0)</f>
        <v>0</v>
      </c>
      <c r="N312" s="131"/>
      <c r="O312" s="157">
        <f>IFERROR(VLOOKUP((LEFT(VLOOKUP($L312,'2-2 引出数据_合同数据仓库'!$B$5:$BP$200,64,FALSE),15)&amp;(RIGHT(VLOOKUP($L312,'2-2 引出数据_合同数据仓库'!$B$5:$BP$200,64,FALSE),4)+1)),'2-2 引出数据_合同数据仓库'!$B$5:$BP$200,3,FALSE),0)</f>
        <v>0</v>
      </c>
      <c r="P312" s="131"/>
      <c r="Q312" s="131">
        <f>IFERROR(VLOOKUP($L312,'2-2 引出数据_合同数据仓库'!$B$5:$BP$200,28,FALSE),0)</f>
        <v>0</v>
      </c>
      <c r="R312" s="131">
        <f>IFERROR(VLOOKUP($L312,'2-2 引出数据_合同数据仓库'!$B$5:$BP$200,29,FALSE),0)</f>
        <v>0</v>
      </c>
      <c r="S312" s="131">
        <f>IFERROR(VLOOKUP($L312,'2-2 引出数据_合同数据仓库'!$B$5:$BP$200,4,FALSE),0)</f>
        <v>0</v>
      </c>
      <c r="T312" s="131"/>
      <c r="U312" s="131">
        <f>IFERROR(VLOOKUP($L312,'2-2 引出数据_合同数据仓库'!$B$5:$BP$200,15,FALSE),0)</f>
        <v>0</v>
      </c>
      <c r="V312" s="131">
        <f t="shared" si="3637"/>
        <v>0</v>
      </c>
      <c r="W312" s="131"/>
      <c r="X312" s="163">
        <v>45658</v>
      </c>
      <c r="Y312" s="163">
        <f t="shared" si="3638"/>
        <v>45688</v>
      </c>
      <c r="Z312" s="167">
        <f t="shared" si="3639"/>
        <v>0</v>
      </c>
      <c r="AA312" s="163">
        <f t="shared" si="3640"/>
        <v>45689</v>
      </c>
      <c r="AB312" s="163">
        <f t="shared" si="3641"/>
        <v>45716</v>
      </c>
      <c r="AC312" s="167">
        <f t="shared" si="3642"/>
        <v>0</v>
      </c>
      <c r="AD312" s="163">
        <f t="shared" si="3643"/>
        <v>45717</v>
      </c>
      <c r="AE312" s="163">
        <f t="shared" si="3644"/>
        <v>45747</v>
      </c>
      <c r="AF312" s="167">
        <f t="shared" si="3645"/>
        <v>0</v>
      </c>
      <c r="AG312" s="163">
        <f t="shared" si="3646"/>
        <v>45748</v>
      </c>
      <c r="AH312" s="163">
        <f t="shared" si="3647"/>
        <v>45777</v>
      </c>
      <c r="AI312" s="167">
        <f t="shared" si="3648"/>
        <v>0</v>
      </c>
      <c r="AJ312" s="163">
        <f t="shared" si="3649"/>
        <v>45778</v>
      </c>
      <c r="AK312" s="163">
        <f t="shared" si="3650"/>
        <v>45808</v>
      </c>
      <c r="AL312" s="167">
        <f t="shared" si="3651"/>
        <v>0</v>
      </c>
      <c r="AM312" s="163">
        <f t="shared" si="3652"/>
        <v>45809</v>
      </c>
      <c r="AN312" s="163">
        <f t="shared" si="3653"/>
        <v>45838</v>
      </c>
      <c r="AO312" s="167">
        <f t="shared" si="3654"/>
        <v>0</v>
      </c>
      <c r="AP312" s="163">
        <f t="shared" si="3655"/>
        <v>45839</v>
      </c>
      <c r="AQ312" s="163">
        <f t="shared" si="3656"/>
        <v>45869</v>
      </c>
      <c r="AR312" s="167">
        <f t="shared" si="3657"/>
        <v>0</v>
      </c>
      <c r="AS312" s="163">
        <f t="shared" si="3658"/>
        <v>45870</v>
      </c>
      <c r="AT312" s="163">
        <f t="shared" si="3659"/>
        <v>45900</v>
      </c>
      <c r="AU312" s="167">
        <f t="shared" si="3660"/>
        <v>0</v>
      </c>
      <c r="AV312" s="163">
        <f t="shared" si="3661"/>
        <v>45901</v>
      </c>
      <c r="AW312" s="163">
        <f t="shared" si="3662"/>
        <v>45930</v>
      </c>
      <c r="AX312" s="167">
        <f t="shared" si="3663"/>
        <v>0</v>
      </c>
      <c r="AY312" s="163">
        <f t="shared" si="3664"/>
        <v>45931</v>
      </c>
      <c r="AZ312" s="163">
        <f t="shared" si="3665"/>
        <v>45961</v>
      </c>
      <c r="BA312" s="167">
        <f t="shared" si="3666"/>
        <v>0</v>
      </c>
      <c r="BB312" s="163">
        <f t="shared" si="3667"/>
        <v>45962</v>
      </c>
      <c r="BC312" s="163">
        <f t="shared" si="3668"/>
        <v>45991</v>
      </c>
      <c r="BD312" s="167">
        <f t="shared" si="3669"/>
        <v>0</v>
      </c>
      <c r="BE312" s="163">
        <f t="shared" si="3670"/>
        <v>45992</v>
      </c>
      <c r="BF312" s="163">
        <f t="shared" si="3671"/>
        <v>46022</v>
      </c>
      <c r="BG312" s="167">
        <f t="shared" si="3672"/>
        <v>0</v>
      </c>
      <c r="BH312" s="163">
        <v>46023</v>
      </c>
      <c r="BI312" s="163">
        <f t="shared" si="3673"/>
        <v>46053</v>
      </c>
      <c r="BJ312" s="167">
        <f t="shared" si="3674"/>
        <v>0</v>
      </c>
      <c r="BK312" s="163">
        <f t="shared" si="3675"/>
        <v>46054</v>
      </c>
      <c r="BL312" s="163">
        <f t="shared" si="3676"/>
        <v>46081</v>
      </c>
      <c r="BM312" s="167">
        <f t="shared" si="3677"/>
        <v>0</v>
      </c>
      <c r="BN312" s="163">
        <f t="shared" si="3678"/>
        <v>46082</v>
      </c>
      <c r="BO312" s="163">
        <f t="shared" si="3679"/>
        <v>46112</v>
      </c>
      <c r="BP312" s="167">
        <f t="shared" si="3680"/>
        <v>0</v>
      </c>
      <c r="BQ312" s="163">
        <f t="shared" si="3681"/>
        <v>46113</v>
      </c>
      <c r="BR312" s="163">
        <f t="shared" si="3682"/>
        <v>46142</v>
      </c>
      <c r="BS312" s="167">
        <f t="shared" si="3683"/>
        <v>0</v>
      </c>
      <c r="BT312" s="163">
        <f t="shared" si="3684"/>
        <v>46143</v>
      </c>
      <c r="BU312" s="163">
        <f t="shared" si="3685"/>
        <v>46173</v>
      </c>
      <c r="BV312" s="167">
        <f t="shared" si="3686"/>
        <v>0</v>
      </c>
      <c r="BW312" s="163">
        <f t="shared" si="3687"/>
        <v>46174</v>
      </c>
      <c r="BX312" s="163">
        <f t="shared" si="3688"/>
        <v>46203</v>
      </c>
      <c r="BY312" s="167">
        <f t="shared" si="3689"/>
        <v>0</v>
      </c>
      <c r="BZ312" s="163">
        <f t="shared" si="3690"/>
        <v>46204</v>
      </c>
      <c r="CA312" s="163">
        <f t="shared" si="3691"/>
        <v>46234</v>
      </c>
      <c r="CB312" s="167">
        <f t="shared" si="3692"/>
        <v>0</v>
      </c>
      <c r="CC312" s="163">
        <f t="shared" si="3693"/>
        <v>46235</v>
      </c>
      <c r="CD312" s="163">
        <f t="shared" si="3694"/>
        <v>46265</v>
      </c>
      <c r="CE312" s="167">
        <f t="shared" si="3695"/>
        <v>0</v>
      </c>
      <c r="CF312" s="163">
        <f t="shared" si="3696"/>
        <v>46266</v>
      </c>
      <c r="CG312" s="163">
        <f t="shared" si="3697"/>
        <v>46295</v>
      </c>
      <c r="CH312" s="167">
        <f t="shared" si="3698"/>
        <v>0</v>
      </c>
      <c r="CI312" s="163">
        <f t="shared" si="3699"/>
        <v>46296</v>
      </c>
      <c r="CJ312" s="163">
        <f t="shared" si="3700"/>
        <v>46326</v>
      </c>
      <c r="CK312" s="167">
        <f t="shared" si="3701"/>
        <v>0</v>
      </c>
      <c r="CL312" s="163">
        <f t="shared" si="3702"/>
        <v>46327</v>
      </c>
      <c r="CM312" s="163">
        <f t="shared" si="3703"/>
        <v>46356</v>
      </c>
      <c r="CN312" s="167">
        <f t="shared" si="3704"/>
        <v>0</v>
      </c>
      <c r="CO312" s="163">
        <f t="shared" si="3705"/>
        <v>46357</v>
      </c>
      <c r="CP312" s="163">
        <f t="shared" si="3706"/>
        <v>46387</v>
      </c>
      <c r="CQ312" s="167">
        <f t="shared" si="3707"/>
        <v>0</v>
      </c>
    </row>
    <row r="313" s="89" customFormat="1" ht="24" hidden="1" customHeight="1" outlineLevel="4" spans="1:95">
      <c r="A313" s="128"/>
      <c r="B313" s="129"/>
      <c r="C313" s="130"/>
      <c r="D313" s="128"/>
      <c r="E313" s="129"/>
      <c r="F313" s="129"/>
      <c r="G313" s="129"/>
      <c r="H313" s="131"/>
      <c r="I313" s="131"/>
      <c r="J313" s="131">
        <f t="shared" si="3131"/>
        <v>0</v>
      </c>
      <c r="K313" s="131">
        <f t="shared" si="3708"/>
        <v>4</v>
      </c>
      <c r="L313" s="156"/>
      <c r="M313" s="157">
        <f>IFERROR(VLOOKUP($L313,'2-2 引出数据_合同数据仓库'!$B$5:$BP$200,3,FALSE),0)</f>
        <v>0</v>
      </c>
      <c r="N313" s="131"/>
      <c r="O313" s="157">
        <f>IFERROR(VLOOKUP((LEFT(VLOOKUP($L313,'2-2 引出数据_合同数据仓库'!$B$5:$BP$200,64,FALSE),15)&amp;(RIGHT(VLOOKUP($L313,'2-2 引出数据_合同数据仓库'!$B$5:$BP$200,64,FALSE),4)+1)),'2-2 引出数据_合同数据仓库'!$B$5:$BP$200,3,FALSE),0)</f>
        <v>0</v>
      </c>
      <c r="P313" s="131"/>
      <c r="Q313" s="131">
        <f>IFERROR(VLOOKUP($L313,'2-2 引出数据_合同数据仓库'!$B$5:$BP$200,28,FALSE),0)</f>
        <v>0</v>
      </c>
      <c r="R313" s="131">
        <f>IFERROR(VLOOKUP($L313,'2-2 引出数据_合同数据仓库'!$B$5:$BP$200,29,FALSE),0)</f>
        <v>0</v>
      </c>
      <c r="S313" s="131">
        <f>IFERROR(VLOOKUP($L313,'2-2 引出数据_合同数据仓库'!$B$5:$BP$200,4,FALSE),0)</f>
        <v>0</v>
      </c>
      <c r="T313" s="131"/>
      <c r="U313" s="131">
        <f>IFERROR(VLOOKUP($L313,'2-2 引出数据_合同数据仓库'!$B$5:$BP$200,15,FALSE),0)</f>
        <v>0</v>
      </c>
      <c r="V313" s="131">
        <f t="shared" si="3637"/>
        <v>0</v>
      </c>
      <c r="W313" s="131"/>
      <c r="X313" s="163">
        <v>45658</v>
      </c>
      <c r="Y313" s="163">
        <f t="shared" si="3638"/>
        <v>45688</v>
      </c>
      <c r="Z313" s="167">
        <f t="shared" si="3639"/>
        <v>0</v>
      </c>
      <c r="AA313" s="163">
        <f t="shared" si="3640"/>
        <v>45689</v>
      </c>
      <c r="AB313" s="163">
        <f t="shared" si="3641"/>
        <v>45716</v>
      </c>
      <c r="AC313" s="167">
        <f t="shared" si="3642"/>
        <v>0</v>
      </c>
      <c r="AD313" s="163">
        <f t="shared" si="3643"/>
        <v>45717</v>
      </c>
      <c r="AE313" s="163">
        <f t="shared" si="3644"/>
        <v>45747</v>
      </c>
      <c r="AF313" s="167">
        <f t="shared" si="3645"/>
        <v>0</v>
      </c>
      <c r="AG313" s="163">
        <f t="shared" si="3646"/>
        <v>45748</v>
      </c>
      <c r="AH313" s="163">
        <f t="shared" si="3647"/>
        <v>45777</v>
      </c>
      <c r="AI313" s="167">
        <f t="shared" si="3648"/>
        <v>0</v>
      </c>
      <c r="AJ313" s="163">
        <f t="shared" si="3649"/>
        <v>45778</v>
      </c>
      <c r="AK313" s="163">
        <f t="shared" si="3650"/>
        <v>45808</v>
      </c>
      <c r="AL313" s="167">
        <f t="shared" si="3651"/>
        <v>0</v>
      </c>
      <c r="AM313" s="163">
        <f t="shared" si="3652"/>
        <v>45809</v>
      </c>
      <c r="AN313" s="163">
        <f t="shared" si="3653"/>
        <v>45838</v>
      </c>
      <c r="AO313" s="167">
        <f t="shared" si="3654"/>
        <v>0</v>
      </c>
      <c r="AP313" s="163">
        <f t="shared" si="3655"/>
        <v>45839</v>
      </c>
      <c r="AQ313" s="163">
        <f t="shared" si="3656"/>
        <v>45869</v>
      </c>
      <c r="AR313" s="167">
        <f t="shared" si="3657"/>
        <v>0</v>
      </c>
      <c r="AS313" s="163">
        <f t="shared" si="3658"/>
        <v>45870</v>
      </c>
      <c r="AT313" s="163">
        <f t="shared" si="3659"/>
        <v>45900</v>
      </c>
      <c r="AU313" s="167">
        <f t="shared" si="3660"/>
        <v>0</v>
      </c>
      <c r="AV313" s="163">
        <f t="shared" si="3661"/>
        <v>45901</v>
      </c>
      <c r="AW313" s="163">
        <f t="shared" si="3662"/>
        <v>45930</v>
      </c>
      <c r="AX313" s="167">
        <f t="shared" si="3663"/>
        <v>0</v>
      </c>
      <c r="AY313" s="163">
        <f t="shared" si="3664"/>
        <v>45931</v>
      </c>
      <c r="AZ313" s="163">
        <f t="shared" si="3665"/>
        <v>45961</v>
      </c>
      <c r="BA313" s="167">
        <f t="shared" si="3666"/>
        <v>0</v>
      </c>
      <c r="BB313" s="163">
        <f t="shared" si="3667"/>
        <v>45962</v>
      </c>
      <c r="BC313" s="163">
        <f t="shared" si="3668"/>
        <v>45991</v>
      </c>
      <c r="BD313" s="167">
        <f t="shared" si="3669"/>
        <v>0</v>
      </c>
      <c r="BE313" s="163">
        <f t="shared" si="3670"/>
        <v>45992</v>
      </c>
      <c r="BF313" s="163">
        <f t="shared" si="3671"/>
        <v>46022</v>
      </c>
      <c r="BG313" s="167">
        <f t="shared" si="3672"/>
        <v>0</v>
      </c>
      <c r="BH313" s="163">
        <v>46023</v>
      </c>
      <c r="BI313" s="163">
        <f t="shared" si="3673"/>
        <v>46053</v>
      </c>
      <c r="BJ313" s="167">
        <f t="shared" si="3674"/>
        <v>0</v>
      </c>
      <c r="BK313" s="163">
        <f t="shared" si="3675"/>
        <v>46054</v>
      </c>
      <c r="BL313" s="163">
        <f t="shared" si="3676"/>
        <v>46081</v>
      </c>
      <c r="BM313" s="167">
        <f t="shared" si="3677"/>
        <v>0</v>
      </c>
      <c r="BN313" s="163">
        <f t="shared" si="3678"/>
        <v>46082</v>
      </c>
      <c r="BO313" s="163">
        <f t="shared" si="3679"/>
        <v>46112</v>
      </c>
      <c r="BP313" s="167">
        <f t="shared" si="3680"/>
        <v>0</v>
      </c>
      <c r="BQ313" s="163">
        <f t="shared" si="3681"/>
        <v>46113</v>
      </c>
      <c r="BR313" s="163">
        <f t="shared" si="3682"/>
        <v>46142</v>
      </c>
      <c r="BS313" s="167">
        <f t="shared" si="3683"/>
        <v>0</v>
      </c>
      <c r="BT313" s="163">
        <f t="shared" si="3684"/>
        <v>46143</v>
      </c>
      <c r="BU313" s="163">
        <f t="shared" si="3685"/>
        <v>46173</v>
      </c>
      <c r="BV313" s="167">
        <f t="shared" si="3686"/>
        <v>0</v>
      </c>
      <c r="BW313" s="163">
        <f t="shared" si="3687"/>
        <v>46174</v>
      </c>
      <c r="BX313" s="163">
        <f t="shared" si="3688"/>
        <v>46203</v>
      </c>
      <c r="BY313" s="167">
        <f t="shared" si="3689"/>
        <v>0</v>
      </c>
      <c r="BZ313" s="163">
        <f t="shared" si="3690"/>
        <v>46204</v>
      </c>
      <c r="CA313" s="163">
        <f t="shared" si="3691"/>
        <v>46234</v>
      </c>
      <c r="CB313" s="167">
        <f t="shared" si="3692"/>
        <v>0</v>
      </c>
      <c r="CC313" s="163">
        <f t="shared" si="3693"/>
        <v>46235</v>
      </c>
      <c r="CD313" s="163">
        <f t="shared" si="3694"/>
        <v>46265</v>
      </c>
      <c r="CE313" s="167">
        <f t="shared" si="3695"/>
        <v>0</v>
      </c>
      <c r="CF313" s="163">
        <f t="shared" si="3696"/>
        <v>46266</v>
      </c>
      <c r="CG313" s="163">
        <f t="shared" si="3697"/>
        <v>46295</v>
      </c>
      <c r="CH313" s="167">
        <f t="shared" si="3698"/>
        <v>0</v>
      </c>
      <c r="CI313" s="163">
        <f t="shared" si="3699"/>
        <v>46296</v>
      </c>
      <c r="CJ313" s="163">
        <f t="shared" si="3700"/>
        <v>46326</v>
      </c>
      <c r="CK313" s="167">
        <f t="shared" si="3701"/>
        <v>0</v>
      </c>
      <c r="CL313" s="163">
        <f t="shared" si="3702"/>
        <v>46327</v>
      </c>
      <c r="CM313" s="163">
        <f t="shared" si="3703"/>
        <v>46356</v>
      </c>
      <c r="CN313" s="167">
        <f t="shared" si="3704"/>
        <v>0</v>
      </c>
      <c r="CO313" s="163">
        <f t="shared" si="3705"/>
        <v>46357</v>
      </c>
      <c r="CP313" s="163">
        <f t="shared" si="3706"/>
        <v>46387</v>
      </c>
      <c r="CQ313" s="167">
        <f t="shared" si="3707"/>
        <v>0</v>
      </c>
    </row>
    <row r="314" s="89" customFormat="1" ht="24" hidden="1" customHeight="1" outlineLevel="4" spans="1:95">
      <c r="A314" s="132" t="s">
        <v>2813</v>
      </c>
      <c r="B314" s="133"/>
      <c r="C314" s="133"/>
      <c r="D314" s="133"/>
      <c r="E314" s="133"/>
      <c r="F314" s="133"/>
      <c r="G314" s="134"/>
      <c r="H314" s="135"/>
      <c r="I314" s="135"/>
      <c r="J314" s="135"/>
      <c r="K314" s="135"/>
      <c r="L314" s="158"/>
      <c r="M314" s="158"/>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c r="CL314" s="135"/>
      <c r="CM314" s="135"/>
      <c r="CN314" s="135"/>
      <c r="CO314" s="135"/>
      <c r="CP314" s="135"/>
      <c r="CQ314" s="135"/>
    </row>
    <row r="315" ht="24" hidden="1" customHeight="1" outlineLevel="3" collapsed="1" spans="1:95">
      <c r="A315" s="124"/>
      <c r="B315" s="125" t="s">
        <v>792</v>
      </c>
      <c r="C315" s="126" t="s">
        <v>1255</v>
      </c>
      <c r="D315" s="124" t="s">
        <v>1256</v>
      </c>
      <c r="E315" s="125" t="s">
        <v>1257</v>
      </c>
      <c r="F315" s="125"/>
      <c r="G315" s="125" t="s">
        <v>936</v>
      </c>
      <c r="H315" s="127">
        <f>X315+AA315+AD315+AG315+AJ315+AM315+AP315+AS315+AV315+AY315+BB315+BE315</f>
        <v>0</v>
      </c>
      <c r="I315" s="127">
        <f>Y315+AB315+AE315+AH315+AK315+AN315+AQ315+AT315+AW315+AZ315+BC315+BF315</f>
        <v>0</v>
      </c>
      <c r="J315" s="127">
        <f t="shared" si="3131"/>
        <v>0</v>
      </c>
      <c r="K315" s="127"/>
      <c r="L315" s="155"/>
      <c r="M315" s="155"/>
      <c r="N315" s="127"/>
      <c r="O315" s="127"/>
      <c r="P315" s="127"/>
      <c r="Q315" s="127"/>
      <c r="R315" s="127"/>
      <c r="S315" s="127"/>
      <c r="T315" s="127"/>
      <c r="U315" s="127"/>
      <c r="V315" s="127"/>
      <c r="W315" s="127"/>
      <c r="X315" s="127">
        <f>VLOOKUP($C315,'1 预算编制表单'!$C:$BJ,27,FALSE)</f>
        <v>0</v>
      </c>
      <c r="Y315" s="127">
        <f>X315-Z315</f>
        <v>0</v>
      </c>
      <c r="Z315" s="127">
        <f>SUM(Z316:Z320)</f>
        <v>0</v>
      </c>
      <c r="AA315" s="127">
        <f>VLOOKUP($C315,'1 预算编制表单'!$C:$BJ,30,FALSE)</f>
        <v>0</v>
      </c>
      <c r="AB315" s="127">
        <f>AA315-AC315</f>
        <v>0</v>
      </c>
      <c r="AC315" s="127">
        <f>SUM(AC316:AC320)</f>
        <v>0</v>
      </c>
      <c r="AD315" s="127">
        <f>VLOOKUP($C315,'1 预算编制表单'!$C:$BJ,33,FALSE)</f>
        <v>0</v>
      </c>
      <c r="AE315" s="127">
        <f>AD315-AF315</f>
        <v>0</v>
      </c>
      <c r="AF315" s="127">
        <f>SUM(AF316:AF320)</f>
        <v>0</v>
      </c>
      <c r="AG315" s="127">
        <f>VLOOKUP($C315,'1 预算编制表单'!$C:$BJ,36,FALSE)</f>
        <v>0</v>
      </c>
      <c r="AH315" s="127">
        <f>AG315-AI315</f>
        <v>0</v>
      </c>
      <c r="AI315" s="127">
        <f>SUM(AI316:AI320)</f>
        <v>0</v>
      </c>
      <c r="AJ315" s="127">
        <f>VLOOKUP($C315,'1 预算编制表单'!$C:$BJ,39,FALSE)</f>
        <v>0</v>
      </c>
      <c r="AK315" s="127">
        <f>AJ315-AL315</f>
        <v>0</v>
      </c>
      <c r="AL315" s="127">
        <f>SUM(AL316:AL320)</f>
        <v>0</v>
      </c>
      <c r="AM315" s="127">
        <f>VLOOKUP($C315,'1 预算编制表单'!$C:$BJ,42,FALSE)</f>
        <v>0</v>
      </c>
      <c r="AN315" s="127">
        <f>AM315-AO315</f>
        <v>0</v>
      </c>
      <c r="AO315" s="127">
        <f>SUM(AO316:AO320)</f>
        <v>0</v>
      </c>
      <c r="AP315" s="127">
        <f>VLOOKUP($C315,'1 预算编制表单'!$C:$BJ,45,FALSE)</f>
        <v>0</v>
      </c>
      <c r="AQ315" s="127">
        <f>AP315-AR315</f>
        <v>0</v>
      </c>
      <c r="AR315" s="127">
        <f>SUM(AR316:AR320)</f>
        <v>0</v>
      </c>
      <c r="AS315" s="127">
        <f>VLOOKUP($C315,'1 预算编制表单'!$C:$BJ,48,FALSE)</f>
        <v>0</v>
      </c>
      <c r="AT315" s="127">
        <f>AS315-AU315</f>
        <v>0</v>
      </c>
      <c r="AU315" s="127">
        <f>SUM(AU316:AU320)</f>
        <v>0</v>
      </c>
      <c r="AV315" s="127">
        <f>VLOOKUP($C315,'1 预算编制表单'!$C:$BJ,51,FALSE)</f>
        <v>0</v>
      </c>
      <c r="AW315" s="127">
        <f>AV315-AX315</f>
        <v>0</v>
      </c>
      <c r="AX315" s="127">
        <f>SUM(AX316:AX320)</f>
        <v>0</v>
      </c>
      <c r="AY315" s="127">
        <f>VLOOKUP($C315,'1 预算编制表单'!$C:$BJ,54,FALSE)</f>
        <v>0</v>
      </c>
      <c r="AZ315" s="127">
        <f>AY315-BA315</f>
        <v>0</v>
      </c>
      <c r="BA315" s="127">
        <f>SUM(BA316:BA320)</f>
        <v>0</v>
      </c>
      <c r="BB315" s="127">
        <f>VLOOKUP($C315,'1 预算编制表单'!$C:$BJ,57,FALSE)</f>
        <v>0</v>
      </c>
      <c r="BC315" s="127">
        <f>BB315-BD315</f>
        <v>0</v>
      </c>
      <c r="BD315" s="127">
        <f>SUM(BD316:BD320)</f>
        <v>0</v>
      </c>
      <c r="BE315" s="127">
        <f>VLOOKUP($C315,'1 预算编制表单'!$C:$BJ,60,FALSE)</f>
        <v>0</v>
      </c>
      <c r="BF315" s="127">
        <f>BE315-BG315</f>
        <v>0</v>
      </c>
      <c r="BG315" s="127">
        <f>SUM(BG316:BG320)</f>
        <v>0</v>
      </c>
      <c r="BH315" s="127">
        <f>VLOOKUP($C315,'1 预算编制表单'!$C:$BJ,27,FALSE)</f>
        <v>0</v>
      </c>
      <c r="BI315" s="127">
        <f>BH315-BJ315</f>
        <v>0</v>
      </c>
      <c r="BJ315" s="127">
        <f>SUM(BJ316:BJ320)</f>
        <v>0</v>
      </c>
      <c r="BK315" s="127">
        <f>VLOOKUP($C315,'1 预算编制表单'!$C:$BJ,30,FALSE)</f>
        <v>0</v>
      </c>
      <c r="BL315" s="127">
        <f>BK315-BM315</f>
        <v>0</v>
      </c>
      <c r="BM315" s="127">
        <f>SUM(BM316:BM320)</f>
        <v>0</v>
      </c>
      <c r="BN315" s="127">
        <f>VLOOKUP($C315,'1 预算编制表单'!$C:$BJ,33,FALSE)</f>
        <v>0</v>
      </c>
      <c r="BO315" s="127">
        <f>BN315-BP315</f>
        <v>0</v>
      </c>
      <c r="BP315" s="127">
        <f>SUM(BP316:BP320)</f>
        <v>0</v>
      </c>
      <c r="BQ315" s="127">
        <f>VLOOKUP($C315,'1 预算编制表单'!$C:$BJ,36,FALSE)</f>
        <v>0</v>
      </c>
      <c r="BR315" s="127">
        <f>BQ315-BS315</f>
        <v>0</v>
      </c>
      <c r="BS315" s="127">
        <f>SUM(BS316:BS320)</f>
        <v>0</v>
      </c>
      <c r="BT315" s="127">
        <f>VLOOKUP($C315,'1 预算编制表单'!$C:$BJ,39,FALSE)</f>
        <v>0</v>
      </c>
      <c r="BU315" s="127">
        <f>BT315-BV315</f>
        <v>0</v>
      </c>
      <c r="BV315" s="127">
        <f>SUM(BV316:BV320)</f>
        <v>0</v>
      </c>
      <c r="BW315" s="127">
        <f>VLOOKUP($C315,'1 预算编制表单'!$C:$BJ,42,FALSE)</f>
        <v>0</v>
      </c>
      <c r="BX315" s="127">
        <f>BW315-BY315</f>
        <v>0</v>
      </c>
      <c r="BY315" s="127">
        <f>SUM(BY316:BY320)</f>
        <v>0</v>
      </c>
      <c r="BZ315" s="127">
        <f>VLOOKUP($C315,'1 预算编制表单'!$C:$BJ,45,FALSE)</f>
        <v>0</v>
      </c>
      <c r="CA315" s="127">
        <f>BZ315-CB315</f>
        <v>0</v>
      </c>
      <c r="CB315" s="127">
        <f>SUM(CB316:CB320)</f>
        <v>0</v>
      </c>
      <c r="CC315" s="127">
        <f>VLOOKUP($C315,'1 预算编制表单'!$C:$BJ,48,FALSE)</f>
        <v>0</v>
      </c>
      <c r="CD315" s="127">
        <f>CC315-CE315</f>
        <v>0</v>
      </c>
      <c r="CE315" s="127">
        <f>SUM(CE316:CE320)</f>
        <v>0</v>
      </c>
      <c r="CF315" s="127">
        <f>VLOOKUP($C315,'1 预算编制表单'!$C:$BJ,51,FALSE)</f>
        <v>0</v>
      </c>
      <c r="CG315" s="127">
        <f>CF315-CH315</f>
        <v>0</v>
      </c>
      <c r="CH315" s="127">
        <f>SUM(CH316:CH320)</f>
        <v>0</v>
      </c>
      <c r="CI315" s="127">
        <f>VLOOKUP($C315,'1 预算编制表单'!$C:$BJ,54,FALSE)</f>
        <v>0</v>
      </c>
      <c r="CJ315" s="127">
        <f>CI315-CK315</f>
        <v>0</v>
      </c>
      <c r="CK315" s="127">
        <f>SUM(CK316:CK320)</f>
        <v>0</v>
      </c>
      <c r="CL315" s="127">
        <f>VLOOKUP($C315,'1 预算编制表单'!$C:$BJ,57,FALSE)</f>
        <v>0</v>
      </c>
      <c r="CM315" s="127">
        <f>CL315-CN315</f>
        <v>0</v>
      </c>
      <c r="CN315" s="127">
        <f>SUM(CN316:CN320)</f>
        <v>0</v>
      </c>
      <c r="CO315" s="127">
        <f>VLOOKUP($C315,'1 预算编制表单'!$C:$BJ,60,FALSE)</f>
        <v>0</v>
      </c>
      <c r="CP315" s="127">
        <f>CO315-CQ315</f>
        <v>0</v>
      </c>
      <c r="CQ315" s="127">
        <f>SUM(CQ316:CQ320)</f>
        <v>0</v>
      </c>
    </row>
    <row r="316" s="89" customFormat="1" ht="24" hidden="1" customHeight="1" outlineLevel="4" spans="1:95">
      <c r="A316" s="128"/>
      <c r="B316" s="129"/>
      <c r="C316" s="130"/>
      <c r="D316" s="128"/>
      <c r="E316" s="129"/>
      <c r="F316" s="129"/>
      <c r="G316" s="129"/>
      <c r="H316" s="131"/>
      <c r="I316" s="131"/>
      <c r="J316" s="131">
        <f t="shared" si="3131"/>
        <v>0</v>
      </c>
      <c r="K316" s="131">
        <v>1</v>
      </c>
      <c r="L316" s="156"/>
      <c r="M316" s="157">
        <f>IFERROR(VLOOKUP($L316,'2-2 引出数据_合同数据仓库'!$B$5:$BP$200,3,FALSE),0)</f>
        <v>0</v>
      </c>
      <c r="N316" s="131"/>
      <c r="O316" s="157">
        <f>IFERROR(VLOOKUP((LEFT(VLOOKUP($L316,'2-2 引出数据_合同数据仓库'!$B$5:$BP$200,64,FALSE),15)&amp;(RIGHT(VLOOKUP($L316,'2-2 引出数据_合同数据仓库'!$B$5:$BP$200,64,FALSE),4)+1)),'2-2 引出数据_合同数据仓库'!$B$5:$BP$200,3,FALSE),0)</f>
        <v>0</v>
      </c>
      <c r="P316" s="131"/>
      <c r="Q316" s="131">
        <f>IFERROR(VLOOKUP($L316,'2-2 引出数据_合同数据仓库'!$B$5:$BP$200,28,FALSE),0)</f>
        <v>0</v>
      </c>
      <c r="R316" s="131">
        <f>IFERROR(VLOOKUP($L316,'2-2 引出数据_合同数据仓库'!$B$5:$BP$200,29,FALSE),0)</f>
        <v>0</v>
      </c>
      <c r="S316" s="131">
        <f>IFERROR(VLOOKUP($L316,'2-2 引出数据_合同数据仓库'!$B$5:$BP$200,4,FALSE),0)</f>
        <v>0</v>
      </c>
      <c r="T316" s="131"/>
      <c r="U316" s="131">
        <f>IFERROR(VLOOKUP($L316,'2-2 引出数据_合同数据仓库'!$B$5:$BP$200,15,FALSE),0)</f>
        <v>0</v>
      </c>
      <c r="V316" s="131">
        <f t="shared" ref="V316:V319" si="3709">U316/(S316-R316+1)*365</f>
        <v>0</v>
      </c>
      <c r="W316" s="131"/>
      <c r="X316" s="163">
        <v>45658</v>
      </c>
      <c r="Y316" s="163">
        <f t="shared" ref="Y316:Y319" si="3710">X316+30</f>
        <v>45688</v>
      </c>
      <c r="Z316" s="167">
        <f t="shared" ref="Z316:Z319" si="3711">IFERROR(IF(($R316-Y316)&gt;=0,0,IF(($S316-X316)&lt;0,0,IF(AND(($S316-Y316)&gt;0,(X316-$R316)&gt;0),$V316/365*(Y316-X316+1),IF(AND(($S316-Y316)&lt;=0,(X316-$R316)&gt;0),$V316/365*($S316-X316+1),$V316/365*(Y316-$R316+1))))),0)</f>
        <v>0</v>
      </c>
      <c r="AA316" s="163">
        <f t="shared" ref="AA316:AA319" si="3712">Y316+1</f>
        <v>45689</v>
      </c>
      <c r="AB316" s="163">
        <f t="shared" ref="AB316:AB319" si="3713">AA316+27</f>
        <v>45716</v>
      </c>
      <c r="AC316" s="167">
        <f t="shared" ref="AC316:AC319" si="3714">IFERROR(IF(($R316-AB316)&gt;=0,0,IF(($S316-AA316)&lt;0,0,IF(AND(($S316-AB316)&gt;0,(AA316-$R316)&gt;0),$V316/365*(AB316-AA316+1),IF(AND(($S316-AB316)&lt;=0,(AA316-$R316)&gt;0),$V316/365*($S316-AA316+1),$V316/365*(AB316-$R316+1))))),0)</f>
        <v>0</v>
      </c>
      <c r="AD316" s="163">
        <f t="shared" ref="AD316:AD319" si="3715">AB316+1</f>
        <v>45717</v>
      </c>
      <c r="AE316" s="163">
        <f t="shared" ref="AE316:AE319" si="3716">AD316+30</f>
        <v>45747</v>
      </c>
      <c r="AF316" s="167">
        <f t="shared" ref="AF316:AF319" si="3717">IFERROR(IF(($R316-AE316)&gt;=0,0,IF(($S316-AD316)&lt;0,0,IF(AND(($S316-AE316)&gt;0,(AD316-$R316)&gt;0),$V316/365*(AE316-AD316+1),IF(AND(($S316-AE316)&lt;=0,(AD316-$R316)&gt;0),$V316/365*($S316-AD316+1),$V316/365*(AE316-$R316+1))))),0)</f>
        <v>0</v>
      </c>
      <c r="AG316" s="163">
        <f t="shared" ref="AG316:AG319" si="3718">AE316+1</f>
        <v>45748</v>
      </c>
      <c r="AH316" s="163">
        <f t="shared" ref="AH316:AH319" si="3719">AG316+29</f>
        <v>45777</v>
      </c>
      <c r="AI316" s="167">
        <f t="shared" ref="AI316:AI319" si="3720">IFERROR(IF(($R316-AH316)&gt;=0,0,IF(($S316-AG316)&lt;0,0,IF(AND(($S316-AH316)&gt;0,(AG316-$R316)&gt;0),$V316/365*(AH316-AG316+1),IF(AND(($S316-AH316)&lt;=0,(AG316-$R316)&gt;0),$V316/365*($S316-AG316+1),$V316/365*(AH316-$R316+1))))),0)</f>
        <v>0</v>
      </c>
      <c r="AJ316" s="163">
        <f t="shared" ref="AJ316:AJ319" si="3721">AH316+1</f>
        <v>45778</v>
      </c>
      <c r="AK316" s="163">
        <f t="shared" ref="AK316:AK319" si="3722">AJ316+30</f>
        <v>45808</v>
      </c>
      <c r="AL316" s="167">
        <f t="shared" ref="AL316:AL319" si="3723">IFERROR(IF(($R316-AK316)&gt;=0,0,IF(($S316-AJ316)&lt;0,0,IF(AND(($S316-AK316)&gt;0,(AJ316-$R316)&gt;0),$V316/365*(AK316-AJ316+1),IF(AND(($S316-AK316)&lt;=0,(AJ316-$R316)&gt;0),$V316/365*($S316-AJ316+1),$V316/365*(AK316-$R316+1))))),0)</f>
        <v>0</v>
      </c>
      <c r="AM316" s="163">
        <f t="shared" ref="AM316:AM319" si="3724">AK316+1</f>
        <v>45809</v>
      </c>
      <c r="AN316" s="163">
        <f t="shared" ref="AN316:AN319" si="3725">AM316+29</f>
        <v>45838</v>
      </c>
      <c r="AO316" s="167">
        <f t="shared" ref="AO316:AO319" si="3726">IFERROR(IF(($R316-AN316)&gt;=0,0,IF(($S316-AM316)&lt;0,0,IF(AND(($S316-AN316)&gt;0,(AM316-$R316)&gt;0),$V316/365*(AN316-AM316+1),IF(AND(($S316-AN316)&lt;=0,(AM316-$R316)&gt;0),$V316/365*($S316-AM316+1),$V316/365*(AN316-$R316+1))))),0)</f>
        <v>0</v>
      </c>
      <c r="AP316" s="163">
        <f t="shared" ref="AP316:AP319" si="3727">AN316+1</f>
        <v>45839</v>
      </c>
      <c r="AQ316" s="163">
        <f t="shared" ref="AQ316:AQ319" si="3728">AP316+30</f>
        <v>45869</v>
      </c>
      <c r="AR316" s="167">
        <f t="shared" ref="AR316:AR319" si="3729">IFERROR(IF(($R316-AQ316)&gt;=0,0,IF(($S316-AP316)&lt;0,0,IF(AND(($S316-AQ316)&gt;0,(AP316-$R316)&gt;0),$V316/365*(AQ316-AP316+1),IF(AND(($S316-AQ316)&lt;=0,(AP316-$R316)&gt;0),$V316/365*($S316-AP316+1),$V316/365*(AQ316-$R316+1))))),0)</f>
        <v>0</v>
      </c>
      <c r="AS316" s="163">
        <f t="shared" ref="AS316:AS319" si="3730">AQ316+1</f>
        <v>45870</v>
      </c>
      <c r="AT316" s="163">
        <f t="shared" ref="AT316:AT319" si="3731">AS316+30</f>
        <v>45900</v>
      </c>
      <c r="AU316" s="167">
        <f t="shared" ref="AU316:AU319" si="3732">IFERROR(IF(($R316-AT316)&gt;=0,0,IF(($S316-AS316)&lt;0,0,IF(AND(($S316-AT316)&gt;0,(AS316-$R316)&gt;0),$V316/365*(AT316-AS316+1),IF(AND(($S316-AT316)&lt;=0,(AS316-$R316)&gt;0),$V316/365*($S316-AS316+1),$V316/365*(AT316-$R316+1))))),0)</f>
        <v>0</v>
      </c>
      <c r="AV316" s="163">
        <f t="shared" ref="AV316:AV319" si="3733">AT316+1</f>
        <v>45901</v>
      </c>
      <c r="AW316" s="163">
        <f t="shared" ref="AW316:AW319" si="3734">AV316+29</f>
        <v>45930</v>
      </c>
      <c r="AX316" s="167">
        <f t="shared" ref="AX316:AX319" si="3735">IFERROR(IF(($R316-AW316)&gt;=0,0,IF(($S316-AV316)&lt;0,0,IF(AND(($S316-AW316)&gt;0,(AV316-$R316)&gt;0),$V316/365*(AW316-AV316+1),IF(AND(($S316-AW316)&lt;=0,(AV316-$R316)&gt;0),$V316/365*($S316-AV316+1),$V316/365*(AW316-$R316+1))))),0)</f>
        <v>0</v>
      </c>
      <c r="AY316" s="163">
        <f t="shared" ref="AY316:AY319" si="3736">AW316+1</f>
        <v>45931</v>
      </c>
      <c r="AZ316" s="163">
        <f t="shared" ref="AZ316:AZ319" si="3737">AY316+30</f>
        <v>45961</v>
      </c>
      <c r="BA316" s="167">
        <f t="shared" ref="BA316:BA319" si="3738">IFERROR(IF(($R316-AZ316)&gt;=0,0,IF(($S316-AY316)&lt;0,0,IF(AND(($S316-AZ316)&gt;0,(AY316-$R316)&gt;0),$V316/365*(AZ316-AY316+1),IF(AND(($S316-AZ316)&lt;=0,(AY316-$R316)&gt;0),$V316/365*($S316-AY316+1),$V316/365*(AZ316-$R316+1))))),0)</f>
        <v>0</v>
      </c>
      <c r="BB316" s="163">
        <f t="shared" ref="BB316:BB319" si="3739">AZ316+1</f>
        <v>45962</v>
      </c>
      <c r="BC316" s="163">
        <f t="shared" ref="BC316:BC319" si="3740">BB316+29</f>
        <v>45991</v>
      </c>
      <c r="BD316" s="167">
        <f t="shared" ref="BD316:BD319" si="3741">IFERROR(IF(($R316-BC316)&gt;=0,0,IF(($S316-BB316)&lt;0,0,IF(AND(($S316-BC316)&gt;0,(BB316-$R316)&gt;0),$V316/365*(BC316-BB316+1),IF(AND(($S316-BC316)&lt;=0,(BB316-$R316)&gt;0),$V316/365*($S316-BB316+1),$V316/365*(BC316-$R316+1))))),0)</f>
        <v>0</v>
      </c>
      <c r="BE316" s="163">
        <f t="shared" ref="BE316:BE319" si="3742">BC316+1</f>
        <v>45992</v>
      </c>
      <c r="BF316" s="163">
        <f t="shared" ref="BF316:BF319" si="3743">BE316+30</f>
        <v>46022</v>
      </c>
      <c r="BG316" s="167">
        <f t="shared" ref="BG316:BG319" si="3744">IFERROR(IF(($R316-BF316)&gt;=0,0,IF(($S316-BE316)&lt;0,0,IF(AND(($S316-BF316)&gt;0,(BE316-$R316)&gt;0),$V316/365*(BF316-BE316+1),IF(AND(($S316-BF316)&lt;=0,(BE316-$R316)&gt;0),$V316/365*($S316-BE316+1),$V316/365*(BF316-$R316+1))))),0)</f>
        <v>0</v>
      </c>
      <c r="BH316" s="163">
        <v>46023</v>
      </c>
      <c r="BI316" s="163">
        <f t="shared" ref="BI316:BI319" si="3745">BH316+30</f>
        <v>46053</v>
      </c>
      <c r="BJ316" s="167">
        <f t="shared" ref="BJ316:BJ319" si="3746">IFERROR(IF(($R316-BI316)&gt;=0,0,IF(($S316-BH316)&lt;0,0,IF(AND(($S316-BI316)&gt;0,(BH316-$R316)&gt;0),$V316/365*(BI316-BH316+1),IF(AND(($S316-BI316)&lt;=0,(BH316-$R316)&gt;0),$V316/365*($S316-BH316+1),$V316/365*(BI316-$R316+1))))),0)</f>
        <v>0</v>
      </c>
      <c r="BK316" s="163">
        <f t="shared" ref="BK316:BK319" si="3747">BI316+1</f>
        <v>46054</v>
      </c>
      <c r="BL316" s="163">
        <f t="shared" ref="BL316:BL319" si="3748">BK316+27</f>
        <v>46081</v>
      </c>
      <c r="BM316" s="167">
        <f t="shared" ref="BM316:BM319" si="3749">IFERROR(IF(($R316-BL316)&gt;=0,0,IF(($S316-BK316)&lt;0,0,IF(AND(($S316-BL316)&gt;0,(BK316-$R316)&gt;0),$V316/365*(BL316-BK316+1),IF(AND(($S316-BL316)&lt;=0,(BK316-$R316)&gt;0),$V316/365*($S316-BK316+1),$V316/365*(BL316-$R316+1))))),0)</f>
        <v>0</v>
      </c>
      <c r="BN316" s="163">
        <f t="shared" ref="BN316:BN319" si="3750">BL316+1</f>
        <v>46082</v>
      </c>
      <c r="BO316" s="163">
        <f t="shared" ref="BO316:BO319" si="3751">BN316+30</f>
        <v>46112</v>
      </c>
      <c r="BP316" s="167">
        <f t="shared" ref="BP316:BP319" si="3752">IFERROR(IF(($R316-BO316)&gt;=0,0,IF(($S316-BN316)&lt;0,0,IF(AND(($S316-BO316)&gt;0,(BN316-$R316)&gt;0),$V316/365*(BO316-BN316+1),IF(AND(($S316-BO316)&lt;=0,(BN316-$R316)&gt;0),$V316/365*($S316-BN316+1),$V316/365*(BO316-$R316+1))))),0)</f>
        <v>0</v>
      </c>
      <c r="BQ316" s="163">
        <f t="shared" ref="BQ316:BQ319" si="3753">BO316+1</f>
        <v>46113</v>
      </c>
      <c r="BR316" s="163">
        <f t="shared" ref="BR316:BR319" si="3754">BQ316+29</f>
        <v>46142</v>
      </c>
      <c r="BS316" s="167">
        <f t="shared" ref="BS316:BS319" si="3755">IFERROR(IF(($R316-BR316)&gt;=0,0,IF(($S316-BQ316)&lt;0,0,IF(AND(($S316-BR316)&gt;0,(BQ316-$R316)&gt;0),$V316/365*(BR316-BQ316+1),IF(AND(($S316-BR316)&lt;=0,(BQ316-$R316)&gt;0),$V316/365*($S316-BQ316+1),$V316/365*(BR316-$R316+1))))),0)</f>
        <v>0</v>
      </c>
      <c r="BT316" s="163">
        <f t="shared" ref="BT316:BT319" si="3756">BR316+1</f>
        <v>46143</v>
      </c>
      <c r="BU316" s="163">
        <f t="shared" ref="BU316:BU319" si="3757">BT316+30</f>
        <v>46173</v>
      </c>
      <c r="BV316" s="167">
        <f t="shared" ref="BV316:BV319" si="3758">IFERROR(IF(($R316-BU316)&gt;=0,0,IF(($S316-BT316)&lt;0,0,IF(AND(($S316-BU316)&gt;0,(BT316-$R316)&gt;0),$V316/365*(BU316-BT316+1),IF(AND(($S316-BU316)&lt;=0,(BT316-$R316)&gt;0),$V316/365*($S316-BT316+1),$V316/365*(BU316-$R316+1))))),0)</f>
        <v>0</v>
      </c>
      <c r="BW316" s="163">
        <f t="shared" ref="BW316:BW319" si="3759">BU316+1</f>
        <v>46174</v>
      </c>
      <c r="BX316" s="163">
        <f t="shared" ref="BX316:BX319" si="3760">BW316+29</f>
        <v>46203</v>
      </c>
      <c r="BY316" s="167">
        <f t="shared" ref="BY316:BY319" si="3761">IFERROR(IF(($R316-BX316)&gt;=0,0,IF(($S316-BW316)&lt;0,0,IF(AND(($S316-BX316)&gt;0,(BW316-$R316)&gt;0),$V316/365*(BX316-BW316+1),IF(AND(($S316-BX316)&lt;=0,(BW316-$R316)&gt;0),$V316/365*($S316-BW316+1),$V316/365*(BX316-$R316+1))))),0)</f>
        <v>0</v>
      </c>
      <c r="BZ316" s="163">
        <f t="shared" ref="BZ316:BZ319" si="3762">BX316+1</f>
        <v>46204</v>
      </c>
      <c r="CA316" s="163">
        <f t="shared" ref="CA316:CA319" si="3763">BZ316+30</f>
        <v>46234</v>
      </c>
      <c r="CB316" s="167">
        <f t="shared" ref="CB316:CB319" si="3764">IFERROR(IF(($R316-CA316)&gt;=0,0,IF(($S316-BZ316)&lt;0,0,IF(AND(($S316-CA316)&gt;0,(BZ316-$R316)&gt;0),$V316/365*(CA316-BZ316+1),IF(AND(($S316-CA316)&lt;=0,(BZ316-$R316)&gt;0),$V316/365*($S316-BZ316+1),$V316/365*(CA316-$R316+1))))),0)</f>
        <v>0</v>
      </c>
      <c r="CC316" s="163">
        <f t="shared" ref="CC316:CC319" si="3765">CA316+1</f>
        <v>46235</v>
      </c>
      <c r="CD316" s="163">
        <f t="shared" ref="CD316:CD319" si="3766">CC316+30</f>
        <v>46265</v>
      </c>
      <c r="CE316" s="167">
        <f t="shared" ref="CE316:CE319" si="3767">IFERROR(IF(($R316-CD316)&gt;=0,0,IF(($S316-CC316)&lt;0,0,IF(AND(($S316-CD316)&gt;0,(CC316-$R316)&gt;0),$V316/365*(CD316-CC316+1),IF(AND(($S316-CD316)&lt;=0,(CC316-$R316)&gt;0),$V316/365*($S316-CC316+1),$V316/365*(CD316-$R316+1))))),0)</f>
        <v>0</v>
      </c>
      <c r="CF316" s="163">
        <f t="shared" ref="CF316:CF319" si="3768">CD316+1</f>
        <v>46266</v>
      </c>
      <c r="CG316" s="163">
        <f t="shared" ref="CG316:CG319" si="3769">CF316+29</f>
        <v>46295</v>
      </c>
      <c r="CH316" s="167">
        <f t="shared" ref="CH316:CH319" si="3770">IFERROR(IF(($R316-CG316)&gt;=0,0,IF(($S316-CF316)&lt;0,0,IF(AND(($S316-CG316)&gt;0,(CF316-$R316)&gt;0),$V316/365*(CG316-CF316+1),IF(AND(($S316-CG316)&lt;=0,(CF316-$R316)&gt;0),$V316/365*($S316-CF316+1),$V316/365*(CG316-$R316+1))))),0)</f>
        <v>0</v>
      </c>
      <c r="CI316" s="163">
        <f t="shared" ref="CI316:CI319" si="3771">CG316+1</f>
        <v>46296</v>
      </c>
      <c r="CJ316" s="163">
        <f t="shared" ref="CJ316:CJ319" si="3772">CI316+30</f>
        <v>46326</v>
      </c>
      <c r="CK316" s="167">
        <f t="shared" ref="CK316:CK319" si="3773">IFERROR(IF(($R316-CJ316)&gt;=0,0,IF(($S316-CI316)&lt;0,0,IF(AND(($S316-CJ316)&gt;0,(CI316-$R316)&gt;0),$V316/365*(CJ316-CI316+1),IF(AND(($S316-CJ316)&lt;=0,(CI316-$R316)&gt;0),$V316/365*($S316-CI316+1),$V316/365*(CJ316-$R316+1))))),0)</f>
        <v>0</v>
      </c>
      <c r="CL316" s="163">
        <f t="shared" ref="CL316:CL319" si="3774">CJ316+1</f>
        <v>46327</v>
      </c>
      <c r="CM316" s="163">
        <f t="shared" ref="CM316:CM319" si="3775">CL316+29</f>
        <v>46356</v>
      </c>
      <c r="CN316" s="167">
        <f t="shared" ref="CN316:CN319" si="3776">IFERROR(IF(($R316-CM316)&gt;=0,0,IF(($S316-CL316)&lt;0,0,IF(AND(($S316-CM316)&gt;0,(CL316-$R316)&gt;0),$V316/365*(CM316-CL316+1),IF(AND(($S316-CM316)&lt;=0,(CL316-$R316)&gt;0),$V316/365*($S316-CL316+1),$V316/365*(CM316-$R316+1))))),0)</f>
        <v>0</v>
      </c>
      <c r="CO316" s="163">
        <f t="shared" ref="CO316:CO319" si="3777">CM316+1</f>
        <v>46357</v>
      </c>
      <c r="CP316" s="163">
        <f t="shared" ref="CP316:CP319" si="3778">CO316+30</f>
        <v>46387</v>
      </c>
      <c r="CQ316" s="167">
        <f t="shared" ref="CQ316:CQ319" si="3779">IFERROR(IF(($R316-CP316)&gt;=0,0,IF(($S316-CO316)&lt;0,0,IF(AND(($S316-CP316)&gt;0,(CO316-$R316)&gt;0),$V316/365*(CP316-CO316+1),IF(AND(($S316-CP316)&lt;=0,(CO316-$R316)&gt;0),$V316/365*($S316-CO316+1),$V316/365*(CP316-$R316+1))))),0)</f>
        <v>0</v>
      </c>
    </row>
    <row r="317" s="89" customFormat="1" ht="24" hidden="1" customHeight="1" outlineLevel="4" spans="1:95">
      <c r="A317" s="128"/>
      <c r="B317" s="129"/>
      <c r="C317" s="130"/>
      <c r="D317" s="128"/>
      <c r="E317" s="129"/>
      <c r="F317" s="129"/>
      <c r="G317" s="129"/>
      <c r="H317" s="131"/>
      <c r="I317" s="131"/>
      <c r="J317" s="131">
        <f t="shared" si="3131"/>
        <v>0</v>
      </c>
      <c r="K317" s="131">
        <f t="shared" ref="K317:K319" si="3780">K316+1</f>
        <v>2</v>
      </c>
      <c r="L317" s="156"/>
      <c r="M317" s="157">
        <f>IFERROR(VLOOKUP($L317,'2-2 引出数据_合同数据仓库'!$B$5:$BP$200,3,FALSE),0)</f>
        <v>0</v>
      </c>
      <c r="N317" s="131"/>
      <c r="O317" s="157">
        <f>IFERROR(VLOOKUP((LEFT(VLOOKUP($L317,'2-2 引出数据_合同数据仓库'!$B$5:$BP$200,64,FALSE),15)&amp;(RIGHT(VLOOKUP($L317,'2-2 引出数据_合同数据仓库'!$B$5:$BP$200,64,FALSE),4)+1)),'2-2 引出数据_合同数据仓库'!$B$5:$BP$200,3,FALSE),0)</f>
        <v>0</v>
      </c>
      <c r="P317" s="131"/>
      <c r="Q317" s="131">
        <f>IFERROR(VLOOKUP($L317,'2-2 引出数据_合同数据仓库'!$B$5:$BP$200,28,FALSE),0)</f>
        <v>0</v>
      </c>
      <c r="R317" s="131">
        <f>IFERROR(VLOOKUP($L317,'2-2 引出数据_合同数据仓库'!$B$5:$BP$200,29,FALSE),0)</f>
        <v>0</v>
      </c>
      <c r="S317" s="131">
        <f>IFERROR(VLOOKUP($L317,'2-2 引出数据_合同数据仓库'!$B$5:$BP$200,4,FALSE),0)</f>
        <v>0</v>
      </c>
      <c r="T317" s="131"/>
      <c r="U317" s="131">
        <f>IFERROR(VLOOKUP($L317,'2-2 引出数据_合同数据仓库'!$B$5:$BP$200,15,FALSE),0)</f>
        <v>0</v>
      </c>
      <c r="V317" s="131">
        <f t="shared" si="3709"/>
        <v>0</v>
      </c>
      <c r="W317" s="131"/>
      <c r="X317" s="163">
        <v>45658</v>
      </c>
      <c r="Y317" s="163">
        <f t="shared" si="3710"/>
        <v>45688</v>
      </c>
      <c r="Z317" s="167">
        <f t="shared" si="3711"/>
        <v>0</v>
      </c>
      <c r="AA317" s="163">
        <f t="shared" si="3712"/>
        <v>45689</v>
      </c>
      <c r="AB317" s="163">
        <f t="shared" si="3713"/>
        <v>45716</v>
      </c>
      <c r="AC317" s="167">
        <f t="shared" si="3714"/>
        <v>0</v>
      </c>
      <c r="AD317" s="163">
        <f t="shared" si="3715"/>
        <v>45717</v>
      </c>
      <c r="AE317" s="163">
        <f t="shared" si="3716"/>
        <v>45747</v>
      </c>
      <c r="AF317" s="167">
        <f t="shared" si="3717"/>
        <v>0</v>
      </c>
      <c r="AG317" s="163">
        <f t="shared" si="3718"/>
        <v>45748</v>
      </c>
      <c r="AH317" s="163">
        <f t="shared" si="3719"/>
        <v>45777</v>
      </c>
      <c r="AI317" s="167">
        <f t="shared" si="3720"/>
        <v>0</v>
      </c>
      <c r="AJ317" s="163">
        <f t="shared" si="3721"/>
        <v>45778</v>
      </c>
      <c r="AK317" s="163">
        <f t="shared" si="3722"/>
        <v>45808</v>
      </c>
      <c r="AL317" s="167">
        <f t="shared" si="3723"/>
        <v>0</v>
      </c>
      <c r="AM317" s="163">
        <f t="shared" si="3724"/>
        <v>45809</v>
      </c>
      <c r="AN317" s="163">
        <f t="shared" si="3725"/>
        <v>45838</v>
      </c>
      <c r="AO317" s="167">
        <f t="shared" si="3726"/>
        <v>0</v>
      </c>
      <c r="AP317" s="163">
        <f t="shared" si="3727"/>
        <v>45839</v>
      </c>
      <c r="AQ317" s="163">
        <f t="shared" si="3728"/>
        <v>45869</v>
      </c>
      <c r="AR317" s="167">
        <f t="shared" si="3729"/>
        <v>0</v>
      </c>
      <c r="AS317" s="163">
        <f t="shared" si="3730"/>
        <v>45870</v>
      </c>
      <c r="AT317" s="163">
        <f t="shared" si="3731"/>
        <v>45900</v>
      </c>
      <c r="AU317" s="167">
        <f t="shared" si="3732"/>
        <v>0</v>
      </c>
      <c r="AV317" s="163">
        <f t="shared" si="3733"/>
        <v>45901</v>
      </c>
      <c r="AW317" s="163">
        <f t="shared" si="3734"/>
        <v>45930</v>
      </c>
      <c r="AX317" s="167">
        <f t="shared" si="3735"/>
        <v>0</v>
      </c>
      <c r="AY317" s="163">
        <f t="shared" si="3736"/>
        <v>45931</v>
      </c>
      <c r="AZ317" s="163">
        <f t="shared" si="3737"/>
        <v>45961</v>
      </c>
      <c r="BA317" s="167">
        <f t="shared" si="3738"/>
        <v>0</v>
      </c>
      <c r="BB317" s="163">
        <f t="shared" si="3739"/>
        <v>45962</v>
      </c>
      <c r="BC317" s="163">
        <f t="shared" si="3740"/>
        <v>45991</v>
      </c>
      <c r="BD317" s="167">
        <f t="shared" si="3741"/>
        <v>0</v>
      </c>
      <c r="BE317" s="163">
        <f t="shared" si="3742"/>
        <v>45992</v>
      </c>
      <c r="BF317" s="163">
        <f t="shared" si="3743"/>
        <v>46022</v>
      </c>
      <c r="BG317" s="167">
        <f t="shared" si="3744"/>
        <v>0</v>
      </c>
      <c r="BH317" s="163">
        <v>46023</v>
      </c>
      <c r="BI317" s="163">
        <f t="shared" si="3745"/>
        <v>46053</v>
      </c>
      <c r="BJ317" s="167">
        <f t="shared" si="3746"/>
        <v>0</v>
      </c>
      <c r="BK317" s="163">
        <f t="shared" si="3747"/>
        <v>46054</v>
      </c>
      <c r="BL317" s="163">
        <f t="shared" si="3748"/>
        <v>46081</v>
      </c>
      <c r="BM317" s="167">
        <f t="shared" si="3749"/>
        <v>0</v>
      </c>
      <c r="BN317" s="163">
        <f t="shared" si="3750"/>
        <v>46082</v>
      </c>
      <c r="BO317" s="163">
        <f t="shared" si="3751"/>
        <v>46112</v>
      </c>
      <c r="BP317" s="167">
        <f t="shared" si="3752"/>
        <v>0</v>
      </c>
      <c r="BQ317" s="163">
        <f t="shared" si="3753"/>
        <v>46113</v>
      </c>
      <c r="BR317" s="163">
        <f t="shared" si="3754"/>
        <v>46142</v>
      </c>
      <c r="BS317" s="167">
        <f t="shared" si="3755"/>
        <v>0</v>
      </c>
      <c r="BT317" s="163">
        <f t="shared" si="3756"/>
        <v>46143</v>
      </c>
      <c r="BU317" s="163">
        <f t="shared" si="3757"/>
        <v>46173</v>
      </c>
      <c r="BV317" s="167">
        <f t="shared" si="3758"/>
        <v>0</v>
      </c>
      <c r="BW317" s="163">
        <f t="shared" si="3759"/>
        <v>46174</v>
      </c>
      <c r="BX317" s="163">
        <f t="shared" si="3760"/>
        <v>46203</v>
      </c>
      <c r="BY317" s="167">
        <f t="shared" si="3761"/>
        <v>0</v>
      </c>
      <c r="BZ317" s="163">
        <f t="shared" si="3762"/>
        <v>46204</v>
      </c>
      <c r="CA317" s="163">
        <f t="shared" si="3763"/>
        <v>46234</v>
      </c>
      <c r="CB317" s="167">
        <f t="shared" si="3764"/>
        <v>0</v>
      </c>
      <c r="CC317" s="163">
        <f t="shared" si="3765"/>
        <v>46235</v>
      </c>
      <c r="CD317" s="163">
        <f t="shared" si="3766"/>
        <v>46265</v>
      </c>
      <c r="CE317" s="167">
        <f t="shared" si="3767"/>
        <v>0</v>
      </c>
      <c r="CF317" s="163">
        <f t="shared" si="3768"/>
        <v>46266</v>
      </c>
      <c r="CG317" s="163">
        <f t="shared" si="3769"/>
        <v>46295</v>
      </c>
      <c r="CH317" s="167">
        <f t="shared" si="3770"/>
        <v>0</v>
      </c>
      <c r="CI317" s="163">
        <f t="shared" si="3771"/>
        <v>46296</v>
      </c>
      <c r="CJ317" s="163">
        <f t="shared" si="3772"/>
        <v>46326</v>
      </c>
      <c r="CK317" s="167">
        <f t="shared" si="3773"/>
        <v>0</v>
      </c>
      <c r="CL317" s="163">
        <f t="shared" si="3774"/>
        <v>46327</v>
      </c>
      <c r="CM317" s="163">
        <f t="shared" si="3775"/>
        <v>46356</v>
      </c>
      <c r="CN317" s="167">
        <f t="shared" si="3776"/>
        <v>0</v>
      </c>
      <c r="CO317" s="163">
        <f t="shared" si="3777"/>
        <v>46357</v>
      </c>
      <c r="CP317" s="163">
        <f t="shared" si="3778"/>
        <v>46387</v>
      </c>
      <c r="CQ317" s="167">
        <f t="shared" si="3779"/>
        <v>0</v>
      </c>
    </row>
    <row r="318" s="89" customFormat="1" ht="24" hidden="1" customHeight="1" outlineLevel="4" spans="1:95">
      <c r="A318" s="128"/>
      <c r="B318" s="129"/>
      <c r="C318" s="130"/>
      <c r="D318" s="128"/>
      <c r="E318" s="129"/>
      <c r="F318" s="129"/>
      <c r="G318" s="129"/>
      <c r="H318" s="131"/>
      <c r="I318" s="131"/>
      <c r="J318" s="131">
        <f t="shared" si="3131"/>
        <v>0</v>
      </c>
      <c r="K318" s="131">
        <f t="shared" si="3780"/>
        <v>3</v>
      </c>
      <c r="L318" s="156"/>
      <c r="M318" s="157">
        <f>IFERROR(VLOOKUP($L318,'2-2 引出数据_合同数据仓库'!$B$5:$BP$200,3,FALSE),0)</f>
        <v>0</v>
      </c>
      <c r="N318" s="131"/>
      <c r="O318" s="157">
        <f>IFERROR(VLOOKUP((LEFT(VLOOKUP($L318,'2-2 引出数据_合同数据仓库'!$B$5:$BP$200,64,FALSE),15)&amp;(RIGHT(VLOOKUP($L318,'2-2 引出数据_合同数据仓库'!$B$5:$BP$200,64,FALSE),4)+1)),'2-2 引出数据_合同数据仓库'!$B$5:$BP$200,3,FALSE),0)</f>
        <v>0</v>
      </c>
      <c r="P318" s="131"/>
      <c r="Q318" s="131">
        <f>IFERROR(VLOOKUP($L318,'2-2 引出数据_合同数据仓库'!$B$5:$BP$200,28,FALSE),0)</f>
        <v>0</v>
      </c>
      <c r="R318" s="131">
        <f>IFERROR(VLOOKUP($L318,'2-2 引出数据_合同数据仓库'!$B$5:$BP$200,29,FALSE),0)</f>
        <v>0</v>
      </c>
      <c r="S318" s="131">
        <f>IFERROR(VLOOKUP($L318,'2-2 引出数据_合同数据仓库'!$B$5:$BP$200,4,FALSE),0)</f>
        <v>0</v>
      </c>
      <c r="T318" s="131"/>
      <c r="U318" s="131">
        <f>IFERROR(VLOOKUP($L318,'2-2 引出数据_合同数据仓库'!$B$5:$BP$200,15,FALSE),0)</f>
        <v>0</v>
      </c>
      <c r="V318" s="131">
        <f t="shared" si="3709"/>
        <v>0</v>
      </c>
      <c r="W318" s="131"/>
      <c r="X318" s="163">
        <v>45658</v>
      </c>
      <c r="Y318" s="163">
        <f t="shared" si="3710"/>
        <v>45688</v>
      </c>
      <c r="Z318" s="167">
        <f t="shared" si="3711"/>
        <v>0</v>
      </c>
      <c r="AA318" s="163">
        <f t="shared" si="3712"/>
        <v>45689</v>
      </c>
      <c r="AB318" s="163">
        <f t="shared" si="3713"/>
        <v>45716</v>
      </c>
      <c r="AC318" s="167">
        <f t="shared" si="3714"/>
        <v>0</v>
      </c>
      <c r="AD318" s="163">
        <f t="shared" si="3715"/>
        <v>45717</v>
      </c>
      <c r="AE318" s="163">
        <f t="shared" si="3716"/>
        <v>45747</v>
      </c>
      <c r="AF318" s="167">
        <f t="shared" si="3717"/>
        <v>0</v>
      </c>
      <c r="AG318" s="163">
        <f t="shared" si="3718"/>
        <v>45748</v>
      </c>
      <c r="AH318" s="163">
        <f t="shared" si="3719"/>
        <v>45777</v>
      </c>
      <c r="AI318" s="167">
        <f t="shared" si="3720"/>
        <v>0</v>
      </c>
      <c r="AJ318" s="163">
        <f t="shared" si="3721"/>
        <v>45778</v>
      </c>
      <c r="AK318" s="163">
        <f t="shared" si="3722"/>
        <v>45808</v>
      </c>
      <c r="AL318" s="167">
        <f t="shared" si="3723"/>
        <v>0</v>
      </c>
      <c r="AM318" s="163">
        <f t="shared" si="3724"/>
        <v>45809</v>
      </c>
      <c r="AN318" s="163">
        <f t="shared" si="3725"/>
        <v>45838</v>
      </c>
      <c r="AO318" s="167">
        <f t="shared" si="3726"/>
        <v>0</v>
      </c>
      <c r="AP318" s="163">
        <f t="shared" si="3727"/>
        <v>45839</v>
      </c>
      <c r="AQ318" s="163">
        <f t="shared" si="3728"/>
        <v>45869</v>
      </c>
      <c r="AR318" s="167">
        <f t="shared" si="3729"/>
        <v>0</v>
      </c>
      <c r="AS318" s="163">
        <f t="shared" si="3730"/>
        <v>45870</v>
      </c>
      <c r="AT318" s="163">
        <f t="shared" si="3731"/>
        <v>45900</v>
      </c>
      <c r="AU318" s="167">
        <f t="shared" si="3732"/>
        <v>0</v>
      </c>
      <c r="AV318" s="163">
        <f t="shared" si="3733"/>
        <v>45901</v>
      </c>
      <c r="AW318" s="163">
        <f t="shared" si="3734"/>
        <v>45930</v>
      </c>
      <c r="AX318" s="167">
        <f t="shared" si="3735"/>
        <v>0</v>
      </c>
      <c r="AY318" s="163">
        <f t="shared" si="3736"/>
        <v>45931</v>
      </c>
      <c r="AZ318" s="163">
        <f t="shared" si="3737"/>
        <v>45961</v>
      </c>
      <c r="BA318" s="167">
        <f t="shared" si="3738"/>
        <v>0</v>
      </c>
      <c r="BB318" s="163">
        <f t="shared" si="3739"/>
        <v>45962</v>
      </c>
      <c r="BC318" s="163">
        <f t="shared" si="3740"/>
        <v>45991</v>
      </c>
      <c r="BD318" s="167">
        <f t="shared" si="3741"/>
        <v>0</v>
      </c>
      <c r="BE318" s="163">
        <f t="shared" si="3742"/>
        <v>45992</v>
      </c>
      <c r="BF318" s="163">
        <f t="shared" si="3743"/>
        <v>46022</v>
      </c>
      <c r="BG318" s="167">
        <f t="shared" si="3744"/>
        <v>0</v>
      </c>
      <c r="BH318" s="163">
        <v>46023</v>
      </c>
      <c r="BI318" s="163">
        <f t="shared" si="3745"/>
        <v>46053</v>
      </c>
      <c r="BJ318" s="167">
        <f t="shared" si="3746"/>
        <v>0</v>
      </c>
      <c r="BK318" s="163">
        <f t="shared" si="3747"/>
        <v>46054</v>
      </c>
      <c r="BL318" s="163">
        <f t="shared" si="3748"/>
        <v>46081</v>
      </c>
      <c r="BM318" s="167">
        <f t="shared" si="3749"/>
        <v>0</v>
      </c>
      <c r="BN318" s="163">
        <f t="shared" si="3750"/>
        <v>46082</v>
      </c>
      <c r="BO318" s="163">
        <f t="shared" si="3751"/>
        <v>46112</v>
      </c>
      <c r="BP318" s="167">
        <f t="shared" si="3752"/>
        <v>0</v>
      </c>
      <c r="BQ318" s="163">
        <f t="shared" si="3753"/>
        <v>46113</v>
      </c>
      <c r="BR318" s="163">
        <f t="shared" si="3754"/>
        <v>46142</v>
      </c>
      <c r="BS318" s="167">
        <f t="shared" si="3755"/>
        <v>0</v>
      </c>
      <c r="BT318" s="163">
        <f t="shared" si="3756"/>
        <v>46143</v>
      </c>
      <c r="BU318" s="163">
        <f t="shared" si="3757"/>
        <v>46173</v>
      </c>
      <c r="BV318" s="167">
        <f t="shared" si="3758"/>
        <v>0</v>
      </c>
      <c r="BW318" s="163">
        <f t="shared" si="3759"/>
        <v>46174</v>
      </c>
      <c r="BX318" s="163">
        <f t="shared" si="3760"/>
        <v>46203</v>
      </c>
      <c r="BY318" s="167">
        <f t="shared" si="3761"/>
        <v>0</v>
      </c>
      <c r="BZ318" s="163">
        <f t="shared" si="3762"/>
        <v>46204</v>
      </c>
      <c r="CA318" s="163">
        <f t="shared" si="3763"/>
        <v>46234</v>
      </c>
      <c r="CB318" s="167">
        <f t="shared" si="3764"/>
        <v>0</v>
      </c>
      <c r="CC318" s="163">
        <f t="shared" si="3765"/>
        <v>46235</v>
      </c>
      <c r="CD318" s="163">
        <f t="shared" si="3766"/>
        <v>46265</v>
      </c>
      <c r="CE318" s="167">
        <f t="shared" si="3767"/>
        <v>0</v>
      </c>
      <c r="CF318" s="163">
        <f t="shared" si="3768"/>
        <v>46266</v>
      </c>
      <c r="CG318" s="163">
        <f t="shared" si="3769"/>
        <v>46295</v>
      </c>
      <c r="CH318" s="167">
        <f t="shared" si="3770"/>
        <v>0</v>
      </c>
      <c r="CI318" s="163">
        <f t="shared" si="3771"/>
        <v>46296</v>
      </c>
      <c r="CJ318" s="163">
        <f t="shared" si="3772"/>
        <v>46326</v>
      </c>
      <c r="CK318" s="167">
        <f t="shared" si="3773"/>
        <v>0</v>
      </c>
      <c r="CL318" s="163">
        <f t="shared" si="3774"/>
        <v>46327</v>
      </c>
      <c r="CM318" s="163">
        <f t="shared" si="3775"/>
        <v>46356</v>
      </c>
      <c r="CN318" s="167">
        <f t="shared" si="3776"/>
        <v>0</v>
      </c>
      <c r="CO318" s="163">
        <f t="shared" si="3777"/>
        <v>46357</v>
      </c>
      <c r="CP318" s="163">
        <f t="shared" si="3778"/>
        <v>46387</v>
      </c>
      <c r="CQ318" s="167">
        <f t="shared" si="3779"/>
        <v>0</v>
      </c>
    </row>
    <row r="319" s="89" customFormat="1" ht="24" hidden="1" customHeight="1" outlineLevel="4" spans="1:95">
      <c r="A319" s="128"/>
      <c r="B319" s="129"/>
      <c r="C319" s="130"/>
      <c r="D319" s="128"/>
      <c r="E319" s="129"/>
      <c r="F319" s="129"/>
      <c r="G319" s="129"/>
      <c r="H319" s="131"/>
      <c r="I319" s="131"/>
      <c r="J319" s="131">
        <f t="shared" si="3131"/>
        <v>0</v>
      </c>
      <c r="K319" s="131">
        <f t="shared" si="3780"/>
        <v>4</v>
      </c>
      <c r="L319" s="156"/>
      <c r="M319" s="157">
        <f>IFERROR(VLOOKUP($L319,'2-2 引出数据_合同数据仓库'!$B$5:$BP$200,3,FALSE),0)</f>
        <v>0</v>
      </c>
      <c r="N319" s="131"/>
      <c r="O319" s="157">
        <f>IFERROR(VLOOKUP((LEFT(VLOOKUP($L319,'2-2 引出数据_合同数据仓库'!$B$5:$BP$200,64,FALSE),15)&amp;(RIGHT(VLOOKUP($L319,'2-2 引出数据_合同数据仓库'!$B$5:$BP$200,64,FALSE),4)+1)),'2-2 引出数据_合同数据仓库'!$B$5:$BP$200,3,FALSE),0)</f>
        <v>0</v>
      </c>
      <c r="P319" s="131"/>
      <c r="Q319" s="131">
        <f>IFERROR(VLOOKUP($L319,'2-2 引出数据_合同数据仓库'!$B$5:$BP$200,28,FALSE),0)</f>
        <v>0</v>
      </c>
      <c r="R319" s="131">
        <f>IFERROR(VLOOKUP($L319,'2-2 引出数据_合同数据仓库'!$B$5:$BP$200,29,FALSE),0)</f>
        <v>0</v>
      </c>
      <c r="S319" s="131">
        <f>IFERROR(VLOOKUP($L319,'2-2 引出数据_合同数据仓库'!$B$5:$BP$200,4,FALSE),0)</f>
        <v>0</v>
      </c>
      <c r="T319" s="131"/>
      <c r="U319" s="131">
        <f>IFERROR(VLOOKUP($L319,'2-2 引出数据_合同数据仓库'!$B$5:$BP$200,15,FALSE),0)</f>
        <v>0</v>
      </c>
      <c r="V319" s="131">
        <f t="shared" si="3709"/>
        <v>0</v>
      </c>
      <c r="W319" s="131"/>
      <c r="X319" s="163">
        <v>45658</v>
      </c>
      <c r="Y319" s="163">
        <f t="shared" si="3710"/>
        <v>45688</v>
      </c>
      <c r="Z319" s="167">
        <f t="shared" si="3711"/>
        <v>0</v>
      </c>
      <c r="AA319" s="163">
        <f t="shared" si="3712"/>
        <v>45689</v>
      </c>
      <c r="AB319" s="163">
        <f t="shared" si="3713"/>
        <v>45716</v>
      </c>
      <c r="AC319" s="167">
        <f t="shared" si="3714"/>
        <v>0</v>
      </c>
      <c r="AD319" s="163">
        <f t="shared" si="3715"/>
        <v>45717</v>
      </c>
      <c r="AE319" s="163">
        <f t="shared" si="3716"/>
        <v>45747</v>
      </c>
      <c r="AF319" s="167">
        <f t="shared" si="3717"/>
        <v>0</v>
      </c>
      <c r="AG319" s="163">
        <f t="shared" si="3718"/>
        <v>45748</v>
      </c>
      <c r="AH319" s="163">
        <f t="shared" si="3719"/>
        <v>45777</v>
      </c>
      <c r="AI319" s="167">
        <f t="shared" si="3720"/>
        <v>0</v>
      </c>
      <c r="AJ319" s="163">
        <f t="shared" si="3721"/>
        <v>45778</v>
      </c>
      <c r="AK319" s="163">
        <f t="shared" si="3722"/>
        <v>45808</v>
      </c>
      <c r="AL319" s="167">
        <f t="shared" si="3723"/>
        <v>0</v>
      </c>
      <c r="AM319" s="163">
        <f t="shared" si="3724"/>
        <v>45809</v>
      </c>
      <c r="AN319" s="163">
        <f t="shared" si="3725"/>
        <v>45838</v>
      </c>
      <c r="AO319" s="167">
        <f t="shared" si="3726"/>
        <v>0</v>
      </c>
      <c r="AP319" s="163">
        <f t="shared" si="3727"/>
        <v>45839</v>
      </c>
      <c r="AQ319" s="163">
        <f t="shared" si="3728"/>
        <v>45869</v>
      </c>
      <c r="AR319" s="167">
        <f t="shared" si="3729"/>
        <v>0</v>
      </c>
      <c r="AS319" s="163">
        <f t="shared" si="3730"/>
        <v>45870</v>
      </c>
      <c r="AT319" s="163">
        <f t="shared" si="3731"/>
        <v>45900</v>
      </c>
      <c r="AU319" s="167">
        <f t="shared" si="3732"/>
        <v>0</v>
      </c>
      <c r="AV319" s="163">
        <f t="shared" si="3733"/>
        <v>45901</v>
      </c>
      <c r="AW319" s="163">
        <f t="shared" si="3734"/>
        <v>45930</v>
      </c>
      <c r="AX319" s="167">
        <f t="shared" si="3735"/>
        <v>0</v>
      </c>
      <c r="AY319" s="163">
        <f t="shared" si="3736"/>
        <v>45931</v>
      </c>
      <c r="AZ319" s="163">
        <f t="shared" si="3737"/>
        <v>45961</v>
      </c>
      <c r="BA319" s="167">
        <f t="shared" si="3738"/>
        <v>0</v>
      </c>
      <c r="BB319" s="163">
        <f t="shared" si="3739"/>
        <v>45962</v>
      </c>
      <c r="BC319" s="163">
        <f t="shared" si="3740"/>
        <v>45991</v>
      </c>
      <c r="BD319" s="167">
        <f t="shared" si="3741"/>
        <v>0</v>
      </c>
      <c r="BE319" s="163">
        <f t="shared" si="3742"/>
        <v>45992</v>
      </c>
      <c r="BF319" s="163">
        <f t="shared" si="3743"/>
        <v>46022</v>
      </c>
      <c r="BG319" s="167">
        <f t="shared" si="3744"/>
        <v>0</v>
      </c>
      <c r="BH319" s="163">
        <v>46023</v>
      </c>
      <c r="BI319" s="163">
        <f t="shared" si="3745"/>
        <v>46053</v>
      </c>
      <c r="BJ319" s="167">
        <f t="shared" si="3746"/>
        <v>0</v>
      </c>
      <c r="BK319" s="163">
        <f t="shared" si="3747"/>
        <v>46054</v>
      </c>
      <c r="BL319" s="163">
        <f t="shared" si="3748"/>
        <v>46081</v>
      </c>
      <c r="BM319" s="167">
        <f t="shared" si="3749"/>
        <v>0</v>
      </c>
      <c r="BN319" s="163">
        <f t="shared" si="3750"/>
        <v>46082</v>
      </c>
      <c r="BO319" s="163">
        <f t="shared" si="3751"/>
        <v>46112</v>
      </c>
      <c r="BP319" s="167">
        <f t="shared" si="3752"/>
        <v>0</v>
      </c>
      <c r="BQ319" s="163">
        <f t="shared" si="3753"/>
        <v>46113</v>
      </c>
      <c r="BR319" s="163">
        <f t="shared" si="3754"/>
        <v>46142</v>
      </c>
      <c r="BS319" s="167">
        <f t="shared" si="3755"/>
        <v>0</v>
      </c>
      <c r="BT319" s="163">
        <f t="shared" si="3756"/>
        <v>46143</v>
      </c>
      <c r="BU319" s="163">
        <f t="shared" si="3757"/>
        <v>46173</v>
      </c>
      <c r="BV319" s="167">
        <f t="shared" si="3758"/>
        <v>0</v>
      </c>
      <c r="BW319" s="163">
        <f t="shared" si="3759"/>
        <v>46174</v>
      </c>
      <c r="BX319" s="163">
        <f t="shared" si="3760"/>
        <v>46203</v>
      </c>
      <c r="BY319" s="167">
        <f t="shared" si="3761"/>
        <v>0</v>
      </c>
      <c r="BZ319" s="163">
        <f t="shared" si="3762"/>
        <v>46204</v>
      </c>
      <c r="CA319" s="163">
        <f t="shared" si="3763"/>
        <v>46234</v>
      </c>
      <c r="CB319" s="167">
        <f t="shared" si="3764"/>
        <v>0</v>
      </c>
      <c r="CC319" s="163">
        <f t="shared" si="3765"/>
        <v>46235</v>
      </c>
      <c r="CD319" s="163">
        <f t="shared" si="3766"/>
        <v>46265</v>
      </c>
      <c r="CE319" s="167">
        <f t="shared" si="3767"/>
        <v>0</v>
      </c>
      <c r="CF319" s="163">
        <f t="shared" si="3768"/>
        <v>46266</v>
      </c>
      <c r="CG319" s="163">
        <f t="shared" si="3769"/>
        <v>46295</v>
      </c>
      <c r="CH319" s="167">
        <f t="shared" si="3770"/>
        <v>0</v>
      </c>
      <c r="CI319" s="163">
        <f t="shared" si="3771"/>
        <v>46296</v>
      </c>
      <c r="CJ319" s="163">
        <f t="shared" si="3772"/>
        <v>46326</v>
      </c>
      <c r="CK319" s="167">
        <f t="shared" si="3773"/>
        <v>0</v>
      </c>
      <c r="CL319" s="163">
        <f t="shared" si="3774"/>
        <v>46327</v>
      </c>
      <c r="CM319" s="163">
        <f t="shared" si="3775"/>
        <v>46356</v>
      </c>
      <c r="CN319" s="167">
        <f t="shared" si="3776"/>
        <v>0</v>
      </c>
      <c r="CO319" s="163">
        <f t="shared" si="3777"/>
        <v>46357</v>
      </c>
      <c r="CP319" s="163">
        <f t="shared" si="3778"/>
        <v>46387</v>
      </c>
      <c r="CQ319" s="167">
        <f t="shared" si="3779"/>
        <v>0</v>
      </c>
    </row>
    <row r="320" s="89" customFormat="1" ht="24" hidden="1" customHeight="1" outlineLevel="4" spans="1:95">
      <c r="A320" s="132" t="s">
        <v>2813</v>
      </c>
      <c r="B320" s="133"/>
      <c r="C320" s="133"/>
      <c r="D320" s="133"/>
      <c r="E320" s="133"/>
      <c r="F320" s="133"/>
      <c r="G320" s="134"/>
      <c r="H320" s="135"/>
      <c r="I320" s="135"/>
      <c r="J320" s="135"/>
      <c r="K320" s="135"/>
      <c r="L320" s="158"/>
      <c r="M320" s="158"/>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c r="CL320" s="135"/>
      <c r="CM320" s="135"/>
      <c r="CN320" s="135"/>
      <c r="CO320" s="135"/>
      <c r="CP320" s="135"/>
      <c r="CQ320" s="135"/>
    </row>
    <row r="321" ht="24" hidden="1" customHeight="1" outlineLevel="3" collapsed="1" spans="1:95">
      <c r="A321" s="124"/>
      <c r="B321" s="125" t="s">
        <v>792</v>
      </c>
      <c r="C321" s="126" t="s">
        <v>1258</v>
      </c>
      <c r="D321" s="124" t="s">
        <v>1259</v>
      </c>
      <c r="E321" s="125" t="s">
        <v>1257</v>
      </c>
      <c r="F321" s="125"/>
      <c r="G321" s="125" t="s">
        <v>936</v>
      </c>
      <c r="H321" s="127">
        <f>X321+AA321+AD321+AG321+AJ321+AM321+AP321+AS321+AV321+AY321+BB321+BE321</f>
        <v>0</v>
      </c>
      <c r="I321" s="127">
        <f>Y321+AB321+AE321+AH321+AK321+AN321+AQ321+AT321+AW321+AZ321+BC321+BF321</f>
        <v>0</v>
      </c>
      <c r="J321" s="127">
        <f t="shared" si="3131"/>
        <v>0</v>
      </c>
      <c r="K321" s="127"/>
      <c r="L321" s="155"/>
      <c r="M321" s="155"/>
      <c r="N321" s="127"/>
      <c r="O321" s="127"/>
      <c r="P321" s="127"/>
      <c r="Q321" s="127"/>
      <c r="R321" s="127"/>
      <c r="S321" s="127"/>
      <c r="T321" s="127"/>
      <c r="U321" s="127"/>
      <c r="V321" s="127"/>
      <c r="W321" s="127"/>
      <c r="X321" s="127">
        <f>VLOOKUP($C321,'1 预算编制表单'!$C:$BJ,27,FALSE)</f>
        <v>0</v>
      </c>
      <c r="Y321" s="127">
        <f>X321-Z321</f>
        <v>0</v>
      </c>
      <c r="Z321" s="127">
        <f>SUM(Z322:Z326)</f>
        <v>0</v>
      </c>
      <c r="AA321" s="127">
        <f>VLOOKUP($C321,'1 预算编制表单'!$C:$BJ,30,FALSE)</f>
        <v>0</v>
      </c>
      <c r="AB321" s="127">
        <f>AA321-AC321</f>
        <v>0</v>
      </c>
      <c r="AC321" s="127">
        <f>SUM(AC322:AC326)</f>
        <v>0</v>
      </c>
      <c r="AD321" s="127">
        <f>VLOOKUP($C321,'1 预算编制表单'!$C:$BJ,33,FALSE)</f>
        <v>0</v>
      </c>
      <c r="AE321" s="127">
        <f>AD321-AF321</f>
        <v>0</v>
      </c>
      <c r="AF321" s="127">
        <f>SUM(AF322:AF326)</f>
        <v>0</v>
      </c>
      <c r="AG321" s="127">
        <f>VLOOKUP($C321,'1 预算编制表单'!$C:$BJ,36,FALSE)</f>
        <v>0</v>
      </c>
      <c r="AH321" s="127">
        <f>AG321-AI321</f>
        <v>0</v>
      </c>
      <c r="AI321" s="127">
        <f>SUM(AI322:AI326)</f>
        <v>0</v>
      </c>
      <c r="AJ321" s="127">
        <f>VLOOKUP($C321,'1 预算编制表单'!$C:$BJ,39,FALSE)</f>
        <v>0</v>
      </c>
      <c r="AK321" s="127">
        <f>AJ321-AL321</f>
        <v>0</v>
      </c>
      <c r="AL321" s="127">
        <f>SUM(AL322:AL326)</f>
        <v>0</v>
      </c>
      <c r="AM321" s="127">
        <f>VLOOKUP($C321,'1 预算编制表单'!$C:$BJ,42,FALSE)</f>
        <v>0</v>
      </c>
      <c r="AN321" s="127">
        <f>AM321-AO321</f>
        <v>0</v>
      </c>
      <c r="AO321" s="127">
        <f>SUM(AO322:AO326)</f>
        <v>0</v>
      </c>
      <c r="AP321" s="127">
        <f>VLOOKUP($C321,'1 预算编制表单'!$C:$BJ,45,FALSE)</f>
        <v>0</v>
      </c>
      <c r="AQ321" s="127">
        <f>AP321-AR321</f>
        <v>0</v>
      </c>
      <c r="AR321" s="127">
        <f>SUM(AR322:AR326)</f>
        <v>0</v>
      </c>
      <c r="AS321" s="127">
        <f>VLOOKUP($C321,'1 预算编制表单'!$C:$BJ,48,FALSE)</f>
        <v>0</v>
      </c>
      <c r="AT321" s="127">
        <f>AS321-AU321</f>
        <v>0</v>
      </c>
      <c r="AU321" s="127">
        <f>SUM(AU322:AU326)</f>
        <v>0</v>
      </c>
      <c r="AV321" s="127">
        <f>VLOOKUP($C321,'1 预算编制表单'!$C:$BJ,51,FALSE)</f>
        <v>0</v>
      </c>
      <c r="AW321" s="127">
        <f>AV321-AX321</f>
        <v>0</v>
      </c>
      <c r="AX321" s="127">
        <f>SUM(AX322:AX326)</f>
        <v>0</v>
      </c>
      <c r="AY321" s="127">
        <f>VLOOKUP($C321,'1 预算编制表单'!$C:$BJ,54,FALSE)</f>
        <v>0</v>
      </c>
      <c r="AZ321" s="127">
        <f>AY321-BA321</f>
        <v>0</v>
      </c>
      <c r="BA321" s="127">
        <f>SUM(BA322:BA326)</f>
        <v>0</v>
      </c>
      <c r="BB321" s="127">
        <f>VLOOKUP($C321,'1 预算编制表单'!$C:$BJ,57,FALSE)</f>
        <v>0</v>
      </c>
      <c r="BC321" s="127">
        <f>BB321-BD321</f>
        <v>0</v>
      </c>
      <c r="BD321" s="127">
        <f>SUM(BD322:BD326)</f>
        <v>0</v>
      </c>
      <c r="BE321" s="127">
        <f>VLOOKUP($C321,'1 预算编制表单'!$C:$BJ,60,FALSE)</f>
        <v>0</v>
      </c>
      <c r="BF321" s="127">
        <f>BE321-BG321</f>
        <v>0</v>
      </c>
      <c r="BG321" s="127">
        <f>SUM(BG322:BG326)</f>
        <v>0</v>
      </c>
      <c r="BH321" s="127">
        <f>VLOOKUP($C321,'1 预算编制表单'!$C:$BJ,27,FALSE)</f>
        <v>0</v>
      </c>
      <c r="BI321" s="127">
        <f>BH321-BJ321</f>
        <v>0</v>
      </c>
      <c r="BJ321" s="127">
        <f>SUM(BJ322:BJ326)</f>
        <v>0</v>
      </c>
      <c r="BK321" s="127">
        <f>VLOOKUP($C321,'1 预算编制表单'!$C:$BJ,30,FALSE)</f>
        <v>0</v>
      </c>
      <c r="BL321" s="127">
        <f>BK321-BM321</f>
        <v>0</v>
      </c>
      <c r="BM321" s="127">
        <f>SUM(BM322:BM326)</f>
        <v>0</v>
      </c>
      <c r="BN321" s="127">
        <f>VLOOKUP($C321,'1 预算编制表单'!$C:$BJ,33,FALSE)</f>
        <v>0</v>
      </c>
      <c r="BO321" s="127">
        <f>BN321-BP321</f>
        <v>0</v>
      </c>
      <c r="BP321" s="127">
        <f>SUM(BP322:BP326)</f>
        <v>0</v>
      </c>
      <c r="BQ321" s="127">
        <f>VLOOKUP($C321,'1 预算编制表单'!$C:$BJ,36,FALSE)</f>
        <v>0</v>
      </c>
      <c r="BR321" s="127">
        <f>BQ321-BS321</f>
        <v>0</v>
      </c>
      <c r="BS321" s="127">
        <f>SUM(BS322:BS326)</f>
        <v>0</v>
      </c>
      <c r="BT321" s="127">
        <f>VLOOKUP($C321,'1 预算编制表单'!$C:$BJ,39,FALSE)</f>
        <v>0</v>
      </c>
      <c r="BU321" s="127">
        <f>BT321-BV321</f>
        <v>0</v>
      </c>
      <c r="BV321" s="127">
        <f>SUM(BV322:BV326)</f>
        <v>0</v>
      </c>
      <c r="BW321" s="127">
        <f>VLOOKUP($C321,'1 预算编制表单'!$C:$BJ,42,FALSE)</f>
        <v>0</v>
      </c>
      <c r="BX321" s="127">
        <f>BW321-BY321</f>
        <v>0</v>
      </c>
      <c r="BY321" s="127">
        <f>SUM(BY322:BY326)</f>
        <v>0</v>
      </c>
      <c r="BZ321" s="127">
        <f>VLOOKUP($C321,'1 预算编制表单'!$C:$BJ,45,FALSE)</f>
        <v>0</v>
      </c>
      <c r="CA321" s="127">
        <f>BZ321-CB321</f>
        <v>0</v>
      </c>
      <c r="CB321" s="127">
        <f>SUM(CB322:CB326)</f>
        <v>0</v>
      </c>
      <c r="CC321" s="127">
        <f>VLOOKUP($C321,'1 预算编制表单'!$C:$BJ,48,FALSE)</f>
        <v>0</v>
      </c>
      <c r="CD321" s="127">
        <f>CC321-CE321</f>
        <v>0</v>
      </c>
      <c r="CE321" s="127">
        <f>SUM(CE322:CE326)</f>
        <v>0</v>
      </c>
      <c r="CF321" s="127">
        <f>VLOOKUP($C321,'1 预算编制表单'!$C:$BJ,51,FALSE)</f>
        <v>0</v>
      </c>
      <c r="CG321" s="127">
        <f>CF321-CH321</f>
        <v>0</v>
      </c>
      <c r="CH321" s="127">
        <f>SUM(CH322:CH326)</f>
        <v>0</v>
      </c>
      <c r="CI321" s="127">
        <f>VLOOKUP($C321,'1 预算编制表单'!$C:$BJ,54,FALSE)</f>
        <v>0</v>
      </c>
      <c r="CJ321" s="127">
        <f>CI321-CK321</f>
        <v>0</v>
      </c>
      <c r="CK321" s="127">
        <f>SUM(CK322:CK326)</f>
        <v>0</v>
      </c>
      <c r="CL321" s="127">
        <f>VLOOKUP($C321,'1 预算编制表单'!$C:$BJ,57,FALSE)</f>
        <v>0</v>
      </c>
      <c r="CM321" s="127">
        <f>CL321-CN321</f>
        <v>0</v>
      </c>
      <c r="CN321" s="127">
        <f>SUM(CN322:CN326)</f>
        <v>0</v>
      </c>
      <c r="CO321" s="127">
        <f>VLOOKUP($C321,'1 预算编制表单'!$C:$BJ,60,FALSE)</f>
        <v>0</v>
      </c>
      <c r="CP321" s="127">
        <f>CO321-CQ321</f>
        <v>0</v>
      </c>
      <c r="CQ321" s="127">
        <f>SUM(CQ322:CQ326)</f>
        <v>0</v>
      </c>
    </row>
    <row r="322" s="89" customFormat="1" ht="24" hidden="1" customHeight="1" outlineLevel="4" spans="1:95">
      <c r="A322" s="128"/>
      <c r="B322" s="129"/>
      <c r="C322" s="130"/>
      <c r="D322" s="128"/>
      <c r="E322" s="129"/>
      <c r="F322" s="129"/>
      <c r="G322" s="129"/>
      <c r="H322" s="131"/>
      <c r="I322" s="131"/>
      <c r="J322" s="131">
        <f t="shared" si="3131"/>
        <v>0</v>
      </c>
      <c r="K322" s="131">
        <v>1</v>
      </c>
      <c r="L322" s="156"/>
      <c r="M322" s="157">
        <f>IFERROR(VLOOKUP($L322,'2-2 引出数据_合同数据仓库'!$B$5:$BP$200,3,FALSE),0)</f>
        <v>0</v>
      </c>
      <c r="N322" s="131"/>
      <c r="O322" s="157">
        <f>IFERROR(VLOOKUP((LEFT(VLOOKUP($L322,'2-2 引出数据_合同数据仓库'!$B$5:$BP$200,64,FALSE),15)&amp;(RIGHT(VLOOKUP($L322,'2-2 引出数据_合同数据仓库'!$B$5:$BP$200,64,FALSE),4)+1)),'2-2 引出数据_合同数据仓库'!$B$5:$BP$200,3,FALSE),0)</f>
        <v>0</v>
      </c>
      <c r="P322" s="131"/>
      <c r="Q322" s="131">
        <f>IFERROR(VLOOKUP($L322,'2-2 引出数据_合同数据仓库'!$B$5:$BP$200,28,FALSE),0)</f>
        <v>0</v>
      </c>
      <c r="R322" s="131">
        <f>IFERROR(VLOOKUP($L322,'2-2 引出数据_合同数据仓库'!$B$5:$BP$200,29,FALSE),0)</f>
        <v>0</v>
      </c>
      <c r="S322" s="131">
        <f>IFERROR(VLOOKUP($L322,'2-2 引出数据_合同数据仓库'!$B$5:$BP$200,4,FALSE),0)</f>
        <v>0</v>
      </c>
      <c r="T322" s="131"/>
      <c r="U322" s="131">
        <f>IFERROR(VLOOKUP($L322,'2-2 引出数据_合同数据仓库'!$B$5:$BP$200,15,FALSE),0)</f>
        <v>0</v>
      </c>
      <c r="V322" s="131">
        <f t="shared" ref="V322:V325" si="3781">U322/(S322-R322+1)*365</f>
        <v>0</v>
      </c>
      <c r="W322" s="131"/>
      <c r="X322" s="163">
        <v>45658</v>
      </c>
      <c r="Y322" s="163">
        <f t="shared" ref="Y322:Y325" si="3782">X322+30</f>
        <v>45688</v>
      </c>
      <c r="Z322" s="167">
        <f t="shared" ref="Z322:Z325" si="3783">IFERROR(IF(($R322-Y322)&gt;=0,0,IF(($S322-X322)&lt;0,0,IF(AND(($S322-Y322)&gt;0,(X322-$R322)&gt;0),$V322/365*(Y322-X322+1),IF(AND(($S322-Y322)&lt;=0,(X322-$R322)&gt;0),$V322/365*($S322-X322+1),$V322/365*(Y322-$R322+1))))),0)</f>
        <v>0</v>
      </c>
      <c r="AA322" s="163">
        <f t="shared" ref="AA322:AA325" si="3784">Y322+1</f>
        <v>45689</v>
      </c>
      <c r="AB322" s="163">
        <f t="shared" ref="AB322:AB325" si="3785">AA322+27</f>
        <v>45716</v>
      </c>
      <c r="AC322" s="167">
        <f t="shared" ref="AC322:AC325" si="3786">IFERROR(IF(($R322-AB322)&gt;=0,0,IF(($S322-AA322)&lt;0,0,IF(AND(($S322-AB322)&gt;0,(AA322-$R322)&gt;0),$V322/365*(AB322-AA322+1),IF(AND(($S322-AB322)&lt;=0,(AA322-$R322)&gt;0),$V322/365*($S322-AA322+1),$V322/365*(AB322-$R322+1))))),0)</f>
        <v>0</v>
      </c>
      <c r="AD322" s="163">
        <f t="shared" ref="AD322:AD325" si="3787">AB322+1</f>
        <v>45717</v>
      </c>
      <c r="AE322" s="163">
        <f t="shared" ref="AE322:AE325" si="3788">AD322+30</f>
        <v>45747</v>
      </c>
      <c r="AF322" s="167">
        <f t="shared" ref="AF322:AF325" si="3789">IFERROR(IF(($R322-AE322)&gt;=0,0,IF(($S322-AD322)&lt;0,0,IF(AND(($S322-AE322)&gt;0,(AD322-$R322)&gt;0),$V322/365*(AE322-AD322+1),IF(AND(($S322-AE322)&lt;=0,(AD322-$R322)&gt;0),$V322/365*($S322-AD322+1),$V322/365*(AE322-$R322+1))))),0)</f>
        <v>0</v>
      </c>
      <c r="AG322" s="163">
        <f t="shared" ref="AG322:AG325" si="3790">AE322+1</f>
        <v>45748</v>
      </c>
      <c r="AH322" s="163">
        <f t="shared" ref="AH322:AH325" si="3791">AG322+29</f>
        <v>45777</v>
      </c>
      <c r="AI322" s="167">
        <f t="shared" ref="AI322:AI325" si="3792">IFERROR(IF(($R322-AH322)&gt;=0,0,IF(($S322-AG322)&lt;0,0,IF(AND(($S322-AH322)&gt;0,(AG322-$R322)&gt;0),$V322/365*(AH322-AG322+1),IF(AND(($S322-AH322)&lt;=0,(AG322-$R322)&gt;0),$V322/365*($S322-AG322+1),$V322/365*(AH322-$R322+1))))),0)</f>
        <v>0</v>
      </c>
      <c r="AJ322" s="163">
        <f t="shared" ref="AJ322:AJ325" si="3793">AH322+1</f>
        <v>45778</v>
      </c>
      <c r="AK322" s="163">
        <f t="shared" ref="AK322:AK325" si="3794">AJ322+30</f>
        <v>45808</v>
      </c>
      <c r="AL322" s="167">
        <f t="shared" ref="AL322:AL325" si="3795">IFERROR(IF(($R322-AK322)&gt;=0,0,IF(($S322-AJ322)&lt;0,0,IF(AND(($S322-AK322)&gt;0,(AJ322-$R322)&gt;0),$V322/365*(AK322-AJ322+1),IF(AND(($S322-AK322)&lt;=0,(AJ322-$R322)&gt;0),$V322/365*($S322-AJ322+1),$V322/365*(AK322-$R322+1))))),0)</f>
        <v>0</v>
      </c>
      <c r="AM322" s="163">
        <f t="shared" ref="AM322:AM325" si="3796">AK322+1</f>
        <v>45809</v>
      </c>
      <c r="AN322" s="163">
        <f t="shared" ref="AN322:AN325" si="3797">AM322+29</f>
        <v>45838</v>
      </c>
      <c r="AO322" s="167">
        <f t="shared" ref="AO322:AO325" si="3798">IFERROR(IF(($R322-AN322)&gt;=0,0,IF(($S322-AM322)&lt;0,0,IF(AND(($S322-AN322)&gt;0,(AM322-$R322)&gt;0),$V322/365*(AN322-AM322+1),IF(AND(($S322-AN322)&lt;=0,(AM322-$R322)&gt;0),$V322/365*($S322-AM322+1),$V322/365*(AN322-$R322+1))))),0)</f>
        <v>0</v>
      </c>
      <c r="AP322" s="163">
        <f t="shared" ref="AP322:AP325" si="3799">AN322+1</f>
        <v>45839</v>
      </c>
      <c r="AQ322" s="163">
        <f t="shared" ref="AQ322:AQ325" si="3800">AP322+30</f>
        <v>45869</v>
      </c>
      <c r="AR322" s="167">
        <f t="shared" ref="AR322:AR325" si="3801">IFERROR(IF(($R322-AQ322)&gt;=0,0,IF(($S322-AP322)&lt;0,0,IF(AND(($S322-AQ322)&gt;0,(AP322-$R322)&gt;0),$V322/365*(AQ322-AP322+1),IF(AND(($S322-AQ322)&lt;=0,(AP322-$R322)&gt;0),$V322/365*($S322-AP322+1),$V322/365*(AQ322-$R322+1))))),0)</f>
        <v>0</v>
      </c>
      <c r="AS322" s="163">
        <f t="shared" ref="AS322:AS325" si="3802">AQ322+1</f>
        <v>45870</v>
      </c>
      <c r="AT322" s="163">
        <f t="shared" ref="AT322:AT325" si="3803">AS322+30</f>
        <v>45900</v>
      </c>
      <c r="AU322" s="167">
        <f t="shared" ref="AU322:AU325" si="3804">IFERROR(IF(($R322-AT322)&gt;=0,0,IF(($S322-AS322)&lt;0,0,IF(AND(($S322-AT322)&gt;0,(AS322-$R322)&gt;0),$V322/365*(AT322-AS322+1),IF(AND(($S322-AT322)&lt;=0,(AS322-$R322)&gt;0),$V322/365*($S322-AS322+1),$V322/365*(AT322-$R322+1))))),0)</f>
        <v>0</v>
      </c>
      <c r="AV322" s="163">
        <f t="shared" ref="AV322:AV325" si="3805">AT322+1</f>
        <v>45901</v>
      </c>
      <c r="AW322" s="163">
        <f t="shared" ref="AW322:AW325" si="3806">AV322+29</f>
        <v>45930</v>
      </c>
      <c r="AX322" s="167">
        <f t="shared" ref="AX322:AX325" si="3807">IFERROR(IF(($R322-AW322)&gt;=0,0,IF(($S322-AV322)&lt;0,0,IF(AND(($S322-AW322)&gt;0,(AV322-$R322)&gt;0),$V322/365*(AW322-AV322+1),IF(AND(($S322-AW322)&lt;=0,(AV322-$R322)&gt;0),$V322/365*($S322-AV322+1),$V322/365*(AW322-$R322+1))))),0)</f>
        <v>0</v>
      </c>
      <c r="AY322" s="163">
        <f t="shared" ref="AY322:AY325" si="3808">AW322+1</f>
        <v>45931</v>
      </c>
      <c r="AZ322" s="163">
        <f t="shared" ref="AZ322:AZ325" si="3809">AY322+30</f>
        <v>45961</v>
      </c>
      <c r="BA322" s="167">
        <f t="shared" ref="BA322:BA325" si="3810">IFERROR(IF(($R322-AZ322)&gt;=0,0,IF(($S322-AY322)&lt;0,0,IF(AND(($S322-AZ322)&gt;0,(AY322-$R322)&gt;0),$V322/365*(AZ322-AY322+1),IF(AND(($S322-AZ322)&lt;=0,(AY322-$R322)&gt;0),$V322/365*($S322-AY322+1),$V322/365*(AZ322-$R322+1))))),0)</f>
        <v>0</v>
      </c>
      <c r="BB322" s="163">
        <f t="shared" ref="BB322:BB325" si="3811">AZ322+1</f>
        <v>45962</v>
      </c>
      <c r="BC322" s="163">
        <f t="shared" ref="BC322:BC325" si="3812">BB322+29</f>
        <v>45991</v>
      </c>
      <c r="BD322" s="167">
        <f t="shared" ref="BD322:BD325" si="3813">IFERROR(IF(($R322-BC322)&gt;=0,0,IF(($S322-BB322)&lt;0,0,IF(AND(($S322-BC322)&gt;0,(BB322-$R322)&gt;0),$V322/365*(BC322-BB322+1),IF(AND(($S322-BC322)&lt;=0,(BB322-$R322)&gt;0),$V322/365*($S322-BB322+1),$V322/365*(BC322-$R322+1))))),0)</f>
        <v>0</v>
      </c>
      <c r="BE322" s="163">
        <f t="shared" ref="BE322:BE325" si="3814">BC322+1</f>
        <v>45992</v>
      </c>
      <c r="BF322" s="163">
        <f t="shared" ref="BF322:BF325" si="3815">BE322+30</f>
        <v>46022</v>
      </c>
      <c r="BG322" s="167">
        <f t="shared" ref="BG322:BG325" si="3816">IFERROR(IF(($R322-BF322)&gt;=0,0,IF(($S322-BE322)&lt;0,0,IF(AND(($S322-BF322)&gt;0,(BE322-$R322)&gt;0),$V322/365*(BF322-BE322+1),IF(AND(($S322-BF322)&lt;=0,(BE322-$R322)&gt;0),$V322/365*($S322-BE322+1),$V322/365*(BF322-$R322+1))))),0)</f>
        <v>0</v>
      </c>
      <c r="BH322" s="163">
        <v>46023</v>
      </c>
      <c r="BI322" s="163">
        <f t="shared" ref="BI322:BI325" si="3817">BH322+30</f>
        <v>46053</v>
      </c>
      <c r="BJ322" s="167">
        <f t="shared" ref="BJ322:BJ325" si="3818">IFERROR(IF(($R322-BI322)&gt;=0,0,IF(($S322-BH322)&lt;0,0,IF(AND(($S322-BI322)&gt;0,(BH322-$R322)&gt;0),$V322/365*(BI322-BH322+1),IF(AND(($S322-BI322)&lt;=0,(BH322-$R322)&gt;0),$V322/365*($S322-BH322+1),$V322/365*(BI322-$R322+1))))),0)</f>
        <v>0</v>
      </c>
      <c r="BK322" s="163">
        <f t="shared" ref="BK322:BK325" si="3819">BI322+1</f>
        <v>46054</v>
      </c>
      <c r="BL322" s="163">
        <f t="shared" ref="BL322:BL325" si="3820">BK322+27</f>
        <v>46081</v>
      </c>
      <c r="BM322" s="167">
        <f t="shared" ref="BM322:BM325" si="3821">IFERROR(IF(($R322-BL322)&gt;=0,0,IF(($S322-BK322)&lt;0,0,IF(AND(($S322-BL322)&gt;0,(BK322-$R322)&gt;0),$V322/365*(BL322-BK322+1),IF(AND(($S322-BL322)&lt;=0,(BK322-$R322)&gt;0),$V322/365*($S322-BK322+1),$V322/365*(BL322-$R322+1))))),0)</f>
        <v>0</v>
      </c>
      <c r="BN322" s="163">
        <f t="shared" ref="BN322:BN325" si="3822">BL322+1</f>
        <v>46082</v>
      </c>
      <c r="BO322" s="163">
        <f t="shared" ref="BO322:BO325" si="3823">BN322+30</f>
        <v>46112</v>
      </c>
      <c r="BP322" s="167">
        <f t="shared" ref="BP322:BP325" si="3824">IFERROR(IF(($R322-BO322)&gt;=0,0,IF(($S322-BN322)&lt;0,0,IF(AND(($S322-BO322)&gt;0,(BN322-$R322)&gt;0),$V322/365*(BO322-BN322+1),IF(AND(($S322-BO322)&lt;=0,(BN322-$R322)&gt;0),$V322/365*($S322-BN322+1),$V322/365*(BO322-$R322+1))))),0)</f>
        <v>0</v>
      </c>
      <c r="BQ322" s="163">
        <f t="shared" ref="BQ322:BQ325" si="3825">BO322+1</f>
        <v>46113</v>
      </c>
      <c r="BR322" s="163">
        <f t="shared" ref="BR322:BR325" si="3826">BQ322+29</f>
        <v>46142</v>
      </c>
      <c r="BS322" s="167">
        <f t="shared" ref="BS322:BS325" si="3827">IFERROR(IF(($R322-BR322)&gt;=0,0,IF(($S322-BQ322)&lt;0,0,IF(AND(($S322-BR322)&gt;0,(BQ322-$R322)&gt;0),$V322/365*(BR322-BQ322+1),IF(AND(($S322-BR322)&lt;=0,(BQ322-$R322)&gt;0),$V322/365*($S322-BQ322+1),$V322/365*(BR322-$R322+1))))),0)</f>
        <v>0</v>
      </c>
      <c r="BT322" s="163">
        <f t="shared" ref="BT322:BT325" si="3828">BR322+1</f>
        <v>46143</v>
      </c>
      <c r="BU322" s="163">
        <f t="shared" ref="BU322:BU325" si="3829">BT322+30</f>
        <v>46173</v>
      </c>
      <c r="BV322" s="167">
        <f t="shared" ref="BV322:BV325" si="3830">IFERROR(IF(($R322-BU322)&gt;=0,0,IF(($S322-BT322)&lt;0,0,IF(AND(($S322-BU322)&gt;0,(BT322-$R322)&gt;0),$V322/365*(BU322-BT322+1),IF(AND(($S322-BU322)&lt;=0,(BT322-$R322)&gt;0),$V322/365*($S322-BT322+1),$V322/365*(BU322-$R322+1))))),0)</f>
        <v>0</v>
      </c>
      <c r="BW322" s="163">
        <f t="shared" ref="BW322:BW325" si="3831">BU322+1</f>
        <v>46174</v>
      </c>
      <c r="BX322" s="163">
        <f t="shared" ref="BX322:BX325" si="3832">BW322+29</f>
        <v>46203</v>
      </c>
      <c r="BY322" s="167">
        <f t="shared" ref="BY322:BY325" si="3833">IFERROR(IF(($R322-BX322)&gt;=0,0,IF(($S322-BW322)&lt;0,0,IF(AND(($S322-BX322)&gt;0,(BW322-$R322)&gt;0),$V322/365*(BX322-BW322+1),IF(AND(($S322-BX322)&lt;=0,(BW322-$R322)&gt;0),$V322/365*($S322-BW322+1),$V322/365*(BX322-$R322+1))))),0)</f>
        <v>0</v>
      </c>
      <c r="BZ322" s="163">
        <f t="shared" ref="BZ322:BZ325" si="3834">BX322+1</f>
        <v>46204</v>
      </c>
      <c r="CA322" s="163">
        <f t="shared" ref="CA322:CA325" si="3835">BZ322+30</f>
        <v>46234</v>
      </c>
      <c r="CB322" s="167">
        <f t="shared" ref="CB322:CB325" si="3836">IFERROR(IF(($R322-CA322)&gt;=0,0,IF(($S322-BZ322)&lt;0,0,IF(AND(($S322-CA322)&gt;0,(BZ322-$R322)&gt;0),$V322/365*(CA322-BZ322+1),IF(AND(($S322-CA322)&lt;=0,(BZ322-$R322)&gt;0),$V322/365*($S322-BZ322+1),$V322/365*(CA322-$R322+1))))),0)</f>
        <v>0</v>
      </c>
      <c r="CC322" s="163">
        <f t="shared" ref="CC322:CC325" si="3837">CA322+1</f>
        <v>46235</v>
      </c>
      <c r="CD322" s="163">
        <f t="shared" ref="CD322:CD325" si="3838">CC322+30</f>
        <v>46265</v>
      </c>
      <c r="CE322" s="167">
        <f t="shared" ref="CE322:CE325" si="3839">IFERROR(IF(($R322-CD322)&gt;=0,0,IF(($S322-CC322)&lt;0,0,IF(AND(($S322-CD322)&gt;0,(CC322-$R322)&gt;0),$V322/365*(CD322-CC322+1),IF(AND(($S322-CD322)&lt;=0,(CC322-$R322)&gt;0),$V322/365*($S322-CC322+1),$V322/365*(CD322-$R322+1))))),0)</f>
        <v>0</v>
      </c>
      <c r="CF322" s="163">
        <f t="shared" ref="CF322:CF325" si="3840">CD322+1</f>
        <v>46266</v>
      </c>
      <c r="CG322" s="163">
        <f t="shared" ref="CG322:CG325" si="3841">CF322+29</f>
        <v>46295</v>
      </c>
      <c r="CH322" s="167">
        <f t="shared" ref="CH322:CH325" si="3842">IFERROR(IF(($R322-CG322)&gt;=0,0,IF(($S322-CF322)&lt;0,0,IF(AND(($S322-CG322)&gt;0,(CF322-$R322)&gt;0),$V322/365*(CG322-CF322+1),IF(AND(($S322-CG322)&lt;=0,(CF322-$R322)&gt;0),$V322/365*($S322-CF322+1),$V322/365*(CG322-$R322+1))))),0)</f>
        <v>0</v>
      </c>
      <c r="CI322" s="163">
        <f t="shared" ref="CI322:CI325" si="3843">CG322+1</f>
        <v>46296</v>
      </c>
      <c r="CJ322" s="163">
        <f t="shared" ref="CJ322:CJ325" si="3844">CI322+30</f>
        <v>46326</v>
      </c>
      <c r="CK322" s="167">
        <f t="shared" ref="CK322:CK325" si="3845">IFERROR(IF(($R322-CJ322)&gt;=0,0,IF(($S322-CI322)&lt;0,0,IF(AND(($S322-CJ322)&gt;0,(CI322-$R322)&gt;0),$V322/365*(CJ322-CI322+1),IF(AND(($S322-CJ322)&lt;=0,(CI322-$R322)&gt;0),$V322/365*($S322-CI322+1),$V322/365*(CJ322-$R322+1))))),0)</f>
        <v>0</v>
      </c>
      <c r="CL322" s="163">
        <f t="shared" ref="CL322:CL325" si="3846">CJ322+1</f>
        <v>46327</v>
      </c>
      <c r="CM322" s="163">
        <f t="shared" ref="CM322:CM325" si="3847">CL322+29</f>
        <v>46356</v>
      </c>
      <c r="CN322" s="167">
        <f t="shared" ref="CN322:CN325" si="3848">IFERROR(IF(($R322-CM322)&gt;=0,0,IF(($S322-CL322)&lt;0,0,IF(AND(($S322-CM322)&gt;0,(CL322-$R322)&gt;0),$V322/365*(CM322-CL322+1),IF(AND(($S322-CM322)&lt;=0,(CL322-$R322)&gt;0),$V322/365*($S322-CL322+1),$V322/365*(CM322-$R322+1))))),0)</f>
        <v>0</v>
      </c>
      <c r="CO322" s="163">
        <f t="shared" ref="CO322:CO325" si="3849">CM322+1</f>
        <v>46357</v>
      </c>
      <c r="CP322" s="163">
        <f t="shared" ref="CP322:CP325" si="3850">CO322+30</f>
        <v>46387</v>
      </c>
      <c r="CQ322" s="167">
        <f t="shared" ref="CQ322:CQ325" si="3851">IFERROR(IF(($R322-CP322)&gt;=0,0,IF(($S322-CO322)&lt;0,0,IF(AND(($S322-CP322)&gt;0,(CO322-$R322)&gt;0),$V322/365*(CP322-CO322+1),IF(AND(($S322-CP322)&lt;=0,(CO322-$R322)&gt;0),$V322/365*($S322-CO322+1),$V322/365*(CP322-$R322+1))))),0)</f>
        <v>0</v>
      </c>
    </row>
    <row r="323" s="89" customFormat="1" ht="24" hidden="1" customHeight="1" outlineLevel="4" spans="1:95">
      <c r="A323" s="128"/>
      <c r="B323" s="129"/>
      <c r="C323" s="130"/>
      <c r="D323" s="128"/>
      <c r="E323" s="129"/>
      <c r="F323" s="129"/>
      <c r="G323" s="129"/>
      <c r="H323" s="131"/>
      <c r="I323" s="131"/>
      <c r="J323" s="131">
        <f t="shared" si="3131"/>
        <v>0</v>
      </c>
      <c r="K323" s="131">
        <f t="shared" ref="K323:K325" si="3852">K322+1</f>
        <v>2</v>
      </c>
      <c r="L323" s="156"/>
      <c r="M323" s="157">
        <f>IFERROR(VLOOKUP($L323,'2-2 引出数据_合同数据仓库'!$B$5:$BP$200,3,FALSE),0)</f>
        <v>0</v>
      </c>
      <c r="N323" s="131"/>
      <c r="O323" s="157">
        <f>IFERROR(VLOOKUP((LEFT(VLOOKUP($L323,'2-2 引出数据_合同数据仓库'!$B$5:$BP$200,64,FALSE),15)&amp;(RIGHT(VLOOKUP($L323,'2-2 引出数据_合同数据仓库'!$B$5:$BP$200,64,FALSE),4)+1)),'2-2 引出数据_合同数据仓库'!$B$5:$BP$200,3,FALSE),0)</f>
        <v>0</v>
      </c>
      <c r="P323" s="131"/>
      <c r="Q323" s="131">
        <f>IFERROR(VLOOKUP($L323,'2-2 引出数据_合同数据仓库'!$B$5:$BP$200,28,FALSE),0)</f>
        <v>0</v>
      </c>
      <c r="R323" s="131">
        <f>IFERROR(VLOOKUP($L323,'2-2 引出数据_合同数据仓库'!$B$5:$BP$200,29,FALSE),0)</f>
        <v>0</v>
      </c>
      <c r="S323" s="131">
        <f>IFERROR(VLOOKUP($L323,'2-2 引出数据_合同数据仓库'!$B$5:$BP$200,4,FALSE),0)</f>
        <v>0</v>
      </c>
      <c r="T323" s="131"/>
      <c r="U323" s="131">
        <f>IFERROR(VLOOKUP($L323,'2-2 引出数据_合同数据仓库'!$B$5:$BP$200,15,FALSE),0)</f>
        <v>0</v>
      </c>
      <c r="V323" s="131">
        <f t="shared" si="3781"/>
        <v>0</v>
      </c>
      <c r="W323" s="131"/>
      <c r="X323" s="163">
        <v>45658</v>
      </c>
      <c r="Y323" s="163">
        <f t="shared" si="3782"/>
        <v>45688</v>
      </c>
      <c r="Z323" s="167">
        <f t="shared" si="3783"/>
        <v>0</v>
      </c>
      <c r="AA323" s="163">
        <f t="shared" si="3784"/>
        <v>45689</v>
      </c>
      <c r="AB323" s="163">
        <f t="shared" si="3785"/>
        <v>45716</v>
      </c>
      <c r="AC323" s="167">
        <f t="shared" si="3786"/>
        <v>0</v>
      </c>
      <c r="AD323" s="163">
        <f t="shared" si="3787"/>
        <v>45717</v>
      </c>
      <c r="AE323" s="163">
        <f t="shared" si="3788"/>
        <v>45747</v>
      </c>
      <c r="AF323" s="167">
        <f t="shared" si="3789"/>
        <v>0</v>
      </c>
      <c r="AG323" s="163">
        <f t="shared" si="3790"/>
        <v>45748</v>
      </c>
      <c r="AH323" s="163">
        <f t="shared" si="3791"/>
        <v>45777</v>
      </c>
      <c r="AI323" s="167">
        <f t="shared" si="3792"/>
        <v>0</v>
      </c>
      <c r="AJ323" s="163">
        <f t="shared" si="3793"/>
        <v>45778</v>
      </c>
      <c r="AK323" s="163">
        <f t="shared" si="3794"/>
        <v>45808</v>
      </c>
      <c r="AL323" s="167">
        <f t="shared" si="3795"/>
        <v>0</v>
      </c>
      <c r="AM323" s="163">
        <f t="shared" si="3796"/>
        <v>45809</v>
      </c>
      <c r="AN323" s="163">
        <f t="shared" si="3797"/>
        <v>45838</v>
      </c>
      <c r="AO323" s="167">
        <f t="shared" si="3798"/>
        <v>0</v>
      </c>
      <c r="AP323" s="163">
        <f t="shared" si="3799"/>
        <v>45839</v>
      </c>
      <c r="AQ323" s="163">
        <f t="shared" si="3800"/>
        <v>45869</v>
      </c>
      <c r="AR323" s="167">
        <f t="shared" si="3801"/>
        <v>0</v>
      </c>
      <c r="AS323" s="163">
        <f t="shared" si="3802"/>
        <v>45870</v>
      </c>
      <c r="AT323" s="163">
        <f t="shared" si="3803"/>
        <v>45900</v>
      </c>
      <c r="AU323" s="167">
        <f t="shared" si="3804"/>
        <v>0</v>
      </c>
      <c r="AV323" s="163">
        <f t="shared" si="3805"/>
        <v>45901</v>
      </c>
      <c r="AW323" s="163">
        <f t="shared" si="3806"/>
        <v>45930</v>
      </c>
      <c r="AX323" s="167">
        <f t="shared" si="3807"/>
        <v>0</v>
      </c>
      <c r="AY323" s="163">
        <f t="shared" si="3808"/>
        <v>45931</v>
      </c>
      <c r="AZ323" s="163">
        <f t="shared" si="3809"/>
        <v>45961</v>
      </c>
      <c r="BA323" s="167">
        <f t="shared" si="3810"/>
        <v>0</v>
      </c>
      <c r="BB323" s="163">
        <f t="shared" si="3811"/>
        <v>45962</v>
      </c>
      <c r="BC323" s="163">
        <f t="shared" si="3812"/>
        <v>45991</v>
      </c>
      <c r="BD323" s="167">
        <f t="shared" si="3813"/>
        <v>0</v>
      </c>
      <c r="BE323" s="163">
        <f t="shared" si="3814"/>
        <v>45992</v>
      </c>
      <c r="BF323" s="163">
        <f t="shared" si="3815"/>
        <v>46022</v>
      </c>
      <c r="BG323" s="167">
        <f t="shared" si="3816"/>
        <v>0</v>
      </c>
      <c r="BH323" s="163">
        <v>46023</v>
      </c>
      <c r="BI323" s="163">
        <f t="shared" si="3817"/>
        <v>46053</v>
      </c>
      <c r="BJ323" s="167">
        <f t="shared" si="3818"/>
        <v>0</v>
      </c>
      <c r="BK323" s="163">
        <f t="shared" si="3819"/>
        <v>46054</v>
      </c>
      <c r="BL323" s="163">
        <f t="shared" si="3820"/>
        <v>46081</v>
      </c>
      <c r="BM323" s="167">
        <f t="shared" si="3821"/>
        <v>0</v>
      </c>
      <c r="BN323" s="163">
        <f t="shared" si="3822"/>
        <v>46082</v>
      </c>
      <c r="BO323" s="163">
        <f t="shared" si="3823"/>
        <v>46112</v>
      </c>
      <c r="BP323" s="167">
        <f t="shared" si="3824"/>
        <v>0</v>
      </c>
      <c r="BQ323" s="163">
        <f t="shared" si="3825"/>
        <v>46113</v>
      </c>
      <c r="BR323" s="163">
        <f t="shared" si="3826"/>
        <v>46142</v>
      </c>
      <c r="BS323" s="167">
        <f t="shared" si="3827"/>
        <v>0</v>
      </c>
      <c r="BT323" s="163">
        <f t="shared" si="3828"/>
        <v>46143</v>
      </c>
      <c r="BU323" s="163">
        <f t="shared" si="3829"/>
        <v>46173</v>
      </c>
      <c r="BV323" s="167">
        <f t="shared" si="3830"/>
        <v>0</v>
      </c>
      <c r="BW323" s="163">
        <f t="shared" si="3831"/>
        <v>46174</v>
      </c>
      <c r="BX323" s="163">
        <f t="shared" si="3832"/>
        <v>46203</v>
      </c>
      <c r="BY323" s="167">
        <f t="shared" si="3833"/>
        <v>0</v>
      </c>
      <c r="BZ323" s="163">
        <f t="shared" si="3834"/>
        <v>46204</v>
      </c>
      <c r="CA323" s="163">
        <f t="shared" si="3835"/>
        <v>46234</v>
      </c>
      <c r="CB323" s="167">
        <f t="shared" si="3836"/>
        <v>0</v>
      </c>
      <c r="CC323" s="163">
        <f t="shared" si="3837"/>
        <v>46235</v>
      </c>
      <c r="CD323" s="163">
        <f t="shared" si="3838"/>
        <v>46265</v>
      </c>
      <c r="CE323" s="167">
        <f t="shared" si="3839"/>
        <v>0</v>
      </c>
      <c r="CF323" s="163">
        <f t="shared" si="3840"/>
        <v>46266</v>
      </c>
      <c r="CG323" s="163">
        <f t="shared" si="3841"/>
        <v>46295</v>
      </c>
      <c r="CH323" s="167">
        <f t="shared" si="3842"/>
        <v>0</v>
      </c>
      <c r="CI323" s="163">
        <f t="shared" si="3843"/>
        <v>46296</v>
      </c>
      <c r="CJ323" s="163">
        <f t="shared" si="3844"/>
        <v>46326</v>
      </c>
      <c r="CK323" s="167">
        <f t="shared" si="3845"/>
        <v>0</v>
      </c>
      <c r="CL323" s="163">
        <f t="shared" si="3846"/>
        <v>46327</v>
      </c>
      <c r="CM323" s="163">
        <f t="shared" si="3847"/>
        <v>46356</v>
      </c>
      <c r="CN323" s="167">
        <f t="shared" si="3848"/>
        <v>0</v>
      </c>
      <c r="CO323" s="163">
        <f t="shared" si="3849"/>
        <v>46357</v>
      </c>
      <c r="CP323" s="163">
        <f t="shared" si="3850"/>
        <v>46387</v>
      </c>
      <c r="CQ323" s="167">
        <f t="shared" si="3851"/>
        <v>0</v>
      </c>
    </row>
    <row r="324" s="89" customFormat="1" ht="24" hidden="1" customHeight="1" outlineLevel="4" spans="1:95">
      <c r="A324" s="128"/>
      <c r="B324" s="129"/>
      <c r="C324" s="130"/>
      <c r="D324" s="128"/>
      <c r="E324" s="129"/>
      <c r="F324" s="129"/>
      <c r="G324" s="129"/>
      <c r="H324" s="131"/>
      <c r="I324" s="131"/>
      <c r="J324" s="131">
        <f t="shared" si="3131"/>
        <v>0</v>
      </c>
      <c r="K324" s="131">
        <f t="shared" si="3852"/>
        <v>3</v>
      </c>
      <c r="L324" s="156"/>
      <c r="M324" s="157">
        <f>IFERROR(VLOOKUP($L324,'2-2 引出数据_合同数据仓库'!$B$5:$BP$200,3,FALSE),0)</f>
        <v>0</v>
      </c>
      <c r="N324" s="131"/>
      <c r="O324" s="157">
        <f>IFERROR(VLOOKUP((LEFT(VLOOKUP($L324,'2-2 引出数据_合同数据仓库'!$B$5:$BP$200,64,FALSE),15)&amp;(RIGHT(VLOOKUP($L324,'2-2 引出数据_合同数据仓库'!$B$5:$BP$200,64,FALSE),4)+1)),'2-2 引出数据_合同数据仓库'!$B$5:$BP$200,3,FALSE),0)</f>
        <v>0</v>
      </c>
      <c r="P324" s="131"/>
      <c r="Q324" s="131">
        <f>IFERROR(VLOOKUP($L324,'2-2 引出数据_合同数据仓库'!$B$5:$BP$200,28,FALSE),0)</f>
        <v>0</v>
      </c>
      <c r="R324" s="131">
        <f>IFERROR(VLOOKUP($L324,'2-2 引出数据_合同数据仓库'!$B$5:$BP$200,29,FALSE),0)</f>
        <v>0</v>
      </c>
      <c r="S324" s="131">
        <f>IFERROR(VLOOKUP($L324,'2-2 引出数据_合同数据仓库'!$B$5:$BP$200,4,FALSE),0)</f>
        <v>0</v>
      </c>
      <c r="T324" s="131"/>
      <c r="U324" s="131">
        <f>IFERROR(VLOOKUP($L324,'2-2 引出数据_合同数据仓库'!$B$5:$BP$200,15,FALSE),0)</f>
        <v>0</v>
      </c>
      <c r="V324" s="131">
        <f t="shared" si="3781"/>
        <v>0</v>
      </c>
      <c r="W324" s="131"/>
      <c r="X324" s="163">
        <v>45658</v>
      </c>
      <c r="Y324" s="163">
        <f t="shared" si="3782"/>
        <v>45688</v>
      </c>
      <c r="Z324" s="167">
        <f t="shared" si="3783"/>
        <v>0</v>
      </c>
      <c r="AA324" s="163">
        <f t="shared" si="3784"/>
        <v>45689</v>
      </c>
      <c r="AB324" s="163">
        <f t="shared" si="3785"/>
        <v>45716</v>
      </c>
      <c r="AC324" s="167">
        <f t="shared" si="3786"/>
        <v>0</v>
      </c>
      <c r="AD324" s="163">
        <f t="shared" si="3787"/>
        <v>45717</v>
      </c>
      <c r="AE324" s="163">
        <f t="shared" si="3788"/>
        <v>45747</v>
      </c>
      <c r="AF324" s="167">
        <f t="shared" si="3789"/>
        <v>0</v>
      </c>
      <c r="AG324" s="163">
        <f t="shared" si="3790"/>
        <v>45748</v>
      </c>
      <c r="AH324" s="163">
        <f t="shared" si="3791"/>
        <v>45777</v>
      </c>
      <c r="AI324" s="167">
        <f t="shared" si="3792"/>
        <v>0</v>
      </c>
      <c r="AJ324" s="163">
        <f t="shared" si="3793"/>
        <v>45778</v>
      </c>
      <c r="AK324" s="163">
        <f t="shared" si="3794"/>
        <v>45808</v>
      </c>
      <c r="AL324" s="167">
        <f t="shared" si="3795"/>
        <v>0</v>
      </c>
      <c r="AM324" s="163">
        <f t="shared" si="3796"/>
        <v>45809</v>
      </c>
      <c r="AN324" s="163">
        <f t="shared" si="3797"/>
        <v>45838</v>
      </c>
      <c r="AO324" s="167">
        <f t="shared" si="3798"/>
        <v>0</v>
      </c>
      <c r="AP324" s="163">
        <f t="shared" si="3799"/>
        <v>45839</v>
      </c>
      <c r="AQ324" s="163">
        <f t="shared" si="3800"/>
        <v>45869</v>
      </c>
      <c r="AR324" s="167">
        <f t="shared" si="3801"/>
        <v>0</v>
      </c>
      <c r="AS324" s="163">
        <f t="shared" si="3802"/>
        <v>45870</v>
      </c>
      <c r="AT324" s="163">
        <f t="shared" si="3803"/>
        <v>45900</v>
      </c>
      <c r="AU324" s="167">
        <f t="shared" si="3804"/>
        <v>0</v>
      </c>
      <c r="AV324" s="163">
        <f t="shared" si="3805"/>
        <v>45901</v>
      </c>
      <c r="AW324" s="163">
        <f t="shared" si="3806"/>
        <v>45930</v>
      </c>
      <c r="AX324" s="167">
        <f t="shared" si="3807"/>
        <v>0</v>
      </c>
      <c r="AY324" s="163">
        <f t="shared" si="3808"/>
        <v>45931</v>
      </c>
      <c r="AZ324" s="163">
        <f t="shared" si="3809"/>
        <v>45961</v>
      </c>
      <c r="BA324" s="167">
        <f t="shared" si="3810"/>
        <v>0</v>
      </c>
      <c r="BB324" s="163">
        <f t="shared" si="3811"/>
        <v>45962</v>
      </c>
      <c r="BC324" s="163">
        <f t="shared" si="3812"/>
        <v>45991</v>
      </c>
      <c r="BD324" s="167">
        <f t="shared" si="3813"/>
        <v>0</v>
      </c>
      <c r="BE324" s="163">
        <f t="shared" si="3814"/>
        <v>45992</v>
      </c>
      <c r="BF324" s="163">
        <f t="shared" si="3815"/>
        <v>46022</v>
      </c>
      <c r="BG324" s="167">
        <f t="shared" si="3816"/>
        <v>0</v>
      </c>
      <c r="BH324" s="163">
        <v>46023</v>
      </c>
      <c r="BI324" s="163">
        <f t="shared" si="3817"/>
        <v>46053</v>
      </c>
      <c r="BJ324" s="167">
        <f t="shared" si="3818"/>
        <v>0</v>
      </c>
      <c r="BK324" s="163">
        <f t="shared" si="3819"/>
        <v>46054</v>
      </c>
      <c r="BL324" s="163">
        <f t="shared" si="3820"/>
        <v>46081</v>
      </c>
      <c r="BM324" s="167">
        <f t="shared" si="3821"/>
        <v>0</v>
      </c>
      <c r="BN324" s="163">
        <f t="shared" si="3822"/>
        <v>46082</v>
      </c>
      <c r="BO324" s="163">
        <f t="shared" si="3823"/>
        <v>46112</v>
      </c>
      <c r="BP324" s="167">
        <f t="shared" si="3824"/>
        <v>0</v>
      </c>
      <c r="BQ324" s="163">
        <f t="shared" si="3825"/>
        <v>46113</v>
      </c>
      <c r="BR324" s="163">
        <f t="shared" si="3826"/>
        <v>46142</v>
      </c>
      <c r="BS324" s="167">
        <f t="shared" si="3827"/>
        <v>0</v>
      </c>
      <c r="BT324" s="163">
        <f t="shared" si="3828"/>
        <v>46143</v>
      </c>
      <c r="BU324" s="163">
        <f t="shared" si="3829"/>
        <v>46173</v>
      </c>
      <c r="BV324" s="167">
        <f t="shared" si="3830"/>
        <v>0</v>
      </c>
      <c r="BW324" s="163">
        <f t="shared" si="3831"/>
        <v>46174</v>
      </c>
      <c r="BX324" s="163">
        <f t="shared" si="3832"/>
        <v>46203</v>
      </c>
      <c r="BY324" s="167">
        <f t="shared" si="3833"/>
        <v>0</v>
      </c>
      <c r="BZ324" s="163">
        <f t="shared" si="3834"/>
        <v>46204</v>
      </c>
      <c r="CA324" s="163">
        <f t="shared" si="3835"/>
        <v>46234</v>
      </c>
      <c r="CB324" s="167">
        <f t="shared" si="3836"/>
        <v>0</v>
      </c>
      <c r="CC324" s="163">
        <f t="shared" si="3837"/>
        <v>46235</v>
      </c>
      <c r="CD324" s="163">
        <f t="shared" si="3838"/>
        <v>46265</v>
      </c>
      <c r="CE324" s="167">
        <f t="shared" si="3839"/>
        <v>0</v>
      </c>
      <c r="CF324" s="163">
        <f t="shared" si="3840"/>
        <v>46266</v>
      </c>
      <c r="CG324" s="163">
        <f t="shared" si="3841"/>
        <v>46295</v>
      </c>
      <c r="CH324" s="167">
        <f t="shared" si="3842"/>
        <v>0</v>
      </c>
      <c r="CI324" s="163">
        <f t="shared" si="3843"/>
        <v>46296</v>
      </c>
      <c r="CJ324" s="163">
        <f t="shared" si="3844"/>
        <v>46326</v>
      </c>
      <c r="CK324" s="167">
        <f t="shared" si="3845"/>
        <v>0</v>
      </c>
      <c r="CL324" s="163">
        <f t="shared" si="3846"/>
        <v>46327</v>
      </c>
      <c r="CM324" s="163">
        <f t="shared" si="3847"/>
        <v>46356</v>
      </c>
      <c r="CN324" s="167">
        <f t="shared" si="3848"/>
        <v>0</v>
      </c>
      <c r="CO324" s="163">
        <f t="shared" si="3849"/>
        <v>46357</v>
      </c>
      <c r="CP324" s="163">
        <f t="shared" si="3850"/>
        <v>46387</v>
      </c>
      <c r="CQ324" s="167">
        <f t="shared" si="3851"/>
        <v>0</v>
      </c>
    </row>
    <row r="325" s="89" customFormat="1" ht="24" hidden="1" customHeight="1" outlineLevel="4" spans="1:95">
      <c r="A325" s="128"/>
      <c r="B325" s="129"/>
      <c r="C325" s="130"/>
      <c r="D325" s="128"/>
      <c r="E325" s="129"/>
      <c r="F325" s="129"/>
      <c r="G325" s="129"/>
      <c r="H325" s="131"/>
      <c r="I325" s="131"/>
      <c r="J325" s="131">
        <f t="shared" ref="J325:J391" si="3853">Z325+AC325+AF325+AI325+AL325+AO325+AR325+AU325+AX325+BA325+BD325+BG325</f>
        <v>0</v>
      </c>
      <c r="K325" s="131">
        <f t="shared" si="3852"/>
        <v>4</v>
      </c>
      <c r="L325" s="156"/>
      <c r="M325" s="157">
        <f>IFERROR(VLOOKUP($L325,'2-2 引出数据_合同数据仓库'!$B$5:$BP$200,3,FALSE),0)</f>
        <v>0</v>
      </c>
      <c r="N325" s="131"/>
      <c r="O325" s="157">
        <f>IFERROR(VLOOKUP((LEFT(VLOOKUP($L325,'2-2 引出数据_合同数据仓库'!$B$5:$BP$200,64,FALSE),15)&amp;(RIGHT(VLOOKUP($L325,'2-2 引出数据_合同数据仓库'!$B$5:$BP$200,64,FALSE),4)+1)),'2-2 引出数据_合同数据仓库'!$B$5:$BP$200,3,FALSE),0)</f>
        <v>0</v>
      </c>
      <c r="P325" s="131"/>
      <c r="Q325" s="131">
        <f>IFERROR(VLOOKUP($L325,'2-2 引出数据_合同数据仓库'!$B$5:$BP$200,28,FALSE),0)</f>
        <v>0</v>
      </c>
      <c r="R325" s="131">
        <f>IFERROR(VLOOKUP($L325,'2-2 引出数据_合同数据仓库'!$B$5:$BP$200,29,FALSE),0)</f>
        <v>0</v>
      </c>
      <c r="S325" s="131">
        <f>IFERROR(VLOOKUP($L325,'2-2 引出数据_合同数据仓库'!$B$5:$BP$200,4,FALSE),0)</f>
        <v>0</v>
      </c>
      <c r="T325" s="131"/>
      <c r="U325" s="131">
        <f>IFERROR(VLOOKUP($L325,'2-2 引出数据_合同数据仓库'!$B$5:$BP$200,15,FALSE),0)</f>
        <v>0</v>
      </c>
      <c r="V325" s="131">
        <f t="shared" si="3781"/>
        <v>0</v>
      </c>
      <c r="W325" s="131"/>
      <c r="X325" s="163">
        <v>45658</v>
      </c>
      <c r="Y325" s="163">
        <f t="shared" si="3782"/>
        <v>45688</v>
      </c>
      <c r="Z325" s="167">
        <f t="shared" si="3783"/>
        <v>0</v>
      </c>
      <c r="AA325" s="163">
        <f t="shared" si="3784"/>
        <v>45689</v>
      </c>
      <c r="AB325" s="163">
        <f t="shared" si="3785"/>
        <v>45716</v>
      </c>
      <c r="AC325" s="167">
        <f t="shared" si="3786"/>
        <v>0</v>
      </c>
      <c r="AD325" s="163">
        <f t="shared" si="3787"/>
        <v>45717</v>
      </c>
      <c r="AE325" s="163">
        <f t="shared" si="3788"/>
        <v>45747</v>
      </c>
      <c r="AF325" s="167">
        <f t="shared" si="3789"/>
        <v>0</v>
      </c>
      <c r="AG325" s="163">
        <f t="shared" si="3790"/>
        <v>45748</v>
      </c>
      <c r="AH325" s="163">
        <f t="shared" si="3791"/>
        <v>45777</v>
      </c>
      <c r="AI325" s="167">
        <f t="shared" si="3792"/>
        <v>0</v>
      </c>
      <c r="AJ325" s="163">
        <f t="shared" si="3793"/>
        <v>45778</v>
      </c>
      <c r="AK325" s="163">
        <f t="shared" si="3794"/>
        <v>45808</v>
      </c>
      <c r="AL325" s="167">
        <f t="shared" si="3795"/>
        <v>0</v>
      </c>
      <c r="AM325" s="163">
        <f t="shared" si="3796"/>
        <v>45809</v>
      </c>
      <c r="AN325" s="163">
        <f t="shared" si="3797"/>
        <v>45838</v>
      </c>
      <c r="AO325" s="167">
        <f t="shared" si="3798"/>
        <v>0</v>
      </c>
      <c r="AP325" s="163">
        <f t="shared" si="3799"/>
        <v>45839</v>
      </c>
      <c r="AQ325" s="163">
        <f t="shared" si="3800"/>
        <v>45869</v>
      </c>
      <c r="AR325" s="167">
        <f t="shared" si="3801"/>
        <v>0</v>
      </c>
      <c r="AS325" s="163">
        <f t="shared" si="3802"/>
        <v>45870</v>
      </c>
      <c r="AT325" s="163">
        <f t="shared" si="3803"/>
        <v>45900</v>
      </c>
      <c r="AU325" s="167">
        <f t="shared" si="3804"/>
        <v>0</v>
      </c>
      <c r="AV325" s="163">
        <f t="shared" si="3805"/>
        <v>45901</v>
      </c>
      <c r="AW325" s="163">
        <f t="shared" si="3806"/>
        <v>45930</v>
      </c>
      <c r="AX325" s="167">
        <f t="shared" si="3807"/>
        <v>0</v>
      </c>
      <c r="AY325" s="163">
        <f t="shared" si="3808"/>
        <v>45931</v>
      </c>
      <c r="AZ325" s="163">
        <f t="shared" si="3809"/>
        <v>45961</v>
      </c>
      <c r="BA325" s="167">
        <f t="shared" si="3810"/>
        <v>0</v>
      </c>
      <c r="BB325" s="163">
        <f t="shared" si="3811"/>
        <v>45962</v>
      </c>
      <c r="BC325" s="163">
        <f t="shared" si="3812"/>
        <v>45991</v>
      </c>
      <c r="BD325" s="167">
        <f t="shared" si="3813"/>
        <v>0</v>
      </c>
      <c r="BE325" s="163">
        <f t="shared" si="3814"/>
        <v>45992</v>
      </c>
      <c r="BF325" s="163">
        <f t="shared" si="3815"/>
        <v>46022</v>
      </c>
      <c r="BG325" s="167">
        <f t="shared" si="3816"/>
        <v>0</v>
      </c>
      <c r="BH325" s="163">
        <v>46023</v>
      </c>
      <c r="BI325" s="163">
        <f t="shared" si="3817"/>
        <v>46053</v>
      </c>
      <c r="BJ325" s="167">
        <f t="shared" si="3818"/>
        <v>0</v>
      </c>
      <c r="BK325" s="163">
        <f t="shared" si="3819"/>
        <v>46054</v>
      </c>
      <c r="BL325" s="163">
        <f t="shared" si="3820"/>
        <v>46081</v>
      </c>
      <c r="BM325" s="167">
        <f t="shared" si="3821"/>
        <v>0</v>
      </c>
      <c r="BN325" s="163">
        <f t="shared" si="3822"/>
        <v>46082</v>
      </c>
      <c r="BO325" s="163">
        <f t="shared" si="3823"/>
        <v>46112</v>
      </c>
      <c r="BP325" s="167">
        <f t="shared" si="3824"/>
        <v>0</v>
      </c>
      <c r="BQ325" s="163">
        <f t="shared" si="3825"/>
        <v>46113</v>
      </c>
      <c r="BR325" s="163">
        <f t="shared" si="3826"/>
        <v>46142</v>
      </c>
      <c r="BS325" s="167">
        <f t="shared" si="3827"/>
        <v>0</v>
      </c>
      <c r="BT325" s="163">
        <f t="shared" si="3828"/>
        <v>46143</v>
      </c>
      <c r="BU325" s="163">
        <f t="shared" si="3829"/>
        <v>46173</v>
      </c>
      <c r="BV325" s="167">
        <f t="shared" si="3830"/>
        <v>0</v>
      </c>
      <c r="BW325" s="163">
        <f t="shared" si="3831"/>
        <v>46174</v>
      </c>
      <c r="BX325" s="163">
        <f t="shared" si="3832"/>
        <v>46203</v>
      </c>
      <c r="BY325" s="167">
        <f t="shared" si="3833"/>
        <v>0</v>
      </c>
      <c r="BZ325" s="163">
        <f t="shared" si="3834"/>
        <v>46204</v>
      </c>
      <c r="CA325" s="163">
        <f t="shared" si="3835"/>
        <v>46234</v>
      </c>
      <c r="CB325" s="167">
        <f t="shared" si="3836"/>
        <v>0</v>
      </c>
      <c r="CC325" s="163">
        <f t="shared" si="3837"/>
        <v>46235</v>
      </c>
      <c r="CD325" s="163">
        <f t="shared" si="3838"/>
        <v>46265</v>
      </c>
      <c r="CE325" s="167">
        <f t="shared" si="3839"/>
        <v>0</v>
      </c>
      <c r="CF325" s="163">
        <f t="shared" si="3840"/>
        <v>46266</v>
      </c>
      <c r="CG325" s="163">
        <f t="shared" si="3841"/>
        <v>46295</v>
      </c>
      <c r="CH325" s="167">
        <f t="shared" si="3842"/>
        <v>0</v>
      </c>
      <c r="CI325" s="163">
        <f t="shared" si="3843"/>
        <v>46296</v>
      </c>
      <c r="CJ325" s="163">
        <f t="shared" si="3844"/>
        <v>46326</v>
      </c>
      <c r="CK325" s="167">
        <f t="shared" si="3845"/>
        <v>0</v>
      </c>
      <c r="CL325" s="163">
        <f t="shared" si="3846"/>
        <v>46327</v>
      </c>
      <c r="CM325" s="163">
        <f t="shared" si="3847"/>
        <v>46356</v>
      </c>
      <c r="CN325" s="167">
        <f t="shared" si="3848"/>
        <v>0</v>
      </c>
      <c r="CO325" s="163">
        <f t="shared" si="3849"/>
        <v>46357</v>
      </c>
      <c r="CP325" s="163">
        <f t="shared" si="3850"/>
        <v>46387</v>
      </c>
      <c r="CQ325" s="167">
        <f t="shared" si="3851"/>
        <v>0</v>
      </c>
    </row>
    <row r="326" s="89" customFormat="1" ht="24" hidden="1" customHeight="1" outlineLevel="4" spans="1:95">
      <c r="A326" s="132" t="s">
        <v>2813</v>
      </c>
      <c r="B326" s="133"/>
      <c r="C326" s="133"/>
      <c r="D326" s="133"/>
      <c r="E326" s="133"/>
      <c r="F326" s="133"/>
      <c r="G326" s="134"/>
      <c r="H326" s="135"/>
      <c r="I326" s="135"/>
      <c r="J326" s="135"/>
      <c r="K326" s="135"/>
      <c r="L326" s="158"/>
      <c r="M326" s="158"/>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c r="CL326" s="135"/>
      <c r="CM326" s="135"/>
      <c r="CN326" s="135"/>
      <c r="CO326" s="135"/>
      <c r="CP326" s="135"/>
      <c r="CQ326" s="135"/>
    </row>
    <row r="327" ht="24" hidden="1" customHeight="1" outlineLevel="3" collapsed="1" spans="1:95">
      <c r="A327" s="124"/>
      <c r="B327" s="125" t="s">
        <v>792</v>
      </c>
      <c r="C327" s="126" t="s">
        <v>1260</v>
      </c>
      <c r="D327" s="124" t="s">
        <v>1261</v>
      </c>
      <c r="E327" s="125" t="s">
        <v>1262</v>
      </c>
      <c r="F327" s="125"/>
      <c r="G327" s="125" t="s">
        <v>936</v>
      </c>
      <c r="H327" s="127">
        <f>X327+AA327+AD327+AG327+AJ327+AM327+AP327+AS327+AV327+AY327+BB327+BE327</f>
        <v>0</v>
      </c>
      <c r="I327" s="127">
        <f>Y327+AB327+AE327+AH327+AK327+AN327+AQ327+AT327+AW327+AZ327+BC327+BF327</f>
        <v>0</v>
      </c>
      <c r="J327" s="127">
        <f t="shared" si="3853"/>
        <v>0</v>
      </c>
      <c r="K327" s="127"/>
      <c r="L327" s="155"/>
      <c r="M327" s="155"/>
      <c r="N327" s="127"/>
      <c r="O327" s="127"/>
      <c r="P327" s="127"/>
      <c r="Q327" s="127"/>
      <c r="R327" s="127"/>
      <c r="S327" s="127"/>
      <c r="T327" s="127"/>
      <c r="U327" s="127"/>
      <c r="V327" s="127"/>
      <c r="W327" s="127"/>
      <c r="X327" s="127">
        <f>VLOOKUP($C327,'1 预算编制表单'!$C:$BJ,27,FALSE)</f>
        <v>0</v>
      </c>
      <c r="Y327" s="127">
        <f>X327-Z327</f>
        <v>0</v>
      </c>
      <c r="Z327" s="127">
        <f>SUM(Z328:Z332)</f>
        <v>0</v>
      </c>
      <c r="AA327" s="127">
        <f>VLOOKUP($C327,'1 预算编制表单'!$C:$BJ,30,FALSE)</f>
        <v>0</v>
      </c>
      <c r="AB327" s="127">
        <f>AA327-AC327</f>
        <v>0</v>
      </c>
      <c r="AC327" s="127">
        <f>SUM(AC328:AC332)</f>
        <v>0</v>
      </c>
      <c r="AD327" s="127">
        <f>VLOOKUP($C327,'1 预算编制表单'!$C:$BJ,33,FALSE)</f>
        <v>0</v>
      </c>
      <c r="AE327" s="127">
        <f>AD327-AF327</f>
        <v>0</v>
      </c>
      <c r="AF327" s="127">
        <f>SUM(AF328:AF332)</f>
        <v>0</v>
      </c>
      <c r="AG327" s="127">
        <f>VLOOKUP($C327,'1 预算编制表单'!$C:$BJ,36,FALSE)</f>
        <v>0</v>
      </c>
      <c r="AH327" s="127">
        <f>AG327-AI327</f>
        <v>0</v>
      </c>
      <c r="AI327" s="127">
        <f>SUM(AI328:AI332)</f>
        <v>0</v>
      </c>
      <c r="AJ327" s="127">
        <f>VLOOKUP($C327,'1 预算编制表单'!$C:$BJ,39,FALSE)</f>
        <v>0</v>
      </c>
      <c r="AK327" s="127">
        <f>AJ327-AL327</f>
        <v>0</v>
      </c>
      <c r="AL327" s="127">
        <f>SUM(AL328:AL332)</f>
        <v>0</v>
      </c>
      <c r="AM327" s="127">
        <f>VLOOKUP($C327,'1 预算编制表单'!$C:$BJ,42,FALSE)</f>
        <v>0</v>
      </c>
      <c r="AN327" s="127">
        <f>AM327-AO327</f>
        <v>0</v>
      </c>
      <c r="AO327" s="127">
        <f>SUM(AO328:AO332)</f>
        <v>0</v>
      </c>
      <c r="AP327" s="127">
        <f>VLOOKUP($C327,'1 预算编制表单'!$C:$BJ,45,FALSE)</f>
        <v>0</v>
      </c>
      <c r="AQ327" s="127">
        <f>AP327-AR327</f>
        <v>0</v>
      </c>
      <c r="AR327" s="127">
        <f>SUM(AR328:AR332)</f>
        <v>0</v>
      </c>
      <c r="AS327" s="127">
        <f>VLOOKUP($C327,'1 预算编制表单'!$C:$BJ,48,FALSE)</f>
        <v>0</v>
      </c>
      <c r="AT327" s="127">
        <f>AS327-AU327</f>
        <v>0</v>
      </c>
      <c r="AU327" s="127">
        <f>SUM(AU328:AU332)</f>
        <v>0</v>
      </c>
      <c r="AV327" s="127">
        <f>VLOOKUP($C327,'1 预算编制表单'!$C:$BJ,51,FALSE)</f>
        <v>0</v>
      </c>
      <c r="AW327" s="127">
        <f>AV327-AX327</f>
        <v>0</v>
      </c>
      <c r="AX327" s="127">
        <f>SUM(AX328:AX332)</f>
        <v>0</v>
      </c>
      <c r="AY327" s="127">
        <f>VLOOKUP($C327,'1 预算编制表单'!$C:$BJ,54,FALSE)</f>
        <v>0</v>
      </c>
      <c r="AZ327" s="127">
        <f>AY327-BA327</f>
        <v>0</v>
      </c>
      <c r="BA327" s="127">
        <f>SUM(BA328:BA332)</f>
        <v>0</v>
      </c>
      <c r="BB327" s="127">
        <f>VLOOKUP($C327,'1 预算编制表单'!$C:$BJ,57,FALSE)</f>
        <v>0</v>
      </c>
      <c r="BC327" s="127">
        <f>BB327-BD327</f>
        <v>0</v>
      </c>
      <c r="BD327" s="127">
        <f>SUM(BD328:BD332)</f>
        <v>0</v>
      </c>
      <c r="BE327" s="127">
        <f>VLOOKUP($C327,'1 预算编制表单'!$C:$BJ,60,FALSE)</f>
        <v>0</v>
      </c>
      <c r="BF327" s="127">
        <f>BE327-BG327</f>
        <v>0</v>
      </c>
      <c r="BG327" s="127">
        <f>SUM(BG328:BG332)</f>
        <v>0</v>
      </c>
      <c r="BH327" s="127">
        <f>VLOOKUP($C327,'1 预算编制表单'!$C:$BJ,27,FALSE)</f>
        <v>0</v>
      </c>
      <c r="BI327" s="127">
        <f>BH327-BJ327</f>
        <v>0</v>
      </c>
      <c r="BJ327" s="127">
        <f>SUM(BJ328:BJ332)</f>
        <v>0</v>
      </c>
      <c r="BK327" s="127">
        <f>VLOOKUP($C327,'1 预算编制表单'!$C:$BJ,30,FALSE)</f>
        <v>0</v>
      </c>
      <c r="BL327" s="127">
        <f>BK327-BM327</f>
        <v>0</v>
      </c>
      <c r="BM327" s="127">
        <f>SUM(BM328:BM332)</f>
        <v>0</v>
      </c>
      <c r="BN327" s="127">
        <f>VLOOKUP($C327,'1 预算编制表单'!$C:$BJ,33,FALSE)</f>
        <v>0</v>
      </c>
      <c r="BO327" s="127">
        <f>BN327-BP327</f>
        <v>0</v>
      </c>
      <c r="BP327" s="127">
        <f>SUM(BP328:BP332)</f>
        <v>0</v>
      </c>
      <c r="BQ327" s="127">
        <f>VLOOKUP($C327,'1 预算编制表单'!$C:$BJ,36,FALSE)</f>
        <v>0</v>
      </c>
      <c r="BR327" s="127">
        <f>BQ327-BS327</f>
        <v>0</v>
      </c>
      <c r="BS327" s="127">
        <f>SUM(BS328:BS332)</f>
        <v>0</v>
      </c>
      <c r="BT327" s="127">
        <f>VLOOKUP($C327,'1 预算编制表单'!$C:$BJ,39,FALSE)</f>
        <v>0</v>
      </c>
      <c r="BU327" s="127">
        <f>BT327-BV327</f>
        <v>0</v>
      </c>
      <c r="BV327" s="127">
        <f>SUM(BV328:BV332)</f>
        <v>0</v>
      </c>
      <c r="BW327" s="127">
        <f>VLOOKUP($C327,'1 预算编制表单'!$C:$BJ,42,FALSE)</f>
        <v>0</v>
      </c>
      <c r="BX327" s="127">
        <f>BW327-BY327</f>
        <v>0</v>
      </c>
      <c r="BY327" s="127">
        <f>SUM(BY328:BY332)</f>
        <v>0</v>
      </c>
      <c r="BZ327" s="127">
        <f>VLOOKUP($C327,'1 预算编制表单'!$C:$BJ,45,FALSE)</f>
        <v>0</v>
      </c>
      <c r="CA327" s="127">
        <f>BZ327-CB327</f>
        <v>0</v>
      </c>
      <c r="CB327" s="127">
        <f>SUM(CB328:CB332)</f>
        <v>0</v>
      </c>
      <c r="CC327" s="127">
        <f>VLOOKUP($C327,'1 预算编制表单'!$C:$BJ,48,FALSE)</f>
        <v>0</v>
      </c>
      <c r="CD327" s="127">
        <f>CC327-CE327</f>
        <v>0</v>
      </c>
      <c r="CE327" s="127">
        <f>SUM(CE328:CE332)</f>
        <v>0</v>
      </c>
      <c r="CF327" s="127">
        <f>VLOOKUP($C327,'1 预算编制表单'!$C:$BJ,51,FALSE)</f>
        <v>0</v>
      </c>
      <c r="CG327" s="127">
        <f>CF327-CH327</f>
        <v>0</v>
      </c>
      <c r="CH327" s="127">
        <f>SUM(CH328:CH332)</f>
        <v>0</v>
      </c>
      <c r="CI327" s="127">
        <f>VLOOKUP($C327,'1 预算编制表单'!$C:$BJ,54,FALSE)</f>
        <v>0</v>
      </c>
      <c r="CJ327" s="127">
        <f>CI327-CK327</f>
        <v>0</v>
      </c>
      <c r="CK327" s="127">
        <f>SUM(CK328:CK332)</f>
        <v>0</v>
      </c>
      <c r="CL327" s="127">
        <f>VLOOKUP($C327,'1 预算编制表单'!$C:$BJ,57,FALSE)</f>
        <v>0</v>
      </c>
      <c r="CM327" s="127">
        <f>CL327-CN327</f>
        <v>0</v>
      </c>
      <c r="CN327" s="127">
        <f>SUM(CN328:CN332)</f>
        <v>0</v>
      </c>
      <c r="CO327" s="127">
        <f>VLOOKUP($C327,'1 预算编制表单'!$C:$BJ,60,FALSE)</f>
        <v>0</v>
      </c>
      <c r="CP327" s="127">
        <f>CO327-CQ327</f>
        <v>0</v>
      </c>
      <c r="CQ327" s="127">
        <f>SUM(CQ328:CQ332)</f>
        <v>0</v>
      </c>
    </row>
    <row r="328" s="89" customFormat="1" ht="24" hidden="1" customHeight="1" outlineLevel="4" spans="1:95">
      <c r="A328" s="128"/>
      <c r="B328" s="129"/>
      <c r="C328" s="130"/>
      <c r="D328" s="128"/>
      <c r="E328" s="129"/>
      <c r="F328" s="129"/>
      <c r="G328" s="129"/>
      <c r="H328" s="131"/>
      <c r="I328" s="131"/>
      <c r="J328" s="131">
        <f t="shared" si="3853"/>
        <v>0</v>
      </c>
      <c r="K328" s="131">
        <v>1</v>
      </c>
      <c r="L328" s="156"/>
      <c r="M328" s="157">
        <f>IFERROR(VLOOKUP($L328,'2-2 引出数据_合同数据仓库'!$B$5:$BP$200,3,FALSE),0)</f>
        <v>0</v>
      </c>
      <c r="N328" s="131"/>
      <c r="O328" s="157">
        <f>IFERROR(VLOOKUP((LEFT(VLOOKUP($L328,'2-2 引出数据_合同数据仓库'!$B$5:$BP$200,64,FALSE),15)&amp;(RIGHT(VLOOKUP($L328,'2-2 引出数据_合同数据仓库'!$B$5:$BP$200,64,FALSE),4)+1)),'2-2 引出数据_合同数据仓库'!$B$5:$BP$200,3,FALSE),0)</f>
        <v>0</v>
      </c>
      <c r="P328" s="131"/>
      <c r="Q328" s="131">
        <f>IFERROR(VLOOKUP($L328,'2-2 引出数据_合同数据仓库'!$B$5:$BP$200,28,FALSE),0)</f>
        <v>0</v>
      </c>
      <c r="R328" s="131">
        <f>IFERROR(VLOOKUP($L328,'2-2 引出数据_合同数据仓库'!$B$5:$BP$200,29,FALSE),0)</f>
        <v>0</v>
      </c>
      <c r="S328" s="131">
        <f>IFERROR(VLOOKUP($L328,'2-2 引出数据_合同数据仓库'!$B$5:$BP$200,4,FALSE),0)</f>
        <v>0</v>
      </c>
      <c r="T328" s="131"/>
      <c r="U328" s="131">
        <f>IFERROR(VLOOKUP($L328,'2-2 引出数据_合同数据仓库'!$B$5:$BP$200,15,FALSE),0)</f>
        <v>0</v>
      </c>
      <c r="V328" s="131">
        <f t="shared" ref="V328:V331" si="3854">U328/(S328-R328+1)*365</f>
        <v>0</v>
      </c>
      <c r="W328" s="131"/>
      <c r="X328" s="163">
        <v>45658</v>
      </c>
      <c r="Y328" s="163">
        <f t="shared" ref="Y328:Y331" si="3855">X328+30</f>
        <v>45688</v>
      </c>
      <c r="Z328" s="167">
        <f t="shared" ref="Z328:Z331" si="3856">IFERROR(IF(($R328-Y328)&gt;=0,0,IF(($S328-X328)&lt;0,0,IF(AND(($S328-Y328)&gt;0,(X328-$R328)&gt;0),$V328/365*(Y328-X328+1),IF(AND(($S328-Y328)&lt;=0,(X328-$R328)&gt;0),$V328/365*($S328-X328+1),$V328/365*(Y328-$R328+1))))),0)</f>
        <v>0</v>
      </c>
      <c r="AA328" s="163">
        <f t="shared" ref="AA328:AA331" si="3857">Y328+1</f>
        <v>45689</v>
      </c>
      <c r="AB328" s="163">
        <f t="shared" ref="AB328:AB331" si="3858">AA328+27</f>
        <v>45716</v>
      </c>
      <c r="AC328" s="167">
        <f t="shared" ref="AC328:AC331" si="3859">IFERROR(IF(($R328-AB328)&gt;=0,0,IF(($S328-AA328)&lt;0,0,IF(AND(($S328-AB328)&gt;0,(AA328-$R328)&gt;0),$V328/365*(AB328-AA328+1),IF(AND(($S328-AB328)&lt;=0,(AA328-$R328)&gt;0),$V328/365*($S328-AA328+1),$V328/365*(AB328-$R328+1))))),0)</f>
        <v>0</v>
      </c>
      <c r="AD328" s="163">
        <f t="shared" ref="AD328:AD331" si="3860">AB328+1</f>
        <v>45717</v>
      </c>
      <c r="AE328" s="163">
        <f t="shared" ref="AE328:AE331" si="3861">AD328+30</f>
        <v>45747</v>
      </c>
      <c r="AF328" s="167">
        <f t="shared" ref="AF328:AF331" si="3862">IFERROR(IF(($R328-AE328)&gt;=0,0,IF(($S328-AD328)&lt;0,0,IF(AND(($S328-AE328)&gt;0,(AD328-$R328)&gt;0),$V328/365*(AE328-AD328+1),IF(AND(($S328-AE328)&lt;=0,(AD328-$R328)&gt;0),$V328/365*($S328-AD328+1),$V328/365*(AE328-$R328+1))))),0)</f>
        <v>0</v>
      </c>
      <c r="AG328" s="163">
        <f t="shared" ref="AG328:AG331" si="3863">AE328+1</f>
        <v>45748</v>
      </c>
      <c r="AH328" s="163">
        <f t="shared" ref="AH328:AH331" si="3864">AG328+29</f>
        <v>45777</v>
      </c>
      <c r="AI328" s="167">
        <f t="shared" ref="AI328:AI331" si="3865">IFERROR(IF(($R328-AH328)&gt;=0,0,IF(($S328-AG328)&lt;0,0,IF(AND(($S328-AH328)&gt;0,(AG328-$R328)&gt;0),$V328/365*(AH328-AG328+1),IF(AND(($S328-AH328)&lt;=0,(AG328-$R328)&gt;0),$V328/365*($S328-AG328+1),$V328/365*(AH328-$R328+1))))),0)</f>
        <v>0</v>
      </c>
      <c r="AJ328" s="163">
        <f t="shared" ref="AJ328:AJ331" si="3866">AH328+1</f>
        <v>45778</v>
      </c>
      <c r="AK328" s="163">
        <f t="shared" ref="AK328:AK331" si="3867">AJ328+30</f>
        <v>45808</v>
      </c>
      <c r="AL328" s="167">
        <f t="shared" ref="AL328:AL331" si="3868">IFERROR(IF(($R328-AK328)&gt;=0,0,IF(($S328-AJ328)&lt;0,0,IF(AND(($S328-AK328)&gt;0,(AJ328-$R328)&gt;0),$V328/365*(AK328-AJ328+1),IF(AND(($S328-AK328)&lt;=0,(AJ328-$R328)&gt;0),$V328/365*($S328-AJ328+1),$V328/365*(AK328-$R328+1))))),0)</f>
        <v>0</v>
      </c>
      <c r="AM328" s="163">
        <f t="shared" ref="AM328:AM331" si="3869">AK328+1</f>
        <v>45809</v>
      </c>
      <c r="AN328" s="163">
        <f t="shared" ref="AN328:AN331" si="3870">AM328+29</f>
        <v>45838</v>
      </c>
      <c r="AO328" s="167">
        <f t="shared" ref="AO328:AO331" si="3871">IFERROR(IF(($R328-AN328)&gt;=0,0,IF(($S328-AM328)&lt;0,0,IF(AND(($S328-AN328)&gt;0,(AM328-$R328)&gt;0),$V328/365*(AN328-AM328+1),IF(AND(($S328-AN328)&lt;=0,(AM328-$R328)&gt;0),$V328/365*($S328-AM328+1),$V328/365*(AN328-$R328+1))))),0)</f>
        <v>0</v>
      </c>
      <c r="AP328" s="163">
        <f t="shared" ref="AP328:AP331" si="3872">AN328+1</f>
        <v>45839</v>
      </c>
      <c r="AQ328" s="163">
        <f t="shared" ref="AQ328:AQ331" si="3873">AP328+30</f>
        <v>45869</v>
      </c>
      <c r="AR328" s="167">
        <f t="shared" ref="AR328:AR331" si="3874">IFERROR(IF(($R328-AQ328)&gt;=0,0,IF(($S328-AP328)&lt;0,0,IF(AND(($S328-AQ328)&gt;0,(AP328-$R328)&gt;0),$V328/365*(AQ328-AP328+1),IF(AND(($S328-AQ328)&lt;=0,(AP328-$R328)&gt;0),$V328/365*($S328-AP328+1),$V328/365*(AQ328-$R328+1))))),0)</f>
        <v>0</v>
      </c>
      <c r="AS328" s="163">
        <f t="shared" ref="AS328:AS331" si="3875">AQ328+1</f>
        <v>45870</v>
      </c>
      <c r="AT328" s="163">
        <f t="shared" ref="AT328:AT331" si="3876">AS328+30</f>
        <v>45900</v>
      </c>
      <c r="AU328" s="167">
        <f t="shared" ref="AU328:AU331" si="3877">IFERROR(IF(($R328-AT328)&gt;=0,0,IF(($S328-AS328)&lt;0,0,IF(AND(($S328-AT328)&gt;0,(AS328-$R328)&gt;0),$V328/365*(AT328-AS328+1),IF(AND(($S328-AT328)&lt;=0,(AS328-$R328)&gt;0),$V328/365*($S328-AS328+1),$V328/365*(AT328-$R328+1))))),0)</f>
        <v>0</v>
      </c>
      <c r="AV328" s="163">
        <f t="shared" ref="AV328:AV331" si="3878">AT328+1</f>
        <v>45901</v>
      </c>
      <c r="AW328" s="163">
        <f t="shared" ref="AW328:AW331" si="3879">AV328+29</f>
        <v>45930</v>
      </c>
      <c r="AX328" s="167">
        <f t="shared" ref="AX328:AX331" si="3880">IFERROR(IF(($R328-AW328)&gt;=0,0,IF(($S328-AV328)&lt;0,0,IF(AND(($S328-AW328)&gt;0,(AV328-$R328)&gt;0),$V328/365*(AW328-AV328+1),IF(AND(($S328-AW328)&lt;=0,(AV328-$R328)&gt;0),$V328/365*($S328-AV328+1),$V328/365*(AW328-$R328+1))))),0)</f>
        <v>0</v>
      </c>
      <c r="AY328" s="163">
        <f t="shared" ref="AY328:AY331" si="3881">AW328+1</f>
        <v>45931</v>
      </c>
      <c r="AZ328" s="163">
        <f t="shared" ref="AZ328:AZ331" si="3882">AY328+30</f>
        <v>45961</v>
      </c>
      <c r="BA328" s="167">
        <f t="shared" ref="BA328:BA331" si="3883">IFERROR(IF(($R328-AZ328)&gt;=0,0,IF(($S328-AY328)&lt;0,0,IF(AND(($S328-AZ328)&gt;0,(AY328-$R328)&gt;0),$V328/365*(AZ328-AY328+1),IF(AND(($S328-AZ328)&lt;=0,(AY328-$R328)&gt;0),$V328/365*($S328-AY328+1),$V328/365*(AZ328-$R328+1))))),0)</f>
        <v>0</v>
      </c>
      <c r="BB328" s="163">
        <f t="shared" ref="BB328:BB331" si="3884">AZ328+1</f>
        <v>45962</v>
      </c>
      <c r="BC328" s="163">
        <f t="shared" ref="BC328:BC331" si="3885">BB328+29</f>
        <v>45991</v>
      </c>
      <c r="BD328" s="167">
        <f t="shared" ref="BD328:BD331" si="3886">IFERROR(IF(($R328-BC328)&gt;=0,0,IF(($S328-BB328)&lt;0,0,IF(AND(($S328-BC328)&gt;0,(BB328-$R328)&gt;0),$V328/365*(BC328-BB328+1),IF(AND(($S328-BC328)&lt;=0,(BB328-$R328)&gt;0),$V328/365*($S328-BB328+1),$V328/365*(BC328-$R328+1))))),0)</f>
        <v>0</v>
      </c>
      <c r="BE328" s="163">
        <f t="shared" ref="BE328:BE331" si="3887">BC328+1</f>
        <v>45992</v>
      </c>
      <c r="BF328" s="163">
        <f t="shared" ref="BF328:BF331" si="3888">BE328+30</f>
        <v>46022</v>
      </c>
      <c r="BG328" s="167">
        <f t="shared" ref="BG328:BG331" si="3889">IFERROR(IF(($R328-BF328)&gt;=0,0,IF(($S328-BE328)&lt;0,0,IF(AND(($S328-BF328)&gt;0,(BE328-$R328)&gt;0),$V328/365*(BF328-BE328+1),IF(AND(($S328-BF328)&lt;=0,(BE328-$R328)&gt;0),$V328/365*($S328-BE328+1),$V328/365*(BF328-$R328+1))))),0)</f>
        <v>0</v>
      </c>
      <c r="BH328" s="163">
        <v>46023</v>
      </c>
      <c r="BI328" s="163">
        <f t="shared" ref="BI328:BI331" si="3890">BH328+30</f>
        <v>46053</v>
      </c>
      <c r="BJ328" s="167">
        <f t="shared" ref="BJ328:BJ331" si="3891">IFERROR(IF(($R328-BI328)&gt;=0,0,IF(($S328-BH328)&lt;0,0,IF(AND(($S328-BI328)&gt;0,(BH328-$R328)&gt;0),$V328/365*(BI328-BH328+1),IF(AND(($S328-BI328)&lt;=0,(BH328-$R328)&gt;0),$V328/365*($S328-BH328+1),$V328/365*(BI328-$R328+1))))),0)</f>
        <v>0</v>
      </c>
      <c r="BK328" s="163">
        <f t="shared" ref="BK328:BK331" si="3892">BI328+1</f>
        <v>46054</v>
      </c>
      <c r="BL328" s="163">
        <f t="shared" ref="BL328:BL331" si="3893">BK328+27</f>
        <v>46081</v>
      </c>
      <c r="BM328" s="167">
        <f t="shared" ref="BM328:BM331" si="3894">IFERROR(IF(($R328-BL328)&gt;=0,0,IF(($S328-BK328)&lt;0,0,IF(AND(($S328-BL328)&gt;0,(BK328-$R328)&gt;0),$V328/365*(BL328-BK328+1),IF(AND(($S328-BL328)&lt;=0,(BK328-$R328)&gt;0),$V328/365*($S328-BK328+1),$V328/365*(BL328-$R328+1))))),0)</f>
        <v>0</v>
      </c>
      <c r="BN328" s="163">
        <f t="shared" ref="BN328:BN331" si="3895">BL328+1</f>
        <v>46082</v>
      </c>
      <c r="BO328" s="163">
        <f t="shared" ref="BO328:BO331" si="3896">BN328+30</f>
        <v>46112</v>
      </c>
      <c r="BP328" s="167">
        <f t="shared" ref="BP328:BP331" si="3897">IFERROR(IF(($R328-BO328)&gt;=0,0,IF(($S328-BN328)&lt;0,0,IF(AND(($S328-BO328)&gt;0,(BN328-$R328)&gt;0),$V328/365*(BO328-BN328+1),IF(AND(($S328-BO328)&lt;=0,(BN328-$R328)&gt;0),$V328/365*($S328-BN328+1),$V328/365*(BO328-$R328+1))))),0)</f>
        <v>0</v>
      </c>
      <c r="BQ328" s="163">
        <f t="shared" ref="BQ328:BQ331" si="3898">BO328+1</f>
        <v>46113</v>
      </c>
      <c r="BR328" s="163">
        <f t="shared" ref="BR328:BR331" si="3899">BQ328+29</f>
        <v>46142</v>
      </c>
      <c r="BS328" s="167">
        <f t="shared" ref="BS328:BS331" si="3900">IFERROR(IF(($R328-BR328)&gt;=0,0,IF(($S328-BQ328)&lt;0,0,IF(AND(($S328-BR328)&gt;0,(BQ328-$R328)&gt;0),$V328/365*(BR328-BQ328+1),IF(AND(($S328-BR328)&lt;=0,(BQ328-$R328)&gt;0),$V328/365*($S328-BQ328+1),$V328/365*(BR328-$R328+1))))),0)</f>
        <v>0</v>
      </c>
      <c r="BT328" s="163">
        <f t="shared" ref="BT328:BT331" si="3901">BR328+1</f>
        <v>46143</v>
      </c>
      <c r="BU328" s="163">
        <f t="shared" ref="BU328:BU331" si="3902">BT328+30</f>
        <v>46173</v>
      </c>
      <c r="BV328" s="167">
        <f t="shared" ref="BV328:BV331" si="3903">IFERROR(IF(($R328-BU328)&gt;=0,0,IF(($S328-BT328)&lt;0,0,IF(AND(($S328-BU328)&gt;0,(BT328-$R328)&gt;0),$V328/365*(BU328-BT328+1),IF(AND(($S328-BU328)&lt;=0,(BT328-$R328)&gt;0),$V328/365*($S328-BT328+1),$V328/365*(BU328-$R328+1))))),0)</f>
        <v>0</v>
      </c>
      <c r="BW328" s="163">
        <f t="shared" ref="BW328:BW331" si="3904">BU328+1</f>
        <v>46174</v>
      </c>
      <c r="BX328" s="163">
        <f t="shared" ref="BX328:BX331" si="3905">BW328+29</f>
        <v>46203</v>
      </c>
      <c r="BY328" s="167">
        <f t="shared" ref="BY328:BY331" si="3906">IFERROR(IF(($R328-BX328)&gt;=0,0,IF(($S328-BW328)&lt;0,0,IF(AND(($S328-BX328)&gt;0,(BW328-$R328)&gt;0),$V328/365*(BX328-BW328+1),IF(AND(($S328-BX328)&lt;=0,(BW328-$R328)&gt;0),$V328/365*($S328-BW328+1),$V328/365*(BX328-$R328+1))))),0)</f>
        <v>0</v>
      </c>
      <c r="BZ328" s="163">
        <f t="shared" ref="BZ328:BZ331" si="3907">BX328+1</f>
        <v>46204</v>
      </c>
      <c r="CA328" s="163">
        <f t="shared" ref="CA328:CA331" si="3908">BZ328+30</f>
        <v>46234</v>
      </c>
      <c r="CB328" s="167">
        <f t="shared" ref="CB328:CB331" si="3909">IFERROR(IF(($R328-CA328)&gt;=0,0,IF(($S328-BZ328)&lt;0,0,IF(AND(($S328-CA328)&gt;0,(BZ328-$R328)&gt;0),$V328/365*(CA328-BZ328+1),IF(AND(($S328-CA328)&lt;=0,(BZ328-$R328)&gt;0),$V328/365*($S328-BZ328+1),$V328/365*(CA328-$R328+1))))),0)</f>
        <v>0</v>
      </c>
      <c r="CC328" s="163">
        <f t="shared" ref="CC328:CC331" si="3910">CA328+1</f>
        <v>46235</v>
      </c>
      <c r="CD328" s="163">
        <f t="shared" ref="CD328:CD331" si="3911">CC328+30</f>
        <v>46265</v>
      </c>
      <c r="CE328" s="167">
        <f t="shared" ref="CE328:CE331" si="3912">IFERROR(IF(($R328-CD328)&gt;=0,0,IF(($S328-CC328)&lt;0,0,IF(AND(($S328-CD328)&gt;0,(CC328-$R328)&gt;0),$V328/365*(CD328-CC328+1),IF(AND(($S328-CD328)&lt;=0,(CC328-$R328)&gt;0),$V328/365*($S328-CC328+1),$V328/365*(CD328-$R328+1))))),0)</f>
        <v>0</v>
      </c>
      <c r="CF328" s="163">
        <f t="shared" ref="CF328:CF331" si="3913">CD328+1</f>
        <v>46266</v>
      </c>
      <c r="CG328" s="163">
        <f t="shared" ref="CG328:CG331" si="3914">CF328+29</f>
        <v>46295</v>
      </c>
      <c r="CH328" s="167">
        <f t="shared" ref="CH328:CH331" si="3915">IFERROR(IF(($R328-CG328)&gt;=0,0,IF(($S328-CF328)&lt;0,0,IF(AND(($S328-CG328)&gt;0,(CF328-$R328)&gt;0),$V328/365*(CG328-CF328+1),IF(AND(($S328-CG328)&lt;=0,(CF328-$R328)&gt;0),$V328/365*($S328-CF328+1),$V328/365*(CG328-$R328+1))))),0)</f>
        <v>0</v>
      </c>
      <c r="CI328" s="163">
        <f t="shared" ref="CI328:CI331" si="3916">CG328+1</f>
        <v>46296</v>
      </c>
      <c r="CJ328" s="163">
        <f t="shared" ref="CJ328:CJ331" si="3917">CI328+30</f>
        <v>46326</v>
      </c>
      <c r="CK328" s="167">
        <f t="shared" ref="CK328:CK331" si="3918">IFERROR(IF(($R328-CJ328)&gt;=0,0,IF(($S328-CI328)&lt;0,0,IF(AND(($S328-CJ328)&gt;0,(CI328-$R328)&gt;0),$V328/365*(CJ328-CI328+1),IF(AND(($S328-CJ328)&lt;=0,(CI328-$R328)&gt;0),$V328/365*($S328-CI328+1),$V328/365*(CJ328-$R328+1))))),0)</f>
        <v>0</v>
      </c>
      <c r="CL328" s="163">
        <f t="shared" ref="CL328:CL331" si="3919">CJ328+1</f>
        <v>46327</v>
      </c>
      <c r="CM328" s="163">
        <f t="shared" ref="CM328:CM331" si="3920">CL328+29</f>
        <v>46356</v>
      </c>
      <c r="CN328" s="167">
        <f t="shared" ref="CN328:CN331" si="3921">IFERROR(IF(($R328-CM328)&gt;=0,0,IF(($S328-CL328)&lt;0,0,IF(AND(($S328-CM328)&gt;0,(CL328-$R328)&gt;0),$V328/365*(CM328-CL328+1),IF(AND(($S328-CM328)&lt;=0,(CL328-$R328)&gt;0),$V328/365*($S328-CL328+1),$V328/365*(CM328-$R328+1))))),0)</f>
        <v>0</v>
      </c>
      <c r="CO328" s="163">
        <f t="shared" ref="CO328:CO331" si="3922">CM328+1</f>
        <v>46357</v>
      </c>
      <c r="CP328" s="163">
        <f t="shared" ref="CP328:CP331" si="3923">CO328+30</f>
        <v>46387</v>
      </c>
      <c r="CQ328" s="167">
        <f t="shared" ref="CQ328:CQ331" si="3924">IFERROR(IF(($R328-CP328)&gt;=0,0,IF(($S328-CO328)&lt;0,0,IF(AND(($S328-CP328)&gt;0,(CO328-$R328)&gt;0),$V328/365*(CP328-CO328+1),IF(AND(($S328-CP328)&lt;=0,(CO328-$R328)&gt;0),$V328/365*($S328-CO328+1),$V328/365*(CP328-$R328+1))))),0)</f>
        <v>0</v>
      </c>
    </row>
    <row r="329" s="89" customFormat="1" ht="24" hidden="1" customHeight="1" outlineLevel="4" spans="1:95">
      <c r="A329" s="128"/>
      <c r="B329" s="129"/>
      <c r="C329" s="130"/>
      <c r="D329" s="128"/>
      <c r="E329" s="129"/>
      <c r="F329" s="129"/>
      <c r="G329" s="129"/>
      <c r="H329" s="131"/>
      <c r="I329" s="131"/>
      <c r="J329" s="131">
        <f t="shared" si="3853"/>
        <v>0</v>
      </c>
      <c r="K329" s="131">
        <f t="shared" ref="K329:K331" si="3925">K328+1</f>
        <v>2</v>
      </c>
      <c r="L329" s="156"/>
      <c r="M329" s="157">
        <f>IFERROR(VLOOKUP($L329,'2-2 引出数据_合同数据仓库'!$B$5:$BP$200,3,FALSE),0)</f>
        <v>0</v>
      </c>
      <c r="N329" s="131"/>
      <c r="O329" s="157">
        <f>IFERROR(VLOOKUP((LEFT(VLOOKUP($L329,'2-2 引出数据_合同数据仓库'!$B$5:$BP$200,64,FALSE),15)&amp;(RIGHT(VLOOKUP($L329,'2-2 引出数据_合同数据仓库'!$B$5:$BP$200,64,FALSE),4)+1)),'2-2 引出数据_合同数据仓库'!$B$5:$BP$200,3,FALSE),0)</f>
        <v>0</v>
      </c>
      <c r="P329" s="131"/>
      <c r="Q329" s="131">
        <f>IFERROR(VLOOKUP($L329,'2-2 引出数据_合同数据仓库'!$B$5:$BP$200,28,FALSE),0)</f>
        <v>0</v>
      </c>
      <c r="R329" s="131">
        <f>IFERROR(VLOOKUP($L329,'2-2 引出数据_合同数据仓库'!$B$5:$BP$200,29,FALSE),0)</f>
        <v>0</v>
      </c>
      <c r="S329" s="131">
        <f>IFERROR(VLOOKUP($L329,'2-2 引出数据_合同数据仓库'!$B$5:$BP$200,4,FALSE),0)</f>
        <v>0</v>
      </c>
      <c r="T329" s="131"/>
      <c r="U329" s="131">
        <f>IFERROR(VLOOKUP($L329,'2-2 引出数据_合同数据仓库'!$B$5:$BP$200,15,FALSE),0)</f>
        <v>0</v>
      </c>
      <c r="V329" s="131">
        <f t="shared" si="3854"/>
        <v>0</v>
      </c>
      <c r="W329" s="131"/>
      <c r="X329" s="163">
        <v>45658</v>
      </c>
      <c r="Y329" s="163">
        <f t="shared" si="3855"/>
        <v>45688</v>
      </c>
      <c r="Z329" s="167">
        <f t="shared" si="3856"/>
        <v>0</v>
      </c>
      <c r="AA329" s="163">
        <f t="shared" si="3857"/>
        <v>45689</v>
      </c>
      <c r="AB329" s="163">
        <f t="shared" si="3858"/>
        <v>45716</v>
      </c>
      <c r="AC329" s="167">
        <f t="shared" si="3859"/>
        <v>0</v>
      </c>
      <c r="AD329" s="163">
        <f t="shared" si="3860"/>
        <v>45717</v>
      </c>
      <c r="AE329" s="163">
        <f t="shared" si="3861"/>
        <v>45747</v>
      </c>
      <c r="AF329" s="167">
        <f t="shared" si="3862"/>
        <v>0</v>
      </c>
      <c r="AG329" s="163">
        <f t="shared" si="3863"/>
        <v>45748</v>
      </c>
      <c r="AH329" s="163">
        <f t="shared" si="3864"/>
        <v>45777</v>
      </c>
      <c r="AI329" s="167">
        <f t="shared" si="3865"/>
        <v>0</v>
      </c>
      <c r="AJ329" s="163">
        <f t="shared" si="3866"/>
        <v>45778</v>
      </c>
      <c r="AK329" s="163">
        <f t="shared" si="3867"/>
        <v>45808</v>
      </c>
      <c r="AL329" s="167">
        <f t="shared" si="3868"/>
        <v>0</v>
      </c>
      <c r="AM329" s="163">
        <f t="shared" si="3869"/>
        <v>45809</v>
      </c>
      <c r="AN329" s="163">
        <f t="shared" si="3870"/>
        <v>45838</v>
      </c>
      <c r="AO329" s="167">
        <f t="shared" si="3871"/>
        <v>0</v>
      </c>
      <c r="AP329" s="163">
        <f t="shared" si="3872"/>
        <v>45839</v>
      </c>
      <c r="AQ329" s="163">
        <f t="shared" si="3873"/>
        <v>45869</v>
      </c>
      <c r="AR329" s="167">
        <f t="shared" si="3874"/>
        <v>0</v>
      </c>
      <c r="AS329" s="163">
        <f t="shared" si="3875"/>
        <v>45870</v>
      </c>
      <c r="AT329" s="163">
        <f t="shared" si="3876"/>
        <v>45900</v>
      </c>
      <c r="AU329" s="167">
        <f t="shared" si="3877"/>
        <v>0</v>
      </c>
      <c r="AV329" s="163">
        <f t="shared" si="3878"/>
        <v>45901</v>
      </c>
      <c r="AW329" s="163">
        <f t="shared" si="3879"/>
        <v>45930</v>
      </c>
      <c r="AX329" s="167">
        <f t="shared" si="3880"/>
        <v>0</v>
      </c>
      <c r="AY329" s="163">
        <f t="shared" si="3881"/>
        <v>45931</v>
      </c>
      <c r="AZ329" s="163">
        <f t="shared" si="3882"/>
        <v>45961</v>
      </c>
      <c r="BA329" s="167">
        <f t="shared" si="3883"/>
        <v>0</v>
      </c>
      <c r="BB329" s="163">
        <f t="shared" si="3884"/>
        <v>45962</v>
      </c>
      <c r="BC329" s="163">
        <f t="shared" si="3885"/>
        <v>45991</v>
      </c>
      <c r="BD329" s="167">
        <f t="shared" si="3886"/>
        <v>0</v>
      </c>
      <c r="BE329" s="163">
        <f t="shared" si="3887"/>
        <v>45992</v>
      </c>
      <c r="BF329" s="163">
        <f t="shared" si="3888"/>
        <v>46022</v>
      </c>
      <c r="BG329" s="167">
        <f t="shared" si="3889"/>
        <v>0</v>
      </c>
      <c r="BH329" s="163">
        <v>46023</v>
      </c>
      <c r="BI329" s="163">
        <f t="shared" si="3890"/>
        <v>46053</v>
      </c>
      <c r="BJ329" s="167">
        <f t="shared" si="3891"/>
        <v>0</v>
      </c>
      <c r="BK329" s="163">
        <f t="shared" si="3892"/>
        <v>46054</v>
      </c>
      <c r="BL329" s="163">
        <f t="shared" si="3893"/>
        <v>46081</v>
      </c>
      <c r="BM329" s="167">
        <f t="shared" si="3894"/>
        <v>0</v>
      </c>
      <c r="BN329" s="163">
        <f t="shared" si="3895"/>
        <v>46082</v>
      </c>
      <c r="BO329" s="163">
        <f t="shared" si="3896"/>
        <v>46112</v>
      </c>
      <c r="BP329" s="167">
        <f t="shared" si="3897"/>
        <v>0</v>
      </c>
      <c r="BQ329" s="163">
        <f t="shared" si="3898"/>
        <v>46113</v>
      </c>
      <c r="BR329" s="163">
        <f t="shared" si="3899"/>
        <v>46142</v>
      </c>
      <c r="BS329" s="167">
        <f t="shared" si="3900"/>
        <v>0</v>
      </c>
      <c r="BT329" s="163">
        <f t="shared" si="3901"/>
        <v>46143</v>
      </c>
      <c r="BU329" s="163">
        <f t="shared" si="3902"/>
        <v>46173</v>
      </c>
      <c r="BV329" s="167">
        <f t="shared" si="3903"/>
        <v>0</v>
      </c>
      <c r="BW329" s="163">
        <f t="shared" si="3904"/>
        <v>46174</v>
      </c>
      <c r="BX329" s="163">
        <f t="shared" si="3905"/>
        <v>46203</v>
      </c>
      <c r="BY329" s="167">
        <f t="shared" si="3906"/>
        <v>0</v>
      </c>
      <c r="BZ329" s="163">
        <f t="shared" si="3907"/>
        <v>46204</v>
      </c>
      <c r="CA329" s="163">
        <f t="shared" si="3908"/>
        <v>46234</v>
      </c>
      <c r="CB329" s="167">
        <f t="shared" si="3909"/>
        <v>0</v>
      </c>
      <c r="CC329" s="163">
        <f t="shared" si="3910"/>
        <v>46235</v>
      </c>
      <c r="CD329" s="163">
        <f t="shared" si="3911"/>
        <v>46265</v>
      </c>
      <c r="CE329" s="167">
        <f t="shared" si="3912"/>
        <v>0</v>
      </c>
      <c r="CF329" s="163">
        <f t="shared" si="3913"/>
        <v>46266</v>
      </c>
      <c r="CG329" s="163">
        <f t="shared" si="3914"/>
        <v>46295</v>
      </c>
      <c r="CH329" s="167">
        <f t="shared" si="3915"/>
        <v>0</v>
      </c>
      <c r="CI329" s="163">
        <f t="shared" si="3916"/>
        <v>46296</v>
      </c>
      <c r="CJ329" s="163">
        <f t="shared" si="3917"/>
        <v>46326</v>
      </c>
      <c r="CK329" s="167">
        <f t="shared" si="3918"/>
        <v>0</v>
      </c>
      <c r="CL329" s="163">
        <f t="shared" si="3919"/>
        <v>46327</v>
      </c>
      <c r="CM329" s="163">
        <f t="shared" si="3920"/>
        <v>46356</v>
      </c>
      <c r="CN329" s="167">
        <f t="shared" si="3921"/>
        <v>0</v>
      </c>
      <c r="CO329" s="163">
        <f t="shared" si="3922"/>
        <v>46357</v>
      </c>
      <c r="CP329" s="163">
        <f t="shared" si="3923"/>
        <v>46387</v>
      </c>
      <c r="CQ329" s="167">
        <f t="shared" si="3924"/>
        <v>0</v>
      </c>
    </row>
    <row r="330" s="89" customFormat="1" ht="24" hidden="1" customHeight="1" outlineLevel="4" spans="1:95">
      <c r="A330" s="128"/>
      <c r="B330" s="129"/>
      <c r="C330" s="130"/>
      <c r="D330" s="128"/>
      <c r="E330" s="129"/>
      <c r="F330" s="129"/>
      <c r="G330" s="129"/>
      <c r="H330" s="131"/>
      <c r="I330" s="131"/>
      <c r="J330" s="131">
        <f t="shared" si="3853"/>
        <v>0</v>
      </c>
      <c r="K330" s="131">
        <f t="shared" si="3925"/>
        <v>3</v>
      </c>
      <c r="L330" s="156"/>
      <c r="M330" s="157">
        <f>IFERROR(VLOOKUP($L330,'2-2 引出数据_合同数据仓库'!$B$5:$BP$200,3,FALSE),0)</f>
        <v>0</v>
      </c>
      <c r="N330" s="131"/>
      <c r="O330" s="157">
        <f>IFERROR(VLOOKUP((LEFT(VLOOKUP($L330,'2-2 引出数据_合同数据仓库'!$B$5:$BP$200,64,FALSE),15)&amp;(RIGHT(VLOOKUP($L330,'2-2 引出数据_合同数据仓库'!$B$5:$BP$200,64,FALSE),4)+1)),'2-2 引出数据_合同数据仓库'!$B$5:$BP$200,3,FALSE),0)</f>
        <v>0</v>
      </c>
      <c r="P330" s="131"/>
      <c r="Q330" s="131">
        <f>IFERROR(VLOOKUP($L330,'2-2 引出数据_合同数据仓库'!$B$5:$BP$200,28,FALSE),0)</f>
        <v>0</v>
      </c>
      <c r="R330" s="131">
        <f>IFERROR(VLOOKUP($L330,'2-2 引出数据_合同数据仓库'!$B$5:$BP$200,29,FALSE),0)</f>
        <v>0</v>
      </c>
      <c r="S330" s="131">
        <f>IFERROR(VLOOKUP($L330,'2-2 引出数据_合同数据仓库'!$B$5:$BP$200,4,FALSE),0)</f>
        <v>0</v>
      </c>
      <c r="T330" s="131"/>
      <c r="U330" s="131">
        <f>IFERROR(VLOOKUP($L330,'2-2 引出数据_合同数据仓库'!$B$5:$BP$200,15,FALSE),0)</f>
        <v>0</v>
      </c>
      <c r="V330" s="131">
        <f t="shared" si="3854"/>
        <v>0</v>
      </c>
      <c r="W330" s="131"/>
      <c r="X330" s="163">
        <v>45658</v>
      </c>
      <c r="Y330" s="163">
        <f t="shared" si="3855"/>
        <v>45688</v>
      </c>
      <c r="Z330" s="167">
        <f t="shared" si="3856"/>
        <v>0</v>
      </c>
      <c r="AA330" s="163">
        <f t="shared" si="3857"/>
        <v>45689</v>
      </c>
      <c r="AB330" s="163">
        <f t="shared" si="3858"/>
        <v>45716</v>
      </c>
      <c r="AC330" s="167">
        <f t="shared" si="3859"/>
        <v>0</v>
      </c>
      <c r="AD330" s="163">
        <f t="shared" si="3860"/>
        <v>45717</v>
      </c>
      <c r="AE330" s="163">
        <f t="shared" si="3861"/>
        <v>45747</v>
      </c>
      <c r="AF330" s="167">
        <f t="shared" si="3862"/>
        <v>0</v>
      </c>
      <c r="AG330" s="163">
        <f t="shared" si="3863"/>
        <v>45748</v>
      </c>
      <c r="AH330" s="163">
        <f t="shared" si="3864"/>
        <v>45777</v>
      </c>
      <c r="AI330" s="167">
        <f t="shared" si="3865"/>
        <v>0</v>
      </c>
      <c r="AJ330" s="163">
        <f t="shared" si="3866"/>
        <v>45778</v>
      </c>
      <c r="AK330" s="163">
        <f t="shared" si="3867"/>
        <v>45808</v>
      </c>
      <c r="AL330" s="167">
        <f t="shared" si="3868"/>
        <v>0</v>
      </c>
      <c r="AM330" s="163">
        <f t="shared" si="3869"/>
        <v>45809</v>
      </c>
      <c r="AN330" s="163">
        <f t="shared" si="3870"/>
        <v>45838</v>
      </c>
      <c r="AO330" s="167">
        <f t="shared" si="3871"/>
        <v>0</v>
      </c>
      <c r="AP330" s="163">
        <f t="shared" si="3872"/>
        <v>45839</v>
      </c>
      <c r="AQ330" s="163">
        <f t="shared" si="3873"/>
        <v>45869</v>
      </c>
      <c r="AR330" s="167">
        <f t="shared" si="3874"/>
        <v>0</v>
      </c>
      <c r="AS330" s="163">
        <f t="shared" si="3875"/>
        <v>45870</v>
      </c>
      <c r="AT330" s="163">
        <f t="shared" si="3876"/>
        <v>45900</v>
      </c>
      <c r="AU330" s="167">
        <f t="shared" si="3877"/>
        <v>0</v>
      </c>
      <c r="AV330" s="163">
        <f t="shared" si="3878"/>
        <v>45901</v>
      </c>
      <c r="AW330" s="163">
        <f t="shared" si="3879"/>
        <v>45930</v>
      </c>
      <c r="AX330" s="167">
        <f t="shared" si="3880"/>
        <v>0</v>
      </c>
      <c r="AY330" s="163">
        <f t="shared" si="3881"/>
        <v>45931</v>
      </c>
      <c r="AZ330" s="163">
        <f t="shared" si="3882"/>
        <v>45961</v>
      </c>
      <c r="BA330" s="167">
        <f t="shared" si="3883"/>
        <v>0</v>
      </c>
      <c r="BB330" s="163">
        <f t="shared" si="3884"/>
        <v>45962</v>
      </c>
      <c r="BC330" s="163">
        <f t="shared" si="3885"/>
        <v>45991</v>
      </c>
      <c r="BD330" s="167">
        <f t="shared" si="3886"/>
        <v>0</v>
      </c>
      <c r="BE330" s="163">
        <f t="shared" si="3887"/>
        <v>45992</v>
      </c>
      <c r="BF330" s="163">
        <f t="shared" si="3888"/>
        <v>46022</v>
      </c>
      <c r="BG330" s="167">
        <f t="shared" si="3889"/>
        <v>0</v>
      </c>
      <c r="BH330" s="163">
        <v>46023</v>
      </c>
      <c r="BI330" s="163">
        <f t="shared" si="3890"/>
        <v>46053</v>
      </c>
      <c r="BJ330" s="167">
        <f t="shared" si="3891"/>
        <v>0</v>
      </c>
      <c r="BK330" s="163">
        <f t="shared" si="3892"/>
        <v>46054</v>
      </c>
      <c r="BL330" s="163">
        <f t="shared" si="3893"/>
        <v>46081</v>
      </c>
      <c r="BM330" s="167">
        <f t="shared" si="3894"/>
        <v>0</v>
      </c>
      <c r="BN330" s="163">
        <f t="shared" si="3895"/>
        <v>46082</v>
      </c>
      <c r="BO330" s="163">
        <f t="shared" si="3896"/>
        <v>46112</v>
      </c>
      <c r="BP330" s="167">
        <f t="shared" si="3897"/>
        <v>0</v>
      </c>
      <c r="BQ330" s="163">
        <f t="shared" si="3898"/>
        <v>46113</v>
      </c>
      <c r="BR330" s="163">
        <f t="shared" si="3899"/>
        <v>46142</v>
      </c>
      <c r="BS330" s="167">
        <f t="shared" si="3900"/>
        <v>0</v>
      </c>
      <c r="BT330" s="163">
        <f t="shared" si="3901"/>
        <v>46143</v>
      </c>
      <c r="BU330" s="163">
        <f t="shared" si="3902"/>
        <v>46173</v>
      </c>
      <c r="BV330" s="167">
        <f t="shared" si="3903"/>
        <v>0</v>
      </c>
      <c r="BW330" s="163">
        <f t="shared" si="3904"/>
        <v>46174</v>
      </c>
      <c r="BX330" s="163">
        <f t="shared" si="3905"/>
        <v>46203</v>
      </c>
      <c r="BY330" s="167">
        <f t="shared" si="3906"/>
        <v>0</v>
      </c>
      <c r="BZ330" s="163">
        <f t="shared" si="3907"/>
        <v>46204</v>
      </c>
      <c r="CA330" s="163">
        <f t="shared" si="3908"/>
        <v>46234</v>
      </c>
      <c r="CB330" s="167">
        <f t="shared" si="3909"/>
        <v>0</v>
      </c>
      <c r="CC330" s="163">
        <f t="shared" si="3910"/>
        <v>46235</v>
      </c>
      <c r="CD330" s="163">
        <f t="shared" si="3911"/>
        <v>46265</v>
      </c>
      <c r="CE330" s="167">
        <f t="shared" si="3912"/>
        <v>0</v>
      </c>
      <c r="CF330" s="163">
        <f t="shared" si="3913"/>
        <v>46266</v>
      </c>
      <c r="CG330" s="163">
        <f t="shared" si="3914"/>
        <v>46295</v>
      </c>
      <c r="CH330" s="167">
        <f t="shared" si="3915"/>
        <v>0</v>
      </c>
      <c r="CI330" s="163">
        <f t="shared" si="3916"/>
        <v>46296</v>
      </c>
      <c r="CJ330" s="163">
        <f t="shared" si="3917"/>
        <v>46326</v>
      </c>
      <c r="CK330" s="167">
        <f t="shared" si="3918"/>
        <v>0</v>
      </c>
      <c r="CL330" s="163">
        <f t="shared" si="3919"/>
        <v>46327</v>
      </c>
      <c r="CM330" s="163">
        <f t="shared" si="3920"/>
        <v>46356</v>
      </c>
      <c r="CN330" s="167">
        <f t="shared" si="3921"/>
        <v>0</v>
      </c>
      <c r="CO330" s="163">
        <f t="shared" si="3922"/>
        <v>46357</v>
      </c>
      <c r="CP330" s="163">
        <f t="shared" si="3923"/>
        <v>46387</v>
      </c>
      <c r="CQ330" s="167">
        <f t="shared" si="3924"/>
        <v>0</v>
      </c>
    </row>
    <row r="331" s="89" customFormat="1" ht="24" hidden="1" customHeight="1" outlineLevel="4" spans="1:95">
      <c r="A331" s="128"/>
      <c r="B331" s="129"/>
      <c r="C331" s="130"/>
      <c r="D331" s="128"/>
      <c r="E331" s="129"/>
      <c r="F331" s="129"/>
      <c r="G331" s="129"/>
      <c r="H331" s="131"/>
      <c r="I331" s="131"/>
      <c r="J331" s="131">
        <f t="shared" si="3853"/>
        <v>0</v>
      </c>
      <c r="K331" s="131">
        <f t="shared" si="3925"/>
        <v>4</v>
      </c>
      <c r="L331" s="156"/>
      <c r="M331" s="157">
        <f>IFERROR(VLOOKUP($L331,'2-2 引出数据_合同数据仓库'!$B$5:$BP$200,3,FALSE),0)</f>
        <v>0</v>
      </c>
      <c r="N331" s="131"/>
      <c r="O331" s="157">
        <f>IFERROR(VLOOKUP((LEFT(VLOOKUP($L331,'2-2 引出数据_合同数据仓库'!$B$5:$BP$200,64,FALSE),15)&amp;(RIGHT(VLOOKUP($L331,'2-2 引出数据_合同数据仓库'!$B$5:$BP$200,64,FALSE),4)+1)),'2-2 引出数据_合同数据仓库'!$B$5:$BP$200,3,FALSE),0)</f>
        <v>0</v>
      </c>
      <c r="P331" s="131"/>
      <c r="Q331" s="131">
        <f>IFERROR(VLOOKUP($L331,'2-2 引出数据_合同数据仓库'!$B$5:$BP$200,28,FALSE),0)</f>
        <v>0</v>
      </c>
      <c r="R331" s="131">
        <f>IFERROR(VLOOKUP($L331,'2-2 引出数据_合同数据仓库'!$B$5:$BP$200,29,FALSE),0)</f>
        <v>0</v>
      </c>
      <c r="S331" s="131">
        <f>IFERROR(VLOOKUP($L331,'2-2 引出数据_合同数据仓库'!$B$5:$BP$200,4,FALSE),0)</f>
        <v>0</v>
      </c>
      <c r="T331" s="131"/>
      <c r="U331" s="131">
        <f>IFERROR(VLOOKUP($L331,'2-2 引出数据_合同数据仓库'!$B$5:$BP$200,15,FALSE),0)</f>
        <v>0</v>
      </c>
      <c r="V331" s="131">
        <f t="shared" si="3854"/>
        <v>0</v>
      </c>
      <c r="W331" s="131"/>
      <c r="X331" s="163">
        <v>45658</v>
      </c>
      <c r="Y331" s="163">
        <f t="shared" si="3855"/>
        <v>45688</v>
      </c>
      <c r="Z331" s="167">
        <f t="shared" si="3856"/>
        <v>0</v>
      </c>
      <c r="AA331" s="163">
        <f t="shared" si="3857"/>
        <v>45689</v>
      </c>
      <c r="AB331" s="163">
        <f t="shared" si="3858"/>
        <v>45716</v>
      </c>
      <c r="AC331" s="167">
        <f t="shared" si="3859"/>
        <v>0</v>
      </c>
      <c r="AD331" s="163">
        <f t="shared" si="3860"/>
        <v>45717</v>
      </c>
      <c r="AE331" s="163">
        <f t="shared" si="3861"/>
        <v>45747</v>
      </c>
      <c r="AF331" s="167">
        <f t="shared" si="3862"/>
        <v>0</v>
      </c>
      <c r="AG331" s="163">
        <f t="shared" si="3863"/>
        <v>45748</v>
      </c>
      <c r="AH331" s="163">
        <f t="shared" si="3864"/>
        <v>45777</v>
      </c>
      <c r="AI331" s="167">
        <f t="shared" si="3865"/>
        <v>0</v>
      </c>
      <c r="AJ331" s="163">
        <f t="shared" si="3866"/>
        <v>45778</v>
      </c>
      <c r="AK331" s="163">
        <f t="shared" si="3867"/>
        <v>45808</v>
      </c>
      <c r="AL331" s="167">
        <f t="shared" si="3868"/>
        <v>0</v>
      </c>
      <c r="AM331" s="163">
        <f t="shared" si="3869"/>
        <v>45809</v>
      </c>
      <c r="AN331" s="163">
        <f t="shared" si="3870"/>
        <v>45838</v>
      </c>
      <c r="AO331" s="167">
        <f t="shared" si="3871"/>
        <v>0</v>
      </c>
      <c r="AP331" s="163">
        <f t="shared" si="3872"/>
        <v>45839</v>
      </c>
      <c r="AQ331" s="163">
        <f t="shared" si="3873"/>
        <v>45869</v>
      </c>
      <c r="AR331" s="167">
        <f t="shared" si="3874"/>
        <v>0</v>
      </c>
      <c r="AS331" s="163">
        <f t="shared" si="3875"/>
        <v>45870</v>
      </c>
      <c r="AT331" s="163">
        <f t="shared" si="3876"/>
        <v>45900</v>
      </c>
      <c r="AU331" s="167">
        <f t="shared" si="3877"/>
        <v>0</v>
      </c>
      <c r="AV331" s="163">
        <f t="shared" si="3878"/>
        <v>45901</v>
      </c>
      <c r="AW331" s="163">
        <f t="shared" si="3879"/>
        <v>45930</v>
      </c>
      <c r="AX331" s="167">
        <f t="shared" si="3880"/>
        <v>0</v>
      </c>
      <c r="AY331" s="163">
        <f t="shared" si="3881"/>
        <v>45931</v>
      </c>
      <c r="AZ331" s="163">
        <f t="shared" si="3882"/>
        <v>45961</v>
      </c>
      <c r="BA331" s="167">
        <f t="shared" si="3883"/>
        <v>0</v>
      </c>
      <c r="BB331" s="163">
        <f t="shared" si="3884"/>
        <v>45962</v>
      </c>
      <c r="BC331" s="163">
        <f t="shared" si="3885"/>
        <v>45991</v>
      </c>
      <c r="BD331" s="167">
        <f t="shared" si="3886"/>
        <v>0</v>
      </c>
      <c r="BE331" s="163">
        <f t="shared" si="3887"/>
        <v>45992</v>
      </c>
      <c r="BF331" s="163">
        <f t="shared" si="3888"/>
        <v>46022</v>
      </c>
      <c r="BG331" s="167">
        <f t="shared" si="3889"/>
        <v>0</v>
      </c>
      <c r="BH331" s="163">
        <v>46023</v>
      </c>
      <c r="BI331" s="163">
        <f t="shared" si="3890"/>
        <v>46053</v>
      </c>
      <c r="BJ331" s="167">
        <f t="shared" si="3891"/>
        <v>0</v>
      </c>
      <c r="BK331" s="163">
        <f t="shared" si="3892"/>
        <v>46054</v>
      </c>
      <c r="BL331" s="163">
        <f t="shared" si="3893"/>
        <v>46081</v>
      </c>
      <c r="BM331" s="167">
        <f t="shared" si="3894"/>
        <v>0</v>
      </c>
      <c r="BN331" s="163">
        <f t="shared" si="3895"/>
        <v>46082</v>
      </c>
      <c r="BO331" s="163">
        <f t="shared" si="3896"/>
        <v>46112</v>
      </c>
      <c r="BP331" s="167">
        <f t="shared" si="3897"/>
        <v>0</v>
      </c>
      <c r="BQ331" s="163">
        <f t="shared" si="3898"/>
        <v>46113</v>
      </c>
      <c r="BR331" s="163">
        <f t="shared" si="3899"/>
        <v>46142</v>
      </c>
      <c r="BS331" s="167">
        <f t="shared" si="3900"/>
        <v>0</v>
      </c>
      <c r="BT331" s="163">
        <f t="shared" si="3901"/>
        <v>46143</v>
      </c>
      <c r="BU331" s="163">
        <f t="shared" si="3902"/>
        <v>46173</v>
      </c>
      <c r="BV331" s="167">
        <f t="shared" si="3903"/>
        <v>0</v>
      </c>
      <c r="BW331" s="163">
        <f t="shared" si="3904"/>
        <v>46174</v>
      </c>
      <c r="BX331" s="163">
        <f t="shared" si="3905"/>
        <v>46203</v>
      </c>
      <c r="BY331" s="167">
        <f t="shared" si="3906"/>
        <v>0</v>
      </c>
      <c r="BZ331" s="163">
        <f t="shared" si="3907"/>
        <v>46204</v>
      </c>
      <c r="CA331" s="163">
        <f t="shared" si="3908"/>
        <v>46234</v>
      </c>
      <c r="CB331" s="167">
        <f t="shared" si="3909"/>
        <v>0</v>
      </c>
      <c r="CC331" s="163">
        <f t="shared" si="3910"/>
        <v>46235</v>
      </c>
      <c r="CD331" s="163">
        <f t="shared" si="3911"/>
        <v>46265</v>
      </c>
      <c r="CE331" s="167">
        <f t="shared" si="3912"/>
        <v>0</v>
      </c>
      <c r="CF331" s="163">
        <f t="shared" si="3913"/>
        <v>46266</v>
      </c>
      <c r="CG331" s="163">
        <f t="shared" si="3914"/>
        <v>46295</v>
      </c>
      <c r="CH331" s="167">
        <f t="shared" si="3915"/>
        <v>0</v>
      </c>
      <c r="CI331" s="163">
        <f t="shared" si="3916"/>
        <v>46296</v>
      </c>
      <c r="CJ331" s="163">
        <f t="shared" si="3917"/>
        <v>46326</v>
      </c>
      <c r="CK331" s="167">
        <f t="shared" si="3918"/>
        <v>0</v>
      </c>
      <c r="CL331" s="163">
        <f t="shared" si="3919"/>
        <v>46327</v>
      </c>
      <c r="CM331" s="163">
        <f t="shared" si="3920"/>
        <v>46356</v>
      </c>
      <c r="CN331" s="167">
        <f t="shared" si="3921"/>
        <v>0</v>
      </c>
      <c r="CO331" s="163">
        <f t="shared" si="3922"/>
        <v>46357</v>
      </c>
      <c r="CP331" s="163">
        <f t="shared" si="3923"/>
        <v>46387</v>
      </c>
      <c r="CQ331" s="167">
        <f t="shared" si="3924"/>
        <v>0</v>
      </c>
    </row>
    <row r="332" s="89" customFormat="1" ht="24" hidden="1" customHeight="1" outlineLevel="4" spans="1:95">
      <c r="A332" s="132" t="s">
        <v>2813</v>
      </c>
      <c r="B332" s="133"/>
      <c r="C332" s="133"/>
      <c r="D332" s="133"/>
      <c r="E332" s="133"/>
      <c r="F332" s="133"/>
      <c r="G332" s="134"/>
      <c r="H332" s="135"/>
      <c r="I332" s="135"/>
      <c r="J332" s="135"/>
      <c r="K332" s="135"/>
      <c r="L332" s="158"/>
      <c r="M332" s="158"/>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c r="CL332" s="135"/>
      <c r="CM332" s="135"/>
      <c r="CN332" s="135"/>
      <c r="CO332" s="135"/>
      <c r="CP332" s="135"/>
      <c r="CQ332" s="135"/>
    </row>
    <row r="333" ht="24" hidden="1" customHeight="1" outlineLevel="3" collapsed="1" spans="1:95">
      <c r="A333" s="124"/>
      <c r="B333" s="125" t="s">
        <v>792</v>
      </c>
      <c r="C333" s="126" t="s">
        <v>1263</v>
      </c>
      <c r="D333" s="124" t="s">
        <v>1264</v>
      </c>
      <c r="E333" s="125"/>
      <c r="F333" s="125"/>
      <c r="G333" s="125"/>
      <c r="H333" s="127">
        <f>X333+AA333+AD333+AG333+AJ333+AM333+AP333+AS333+AV333+AY333+BB333+BE333</f>
        <v>0</v>
      </c>
      <c r="I333" s="127">
        <f>Y333+AB333+AE333+AH333+AK333+AN333+AQ333+AT333+AW333+AZ333+BC333+BF333</f>
        <v>-94491.2052117264</v>
      </c>
      <c r="J333" s="127">
        <f t="shared" si="3853"/>
        <v>94491.2052117264</v>
      </c>
      <c r="K333" s="127"/>
      <c r="L333" s="155"/>
      <c r="M333" s="155"/>
      <c r="N333" s="127"/>
      <c r="O333" s="127"/>
      <c r="P333" s="127"/>
      <c r="Q333" s="127"/>
      <c r="R333" s="127"/>
      <c r="S333" s="127"/>
      <c r="T333" s="127"/>
      <c r="U333" s="127"/>
      <c r="V333" s="127"/>
      <c r="W333" s="127"/>
      <c r="X333" s="127">
        <f>VLOOKUP($C333,'1 预算编制表单'!$C:$BJ,27,FALSE)</f>
        <v>0</v>
      </c>
      <c r="Y333" s="127">
        <f>X333-Z333</f>
        <v>0</v>
      </c>
      <c r="Z333" s="127">
        <f>SUM(Z334:Z338)</f>
        <v>0</v>
      </c>
      <c r="AA333" s="127">
        <f>VLOOKUP($C333,'1 预算编制表单'!$C:$BJ,30,FALSE)</f>
        <v>0</v>
      </c>
      <c r="AB333" s="127">
        <f>AA333-AC333</f>
        <v>0</v>
      </c>
      <c r="AC333" s="127">
        <f>SUM(AC334:AC338)</f>
        <v>0</v>
      </c>
      <c r="AD333" s="127">
        <f>VLOOKUP($C333,'1 预算编制表单'!$C:$BJ,33,FALSE)</f>
        <v>0</v>
      </c>
      <c r="AE333" s="127">
        <f>AD333-AF333</f>
        <v>-9572.63843648208</v>
      </c>
      <c r="AF333" s="127">
        <f>SUM(AF334:AF338)</f>
        <v>9572.63843648208</v>
      </c>
      <c r="AG333" s="127">
        <f>VLOOKUP($C333,'1 预算编制表单'!$C:$BJ,36,FALSE)</f>
        <v>0</v>
      </c>
      <c r="AH333" s="127">
        <f>AG333-AI333</f>
        <v>-9263.84364820847</v>
      </c>
      <c r="AI333" s="127">
        <f>SUM(AI334:AI338)</f>
        <v>9263.84364820847</v>
      </c>
      <c r="AJ333" s="127">
        <f>VLOOKUP($C333,'1 预算编制表单'!$C:$BJ,39,FALSE)</f>
        <v>0</v>
      </c>
      <c r="AK333" s="127">
        <f>AJ333-AL333</f>
        <v>-9572.63843648208</v>
      </c>
      <c r="AL333" s="127">
        <f>SUM(AL334:AL338)</f>
        <v>9572.63843648208</v>
      </c>
      <c r="AM333" s="127">
        <f>VLOOKUP($C333,'1 预算编制表单'!$C:$BJ,42,FALSE)</f>
        <v>0</v>
      </c>
      <c r="AN333" s="127">
        <f>AM333-AO333</f>
        <v>-9263.84364820847</v>
      </c>
      <c r="AO333" s="127">
        <f>SUM(AO334:AO338)</f>
        <v>9263.84364820847</v>
      </c>
      <c r="AP333" s="127">
        <f>VLOOKUP($C333,'1 预算编制表单'!$C:$BJ,45,FALSE)</f>
        <v>0</v>
      </c>
      <c r="AQ333" s="127">
        <f>AP333-AR333</f>
        <v>-9572.63843648208</v>
      </c>
      <c r="AR333" s="127">
        <f>SUM(AR334:AR338)</f>
        <v>9572.63843648208</v>
      </c>
      <c r="AS333" s="127">
        <f>VLOOKUP($C333,'1 预算编制表单'!$C:$BJ,48,FALSE)</f>
        <v>0</v>
      </c>
      <c r="AT333" s="127">
        <f>AS333-AU333</f>
        <v>-9572.63843648208</v>
      </c>
      <c r="AU333" s="127">
        <f>SUM(AU334:AU338)</f>
        <v>9572.63843648208</v>
      </c>
      <c r="AV333" s="127">
        <f>VLOOKUP($C333,'1 预算编制表单'!$C:$BJ,51,FALSE)</f>
        <v>0</v>
      </c>
      <c r="AW333" s="127">
        <f>AV333-AX333</f>
        <v>-9263.84364820847</v>
      </c>
      <c r="AX333" s="127">
        <f>SUM(AX334:AX338)</f>
        <v>9263.84364820847</v>
      </c>
      <c r="AY333" s="127">
        <f>VLOOKUP($C333,'1 预算编制表单'!$C:$BJ,54,FALSE)</f>
        <v>0</v>
      </c>
      <c r="AZ333" s="127">
        <f>AY333-BA333</f>
        <v>-9572.63843648208</v>
      </c>
      <c r="BA333" s="127">
        <f>SUM(BA334:BA338)</f>
        <v>9572.63843648208</v>
      </c>
      <c r="BB333" s="127">
        <f>VLOOKUP($C333,'1 预算编制表单'!$C:$BJ,57,FALSE)</f>
        <v>0</v>
      </c>
      <c r="BC333" s="127">
        <f>BB333-BD333</f>
        <v>-9263.84364820847</v>
      </c>
      <c r="BD333" s="127">
        <f>SUM(BD334:BD338)</f>
        <v>9263.84364820847</v>
      </c>
      <c r="BE333" s="127">
        <f>VLOOKUP($C333,'1 预算编制表单'!$C:$BJ,60,FALSE)</f>
        <v>0</v>
      </c>
      <c r="BF333" s="127">
        <f>BE333-BG333</f>
        <v>-9572.63843648208</v>
      </c>
      <c r="BG333" s="127">
        <f>SUM(BG334:BG338)</f>
        <v>9572.63843648208</v>
      </c>
      <c r="BH333" s="127">
        <f>VLOOKUP($C333,'1 预算编制表单'!$C:$BJ,27,FALSE)</f>
        <v>0</v>
      </c>
      <c r="BI333" s="127">
        <f>BH333-BJ333</f>
        <v>0</v>
      </c>
      <c r="BJ333" s="127">
        <f>SUM(BJ334:BJ338)</f>
        <v>0</v>
      </c>
      <c r="BK333" s="127">
        <f>VLOOKUP($C333,'1 预算编制表单'!$C:$BJ,30,FALSE)</f>
        <v>0</v>
      </c>
      <c r="BL333" s="127">
        <f>BK333-BM333</f>
        <v>0</v>
      </c>
      <c r="BM333" s="127">
        <f>SUM(BM334:BM338)</f>
        <v>0</v>
      </c>
      <c r="BN333" s="127">
        <f>VLOOKUP($C333,'1 预算编制表单'!$C:$BJ,33,FALSE)</f>
        <v>0</v>
      </c>
      <c r="BO333" s="127">
        <f>BN333-BP333</f>
        <v>0</v>
      </c>
      <c r="BP333" s="127">
        <f>SUM(BP334:BP338)</f>
        <v>0</v>
      </c>
      <c r="BQ333" s="127">
        <f>VLOOKUP($C333,'1 预算编制表单'!$C:$BJ,36,FALSE)</f>
        <v>0</v>
      </c>
      <c r="BR333" s="127">
        <f>BQ333-BS333</f>
        <v>0</v>
      </c>
      <c r="BS333" s="127">
        <f>SUM(BS334:BS338)</f>
        <v>0</v>
      </c>
      <c r="BT333" s="127">
        <f>VLOOKUP($C333,'1 预算编制表单'!$C:$BJ,39,FALSE)</f>
        <v>0</v>
      </c>
      <c r="BU333" s="127">
        <f>BT333-BV333</f>
        <v>0</v>
      </c>
      <c r="BV333" s="127">
        <f>SUM(BV334:BV338)</f>
        <v>0</v>
      </c>
      <c r="BW333" s="127">
        <f>VLOOKUP($C333,'1 预算编制表单'!$C:$BJ,42,FALSE)</f>
        <v>0</v>
      </c>
      <c r="BX333" s="127">
        <f>BW333-BY333</f>
        <v>0</v>
      </c>
      <c r="BY333" s="127">
        <f>SUM(BY334:BY338)</f>
        <v>0</v>
      </c>
      <c r="BZ333" s="127">
        <f>VLOOKUP($C333,'1 预算编制表单'!$C:$BJ,45,FALSE)</f>
        <v>0</v>
      </c>
      <c r="CA333" s="127">
        <f>BZ333-CB333</f>
        <v>0</v>
      </c>
      <c r="CB333" s="127">
        <f>SUM(CB334:CB338)</f>
        <v>0</v>
      </c>
      <c r="CC333" s="127">
        <f>VLOOKUP($C333,'1 预算编制表单'!$C:$BJ,48,FALSE)</f>
        <v>0</v>
      </c>
      <c r="CD333" s="127">
        <f>CC333-CE333</f>
        <v>0</v>
      </c>
      <c r="CE333" s="127">
        <f>SUM(CE334:CE338)</f>
        <v>0</v>
      </c>
      <c r="CF333" s="127">
        <f>VLOOKUP($C333,'1 预算编制表单'!$C:$BJ,51,FALSE)</f>
        <v>0</v>
      </c>
      <c r="CG333" s="127">
        <f>CF333-CH333</f>
        <v>0</v>
      </c>
      <c r="CH333" s="127">
        <f>SUM(CH334:CH338)</f>
        <v>0</v>
      </c>
      <c r="CI333" s="127">
        <f>VLOOKUP($C333,'1 预算编制表单'!$C:$BJ,54,FALSE)</f>
        <v>0</v>
      </c>
      <c r="CJ333" s="127">
        <f>CI333-CK333</f>
        <v>0</v>
      </c>
      <c r="CK333" s="127">
        <f>SUM(CK334:CK338)</f>
        <v>0</v>
      </c>
      <c r="CL333" s="127">
        <f>VLOOKUP($C333,'1 预算编制表单'!$C:$BJ,57,FALSE)</f>
        <v>0</v>
      </c>
      <c r="CM333" s="127">
        <f>CL333-CN333</f>
        <v>0</v>
      </c>
      <c r="CN333" s="127">
        <f>SUM(CN334:CN338)</f>
        <v>0</v>
      </c>
      <c r="CO333" s="127">
        <f>VLOOKUP($C333,'1 预算编制表单'!$C:$BJ,60,FALSE)</f>
        <v>0</v>
      </c>
      <c r="CP333" s="127">
        <f>CO333-CQ333</f>
        <v>0</v>
      </c>
      <c r="CQ333" s="127">
        <f>SUM(CQ334:CQ338)</f>
        <v>0</v>
      </c>
    </row>
    <row r="334" s="89" customFormat="1" ht="24" hidden="1" customHeight="1" outlineLevel="4" spans="1:95">
      <c r="A334" s="128"/>
      <c r="B334" s="129"/>
      <c r="C334" s="130"/>
      <c r="D334" s="128"/>
      <c r="E334" s="129"/>
      <c r="F334" s="129"/>
      <c r="G334" s="129"/>
      <c r="H334" s="131"/>
      <c r="I334" s="131"/>
      <c r="J334" s="131">
        <f t="shared" si="3853"/>
        <v>94491.2052117264</v>
      </c>
      <c r="K334" s="131">
        <v>1</v>
      </c>
      <c r="L334" s="156" t="s">
        <v>2827</v>
      </c>
      <c r="M334" s="157" t="str">
        <f>IFERROR(VLOOKUP($L334,'2-2 引出数据_合同数据仓库'!$B$5:$BP$200,3,FALSE),0)</f>
        <v>深圳非住二片区中海油中央空调循环水处理及水箱清洗维保合同</v>
      </c>
      <c r="N334" s="131"/>
      <c r="O334" s="157">
        <f>IFERROR(VLOOKUP((LEFT(VLOOKUP($L334,'2-2 引出数据_合同数据仓库'!$B$5:$BP$200,64,FALSE),15)&amp;(RIGHT(VLOOKUP($L334,'2-2 引出数据_合同数据仓库'!$B$5:$BP$200,64,FALSE),4)+1)),'2-2 引出数据_合同数据仓库'!$B$5:$BP$200,3,FALSE),0)</f>
        <v>0</v>
      </c>
      <c r="P334" s="131"/>
      <c r="Q334" s="131" t="str">
        <f>IFERROR(VLOOKUP($L334,'2-2 引出数据_合同数据仓库'!$B$5:$BP$200,28,FALSE),0)</f>
        <v>2025-02-28</v>
      </c>
      <c r="R334" s="131" t="str">
        <f>IFERROR(VLOOKUP($L334,'2-2 引出数据_合同数据仓库'!$B$5:$BP$200,29,FALSE),0)</f>
        <v>2025-02-28</v>
      </c>
      <c r="S334" s="131" t="str">
        <f>IFERROR(VLOOKUP($L334,'2-2 引出数据_合同数据仓库'!$B$5:$BP$200,4,FALSE),0)</f>
        <v>2025-12-31</v>
      </c>
      <c r="T334" s="131"/>
      <c r="U334" s="131">
        <f>IFERROR(VLOOKUP($L334,'2-2 引出数据_合同数据仓库'!$B$5:$BP$200,15,FALSE),0)</f>
        <v>94800</v>
      </c>
      <c r="V334" s="131">
        <f t="shared" ref="V334:V337" si="3926">U334/(S334-R334+1)*365</f>
        <v>112710.09771987</v>
      </c>
      <c r="W334" s="131"/>
      <c r="X334" s="163">
        <v>45658</v>
      </c>
      <c r="Y334" s="163">
        <f t="shared" ref="Y334:Y337" si="3927">X334+30</f>
        <v>45688</v>
      </c>
      <c r="Z334" s="167">
        <f t="shared" ref="Z334:Z337" si="3928">IFERROR(IF(($R334-Y334)&gt;=0,0,IF(($S334-X334)&lt;0,0,IF(AND(($S334-Y334)&gt;0,(X334-$R334)&gt;0),$V334/365*(Y334-X334+1),IF(AND(($S334-Y334)&lt;=0,(X334-$R334)&gt;0),$V334/365*($S334-X334+1),$V334/365*(Y334-$R334+1))))),0)</f>
        <v>0</v>
      </c>
      <c r="AA334" s="163">
        <f t="shared" ref="AA334:AA337" si="3929">Y334+1</f>
        <v>45689</v>
      </c>
      <c r="AB334" s="163">
        <f t="shared" ref="AB334:AB337" si="3930">AA334+27</f>
        <v>45716</v>
      </c>
      <c r="AC334" s="167">
        <f t="shared" ref="AC334:AC337" si="3931">IFERROR(IF(($R334-AB334)&gt;=0,0,IF(($S334-AA334)&lt;0,0,IF(AND(($S334-AB334)&gt;0,(AA334-$R334)&gt;0),$V334/365*(AB334-AA334+1),IF(AND(($S334-AB334)&lt;=0,(AA334-$R334)&gt;0),$V334/365*($S334-AA334+1),$V334/365*(AB334-$R334+1))))),0)</f>
        <v>0</v>
      </c>
      <c r="AD334" s="163">
        <f t="shared" ref="AD334:AD337" si="3932">AB334+1</f>
        <v>45717</v>
      </c>
      <c r="AE334" s="163">
        <f t="shared" ref="AE334:AE337" si="3933">AD334+30</f>
        <v>45747</v>
      </c>
      <c r="AF334" s="167">
        <f t="shared" ref="AF334:AF337" si="3934">IFERROR(IF(($R334-AE334)&gt;=0,0,IF(($S334-AD334)&lt;0,0,IF(AND(($S334-AE334)&gt;0,(AD334-$R334)&gt;0),$V334/365*(AE334-AD334+1),IF(AND(($S334-AE334)&lt;=0,(AD334-$R334)&gt;0),$V334/365*($S334-AD334+1),$V334/365*(AE334-$R334+1))))),0)</f>
        <v>9572.63843648208</v>
      </c>
      <c r="AG334" s="163">
        <f t="shared" ref="AG334:AG337" si="3935">AE334+1</f>
        <v>45748</v>
      </c>
      <c r="AH334" s="163">
        <f t="shared" ref="AH334:AH337" si="3936">AG334+29</f>
        <v>45777</v>
      </c>
      <c r="AI334" s="167">
        <f t="shared" ref="AI334:AI337" si="3937">IFERROR(IF(($R334-AH334)&gt;=0,0,IF(($S334-AG334)&lt;0,0,IF(AND(($S334-AH334)&gt;0,(AG334-$R334)&gt;0),$V334/365*(AH334-AG334+1),IF(AND(($S334-AH334)&lt;=0,(AG334-$R334)&gt;0),$V334/365*($S334-AG334+1),$V334/365*(AH334-$R334+1))))),0)</f>
        <v>9263.84364820847</v>
      </c>
      <c r="AJ334" s="163">
        <f t="shared" ref="AJ334:AJ337" si="3938">AH334+1</f>
        <v>45778</v>
      </c>
      <c r="AK334" s="163">
        <f t="shared" ref="AK334:AK337" si="3939">AJ334+30</f>
        <v>45808</v>
      </c>
      <c r="AL334" s="167">
        <f t="shared" ref="AL334:AL337" si="3940">IFERROR(IF(($R334-AK334)&gt;=0,0,IF(($S334-AJ334)&lt;0,0,IF(AND(($S334-AK334)&gt;0,(AJ334-$R334)&gt;0),$V334/365*(AK334-AJ334+1),IF(AND(($S334-AK334)&lt;=0,(AJ334-$R334)&gt;0),$V334/365*($S334-AJ334+1),$V334/365*(AK334-$R334+1))))),0)</f>
        <v>9572.63843648208</v>
      </c>
      <c r="AM334" s="163">
        <f t="shared" ref="AM334:AM337" si="3941">AK334+1</f>
        <v>45809</v>
      </c>
      <c r="AN334" s="163">
        <f t="shared" ref="AN334:AN337" si="3942">AM334+29</f>
        <v>45838</v>
      </c>
      <c r="AO334" s="167">
        <f t="shared" ref="AO334:AO337" si="3943">IFERROR(IF(($R334-AN334)&gt;=0,0,IF(($S334-AM334)&lt;0,0,IF(AND(($S334-AN334)&gt;0,(AM334-$R334)&gt;0),$V334/365*(AN334-AM334+1),IF(AND(($S334-AN334)&lt;=0,(AM334-$R334)&gt;0),$V334/365*($S334-AM334+1),$V334/365*(AN334-$R334+1))))),0)</f>
        <v>9263.84364820847</v>
      </c>
      <c r="AP334" s="163">
        <f t="shared" ref="AP334:AP337" si="3944">AN334+1</f>
        <v>45839</v>
      </c>
      <c r="AQ334" s="163">
        <f t="shared" ref="AQ334:AQ337" si="3945">AP334+30</f>
        <v>45869</v>
      </c>
      <c r="AR334" s="167">
        <f t="shared" ref="AR334:AR337" si="3946">IFERROR(IF(($R334-AQ334)&gt;=0,0,IF(($S334-AP334)&lt;0,0,IF(AND(($S334-AQ334)&gt;0,(AP334-$R334)&gt;0),$V334/365*(AQ334-AP334+1),IF(AND(($S334-AQ334)&lt;=0,(AP334-$R334)&gt;0),$V334/365*($S334-AP334+1),$V334/365*(AQ334-$R334+1))))),0)</f>
        <v>9572.63843648208</v>
      </c>
      <c r="AS334" s="163">
        <f t="shared" ref="AS334:AS337" si="3947">AQ334+1</f>
        <v>45870</v>
      </c>
      <c r="AT334" s="163">
        <f t="shared" ref="AT334:AT337" si="3948">AS334+30</f>
        <v>45900</v>
      </c>
      <c r="AU334" s="167">
        <f t="shared" ref="AU334:AU337" si="3949">IFERROR(IF(($R334-AT334)&gt;=0,0,IF(($S334-AS334)&lt;0,0,IF(AND(($S334-AT334)&gt;0,(AS334-$R334)&gt;0),$V334/365*(AT334-AS334+1),IF(AND(($S334-AT334)&lt;=0,(AS334-$R334)&gt;0),$V334/365*($S334-AS334+1),$V334/365*(AT334-$R334+1))))),0)</f>
        <v>9572.63843648208</v>
      </c>
      <c r="AV334" s="163">
        <f t="shared" ref="AV334:AV337" si="3950">AT334+1</f>
        <v>45901</v>
      </c>
      <c r="AW334" s="163">
        <f t="shared" ref="AW334:AW337" si="3951">AV334+29</f>
        <v>45930</v>
      </c>
      <c r="AX334" s="167">
        <f t="shared" ref="AX334:AX337" si="3952">IFERROR(IF(($R334-AW334)&gt;=0,0,IF(($S334-AV334)&lt;0,0,IF(AND(($S334-AW334)&gt;0,(AV334-$R334)&gt;0),$V334/365*(AW334-AV334+1),IF(AND(($S334-AW334)&lt;=0,(AV334-$R334)&gt;0),$V334/365*($S334-AV334+1),$V334/365*(AW334-$R334+1))))),0)</f>
        <v>9263.84364820847</v>
      </c>
      <c r="AY334" s="163">
        <f t="shared" ref="AY334:AY337" si="3953">AW334+1</f>
        <v>45931</v>
      </c>
      <c r="AZ334" s="163">
        <f t="shared" ref="AZ334:AZ337" si="3954">AY334+30</f>
        <v>45961</v>
      </c>
      <c r="BA334" s="167">
        <f t="shared" ref="BA334:BA337" si="3955">IFERROR(IF(($R334-AZ334)&gt;=0,0,IF(($S334-AY334)&lt;0,0,IF(AND(($S334-AZ334)&gt;0,(AY334-$R334)&gt;0),$V334/365*(AZ334-AY334+1),IF(AND(($S334-AZ334)&lt;=0,(AY334-$R334)&gt;0),$V334/365*($S334-AY334+1),$V334/365*(AZ334-$R334+1))))),0)</f>
        <v>9572.63843648208</v>
      </c>
      <c r="BB334" s="163">
        <f t="shared" ref="BB334:BB337" si="3956">AZ334+1</f>
        <v>45962</v>
      </c>
      <c r="BC334" s="163">
        <f t="shared" ref="BC334:BC337" si="3957">BB334+29</f>
        <v>45991</v>
      </c>
      <c r="BD334" s="167">
        <f t="shared" ref="BD334:BD337" si="3958">IFERROR(IF(($R334-BC334)&gt;=0,0,IF(($S334-BB334)&lt;0,0,IF(AND(($S334-BC334)&gt;0,(BB334-$R334)&gt;0),$V334/365*(BC334-BB334+1),IF(AND(($S334-BC334)&lt;=0,(BB334-$R334)&gt;0),$V334/365*($S334-BB334+1),$V334/365*(BC334-$R334+1))))),0)</f>
        <v>9263.84364820847</v>
      </c>
      <c r="BE334" s="163">
        <f t="shared" ref="BE334:BE337" si="3959">BC334+1</f>
        <v>45992</v>
      </c>
      <c r="BF334" s="163">
        <f t="shared" ref="BF334:BF337" si="3960">BE334+30</f>
        <v>46022</v>
      </c>
      <c r="BG334" s="167">
        <f t="shared" ref="BG334:BG337" si="3961">IFERROR(IF(($R334-BF334)&gt;=0,0,IF(($S334-BE334)&lt;0,0,IF(AND(($S334-BF334)&gt;0,(BE334-$R334)&gt;0),$V334/365*(BF334-BE334+1),IF(AND(($S334-BF334)&lt;=0,(BE334-$R334)&gt;0),$V334/365*($S334-BE334+1),$V334/365*(BF334-$R334+1))))),0)</f>
        <v>9572.63843648208</v>
      </c>
      <c r="BH334" s="163">
        <v>46023</v>
      </c>
      <c r="BI334" s="163">
        <f t="shared" ref="BI334:BI337" si="3962">BH334+30</f>
        <v>46053</v>
      </c>
      <c r="BJ334" s="167">
        <f t="shared" ref="BJ334:BJ337" si="3963">IFERROR(IF(($R334-BI334)&gt;=0,0,IF(($S334-BH334)&lt;0,0,IF(AND(($S334-BI334)&gt;0,(BH334-$R334)&gt;0),$V334/365*(BI334-BH334+1),IF(AND(($S334-BI334)&lt;=0,(BH334-$R334)&gt;0),$V334/365*($S334-BH334+1),$V334/365*(BI334-$R334+1))))),0)</f>
        <v>0</v>
      </c>
      <c r="BK334" s="163">
        <f t="shared" ref="BK334:BK337" si="3964">BI334+1</f>
        <v>46054</v>
      </c>
      <c r="BL334" s="163">
        <f t="shared" ref="BL334:BL337" si="3965">BK334+27</f>
        <v>46081</v>
      </c>
      <c r="BM334" s="167">
        <f t="shared" ref="BM334:BM337" si="3966">IFERROR(IF(($R334-BL334)&gt;=0,0,IF(($S334-BK334)&lt;0,0,IF(AND(($S334-BL334)&gt;0,(BK334-$R334)&gt;0),$V334/365*(BL334-BK334+1),IF(AND(($S334-BL334)&lt;=0,(BK334-$R334)&gt;0),$V334/365*($S334-BK334+1),$V334/365*(BL334-$R334+1))))),0)</f>
        <v>0</v>
      </c>
      <c r="BN334" s="163">
        <f t="shared" ref="BN334:BN337" si="3967">BL334+1</f>
        <v>46082</v>
      </c>
      <c r="BO334" s="163">
        <f t="shared" ref="BO334:BO337" si="3968">BN334+30</f>
        <v>46112</v>
      </c>
      <c r="BP334" s="167">
        <f t="shared" ref="BP334:BP337" si="3969">IFERROR(IF(($R334-BO334)&gt;=0,0,IF(($S334-BN334)&lt;0,0,IF(AND(($S334-BO334)&gt;0,(BN334-$R334)&gt;0),$V334/365*(BO334-BN334+1),IF(AND(($S334-BO334)&lt;=0,(BN334-$R334)&gt;0),$V334/365*($S334-BN334+1),$V334/365*(BO334-$R334+1))))),0)</f>
        <v>0</v>
      </c>
      <c r="BQ334" s="163">
        <f t="shared" ref="BQ334:BQ337" si="3970">BO334+1</f>
        <v>46113</v>
      </c>
      <c r="BR334" s="163">
        <f t="shared" ref="BR334:BR337" si="3971">BQ334+29</f>
        <v>46142</v>
      </c>
      <c r="BS334" s="167">
        <f t="shared" ref="BS334:BS337" si="3972">IFERROR(IF(($R334-BR334)&gt;=0,0,IF(($S334-BQ334)&lt;0,0,IF(AND(($S334-BR334)&gt;0,(BQ334-$R334)&gt;0),$V334/365*(BR334-BQ334+1),IF(AND(($S334-BR334)&lt;=0,(BQ334-$R334)&gt;0),$V334/365*($S334-BQ334+1),$V334/365*(BR334-$R334+1))))),0)</f>
        <v>0</v>
      </c>
      <c r="BT334" s="163">
        <f t="shared" ref="BT334:BT337" si="3973">BR334+1</f>
        <v>46143</v>
      </c>
      <c r="BU334" s="163">
        <f t="shared" ref="BU334:BU337" si="3974">BT334+30</f>
        <v>46173</v>
      </c>
      <c r="BV334" s="167">
        <f t="shared" ref="BV334:BV337" si="3975">IFERROR(IF(($R334-BU334)&gt;=0,0,IF(($S334-BT334)&lt;0,0,IF(AND(($S334-BU334)&gt;0,(BT334-$R334)&gt;0),$V334/365*(BU334-BT334+1),IF(AND(($S334-BU334)&lt;=0,(BT334-$R334)&gt;0),$V334/365*($S334-BT334+1),$V334/365*(BU334-$R334+1))))),0)</f>
        <v>0</v>
      </c>
      <c r="BW334" s="163">
        <f t="shared" ref="BW334:BW337" si="3976">BU334+1</f>
        <v>46174</v>
      </c>
      <c r="BX334" s="163">
        <f t="shared" ref="BX334:BX337" si="3977">BW334+29</f>
        <v>46203</v>
      </c>
      <c r="BY334" s="167">
        <f t="shared" ref="BY334:BY337" si="3978">IFERROR(IF(($R334-BX334)&gt;=0,0,IF(($S334-BW334)&lt;0,0,IF(AND(($S334-BX334)&gt;0,(BW334-$R334)&gt;0),$V334/365*(BX334-BW334+1),IF(AND(($S334-BX334)&lt;=0,(BW334-$R334)&gt;0),$V334/365*($S334-BW334+1),$V334/365*(BX334-$R334+1))))),0)</f>
        <v>0</v>
      </c>
      <c r="BZ334" s="163">
        <f t="shared" ref="BZ334:BZ337" si="3979">BX334+1</f>
        <v>46204</v>
      </c>
      <c r="CA334" s="163">
        <f t="shared" ref="CA334:CA337" si="3980">BZ334+30</f>
        <v>46234</v>
      </c>
      <c r="CB334" s="167">
        <f t="shared" ref="CB334:CB337" si="3981">IFERROR(IF(($R334-CA334)&gt;=0,0,IF(($S334-BZ334)&lt;0,0,IF(AND(($S334-CA334)&gt;0,(BZ334-$R334)&gt;0),$V334/365*(CA334-BZ334+1),IF(AND(($S334-CA334)&lt;=0,(BZ334-$R334)&gt;0),$V334/365*($S334-BZ334+1),$V334/365*(CA334-$R334+1))))),0)</f>
        <v>0</v>
      </c>
      <c r="CC334" s="163">
        <f t="shared" ref="CC334:CC337" si="3982">CA334+1</f>
        <v>46235</v>
      </c>
      <c r="CD334" s="163">
        <f t="shared" ref="CD334:CD337" si="3983">CC334+30</f>
        <v>46265</v>
      </c>
      <c r="CE334" s="167">
        <f t="shared" ref="CE334:CE337" si="3984">IFERROR(IF(($R334-CD334)&gt;=0,0,IF(($S334-CC334)&lt;0,0,IF(AND(($S334-CD334)&gt;0,(CC334-$R334)&gt;0),$V334/365*(CD334-CC334+1),IF(AND(($S334-CD334)&lt;=0,(CC334-$R334)&gt;0),$V334/365*($S334-CC334+1),$V334/365*(CD334-$R334+1))))),0)</f>
        <v>0</v>
      </c>
      <c r="CF334" s="163">
        <f t="shared" ref="CF334:CF337" si="3985">CD334+1</f>
        <v>46266</v>
      </c>
      <c r="CG334" s="163">
        <f t="shared" ref="CG334:CG337" si="3986">CF334+29</f>
        <v>46295</v>
      </c>
      <c r="CH334" s="167">
        <f t="shared" ref="CH334:CH337" si="3987">IFERROR(IF(($R334-CG334)&gt;=0,0,IF(($S334-CF334)&lt;0,0,IF(AND(($S334-CG334)&gt;0,(CF334-$R334)&gt;0),$V334/365*(CG334-CF334+1),IF(AND(($S334-CG334)&lt;=0,(CF334-$R334)&gt;0),$V334/365*($S334-CF334+1),$V334/365*(CG334-$R334+1))))),0)</f>
        <v>0</v>
      </c>
      <c r="CI334" s="163">
        <f t="shared" ref="CI334:CI337" si="3988">CG334+1</f>
        <v>46296</v>
      </c>
      <c r="CJ334" s="163">
        <f t="shared" ref="CJ334:CJ337" si="3989">CI334+30</f>
        <v>46326</v>
      </c>
      <c r="CK334" s="167">
        <f t="shared" ref="CK334:CK337" si="3990">IFERROR(IF(($R334-CJ334)&gt;=0,0,IF(($S334-CI334)&lt;0,0,IF(AND(($S334-CJ334)&gt;0,(CI334-$R334)&gt;0),$V334/365*(CJ334-CI334+1),IF(AND(($S334-CJ334)&lt;=0,(CI334-$R334)&gt;0),$V334/365*($S334-CI334+1),$V334/365*(CJ334-$R334+1))))),0)</f>
        <v>0</v>
      </c>
      <c r="CL334" s="163">
        <f t="shared" ref="CL334:CL337" si="3991">CJ334+1</f>
        <v>46327</v>
      </c>
      <c r="CM334" s="163">
        <f t="shared" ref="CM334:CM337" si="3992">CL334+29</f>
        <v>46356</v>
      </c>
      <c r="CN334" s="167">
        <f t="shared" ref="CN334:CN337" si="3993">IFERROR(IF(($R334-CM334)&gt;=0,0,IF(($S334-CL334)&lt;0,0,IF(AND(($S334-CM334)&gt;0,(CL334-$R334)&gt;0),$V334/365*(CM334-CL334+1),IF(AND(($S334-CM334)&lt;=0,(CL334-$R334)&gt;0),$V334/365*($S334-CL334+1),$V334/365*(CM334-$R334+1))))),0)</f>
        <v>0</v>
      </c>
      <c r="CO334" s="163">
        <f t="shared" ref="CO334:CO337" si="3994">CM334+1</f>
        <v>46357</v>
      </c>
      <c r="CP334" s="163">
        <f t="shared" ref="CP334:CP337" si="3995">CO334+30</f>
        <v>46387</v>
      </c>
      <c r="CQ334" s="167">
        <f t="shared" ref="CQ334:CQ337" si="3996">IFERROR(IF(($R334-CP334)&gt;=0,0,IF(($S334-CO334)&lt;0,0,IF(AND(($S334-CP334)&gt;0,(CO334-$R334)&gt;0),$V334/365*(CP334-CO334+1),IF(AND(($S334-CP334)&lt;=0,(CO334-$R334)&gt;0),$V334/365*($S334-CO334+1),$V334/365*(CP334-$R334+1))))),0)</f>
        <v>0</v>
      </c>
    </row>
    <row r="335" s="89" customFormat="1" ht="24" hidden="1" customHeight="1" outlineLevel="4" spans="1:95">
      <c r="A335" s="128"/>
      <c r="B335" s="129"/>
      <c r="C335" s="130"/>
      <c r="D335" s="128"/>
      <c r="E335" s="129"/>
      <c r="F335" s="129"/>
      <c r="G335" s="129"/>
      <c r="H335" s="131"/>
      <c r="I335" s="131"/>
      <c r="J335" s="131">
        <f t="shared" si="3853"/>
        <v>0</v>
      </c>
      <c r="K335" s="131">
        <f t="shared" ref="K335:K337" si="3997">K334+1</f>
        <v>2</v>
      </c>
      <c r="L335" s="156"/>
      <c r="M335" s="157">
        <f>IFERROR(VLOOKUP($L335,'2-2 引出数据_合同数据仓库'!$B$5:$BP$200,3,FALSE),0)</f>
        <v>0</v>
      </c>
      <c r="N335" s="131"/>
      <c r="O335" s="157">
        <f>IFERROR(VLOOKUP((LEFT(VLOOKUP($L335,'2-2 引出数据_合同数据仓库'!$B$5:$BP$200,64,FALSE),15)&amp;(RIGHT(VLOOKUP($L335,'2-2 引出数据_合同数据仓库'!$B$5:$BP$200,64,FALSE),4)+1)),'2-2 引出数据_合同数据仓库'!$B$5:$BP$200,3,FALSE),0)</f>
        <v>0</v>
      </c>
      <c r="P335" s="131"/>
      <c r="Q335" s="131">
        <f>IFERROR(VLOOKUP($L335,'2-2 引出数据_合同数据仓库'!$B$5:$BP$200,28,FALSE),0)</f>
        <v>0</v>
      </c>
      <c r="R335" s="131">
        <f>IFERROR(VLOOKUP($L335,'2-2 引出数据_合同数据仓库'!$B$5:$BP$200,29,FALSE),0)</f>
        <v>0</v>
      </c>
      <c r="S335" s="131">
        <f>IFERROR(VLOOKUP($L335,'2-2 引出数据_合同数据仓库'!$B$5:$BP$200,4,FALSE),0)</f>
        <v>0</v>
      </c>
      <c r="T335" s="131"/>
      <c r="U335" s="131">
        <f>IFERROR(VLOOKUP($L335,'2-2 引出数据_合同数据仓库'!$B$5:$BP$200,15,FALSE),0)</f>
        <v>0</v>
      </c>
      <c r="V335" s="131">
        <f t="shared" si="3926"/>
        <v>0</v>
      </c>
      <c r="W335" s="131"/>
      <c r="X335" s="163">
        <v>45658</v>
      </c>
      <c r="Y335" s="163">
        <f t="shared" si="3927"/>
        <v>45688</v>
      </c>
      <c r="Z335" s="167">
        <f t="shared" si="3928"/>
        <v>0</v>
      </c>
      <c r="AA335" s="163">
        <f t="shared" si="3929"/>
        <v>45689</v>
      </c>
      <c r="AB335" s="163">
        <f t="shared" si="3930"/>
        <v>45716</v>
      </c>
      <c r="AC335" s="167">
        <f t="shared" si="3931"/>
        <v>0</v>
      </c>
      <c r="AD335" s="163">
        <f t="shared" si="3932"/>
        <v>45717</v>
      </c>
      <c r="AE335" s="163">
        <f t="shared" si="3933"/>
        <v>45747</v>
      </c>
      <c r="AF335" s="167">
        <f t="shared" si="3934"/>
        <v>0</v>
      </c>
      <c r="AG335" s="163">
        <f t="shared" si="3935"/>
        <v>45748</v>
      </c>
      <c r="AH335" s="163">
        <f t="shared" si="3936"/>
        <v>45777</v>
      </c>
      <c r="AI335" s="167">
        <f t="shared" si="3937"/>
        <v>0</v>
      </c>
      <c r="AJ335" s="163">
        <f t="shared" si="3938"/>
        <v>45778</v>
      </c>
      <c r="AK335" s="163">
        <f t="shared" si="3939"/>
        <v>45808</v>
      </c>
      <c r="AL335" s="167">
        <f t="shared" si="3940"/>
        <v>0</v>
      </c>
      <c r="AM335" s="163">
        <f t="shared" si="3941"/>
        <v>45809</v>
      </c>
      <c r="AN335" s="163">
        <f t="shared" si="3942"/>
        <v>45838</v>
      </c>
      <c r="AO335" s="167">
        <f t="shared" si="3943"/>
        <v>0</v>
      </c>
      <c r="AP335" s="163">
        <f t="shared" si="3944"/>
        <v>45839</v>
      </c>
      <c r="AQ335" s="163">
        <f t="shared" si="3945"/>
        <v>45869</v>
      </c>
      <c r="AR335" s="167">
        <f t="shared" si="3946"/>
        <v>0</v>
      </c>
      <c r="AS335" s="163">
        <f t="shared" si="3947"/>
        <v>45870</v>
      </c>
      <c r="AT335" s="163">
        <f t="shared" si="3948"/>
        <v>45900</v>
      </c>
      <c r="AU335" s="167">
        <f t="shared" si="3949"/>
        <v>0</v>
      </c>
      <c r="AV335" s="163">
        <f t="shared" si="3950"/>
        <v>45901</v>
      </c>
      <c r="AW335" s="163">
        <f t="shared" si="3951"/>
        <v>45930</v>
      </c>
      <c r="AX335" s="167">
        <f t="shared" si="3952"/>
        <v>0</v>
      </c>
      <c r="AY335" s="163">
        <f t="shared" si="3953"/>
        <v>45931</v>
      </c>
      <c r="AZ335" s="163">
        <f t="shared" si="3954"/>
        <v>45961</v>
      </c>
      <c r="BA335" s="167">
        <f t="shared" si="3955"/>
        <v>0</v>
      </c>
      <c r="BB335" s="163">
        <f t="shared" si="3956"/>
        <v>45962</v>
      </c>
      <c r="BC335" s="163">
        <f t="shared" si="3957"/>
        <v>45991</v>
      </c>
      <c r="BD335" s="167">
        <f t="shared" si="3958"/>
        <v>0</v>
      </c>
      <c r="BE335" s="163">
        <f t="shared" si="3959"/>
        <v>45992</v>
      </c>
      <c r="BF335" s="163">
        <f t="shared" si="3960"/>
        <v>46022</v>
      </c>
      <c r="BG335" s="167">
        <f t="shared" si="3961"/>
        <v>0</v>
      </c>
      <c r="BH335" s="163">
        <v>46023</v>
      </c>
      <c r="BI335" s="163">
        <f t="shared" si="3962"/>
        <v>46053</v>
      </c>
      <c r="BJ335" s="167">
        <f t="shared" si="3963"/>
        <v>0</v>
      </c>
      <c r="BK335" s="163">
        <f t="shared" si="3964"/>
        <v>46054</v>
      </c>
      <c r="BL335" s="163">
        <f t="shared" si="3965"/>
        <v>46081</v>
      </c>
      <c r="BM335" s="167">
        <f t="shared" si="3966"/>
        <v>0</v>
      </c>
      <c r="BN335" s="163">
        <f t="shared" si="3967"/>
        <v>46082</v>
      </c>
      <c r="BO335" s="163">
        <f t="shared" si="3968"/>
        <v>46112</v>
      </c>
      <c r="BP335" s="167">
        <f t="shared" si="3969"/>
        <v>0</v>
      </c>
      <c r="BQ335" s="163">
        <f t="shared" si="3970"/>
        <v>46113</v>
      </c>
      <c r="BR335" s="163">
        <f t="shared" si="3971"/>
        <v>46142</v>
      </c>
      <c r="BS335" s="167">
        <f t="shared" si="3972"/>
        <v>0</v>
      </c>
      <c r="BT335" s="163">
        <f t="shared" si="3973"/>
        <v>46143</v>
      </c>
      <c r="BU335" s="163">
        <f t="shared" si="3974"/>
        <v>46173</v>
      </c>
      <c r="BV335" s="167">
        <f t="shared" si="3975"/>
        <v>0</v>
      </c>
      <c r="BW335" s="163">
        <f t="shared" si="3976"/>
        <v>46174</v>
      </c>
      <c r="BX335" s="163">
        <f t="shared" si="3977"/>
        <v>46203</v>
      </c>
      <c r="BY335" s="167">
        <f t="shared" si="3978"/>
        <v>0</v>
      </c>
      <c r="BZ335" s="163">
        <f t="shared" si="3979"/>
        <v>46204</v>
      </c>
      <c r="CA335" s="163">
        <f t="shared" si="3980"/>
        <v>46234</v>
      </c>
      <c r="CB335" s="167">
        <f t="shared" si="3981"/>
        <v>0</v>
      </c>
      <c r="CC335" s="163">
        <f t="shared" si="3982"/>
        <v>46235</v>
      </c>
      <c r="CD335" s="163">
        <f t="shared" si="3983"/>
        <v>46265</v>
      </c>
      <c r="CE335" s="167">
        <f t="shared" si="3984"/>
        <v>0</v>
      </c>
      <c r="CF335" s="163">
        <f t="shared" si="3985"/>
        <v>46266</v>
      </c>
      <c r="CG335" s="163">
        <f t="shared" si="3986"/>
        <v>46295</v>
      </c>
      <c r="CH335" s="167">
        <f t="shared" si="3987"/>
        <v>0</v>
      </c>
      <c r="CI335" s="163">
        <f t="shared" si="3988"/>
        <v>46296</v>
      </c>
      <c r="CJ335" s="163">
        <f t="shared" si="3989"/>
        <v>46326</v>
      </c>
      <c r="CK335" s="167">
        <f t="shared" si="3990"/>
        <v>0</v>
      </c>
      <c r="CL335" s="163">
        <f t="shared" si="3991"/>
        <v>46327</v>
      </c>
      <c r="CM335" s="163">
        <f t="shared" si="3992"/>
        <v>46356</v>
      </c>
      <c r="CN335" s="167">
        <f t="shared" si="3993"/>
        <v>0</v>
      </c>
      <c r="CO335" s="163">
        <f t="shared" si="3994"/>
        <v>46357</v>
      </c>
      <c r="CP335" s="163">
        <f t="shared" si="3995"/>
        <v>46387</v>
      </c>
      <c r="CQ335" s="167">
        <f t="shared" si="3996"/>
        <v>0</v>
      </c>
    </row>
    <row r="336" s="89" customFormat="1" ht="24" hidden="1" customHeight="1" outlineLevel="4" spans="1:95">
      <c r="A336" s="128"/>
      <c r="B336" s="129"/>
      <c r="C336" s="130"/>
      <c r="D336" s="128"/>
      <c r="E336" s="129"/>
      <c r="F336" s="129"/>
      <c r="G336" s="129"/>
      <c r="H336" s="131"/>
      <c r="I336" s="131"/>
      <c r="J336" s="131">
        <f t="shared" si="3853"/>
        <v>0</v>
      </c>
      <c r="K336" s="131">
        <f t="shared" si="3997"/>
        <v>3</v>
      </c>
      <c r="L336" s="156"/>
      <c r="M336" s="157">
        <f>IFERROR(VLOOKUP($L336,'2-2 引出数据_合同数据仓库'!$B$5:$BP$200,3,FALSE),0)</f>
        <v>0</v>
      </c>
      <c r="N336" s="131"/>
      <c r="O336" s="157">
        <f>IFERROR(VLOOKUP((LEFT(VLOOKUP($L336,'2-2 引出数据_合同数据仓库'!$B$5:$BP$200,64,FALSE),15)&amp;(RIGHT(VLOOKUP($L336,'2-2 引出数据_合同数据仓库'!$B$5:$BP$200,64,FALSE),4)+1)),'2-2 引出数据_合同数据仓库'!$B$5:$BP$200,3,FALSE),0)</f>
        <v>0</v>
      </c>
      <c r="P336" s="131"/>
      <c r="Q336" s="131">
        <f>IFERROR(VLOOKUP($L336,'2-2 引出数据_合同数据仓库'!$B$5:$BP$200,28,FALSE),0)</f>
        <v>0</v>
      </c>
      <c r="R336" s="131">
        <f>IFERROR(VLOOKUP($L336,'2-2 引出数据_合同数据仓库'!$B$5:$BP$200,29,FALSE),0)</f>
        <v>0</v>
      </c>
      <c r="S336" s="131">
        <f>IFERROR(VLOOKUP($L336,'2-2 引出数据_合同数据仓库'!$B$5:$BP$200,4,FALSE),0)</f>
        <v>0</v>
      </c>
      <c r="T336" s="131"/>
      <c r="U336" s="131">
        <f>IFERROR(VLOOKUP($L336,'2-2 引出数据_合同数据仓库'!$B$5:$BP$200,15,FALSE),0)</f>
        <v>0</v>
      </c>
      <c r="V336" s="131">
        <f t="shared" si="3926"/>
        <v>0</v>
      </c>
      <c r="W336" s="131"/>
      <c r="X336" s="163">
        <v>45658</v>
      </c>
      <c r="Y336" s="163">
        <f t="shared" si="3927"/>
        <v>45688</v>
      </c>
      <c r="Z336" s="167">
        <f t="shared" si="3928"/>
        <v>0</v>
      </c>
      <c r="AA336" s="163">
        <f t="shared" si="3929"/>
        <v>45689</v>
      </c>
      <c r="AB336" s="163">
        <f t="shared" si="3930"/>
        <v>45716</v>
      </c>
      <c r="AC336" s="167">
        <f t="shared" si="3931"/>
        <v>0</v>
      </c>
      <c r="AD336" s="163">
        <f t="shared" si="3932"/>
        <v>45717</v>
      </c>
      <c r="AE336" s="163">
        <f t="shared" si="3933"/>
        <v>45747</v>
      </c>
      <c r="AF336" s="167">
        <f t="shared" si="3934"/>
        <v>0</v>
      </c>
      <c r="AG336" s="163">
        <f t="shared" si="3935"/>
        <v>45748</v>
      </c>
      <c r="AH336" s="163">
        <f t="shared" si="3936"/>
        <v>45777</v>
      </c>
      <c r="AI336" s="167">
        <f t="shared" si="3937"/>
        <v>0</v>
      </c>
      <c r="AJ336" s="163">
        <f t="shared" si="3938"/>
        <v>45778</v>
      </c>
      <c r="AK336" s="163">
        <f t="shared" si="3939"/>
        <v>45808</v>
      </c>
      <c r="AL336" s="167">
        <f t="shared" si="3940"/>
        <v>0</v>
      </c>
      <c r="AM336" s="163">
        <f t="shared" si="3941"/>
        <v>45809</v>
      </c>
      <c r="AN336" s="163">
        <f t="shared" si="3942"/>
        <v>45838</v>
      </c>
      <c r="AO336" s="167">
        <f t="shared" si="3943"/>
        <v>0</v>
      </c>
      <c r="AP336" s="163">
        <f t="shared" si="3944"/>
        <v>45839</v>
      </c>
      <c r="AQ336" s="163">
        <f t="shared" si="3945"/>
        <v>45869</v>
      </c>
      <c r="AR336" s="167">
        <f t="shared" si="3946"/>
        <v>0</v>
      </c>
      <c r="AS336" s="163">
        <f t="shared" si="3947"/>
        <v>45870</v>
      </c>
      <c r="AT336" s="163">
        <f t="shared" si="3948"/>
        <v>45900</v>
      </c>
      <c r="AU336" s="167">
        <f t="shared" si="3949"/>
        <v>0</v>
      </c>
      <c r="AV336" s="163">
        <f t="shared" si="3950"/>
        <v>45901</v>
      </c>
      <c r="AW336" s="163">
        <f t="shared" si="3951"/>
        <v>45930</v>
      </c>
      <c r="AX336" s="167">
        <f t="shared" si="3952"/>
        <v>0</v>
      </c>
      <c r="AY336" s="163">
        <f t="shared" si="3953"/>
        <v>45931</v>
      </c>
      <c r="AZ336" s="163">
        <f t="shared" si="3954"/>
        <v>45961</v>
      </c>
      <c r="BA336" s="167">
        <f t="shared" si="3955"/>
        <v>0</v>
      </c>
      <c r="BB336" s="163">
        <f t="shared" si="3956"/>
        <v>45962</v>
      </c>
      <c r="BC336" s="163">
        <f t="shared" si="3957"/>
        <v>45991</v>
      </c>
      <c r="BD336" s="167">
        <f t="shared" si="3958"/>
        <v>0</v>
      </c>
      <c r="BE336" s="163">
        <f t="shared" si="3959"/>
        <v>45992</v>
      </c>
      <c r="BF336" s="163">
        <f t="shared" si="3960"/>
        <v>46022</v>
      </c>
      <c r="BG336" s="167">
        <f t="shared" si="3961"/>
        <v>0</v>
      </c>
      <c r="BH336" s="163">
        <v>46023</v>
      </c>
      <c r="BI336" s="163">
        <f t="shared" si="3962"/>
        <v>46053</v>
      </c>
      <c r="BJ336" s="167">
        <f t="shared" si="3963"/>
        <v>0</v>
      </c>
      <c r="BK336" s="163">
        <f t="shared" si="3964"/>
        <v>46054</v>
      </c>
      <c r="BL336" s="163">
        <f t="shared" si="3965"/>
        <v>46081</v>
      </c>
      <c r="BM336" s="167">
        <f t="shared" si="3966"/>
        <v>0</v>
      </c>
      <c r="BN336" s="163">
        <f t="shared" si="3967"/>
        <v>46082</v>
      </c>
      <c r="BO336" s="163">
        <f t="shared" si="3968"/>
        <v>46112</v>
      </c>
      <c r="BP336" s="167">
        <f t="shared" si="3969"/>
        <v>0</v>
      </c>
      <c r="BQ336" s="163">
        <f t="shared" si="3970"/>
        <v>46113</v>
      </c>
      <c r="BR336" s="163">
        <f t="shared" si="3971"/>
        <v>46142</v>
      </c>
      <c r="BS336" s="167">
        <f t="shared" si="3972"/>
        <v>0</v>
      </c>
      <c r="BT336" s="163">
        <f t="shared" si="3973"/>
        <v>46143</v>
      </c>
      <c r="BU336" s="163">
        <f t="shared" si="3974"/>
        <v>46173</v>
      </c>
      <c r="BV336" s="167">
        <f t="shared" si="3975"/>
        <v>0</v>
      </c>
      <c r="BW336" s="163">
        <f t="shared" si="3976"/>
        <v>46174</v>
      </c>
      <c r="BX336" s="163">
        <f t="shared" si="3977"/>
        <v>46203</v>
      </c>
      <c r="BY336" s="167">
        <f t="shared" si="3978"/>
        <v>0</v>
      </c>
      <c r="BZ336" s="163">
        <f t="shared" si="3979"/>
        <v>46204</v>
      </c>
      <c r="CA336" s="163">
        <f t="shared" si="3980"/>
        <v>46234</v>
      </c>
      <c r="CB336" s="167">
        <f t="shared" si="3981"/>
        <v>0</v>
      </c>
      <c r="CC336" s="163">
        <f t="shared" si="3982"/>
        <v>46235</v>
      </c>
      <c r="CD336" s="163">
        <f t="shared" si="3983"/>
        <v>46265</v>
      </c>
      <c r="CE336" s="167">
        <f t="shared" si="3984"/>
        <v>0</v>
      </c>
      <c r="CF336" s="163">
        <f t="shared" si="3985"/>
        <v>46266</v>
      </c>
      <c r="CG336" s="163">
        <f t="shared" si="3986"/>
        <v>46295</v>
      </c>
      <c r="CH336" s="167">
        <f t="shared" si="3987"/>
        <v>0</v>
      </c>
      <c r="CI336" s="163">
        <f t="shared" si="3988"/>
        <v>46296</v>
      </c>
      <c r="CJ336" s="163">
        <f t="shared" si="3989"/>
        <v>46326</v>
      </c>
      <c r="CK336" s="167">
        <f t="shared" si="3990"/>
        <v>0</v>
      </c>
      <c r="CL336" s="163">
        <f t="shared" si="3991"/>
        <v>46327</v>
      </c>
      <c r="CM336" s="163">
        <f t="shared" si="3992"/>
        <v>46356</v>
      </c>
      <c r="CN336" s="167">
        <f t="shared" si="3993"/>
        <v>0</v>
      </c>
      <c r="CO336" s="163">
        <f t="shared" si="3994"/>
        <v>46357</v>
      </c>
      <c r="CP336" s="163">
        <f t="shared" si="3995"/>
        <v>46387</v>
      </c>
      <c r="CQ336" s="167">
        <f t="shared" si="3996"/>
        <v>0</v>
      </c>
    </row>
    <row r="337" s="89" customFormat="1" ht="24" hidden="1" customHeight="1" outlineLevel="4" spans="1:95">
      <c r="A337" s="128"/>
      <c r="B337" s="129"/>
      <c r="C337" s="130"/>
      <c r="D337" s="128"/>
      <c r="E337" s="129"/>
      <c r="F337" s="129"/>
      <c r="G337" s="129"/>
      <c r="H337" s="131"/>
      <c r="I337" s="131"/>
      <c r="J337" s="131">
        <f t="shared" si="3853"/>
        <v>0</v>
      </c>
      <c r="K337" s="131">
        <f t="shared" si="3997"/>
        <v>4</v>
      </c>
      <c r="L337" s="156"/>
      <c r="M337" s="157">
        <f>IFERROR(VLOOKUP($L337,'2-2 引出数据_合同数据仓库'!$B$5:$BP$200,3,FALSE),0)</f>
        <v>0</v>
      </c>
      <c r="N337" s="131"/>
      <c r="O337" s="157">
        <f>IFERROR(VLOOKUP((LEFT(VLOOKUP($L337,'2-2 引出数据_合同数据仓库'!$B$5:$BP$200,64,FALSE),15)&amp;(RIGHT(VLOOKUP($L337,'2-2 引出数据_合同数据仓库'!$B$5:$BP$200,64,FALSE),4)+1)),'2-2 引出数据_合同数据仓库'!$B$5:$BP$200,3,FALSE),0)</f>
        <v>0</v>
      </c>
      <c r="P337" s="131"/>
      <c r="Q337" s="131">
        <f>IFERROR(VLOOKUP($L337,'2-2 引出数据_合同数据仓库'!$B$5:$BP$200,28,FALSE),0)</f>
        <v>0</v>
      </c>
      <c r="R337" s="131">
        <f>IFERROR(VLOOKUP($L337,'2-2 引出数据_合同数据仓库'!$B$5:$BP$200,29,FALSE),0)</f>
        <v>0</v>
      </c>
      <c r="S337" s="131">
        <f>IFERROR(VLOOKUP($L337,'2-2 引出数据_合同数据仓库'!$B$5:$BP$200,4,FALSE),0)</f>
        <v>0</v>
      </c>
      <c r="T337" s="131"/>
      <c r="U337" s="131">
        <f>IFERROR(VLOOKUP($L337,'2-2 引出数据_合同数据仓库'!$B$5:$BP$200,15,FALSE),0)</f>
        <v>0</v>
      </c>
      <c r="V337" s="131">
        <f t="shared" si="3926"/>
        <v>0</v>
      </c>
      <c r="W337" s="131"/>
      <c r="X337" s="163">
        <v>45658</v>
      </c>
      <c r="Y337" s="163">
        <f t="shared" si="3927"/>
        <v>45688</v>
      </c>
      <c r="Z337" s="167">
        <f t="shared" si="3928"/>
        <v>0</v>
      </c>
      <c r="AA337" s="163">
        <f t="shared" si="3929"/>
        <v>45689</v>
      </c>
      <c r="AB337" s="163">
        <f t="shared" si="3930"/>
        <v>45716</v>
      </c>
      <c r="AC337" s="167">
        <f t="shared" si="3931"/>
        <v>0</v>
      </c>
      <c r="AD337" s="163">
        <f t="shared" si="3932"/>
        <v>45717</v>
      </c>
      <c r="AE337" s="163">
        <f t="shared" si="3933"/>
        <v>45747</v>
      </c>
      <c r="AF337" s="167">
        <f t="shared" si="3934"/>
        <v>0</v>
      </c>
      <c r="AG337" s="163">
        <f t="shared" si="3935"/>
        <v>45748</v>
      </c>
      <c r="AH337" s="163">
        <f t="shared" si="3936"/>
        <v>45777</v>
      </c>
      <c r="AI337" s="167">
        <f t="shared" si="3937"/>
        <v>0</v>
      </c>
      <c r="AJ337" s="163">
        <f t="shared" si="3938"/>
        <v>45778</v>
      </c>
      <c r="AK337" s="163">
        <f t="shared" si="3939"/>
        <v>45808</v>
      </c>
      <c r="AL337" s="167">
        <f t="shared" si="3940"/>
        <v>0</v>
      </c>
      <c r="AM337" s="163">
        <f t="shared" si="3941"/>
        <v>45809</v>
      </c>
      <c r="AN337" s="163">
        <f t="shared" si="3942"/>
        <v>45838</v>
      </c>
      <c r="AO337" s="167">
        <f t="shared" si="3943"/>
        <v>0</v>
      </c>
      <c r="AP337" s="163">
        <f t="shared" si="3944"/>
        <v>45839</v>
      </c>
      <c r="AQ337" s="163">
        <f t="shared" si="3945"/>
        <v>45869</v>
      </c>
      <c r="AR337" s="167">
        <f t="shared" si="3946"/>
        <v>0</v>
      </c>
      <c r="AS337" s="163">
        <f t="shared" si="3947"/>
        <v>45870</v>
      </c>
      <c r="AT337" s="163">
        <f t="shared" si="3948"/>
        <v>45900</v>
      </c>
      <c r="AU337" s="167">
        <f t="shared" si="3949"/>
        <v>0</v>
      </c>
      <c r="AV337" s="163">
        <f t="shared" si="3950"/>
        <v>45901</v>
      </c>
      <c r="AW337" s="163">
        <f t="shared" si="3951"/>
        <v>45930</v>
      </c>
      <c r="AX337" s="167">
        <f t="shared" si="3952"/>
        <v>0</v>
      </c>
      <c r="AY337" s="163">
        <f t="shared" si="3953"/>
        <v>45931</v>
      </c>
      <c r="AZ337" s="163">
        <f t="shared" si="3954"/>
        <v>45961</v>
      </c>
      <c r="BA337" s="167">
        <f t="shared" si="3955"/>
        <v>0</v>
      </c>
      <c r="BB337" s="163">
        <f t="shared" si="3956"/>
        <v>45962</v>
      </c>
      <c r="BC337" s="163">
        <f t="shared" si="3957"/>
        <v>45991</v>
      </c>
      <c r="BD337" s="167">
        <f t="shared" si="3958"/>
        <v>0</v>
      </c>
      <c r="BE337" s="163">
        <f t="shared" si="3959"/>
        <v>45992</v>
      </c>
      <c r="BF337" s="163">
        <f t="shared" si="3960"/>
        <v>46022</v>
      </c>
      <c r="BG337" s="167">
        <f t="shared" si="3961"/>
        <v>0</v>
      </c>
      <c r="BH337" s="163">
        <v>46023</v>
      </c>
      <c r="BI337" s="163">
        <f t="shared" si="3962"/>
        <v>46053</v>
      </c>
      <c r="BJ337" s="167">
        <f t="shared" si="3963"/>
        <v>0</v>
      </c>
      <c r="BK337" s="163">
        <f t="shared" si="3964"/>
        <v>46054</v>
      </c>
      <c r="BL337" s="163">
        <f t="shared" si="3965"/>
        <v>46081</v>
      </c>
      <c r="BM337" s="167">
        <f t="shared" si="3966"/>
        <v>0</v>
      </c>
      <c r="BN337" s="163">
        <f t="shared" si="3967"/>
        <v>46082</v>
      </c>
      <c r="BO337" s="163">
        <f t="shared" si="3968"/>
        <v>46112</v>
      </c>
      <c r="BP337" s="167">
        <f t="shared" si="3969"/>
        <v>0</v>
      </c>
      <c r="BQ337" s="163">
        <f t="shared" si="3970"/>
        <v>46113</v>
      </c>
      <c r="BR337" s="163">
        <f t="shared" si="3971"/>
        <v>46142</v>
      </c>
      <c r="BS337" s="167">
        <f t="shared" si="3972"/>
        <v>0</v>
      </c>
      <c r="BT337" s="163">
        <f t="shared" si="3973"/>
        <v>46143</v>
      </c>
      <c r="BU337" s="163">
        <f t="shared" si="3974"/>
        <v>46173</v>
      </c>
      <c r="BV337" s="167">
        <f t="shared" si="3975"/>
        <v>0</v>
      </c>
      <c r="BW337" s="163">
        <f t="shared" si="3976"/>
        <v>46174</v>
      </c>
      <c r="BX337" s="163">
        <f t="shared" si="3977"/>
        <v>46203</v>
      </c>
      <c r="BY337" s="167">
        <f t="shared" si="3978"/>
        <v>0</v>
      </c>
      <c r="BZ337" s="163">
        <f t="shared" si="3979"/>
        <v>46204</v>
      </c>
      <c r="CA337" s="163">
        <f t="shared" si="3980"/>
        <v>46234</v>
      </c>
      <c r="CB337" s="167">
        <f t="shared" si="3981"/>
        <v>0</v>
      </c>
      <c r="CC337" s="163">
        <f t="shared" si="3982"/>
        <v>46235</v>
      </c>
      <c r="CD337" s="163">
        <f t="shared" si="3983"/>
        <v>46265</v>
      </c>
      <c r="CE337" s="167">
        <f t="shared" si="3984"/>
        <v>0</v>
      </c>
      <c r="CF337" s="163">
        <f t="shared" si="3985"/>
        <v>46266</v>
      </c>
      <c r="CG337" s="163">
        <f t="shared" si="3986"/>
        <v>46295</v>
      </c>
      <c r="CH337" s="167">
        <f t="shared" si="3987"/>
        <v>0</v>
      </c>
      <c r="CI337" s="163">
        <f t="shared" si="3988"/>
        <v>46296</v>
      </c>
      <c r="CJ337" s="163">
        <f t="shared" si="3989"/>
        <v>46326</v>
      </c>
      <c r="CK337" s="167">
        <f t="shared" si="3990"/>
        <v>0</v>
      </c>
      <c r="CL337" s="163">
        <f t="shared" si="3991"/>
        <v>46327</v>
      </c>
      <c r="CM337" s="163">
        <f t="shared" si="3992"/>
        <v>46356</v>
      </c>
      <c r="CN337" s="167">
        <f t="shared" si="3993"/>
        <v>0</v>
      </c>
      <c r="CO337" s="163">
        <f t="shared" si="3994"/>
        <v>46357</v>
      </c>
      <c r="CP337" s="163">
        <f t="shared" si="3995"/>
        <v>46387</v>
      </c>
      <c r="CQ337" s="167">
        <f t="shared" si="3996"/>
        <v>0</v>
      </c>
    </row>
    <row r="338" s="89" customFormat="1" ht="24" hidden="1" customHeight="1" outlineLevel="4" spans="1:95">
      <c r="A338" s="132" t="s">
        <v>2813</v>
      </c>
      <c r="B338" s="133"/>
      <c r="C338" s="133"/>
      <c r="D338" s="133"/>
      <c r="E338" s="133"/>
      <c r="F338" s="133"/>
      <c r="G338" s="134"/>
      <c r="H338" s="135"/>
      <c r="I338" s="135"/>
      <c r="J338" s="135"/>
      <c r="K338" s="135"/>
      <c r="L338" s="158"/>
      <c r="M338" s="158"/>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c r="CL338" s="135"/>
      <c r="CM338" s="135"/>
      <c r="CN338" s="135"/>
      <c r="CO338" s="135"/>
      <c r="CP338" s="135"/>
      <c r="CQ338" s="135"/>
    </row>
    <row r="339" ht="24" customHeight="1" outlineLevel="2" collapsed="1" spans="1:95">
      <c r="A339" s="43"/>
      <c r="B339" s="121" t="s">
        <v>787</v>
      </c>
      <c r="C339" s="122" t="s">
        <v>1280</v>
      </c>
      <c r="D339" s="43" t="s">
        <v>1281</v>
      </c>
      <c r="E339" s="121" t="s">
        <v>1282</v>
      </c>
      <c r="F339" s="121"/>
      <c r="G339" s="121" t="s">
        <v>936</v>
      </c>
      <c r="H339" s="123">
        <f>X339+AA339+AD339+AG339+AJ339+AM339+AP339+AS339+AV339+AY339+BB339+BE339</f>
        <v>312059.662941931</v>
      </c>
      <c r="I339" s="123">
        <f>Y339+AB339+AE339+AH339+AK339+AN339+AQ339+AT339+AW339+AZ339+BC339+BF339</f>
        <v>-754142.36157224</v>
      </c>
      <c r="J339" s="123">
        <f t="shared" si="3853"/>
        <v>1066202.02451417</v>
      </c>
      <c r="K339" s="123"/>
      <c r="L339" s="154"/>
      <c r="M339" s="154"/>
      <c r="N339" s="123"/>
      <c r="O339" s="123"/>
      <c r="P339" s="123"/>
      <c r="Q339" s="123"/>
      <c r="R339" s="123"/>
      <c r="S339" s="123"/>
      <c r="T339" s="123"/>
      <c r="U339" s="123"/>
      <c r="V339" s="123"/>
      <c r="W339" s="123"/>
      <c r="X339" s="123">
        <f>VLOOKUP($C339,'1 预算编制表单'!$C:$BJ,27,FALSE)</f>
        <v>173039.379923063</v>
      </c>
      <c r="Y339" s="123">
        <f>X339-Z339</f>
        <v>165150.784489273</v>
      </c>
      <c r="Z339" s="123">
        <f>Z340+Z346+Z355+Z361+Z367+Z373+Z379+Z385+Z391</f>
        <v>7888.59543378996</v>
      </c>
      <c r="AA339" s="123">
        <f>VLOOKUP($C339,'1 预算编制表单'!$C:$BJ,30,FALSE)</f>
        <v>12638.2075471698</v>
      </c>
      <c r="AB339" s="123">
        <f>AA339-AC339</f>
        <v>-2661.33718132975</v>
      </c>
      <c r="AC339" s="123">
        <f>AC340+AC346+AC355+AC361+AC367+AC373+AC379+AC385+AC391</f>
        <v>15299.5447284995</v>
      </c>
      <c r="AD339" s="123">
        <f>VLOOKUP($C339,'1 预算编制表单'!$C:$BJ,33,FALSE)</f>
        <v>12638.2075471698</v>
      </c>
      <c r="AE339" s="123">
        <f>AD339-AF339</f>
        <v>-53065.0181060576</v>
      </c>
      <c r="AF339" s="123">
        <f>AF340+AF346+AF355+AF361+AF367+AF373+AF379+AF385+AF391</f>
        <v>65703.2256532274</v>
      </c>
      <c r="AG339" s="123">
        <f>VLOOKUP($C339,'1 预算编制表单'!$C:$BJ,36,FALSE)</f>
        <v>12638.2075471698</v>
      </c>
      <c r="AH339" s="123">
        <f>AG339-AI339</f>
        <v>-102433.934965036</v>
      </c>
      <c r="AI339" s="123">
        <f>AI340+AI346+AI355+AI361+AI367+AI373+AI379+AI385+AI391</f>
        <v>115072.142512206</v>
      </c>
      <c r="AJ339" s="123">
        <f>VLOOKUP($C339,'1 预算编制表单'!$C:$BJ,39,FALSE)</f>
        <v>12638.2075471698</v>
      </c>
      <c r="AK339" s="123">
        <f>AJ339-AL339</f>
        <v>-109385.907309963</v>
      </c>
      <c r="AL339" s="123">
        <f>AL340+AL346+AL355+AL361+AL367+AL373+AL379+AL385+AL391</f>
        <v>122024.114857133</v>
      </c>
      <c r="AM339" s="123">
        <f>VLOOKUP($C339,'1 预算编制表单'!$C:$BJ,42,FALSE)</f>
        <v>12638.2075471698</v>
      </c>
      <c r="AN339" s="123">
        <f>AM339-AO339</f>
        <v>-105449.645540378</v>
      </c>
      <c r="AO339" s="123">
        <f>AO340+AO346+AO355+AO361+AO367+AO373+AO379+AO385+AO391</f>
        <v>118087.853087548</v>
      </c>
      <c r="AP339" s="123">
        <f>VLOOKUP($C339,'1 预算编制表单'!$C:$BJ,45,FALSE)</f>
        <v>12638.2075471698</v>
      </c>
      <c r="AQ339" s="123">
        <f>AP339-AR339</f>
        <v>-109385.907309963</v>
      </c>
      <c r="AR339" s="123">
        <f>AR340+AR346+AR355+AR361+AR367+AR373+AR379+AR385+AR391</f>
        <v>122024.114857133</v>
      </c>
      <c r="AS339" s="123">
        <f>VLOOKUP($C339,'1 预算编制表单'!$C:$BJ,48,FALSE)</f>
        <v>12638.2075471698</v>
      </c>
      <c r="AT339" s="123">
        <f>AS339-AU339</f>
        <v>-109385.907309963</v>
      </c>
      <c r="AU339" s="123">
        <f>AU340+AU346+AU355+AU361+AU367+AU373+AU379+AU385+AU391</f>
        <v>122024.114857133</v>
      </c>
      <c r="AV339" s="123">
        <f>VLOOKUP($C339,'1 预算编制表单'!$C:$BJ,51,FALSE)</f>
        <v>12638.2075471698</v>
      </c>
      <c r="AW339" s="123">
        <f>AV339-AX339</f>
        <v>-99247.3983493669</v>
      </c>
      <c r="AX339" s="123">
        <f>AX340+AX346+AX355+AX361+AX367+AX373+AX379+AX385+AX391</f>
        <v>111885.605896537</v>
      </c>
      <c r="AY339" s="123">
        <f>VLOOKUP($C339,'1 预算编制表单'!$C:$BJ,54,FALSE)</f>
        <v>12638.2075471698</v>
      </c>
      <c r="AZ339" s="123">
        <f>AY339-BA339</f>
        <v>-77340.9634897383</v>
      </c>
      <c r="BA339" s="123">
        <f>BA340+BA346+BA355+BA361+BA367+BA373+BA379+BA385+BA391</f>
        <v>89979.1710369081</v>
      </c>
      <c r="BB339" s="123">
        <f>VLOOKUP($C339,'1 预算编制表单'!$C:$BJ,57,FALSE)</f>
        <v>12638.2075471698</v>
      </c>
      <c r="BC339" s="123">
        <f>BB339-BD339</f>
        <v>-74438.409585322</v>
      </c>
      <c r="BD339" s="123">
        <f>BD340+BD346+BD355+BD361+BD367+BD373+BD379+BD385+BD391</f>
        <v>87076.6171324918</v>
      </c>
      <c r="BE339" s="123">
        <f>VLOOKUP($C339,'1 预算编制表单'!$C:$BJ,60,FALSE)</f>
        <v>12638.2075471698</v>
      </c>
      <c r="BF339" s="123">
        <f>BE339-BG339</f>
        <v>-76498.7169143959</v>
      </c>
      <c r="BG339" s="123">
        <f>BG340+BG346+BG355+BG361+BG367+BG373+BG379+BG385+BG391</f>
        <v>89136.9244615657</v>
      </c>
      <c r="BH339" s="123">
        <f>VLOOKUP($C339,'1 预算编制表单'!$C:$BJ,27,FALSE)</f>
        <v>173039.379923063</v>
      </c>
      <c r="BI339" s="123">
        <f>BH339-BJ339</f>
        <v>167540.142991556</v>
      </c>
      <c r="BJ339" s="123">
        <f>BJ340+BJ346+BJ355+BJ361+BJ367+BJ373+BJ379+BJ385+BJ391</f>
        <v>5499.23693150685</v>
      </c>
      <c r="BK339" s="123">
        <f>VLOOKUP($C339,'1 预算编制表单'!$C:$BJ,30,FALSE)</f>
        <v>12638.2075471698</v>
      </c>
      <c r="BL339" s="123">
        <f>BK339-BM339</f>
        <v>7671.15483484103</v>
      </c>
      <c r="BM339" s="123">
        <f>BM340+BM346+BM355+BM361+BM367+BM373+BM379+BM385+BM391</f>
        <v>4967.05271232877</v>
      </c>
      <c r="BN339" s="123">
        <f>VLOOKUP($C339,'1 预算编制表单'!$C:$BJ,33,FALSE)</f>
        <v>12638.2075471698</v>
      </c>
      <c r="BO339" s="123">
        <f>BN339-BP339</f>
        <v>7138.97061566295</v>
      </c>
      <c r="BP339" s="123">
        <f>BP340+BP346+BP355+BP361+BP367+BP373+BP379+BP385+BP391</f>
        <v>5499.23693150685</v>
      </c>
      <c r="BQ339" s="123">
        <f>VLOOKUP($C339,'1 预算编制表单'!$C:$BJ,36,FALSE)</f>
        <v>12638.2075471698</v>
      </c>
      <c r="BR339" s="123">
        <f>BQ339-BS339</f>
        <v>9622.49697182734</v>
      </c>
      <c r="BS339" s="123">
        <f>BS340+BS346+BS355+BS361+BS367+BS373+BS379+BS385+BS391</f>
        <v>3015.71057534247</v>
      </c>
      <c r="BT339" s="123">
        <f>VLOOKUP($C339,'1 预算编制表单'!$C:$BJ,39,FALSE)</f>
        <v>12638.2075471698</v>
      </c>
      <c r="BU339" s="123">
        <f>BT339-BV339</f>
        <v>12638.2075471698</v>
      </c>
      <c r="BV339" s="123">
        <f>BV340+BV346+BV355+BV361+BV367+BV373+BV379+BV385+BV391</f>
        <v>0</v>
      </c>
      <c r="BW339" s="123">
        <f>VLOOKUP($C339,'1 预算编制表单'!$C:$BJ,42,FALSE)</f>
        <v>12638.2075471698</v>
      </c>
      <c r="BX339" s="123">
        <f>BW339-BY339</f>
        <v>12638.2075471698</v>
      </c>
      <c r="BY339" s="123">
        <f>BY340+BY346+BY355+BY361+BY367+BY373+BY379+BY385+BY391</f>
        <v>0</v>
      </c>
      <c r="BZ339" s="123">
        <f>VLOOKUP($C339,'1 预算编制表单'!$C:$BJ,45,FALSE)</f>
        <v>12638.2075471698</v>
      </c>
      <c r="CA339" s="123">
        <f>BZ339-CB339</f>
        <v>12638.2075471698</v>
      </c>
      <c r="CB339" s="123">
        <f>CB340+CB346+CB355+CB361+CB367+CB373+CB379+CB385+CB391</f>
        <v>0</v>
      </c>
      <c r="CC339" s="123">
        <f>VLOOKUP($C339,'1 预算编制表单'!$C:$BJ,48,FALSE)</f>
        <v>12638.2075471698</v>
      </c>
      <c r="CD339" s="123">
        <f>CC339-CE339</f>
        <v>12638.2075471698</v>
      </c>
      <c r="CE339" s="123">
        <f>CE340+CE346+CE355+CE361+CE367+CE373+CE379+CE385+CE391</f>
        <v>0</v>
      </c>
      <c r="CF339" s="123">
        <f>VLOOKUP($C339,'1 预算编制表单'!$C:$BJ,51,FALSE)</f>
        <v>12638.2075471698</v>
      </c>
      <c r="CG339" s="123">
        <f>CF339-CH339</f>
        <v>12638.2075471698</v>
      </c>
      <c r="CH339" s="123">
        <f>CH340+CH346+CH355+CH361+CH367+CH373+CH379+CH385+CH391</f>
        <v>0</v>
      </c>
      <c r="CI339" s="123">
        <f>VLOOKUP($C339,'1 预算编制表单'!$C:$BJ,54,FALSE)</f>
        <v>12638.2075471698</v>
      </c>
      <c r="CJ339" s="123">
        <f>CI339-CK339</f>
        <v>12638.2075471698</v>
      </c>
      <c r="CK339" s="123">
        <f>CK340+CK346+CK355+CK361+CK367+CK373+CK379+CK385+CK391</f>
        <v>0</v>
      </c>
      <c r="CL339" s="123">
        <f>VLOOKUP($C339,'1 预算编制表单'!$C:$BJ,57,FALSE)</f>
        <v>12638.2075471698</v>
      </c>
      <c r="CM339" s="123">
        <f>CL339-CN339</f>
        <v>12638.2075471698</v>
      </c>
      <c r="CN339" s="123">
        <f>CN340+CN346+CN355+CN361+CN367+CN373+CN379+CN385+CN391</f>
        <v>0</v>
      </c>
      <c r="CO339" s="123">
        <f>VLOOKUP($C339,'1 预算编制表单'!$C:$BJ,60,FALSE)</f>
        <v>12638.2075471698</v>
      </c>
      <c r="CP339" s="123">
        <f>CO339-CQ339</f>
        <v>12638.2075471698</v>
      </c>
      <c r="CQ339" s="123">
        <f>CQ340+CQ346+CQ355+CQ361+CQ367+CQ373+CQ379+CQ385+CQ391</f>
        <v>0</v>
      </c>
    </row>
    <row r="340" ht="24" hidden="1" customHeight="1" outlineLevel="3" collapsed="1" spans="1:95">
      <c r="A340" s="124"/>
      <c r="B340" s="125" t="s">
        <v>792</v>
      </c>
      <c r="C340" s="126" t="s">
        <v>28</v>
      </c>
      <c r="D340" s="124" t="s">
        <v>29</v>
      </c>
      <c r="E340" s="125" t="s">
        <v>1283</v>
      </c>
      <c r="F340" s="125"/>
      <c r="G340" s="125" t="s">
        <v>936</v>
      </c>
      <c r="H340" s="127">
        <f>X340+AA340+AD340+AG340+AJ340+AM340+AP340+AS340+AV340+AY340+BB340+BE340</f>
        <v>151658.490566038</v>
      </c>
      <c r="I340" s="127">
        <f>Y340+AB340+AE340+AH340+AK340+AN340+AQ340+AT340+AW340+AZ340+BC340+BF340</f>
        <v>61984.5775225593</v>
      </c>
      <c r="J340" s="127">
        <f t="shared" si="3853"/>
        <v>89673.9130434783</v>
      </c>
      <c r="K340" s="127"/>
      <c r="L340" s="155"/>
      <c r="M340" s="155"/>
      <c r="N340" s="127"/>
      <c r="O340" s="127"/>
      <c r="P340" s="127"/>
      <c r="Q340" s="127"/>
      <c r="R340" s="127"/>
      <c r="S340" s="127"/>
      <c r="T340" s="127"/>
      <c r="U340" s="127"/>
      <c r="V340" s="127"/>
      <c r="W340" s="127"/>
      <c r="X340" s="127">
        <f>VLOOKUP($C340,'1 预算编制表单'!$C:$BJ,27,FALSE)</f>
        <v>12638.2075471698</v>
      </c>
      <c r="Y340" s="127">
        <f>X340-Z340</f>
        <v>12638.2075471698</v>
      </c>
      <c r="Z340" s="127">
        <f>SUM(Z341:Z345)</f>
        <v>0</v>
      </c>
      <c r="AA340" s="127">
        <f>VLOOKUP($C340,'1 预算编制表单'!$C:$BJ,30,FALSE)</f>
        <v>12638.2075471698</v>
      </c>
      <c r="AB340" s="127">
        <f>AA340-AC340</f>
        <v>12638.2075471698</v>
      </c>
      <c r="AC340" s="127">
        <f>SUM(AC341:AC345)</f>
        <v>0</v>
      </c>
      <c r="AD340" s="127">
        <f>VLOOKUP($C340,'1 预算编制表单'!$C:$BJ,33,FALSE)</f>
        <v>12638.2075471698</v>
      </c>
      <c r="AE340" s="127">
        <f>AD340-AF340</f>
        <v>12638.2075471698</v>
      </c>
      <c r="AF340" s="127">
        <f>SUM(AF341:AF345)</f>
        <v>0</v>
      </c>
      <c r="AG340" s="127">
        <f>VLOOKUP($C340,'1 预算编制表单'!$C:$BJ,36,FALSE)</f>
        <v>12638.2075471698</v>
      </c>
      <c r="AH340" s="127">
        <f>AG340-AI340</f>
        <v>2855.59885151763</v>
      </c>
      <c r="AI340" s="127">
        <f>SUM(AI341:AI345)</f>
        <v>9782.60869565217</v>
      </c>
      <c r="AJ340" s="127">
        <f>VLOOKUP($C340,'1 预算编制表单'!$C:$BJ,39,FALSE)</f>
        <v>12638.2075471698</v>
      </c>
      <c r="AK340" s="127">
        <f>AJ340-AL340</f>
        <v>2529.51189499589</v>
      </c>
      <c r="AL340" s="127">
        <f>SUM(AL341:AL345)</f>
        <v>10108.6956521739</v>
      </c>
      <c r="AM340" s="127">
        <f>VLOOKUP($C340,'1 预算编制表单'!$C:$BJ,42,FALSE)</f>
        <v>12638.2075471698</v>
      </c>
      <c r="AN340" s="127">
        <f>AM340-AO340</f>
        <v>2855.59885151763</v>
      </c>
      <c r="AO340" s="127">
        <f>SUM(AO341:AO345)</f>
        <v>9782.60869565217</v>
      </c>
      <c r="AP340" s="127">
        <f>VLOOKUP($C340,'1 预算编制表单'!$C:$BJ,45,FALSE)</f>
        <v>12638.2075471698</v>
      </c>
      <c r="AQ340" s="127">
        <f>AP340-AR340</f>
        <v>2529.51189499589</v>
      </c>
      <c r="AR340" s="127">
        <f>SUM(AR341:AR345)</f>
        <v>10108.6956521739</v>
      </c>
      <c r="AS340" s="127">
        <f>VLOOKUP($C340,'1 预算编制表单'!$C:$BJ,48,FALSE)</f>
        <v>12638.2075471698</v>
      </c>
      <c r="AT340" s="127">
        <f>AS340-AU340</f>
        <v>2529.51189499589</v>
      </c>
      <c r="AU340" s="127">
        <f>SUM(AU341:AU345)</f>
        <v>10108.6956521739</v>
      </c>
      <c r="AV340" s="127">
        <f>VLOOKUP($C340,'1 预算编制表单'!$C:$BJ,51,FALSE)</f>
        <v>12638.2075471698</v>
      </c>
      <c r="AW340" s="127">
        <f>AV340-AX340</f>
        <v>2855.59885151763</v>
      </c>
      <c r="AX340" s="127">
        <f>SUM(AX341:AX345)</f>
        <v>9782.60869565217</v>
      </c>
      <c r="AY340" s="127">
        <f>VLOOKUP($C340,'1 预算编制表单'!$C:$BJ,54,FALSE)</f>
        <v>12638.2075471698</v>
      </c>
      <c r="AZ340" s="127">
        <f>AY340-BA340</f>
        <v>2529.51189499589</v>
      </c>
      <c r="BA340" s="127">
        <f>SUM(BA341:BA345)</f>
        <v>10108.6956521739</v>
      </c>
      <c r="BB340" s="127">
        <f>VLOOKUP($C340,'1 预算编制表单'!$C:$BJ,57,FALSE)</f>
        <v>12638.2075471698</v>
      </c>
      <c r="BC340" s="127">
        <f>BB340-BD340</f>
        <v>2855.59885151763</v>
      </c>
      <c r="BD340" s="127">
        <f>SUM(BD341:BD345)</f>
        <v>9782.60869565217</v>
      </c>
      <c r="BE340" s="127">
        <f>VLOOKUP($C340,'1 预算编制表单'!$C:$BJ,60,FALSE)</f>
        <v>12638.2075471698</v>
      </c>
      <c r="BF340" s="127">
        <f>BE340-BG340</f>
        <v>2529.51189499589</v>
      </c>
      <c r="BG340" s="127">
        <f>SUM(BG341:BG345)</f>
        <v>10108.6956521739</v>
      </c>
      <c r="BH340" s="127">
        <f>VLOOKUP($C340,'1 预算编制表单'!$C:$BJ,27,FALSE)</f>
        <v>12638.2075471698</v>
      </c>
      <c r="BI340" s="127">
        <f>BH340-BJ340</f>
        <v>12638.2075471698</v>
      </c>
      <c r="BJ340" s="127">
        <f>SUM(BJ341:BJ345)</f>
        <v>0</v>
      </c>
      <c r="BK340" s="127">
        <f>VLOOKUP($C340,'1 预算编制表单'!$C:$BJ,30,FALSE)</f>
        <v>12638.2075471698</v>
      </c>
      <c r="BL340" s="127">
        <f>BK340-BM340</f>
        <v>12638.2075471698</v>
      </c>
      <c r="BM340" s="127">
        <f>SUM(BM341:BM345)</f>
        <v>0</v>
      </c>
      <c r="BN340" s="127">
        <f>VLOOKUP($C340,'1 预算编制表单'!$C:$BJ,33,FALSE)</f>
        <v>12638.2075471698</v>
      </c>
      <c r="BO340" s="127">
        <f>BN340-BP340</f>
        <v>12638.2075471698</v>
      </c>
      <c r="BP340" s="127">
        <f>SUM(BP341:BP345)</f>
        <v>0</v>
      </c>
      <c r="BQ340" s="127">
        <f>VLOOKUP($C340,'1 预算编制表单'!$C:$BJ,36,FALSE)</f>
        <v>12638.2075471698</v>
      </c>
      <c r="BR340" s="127">
        <f>BQ340-BS340</f>
        <v>12638.2075471698</v>
      </c>
      <c r="BS340" s="127">
        <f>SUM(BS341:BS345)</f>
        <v>0</v>
      </c>
      <c r="BT340" s="127">
        <f>VLOOKUP($C340,'1 预算编制表单'!$C:$BJ,39,FALSE)</f>
        <v>12638.2075471698</v>
      </c>
      <c r="BU340" s="127">
        <f>BT340-BV340</f>
        <v>12638.2075471698</v>
      </c>
      <c r="BV340" s="127">
        <f>SUM(BV341:BV345)</f>
        <v>0</v>
      </c>
      <c r="BW340" s="127">
        <f>VLOOKUP($C340,'1 预算编制表单'!$C:$BJ,42,FALSE)</f>
        <v>12638.2075471698</v>
      </c>
      <c r="BX340" s="127">
        <f>BW340-BY340</f>
        <v>12638.2075471698</v>
      </c>
      <c r="BY340" s="127">
        <f>SUM(BY341:BY345)</f>
        <v>0</v>
      </c>
      <c r="BZ340" s="127">
        <f>VLOOKUP($C340,'1 预算编制表单'!$C:$BJ,45,FALSE)</f>
        <v>12638.2075471698</v>
      </c>
      <c r="CA340" s="127">
        <f>BZ340-CB340</f>
        <v>12638.2075471698</v>
      </c>
      <c r="CB340" s="127">
        <f>SUM(CB341:CB345)</f>
        <v>0</v>
      </c>
      <c r="CC340" s="127">
        <f>VLOOKUP($C340,'1 预算编制表单'!$C:$BJ,48,FALSE)</f>
        <v>12638.2075471698</v>
      </c>
      <c r="CD340" s="127">
        <f>CC340-CE340</f>
        <v>12638.2075471698</v>
      </c>
      <c r="CE340" s="127">
        <f>SUM(CE341:CE345)</f>
        <v>0</v>
      </c>
      <c r="CF340" s="127">
        <f>VLOOKUP($C340,'1 预算编制表单'!$C:$BJ,51,FALSE)</f>
        <v>12638.2075471698</v>
      </c>
      <c r="CG340" s="127">
        <f>CF340-CH340</f>
        <v>12638.2075471698</v>
      </c>
      <c r="CH340" s="127">
        <f>SUM(CH341:CH345)</f>
        <v>0</v>
      </c>
      <c r="CI340" s="127">
        <f>VLOOKUP($C340,'1 预算编制表单'!$C:$BJ,54,FALSE)</f>
        <v>12638.2075471698</v>
      </c>
      <c r="CJ340" s="127">
        <f>CI340-CK340</f>
        <v>12638.2075471698</v>
      </c>
      <c r="CK340" s="127">
        <f>SUM(CK341:CK345)</f>
        <v>0</v>
      </c>
      <c r="CL340" s="127">
        <f>VLOOKUP($C340,'1 预算编制表单'!$C:$BJ,57,FALSE)</f>
        <v>12638.2075471698</v>
      </c>
      <c r="CM340" s="127">
        <f>CL340-CN340</f>
        <v>12638.2075471698</v>
      </c>
      <c r="CN340" s="127">
        <f>SUM(CN341:CN345)</f>
        <v>0</v>
      </c>
      <c r="CO340" s="127">
        <f>VLOOKUP($C340,'1 预算编制表单'!$C:$BJ,60,FALSE)</f>
        <v>12638.2075471698</v>
      </c>
      <c r="CP340" s="127">
        <f>CO340-CQ340</f>
        <v>12638.2075471698</v>
      </c>
      <c r="CQ340" s="127">
        <f>SUM(CQ341:CQ345)</f>
        <v>0</v>
      </c>
    </row>
    <row r="341" s="89" customFormat="1" ht="24" hidden="1" customHeight="1" outlineLevel="4" spans="1:95">
      <c r="A341" s="128"/>
      <c r="B341" s="129"/>
      <c r="C341" s="130"/>
      <c r="D341" s="128"/>
      <c r="E341" s="129"/>
      <c r="F341" s="129"/>
      <c r="G341" s="129"/>
      <c r="H341" s="131"/>
      <c r="I341" s="131"/>
      <c r="J341" s="131">
        <f t="shared" si="3853"/>
        <v>89673.9130434783</v>
      </c>
      <c r="K341" s="131">
        <v>1</v>
      </c>
      <c r="L341" s="156" t="s">
        <v>2828</v>
      </c>
      <c r="M341" s="157" t="str">
        <f>IFERROR(VLOOKUP($L341,'2-2 引出数据_合同数据仓库'!$B$5:$BP$200,3,FALSE),0)</f>
        <v>深圳非住二片区中海油项目四害消杀服务合同</v>
      </c>
      <c r="N341" s="131"/>
      <c r="O341" s="157">
        <f>IFERROR(VLOOKUP((LEFT(VLOOKUP($L341,'2-2 引出数据_合同数据仓库'!$B$5:$BP$200,64,FALSE),15)&amp;(RIGHT(VLOOKUP($L341,'2-2 引出数据_合同数据仓库'!$B$5:$BP$200,64,FALSE),4)+1)),'2-2 引出数据_合同数据仓库'!$B$5:$BP$200,3,FALSE),0)</f>
        <v>0</v>
      </c>
      <c r="P341" s="131"/>
      <c r="Q341" s="131" t="str">
        <f>IFERROR(VLOOKUP($L341,'2-2 引出数据_合同数据仓库'!$B$5:$BP$200,28,FALSE),0)</f>
        <v>2025-03-31</v>
      </c>
      <c r="R341" s="131" t="str">
        <f>IFERROR(VLOOKUP($L341,'2-2 引出数据_合同数据仓库'!$B$5:$BP$200,29,FALSE),0)</f>
        <v>2025-03-31</v>
      </c>
      <c r="S341" s="131" t="str">
        <f>IFERROR(VLOOKUP($L341,'2-2 引出数据_合同数据仓库'!$B$5:$BP$200,4,FALSE),0)</f>
        <v>2025-12-31</v>
      </c>
      <c r="T341" s="131"/>
      <c r="U341" s="131">
        <f>IFERROR(VLOOKUP($L341,'2-2 引出数据_合同数据仓库'!$B$5:$BP$200,15,FALSE),0)</f>
        <v>90000</v>
      </c>
      <c r="V341" s="131">
        <f t="shared" ref="V341:V344" si="3998">U341/(S341-R341+1)*365</f>
        <v>119021.739130435</v>
      </c>
      <c r="W341" s="131"/>
      <c r="X341" s="163">
        <v>45658</v>
      </c>
      <c r="Y341" s="163">
        <f t="shared" ref="Y341:Y344" si="3999">X341+30</f>
        <v>45688</v>
      </c>
      <c r="Z341" s="167">
        <f t="shared" ref="Z341:Z344" si="4000">IFERROR(IF(($R341-Y341)&gt;=0,0,IF(($S341-X341)&lt;0,0,IF(AND(($S341-Y341)&gt;0,(X341-$R341)&gt;0),$V341/365*(Y341-X341+1),IF(AND(($S341-Y341)&lt;=0,(X341-$R341)&gt;0),$V341/365*($S341-X341+1),$V341/365*(Y341-$R341+1))))),0)</f>
        <v>0</v>
      </c>
      <c r="AA341" s="163">
        <f t="shared" ref="AA341:AA344" si="4001">Y341+1</f>
        <v>45689</v>
      </c>
      <c r="AB341" s="163">
        <f t="shared" ref="AB341:AB344" si="4002">AA341+27</f>
        <v>45716</v>
      </c>
      <c r="AC341" s="167">
        <f t="shared" ref="AC341:AC344" si="4003">IFERROR(IF(($R341-AB341)&gt;=0,0,IF(($S341-AA341)&lt;0,0,IF(AND(($S341-AB341)&gt;0,(AA341-$R341)&gt;0),$V341/365*(AB341-AA341+1),IF(AND(($S341-AB341)&lt;=0,(AA341-$R341)&gt;0),$V341/365*($S341-AA341+1),$V341/365*(AB341-$R341+1))))),0)</f>
        <v>0</v>
      </c>
      <c r="AD341" s="163">
        <f t="shared" ref="AD341:AD344" si="4004">AB341+1</f>
        <v>45717</v>
      </c>
      <c r="AE341" s="163">
        <f t="shared" ref="AE341:AE344" si="4005">AD341+30</f>
        <v>45747</v>
      </c>
      <c r="AF341" s="167">
        <f t="shared" ref="AF341:AF344" si="4006">IFERROR(IF(($R341-AE341)&gt;=0,0,IF(($S341-AD341)&lt;0,0,IF(AND(($S341-AE341)&gt;0,(AD341-$R341)&gt;0),$V341/365*(AE341-AD341+1),IF(AND(($S341-AE341)&lt;=0,(AD341-$R341)&gt;0),$V341/365*($S341-AD341+1),$V341/365*(AE341-$R341+1))))),0)</f>
        <v>0</v>
      </c>
      <c r="AG341" s="163">
        <f t="shared" ref="AG341:AG344" si="4007">AE341+1</f>
        <v>45748</v>
      </c>
      <c r="AH341" s="163">
        <f t="shared" ref="AH341:AH344" si="4008">AG341+29</f>
        <v>45777</v>
      </c>
      <c r="AI341" s="167">
        <f t="shared" ref="AI341:AI344" si="4009">IFERROR(IF(($R341-AH341)&gt;=0,0,IF(($S341-AG341)&lt;0,0,IF(AND(($S341-AH341)&gt;0,(AG341-$R341)&gt;0),$V341/365*(AH341-AG341+1),IF(AND(($S341-AH341)&lt;=0,(AG341-$R341)&gt;0),$V341/365*($S341-AG341+1),$V341/365*(AH341-$R341+1))))),0)</f>
        <v>9782.60869565217</v>
      </c>
      <c r="AJ341" s="163">
        <f t="shared" ref="AJ341:AJ344" si="4010">AH341+1</f>
        <v>45778</v>
      </c>
      <c r="AK341" s="163">
        <f t="shared" ref="AK341:AK344" si="4011">AJ341+30</f>
        <v>45808</v>
      </c>
      <c r="AL341" s="167">
        <f t="shared" ref="AL341:AL344" si="4012">IFERROR(IF(($R341-AK341)&gt;=0,0,IF(($S341-AJ341)&lt;0,0,IF(AND(($S341-AK341)&gt;0,(AJ341-$R341)&gt;0),$V341/365*(AK341-AJ341+1),IF(AND(($S341-AK341)&lt;=0,(AJ341-$R341)&gt;0),$V341/365*($S341-AJ341+1),$V341/365*(AK341-$R341+1))))),0)</f>
        <v>10108.6956521739</v>
      </c>
      <c r="AM341" s="163">
        <f t="shared" ref="AM341:AM344" si="4013">AK341+1</f>
        <v>45809</v>
      </c>
      <c r="AN341" s="163">
        <f t="shared" ref="AN341:AN344" si="4014">AM341+29</f>
        <v>45838</v>
      </c>
      <c r="AO341" s="167">
        <f t="shared" ref="AO341:AO344" si="4015">IFERROR(IF(($R341-AN341)&gt;=0,0,IF(($S341-AM341)&lt;0,0,IF(AND(($S341-AN341)&gt;0,(AM341-$R341)&gt;0),$V341/365*(AN341-AM341+1),IF(AND(($S341-AN341)&lt;=0,(AM341-$R341)&gt;0),$V341/365*($S341-AM341+1),$V341/365*(AN341-$R341+1))))),0)</f>
        <v>9782.60869565217</v>
      </c>
      <c r="AP341" s="163">
        <f t="shared" ref="AP341:AP344" si="4016">AN341+1</f>
        <v>45839</v>
      </c>
      <c r="AQ341" s="163">
        <f t="shared" ref="AQ341:AQ344" si="4017">AP341+30</f>
        <v>45869</v>
      </c>
      <c r="AR341" s="167">
        <f t="shared" ref="AR341:AR344" si="4018">IFERROR(IF(($R341-AQ341)&gt;=0,0,IF(($S341-AP341)&lt;0,0,IF(AND(($S341-AQ341)&gt;0,(AP341-$R341)&gt;0),$V341/365*(AQ341-AP341+1),IF(AND(($S341-AQ341)&lt;=0,(AP341-$R341)&gt;0),$V341/365*($S341-AP341+1),$V341/365*(AQ341-$R341+1))))),0)</f>
        <v>10108.6956521739</v>
      </c>
      <c r="AS341" s="163">
        <f t="shared" ref="AS341:AS344" si="4019">AQ341+1</f>
        <v>45870</v>
      </c>
      <c r="AT341" s="163">
        <f t="shared" ref="AT341:AT344" si="4020">AS341+30</f>
        <v>45900</v>
      </c>
      <c r="AU341" s="167">
        <f t="shared" ref="AU341:AU344" si="4021">IFERROR(IF(($R341-AT341)&gt;=0,0,IF(($S341-AS341)&lt;0,0,IF(AND(($S341-AT341)&gt;0,(AS341-$R341)&gt;0),$V341/365*(AT341-AS341+1),IF(AND(($S341-AT341)&lt;=0,(AS341-$R341)&gt;0),$V341/365*($S341-AS341+1),$V341/365*(AT341-$R341+1))))),0)</f>
        <v>10108.6956521739</v>
      </c>
      <c r="AV341" s="163">
        <f t="shared" ref="AV341:AV344" si="4022">AT341+1</f>
        <v>45901</v>
      </c>
      <c r="AW341" s="163">
        <f t="shared" ref="AW341:AW344" si="4023">AV341+29</f>
        <v>45930</v>
      </c>
      <c r="AX341" s="167">
        <f t="shared" ref="AX341:AX344" si="4024">IFERROR(IF(($R341-AW341)&gt;=0,0,IF(($S341-AV341)&lt;0,0,IF(AND(($S341-AW341)&gt;0,(AV341-$R341)&gt;0),$V341/365*(AW341-AV341+1),IF(AND(($S341-AW341)&lt;=0,(AV341-$R341)&gt;0),$V341/365*($S341-AV341+1),$V341/365*(AW341-$R341+1))))),0)</f>
        <v>9782.60869565217</v>
      </c>
      <c r="AY341" s="163">
        <f t="shared" ref="AY341:AY344" si="4025">AW341+1</f>
        <v>45931</v>
      </c>
      <c r="AZ341" s="163">
        <f t="shared" ref="AZ341:AZ344" si="4026">AY341+30</f>
        <v>45961</v>
      </c>
      <c r="BA341" s="167">
        <f t="shared" ref="BA341:BA344" si="4027">IFERROR(IF(($R341-AZ341)&gt;=0,0,IF(($S341-AY341)&lt;0,0,IF(AND(($S341-AZ341)&gt;0,(AY341-$R341)&gt;0),$V341/365*(AZ341-AY341+1),IF(AND(($S341-AZ341)&lt;=0,(AY341-$R341)&gt;0),$V341/365*($S341-AY341+1),$V341/365*(AZ341-$R341+1))))),0)</f>
        <v>10108.6956521739</v>
      </c>
      <c r="BB341" s="163">
        <f t="shared" ref="BB341:BB344" si="4028">AZ341+1</f>
        <v>45962</v>
      </c>
      <c r="BC341" s="163">
        <f t="shared" ref="BC341:BC344" si="4029">BB341+29</f>
        <v>45991</v>
      </c>
      <c r="BD341" s="167">
        <f t="shared" ref="BD341:BD344" si="4030">IFERROR(IF(($R341-BC341)&gt;=0,0,IF(($S341-BB341)&lt;0,0,IF(AND(($S341-BC341)&gt;0,(BB341-$R341)&gt;0),$V341/365*(BC341-BB341+1),IF(AND(($S341-BC341)&lt;=0,(BB341-$R341)&gt;0),$V341/365*($S341-BB341+1),$V341/365*(BC341-$R341+1))))),0)</f>
        <v>9782.60869565217</v>
      </c>
      <c r="BE341" s="163">
        <f t="shared" ref="BE341:BE344" si="4031">BC341+1</f>
        <v>45992</v>
      </c>
      <c r="BF341" s="163">
        <f t="shared" ref="BF341:BF344" si="4032">BE341+30</f>
        <v>46022</v>
      </c>
      <c r="BG341" s="167">
        <f t="shared" ref="BG341:BG344" si="4033">IFERROR(IF(($R341-BF341)&gt;=0,0,IF(($S341-BE341)&lt;0,0,IF(AND(($S341-BF341)&gt;0,(BE341-$R341)&gt;0),$V341/365*(BF341-BE341+1),IF(AND(($S341-BF341)&lt;=0,(BE341-$R341)&gt;0),$V341/365*($S341-BE341+1),$V341/365*(BF341-$R341+1))))),0)</f>
        <v>10108.6956521739</v>
      </c>
      <c r="BH341" s="163">
        <v>46023</v>
      </c>
      <c r="BI341" s="163">
        <f t="shared" ref="BI341:BI344" si="4034">BH341+30</f>
        <v>46053</v>
      </c>
      <c r="BJ341" s="167">
        <f t="shared" ref="BJ341:BJ344" si="4035">IFERROR(IF(($R341-BI341)&gt;=0,0,IF(($S341-BH341)&lt;0,0,IF(AND(($S341-BI341)&gt;0,(BH341-$R341)&gt;0),$V341/365*(BI341-BH341+1),IF(AND(($S341-BI341)&lt;=0,(BH341-$R341)&gt;0),$V341/365*($S341-BH341+1),$V341/365*(BI341-$R341+1))))),0)</f>
        <v>0</v>
      </c>
      <c r="BK341" s="163">
        <f t="shared" ref="BK341:BK344" si="4036">BI341+1</f>
        <v>46054</v>
      </c>
      <c r="BL341" s="163">
        <f t="shared" ref="BL341:BL344" si="4037">BK341+27</f>
        <v>46081</v>
      </c>
      <c r="BM341" s="167">
        <f t="shared" ref="BM341:BM344" si="4038">IFERROR(IF(($R341-BL341)&gt;=0,0,IF(($S341-BK341)&lt;0,0,IF(AND(($S341-BL341)&gt;0,(BK341-$R341)&gt;0),$V341/365*(BL341-BK341+1),IF(AND(($S341-BL341)&lt;=0,(BK341-$R341)&gt;0),$V341/365*($S341-BK341+1),$V341/365*(BL341-$R341+1))))),0)</f>
        <v>0</v>
      </c>
      <c r="BN341" s="163">
        <f t="shared" ref="BN341:BN344" si="4039">BL341+1</f>
        <v>46082</v>
      </c>
      <c r="BO341" s="163">
        <f t="shared" ref="BO341:BO344" si="4040">BN341+30</f>
        <v>46112</v>
      </c>
      <c r="BP341" s="167">
        <f t="shared" ref="BP341:BP344" si="4041">IFERROR(IF(($R341-BO341)&gt;=0,0,IF(($S341-BN341)&lt;0,0,IF(AND(($S341-BO341)&gt;0,(BN341-$R341)&gt;0),$V341/365*(BO341-BN341+1),IF(AND(($S341-BO341)&lt;=0,(BN341-$R341)&gt;0),$V341/365*($S341-BN341+1),$V341/365*(BO341-$R341+1))))),0)</f>
        <v>0</v>
      </c>
      <c r="BQ341" s="163">
        <f t="shared" ref="BQ341:BQ344" si="4042">BO341+1</f>
        <v>46113</v>
      </c>
      <c r="BR341" s="163">
        <f t="shared" ref="BR341:BR344" si="4043">BQ341+29</f>
        <v>46142</v>
      </c>
      <c r="BS341" s="167">
        <f t="shared" ref="BS341:BS344" si="4044">IFERROR(IF(($R341-BR341)&gt;=0,0,IF(($S341-BQ341)&lt;0,0,IF(AND(($S341-BR341)&gt;0,(BQ341-$R341)&gt;0),$V341/365*(BR341-BQ341+1),IF(AND(($S341-BR341)&lt;=0,(BQ341-$R341)&gt;0),$V341/365*($S341-BQ341+1),$V341/365*(BR341-$R341+1))))),0)</f>
        <v>0</v>
      </c>
      <c r="BT341" s="163">
        <f t="shared" ref="BT341:BT344" si="4045">BR341+1</f>
        <v>46143</v>
      </c>
      <c r="BU341" s="163">
        <f t="shared" ref="BU341:BU344" si="4046">BT341+30</f>
        <v>46173</v>
      </c>
      <c r="BV341" s="167">
        <f t="shared" ref="BV341:BV344" si="4047">IFERROR(IF(($R341-BU341)&gt;=0,0,IF(($S341-BT341)&lt;0,0,IF(AND(($S341-BU341)&gt;0,(BT341-$R341)&gt;0),$V341/365*(BU341-BT341+1),IF(AND(($S341-BU341)&lt;=0,(BT341-$R341)&gt;0),$V341/365*($S341-BT341+1),$V341/365*(BU341-$R341+1))))),0)</f>
        <v>0</v>
      </c>
      <c r="BW341" s="163">
        <f t="shared" ref="BW341:BW344" si="4048">BU341+1</f>
        <v>46174</v>
      </c>
      <c r="BX341" s="163">
        <f t="shared" ref="BX341:BX344" si="4049">BW341+29</f>
        <v>46203</v>
      </c>
      <c r="BY341" s="167">
        <f t="shared" ref="BY341:BY344" si="4050">IFERROR(IF(($R341-BX341)&gt;=0,0,IF(($S341-BW341)&lt;0,0,IF(AND(($S341-BX341)&gt;0,(BW341-$R341)&gt;0),$V341/365*(BX341-BW341+1),IF(AND(($S341-BX341)&lt;=0,(BW341-$R341)&gt;0),$V341/365*($S341-BW341+1),$V341/365*(BX341-$R341+1))))),0)</f>
        <v>0</v>
      </c>
      <c r="BZ341" s="163">
        <f t="shared" ref="BZ341:BZ344" si="4051">BX341+1</f>
        <v>46204</v>
      </c>
      <c r="CA341" s="163">
        <f t="shared" ref="CA341:CA344" si="4052">BZ341+30</f>
        <v>46234</v>
      </c>
      <c r="CB341" s="167">
        <f t="shared" ref="CB341:CB344" si="4053">IFERROR(IF(($R341-CA341)&gt;=0,0,IF(($S341-BZ341)&lt;0,0,IF(AND(($S341-CA341)&gt;0,(BZ341-$R341)&gt;0),$V341/365*(CA341-BZ341+1),IF(AND(($S341-CA341)&lt;=0,(BZ341-$R341)&gt;0),$V341/365*($S341-BZ341+1),$V341/365*(CA341-$R341+1))))),0)</f>
        <v>0</v>
      </c>
      <c r="CC341" s="163">
        <f t="shared" ref="CC341:CC344" si="4054">CA341+1</f>
        <v>46235</v>
      </c>
      <c r="CD341" s="163">
        <f t="shared" ref="CD341:CD344" si="4055">CC341+30</f>
        <v>46265</v>
      </c>
      <c r="CE341" s="167">
        <f t="shared" ref="CE341:CE344" si="4056">IFERROR(IF(($R341-CD341)&gt;=0,0,IF(($S341-CC341)&lt;0,0,IF(AND(($S341-CD341)&gt;0,(CC341-$R341)&gt;0),$V341/365*(CD341-CC341+1),IF(AND(($S341-CD341)&lt;=0,(CC341-$R341)&gt;0),$V341/365*($S341-CC341+1),$V341/365*(CD341-$R341+1))))),0)</f>
        <v>0</v>
      </c>
      <c r="CF341" s="163">
        <f t="shared" ref="CF341:CF344" si="4057">CD341+1</f>
        <v>46266</v>
      </c>
      <c r="CG341" s="163">
        <f t="shared" ref="CG341:CG344" si="4058">CF341+29</f>
        <v>46295</v>
      </c>
      <c r="CH341" s="167">
        <f t="shared" ref="CH341:CH344" si="4059">IFERROR(IF(($R341-CG341)&gt;=0,0,IF(($S341-CF341)&lt;0,0,IF(AND(($S341-CG341)&gt;0,(CF341-$R341)&gt;0),$V341/365*(CG341-CF341+1),IF(AND(($S341-CG341)&lt;=0,(CF341-$R341)&gt;0),$V341/365*($S341-CF341+1),$V341/365*(CG341-$R341+1))))),0)</f>
        <v>0</v>
      </c>
      <c r="CI341" s="163">
        <f t="shared" ref="CI341:CI344" si="4060">CG341+1</f>
        <v>46296</v>
      </c>
      <c r="CJ341" s="163">
        <f t="shared" ref="CJ341:CJ344" si="4061">CI341+30</f>
        <v>46326</v>
      </c>
      <c r="CK341" s="167">
        <f t="shared" ref="CK341:CK344" si="4062">IFERROR(IF(($R341-CJ341)&gt;=0,0,IF(($S341-CI341)&lt;0,0,IF(AND(($S341-CJ341)&gt;0,(CI341-$R341)&gt;0),$V341/365*(CJ341-CI341+1),IF(AND(($S341-CJ341)&lt;=0,(CI341-$R341)&gt;0),$V341/365*($S341-CI341+1),$V341/365*(CJ341-$R341+1))))),0)</f>
        <v>0</v>
      </c>
      <c r="CL341" s="163">
        <f t="shared" ref="CL341:CL344" si="4063">CJ341+1</f>
        <v>46327</v>
      </c>
      <c r="CM341" s="163">
        <f t="shared" ref="CM341:CM344" si="4064">CL341+29</f>
        <v>46356</v>
      </c>
      <c r="CN341" s="167">
        <f t="shared" ref="CN341:CN344" si="4065">IFERROR(IF(($R341-CM341)&gt;=0,0,IF(($S341-CL341)&lt;0,0,IF(AND(($S341-CM341)&gt;0,(CL341-$R341)&gt;0),$V341/365*(CM341-CL341+1),IF(AND(($S341-CM341)&lt;=0,(CL341-$R341)&gt;0),$V341/365*($S341-CL341+1),$V341/365*(CM341-$R341+1))))),0)</f>
        <v>0</v>
      </c>
      <c r="CO341" s="163">
        <f t="shared" ref="CO341:CO344" si="4066">CM341+1</f>
        <v>46357</v>
      </c>
      <c r="CP341" s="163">
        <f t="shared" ref="CP341:CP344" si="4067">CO341+30</f>
        <v>46387</v>
      </c>
      <c r="CQ341" s="167">
        <f t="shared" ref="CQ341:CQ344" si="4068">IFERROR(IF(($R341-CP341)&gt;=0,0,IF(($S341-CO341)&lt;0,0,IF(AND(($S341-CP341)&gt;0,(CO341-$R341)&gt;0),$V341/365*(CP341-CO341+1),IF(AND(($S341-CP341)&lt;=0,(CO341-$R341)&gt;0),$V341/365*($S341-CO341+1),$V341/365*(CP341-$R341+1))))),0)</f>
        <v>0</v>
      </c>
    </row>
    <row r="342" s="89" customFormat="1" ht="24" hidden="1" customHeight="1" outlineLevel="4" spans="1:95">
      <c r="A342" s="128"/>
      <c r="B342" s="129"/>
      <c r="C342" s="130"/>
      <c r="D342" s="128"/>
      <c r="E342" s="129"/>
      <c r="F342" s="129"/>
      <c r="G342" s="129"/>
      <c r="H342" s="131"/>
      <c r="I342" s="131"/>
      <c r="J342" s="131">
        <f t="shared" si="3853"/>
        <v>0</v>
      </c>
      <c r="K342" s="131">
        <f t="shared" ref="K342:K344" si="4069">K341+1</f>
        <v>2</v>
      </c>
      <c r="L342" s="156"/>
      <c r="M342" s="157">
        <f>IFERROR(VLOOKUP($L342,'2-2 引出数据_合同数据仓库'!$B$5:$BP$200,3,FALSE),0)</f>
        <v>0</v>
      </c>
      <c r="N342" s="131"/>
      <c r="O342" s="157">
        <f>IFERROR(VLOOKUP((LEFT(VLOOKUP($L342,'2-2 引出数据_合同数据仓库'!$B$5:$BP$200,64,FALSE),15)&amp;(RIGHT(VLOOKUP($L342,'2-2 引出数据_合同数据仓库'!$B$5:$BP$200,64,FALSE),4)+1)),'2-2 引出数据_合同数据仓库'!$B$5:$BP$200,3,FALSE),0)</f>
        <v>0</v>
      </c>
      <c r="P342" s="131"/>
      <c r="Q342" s="131">
        <f>IFERROR(VLOOKUP($L342,'2-2 引出数据_合同数据仓库'!$B$5:$BP$200,28,FALSE),0)</f>
        <v>0</v>
      </c>
      <c r="R342" s="131">
        <f>IFERROR(VLOOKUP($L342,'2-2 引出数据_合同数据仓库'!$B$5:$BP$200,29,FALSE),0)</f>
        <v>0</v>
      </c>
      <c r="S342" s="131">
        <f>IFERROR(VLOOKUP($L342,'2-2 引出数据_合同数据仓库'!$B$5:$BP$200,4,FALSE),0)</f>
        <v>0</v>
      </c>
      <c r="T342" s="131"/>
      <c r="U342" s="131">
        <f>IFERROR(VLOOKUP($L342,'2-2 引出数据_合同数据仓库'!$B$5:$BP$200,15,FALSE),0)</f>
        <v>0</v>
      </c>
      <c r="V342" s="131">
        <f t="shared" si="3998"/>
        <v>0</v>
      </c>
      <c r="W342" s="131"/>
      <c r="X342" s="163">
        <v>45658</v>
      </c>
      <c r="Y342" s="163">
        <f t="shared" si="3999"/>
        <v>45688</v>
      </c>
      <c r="Z342" s="167">
        <f t="shared" si="4000"/>
        <v>0</v>
      </c>
      <c r="AA342" s="163">
        <f t="shared" si="4001"/>
        <v>45689</v>
      </c>
      <c r="AB342" s="163">
        <f t="shared" si="4002"/>
        <v>45716</v>
      </c>
      <c r="AC342" s="167">
        <f t="shared" si="4003"/>
        <v>0</v>
      </c>
      <c r="AD342" s="163">
        <f t="shared" si="4004"/>
        <v>45717</v>
      </c>
      <c r="AE342" s="163">
        <f t="shared" si="4005"/>
        <v>45747</v>
      </c>
      <c r="AF342" s="167">
        <f t="shared" si="4006"/>
        <v>0</v>
      </c>
      <c r="AG342" s="163">
        <f t="shared" si="4007"/>
        <v>45748</v>
      </c>
      <c r="AH342" s="163">
        <f t="shared" si="4008"/>
        <v>45777</v>
      </c>
      <c r="AI342" s="167">
        <f t="shared" si="4009"/>
        <v>0</v>
      </c>
      <c r="AJ342" s="163">
        <f t="shared" si="4010"/>
        <v>45778</v>
      </c>
      <c r="AK342" s="163">
        <f t="shared" si="4011"/>
        <v>45808</v>
      </c>
      <c r="AL342" s="167">
        <f t="shared" si="4012"/>
        <v>0</v>
      </c>
      <c r="AM342" s="163">
        <f t="shared" si="4013"/>
        <v>45809</v>
      </c>
      <c r="AN342" s="163">
        <f t="shared" si="4014"/>
        <v>45838</v>
      </c>
      <c r="AO342" s="167">
        <f t="shared" si="4015"/>
        <v>0</v>
      </c>
      <c r="AP342" s="163">
        <f t="shared" si="4016"/>
        <v>45839</v>
      </c>
      <c r="AQ342" s="163">
        <f t="shared" si="4017"/>
        <v>45869</v>
      </c>
      <c r="AR342" s="167">
        <f t="shared" si="4018"/>
        <v>0</v>
      </c>
      <c r="AS342" s="163">
        <f t="shared" si="4019"/>
        <v>45870</v>
      </c>
      <c r="AT342" s="163">
        <f t="shared" si="4020"/>
        <v>45900</v>
      </c>
      <c r="AU342" s="167">
        <f t="shared" si="4021"/>
        <v>0</v>
      </c>
      <c r="AV342" s="163">
        <f t="shared" si="4022"/>
        <v>45901</v>
      </c>
      <c r="AW342" s="163">
        <f t="shared" si="4023"/>
        <v>45930</v>
      </c>
      <c r="AX342" s="167">
        <f t="shared" si="4024"/>
        <v>0</v>
      </c>
      <c r="AY342" s="163">
        <f t="shared" si="4025"/>
        <v>45931</v>
      </c>
      <c r="AZ342" s="163">
        <f t="shared" si="4026"/>
        <v>45961</v>
      </c>
      <c r="BA342" s="167">
        <f t="shared" si="4027"/>
        <v>0</v>
      </c>
      <c r="BB342" s="163">
        <f t="shared" si="4028"/>
        <v>45962</v>
      </c>
      <c r="BC342" s="163">
        <f t="shared" si="4029"/>
        <v>45991</v>
      </c>
      <c r="BD342" s="167">
        <f t="shared" si="4030"/>
        <v>0</v>
      </c>
      <c r="BE342" s="163">
        <f t="shared" si="4031"/>
        <v>45992</v>
      </c>
      <c r="BF342" s="163">
        <f t="shared" si="4032"/>
        <v>46022</v>
      </c>
      <c r="BG342" s="167">
        <f t="shared" si="4033"/>
        <v>0</v>
      </c>
      <c r="BH342" s="163">
        <v>46023</v>
      </c>
      <c r="BI342" s="163">
        <f t="shared" si="4034"/>
        <v>46053</v>
      </c>
      <c r="BJ342" s="167">
        <f t="shared" si="4035"/>
        <v>0</v>
      </c>
      <c r="BK342" s="163">
        <f t="shared" si="4036"/>
        <v>46054</v>
      </c>
      <c r="BL342" s="163">
        <f t="shared" si="4037"/>
        <v>46081</v>
      </c>
      <c r="BM342" s="167">
        <f t="shared" si="4038"/>
        <v>0</v>
      </c>
      <c r="BN342" s="163">
        <f t="shared" si="4039"/>
        <v>46082</v>
      </c>
      <c r="BO342" s="163">
        <f t="shared" si="4040"/>
        <v>46112</v>
      </c>
      <c r="BP342" s="167">
        <f t="shared" si="4041"/>
        <v>0</v>
      </c>
      <c r="BQ342" s="163">
        <f t="shared" si="4042"/>
        <v>46113</v>
      </c>
      <c r="BR342" s="163">
        <f t="shared" si="4043"/>
        <v>46142</v>
      </c>
      <c r="BS342" s="167">
        <f t="shared" si="4044"/>
        <v>0</v>
      </c>
      <c r="BT342" s="163">
        <f t="shared" si="4045"/>
        <v>46143</v>
      </c>
      <c r="BU342" s="163">
        <f t="shared" si="4046"/>
        <v>46173</v>
      </c>
      <c r="BV342" s="167">
        <f t="shared" si="4047"/>
        <v>0</v>
      </c>
      <c r="BW342" s="163">
        <f t="shared" si="4048"/>
        <v>46174</v>
      </c>
      <c r="BX342" s="163">
        <f t="shared" si="4049"/>
        <v>46203</v>
      </c>
      <c r="BY342" s="167">
        <f t="shared" si="4050"/>
        <v>0</v>
      </c>
      <c r="BZ342" s="163">
        <f t="shared" si="4051"/>
        <v>46204</v>
      </c>
      <c r="CA342" s="163">
        <f t="shared" si="4052"/>
        <v>46234</v>
      </c>
      <c r="CB342" s="167">
        <f t="shared" si="4053"/>
        <v>0</v>
      </c>
      <c r="CC342" s="163">
        <f t="shared" si="4054"/>
        <v>46235</v>
      </c>
      <c r="CD342" s="163">
        <f t="shared" si="4055"/>
        <v>46265</v>
      </c>
      <c r="CE342" s="167">
        <f t="shared" si="4056"/>
        <v>0</v>
      </c>
      <c r="CF342" s="163">
        <f t="shared" si="4057"/>
        <v>46266</v>
      </c>
      <c r="CG342" s="163">
        <f t="shared" si="4058"/>
        <v>46295</v>
      </c>
      <c r="CH342" s="167">
        <f t="shared" si="4059"/>
        <v>0</v>
      </c>
      <c r="CI342" s="163">
        <f t="shared" si="4060"/>
        <v>46296</v>
      </c>
      <c r="CJ342" s="163">
        <f t="shared" si="4061"/>
        <v>46326</v>
      </c>
      <c r="CK342" s="167">
        <f t="shared" si="4062"/>
        <v>0</v>
      </c>
      <c r="CL342" s="163">
        <f t="shared" si="4063"/>
        <v>46327</v>
      </c>
      <c r="CM342" s="163">
        <f t="shared" si="4064"/>
        <v>46356</v>
      </c>
      <c r="CN342" s="167">
        <f t="shared" si="4065"/>
        <v>0</v>
      </c>
      <c r="CO342" s="163">
        <f t="shared" si="4066"/>
        <v>46357</v>
      </c>
      <c r="CP342" s="163">
        <f t="shared" si="4067"/>
        <v>46387</v>
      </c>
      <c r="CQ342" s="167">
        <f t="shared" si="4068"/>
        <v>0</v>
      </c>
    </row>
    <row r="343" s="89" customFormat="1" ht="24" hidden="1" customHeight="1" outlineLevel="4" spans="1:95">
      <c r="A343" s="128"/>
      <c r="B343" s="129"/>
      <c r="C343" s="130"/>
      <c r="D343" s="128"/>
      <c r="E343" s="129"/>
      <c r="F343" s="129"/>
      <c r="G343" s="129"/>
      <c r="H343" s="131"/>
      <c r="I343" s="131"/>
      <c r="J343" s="131">
        <f t="shared" si="3853"/>
        <v>0</v>
      </c>
      <c r="K343" s="131">
        <f t="shared" si="4069"/>
        <v>3</v>
      </c>
      <c r="L343" s="156"/>
      <c r="M343" s="157">
        <f>IFERROR(VLOOKUP($L343,'2-2 引出数据_合同数据仓库'!$B$5:$BP$200,3,FALSE),0)</f>
        <v>0</v>
      </c>
      <c r="N343" s="131"/>
      <c r="O343" s="157">
        <f>IFERROR(VLOOKUP((LEFT(VLOOKUP($L343,'2-2 引出数据_合同数据仓库'!$B$5:$BP$200,64,FALSE),15)&amp;(RIGHT(VLOOKUP($L343,'2-2 引出数据_合同数据仓库'!$B$5:$BP$200,64,FALSE),4)+1)),'2-2 引出数据_合同数据仓库'!$B$5:$BP$200,3,FALSE),0)</f>
        <v>0</v>
      </c>
      <c r="P343" s="131"/>
      <c r="Q343" s="131">
        <f>IFERROR(VLOOKUP($L343,'2-2 引出数据_合同数据仓库'!$B$5:$BP$200,28,FALSE),0)</f>
        <v>0</v>
      </c>
      <c r="R343" s="131">
        <f>IFERROR(VLOOKUP($L343,'2-2 引出数据_合同数据仓库'!$B$5:$BP$200,29,FALSE),0)</f>
        <v>0</v>
      </c>
      <c r="S343" s="131">
        <f>IFERROR(VLOOKUP($L343,'2-2 引出数据_合同数据仓库'!$B$5:$BP$200,4,FALSE),0)</f>
        <v>0</v>
      </c>
      <c r="T343" s="131"/>
      <c r="U343" s="131">
        <f>IFERROR(VLOOKUP($L343,'2-2 引出数据_合同数据仓库'!$B$5:$BP$200,15,FALSE),0)</f>
        <v>0</v>
      </c>
      <c r="V343" s="131">
        <f t="shared" si="3998"/>
        <v>0</v>
      </c>
      <c r="W343" s="131"/>
      <c r="X343" s="163">
        <v>45658</v>
      </c>
      <c r="Y343" s="163">
        <f t="shared" si="3999"/>
        <v>45688</v>
      </c>
      <c r="Z343" s="167">
        <f t="shared" si="4000"/>
        <v>0</v>
      </c>
      <c r="AA343" s="163">
        <f t="shared" si="4001"/>
        <v>45689</v>
      </c>
      <c r="AB343" s="163">
        <f t="shared" si="4002"/>
        <v>45716</v>
      </c>
      <c r="AC343" s="167">
        <f t="shared" si="4003"/>
        <v>0</v>
      </c>
      <c r="AD343" s="163">
        <f t="shared" si="4004"/>
        <v>45717</v>
      </c>
      <c r="AE343" s="163">
        <f t="shared" si="4005"/>
        <v>45747</v>
      </c>
      <c r="AF343" s="167">
        <f t="shared" si="4006"/>
        <v>0</v>
      </c>
      <c r="AG343" s="163">
        <f t="shared" si="4007"/>
        <v>45748</v>
      </c>
      <c r="AH343" s="163">
        <f t="shared" si="4008"/>
        <v>45777</v>
      </c>
      <c r="AI343" s="167">
        <f t="shared" si="4009"/>
        <v>0</v>
      </c>
      <c r="AJ343" s="163">
        <f t="shared" si="4010"/>
        <v>45778</v>
      </c>
      <c r="AK343" s="163">
        <f t="shared" si="4011"/>
        <v>45808</v>
      </c>
      <c r="AL343" s="167">
        <f t="shared" si="4012"/>
        <v>0</v>
      </c>
      <c r="AM343" s="163">
        <f t="shared" si="4013"/>
        <v>45809</v>
      </c>
      <c r="AN343" s="163">
        <f t="shared" si="4014"/>
        <v>45838</v>
      </c>
      <c r="AO343" s="167">
        <f t="shared" si="4015"/>
        <v>0</v>
      </c>
      <c r="AP343" s="163">
        <f t="shared" si="4016"/>
        <v>45839</v>
      </c>
      <c r="AQ343" s="163">
        <f t="shared" si="4017"/>
        <v>45869</v>
      </c>
      <c r="AR343" s="167">
        <f t="shared" si="4018"/>
        <v>0</v>
      </c>
      <c r="AS343" s="163">
        <f t="shared" si="4019"/>
        <v>45870</v>
      </c>
      <c r="AT343" s="163">
        <f t="shared" si="4020"/>
        <v>45900</v>
      </c>
      <c r="AU343" s="167">
        <f t="shared" si="4021"/>
        <v>0</v>
      </c>
      <c r="AV343" s="163">
        <f t="shared" si="4022"/>
        <v>45901</v>
      </c>
      <c r="AW343" s="163">
        <f t="shared" si="4023"/>
        <v>45930</v>
      </c>
      <c r="AX343" s="167">
        <f t="shared" si="4024"/>
        <v>0</v>
      </c>
      <c r="AY343" s="163">
        <f t="shared" si="4025"/>
        <v>45931</v>
      </c>
      <c r="AZ343" s="163">
        <f t="shared" si="4026"/>
        <v>45961</v>
      </c>
      <c r="BA343" s="167">
        <f t="shared" si="4027"/>
        <v>0</v>
      </c>
      <c r="BB343" s="163">
        <f t="shared" si="4028"/>
        <v>45962</v>
      </c>
      <c r="BC343" s="163">
        <f t="shared" si="4029"/>
        <v>45991</v>
      </c>
      <c r="BD343" s="167">
        <f t="shared" si="4030"/>
        <v>0</v>
      </c>
      <c r="BE343" s="163">
        <f t="shared" si="4031"/>
        <v>45992</v>
      </c>
      <c r="BF343" s="163">
        <f t="shared" si="4032"/>
        <v>46022</v>
      </c>
      <c r="BG343" s="167">
        <f t="shared" si="4033"/>
        <v>0</v>
      </c>
      <c r="BH343" s="163">
        <v>46023</v>
      </c>
      <c r="BI343" s="163">
        <f t="shared" si="4034"/>
        <v>46053</v>
      </c>
      <c r="BJ343" s="167">
        <f t="shared" si="4035"/>
        <v>0</v>
      </c>
      <c r="BK343" s="163">
        <f t="shared" si="4036"/>
        <v>46054</v>
      </c>
      <c r="BL343" s="163">
        <f t="shared" si="4037"/>
        <v>46081</v>
      </c>
      <c r="BM343" s="167">
        <f t="shared" si="4038"/>
        <v>0</v>
      </c>
      <c r="BN343" s="163">
        <f t="shared" si="4039"/>
        <v>46082</v>
      </c>
      <c r="BO343" s="163">
        <f t="shared" si="4040"/>
        <v>46112</v>
      </c>
      <c r="BP343" s="167">
        <f t="shared" si="4041"/>
        <v>0</v>
      </c>
      <c r="BQ343" s="163">
        <f t="shared" si="4042"/>
        <v>46113</v>
      </c>
      <c r="BR343" s="163">
        <f t="shared" si="4043"/>
        <v>46142</v>
      </c>
      <c r="BS343" s="167">
        <f t="shared" si="4044"/>
        <v>0</v>
      </c>
      <c r="BT343" s="163">
        <f t="shared" si="4045"/>
        <v>46143</v>
      </c>
      <c r="BU343" s="163">
        <f t="shared" si="4046"/>
        <v>46173</v>
      </c>
      <c r="BV343" s="167">
        <f t="shared" si="4047"/>
        <v>0</v>
      </c>
      <c r="BW343" s="163">
        <f t="shared" si="4048"/>
        <v>46174</v>
      </c>
      <c r="BX343" s="163">
        <f t="shared" si="4049"/>
        <v>46203</v>
      </c>
      <c r="BY343" s="167">
        <f t="shared" si="4050"/>
        <v>0</v>
      </c>
      <c r="BZ343" s="163">
        <f t="shared" si="4051"/>
        <v>46204</v>
      </c>
      <c r="CA343" s="163">
        <f t="shared" si="4052"/>
        <v>46234</v>
      </c>
      <c r="CB343" s="167">
        <f t="shared" si="4053"/>
        <v>0</v>
      </c>
      <c r="CC343" s="163">
        <f t="shared" si="4054"/>
        <v>46235</v>
      </c>
      <c r="CD343" s="163">
        <f t="shared" si="4055"/>
        <v>46265</v>
      </c>
      <c r="CE343" s="167">
        <f t="shared" si="4056"/>
        <v>0</v>
      </c>
      <c r="CF343" s="163">
        <f t="shared" si="4057"/>
        <v>46266</v>
      </c>
      <c r="CG343" s="163">
        <f t="shared" si="4058"/>
        <v>46295</v>
      </c>
      <c r="CH343" s="167">
        <f t="shared" si="4059"/>
        <v>0</v>
      </c>
      <c r="CI343" s="163">
        <f t="shared" si="4060"/>
        <v>46296</v>
      </c>
      <c r="CJ343" s="163">
        <f t="shared" si="4061"/>
        <v>46326</v>
      </c>
      <c r="CK343" s="167">
        <f t="shared" si="4062"/>
        <v>0</v>
      </c>
      <c r="CL343" s="163">
        <f t="shared" si="4063"/>
        <v>46327</v>
      </c>
      <c r="CM343" s="163">
        <f t="shared" si="4064"/>
        <v>46356</v>
      </c>
      <c r="CN343" s="167">
        <f t="shared" si="4065"/>
        <v>0</v>
      </c>
      <c r="CO343" s="163">
        <f t="shared" si="4066"/>
        <v>46357</v>
      </c>
      <c r="CP343" s="163">
        <f t="shared" si="4067"/>
        <v>46387</v>
      </c>
      <c r="CQ343" s="167">
        <f t="shared" si="4068"/>
        <v>0</v>
      </c>
    </row>
    <row r="344" s="89" customFormat="1" ht="24" hidden="1" customHeight="1" outlineLevel="4" spans="1:95">
      <c r="A344" s="128"/>
      <c r="B344" s="129"/>
      <c r="C344" s="130"/>
      <c r="D344" s="128"/>
      <c r="E344" s="129"/>
      <c r="F344" s="129"/>
      <c r="G344" s="129"/>
      <c r="H344" s="131"/>
      <c r="I344" s="131"/>
      <c r="J344" s="131">
        <f t="shared" si="3853"/>
        <v>0</v>
      </c>
      <c r="K344" s="131">
        <f t="shared" si="4069"/>
        <v>4</v>
      </c>
      <c r="L344" s="156"/>
      <c r="M344" s="157">
        <f>IFERROR(VLOOKUP($L344,'2-2 引出数据_合同数据仓库'!$B$5:$BP$200,3,FALSE),0)</f>
        <v>0</v>
      </c>
      <c r="N344" s="131"/>
      <c r="O344" s="157">
        <f>IFERROR(VLOOKUP((LEFT(VLOOKUP($L344,'2-2 引出数据_合同数据仓库'!$B$5:$BP$200,64,FALSE),15)&amp;(RIGHT(VLOOKUP($L344,'2-2 引出数据_合同数据仓库'!$B$5:$BP$200,64,FALSE),4)+1)),'2-2 引出数据_合同数据仓库'!$B$5:$BP$200,3,FALSE),0)</f>
        <v>0</v>
      </c>
      <c r="P344" s="131"/>
      <c r="Q344" s="131">
        <f>IFERROR(VLOOKUP($L344,'2-2 引出数据_合同数据仓库'!$B$5:$BP$200,28,FALSE),0)</f>
        <v>0</v>
      </c>
      <c r="R344" s="131">
        <f>IFERROR(VLOOKUP($L344,'2-2 引出数据_合同数据仓库'!$B$5:$BP$200,29,FALSE),0)</f>
        <v>0</v>
      </c>
      <c r="S344" s="131">
        <f>IFERROR(VLOOKUP($L344,'2-2 引出数据_合同数据仓库'!$B$5:$BP$200,4,FALSE),0)</f>
        <v>0</v>
      </c>
      <c r="T344" s="131"/>
      <c r="U344" s="131">
        <f>IFERROR(VLOOKUP($L344,'2-2 引出数据_合同数据仓库'!$B$5:$BP$200,15,FALSE),0)</f>
        <v>0</v>
      </c>
      <c r="V344" s="131">
        <f t="shared" si="3998"/>
        <v>0</v>
      </c>
      <c r="W344" s="131"/>
      <c r="X344" s="163">
        <v>45658</v>
      </c>
      <c r="Y344" s="163">
        <f t="shared" si="3999"/>
        <v>45688</v>
      </c>
      <c r="Z344" s="167">
        <f t="shared" si="4000"/>
        <v>0</v>
      </c>
      <c r="AA344" s="163">
        <f t="shared" si="4001"/>
        <v>45689</v>
      </c>
      <c r="AB344" s="163">
        <f t="shared" si="4002"/>
        <v>45716</v>
      </c>
      <c r="AC344" s="167">
        <f t="shared" si="4003"/>
        <v>0</v>
      </c>
      <c r="AD344" s="163">
        <f t="shared" si="4004"/>
        <v>45717</v>
      </c>
      <c r="AE344" s="163">
        <f t="shared" si="4005"/>
        <v>45747</v>
      </c>
      <c r="AF344" s="167">
        <f t="shared" si="4006"/>
        <v>0</v>
      </c>
      <c r="AG344" s="163">
        <f t="shared" si="4007"/>
        <v>45748</v>
      </c>
      <c r="AH344" s="163">
        <f t="shared" si="4008"/>
        <v>45777</v>
      </c>
      <c r="AI344" s="167">
        <f t="shared" si="4009"/>
        <v>0</v>
      </c>
      <c r="AJ344" s="163">
        <f t="shared" si="4010"/>
        <v>45778</v>
      </c>
      <c r="AK344" s="163">
        <f t="shared" si="4011"/>
        <v>45808</v>
      </c>
      <c r="AL344" s="167">
        <f t="shared" si="4012"/>
        <v>0</v>
      </c>
      <c r="AM344" s="163">
        <f t="shared" si="4013"/>
        <v>45809</v>
      </c>
      <c r="AN344" s="163">
        <f t="shared" si="4014"/>
        <v>45838</v>
      </c>
      <c r="AO344" s="167">
        <f t="shared" si="4015"/>
        <v>0</v>
      </c>
      <c r="AP344" s="163">
        <f t="shared" si="4016"/>
        <v>45839</v>
      </c>
      <c r="AQ344" s="163">
        <f t="shared" si="4017"/>
        <v>45869</v>
      </c>
      <c r="AR344" s="167">
        <f t="shared" si="4018"/>
        <v>0</v>
      </c>
      <c r="AS344" s="163">
        <f t="shared" si="4019"/>
        <v>45870</v>
      </c>
      <c r="AT344" s="163">
        <f t="shared" si="4020"/>
        <v>45900</v>
      </c>
      <c r="AU344" s="167">
        <f t="shared" si="4021"/>
        <v>0</v>
      </c>
      <c r="AV344" s="163">
        <f t="shared" si="4022"/>
        <v>45901</v>
      </c>
      <c r="AW344" s="163">
        <f t="shared" si="4023"/>
        <v>45930</v>
      </c>
      <c r="AX344" s="167">
        <f t="shared" si="4024"/>
        <v>0</v>
      </c>
      <c r="AY344" s="163">
        <f t="shared" si="4025"/>
        <v>45931</v>
      </c>
      <c r="AZ344" s="163">
        <f t="shared" si="4026"/>
        <v>45961</v>
      </c>
      <c r="BA344" s="167">
        <f t="shared" si="4027"/>
        <v>0</v>
      </c>
      <c r="BB344" s="163">
        <f t="shared" si="4028"/>
        <v>45962</v>
      </c>
      <c r="BC344" s="163">
        <f t="shared" si="4029"/>
        <v>45991</v>
      </c>
      <c r="BD344" s="167">
        <f t="shared" si="4030"/>
        <v>0</v>
      </c>
      <c r="BE344" s="163">
        <f t="shared" si="4031"/>
        <v>45992</v>
      </c>
      <c r="BF344" s="163">
        <f t="shared" si="4032"/>
        <v>46022</v>
      </c>
      <c r="BG344" s="167">
        <f t="shared" si="4033"/>
        <v>0</v>
      </c>
      <c r="BH344" s="163">
        <v>46023</v>
      </c>
      <c r="BI344" s="163">
        <f t="shared" si="4034"/>
        <v>46053</v>
      </c>
      <c r="BJ344" s="167">
        <f t="shared" si="4035"/>
        <v>0</v>
      </c>
      <c r="BK344" s="163">
        <f t="shared" si="4036"/>
        <v>46054</v>
      </c>
      <c r="BL344" s="163">
        <f t="shared" si="4037"/>
        <v>46081</v>
      </c>
      <c r="BM344" s="167">
        <f t="shared" si="4038"/>
        <v>0</v>
      </c>
      <c r="BN344" s="163">
        <f t="shared" si="4039"/>
        <v>46082</v>
      </c>
      <c r="BO344" s="163">
        <f t="shared" si="4040"/>
        <v>46112</v>
      </c>
      <c r="BP344" s="167">
        <f t="shared" si="4041"/>
        <v>0</v>
      </c>
      <c r="BQ344" s="163">
        <f t="shared" si="4042"/>
        <v>46113</v>
      </c>
      <c r="BR344" s="163">
        <f t="shared" si="4043"/>
        <v>46142</v>
      </c>
      <c r="BS344" s="167">
        <f t="shared" si="4044"/>
        <v>0</v>
      </c>
      <c r="BT344" s="163">
        <f t="shared" si="4045"/>
        <v>46143</v>
      </c>
      <c r="BU344" s="163">
        <f t="shared" si="4046"/>
        <v>46173</v>
      </c>
      <c r="BV344" s="167">
        <f t="shared" si="4047"/>
        <v>0</v>
      </c>
      <c r="BW344" s="163">
        <f t="shared" si="4048"/>
        <v>46174</v>
      </c>
      <c r="BX344" s="163">
        <f t="shared" si="4049"/>
        <v>46203</v>
      </c>
      <c r="BY344" s="167">
        <f t="shared" si="4050"/>
        <v>0</v>
      </c>
      <c r="BZ344" s="163">
        <f t="shared" si="4051"/>
        <v>46204</v>
      </c>
      <c r="CA344" s="163">
        <f t="shared" si="4052"/>
        <v>46234</v>
      </c>
      <c r="CB344" s="167">
        <f t="shared" si="4053"/>
        <v>0</v>
      </c>
      <c r="CC344" s="163">
        <f t="shared" si="4054"/>
        <v>46235</v>
      </c>
      <c r="CD344" s="163">
        <f t="shared" si="4055"/>
        <v>46265</v>
      </c>
      <c r="CE344" s="167">
        <f t="shared" si="4056"/>
        <v>0</v>
      </c>
      <c r="CF344" s="163">
        <f t="shared" si="4057"/>
        <v>46266</v>
      </c>
      <c r="CG344" s="163">
        <f t="shared" si="4058"/>
        <v>46295</v>
      </c>
      <c r="CH344" s="167">
        <f t="shared" si="4059"/>
        <v>0</v>
      </c>
      <c r="CI344" s="163">
        <f t="shared" si="4060"/>
        <v>46296</v>
      </c>
      <c r="CJ344" s="163">
        <f t="shared" si="4061"/>
        <v>46326</v>
      </c>
      <c r="CK344" s="167">
        <f t="shared" si="4062"/>
        <v>0</v>
      </c>
      <c r="CL344" s="163">
        <f t="shared" si="4063"/>
        <v>46327</v>
      </c>
      <c r="CM344" s="163">
        <f t="shared" si="4064"/>
        <v>46356</v>
      </c>
      <c r="CN344" s="167">
        <f t="shared" si="4065"/>
        <v>0</v>
      </c>
      <c r="CO344" s="163">
        <f t="shared" si="4066"/>
        <v>46357</v>
      </c>
      <c r="CP344" s="163">
        <f t="shared" si="4067"/>
        <v>46387</v>
      </c>
      <c r="CQ344" s="167">
        <f t="shared" si="4068"/>
        <v>0</v>
      </c>
    </row>
    <row r="345" s="89" customFormat="1" ht="24" hidden="1" customHeight="1" outlineLevel="4" spans="1:95">
      <c r="A345" s="132" t="s">
        <v>2813</v>
      </c>
      <c r="B345" s="133"/>
      <c r="C345" s="133"/>
      <c r="D345" s="133"/>
      <c r="E345" s="133"/>
      <c r="F345" s="133"/>
      <c r="G345" s="134"/>
      <c r="H345" s="135"/>
      <c r="I345" s="135"/>
      <c r="J345" s="135"/>
      <c r="K345" s="135"/>
      <c r="L345" s="158"/>
      <c r="M345" s="158"/>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c r="CQ345" s="135"/>
    </row>
    <row r="346" ht="24" hidden="1" customHeight="1" outlineLevel="3" collapsed="1" spans="1:95">
      <c r="A346" s="124"/>
      <c r="B346" s="125" t="s">
        <v>792</v>
      </c>
      <c r="C346" s="126" t="s">
        <v>1286</v>
      </c>
      <c r="D346" s="124" t="s">
        <v>1287</v>
      </c>
      <c r="E346" s="125"/>
      <c r="F346" s="125"/>
      <c r="G346" s="125"/>
      <c r="H346" s="127">
        <f>X346+AA346+AD346+AG346+AJ346+AM346+AP346+AS346+AV346+AY346+BB346+BE346</f>
        <v>160401.172375893</v>
      </c>
      <c r="I346" s="127">
        <f>Y346+AB346+AE346+AH346+AK346+AN346+AQ346+AT346+AW346+AZ346+BC346+BF346</f>
        <v>-93350.410685996</v>
      </c>
      <c r="J346" s="127">
        <f t="shared" si="3853"/>
        <v>253751.583061889</v>
      </c>
      <c r="K346" s="127"/>
      <c r="L346" s="155"/>
      <c r="M346" s="155"/>
      <c r="N346" s="127"/>
      <c r="O346" s="127"/>
      <c r="P346" s="127"/>
      <c r="Q346" s="127"/>
      <c r="R346" s="127"/>
      <c r="S346" s="127"/>
      <c r="T346" s="127"/>
      <c r="U346" s="127"/>
      <c r="V346" s="127"/>
      <c r="W346" s="127"/>
      <c r="X346" s="127">
        <f>VLOOKUP($C346,'1 预算编制表单'!$C:$BJ,27,FALSE)</f>
        <v>160401.172375893</v>
      </c>
      <c r="Y346" s="127">
        <f>X346-Z346</f>
        <v>157734.505709226</v>
      </c>
      <c r="Z346" s="127">
        <f>SUM(Z347:Z354)</f>
        <v>2666.66666666667</v>
      </c>
      <c r="AA346" s="127">
        <f>VLOOKUP($C346,'1 预算编制表单'!$C:$BJ,30,FALSE)</f>
        <v>0</v>
      </c>
      <c r="AB346" s="127">
        <f>AA346-AC346</f>
        <v>-10582.9639065817</v>
      </c>
      <c r="AC346" s="127">
        <f>SUM(AC347:AC354)</f>
        <v>10582.9639065817</v>
      </c>
      <c r="AD346" s="127">
        <f>VLOOKUP($C346,'1 预算编制表单'!$C:$BJ,33,FALSE)</f>
        <v>0</v>
      </c>
      <c r="AE346" s="127">
        <f>AD346-AF346</f>
        <v>-24364.5768861041</v>
      </c>
      <c r="AF346" s="127">
        <f>SUM(AF347:AF354)</f>
        <v>24364.5768861041</v>
      </c>
      <c r="AG346" s="127">
        <f>VLOOKUP($C346,'1 预算编制表单'!$C:$BJ,36,FALSE)</f>
        <v>0</v>
      </c>
      <c r="AH346" s="127">
        <f>AG346-AI346</f>
        <v>-23578.622793004</v>
      </c>
      <c r="AI346" s="127">
        <f>SUM(AI347:AI354)</f>
        <v>23578.622793004</v>
      </c>
      <c r="AJ346" s="127">
        <f>VLOOKUP($C346,'1 预算编制表单'!$C:$BJ,39,FALSE)</f>
        <v>0</v>
      </c>
      <c r="AK346" s="127">
        <f>AJ346-AL346</f>
        <v>-24364.5768861041</v>
      </c>
      <c r="AL346" s="127">
        <f>SUM(AL347:AL354)</f>
        <v>24364.5768861041</v>
      </c>
      <c r="AM346" s="127">
        <f>VLOOKUP($C346,'1 预算编制表单'!$C:$BJ,42,FALSE)</f>
        <v>0</v>
      </c>
      <c r="AN346" s="127">
        <f>AM346-AO346</f>
        <v>-23578.622793004</v>
      </c>
      <c r="AO346" s="127">
        <f>SUM(AO347:AO354)</f>
        <v>23578.622793004</v>
      </c>
      <c r="AP346" s="127">
        <f>VLOOKUP($C346,'1 预算编制表单'!$C:$BJ,45,FALSE)</f>
        <v>0</v>
      </c>
      <c r="AQ346" s="127">
        <f>AP346-AR346</f>
        <v>-24364.5768861041</v>
      </c>
      <c r="AR346" s="127">
        <f>SUM(AR347:AR354)</f>
        <v>24364.5768861041</v>
      </c>
      <c r="AS346" s="127">
        <f>VLOOKUP($C346,'1 预算编制表单'!$C:$BJ,48,FALSE)</f>
        <v>0</v>
      </c>
      <c r="AT346" s="127">
        <f>AS346-AU346</f>
        <v>-24364.5768861041</v>
      </c>
      <c r="AU346" s="127">
        <f>SUM(AU347:AU354)</f>
        <v>24364.5768861041</v>
      </c>
      <c r="AV346" s="127">
        <f>VLOOKUP($C346,'1 预算编制表单'!$C:$BJ,51,FALSE)</f>
        <v>0</v>
      </c>
      <c r="AW346" s="127">
        <f>AV346-AX346</f>
        <v>-23578.622793004</v>
      </c>
      <c r="AX346" s="127">
        <f>SUM(AX347:AX354)</f>
        <v>23578.622793004</v>
      </c>
      <c r="AY346" s="127">
        <f>VLOOKUP($C346,'1 预算编制表单'!$C:$BJ,54,FALSE)</f>
        <v>0</v>
      </c>
      <c r="AZ346" s="127">
        <f>AY346-BA346</f>
        <v>-24364.5768861041</v>
      </c>
      <c r="BA346" s="127">
        <f>SUM(BA347:BA354)</f>
        <v>24364.5768861041</v>
      </c>
      <c r="BB346" s="127">
        <f>VLOOKUP($C346,'1 预算编制表单'!$C:$BJ,57,FALSE)</f>
        <v>0</v>
      </c>
      <c r="BC346" s="127">
        <f>BB346-BD346</f>
        <v>-23578.622793004</v>
      </c>
      <c r="BD346" s="127">
        <f>SUM(BD347:BD354)</f>
        <v>23578.622793004</v>
      </c>
      <c r="BE346" s="127">
        <f>VLOOKUP($C346,'1 预算编制表单'!$C:$BJ,60,FALSE)</f>
        <v>0</v>
      </c>
      <c r="BF346" s="127">
        <f>BE346-BG346</f>
        <v>-24364.5768861041</v>
      </c>
      <c r="BG346" s="127">
        <f>SUM(BG347:BG354)</f>
        <v>24364.5768861041</v>
      </c>
      <c r="BH346" s="127">
        <f>VLOOKUP($C346,'1 预算编制表单'!$C:$BJ,27,FALSE)</f>
        <v>160401.172375893</v>
      </c>
      <c r="BI346" s="127">
        <f>BH346-BJ346</f>
        <v>160401.172375893</v>
      </c>
      <c r="BJ346" s="127">
        <f>SUM(BJ347:BJ354)</f>
        <v>0</v>
      </c>
      <c r="BK346" s="127">
        <f>VLOOKUP($C346,'1 预算编制表单'!$C:$BJ,30,FALSE)</f>
        <v>0</v>
      </c>
      <c r="BL346" s="127">
        <f>BK346-BM346</f>
        <v>0</v>
      </c>
      <c r="BM346" s="127">
        <f>SUM(BM347:BM354)</f>
        <v>0</v>
      </c>
      <c r="BN346" s="127">
        <f>VLOOKUP($C346,'1 预算编制表单'!$C:$BJ,33,FALSE)</f>
        <v>0</v>
      </c>
      <c r="BO346" s="127">
        <f>BN346-BP346</f>
        <v>0</v>
      </c>
      <c r="BP346" s="127">
        <f>SUM(BP347:BP354)</f>
        <v>0</v>
      </c>
      <c r="BQ346" s="127">
        <f>VLOOKUP($C346,'1 预算编制表单'!$C:$BJ,36,FALSE)</f>
        <v>0</v>
      </c>
      <c r="BR346" s="127">
        <f>BQ346-BS346</f>
        <v>0</v>
      </c>
      <c r="BS346" s="127">
        <f>SUM(BS347:BS354)</f>
        <v>0</v>
      </c>
      <c r="BT346" s="127">
        <f>VLOOKUP($C346,'1 预算编制表单'!$C:$BJ,39,FALSE)</f>
        <v>0</v>
      </c>
      <c r="BU346" s="127">
        <f>BT346-BV346</f>
        <v>0</v>
      </c>
      <c r="BV346" s="127">
        <f>SUM(BV347:BV354)</f>
        <v>0</v>
      </c>
      <c r="BW346" s="127">
        <f>VLOOKUP($C346,'1 预算编制表单'!$C:$BJ,42,FALSE)</f>
        <v>0</v>
      </c>
      <c r="BX346" s="127">
        <f>BW346-BY346</f>
        <v>0</v>
      </c>
      <c r="BY346" s="127">
        <f>SUM(BY347:BY354)</f>
        <v>0</v>
      </c>
      <c r="BZ346" s="127">
        <f>VLOOKUP($C346,'1 预算编制表单'!$C:$BJ,45,FALSE)</f>
        <v>0</v>
      </c>
      <c r="CA346" s="127">
        <f>BZ346-CB346</f>
        <v>0</v>
      </c>
      <c r="CB346" s="127">
        <f>SUM(CB347:CB354)</f>
        <v>0</v>
      </c>
      <c r="CC346" s="127">
        <f>VLOOKUP($C346,'1 预算编制表单'!$C:$BJ,48,FALSE)</f>
        <v>0</v>
      </c>
      <c r="CD346" s="127">
        <f>CC346-CE346</f>
        <v>0</v>
      </c>
      <c r="CE346" s="127">
        <f>SUM(CE347:CE354)</f>
        <v>0</v>
      </c>
      <c r="CF346" s="127">
        <f>VLOOKUP($C346,'1 预算编制表单'!$C:$BJ,51,FALSE)</f>
        <v>0</v>
      </c>
      <c r="CG346" s="127">
        <f>CF346-CH346</f>
        <v>0</v>
      </c>
      <c r="CH346" s="127">
        <f>SUM(CH347:CH354)</f>
        <v>0</v>
      </c>
      <c r="CI346" s="127">
        <f>VLOOKUP($C346,'1 预算编制表单'!$C:$BJ,54,FALSE)</f>
        <v>0</v>
      </c>
      <c r="CJ346" s="127">
        <f>CI346-CK346</f>
        <v>0</v>
      </c>
      <c r="CK346" s="127">
        <f>SUM(CK347:CK354)</f>
        <v>0</v>
      </c>
      <c r="CL346" s="127">
        <f>VLOOKUP($C346,'1 预算编制表单'!$C:$BJ,57,FALSE)</f>
        <v>0</v>
      </c>
      <c r="CM346" s="127">
        <f>CL346-CN346</f>
        <v>0</v>
      </c>
      <c r="CN346" s="127">
        <f>SUM(CN347:CN354)</f>
        <v>0</v>
      </c>
      <c r="CO346" s="127">
        <f>VLOOKUP($C346,'1 预算编制表单'!$C:$BJ,60,FALSE)</f>
        <v>0</v>
      </c>
      <c r="CP346" s="127">
        <f>CO346-CQ346</f>
        <v>0</v>
      </c>
      <c r="CQ346" s="127">
        <f>SUM(CQ347:CQ354)</f>
        <v>0</v>
      </c>
    </row>
    <row r="347" s="89" customFormat="1" ht="24" hidden="1" customHeight="1" outlineLevel="4" spans="1:95">
      <c r="A347" s="128"/>
      <c r="B347" s="129"/>
      <c r="C347" s="130" t="s">
        <v>56</v>
      </c>
      <c r="D347" s="128" t="s">
        <v>2829</v>
      </c>
      <c r="E347" s="129"/>
      <c r="F347" s="129"/>
      <c r="G347" s="129"/>
      <c r="H347" s="131"/>
      <c r="I347" s="131"/>
      <c r="J347" s="131">
        <f t="shared" si="3853"/>
        <v>0</v>
      </c>
      <c r="K347" s="131"/>
      <c r="L347" s="161"/>
      <c r="M347" s="157"/>
      <c r="N347" s="131"/>
      <c r="O347" s="157"/>
      <c r="P347" s="131"/>
      <c r="Q347" s="131"/>
      <c r="R347" s="131"/>
      <c r="S347" s="131"/>
      <c r="T347" s="131"/>
      <c r="U347" s="131"/>
      <c r="V347" s="131"/>
      <c r="W347" s="131"/>
      <c r="X347" s="164"/>
      <c r="Y347" s="164"/>
      <c r="Z347" s="140">
        <f>报销单计算表!B16</f>
        <v>0</v>
      </c>
      <c r="AA347" s="164"/>
      <c r="AB347" s="164"/>
      <c r="AC347" s="140">
        <f>报销单计算表!C16</f>
        <v>0</v>
      </c>
      <c r="AD347" s="164"/>
      <c r="AE347" s="164"/>
      <c r="AF347" s="140">
        <f>报销单计算表!D16</f>
        <v>0</v>
      </c>
      <c r="AG347" s="164"/>
      <c r="AH347" s="164"/>
      <c r="AI347" s="140">
        <f>报销单计算表!E16</f>
        <v>0</v>
      </c>
      <c r="AJ347" s="164"/>
      <c r="AK347" s="164"/>
      <c r="AL347" s="140">
        <f>报销单计算表!F16</f>
        <v>0</v>
      </c>
      <c r="AM347" s="164"/>
      <c r="AN347" s="164"/>
      <c r="AO347" s="140">
        <f>报销单计算表!G16</f>
        <v>0</v>
      </c>
      <c r="AP347" s="164"/>
      <c r="AQ347" s="164"/>
      <c r="AR347" s="140">
        <f>报销单计算表!H16</f>
        <v>0</v>
      </c>
      <c r="AS347" s="164"/>
      <c r="AT347" s="164"/>
      <c r="AU347" s="140">
        <f>报销单计算表!I16</f>
        <v>0</v>
      </c>
      <c r="AV347" s="164"/>
      <c r="AW347" s="164"/>
      <c r="AX347" s="140">
        <f>报销单计算表!J16</f>
        <v>0</v>
      </c>
      <c r="AY347" s="164"/>
      <c r="AZ347" s="164"/>
      <c r="BA347" s="140">
        <f>报销单计算表!K16</f>
        <v>0</v>
      </c>
      <c r="BB347" s="164"/>
      <c r="BC347" s="164"/>
      <c r="BD347" s="140">
        <f>报销单计算表!L16</f>
        <v>0</v>
      </c>
      <c r="BE347" s="164"/>
      <c r="BF347" s="164"/>
      <c r="BG347" s="140">
        <f>报销单计算表!M16</f>
        <v>0</v>
      </c>
      <c r="BH347" s="164"/>
      <c r="BI347" s="164"/>
      <c r="BJ347" s="140"/>
      <c r="BK347" s="164"/>
      <c r="BL347" s="164"/>
      <c r="BM347" s="140"/>
      <c r="BN347" s="164"/>
      <c r="BO347" s="164"/>
      <c r="BP347" s="140"/>
      <c r="BQ347" s="164"/>
      <c r="BR347" s="164"/>
      <c r="BS347" s="140"/>
      <c r="BT347" s="164"/>
      <c r="BU347" s="164"/>
      <c r="BV347" s="140"/>
      <c r="BW347" s="164"/>
      <c r="BX347" s="164"/>
      <c r="BY347" s="140"/>
      <c r="BZ347" s="164"/>
      <c r="CA347" s="164"/>
      <c r="CB347" s="140"/>
      <c r="CC347" s="164"/>
      <c r="CD347" s="164"/>
      <c r="CE347" s="140"/>
      <c r="CF347" s="164"/>
      <c r="CG347" s="164"/>
      <c r="CH347" s="140"/>
      <c r="CI347" s="164"/>
      <c r="CJ347" s="164"/>
      <c r="CK347" s="140"/>
      <c r="CL347" s="164"/>
      <c r="CM347" s="164"/>
      <c r="CN347" s="140"/>
      <c r="CO347" s="164"/>
      <c r="CP347" s="164"/>
      <c r="CQ347" s="140"/>
    </row>
    <row r="348" s="89" customFormat="1" ht="24" hidden="1" customHeight="1" outlineLevel="4" spans="1:95">
      <c r="A348" s="128"/>
      <c r="B348" s="129"/>
      <c r="C348" s="130"/>
      <c r="D348" s="128"/>
      <c r="E348" s="129"/>
      <c r="F348" s="129"/>
      <c r="G348" s="129"/>
      <c r="H348" s="131"/>
      <c r="I348" s="131"/>
      <c r="J348" s="131">
        <f t="shared" si="3853"/>
        <v>90703.5830618892</v>
      </c>
      <c r="K348" s="131">
        <f t="shared" ref="K348:K349" si="4070">K347+1</f>
        <v>1</v>
      </c>
      <c r="L348" s="156" t="s">
        <v>2830</v>
      </c>
      <c r="M348" s="157" t="str">
        <f>IFERROR(VLOOKUP($L348,'2-2 引出数据_合同数据仓库'!$B$5:$BP$200,3,FALSE),0)</f>
        <v>深圳非住二片区中海油项目建筑垃圾清运费率合同</v>
      </c>
      <c r="N348" s="131"/>
      <c r="O348" s="157">
        <f>IFERROR(VLOOKUP((LEFT(VLOOKUP($L348,'2-2 引出数据_合同数据仓库'!$B$5:$BP$200,64,FALSE),15)&amp;(RIGHT(VLOOKUP($L348,'2-2 引出数据_合同数据仓库'!$B$5:$BP$200,64,FALSE),4)+1)),'2-2 引出数据_合同数据仓库'!$B$5:$BP$200,3,FALSE),0)</f>
        <v>0</v>
      </c>
      <c r="P348" s="131"/>
      <c r="Q348" s="131" t="str">
        <f>IFERROR(VLOOKUP($L348,'2-2 引出数据_合同数据仓库'!$B$5:$BP$200,28,FALSE),0)</f>
        <v>2025-02-28</v>
      </c>
      <c r="R348" s="131" t="str">
        <f>IFERROR(VLOOKUP($L348,'2-2 引出数据_合同数据仓库'!$B$5:$BP$200,29,FALSE),0)</f>
        <v>2025-02-28</v>
      </c>
      <c r="S348" s="131" t="str">
        <f>IFERROR(VLOOKUP($L348,'2-2 引出数据_合同数据仓库'!$B$5:$BP$200,4,FALSE),0)</f>
        <v>2025-12-31</v>
      </c>
      <c r="T348" s="131"/>
      <c r="U348" s="131">
        <f>IFERROR(VLOOKUP($L348,'2-2 引出数据_合同数据仓库'!$B$5:$BP$200,15,FALSE),0)</f>
        <v>91000</v>
      </c>
      <c r="V348" s="131">
        <f t="shared" ref="V348:V353" si="4071">U348/(S348-R348+1)*365</f>
        <v>108192.182410423</v>
      </c>
      <c r="W348" s="131"/>
      <c r="X348" s="163">
        <v>45658</v>
      </c>
      <c r="Y348" s="163">
        <f t="shared" ref="Y348:Y353" si="4072">X348+30</f>
        <v>45688</v>
      </c>
      <c r="Z348" s="167">
        <f t="shared" ref="Z348:Z353" si="4073">IFERROR(IF(($R348-Y348)&gt;=0,0,IF(($S348-X348)&lt;0,0,IF(AND(($S348-Y348)&gt;0,(X348-$R348)&gt;0),$V348/365*(Y348-X348+1),IF(AND(($S348-Y348)&lt;=0,(X348-$R348)&gt;0),$V348/365*($S348-X348+1),$V348/365*(Y348-$R348+1))))),0)</f>
        <v>0</v>
      </c>
      <c r="AA348" s="163">
        <f t="shared" ref="AA348:AA353" si="4074">Y348+1</f>
        <v>45689</v>
      </c>
      <c r="AB348" s="163">
        <f t="shared" ref="AB348:AB353" si="4075">AA348+27</f>
        <v>45716</v>
      </c>
      <c r="AC348" s="167">
        <f t="shared" ref="AC348:AC353" si="4076">IFERROR(IF(($R348-AB348)&gt;=0,0,IF(($S348-AA348)&lt;0,0,IF(AND(($S348-AB348)&gt;0,(AA348-$R348)&gt;0),$V348/365*(AB348-AA348+1),IF(AND(($S348-AB348)&lt;=0,(AA348-$R348)&gt;0),$V348/365*($S348-AA348+1),$V348/365*(AB348-$R348+1))))),0)</f>
        <v>0</v>
      </c>
      <c r="AD348" s="163">
        <f t="shared" ref="AD348:AD353" si="4077">AB348+1</f>
        <v>45717</v>
      </c>
      <c r="AE348" s="163">
        <f t="shared" ref="AE348:AE353" si="4078">AD348+30</f>
        <v>45747</v>
      </c>
      <c r="AF348" s="167">
        <f t="shared" ref="AF348:AF353" si="4079">IFERROR(IF(($R348-AE348)&gt;=0,0,IF(($S348-AD348)&lt;0,0,IF(AND(($S348-AE348)&gt;0,(AD348-$R348)&gt;0),$V348/365*(AE348-AD348+1),IF(AND(($S348-AE348)&lt;=0,(AD348-$R348)&gt;0),$V348/365*($S348-AD348+1),$V348/365*(AE348-$R348+1))))),0)</f>
        <v>9188.92508143322</v>
      </c>
      <c r="AG348" s="163">
        <f t="shared" ref="AG348:AG353" si="4080">AE348+1</f>
        <v>45748</v>
      </c>
      <c r="AH348" s="163">
        <f t="shared" ref="AH348:AH353" si="4081">AG348+29</f>
        <v>45777</v>
      </c>
      <c r="AI348" s="167">
        <f t="shared" ref="AI348:AI353" si="4082">IFERROR(IF(($R348-AH348)&gt;=0,0,IF(($S348-AG348)&lt;0,0,IF(AND(($S348-AH348)&gt;0,(AG348-$R348)&gt;0),$V348/365*(AH348-AG348+1),IF(AND(($S348-AH348)&lt;=0,(AG348-$R348)&gt;0),$V348/365*($S348-AG348+1),$V348/365*(AH348-$R348+1))))),0)</f>
        <v>8892.50814332247</v>
      </c>
      <c r="AJ348" s="163">
        <f t="shared" ref="AJ348:AJ353" si="4083">AH348+1</f>
        <v>45778</v>
      </c>
      <c r="AK348" s="163">
        <f t="shared" ref="AK348:AK353" si="4084">AJ348+30</f>
        <v>45808</v>
      </c>
      <c r="AL348" s="167">
        <f t="shared" ref="AL348:AL353" si="4085">IFERROR(IF(($R348-AK348)&gt;=0,0,IF(($S348-AJ348)&lt;0,0,IF(AND(($S348-AK348)&gt;0,(AJ348-$R348)&gt;0),$V348/365*(AK348-AJ348+1),IF(AND(($S348-AK348)&lt;=0,(AJ348-$R348)&gt;0),$V348/365*($S348-AJ348+1),$V348/365*(AK348-$R348+1))))),0)</f>
        <v>9188.92508143322</v>
      </c>
      <c r="AM348" s="163">
        <f t="shared" ref="AM348:AM353" si="4086">AK348+1</f>
        <v>45809</v>
      </c>
      <c r="AN348" s="163">
        <f t="shared" ref="AN348:AN353" si="4087">AM348+29</f>
        <v>45838</v>
      </c>
      <c r="AO348" s="167">
        <f t="shared" ref="AO348:AO353" si="4088">IFERROR(IF(($R348-AN348)&gt;=0,0,IF(($S348-AM348)&lt;0,0,IF(AND(($S348-AN348)&gt;0,(AM348-$R348)&gt;0),$V348/365*(AN348-AM348+1),IF(AND(($S348-AN348)&lt;=0,(AM348-$R348)&gt;0),$V348/365*($S348-AM348+1),$V348/365*(AN348-$R348+1))))),0)</f>
        <v>8892.50814332247</v>
      </c>
      <c r="AP348" s="163">
        <f t="shared" ref="AP348:AP353" si="4089">AN348+1</f>
        <v>45839</v>
      </c>
      <c r="AQ348" s="163">
        <f t="shared" ref="AQ348:AQ353" si="4090">AP348+30</f>
        <v>45869</v>
      </c>
      <c r="AR348" s="167">
        <f t="shared" ref="AR348:AR353" si="4091">IFERROR(IF(($R348-AQ348)&gt;=0,0,IF(($S348-AP348)&lt;0,0,IF(AND(($S348-AQ348)&gt;0,(AP348-$R348)&gt;0),$V348/365*(AQ348-AP348+1),IF(AND(($S348-AQ348)&lt;=0,(AP348-$R348)&gt;0),$V348/365*($S348-AP348+1),$V348/365*(AQ348-$R348+1))))),0)</f>
        <v>9188.92508143322</v>
      </c>
      <c r="AS348" s="163">
        <f t="shared" ref="AS348:AS353" si="4092">AQ348+1</f>
        <v>45870</v>
      </c>
      <c r="AT348" s="163">
        <f t="shared" ref="AT348:AT353" si="4093">AS348+30</f>
        <v>45900</v>
      </c>
      <c r="AU348" s="167">
        <f t="shared" ref="AU348:AU353" si="4094">IFERROR(IF(($R348-AT348)&gt;=0,0,IF(($S348-AS348)&lt;0,0,IF(AND(($S348-AT348)&gt;0,(AS348-$R348)&gt;0),$V348/365*(AT348-AS348+1),IF(AND(($S348-AT348)&lt;=0,(AS348-$R348)&gt;0),$V348/365*($S348-AS348+1),$V348/365*(AT348-$R348+1))))),0)</f>
        <v>9188.92508143322</v>
      </c>
      <c r="AV348" s="163">
        <f t="shared" ref="AV348:AV353" si="4095">AT348+1</f>
        <v>45901</v>
      </c>
      <c r="AW348" s="163">
        <f t="shared" ref="AW348:AW353" si="4096">AV348+29</f>
        <v>45930</v>
      </c>
      <c r="AX348" s="167">
        <f t="shared" ref="AX348:AX353" si="4097">IFERROR(IF(($R348-AW348)&gt;=0,0,IF(($S348-AV348)&lt;0,0,IF(AND(($S348-AW348)&gt;0,(AV348-$R348)&gt;0),$V348/365*(AW348-AV348+1),IF(AND(($S348-AW348)&lt;=0,(AV348-$R348)&gt;0),$V348/365*($S348-AV348+1),$V348/365*(AW348-$R348+1))))),0)</f>
        <v>8892.50814332247</v>
      </c>
      <c r="AY348" s="163">
        <f t="shared" ref="AY348:AY353" si="4098">AW348+1</f>
        <v>45931</v>
      </c>
      <c r="AZ348" s="163">
        <f t="shared" ref="AZ348:AZ353" si="4099">AY348+30</f>
        <v>45961</v>
      </c>
      <c r="BA348" s="167">
        <f t="shared" ref="BA348:BA353" si="4100">IFERROR(IF(($R348-AZ348)&gt;=0,0,IF(($S348-AY348)&lt;0,0,IF(AND(($S348-AZ348)&gt;0,(AY348-$R348)&gt;0),$V348/365*(AZ348-AY348+1),IF(AND(($S348-AZ348)&lt;=0,(AY348-$R348)&gt;0),$V348/365*($S348-AY348+1),$V348/365*(AZ348-$R348+1))))),0)</f>
        <v>9188.92508143322</v>
      </c>
      <c r="BB348" s="163">
        <f t="shared" ref="BB348:BB353" si="4101">AZ348+1</f>
        <v>45962</v>
      </c>
      <c r="BC348" s="163">
        <f t="shared" ref="BC348:BC353" si="4102">BB348+29</f>
        <v>45991</v>
      </c>
      <c r="BD348" s="167">
        <f t="shared" ref="BD348:BD353" si="4103">IFERROR(IF(($R348-BC348)&gt;=0,0,IF(($S348-BB348)&lt;0,0,IF(AND(($S348-BC348)&gt;0,(BB348-$R348)&gt;0),$V348/365*(BC348-BB348+1),IF(AND(($S348-BC348)&lt;=0,(BB348-$R348)&gt;0),$V348/365*($S348-BB348+1),$V348/365*(BC348-$R348+1))))),0)</f>
        <v>8892.50814332247</v>
      </c>
      <c r="BE348" s="163">
        <f t="shared" ref="BE348:BE353" si="4104">BC348+1</f>
        <v>45992</v>
      </c>
      <c r="BF348" s="163">
        <f t="shared" ref="BF348:BF353" si="4105">BE348+30</f>
        <v>46022</v>
      </c>
      <c r="BG348" s="167">
        <f t="shared" ref="BG348:BG353" si="4106">IFERROR(IF(($R348-BF348)&gt;=0,0,IF(($S348-BE348)&lt;0,0,IF(AND(($S348-BF348)&gt;0,(BE348-$R348)&gt;0),$V348/365*(BF348-BE348+1),IF(AND(($S348-BF348)&lt;=0,(BE348-$R348)&gt;0),$V348/365*($S348-BE348+1),$V348/365*(BF348-$R348+1))))),0)</f>
        <v>9188.92508143322</v>
      </c>
      <c r="BH348" s="163">
        <v>46023</v>
      </c>
      <c r="BI348" s="163">
        <f t="shared" ref="BI348:BI353" si="4107">BH348+30</f>
        <v>46053</v>
      </c>
      <c r="BJ348" s="167">
        <f t="shared" ref="BJ348:BJ353" si="4108">IFERROR(IF(($R348-BI348)&gt;=0,0,IF(($S348-BH348)&lt;0,0,IF(AND(($S348-BI348)&gt;0,(BH348-$R348)&gt;0),$V348/365*(BI348-BH348+1),IF(AND(($S348-BI348)&lt;=0,(BH348-$R348)&gt;0),$V348/365*($S348-BH348+1),$V348/365*(BI348-$R348+1))))),0)</f>
        <v>0</v>
      </c>
      <c r="BK348" s="163">
        <f t="shared" ref="BK348:BK353" si="4109">BI348+1</f>
        <v>46054</v>
      </c>
      <c r="BL348" s="163">
        <f t="shared" ref="BL348:BL353" si="4110">BK348+27</f>
        <v>46081</v>
      </c>
      <c r="BM348" s="167">
        <f t="shared" ref="BM348:BM353" si="4111">IFERROR(IF(($R348-BL348)&gt;=0,0,IF(($S348-BK348)&lt;0,0,IF(AND(($S348-BL348)&gt;0,(BK348-$R348)&gt;0),$V348/365*(BL348-BK348+1),IF(AND(($S348-BL348)&lt;=0,(BK348-$R348)&gt;0),$V348/365*($S348-BK348+1),$V348/365*(BL348-$R348+1))))),0)</f>
        <v>0</v>
      </c>
      <c r="BN348" s="163">
        <f t="shared" ref="BN348:BN353" si="4112">BL348+1</f>
        <v>46082</v>
      </c>
      <c r="BO348" s="163">
        <f t="shared" ref="BO348:BO353" si="4113">BN348+30</f>
        <v>46112</v>
      </c>
      <c r="BP348" s="167">
        <f t="shared" ref="BP348:BP353" si="4114">IFERROR(IF(($R348-BO348)&gt;=0,0,IF(($S348-BN348)&lt;0,0,IF(AND(($S348-BO348)&gt;0,(BN348-$R348)&gt;0),$V348/365*(BO348-BN348+1),IF(AND(($S348-BO348)&lt;=0,(BN348-$R348)&gt;0),$V348/365*($S348-BN348+1),$V348/365*(BO348-$R348+1))))),0)</f>
        <v>0</v>
      </c>
      <c r="BQ348" s="163">
        <f t="shared" ref="BQ348:BQ353" si="4115">BO348+1</f>
        <v>46113</v>
      </c>
      <c r="BR348" s="163">
        <f t="shared" ref="BR348:BR353" si="4116">BQ348+29</f>
        <v>46142</v>
      </c>
      <c r="BS348" s="167">
        <f t="shared" ref="BS348:BS353" si="4117">IFERROR(IF(($R348-BR348)&gt;=0,0,IF(($S348-BQ348)&lt;0,0,IF(AND(($S348-BR348)&gt;0,(BQ348-$R348)&gt;0),$V348/365*(BR348-BQ348+1),IF(AND(($S348-BR348)&lt;=0,(BQ348-$R348)&gt;0),$V348/365*($S348-BQ348+1),$V348/365*(BR348-$R348+1))))),0)</f>
        <v>0</v>
      </c>
      <c r="BT348" s="163">
        <f t="shared" ref="BT348:BT353" si="4118">BR348+1</f>
        <v>46143</v>
      </c>
      <c r="BU348" s="163">
        <f t="shared" ref="BU348:BU353" si="4119">BT348+30</f>
        <v>46173</v>
      </c>
      <c r="BV348" s="167">
        <f t="shared" ref="BV348:BV353" si="4120">IFERROR(IF(($R348-BU348)&gt;=0,0,IF(($S348-BT348)&lt;0,0,IF(AND(($S348-BU348)&gt;0,(BT348-$R348)&gt;0),$V348/365*(BU348-BT348+1),IF(AND(($S348-BU348)&lt;=0,(BT348-$R348)&gt;0),$V348/365*($S348-BT348+1),$V348/365*(BU348-$R348+1))))),0)</f>
        <v>0</v>
      </c>
      <c r="BW348" s="163">
        <f t="shared" ref="BW348:BW353" si="4121">BU348+1</f>
        <v>46174</v>
      </c>
      <c r="BX348" s="163">
        <f t="shared" ref="BX348:BX353" si="4122">BW348+29</f>
        <v>46203</v>
      </c>
      <c r="BY348" s="167">
        <f t="shared" ref="BY348:BY353" si="4123">IFERROR(IF(($R348-BX348)&gt;=0,0,IF(($S348-BW348)&lt;0,0,IF(AND(($S348-BX348)&gt;0,(BW348-$R348)&gt;0),$V348/365*(BX348-BW348+1),IF(AND(($S348-BX348)&lt;=0,(BW348-$R348)&gt;0),$V348/365*($S348-BW348+1),$V348/365*(BX348-$R348+1))))),0)</f>
        <v>0</v>
      </c>
      <c r="BZ348" s="163">
        <f t="shared" ref="BZ348:BZ353" si="4124">BX348+1</f>
        <v>46204</v>
      </c>
      <c r="CA348" s="163">
        <f t="shared" ref="CA348:CA353" si="4125">BZ348+30</f>
        <v>46234</v>
      </c>
      <c r="CB348" s="167">
        <f t="shared" ref="CB348:CB353" si="4126">IFERROR(IF(($R348-CA348)&gt;=0,0,IF(($S348-BZ348)&lt;0,0,IF(AND(($S348-CA348)&gt;0,(BZ348-$R348)&gt;0),$V348/365*(CA348-BZ348+1),IF(AND(($S348-CA348)&lt;=0,(BZ348-$R348)&gt;0),$V348/365*($S348-BZ348+1),$V348/365*(CA348-$R348+1))))),0)</f>
        <v>0</v>
      </c>
      <c r="CC348" s="163">
        <f t="shared" ref="CC348:CC353" si="4127">CA348+1</f>
        <v>46235</v>
      </c>
      <c r="CD348" s="163">
        <f t="shared" ref="CD348:CD353" si="4128">CC348+30</f>
        <v>46265</v>
      </c>
      <c r="CE348" s="167">
        <f t="shared" ref="CE348:CE353" si="4129">IFERROR(IF(($R348-CD348)&gt;=0,0,IF(($S348-CC348)&lt;0,0,IF(AND(($S348-CD348)&gt;0,(CC348-$R348)&gt;0),$V348/365*(CD348-CC348+1),IF(AND(($S348-CD348)&lt;=0,(CC348-$R348)&gt;0),$V348/365*($S348-CC348+1),$V348/365*(CD348-$R348+1))))),0)</f>
        <v>0</v>
      </c>
      <c r="CF348" s="163">
        <f t="shared" ref="CF348:CF353" si="4130">CD348+1</f>
        <v>46266</v>
      </c>
      <c r="CG348" s="163">
        <f t="shared" ref="CG348:CG353" si="4131">CF348+29</f>
        <v>46295</v>
      </c>
      <c r="CH348" s="167">
        <f t="shared" ref="CH348:CH353" si="4132">IFERROR(IF(($R348-CG348)&gt;=0,0,IF(($S348-CF348)&lt;0,0,IF(AND(($S348-CG348)&gt;0,(CF348-$R348)&gt;0),$V348/365*(CG348-CF348+1),IF(AND(($S348-CG348)&lt;=0,(CF348-$R348)&gt;0),$V348/365*($S348-CF348+1),$V348/365*(CG348-$R348+1))))),0)</f>
        <v>0</v>
      </c>
      <c r="CI348" s="163">
        <f t="shared" ref="CI348:CI353" si="4133">CG348+1</f>
        <v>46296</v>
      </c>
      <c r="CJ348" s="163">
        <f t="shared" ref="CJ348:CJ353" si="4134">CI348+30</f>
        <v>46326</v>
      </c>
      <c r="CK348" s="167">
        <f t="shared" ref="CK348:CK353" si="4135">IFERROR(IF(($R348-CJ348)&gt;=0,0,IF(($S348-CI348)&lt;0,0,IF(AND(($S348-CJ348)&gt;0,(CI348-$R348)&gt;0),$V348/365*(CJ348-CI348+1),IF(AND(($S348-CJ348)&lt;=0,(CI348-$R348)&gt;0),$V348/365*($S348-CI348+1),$V348/365*(CJ348-$R348+1))))),0)</f>
        <v>0</v>
      </c>
      <c r="CL348" s="163">
        <f t="shared" ref="CL348:CL353" si="4136">CJ348+1</f>
        <v>46327</v>
      </c>
      <c r="CM348" s="163">
        <f t="shared" ref="CM348:CM353" si="4137">CL348+29</f>
        <v>46356</v>
      </c>
      <c r="CN348" s="167">
        <f t="shared" ref="CN348:CN353" si="4138">IFERROR(IF(($R348-CM348)&gt;=0,0,IF(($S348-CL348)&lt;0,0,IF(AND(($S348-CM348)&gt;0,(CL348-$R348)&gt;0),$V348/365*(CM348-CL348+1),IF(AND(($S348-CM348)&lt;=0,(CL348-$R348)&gt;0),$V348/365*($S348-CL348+1),$V348/365*(CM348-$R348+1))))),0)</f>
        <v>0</v>
      </c>
      <c r="CO348" s="163">
        <f t="shared" ref="CO348:CO353" si="4139">CM348+1</f>
        <v>46357</v>
      </c>
      <c r="CP348" s="163">
        <f t="shared" ref="CP348:CP353" si="4140">CO348+30</f>
        <v>46387</v>
      </c>
      <c r="CQ348" s="167">
        <f t="shared" ref="CQ348:CQ353" si="4141">IFERROR(IF(($R348-CP348)&gt;=0,0,IF(($S348-CO348)&lt;0,0,IF(AND(($S348-CP348)&gt;0,(CO348-$R348)&gt;0),$V348/365*(CP348-CO348+1),IF(AND(($S348-CP348)&lt;=0,(CO348-$R348)&gt;0),$V348/365*($S348-CO348+1),$V348/365*(CP348-$R348+1))))),0)</f>
        <v>0</v>
      </c>
    </row>
    <row r="349" s="89" customFormat="1" ht="24" hidden="1" customHeight="1" outlineLevel="4" spans="1:95">
      <c r="A349" s="128"/>
      <c r="B349" s="129"/>
      <c r="C349" s="130"/>
      <c r="D349" s="128"/>
      <c r="E349" s="129"/>
      <c r="F349" s="129"/>
      <c r="G349" s="129"/>
      <c r="H349" s="131"/>
      <c r="I349" s="131"/>
      <c r="J349" s="131">
        <f t="shared" si="3853"/>
        <v>49048</v>
      </c>
      <c r="K349" s="131">
        <f t="shared" si="4070"/>
        <v>2</v>
      </c>
      <c r="L349" s="156" t="s">
        <v>2831</v>
      </c>
      <c r="M349" s="157" t="str">
        <f>IFERROR(VLOOKUP($L349,'2-2 引出数据_合同数据仓库'!$B$5:$BP$200,3,FALSE),0)</f>
        <v>深圳非住二片区中海油大厦洗手间深度清洁服务合同</v>
      </c>
      <c r="N349" s="131"/>
      <c r="O349" s="157">
        <f>IFERROR(VLOOKUP((LEFT(VLOOKUP($L349,'2-2 引出数据_合同数据仓库'!$B$5:$BP$200,64,FALSE),15)&amp;(RIGHT(VLOOKUP($L349,'2-2 引出数据_合同数据仓库'!$B$5:$BP$200,64,FALSE),4)+1)),'2-2 引出数据_合同数据仓库'!$B$5:$BP$200,3,FALSE),0)</f>
        <v>0</v>
      </c>
      <c r="P349" s="131"/>
      <c r="Q349" s="131" t="str">
        <f>IFERROR(VLOOKUP($L349,'2-2 引出数据_合同数据仓库'!$B$5:$BP$200,28,FALSE),0)</f>
        <v>2025-02-21</v>
      </c>
      <c r="R349" s="131" t="str">
        <f>IFERROR(VLOOKUP($L349,'2-2 引出数据_合同数据仓库'!$B$5:$BP$200,29,FALSE),0)</f>
        <v>2025-02-21</v>
      </c>
      <c r="S349" s="131" t="str">
        <f>IFERROR(VLOOKUP($L349,'2-2 引出数据_合同数据仓库'!$B$5:$BP$200,4,FALSE),0)</f>
        <v>2025-12-31</v>
      </c>
      <c r="T349" s="131"/>
      <c r="U349" s="131">
        <f>IFERROR(VLOOKUP($L349,'2-2 引出数据_合同数据仓库'!$B$5:$BP$200,15,FALSE),0)</f>
        <v>49048</v>
      </c>
      <c r="V349" s="131">
        <f t="shared" si="4071"/>
        <v>57014.3949044586</v>
      </c>
      <c r="W349" s="131"/>
      <c r="X349" s="163">
        <v>45658</v>
      </c>
      <c r="Y349" s="163">
        <f t="shared" si="4072"/>
        <v>45688</v>
      </c>
      <c r="Z349" s="167">
        <f t="shared" si="4073"/>
        <v>0</v>
      </c>
      <c r="AA349" s="163">
        <f t="shared" si="4074"/>
        <v>45689</v>
      </c>
      <c r="AB349" s="163">
        <f t="shared" si="4075"/>
        <v>45716</v>
      </c>
      <c r="AC349" s="167">
        <f t="shared" si="4076"/>
        <v>1249.63057324841</v>
      </c>
      <c r="AD349" s="163">
        <f t="shared" si="4077"/>
        <v>45717</v>
      </c>
      <c r="AE349" s="163">
        <f t="shared" si="4078"/>
        <v>45747</v>
      </c>
      <c r="AF349" s="167">
        <f t="shared" si="4079"/>
        <v>4842.31847133758</v>
      </c>
      <c r="AG349" s="163">
        <f t="shared" si="4080"/>
        <v>45748</v>
      </c>
      <c r="AH349" s="163">
        <f t="shared" si="4081"/>
        <v>45777</v>
      </c>
      <c r="AI349" s="167">
        <f t="shared" si="4082"/>
        <v>4686.11464968153</v>
      </c>
      <c r="AJ349" s="163">
        <f t="shared" si="4083"/>
        <v>45778</v>
      </c>
      <c r="AK349" s="163">
        <f t="shared" si="4084"/>
        <v>45808</v>
      </c>
      <c r="AL349" s="167">
        <f t="shared" si="4085"/>
        <v>4842.31847133758</v>
      </c>
      <c r="AM349" s="163">
        <f t="shared" si="4086"/>
        <v>45809</v>
      </c>
      <c r="AN349" s="163">
        <f t="shared" si="4087"/>
        <v>45838</v>
      </c>
      <c r="AO349" s="167">
        <f t="shared" si="4088"/>
        <v>4686.11464968153</v>
      </c>
      <c r="AP349" s="163">
        <f t="shared" si="4089"/>
        <v>45839</v>
      </c>
      <c r="AQ349" s="163">
        <f t="shared" si="4090"/>
        <v>45869</v>
      </c>
      <c r="AR349" s="167">
        <f t="shared" si="4091"/>
        <v>4842.31847133758</v>
      </c>
      <c r="AS349" s="163">
        <f t="shared" si="4092"/>
        <v>45870</v>
      </c>
      <c r="AT349" s="163">
        <f t="shared" si="4093"/>
        <v>45900</v>
      </c>
      <c r="AU349" s="167">
        <f t="shared" si="4094"/>
        <v>4842.31847133758</v>
      </c>
      <c r="AV349" s="163">
        <f t="shared" si="4095"/>
        <v>45901</v>
      </c>
      <c r="AW349" s="163">
        <f t="shared" si="4096"/>
        <v>45930</v>
      </c>
      <c r="AX349" s="167">
        <f t="shared" si="4097"/>
        <v>4686.11464968153</v>
      </c>
      <c r="AY349" s="163">
        <f t="shared" si="4098"/>
        <v>45931</v>
      </c>
      <c r="AZ349" s="163">
        <f t="shared" si="4099"/>
        <v>45961</v>
      </c>
      <c r="BA349" s="167">
        <f t="shared" si="4100"/>
        <v>4842.31847133758</v>
      </c>
      <c r="BB349" s="163">
        <f t="shared" si="4101"/>
        <v>45962</v>
      </c>
      <c r="BC349" s="163">
        <f t="shared" si="4102"/>
        <v>45991</v>
      </c>
      <c r="BD349" s="167">
        <f t="shared" si="4103"/>
        <v>4686.11464968153</v>
      </c>
      <c r="BE349" s="163">
        <f t="shared" si="4104"/>
        <v>45992</v>
      </c>
      <c r="BF349" s="163">
        <f t="shared" si="4105"/>
        <v>46022</v>
      </c>
      <c r="BG349" s="167">
        <f t="shared" si="4106"/>
        <v>4842.31847133758</v>
      </c>
      <c r="BH349" s="163">
        <v>46023</v>
      </c>
      <c r="BI349" s="163">
        <f t="shared" si="4107"/>
        <v>46053</v>
      </c>
      <c r="BJ349" s="167">
        <f t="shared" si="4108"/>
        <v>0</v>
      </c>
      <c r="BK349" s="163">
        <f t="shared" si="4109"/>
        <v>46054</v>
      </c>
      <c r="BL349" s="163">
        <f t="shared" si="4110"/>
        <v>46081</v>
      </c>
      <c r="BM349" s="167">
        <f t="shared" si="4111"/>
        <v>0</v>
      </c>
      <c r="BN349" s="163">
        <f t="shared" si="4112"/>
        <v>46082</v>
      </c>
      <c r="BO349" s="163">
        <f t="shared" si="4113"/>
        <v>46112</v>
      </c>
      <c r="BP349" s="167">
        <f t="shared" si="4114"/>
        <v>0</v>
      </c>
      <c r="BQ349" s="163">
        <f t="shared" si="4115"/>
        <v>46113</v>
      </c>
      <c r="BR349" s="163">
        <f t="shared" si="4116"/>
        <v>46142</v>
      </c>
      <c r="BS349" s="167">
        <f t="shared" si="4117"/>
        <v>0</v>
      </c>
      <c r="BT349" s="163">
        <f t="shared" si="4118"/>
        <v>46143</v>
      </c>
      <c r="BU349" s="163">
        <f t="shared" si="4119"/>
        <v>46173</v>
      </c>
      <c r="BV349" s="167">
        <f t="shared" si="4120"/>
        <v>0</v>
      </c>
      <c r="BW349" s="163">
        <f t="shared" si="4121"/>
        <v>46174</v>
      </c>
      <c r="BX349" s="163">
        <f t="shared" si="4122"/>
        <v>46203</v>
      </c>
      <c r="BY349" s="167">
        <f t="shared" si="4123"/>
        <v>0</v>
      </c>
      <c r="BZ349" s="163">
        <f t="shared" si="4124"/>
        <v>46204</v>
      </c>
      <c r="CA349" s="163">
        <f t="shared" si="4125"/>
        <v>46234</v>
      </c>
      <c r="CB349" s="167">
        <f t="shared" si="4126"/>
        <v>0</v>
      </c>
      <c r="CC349" s="163">
        <f t="shared" si="4127"/>
        <v>46235</v>
      </c>
      <c r="CD349" s="163">
        <f t="shared" si="4128"/>
        <v>46265</v>
      </c>
      <c r="CE349" s="167">
        <f t="shared" si="4129"/>
        <v>0</v>
      </c>
      <c r="CF349" s="163">
        <f t="shared" si="4130"/>
        <v>46266</v>
      </c>
      <c r="CG349" s="163">
        <f t="shared" si="4131"/>
        <v>46295</v>
      </c>
      <c r="CH349" s="167">
        <f t="shared" si="4132"/>
        <v>0</v>
      </c>
      <c r="CI349" s="163">
        <f t="shared" si="4133"/>
        <v>46296</v>
      </c>
      <c r="CJ349" s="163">
        <f t="shared" si="4134"/>
        <v>46326</v>
      </c>
      <c r="CK349" s="167">
        <f t="shared" si="4135"/>
        <v>0</v>
      </c>
      <c r="CL349" s="163">
        <f t="shared" si="4136"/>
        <v>46327</v>
      </c>
      <c r="CM349" s="163">
        <f t="shared" si="4137"/>
        <v>46356</v>
      </c>
      <c r="CN349" s="167">
        <f t="shared" si="4138"/>
        <v>0</v>
      </c>
      <c r="CO349" s="163">
        <f t="shared" si="4139"/>
        <v>46357</v>
      </c>
      <c r="CP349" s="163">
        <f t="shared" si="4140"/>
        <v>46387</v>
      </c>
      <c r="CQ349" s="167">
        <f t="shared" si="4141"/>
        <v>0</v>
      </c>
    </row>
    <row r="350" s="89" customFormat="1" ht="24" hidden="1" customHeight="1" outlineLevel="4" spans="1:95">
      <c r="A350" s="128"/>
      <c r="B350" s="129"/>
      <c r="C350" s="130"/>
      <c r="D350" s="128"/>
      <c r="E350" s="129"/>
      <c r="F350" s="129"/>
      <c r="G350" s="129"/>
      <c r="H350" s="131"/>
      <c r="I350" s="131"/>
      <c r="J350" s="131">
        <f t="shared" ref="J350:J352" si="4142">Z350+AC350+AF350+AI350+AL350+AO350+AR350+AU350+AX350+BA350+BD350+BG350</f>
        <v>114000</v>
      </c>
      <c r="K350" s="131">
        <f>K348+1</f>
        <v>2</v>
      </c>
      <c r="L350" s="156" t="s">
        <v>2832</v>
      </c>
      <c r="M350" s="157" t="str">
        <f>IFERROR(VLOOKUP($L350,'2-2 引出数据_合同数据仓库'!$B$5:$BP$200,3,FALSE),0)</f>
        <v>深圳中海油大厦生活垃圾清运合同</v>
      </c>
      <c r="N350" s="131"/>
      <c r="O350" s="157">
        <f>IFERROR(VLOOKUP((LEFT(VLOOKUP($L350,'2-2 引出数据_合同数据仓库'!$B$5:$BP$200,64,FALSE),15)&amp;(RIGHT(VLOOKUP($L350,'2-2 引出数据_合同数据仓库'!$B$5:$BP$200,64,FALSE),4)+1)),'2-2 引出数据_合同数据仓库'!$B$5:$BP$200,3,FALSE),0)</f>
        <v>0</v>
      </c>
      <c r="P350" s="131"/>
      <c r="Q350" s="131" t="str">
        <f>IFERROR(VLOOKUP($L350,'2-2 引出数据_合同数据仓库'!$B$5:$BP$200,28,FALSE),0)</f>
        <v>2025-01-01</v>
      </c>
      <c r="R350" s="131" t="str">
        <f>IFERROR(VLOOKUP($L350,'2-2 引出数据_合同数据仓库'!$B$5:$BP$200,29,FALSE),0)</f>
        <v>2025-01-24</v>
      </c>
      <c r="S350" s="131" t="str">
        <f>IFERROR(VLOOKUP($L350,'2-2 引出数据_合同数据仓库'!$B$5:$BP$200,4,FALSE),0)</f>
        <v>2025-12-31</v>
      </c>
      <c r="T350" s="131"/>
      <c r="U350" s="131">
        <f>IFERROR(VLOOKUP($L350,'2-2 引出数据_合同数据仓库'!$B$5:$BP$200,15,FALSE),0)</f>
        <v>114000</v>
      </c>
      <c r="V350" s="131">
        <f t="shared" ref="V350:V352" si="4143">U350/(S350-R350+1)*365</f>
        <v>121666.666666667</v>
      </c>
      <c r="W350" s="131"/>
      <c r="X350" s="163">
        <v>45658</v>
      </c>
      <c r="Y350" s="163">
        <f t="shared" ref="Y350:Y352" si="4144">X350+30</f>
        <v>45688</v>
      </c>
      <c r="Z350" s="167">
        <f t="shared" ref="Z350:Z352" si="4145">IFERROR(IF(($R350-Y350)&gt;=0,0,IF(($S350-X350)&lt;0,0,IF(AND(($S350-Y350)&gt;0,(X350-$R350)&gt;0),$V350/365*(Y350-X350+1),IF(AND(($S350-Y350)&lt;=0,(X350-$R350)&gt;0),$V350/365*($S350-X350+1),$V350/365*(Y350-$R350+1))))),0)</f>
        <v>2666.66666666667</v>
      </c>
      <c r="AA350" s="163">
        <f t="shared" ref="AA350:AA352" si="4146">Y350+1</f>
        <v>45689</v>
      </c>
      <c r="AB350" s="163">
        <f t="shared" ref="AB350:AB352" si="4147">AA350+27</f>
        <v>45716</v>
      </c>
      <c r="AC350" s="167">
        <f t="shared" ref="AC350:AC352" si="4148">IFERROR(IF(($R350-AB350)&gt;=0,0,IF(($S350-AA350)&lt;0,0,IF(AND(($S350-AB350)&gt;0,(AA350-$R350)&gt;0),$V350/365*(AB350-AA350+1),IF(AND(($S350-AB350)&lt;=0,(AA350-$R350)&gt;0),$V350/365*($S350-AA350+1),$V350/365*(AB350-$R350+1))))),0)</f>
        <v>9333.33333333333</v>
      </c>
      <c r="AD350" s="163">
        <f t="shared" ref="AD350:AD352" si="4149">AB350+1</f>
        <v>45717</v>
      </c>
      <c r="AE350" s="163">
        <f t="shared" ref="AE350:AE352" si="4150">AD350+30</f>
        <v>45747</v>
      </c>
      <c r="AF350" s="167">
        <f t="shared" ref="AF350:AF352" si="4151">IFERROR(IF(($R350-AE350)&gt;=0,0,IF(($S350-AD350)&lt;0,0,IF(AND(($S350-AE350)&gt;0,(AD350-$R350)&gt;0),$V350/365*(AE350-AD350+1),IF(AND(($S350-AE350)&lt;=0,(AD350-$R350)&gt;0),$V350/365*($S350-AD350+1),$V350/365*(AE350-$R350+1))))),0)</f>
        <v>10333.3333333333</v>
      </c>
      <c r="AG350" s="163">
        <f t="shared" ref="AG350:AG352" si="4152">AE350+1</f>
        <v>45748</v>
      </c>
      <c r="AH350" s="163">
        <f t="shared" ref="AH350:AH352" si="4153">AG350+29</f>
        <v>45777</v>
      </c>
      <c r="AI350" s="167">
        <f t="shared" ref="AI350:AI352" si="4154">IFERROR(IF(($R350-AH350)&gt;=0,0,IF(($S350-AG350)&lt;0,0,IF(AND(($S350-AH350)&gt;0,(AG350-$R350)&gt;0),$V350/365*(AH350-AG350+1),IF(AND(($S350-AH350)&lt;=0,(AG350-$R350)&gt;0),$V350/365*($S350-AG350+1),$V350/365*(AH350-$R350+1))))),0)</f>
        <v>10000</v>
      </c>
      <c r="AJ350" s="163">
        <f t="shared" ref="AJ350:AJ352" si="4155">AH350+1</f>
        <v>45778</v>
      </c>
      <c r="AK350" s="163">
        <f t="shared" ref="AK350:AK352" si="4156">AJ350+30</f>
        <v>45808</v>
      </c>
      <c r="AL350" s="167">
        <f t="shared" ref="AL350:AL352" si="4157">IFERROR(IF(($R350-AK350)&gt;=0,0,IF(($S350-AJ350)&lt;0,0,IF(AND(($S350-AK350)&gt;0,(AJ350-$R350)&gt;0),$V350/365*(AK350-AJ350+1),IF(AND(($S350-AK350)&lt;=0,(AJ350-$R350)&gt;0),$V350/365*($S350-AJ350+1),$V350/365*(AK350-$R350+1))))),0)</f>
        <v>10333.3333333333</v>
      </c>
      <c r="AM350" s="163">
        <f t="shared" ref="AM350:AM352" si="4158">AK350+1</f>
        <v>45809</v>
      </c>
      <c r="AN350" s="163">
        <f t="shared" ref="AN350:AN352" si="4159">AM350+29</f>
        <v>45838</v>
      </c>
      <c r="AO350" s="167">
        <f t="shared" ref="AO350:AO352" si="4160">IFERROR(IF(($R350-AN350)&gt;=0,0,IF(($S350-AM350)&lt;0,0,IF(AND(($S350-AN350)&gt;0,(AM350-$R350)&gt;0),$V350/365*(AN350-AM350+1),IF(AND(($S350-AN350)&lt;=0,(AM350-$R350)&gt;0),$V350/365*($S350-AM350+1),$V350/365*(AN350-$R350+1))))),0)</f>
        <v>10000</v>
      </c>
      <c r="AP350" s="163">
        <f t="shared" ref="AP350:AP352" si="4161">AN350+1</f>
        <v>45839</v>
      </c>
      <c r="AQ350" s="163">
        <f t="shared" ref="AQ350:AQ352" si="4162">AP350+30</f>
        <v>45869</v>
      </c>
      <c r="AR350" s="167">
        <f t="shared" ref="AR350:AR352" si="4163">IFERROR(IF(($R350-AQ350)&gt;=0,0,IF(($S350-AP350)&lt;0,0,IF(AND(($S350-AQ350)&gt;0,(AP350-$R350)&gt;0),$V350/365*(AQ350-AP350+1),IF(AND(($S350-AQ350)&lt;=0,(AP350-$R350)&gt;0),$V350/365*($S350-AP350+1),$V350/365*(AQ350-$R350+1))))),0)</f>
        <v>10333.3333333333</v>
      </c>
      <c r="AS350" s="163">
        <f t="shared" ref="AS350:AS352" si="4164">AQ350+1</f>
        <v>45870</v>
      </c>
      <c r="AT350" s="163">
        <f t="shared" ref="AT350:AT352" si="4165">AS350+30</f>
        <v>45900</v>
      </c>
      <c r="AU350" s="167">
        <f t="shared" ref="AU350:AU352" si="4166">IFERROR(IF(($R350-AT350)&gt;=0,0,IF(($S350-AS350)&lt;0,0,IF(AND(($S350-AT350)&gt;0,(AS350-$R350)&gt;0),$V350/365*(AT350-AS350+1),IF(AND(($S350-AT350)&lt;=0,(AS350-$R350)&gt;0),$V350/365*($S350-AS350+1),$V350/365*(AT350-$R350+1))))),0)</f>
        <v>10333.3333333333</v>
      </c>
      <c r="AV350" s="163">
        <f t="shared" ref="AV350:AV352" si="4167">AT350+1</f>
        <v>45901</v>
      </c>
      <c r="AW350" s="163">
        <f t="shared" ref="AW350:AW352" si="4168">AV350+29</f>
        <v>45930</v>
      </c>
      <c r="AX350" s="167">
        <f t="shared" ref="AX350:AX352" si="4169">IFERROR(IF(($R350-AW350)&gt;=0,0,IF(($S350-AV350)&lt;0,0,IF(AND(($S350-AW350)&gt;0,(AV350-$R350)&gt;0),$V350/365*(AW350-AV350+1),IF(AND(($S350-AW350)&lt;=0,(AV350-$R350)&gt;0),$V350/365*($S350-AV350+1),$V350/365*(AW350-$R350+1))))),0)</f>
        <v>10000</v>
      </c>
      <c r="AY350" s="163">
        <f t="shared" ref="AY350:AY352" si="4170">AW350+1</f>
        <v>45931</v>
      </c>
      <c r="AZ350" s="163">
        <f t="shared" ref="AZ350:AZ352" si="4171">AY350+30</f>
        <v>45961</v>
      </c>
      <c r="BA350" s="167">
        <f t="shared" ref="BA350:BA352" si="4172">IFERROR(IF(($R350-AZ350)&gt;=0,0,IF(($S350-AY350)&lt;0,0,IF(AND(($S350-AZ350)&gt;0,(AY350-$R350)&gt;0),$V350/365*(AZ350-AY350+1),IF(AND(($S350-AZ350)&lt;=0,(AY350-$R350)&gt;0),$V350/365*($S350-AY350+1),$V350/365*(AZ350-$R350+1))))),0)</f>
        <v>10333.3333333333</v>
      </c>
      <c r="BB350" s="163">
        <f t="shared" ref="BB350:BB352" si="4173">AZ350+1</f>
        <v>45962</v>
      </c>
      <c r="BC350" s="163">
        <f t="shared" ref="BC350:BC352" si="4174">BB350+29</f>
        <v>45991</v>
      </c>
      <c r="BD350" s="167">
        <f t="shared" ref="BD350:BD352" si="4175">IFERROR(IF(($R350-BC350)&gt;=0,0,IF(($S350-BB350)&lt;0,0,IF(AND(($S350-BC350)&gt;0,(BB350-$R350)&gt;0),$V350/365*(BC350-BB350+1),IF(AND(($S350-BC350)&lt;=0,(BB350-$R350)&gt;0),$V350/365*($S350-BB350+1),$V350/365*(BC350-$R350+1))))),0)</f>
        <v>10000</v>
      </c>
      <c r="BE350" s="163">
        <f t="shared" ref="BE350:BE352" si="4176">BC350+1</f>
        <v>45992</v>
      </c>
      <c r="BF350" s="163">
        <f t="shared" ref="BF350:BF352" si="4177">BE350+30</f>
        <v>46022</v>
      </c>
      <c r="BG350" s="167">
        <f t="shared" ref="BG350:BG352" si="4178">IFERROR(IF(($R350-BF350)&gt;=0,0,IF(($S350-BE350)&lt;0,0,IF(AND(($S350-BF350)&gt;0,(BE350-$R350)&gt;0),$V350/365*(BF350-BE350+1),IF(AND(($S350-BF350)&lt;=0,(BE350-$R350)&gt;0),$V350/365*($S350-BE350+1),$V350/365*(BF350-$R350+1))))),0)</f>
        <v>10333.3333333333</v>
      </c>
      <c r="BH350" s="163">
        <v>46023</v>
      </c>
      <c r="BI350" s="163">
        <f t="shared" ref="BI350:BI352" si="4179">BH350+30</f>
        <v>46053</v>
      </c>
      <c r="BJ350" s="167">
        <f t="shared" ref="BJ350:BJ352" si="4180">IFERROR(IF(($R350-BI350)&gt;=0,0,IF(($S350-BH350)&lt;0,0,IF(AND(($S350-BI350)&gt;0,(BH350-$R350)&gt;0),$V350/365*(BI350-BH350+1),IF(AND(($S350-BI350)&lt;=0,(BH350-$R350)&gt;0),$V350/365*($S350-BH350+1),$V350/365*(BI350-$R350+1))))),0)</f>
        <v>0</v>
      </c>
      <c r="BK350" s="163">
        <f t="shared" ref="BK350:BK352" si="4181">BI350+1</f>
        <v>46054</v>
      </c>
      <c r="BL350" s="163">
        <f t="shared" ref="BL350:BL352" si="4182">BK350+27</f>
        <v>46081</v>
      </c>
      <c r="BM350" s="167">
        <f t="shared" ref="BM350:BM352" si="4183">IFERROR(IF(($R350-BL350)&gt;=0,0,IF(($S350-BK350)&lt;0,0,IF(AND(($S350-BL350)&gt;0,(BK350-$R350)&gt;0),$V350/365*(BL350-BK350+1),IF(AND(($S350-BL350)&lt;=0,(BK350-$R350)&gt;0),$V350/365*($S350-BK350+1),$V350/365*(BL350-$R350+1))))),0)</f>
        <v>0</v>
      </c>
      <c r="BN350" s="163">
        <f t="shared" ref="BN350:BN352" si="4184">BL350+1</f>
        <v>46082</v>
      </c>
      <c r="BO350" s="163">
        <f t="shared" ref="BO350:BO352" si="4185">BN350+30</f>
        <v>46112</v>
      </c>
      <c r="BP350" s="167">
        <f t="shared" ref="BP350:BP352" si="4186">IFERROR(IF(($R350-BO350)&gt;=0,0,IF(($S350-BN350)&lt;0,0,IF(AND(($S350-BO350)&gt;0,(BN350-$R350)&gt;0),$V350/365*(BO350-BN350+1),IF(AND(($S350-BO350)&lt;=0,(BN350-$R350)&gt;0),$V350/365*($S350-BN350+1),$V350/365*(BO350-$R350+1))))),0)</f>
        <v>0</v>
      </c>
      <c r="BQ350" s="163">
        <f t="shared" ref="BQ350:BQ352" si="4187">BO350+1</f>
        <v>46113</v>
      </c>
      <c r="BR350" s="163">
        <f t="shared" ref="BR350:BR352" si="4188">BQ350+29</f>
        <v>46142</v>
      </c>
      <c r="BS350" s="167">
        <f t="shared" ref="BS350:BS352" si="4189">IFERROR(IF(($R350-BR350)&gt;=0,0,IF(($S350-BQ350)&lt;0,0,IF(AND(($S350-BR350)&gt;0,(BQ350-$R350)&gt;0),$V350/365*(BR350-BQ350+1),IF(AND(($S350-BR350)&lt;=0,(BQ350-$R350)&gt;0),$V350/365*($S350-BQ350+1),$V350/365*(BR350-$R350+1))))),0)</f>
        <v>0</v>
      </c>
      <c r="BT350" s="163">
        <f t="shared" ref="BT350:BT352" si="4190">BR350+1</f>
        <v>46143</v>
      </c>
      <c r="BU350" s="163">
        <f t="shared" ref="BU350:BU352" si="4191">BT350+30</f>
        <v>46173</v>
      </c>
      <c r="BV350" s="167">
        <f t="shared" ref="BV350:BV352" si="4192">IFERROR(IF(($R350-BU350)&gt;=0,0,IF(($S350-BT350)&lt;0,0,IF(AND(($S350-BU350)&gt;0,(BT350-$R350)&gt;0),$V350/365*(BU350-BT350+1),IF(AND(($S350-BU350)&lt;=0,(BT350-$R350)&gt;0),$V350/365*($S350-BT350+1),$V350/365*(BU350-$R350+1))))),0)</f>
        <v>0</v>
      </c>
      <c r="BW350" s="163">
        <f t="shared" ref="BW350:BW352" si="4193">BU350+1</f>
        <v>46174</v>
      </c>
      <c r="BX350" s="163">
        <f t="shared" ref="BX350:BX352" si="4194">BW350+29</f>
        <v>46203</v>
      </c>
      <c r="BY350" s="167">
        <f t="shared" ref="BY350:BY352" si="4195">IFERROR(IF(($R350-BX350)&gt;=0,0,IF(($S350-BW350)&lt;0,0,IF(AND(($S350-BX350)&gt;0,(BW350-$R350)&gt;0),$V350/365*(BX350-BW350+1),IF(AND(($S350-BX350)&lt;=0,(BW350-$R350)&gt;0),$V350/365*($S350-BW350+1),$V350/365*(BX350-$R350+1))))),0)</f>
        <v>0</v>
      </c>
      <c r="BZ350" s="163">
        <f t="shared" ref="BZ350:BZ352" si="4196">BX350+1</f>
        <v>46204</v>
      </c>
      <c r="CA350" s="163">
        <f t="shared" ref="CA350:CA352" si="4197">BZ350+30</f>
        <v>46234</v>
      </c>
      <c r="CB350" s="167">
        <f t="shared" ref="CB350:CB352" si="4198">IFERROR(IF(($R350-CA350)&gt;=0,0,IF(($S350-BZ350)&lt;0,0,IF(AND(($S350-CA350)&gt;0,(BZ350-$R350)&gt;0),$V350/365*(CA350-BZ350+1),IF(AND(($S350-CA350)&lt;=0,(BZ350-$R350)&gt;0),$V350/365*($S350-BZ350+1),$V350/365*(CA350-$R350+1))))),0)</f>
        <v>0</v>
      </c>
      <c r="CC350" s="163">
        <f t="shared" ref="CC350:CC352" si="4199">CA350+1</f>
        <v>46235</v>
      </c>
      <c r="CD350" s="163">
        <f t="shared" ref="CD350:CD352" si="4200">CC350+30</f>
        <v>46265</v>
      </c>
      <c r="CE350" s="167">
        <f t="shared" ref="CE350:CE352" si="4201">IFERROR(IF(($R350-CD350)&gt;=0,0,IF(($S350-CC350)&lt;0,0,IF(AND(($S350-CD350)&gt;0,(CC350-$R350)&gt;0),$V350/365*(CD350-CC350+1),IF(AND(($S350-CD350)&lt;=0,(CC350-$R350)&gt;0),$V350/365*($S350-CC350+1),$V350/365*(CD350-$R350+1))))),0)</f>
        <v>0</v>
      </c>
      <c r="CF350" s="163">
        <f t="shared" ref="CF350:CF352" si="4202">CD350+1</f>
        <v>46266</v>
      </c>
      <c r="CG350" s="163">
        <f t="shared" ref="CG350:CG352" si="4203">CF350+29</f>
        <v>46295</v>
      </c>
      <c r="CH350" s="167">
        <f t="shared" ref="CH350:CH352" si="4204">IFERROR(IF(($R350-CG350)&gt;=0,0,IF(($S350-CF350)&lt;0,0,IF(AND(($S350-CG350)&gt;0,(CF350-$R350)&gt;0),$V350/365*(CG350-CF350+1),IF(AND(($S350-CG350)&lt;=0,(CF350-$R350)&gt;0),$V350/365*($S350-CF350+1),$V350/365*(CG350-$R350+1))))),0)</f>
        <v>0</v>
      </c>
      <c r="CI350" s="163">
        <f t="shared" ref="CI350:CI352" si="4205">CG350+1</f>
        <v>46296</v>
      </c>
      <c r="CJ350" s="163">
        <f t="shared" ref="CJ350:CJ352" si="4206">CI350+30</f>
        <v>46326</v>
      </c>
      <c r="CK350" s="167">
        <f t="shared" ref="CK350:CK352" si="4207">IFERROR(IF(($R350-CJ350)&gt;=0,0,IF(($S350-CI350)&lt;0,0,IF(AND(($S350-CJ350)&gt;0,(CI350-$R350)&gt;0),$V350/365*(CJ350-CI350+1),IF(AND(($S350-CJ350)&lt;=0,(CI350-$R350)&gt;0),$V350/365*($S350-CI350+1),$V350/365*(CJ350-$R350+1))))),0)</f>
        <v>0</v>
      </c>
      <c r="CL350" s="163">
        <f t="shared" ref="CL350:CL352" si="4208">CJ350+1</f>
        <v>46327</v>
      </c>
      <c r="CM350" s="163">
        <f t="shared" ref="CM350:CM352" si="4209">CL350+29</f>
        <v>46356</v>
      </c>
      <c r="CN350" s="167">
        <f t="shared" ref="CN350:CN352" si="4210">IFERROR(IF(($R350-CM350)&gt;=0,0,IF(($S350-CL350)&lt;0,0,IF(AND(($S350-CM350)&gt;0,(CL350-$R350)&gt;0),$V350/365*(CM350-CL350+1),IF(AND(($S350-CM350)&lt;=0,(CL350-$R350)&gt;0),$V350/365*($S350-CL350+1),$V350/365*(CM350-$R350+1))))),0)</f>
        <v>0</v>
      </c>
      <c r="CO350" s="163">
        <f t="shared" ref="CO350:CO352" si="4211">CM350+1</f>
        <v>46357</v>
      </c>
      <c r="CP350" s="163">
        <f t="shared" ref="CP350:CP352" si="4212">CO350+30</f>
        <v>46387</v>
      </c>
      <c r="CQ350" s="167">
        <f t="shared" ref="CQ350:CQ352" si="4213">IFERROR(IF(($R350-CP350)&gt;=0,0,IF(($S350-CO350)&lt;0,0,IF(AND(($S350-CP350)&gt;0,(CO350-$R350)&gt;0),$V350/365*(CP350-CO350+1),IF(AND(($S350-CP350)&lt;=0,(CO350-$R350)&gt;0),$V350/365*($S350-CO350+1),$V350/365*(CP350-$R350+1))))),0)</f>
        <v>0</v>
      </c>
    </row>
    <row r="351" s="89" customFormat="1" ht="24" hidden="1" customHeight="1" outlineLevel="4" spans="1:95">
      <c r="A351" s="128"/>
      <c r="B351" s="129"/>
      <c r="C351" s="130"/>
      <c r="D351" s="128"/>
      <c r="E351" s="129"/>
      <c r="F351" s="129"/>
      <c r="G351" s="129"/>
      <c r="H351" s="131"/>
      <c r="I351" s="131"/>
      <c r="J351" s="131">
        <f t="shared" si="4142"/>
        <v>0</v>
      </c>
      <c r="K351" s="131">
        <f>K348+1</f>
        <v>2</v>
      </c>
      <c r="L351" s="156"/>
      <c r="M351" s="157">
        <f>IFERROR(VLOOKUP($L351,'2-2 引出数据_合同数据仓库'!$B$5:$BP$200,3,FALSE),0)</f>
        <v>0</v>
      </c>
      <c r="N351" s="131"/>
      <c r="O351" s="157">
        <f>IFERROR(VLOOKUP((LEFT(VLOOKUP($L351,'2-2 引出数据_合同数据仓库'!$B$5:$BP$200,64,FALSE),15)&amp;(RIGHT(VLOOKUP($L351,'2-2 引出数据_合同数据仓库'!$B$5:$BP$200,64,FALSE),4)+1)),'2-2 引出数据_合同数据仓库'!$B$5:$BP$200,3,FALSE),0)</f>
        <v>0</v>
      </c>
      <c r="P351" s="131"/>
      <c r="Q351" s="131">
        <f>IFERROR(VLOOKUP($L351,'2-2 引出数据_合同数据仓库'!$B$5:$BP$200,28,FALSE),0)</f>
        <v>0</v>
      </c>
      <c r="R351" s="131">
        <f>IFERROR(VLOOKUP($L351,'2-2 引出数据_合同数据仓库'!$B$5:$BP$200,29,FALSE),0)</f>
        <v>0</v>
      </c>
      <c r="S351" s="131">
        <f>IFERROR(VLOOKUP($L351,'2-2 引出数据_合同数据仓库'!$B$5:$BP$200,4,FALSE),0)</f>
        <v>0</v>
      </c>
      <c r="T351" s="131"/>
      <c r="U351" s="131">
        <f>IFERROR(VLOOKUP($L351,'2-2 引出数据_合同数据仓库'!$B$5:$BP$200,15,FALSE),0)</f>
        <v>0</v>
      </c>
      <c r="V351" s="131">
        <f t="shared" si="4143"/>
        <v>0</v>
      </c>
      <c r="W351" s="131"/>
      <c r="X351" s="163">
        <v>45658</v>
      </c>
      <c r="Y351" s="163">
        <f t="shared" si="4144"/>
        <v>45688</v>
      </c>
      <c r="Z351" s="167">
        <f t="shared" si="4145"/>
        <v>0</v>
      </c>
      <c r="AA351" s="163">
        <f t="shared" si="4146"/>
        <v>45689</v>
      </c>
      <c r="AB351" s="163">
        <f t="shared" si="4147"/>
        <v>45716</v>
      </c>
      <c r="AC351" s="167">
        <f t="shared" si="4148"/>
        <v>0</v>
      </c>
      <c r="AD351" s="163">
        <f t="shared" si="4149"/>
        <v>45717</v>
      </c>
      <c r="AE351" s="163">
        <f t="shared" si="4150"/>
        <v>45747</v>
      </c>
      <c r="AF351" s="167">
        <f t="shared" si="4151"/>
        <v>0</v>
      </c>
      <c r="AG351" s="163">
        <f t="shared" si="4152"/>
        <v>45748</v>
      </c>
      <c r="AH351" s="163">
        <f t="shared" si="4153"/>
        <v>45777</v>
      </c>
      <c r="AI351" s="167">
        <f t="shared" si="4154"/>
        <v>0</v>
      </c>
      <c r="AJ351" s="163">
        <f t="shared" si="4155"/>
        <v>45778</v>
      </c>
      <c r="AK351" s="163">
        <f t="shared" si="4156"/>
        <v>45808</v>
      </c>
      <c r="AL351" s="167">
        <f t="shared" si="4157"/>
        <v>0</v>
      </c>
      <c r="AM351" s="163">
        <f t="shared" si="4158"/>
        <v>45809</v>
      </c>
      <c r="AN351" s="163">
        <f t="shared" si="4159"/>
        <v>45838</v>
      </c>
      <c r="AO351" s="167">
        <f t="shared" si="4160"/>
        <v>0</v>
      </c>
      <c r="AP351" s="163">
        <f t="shared" si="4161"/>
        <v>45839</v>
      </c>
      <c r="AQ351" s="163">
        <f t="shared" si="4162"/>
        <v>45869</v>
      </c>
      <c r="AR351" s="167">
        <f t="shared" si="4163"/>
        <v>0</v>
      </c>
      <c r="AS351" s="163">
        <f t="shared" si="4164"/>
        <v>45870</v>
      </c>
      <c r="AT351" s="163">
        <f t="shared" si="4165"/>
        <v>45900</v>
      </c>
      <c r="AU351" s="167">
        <f t="shared" si="4166"/>
        <v>0</v>
      </c>
      <c r="AV351" s="163">
        <f t="shared" si="4167"/>
        <v>45901</v>
      </c>
      <c r="AW351" s="163">
        <f t="shared" si="4168"/>
        <v>45930</v>
      </c>
      <c r="AX351" s="167">
        <f t="shared" si="4169"/>
        <v>0</v>
      </c>
      <c r="AY351" s="163">
        <f t="shared" si="4170"/>
        <v>45931</v>
      </c>
      <c r="AZ351" s="163">
        <f t="shared" si="4171"/>
        <v>45961</v>
      </c>
      <c r="BA351" s="167">
        <f t="shared" si="4172"/>
        <v>0</v>
      </c>
      <c r="BB351" s="163">
        <f t="shared" si="4173"/>
        <v>45962</v>
      </c>
      <c r="BC351" s="163">
        <f t="shared" si="4174"/>
        <v>45991</v>
      </c>
      <c r="BD351" s="167">
        <f t="shared" si="4175"/>
        <v>0</v>
      </c>
      <c r="BE351" s="163">
        <f t="shared" si="4176"/>
        <v>45992</v>
      </c>
      <c r="BF351" s="163">
        <f t="shared" si="4177"/>
        <v>46022</v>
      </c>
      <c r="BG351" s="167">
        <f t="shared" si="4178"/>
        <v>0</v>
      </c>
      <c r="BH351" s="163">
        <v>46023</v>
      </c>
      <c r="BI351" s="163">
        <f t="shared" si="4179"/>
        <v>46053</v>
      </c>
      <c r="BJ351" s="167">
        <f t="shared" si="4180"/>
        <v>0</v>
      </c>
      <c r="BK351" s="163">
        <f t="shared" si="4181"/>
        <v>46054</v>
      </c>
      <c r="BL351" s="163">
        <f t="shared" si="4182"/>
        <v>46081</v>
      </c>
      <c r="BM351" s="167">
        <f t="shared" si="4183"/>
        <v>0</v>
      </c>
      <c r="BN351" s="163">
        <f t="shared" si="4184"/>
        <v>46082</v>
      </c>
      <c r="BO351" s="163">
        <f t="shared" si="4185"/>
        <v>46112</v>
      </c>
      <c r="BP351" s="167">
        <f t="shared" si="4186"/>
        <v>0</v>
      </c>
      <c r="BQ351" s="163">
        <f t="shared" si="4187"/>
        <v>46113</v>
      </c>
      <c r="BR351" s="163">
        <f t="shared" si="4188"/>
        <v>46142</v>
      </c>
      <c r="BS351" s="167">
        <f t="shared" si="4189"/>
        <v>0</v>
      </c>
      <c r="BT351" s="163">
        <f t="shared" si="4190"/>
        <v>46143</v>
      </c>
      <c r="BU351" s="163">
        <f t="shared" si="4191"/>
        <v>46173</v>
      </c>
      <c r="BV351" s="167">
        <f t="shared" si="4192"/>
        <v>0</v>
      </c>
      <c r="BW351" s="163">
        <f t="shared" si="4193"/>
        <v>46174</v>
      </c>
      <c r="BX351" s="163">
        <f t="shared" si="4194"/>
        <v>46203</v>
      </c>
      <c r="BY351" s="167">
        <f t="shared" si="4195"/>
        <v>0</v>
      </c>
      <c r="BZ351" s="163">
        <f t="shared" si="4196"/>
        <v>46204</v>
      </c>
      <c r="CA351" s="163">
        <f t="shared" si="4197"/>
        <v>46234</v>
      </c>
      <c r="CB351" s="167">
        <f t="shared" si="4198"/>
        <v>0</v>
      </c>
      <c r="CC351" s="163">
        <f t="shared" si="4199"/>
        <v>46235</v>
      </c>
      <c r="CD351" s="163">
        <f t="shared" si="4200"/>
        <v>46265</v>
      </c>
      <c r="CE351" s="167">
        <f t="shared" si="4201"/>
        <v>0</v>
      </c>
      <c r="CF351" s="163">
        <f t="shared" si="4202"/>
        <v>46266</v>
      </c>
      <c r="CG351" s="163">
        <f t="shared" si="4203"/>
        <v>46295</v>
      </c>
      <c r="CH351" s="167">
        <f t="shared" si="4204"/>
        <v>0</v>
      </c>
      <c r="CI351" s="163">
        <f t="shared" si="4205"/>
        <v>46296</v>
      </c>
      <c r="CJ351" s="163">
        <f t="shared" si="4206"/>
        <v>46326</v>
      </c>
      <c r="CK351" s="167">
        <f t="shared" si="4207"/>
        <v>0</v>
      </c>
      <c r="CL351" s="163">
        <f t="shared" si="4208"/>
        <v>46327</v>
      </c>
      <c r="CM351" s="163">
        <f t="shared" si="4209"/>
        <v>46356</v>
      </c>
      <c r="CN351" s="167">
        <f t="shared" si="4210"/>
        <v>0</v>
      </c>
      <c r="CO351" s="163">
        <f t="shared" si="4211"/>
        <v>46357</v>
      </c>
      <c r="CP351" s="163">
        <f t="shared" si="4212"/>
        <v>46387</v>
      </c>
      <c r="CQ351" s="167">
        <f t="shared" si="4213"/>
        <v>0</v>
      </c>
    </row>
    <row r="352" s="89" customFormat="1" ht="24" hidden="1" customHeight="1" outlineLevel="4" spans="1:95">
      <c r="A352" s="128"/>
      <c r="B352" s="129"/>
      <c r="C352" s="130"/>
      <c r="D352" s="128"/>
      <c r="E352" s="129"/>
      <c r="F352" s="129"/>
      <c r="G352" s="129"/>
      <c r="H352" s="131"/>
      <c r="I352" s="131"/>
      <c r="J352" s="131">
        <f t="shared" si="4142"/>
        <v>0</v>
      </c>
      <c r="K352" s="131">
        <f>K348+1</f>
        <v>2</v>
      </c>
      <c r="L352" s="156"/>
      <c r="M352" s="157">
        <f>IFERROR(VLOOKUP($L352,'2-2 引出数据_合同数据仓库'!$B$5:$BP$200,3,FALSE),0)</f>
        <v>0</v>
      </c>
      <c r="N352" s="131"/>
      <c r="O352" s="157">
        <f>IFERROR(VLOOKUP((LEFT(VLOOKUP($L352,'2-2 引出数据_合同数据仓库'!$B$5:$BP$200,64,FALSE),15)&amp;(RIGHT(VLOOKUP($L352,'2-2 引出数据_合同数据仓库'!$B$5:$BP$200,64,FALSE),4)+1)),'2-2 引出数据_合同数据仓库'!$B$5:$BP$200,3,FALSE),0)</f>
        <v>0</v>
      </c>
      <c r="P352" s="131"/>
      <c r="Q352" s="131">
        <f>IFERROR(VLOOKUP($L352,'2-2 引出数据_合同数据仓库'!$B$5:$BP$200,28,FALSE),0)</f>
        <v>0</v>
      </c>
      <c r="R352" s="131">
        <f>IFERROR(VLOOKUP($L352,'2-2 引出数据_合同数据仓库'!$B$5:$BP$200,29,FALSE),0)</f>
        <v>0</v>
      </c>
      <c r="S352" s="131">
        <f>IFERROR(VLOOKUP($L352,'2-2 引出数据_合同数据仓库'!$B$5:$BP$200,4,FALSE),0)</f>
        <v>0</v>
      </c>
      <c r="T352" s="131"/>
      <c r="U352" s="131">
        <f>IFERROR(VLOOKUP($L352,'2-2 引出数据_合同数据仓库'!$B$5:$BP$200,15,FALSE),0)</f>
        <v>0</v>
      </c>
      <c r="V352" s="131">
        <f t="shared" si="4143"/>
        <v>0</v>
      </c>
      <c r="W352" s="131"/>
      <c r="X352" s="163">
        <v>45658</v>
      </c>
      <c r="Y352" s="163">
        <f t="shared" si="4144"/>
        <v>45688</v>
      </c>
      <c r="Z352" s="167">
        <f t="shared" si="4145"/>
        <v>0</v>
      </c>
      <c r="AA352" s="163">
        <f t="shared" si="4146"/>
        <v>45689</v>
      </c>
      <c r="AB352" s="163">
        <f t="shared" si="4147"/>
        <v>45716</v>
      </c>
      <c r="AC352" s="167">
        <f t="shared" si="4148"/>
        <v>0</v>
      </c>
      <c r="AD352" s="163">
        <f t="shared" si="4149"/>
        <v>45717</v>
      </c>
      <c r="AE352" s="163">
        <f t="shared" si="4150"/>
        <v>45747</v>
      </c>
      <c r="AF352" s="167">
        <f t="shared" si="4151"/>
        <v>0</v>
      </c>
      <c r="AG352" s="163">
        <f t="shared" si="4152"/>
        <v>45748</v>
      </c>
      <c r="AH352" s="163">
        <f t="shared" si="4153"/>
        <v>45777</v>
      </c>
      <c r="AI352" s="167">
        <f t="shared" si="4154"/>
        <v>0</v>
      </c>
      <c r="AJ352" s="163">
        <f t="shared" si="4155"/>
        <v>45778</v>
      </c>
      <c r="AK352" s="163">
        <f t="shared" si="4156"/>
        <v>45808</v>
      </c>
      <c r="AL352" s="167">
        <f t="shared" si="4157"/>
        <v>0</v>
      </c>
      <c r="AM352" s="163">
        <f t="shared" si="4158"/>
        <v>45809</v>
      </c>
      <c r="AN352" s="163">
        <f t="shared" si="4159"/>
        <v>45838</v>
      </c>
      <c r="AO352" s="167">
        <f t="shared" si="4160"/>
        <v>0</v>
      </c>
      <c r="AP352" s="163">
        <f t="shared" si="4161"/>
        <v>45839</v>
      </c>
      <c r="AQ352" s="163">
        <f t="shared" si="4162"/>
        <v>45869</v>
      </c>
      <c r="AR352" s="167">
        <f t="shared" si="4163"/>
        <v>0</v>
      </c>
      <c r="AS352" s="163">
        <f t="shared" si="4164"/>
        <v>45870</v>
      </c>
      <c r="AT352" s="163">
        <f t="shared" si="4165"/>
        <v>45900</v>
      </c>
      <c r="AU352" s="167">
        <f t="shared" si="4166"/>
        <v>0</v>
      </c>
      <c r="AV352" s="163">
        <f t="shared" si="4167"/>
        <v>45901</v>
      </c>
      <c r="AW352" s="163">
        <f t="shared" si="4168"/>
        <v>45930</v>
      </c>
      <c r="AX352" s="167">
        <f t="shared" si="4169"/>
        <v>0</v>
      </c>
      <c r="AY352" s="163">
        <f t="shared" si="4170"/>
        <v>45931</v>
      </c>
      <c r="AZ352" s="163">
        <f t="shared" si="4171"/>
        <v>45961</v>
      </c>
      <c r="BA352" s="167">
        <f t="shared" si="4172"/>
        <v>0</v>
      </c>
      <c r="BB352" s="163">
        <f t="shared" si="4173"/>
        <v>45962</v>
      </c>
      <c r="BC352" s="163">
        <f t="shared" si="4174"/>
        <v>45991</v>
      </c>
      <c r="BD352" s="167">
        <f t="shared" si="4175"/>
        <v>0</v>
      </c>
      <c r="BE352" s="163">
        <f t="shared" si="4176"/>
        <v>45992</v>
      </c>
      <c r="BF352" s="163">
        <f t="shared" si="4177"/>
        <v>46022</v>
      </c>
      <c r="BG352" s="167">
        <f t="shared" si="4178"/>
        <v>0</v>
      </c>
      <c r="BH352" s="163">
        <v>46023</v>
      </c>
      <c r="BI352" s="163">
        <f t="shared" si="4179"/>
        <v>46053</v>
      </c>
      <c r="BJ352" s="167">
        <f t="shared" si="4180"/>
        <v>0</v>
      </c>
      <c r="BK352" s="163">
        <f t="shared" si="4181"/>
        <v>46054</v>
      </c>
      <c r="BL352" s="163">
        <f t="shared" si="4182"/>
        <v>46081</v>
      </c>
      <c r="BM352" s="167">
        <f t="shared" si="4183"/>
        <v>0</v>
      </c>
      <c r="BN352" s="163">
        <f t="shared" si="4184"/>
        <v>46082</v>
      </c>
      <c r="BO352" s="163">
        <f t="shared" si="4185"/>
        <v>46112</v>
      </c>
      <c r="BP352" s="167">
        <f t="shared" si="4186"/>
        <v>0</v>
      </c>
      <c r="BQ352" s="163">
        <f t="shared" si="4187"/>
        <v>46113</v>
      </c>
      <c r="BR352" s="163">
        <f t="shared" si="4188"/>
        <v>46142</v>
      </c>
      <c r="BS352" s="167">
        <f t="shared" si="4189"/>
        <v>0</v>
      </c>
      <c r="BT352" s="163">
        <f t="shared" si="4190"/>
        <v>46143</v>
      </c>
      <c r="BU352" s="163">
        <f t="shared" si="4191"/>
        <v>46173</v>
      </c>
      <c r="BV352" s="167">
        <f t="shared" si="4192"/>
        <v>0</v>
      </c>
      <c r="BW352" s="163">
        <f t="shared" si="4193"/>
        <v>46174</v>
      </c>
      <c r="BX352" s="163">
        <f t="shared" si="4194"/>
        <v>46203</v>
      </c>
      <c r="BY352" s="167">
        <f t="shared" si="4195"/>
        <v>0</v>
      </c>
      <c r="BZ352" s="163">
        <f t="shared" si="4196"/>
        <v>46204</v>
      </c>
      <c r="CA352" s="163">
        <f t="shared" si="4197"/>
        <v>46234</v>
      </c>
      <c r="CB352" s="167">
        <f t="shared" si="4198"/>
        <v>0</v>
      </c>
      <c r="CC352" s="163">
        <f t="shared" si="4199"/>
        <v>46235</v>
      </c>
      <c r="CD352" s="163">
        <f t="shared" si="4200"/>
        <v>46265</v>
      </c>
      <c r="CE352" s="167">
        <f t="shared" si="4201"/>
        <v>0</v>
      </c>
      <c r="CF352" s="163">
        <f t="shared" si="4202"/>
        <v>46266</v>
      </c>
      <c r="CG352" s="163">
        <f t="shared" si="4203"/>
        <v>46295</v>
      </c>
      <c r="CH352" s="167">
        <f t="shared" si="4204"/>
        <v>0</v>
      </c>
      <c r="CI352" s="163">
        <f t="shared" si="4205"/>
        <v>46296</v>
      </c>
      <c r="CJ352" s="163">
        <f t="shared" si="4206"/>
        <v>46326</v>
      </c>
      <c r="CK352" s="167">
        <f t="shared" si="4207"/>
        <v>0</v>
      </c>
      <c r="CL352" s="163">
        <f t="shared" si="4208"/>
        <v>46327</v>
      </c>
      <c r="CM352" s="163">
        <f t="shared" si="4209"/>
        <v>46356</v>
      </c>
      <c r="CN352" s="167">
        <f t="shared" si="4210"/>
        <v>0</v>
      </c>
      <c r="CO352" s="163">
        <f t="shared" si="4211"/>
        <v>46357</v>
      </c>
      <c r="CP352" s="163">
        <f t="shared" si="4212"/>
        <v>46387</v>
      </c>
      <c r="CQ352" s="167">
        <f t="shared" si="4213"/>
        <v>0</v>
      </c>
    </row>
    <row r="353" s="89" customFormat="1" ht="24" hidden="1" customHeight="1" outlineLevel="4" spans="1:95">
      <c r="A353" s="128"/>
      <c r="B353" s="129"/>
      <c r="C353" s="130"/>
      <c r="D353" s="128"/>
      <c r="E353" s="129"/>
      <c r="F353" s="129"/>
      <c r="G353" s="129"/>
      <c r="H353" s="131"/>
      <c r="I353" s="131"/>
      <c r="J353" s="131">
        <f t="shared" si="3853"/>
        <v>0</v>
      </c>
      <c r="K353" s="131">
        <f>K349+1</f>
        <v>3</v>
      </c>
      <c r="L353" s="156"/>
      <c r="M353" s="157">
        <f>IFERROR(VLOOKUP($L353,'2-2 引出数据_合同数据仓库'!$B$5:$BP$200,3,FALSE),0)</f>
        <v>0</v>
      </c>
      <c r="N353" s="131"/>
      <c r="O353" s="157">
        <f>IFERROR(VLOOKUP((LEFT(VLOOKUP($L353,'2-2 引出数据_合同数据仓库'!$B$5:$BP$200,64,FALSE),15)&amp;(RIGHT(VLOOKUP($L353,'2-2 引出数据_合同数据仓库'!$B$5:$BP$200,64,FALSE),4)+1)),'2-2 引出数据_合同数据仓库'!$B$5:$BP$200,3,FALSE),0)</f>
        <v>0</v>
      </c>
      <c r="P353" s="131"/>
      <c r="Q353" s="131">
        <f>IFERROR(VLOOKUP($L353,'2-2 引出数据_合同数据仓库'!$B$5:$BP$200,28,FALSE),0)</f>
        <v>0</v>
      </c>
      <c r="R353" s="131">
        <f>IFERROR(VLOOKUP($L353,'2-2 引出数据_合同数据仓库'!$B$5:$BP$200,29,FALSE),0)</f>
        <v>0</v>
      </c>
      <c r="S353" s="131">
        <f>IFERROR(VLOOKUP($L353,'2-2 引出数据_合同数据仓库'!$B$5:$BP$200,4,FALSE),0)</f>
        <v>0</v>
      </c>
      <c r="T353" s="131"/>
      <c r="U353" s="131">
        <f>IFERROR(VLOOKUP($L353,'2-2 引出数据_合同数据仓库'!$B$5:$BP$200,15,FALSE),0)</f>
        <v>0</v>
      </c>
      <c r="V353" s="131">
        <f t="shared" si="4071"/>
        <v>0</v>
      </c>
      <c r="W353" s="131"/>
      <c r="X353" s="163">
        <v>45658</v>
      </c>
      <c r="Y353" s="163">
        <f t="shared" si="4072"/>
        <v>45688</v>
      </c>
      <c r="Z353" s="167">
        <f t="shared" si="4073"/>
        <v>0</v>
      </c>
      <c r="AA353" s="163">
        <f t="shared" si="4074"/>
        <v>45689</v>
      </c>
      <c r="AB353" s="163">
        <f t="shared" si="4075"/>
        <v>45716</v>
      </c>
      <c r="AC353" s="167">
        <f t="shared" si="4076"/>
        <v>0</v>
      </c>
      <c r="AD353" s="163">
        <f t="shared" si="4077"/>
        <v>45717</v>
      </c>
      <c r="AE353" s="163">
        <f t="shared" si="4078"/>
        <v>45747</v>
      </c>
      <c r="AF353" s="167">
        <f t="shared" si="4079"/>
        <v>0</v>
      </c>
      <c r="AG353" s="163">
        <f t="shared" si="4080"/>
        <v>45748</v>
      </c>
      <c r="AH353" s="163">
        <f t="shared" si="4081"/>
        <v>45777</v>
      </c>
      <c r="AI353" s="167">
        <f t="shared" si="4082"/>
        <v>0</v>
      </c>
      <c r="AJ353" s="163">
        <f t="shared" si="4083"/>
        <v>45778</v>
      </c>
      <c r="AK353" s="163">
        <f t="shared" si="4084"/>
        <v>45808</v>
      </c>
      <c r="AL353" s="167">
        <f t="shared" si="4085"/>
        <v>0</v>
      </c>
      <c r="AM353" s="163">
        <f t="shared" si="4086"/>
        <v>45809</v>
      </c>
      <c r="AN353" s="163">
        <f t="shared" si="4087"/>
        <v>45838</v>
      </c>
      <c r="AO353" s="167">
        <f t="shared" si="4088"/>
        <v>0</v>
      </c>
      <c r="AP353" s="163">
        <f t="shared" si="4089"/>
        <v>45839</v>
      </c>
      <c r="AQ353" s="163">
        <f t="shared" si="4090"/>
        <v>45869</v>
      </c>
      <c r="AR353" s="167">
        <f t="shared" si="4091"/>
        <v>0</v>
      </c>
      <c r="AS353" s="163">
        <f t="shared" si="4092"/>
        <v>45870</v>
      </c>
      <c r="AT353" s="163">
        <f t="shared" si="4093"/>
        <v>45900</v>
      </c>
      <c r="AU353" s="167">
        <f t="shared" si="4094"/>
        <v>0</v>
      </c>
      <c r="AV353" s="163">
        <f t="shared" si="4095"/>
        <v>45901</v>
      </c>
      <c r="AW353" s="163">
        <f t="shared" si="4096"/>
        <v>45930</v>
      </c>
      <c r="AX353" s="167">
        <f t="shared" si="4097"/>
        <v>0</v>
      </c>
      <c r="AY353" s="163">
        <f t="shared" si="4098"/>
        <v>45931</v>
      </c>
      <c r="AZ353" s="163">
        <f t="shared" si="4099"/>
        <v>45961</v>
      </c>
      <c r="BA353" s="167">
        <f t="shared" si="4100"/>
        <v>0</v>
      </c>
      <c r="BB353" s="163">
        <f t="shared" si="4101"/>
        <v>45962</v>
      </c>
      <c r="BC353" s="163">
        <f t="shared" si="4102"/>
        <v>45991</v>
      </c>
      <c r="BD353" s="167">
        <f t="shared" si="4103"/>
        <v>0</v>
      </c>
      <c r="BE353" s="163">
        <f t="shared" si="4104"/>
        <v>45992</v>
      </c>
      <c r="BF353" s="163">
        <f t="shared" si="4105"/>
        <v>46022</v>
      </c>
      <c r="BG353" s="167">
        <f t="shared" si="4106"/>
        <v>0</v>
      </c>
      <c r="BH353" s="163">
        <v>46023</v>
      </c>
      <c r="BI353" s="163">
        <f t="shared" si="4107"/>
        <v>46053</v>
      </c>
      <c r="BJ353" s="167">
        <f t="shared" si="4108"/>
        <v>0</v>
      </c>
      <c r="BK353" s="163">
        <f t="shared" si="4109"/>
        <v>46054</v>
      </c>
      <c r="BL353" s="163">
        <f t="shared" si="4110"/>
        <v>46081</v>
      </c>
      <c r="BM353" s="167">
        <f t="shared" si="4111"/>
        <v>0</v>
      </c>
      <c r="BN353" s="163">
        <f t="shared" si="4112"/>
        <v>46082</v>
      </c>
      <c r="BO353" s="163">
        <f t="shared" si="4113"/>
        <v>46112</v>
      </c>
      <c r="BP353" s="167">
        <f t="shared" si="4114"/>
        <v>0</v>
      </c>
      <c r="BQ353" s="163">
        <f t="shared" si="4115"/>
        <v>46113</v>
      </c>
      <c r="BR353" s="163">
        <f t="shared" si="4116"/>
        <v>46142</v>
      </c>
      <c r="BS353" s="167">
        <f t="shared" si="4117"/>
        <v>0</v>
      </c>
      <c r="BT353" s="163">
        <f t="shared" si="4118"/>
        <v>46143</v>
      </c>
      <c r="BU353" s="163">
        <f t="shared" si="4119"/>
        <v>46173</v>
      </c>
      <c r="BV353" s="167">
        <f t="shared" si="4120"/>
        <v>0</v>
      </c>
      <c r="BW353" s="163">
        <f t="shared" si="4121"/>
        <v>46174</v>
      </c>
      <c r="BX353" s="163">
        <f t="shared" si="4122"/>
        <v>46203</v>
      </c>
      <c r="BY353" s="167">
        <f t="shared" si="4123"/>
        <v>0</v>
      </c>
      <c r="BZ353" s="163">
        <f t="shared" si="4124"/>
        <v>46204</v>
      </c>
      <c r="CA353" s="163">
        <f t="shared" si="4125"/>
        <v>46234</v>
      </c>
      <c r="CB353" s="167">
        <f t="shared" si="4126"/>
        <v>0</v>
      </c>
      <c r="CC353" s="163">
        <f t="shared" si="4127"/>
        <v>46235</v>
      </c>
      <c r="CD353" s="163">
        <f t="shared" si="4128"/>
        <v>46265</v>
      </c>
      <c r="CE353" s="167">
        <f t="shared" si="4129"/>
        <v>0</v>
      </c>
      <c r="CF353" s="163">
        <f t="shared" si="4130"/>
        <v>46266</v>
      </c>
      <c r="CG353" s="163">
        <f t="shared" si="4131"/>
        <v>46295</v>
      </c>
      <c r="CH353" s="167">
        <f t="shared" si="4132"/>
        <v>0</v>
      </c>
      <c r="CI353" s="163">
        <f t="shared" si="4133"/>
        <v>46296</v>
      </c>
      <c r="CJ353" s="163">
        <f t="shared" si="4134"/>
        <v>46326</v>
      </c>
      <c r="CK353" s="167">
        <f t="shared" si="4135"/>
        <v>0</v>
      </c>
      <c r="CL353" s="163">
        <f t="shared" si="4136"/>
        <v>46327</v>
      </c>
      <c r="CM353" s="163">
        <f t="shared" si="4137"/>
        <v>46356</v>
      </c>
      <c r="CN353" s="167">
        <f t="shared" si="4138"/>
        <v>0</v>
      </c>
      <c r="CO353" s="163">
        <f t="shared" si="4139"/>
        <v>46357</v>
      </c>
      <c r="CP353" s="163">
        <f t="shared" si="4140"/>
        <v>46387</v>
      </c>
      <c r="CQ353" s="167">
        <f t="shared" si="4141"/>
        <v>0</v>
      </c>
    </row>
    <row r="354" s="89" customFormat="1" ht="24" hidden="1" customHeight="1" outlineLevel="4" spans="1:95">
      <c r="A354" s="132" t="s">
        <v>2813</v>
      </c>
      <c r="B354" s="133"/>
      <c r="C354" s="133"/>
      <c r="D354" s="133"/>
      <c r="E354" s="133"/>
      <c r="F354" s="133"/>
      <c r="G354" s="134"/>
      <c r="H354" s="135"/>
      <c r="I354" s="135"/>
      <c r="J354" s="135"/>
      <c r="K354" s="135"/>
      <c r="L354" s="158"/>
      <c r="M354" s="158"/>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c r="CL354" s="135"/>
      <c r="CM354" s="135"/>
      <c r="CN354" s="135"/>
      <c r="CO354" s="135"/>
      <c r="CP354" s="135"/>
      <c r="CQ354" s="135"/>
    </row>
    <row r="355" ht="24" hidden="1" customHeight="1" outlineLevel="3" collapsed="1" spans="1:95">
      <c r="A355" s="124"/>
      <c r="B355" s="125" t="s">
        <v>792</v>
      </c>
      <c r="C355" s="126" t="s">
        <v>1305</v>
      </c>
      <c r="D355" s="124" t="s">
        <v>1306</v>
      </c>
      <c r="E355" s="125"/>
      <c r="F355" s="125"/>
      <c r="G355" s="125" t="s">
        <v>936</v>
      </c>
      <c r="H355" s="127">
        <f>X355+AA355+AD355+AG355+AJ355+AM355+AP355+AS355+AV355+AY355+BB355+BE355</f>
        <v>0</v>
      </c>
      <c r="I355" s="127">
        <f>Y355+AB355+AE355+AH355+AK355+AN355+AQ355+AT355+AW355+AZ355+BC355+BF355</f>
        <v>0</v>
      </c>
      <c r="J355" s="127">
        <f t="shared" si="3853"/>
        <v>0</v>
      </c>
      <c r="K355" s="127"/>
      <c r="L355" s="155"/>
      <c r="M355" s="155"/>
      <c r="N355" s="127"/>
      <c r="O355" s="127"/>
      <c r="P355" s="127"/>
      <c r="Q355" s="127"/>
      <c r="R355" s="127"/>
      <c r="S355" s="127"/>
      <c r="T355" s="127"/>
      <c r="U355" s="127"/>
      <c r="V355" s="127"/>
      <c r="W355" s="127"/>
      <c r="X355" s="127">
        <f>VLOOKUP($C355,'1 预算编制表单'!$C:$BJ,27,FALSE)</f>
        <v>0</v>
      </c>
      <c r="Y355" s="127">
        <f>X355-Z355</f>
        <v>0</v>
      </c>
      <c r="Z355" s="127">
        <f>SUM(Z356:Z360)</f>
        <v>0</v>
      </c>
      <c r="AA355" s="127">
        <f>VLOOKUP($C355,'1 预算编制表单'!$C:$BJ,30,FALSE)</f>
        <v>0</v>
      </c>
      <c r="AB355" s="127">
        <f>AA355-AC355</f>
        <v>0</v>
      </c>
      <c r="AC355" s="127">
        <f>SUM(AC356:AC360)</f>
        <v>0</v>
      </c>
      <c r="AD355" s="127">
        <f>VLOOKUP($C355,'1 预算编制表单'!$C:$BJ,33,FALSE)</f>
        <v>0</v>
      </c>
      <c r="AE355" s="127">
        <f>AD355-AF355</f>
        <v>0</v>
      </c>
      <c r="AF355" s="127">
        <f>SUM(AF356:AF360)</f>
        <v>0</v>
      </c>
      <c r="AG355" s="127">
        <f>VLOOKUP($C355,'1 预算编制表单'!$C:$BJ,36,FALSE)</f>
        <v>0</v>
      </c>
      <c r="AH355" s="127">
        <f>AG355-AI355</f>
        <v>0</v>
      </c>
      <c r="AI355" s="127">
        <f>SUM(AI356:AI360)</f>
        <v>0</v>
      </c>
      <c r="AJ355" s="127">
        <f>VLOOKUP($C355,'1 预算编制表单'!$C:$BJ,39,FALSE)</f>
        <v>0</v>
      </c>
      <c r="AK355" s="127">
        <f>AJ355-AL355</f>
        <v>0</v>
      </c>
      <c r="AL355" s="127">
        <f>SUM(AL356:AL360)</f>
        <v>0</v>
      </c>
      <c r="AM355" s="127">
        <f>VLOOKUP($C355,'1 预算编制表单'!$C:$BJ,42,FALSE)</f>
        <v>0</v>
      </c>
      <c r="AN355" s="127">
        <f>AM355-AO355</f>
        <v>0</v>
      </c>
      <c r="AO355" s="127">
        <f>SUM(AO356:AO360)</f>
        <v>0</v>
      </c>
      <c r="AP355" s="127">
        <f>VLOOKUP($C355,'1 预算编制表单'!$C:$BJ,45,FALSE)</f>
        <v>0</v>
      </c>
      <c r="AQ355" s="127">
        <f>AP355-AR355</f>
        <v>0</v>
      </c>
      <c r="AR355" s="127">
        <f>SUM(AR356:AR360)</f>
        <v>0</v>
      </c>
      <c r="AS355" s="127">
        <f>VLOOKUP($C355,'1 预算编制表单'!$C:$BJ,48,FALSE)</f>
        <v>0</v>
      </c>
      <c r="AT355" s="127">
        <f>AS355-AU355</f>
        <v>0</v>
      </c>
      <c r="AU355" s="127">
        <f>SUM(AU356:AU360)</f>
        <v>0</v>
      </c>
      <c r="AV355" s="127">
        <f>VLOOKUP($C355,'1 预算编制表单'!$C:$BJ,51,FALSE)</f>
        <v>0</v>
      </c>
      <c r="AW355" s="127">
        <f>AV355-AX355</f>
        <v>0</v>
      </c>
      <c r="AX355" s="127">
        <f>SUM(AX356:AX360)</f>
        <v>0</v>
      </c>
      <c r="AY355" s="127">
        <f>VLOOKUP($C355,'1 预算编制表单'!$C:$BJ,54,FALSE)</f>
        <v>0</v>
      </c>
      <c r="AZ355" s="127">
        <f>AY355-BA355</f>
        <v>0</v>
      </c>
      <c r="BA355" s="127">
        <f>SUM(BA356:BA360)</f>
        <v>0</v>
      </c>
      <c r="BB355" s="127">
        <f>VLOOKUP($C355,'1 预算编制表单'!$C:$BJ,57,FALSE)</f>
        <v>0</v>
      </c>
      <c r="BC355" s="127">
        <f>BB355-BD355</f>
        <v>0</v>
      </c>
      <c r="BD355" s="127">
        <f>SUM(BD356:BD360)</f>
        <v>0</v>
      </c>
      <c r="BE355" s="127">
        <f>VLOOKUP($C355,'1 预算编制表单'!$C:$BJ,60,FALSE)</f>
        <v>0</v>
      </c>
      <c r="BF355" s="127">
        <f>BE355-BG355</f>
        <v>0</v>
      </c>
      <c r="BG355" s="127">
        <f>SUM(BG356:BG360)</f>
        <v>0</v>
      </c>
      <c r="BH355" s="127">
        <f>VLOOKUP($C355,'1 预算编制表单'!$C:$BJ,27,FALSE)</f>
        <v>0</v>
      </c>
      <c r="BI355" s="127">
        <f>BH355-BJ355</f>
        <v>0</v>
      </c>
      <c r="BJ355" s="127">
        <f>SUM(BJ356:BJ360)</f>
        <v>0</v>
      </c>
      <c r="BK355" s="127">
        <f>VLOOKUP($C355,'1 预算编制表单'!$C:$BJ,30,FALSE)</f>
        <v>0</v>
      </c>
      <c r="BL355" s="127">
        <f>BK355-BM355</f>
        <v>0</v>
      </c>
      <c r="BM355" s="127">
        <f>SUM(BM356:BM360)</f>
        <v>0</v>
      </c>
      <c r="BN355" s="127">
        <f>VLOOKUP($C355,'1 预算编制表单'!$C:$BJ,33,FALSE)</f>
        <v>0</v>
      </c>
      <c r="BO355" s="127">
        <f>BN355-BP355</f>
        <v>0</v>
      </c>
      <c r="BP355" s="127">
        <f>SUM(BP356:BP360)</f>
        <v>0</v>
      </c>
      <c r="BQ355" s="127">
        <f>VLOOKUP($C355,'1 预算编制表单'!$C:$BJ,36,FALSE)</f>
        <v>0</v>
      </c>
      <c r="BR355" s="127">
        <f>BQ355-BS355</f>
        <v>0</v>
      </c>
      <c r="BS355" s="127">
        <f>SUM(BS356:BS360)</f>
        <v>0</v>
      </c>
      <c r="BT355" s="127">
        <f>VLOOKUP($C355,'1 预算编制表单'!$C:$BJ,39,FALSE)</f>
        <v>0</v>
      </c>
      <c r="BU355" s="127">
        <f>BT355-BV355</f>
        <v>0</v>
      </c>
      <c r="BV355" s="127">
        <f>SUM(BV356:BV360)</f>
        <v>0</v>
      </c>
      <c r="BW355" s="127">
        <f>VLOOKUP($C355,'1 预算编制表单'!$C:$BJ,42,FALSE)</f>
        <v>0</v>
      </c>
      <c r="BX355" s="127">
        <f>BW355-BY355</f>
        <v>0</v>
      </c>
      <c r="BY355" s="127">
        <f>SUM(BY356:BY360)</f>
        <v>0</v>
      </c>
      <c r="BZ355" s="127">
        <f>VLOOKUP($C355,'1 预算编制表单'!$C:$BJ,45,FALSE)</f>
        <v>0</v>
      </c>
      <c r="CA355" s="127">
        <f>BZ355-CB355</f>
        <v>0</v>
      </c>
      <c r="CB355" s="127">
        <f>SUM(CB356:CB360)</f>
        <v>0</v>
      </c>
      <c r="CC355" s="127">
        <f>VLOOKUP($C355,'1 预算编制表单'!$C:$BJ,48,FALSE)</f>
        <v>0</v>
      </c>
      <c r="CD355" s="127">
        <f>CC355-CE355</f>
        <v>0</v>
      </c>
      <c r="CE355" s="127">
        <f>SUM(CE356:CE360)</f>
        <v>0</v>
      </c>
      <c r="CF355" s="127">
        <f>VLOOKUP($C355,'1 预算编制表单'!$C:$BJ,51,FALSE)</f>
        <v>0</v>
      </c>
      <c r="CG355" s="127">
        <f>CF355-CH355</f>
        <v>0</v>
      </c>
      <c r="CH355" s="127">
        <f>SUM(CH356:CH360)</f>
        <v>0</v>
      </c>
      <c r="CI355" s="127">
        <f>VLOOKUP($C355,'1 预算编制表单'!$C:$BJ,54,FALSE)</f>
        <v>0</v>
      </c>
      <c r="CJ355" s="127">
        <f>CI355-CK355</f>
        <v>0</v>
      </c>
      <c r="CK355" s="127">
        <f>SUM(CK356:CK360)</f>
        <v>0</v>
      </c>
      <c r="CL355" s="127">
        <f>VLOOKUP($C355,'1 预算编制表单'!$C:$BJ,57,FALSE)</f>
        <v>0</v>
      </c>
      <c r="CM355" s="127">
        <f>CL355-CN355</f>
        <v>0</v>
      </c>
      <c r="CN355" s="127">
        <f>SUM(CN356:CN360)</f>
        <v>0</v>
      </c>
      <c r="CO355" s="127">
        <f>VLOOKUP($C355,'1 预算编制表单'!$C:$BJ,60,FALSE)</f>
        <v>0</v>
      </c>
      <c r="CP355" s="127">
        <f>CO355-CQ355</f>
        <v>0</v>
      </c>
      <c r="CQ355" s="127">
        <f>SUM(CQ356:CQ360)</f>
        <v>0</v>
      </c>
    </row>
    <row r="356" s="89" customFormat="1" ht="24" hidden="1" customHeight="1" outlineLevel="4" spans="1:95">
      <c r="A356" s="128"/>
      <c r="B356" s="129"/>
      <c r="C356" s="130"/>
      <c r="D356" s="128"/>
      <c r="E356" s="129"/>
      <c r="F356" s="129"/>
      <c r="G356" s="129"/>
      <c r="H356" s="131"/>
      <c r="I356" s="131"/>
      <c r="J356" s="131">
        <f t="shared" si="3853"/>
        <v>0</v>
      </c>
      <c r="K356" s="131">
        <v>1</v>
      </c>
      <c r="L356" s="156"/>
      <c r="M356" s="157">
        <f>IFERROR(VLOOKUP($L356,'2-2 引出数据_合同数据仓库'!$B$5:$BP$200,3,FALSE),0)</f>
        <v>0</v>
      </c>
      <c r="N356" s="131"/>
      <c r="O356" s="157">
        <f>IFERROR(VLOOKUP((LEFT(VLOOKUP($L356,'2-2 引出数据_合同数据仓库'!$B$5:$BP$200,64,FALSE),15)&amp;(RIGHT(VLOOKUP($L356,'2-2 引出数据_合同数据仓库'!$B$5:$BP$200,64,FALSE),4)+1)),'2-2 引出数据_合同数据仓库'!$B$5:$BP$200,3,FALSE),0)</f>
        <v>0</v>
      </c>
      <c r="P356" s="131"/>
      <c r="Q356" s="131">
        <f>IFERROR(VLOOKUP($L356,'2-2 引出数据_合同数据仓库'!$B$5:$BP$200,28,FALSE),0)</f>
        <v>0</v>
      </c>
      <c r="R356" s="131">
        <f>IFERROR(VLOOKUP($L356,'2-2 引出数据_合同数据仓库'!$B$5:$BP$200,29,FALSE),0)</f>
        <v>0</v>
      </c>
      <c r="S356" s="131">
        <f>IFERROR(VLOOKUP($L356,'2-2 引出数据_合同数据仓库'!$B$5:$BP$200,4,FALSE),0)</f>
        <v>0</v>
      </c>
      <c r="T356" s="131"/>
      <c r="U356" s="131">
        <f>IFERROR(VLOOKUP($L356,'2-2 引出数据_合同数据仓库'!$B$5:$BP$200,15,FALSE),0)</f>
        <v>0</v>
      </c>
      <c r="V356" s="131">
        <f t="shared" ref="V356:V359" si="4214">U356/(S356-R356+1)*365</f>
        <v>0</v>
      </c>
      <c r="W356" s="131"/>
      <c r="X356" s="163">
        <v>45658</v>
      </c>
      <c r="Y356" s="163">
        <f t="shared" ref="Y356:Y359" si="4215">X356+30</f>
        <v>45688</v>
      </c>
      <c r="Z356" s="167">
        <f t="shared" ref="Z356:Z359" si="4216">IFERROR(IF(($R356-Y356)&gt;=0,0,IF(($S356-X356)&lt;0,0,IF(AND(($S356-Y356)&gt;0,(X356-$R356)&gt;0),$V356/365*(Y356-X356+1),IF(AND(($S356-Y356)&lt;=0,(X356-$R356)&gt;0),$V356/365*($S356-X356+1),$V356/365*(Y356-$R356+1))))),0)</f>
        <v>0</v>
      </c>
      <c r="AA356" s="163">
        <f t="shared" ref="AA356:AA359" si="4217">Y356+1</f>
        <v>45689</v>
      </c>
      <c r="AB356" s="163">
        <f t="shared" ref="AB356:AB359" si="4218">AA356+27</f>
        <v>45716</v>
      </c>
      <c r="AC356" s="167">
        <f t="shared" ref="AC356:AC359" si="4219">IFERROR(IF(($R356-AB356)&gt;=0,0,IF(($S356-AA356)&lt;0,0,IF(AND(($S356-AB356)&gt;0,(AA356-$R356)&gt;0),$V356/365*(AB356-AA356+1),IF(AND(($S356-AB356)&lt;=0,(AA356-$R356)&gt;0),$V356/365*($S356-AA356+1),$V356/365*(AB356-$R356+1))))),0)</f>
        <v>0</v>
      </c>
      <c r="AD356" s="163">
        <f t="shared" ref="AD356:AD359" si="4220">AB356+1</f>
        <v>45717</v>
      </c>
      <c r="AE356" s="163">
        <f t="shared" ref="AE356:AE359" si="4221">AD356+30</f>
        <v>45747</v>
      </c>
      <c r="AF356" s="167">
        <f t="shared" ref="AF356:AF359" si="4222">IFERROR(IF(($R356-AE356)&gt;=0,0,IF(($S356-AD356)&lt;0,0,IF(AND(($S356-AE356)&gt;0,(AD356-$R356)&gt;0),$V356/365*(AE356-AD356+1),IF(AND(($S356-AE356)&lt;=0,(AD356-$R356)&gt;0),$V356/365*($S356-AD356+1),$V356/365*(AE356-$R356+1))))),0)</f>
        <v>0</v>
      </c>
      <c r="AG356" s="163">
        <f t="shared" ref="AG356:AG359" si="4223">AE356+1</f>
        <v>45748</v>
      </c>
      <c r="AH356" s="163">
        <f t="shared" ref="AH356:AH359" si="4224">AG356+29</f>
        <v>45777</v>
      </c>
      <c r="AI356" s="167">
        <f t="shared" ref="AI356:AI359" si="4225">IFERROR(IF(($R356-AH356)&gt;=0,0,IF(($S356-AG356)&lt;0,0,IF(AND(($S356-AH356)&gt;0,(AG356-$R356)&gt;0),$V356/365*(AH356-AG356+1),IF(AND(($S356-AH356)&lt;=0,(AG356-$R356)&gt;0),$V356/365*($S356-AG356+1),$V356/365*(AH356-$R356+1))))),0)</f>
        <v>0</v>
      </c>
      <c r="AJ356" s="163">
        <f t="shared" ref="AJ356:AJ359" si="4226">AH356+1</f>
        <v>45778</v>
      </c>
      <c r="AK356" s="163">
        <f t="shared" ref="AK356:AK359" si="4227">AJ356+30</f>
        <v>45808</v>
      </c>
      <c r="AL356" s="167">
        <f t="shared" ref="AL356:AL359" si="4228">IFERROR(IF(($R356-AK356)&gt;=0,0,IF(($S356-AJ356)&lt;0,0,IF(AND(($S356-AK356)&gt;0,(AJ356-$R356)&gt;0),$V356/365*(AK356-AJ356+1),IF(AND(($S356-AK356)&lt;=0,(AJ356-$R356)&gt;0),$V356/365*($S356-AJ356+1),$V356/365*(AK356-$R356+1))))),0)</f>
        <v>0</v>
      </c>
      <c r="AM356" s="163">
        <f t="shared" ref="AM356:AM359" si="4229">AK356+1</f>
        <v>45809</v>
      </c>
      <c r="AN356" s="163">
        <f t="shared" ref="AN356:AN359" si="4230">AM356+29</f>
        <v>45838</v>
      </c>
      <c r="AO356" s="167">
        <f t="shared" ref="AO356:AO359" si="4231">IFERROR(IF(($R356-AN356)&gt;=0,0,IF(($S356-AM356)&lt;0,0,IF(AND(($S356-AN356)&gt;0,(AM356-$R356)&gt;0),$V356/365*(AN356-AM356+1),IF(AND(($S356-AN356)&lt;=0,(AM356-$R356)&gt;0),$V356/365*($S356-AM356+1),$V356/365*(AN356-$R356+1))))),0)</f>
        <v>0</v>
      </c>
      <c r="AP356" s="163">
        <f t="shared" ref="AP356:AP359" si="4232">AN356+1</f>
        <v>45839</v>
      </c>
      <c r="AQ356" s="163">
        <f t="shared" ref="AQ356:AQ359" si="4233">AP356+30</f>
        <v>45869</v>
      </c>
      <c r="AR356" s="167">
        <f t="shared" ref="AR356:AR359" si="4234">IFERROR(IF(($R356-AQ356)&gt;=0,0,IF(($S356-AP356)&lt;0,0,IF(AND(($S356-AQ356)&gt;0,(AP356-$R356)&gt;0),$V356/365*(AQ356-AP356+1),IF(AND(($S356-AQ356)&lt;=0,(AP356-$R356)&gt;0),$V356/365*($S356-AP356+1),$V356/365*(AQ356-$R356+1))))),0)</f>
        <v>0</v>
      </c>
      <c r="AS356" s="163">
        <f t="shared" ref="AS356:AS359" si="4235">AQ356+1</f>
        <v>45870</v>
      </c>
      <c r="AT356" s="163">
        <f t="shared" ref="AT356:AT359" si="4236">AS356+30</f>
        <v>45900</v>
      </c>
      <c r="AU356" s="167">
        <f t="shared" ref="AU356:AU359" si="4237">IFERROR(IF(($R356-AT356)&gt;=0,0,IF(($S356-AS356)&lt;0,0,IF(AND(($S356-AT356)&gt;0,(AS356-$R356)&gt;0),$V356/365*(AT356-AS356+1),IF(AND(($S356-AT356)&lt;=0,(AS356-$R356)&gt;0),$V356/365*($S356-AS356+1),$V356/365*(AT356-$R356+1))))),0)</f>
        <v>0</v>
      </c>
      <c r="AV356" s="163">
        <f t="shared" ref="AV356:AV359" si="4238">AT356+1</f>
        <v>45901</v>
      </c>
      <c r="AW356" s="163">
        <f t="shared" ref="AW356:AW359" si="4239">AV356+29</f>
        <v>45930</v>
      </c>
      <c r="AX356" s="167">
        <f t="shared" ref="AX356:AX359" si="4240">IFERROR(IF(($R356-AW356)&gt;=0,0,IF(($S356-AV356)&lt;0,0,IF(AND(($S356-AW356)&gt;0,(AV356-$R356)&gt;0),$V356/365*(AW356-AV356+1),IF(AND(($S356-AW356)&lt;=0,(AV356-$R356)&gt;0),$V356/365*($S356-AV356+1),$V356/365*(AW356-$R356+1))))),0)</f>
        <v>0</v>
      </c>
      <c r="AY356" s="163">
        <f t="shared" ref="AY356:AY359" si="4241">AW356+1</f>
        <v>45931</v>
      </c>
      <c r="AZ356" s="163">
        <f t="shared" ref="AZ356:AZ359" si="4242">AY356+30</f>
        <v>45961</v>
      </c>
      <c r="BA356" s="167">
        <f t="shared" ref="BA356:BA359" si="4243">IFERROR(IF(($R356-AZ356)&gt;=0,0,IF(($S356-AY356)&lt;0,0,IF(AND(($S356-AZ356)&gt;0,(AY356-$R356)&gt;0),$V356/365*(AZ356-AY356+1),IF(AND(($S356-AZ356)&lt;=0,(AY356-$R356)&gt;0),$V356/365*($S356-AY356+1),$V356/365*(AZ356-$R356+1))))),0)</f>
        <v>0</v>
      </c>
      <c r="BB356" s="163">
        <f t="shared" ref="BB356:BB359" si="4244">AZ356+1</f>
        <v>45962</v>
      </c>
      <c r="BC356" s="163">
        <f t="shared" ref="BC356:BC359" si="4245">BB356+29</f>
        <v>45991</v>
      </c>
      <c r="BD356" s="167">
        <f t="shared" ref="BD356:BD359" si="4246">IFERROR(IF(($R356-BC356)&gt;=0,0,IF(($S356-BB356)&lt;0,0,IF(AND(($S356-BC356)&gt;0,(BB356-$R356)&gt;0),$V356/365*(BC356-BB356+1),IF(AND(($S356-BC356)&lt;=0,(BB356-$R356)&gt;0),$V356/365*($S356-BB356+1),$V356/365*(BC356-$R356+1))))),0)</f>
        <v>0</v>
      </c>
      <c r="BE356" s="163">
        <f t="shared" ref="BE356:BE359" si="4247">BC356+1</f>
        <v>45992</v>
      </c>
      <c r="BF356" s="163">
        <f t="shared" ref="BF356:BF359" si="4248">BE356+30</f>
        <v>46022</v>
      </c>
      <c r="BG356" s="167">
        <f t="shared" ref="BG356:BG359" si="4249">IFERROR(IF(($R356-BF356)&gt;=0,0,IF(($S356-BE356)&lt;0,0,IF(AND(($S356-BF356)&gt;0,(BE356-$R356)&gt;0),$V356/365*(BF356-BE356+1),IF(AND(($S356-BF356)&lt;=0,(BE356-$R356)&gt;0),$V356/365*($S356-BE356+1),$V356/365*(BF356-$R356+1))))),0)</f>
        <v>0</v>
      </c>
      <c r="BH356" s="163">
        <v>46023</v>
      </c>
      <c r="BI356" s="163">
        <f t="shared" ref="BI356:BI359" si="4250">BH356+30</f>
        <v>46053</v>
      </c>
      <c r="BJ356" s="167">
        <f t="shared" ref="BJ356:BJ359" si="4251">IFERROR(IF(($R356-BI356)&gt;=0,0,IF(($S356-BH356)&lt;0,0,IF(AND(($S356-BI356)&gt;0,(BH356-$R356)&gt;0),$V356/365*(BI356-BH356+1),IF(AND(($S356-BI356)&lt;=0,(BH356-$R356)&gt;0),$V356/365*($S356-BH356+1),$V356/365*(BI356-$R356+1))))),0)</f>
        <v>0</v>
      </c>
      <c r="BK356" s="163">
        <f t="shared" ref="BK356:BK359" si="4252">BI356+1</f>
        <v>46054</v>
      </c>
      <c r="BL356" s="163">
        <f t="shared" ref="BL356:BL359" si="4253">BK356+27</f>
        <v>46081</v>
      </c>
      <c r="BM356" s="167">
        <f t="shared" ref="BM356:BM359" si="4254">IFERROR(IF(($R356-BL356)&gt;=0,0,IF(($S356-BK356)&lt;0,0,IF(AND(($S356-BL356)&gt;0,(BK356-$R356)&gt;0),$V356/365*(BL356-BK356+1),IF(AND(($S356-BL356)&lt;=0,(BK356-$R356)&gt;0),$V356/365*($S356-BK356+1),$V356/365*(BL356-$R356+1))))),0)</f>
        <v>0</v>
      </c>
      <c r="BN356" s="163">
        <f t="shared" ref="BN356:BN359" si="4255">BL356+1</f>
        <v>46082</v>
      </c>
      <c r="BO356" s="163">
        <f t="shared" ref="BO356:BO359" si="4256">BN356+30</f>
        <v>46112</v>
      </c>
      <c r="BP356" s="167">
        <f t="shared" ref="BP356:BP359" si="4257">IFERROR(IF(($R356-BO356)&gt;=0,0,IF(($S356-BN356)&lt;0,0,IF(AND(($S356-BO356)&gt;0,(BN356-$R356)&gt;0),$V356/365*(BO356-BN356+1),IF(AND(($S356-BO356)&lt;=0,(BN356-$R356)&gt;0),$V356/365*($S356-BN356+1),$V356/365*(BO356-$R356+1))))),0)</f>
        <v>0</v>
      </c>
      <c r="BQ356" s="163">
        <f t="shared" ref="BQ356:BQ359" si="4258">BO356+1</f>
        <v>46113</v>
      </c>
      <c r="BR356" s="163">
        <f t="shared" ref="BR356:BR359" si="4259">BQ356+29</f>
        <v>46142</v>
      </c>
      <c r="BS356" s="167">
        <f t="shared" ref="BS356:BS359" si="4260">IFERROR(IF(($R356-BR356)&gt;=0,0,IF(($S356-BQ356)&lt;0,0,IF(AND(($S356-BR356)&gt;0,(BQ356-$R356)&gt;0),$V356/365*(BR356-BQ356+1),IF(AND(($S356-BR356)&lt;=0,(BQ356-$R356)&gt;0),$V356/365*($S356-BQ356+1),$V356/365*(BR356-$R356+1))))),0)</f>
        <v>0</v>
      </c>
      <c r="BT356" s="163">
        <f t="shared" ref="BT356:BT359" si="4261">BR356+1</f>
        <v>46143</v>
      </c>
      <c r="BU356" s="163">
        <f t="shared" ref="BU356:BU359" si="4262">BT356+30</f>
        <v>46173</v>
      </c>
      <c r="BV356" s="167">
        <f t="shared" ref="BV356:BV359" si="4263">IFERROR(IF(($R356-BU356)&gt;=0,0,IF(($S356-BT356)&lt;0,0,IF(AND(($S356-BU356)&gt;0,(BT356-$R356)&gt;0),$V356/365*(BU356-BT356+1),IF(AND(($S356-BU356)&lt;=0,(BT356-$R356)&gt;0),$V356/365*($S356-BT356+1),$V356/365*(BU356-$R356+1))))),0)</f>
        <v>0</v>
      </c>
      <c r="BW356" s="163">
        <f t="shared" ref="BW356:BW359" si="4264">BU356+1</f>
        <v>46174</v>
      </c>
      <c r="BX356" s="163">
        <f t="shared" ref="BX356:BX359" si="4265">BW356+29</f>
        <v>46203</v>
      </c>
      <c r="BY356" s="167">
        <f t="shared" ref="BY356:BY359" si="4266">IFERROR(IF(($R356-BX356)&gt;=0,0,IF(($S356-BW356)&lt;0,0,IF(AND(($S356-BX356)&gt;0,(BW356-$R356)&gt;0),$V356/365*(BX356-BW356+1),IF(AND(($S356-BX356)&lt;=0,(BW356-$R356)&gt;0),$V356/365*($S356-BW356+1),$V356/365*(BX356-$R356+1))))),0)</f>
        <v>0</v>
      </c>
      <c r="BZ356" s="163">
        <f t="shared" ref="BZ356:BZ359" si="4267">BX356+1</f>
        <v>46204</v>
      </c>
      <c r="CA356" s="163">
        <f t="shared" ref="CA356:CA359" si="4268">BZ356+30</f>
        <v>46234</v>
      </c>
      <c r="CB356" s="167">
        <f t="shared" ref="CB356:CB359" si="4269">IFERROR(IF(($R356-CA356)&gt;=0,0,IF(($S356-BZ356)&lt;0,0,IF(AND(($S356-CA356)&gt;0,(BZ356-$R356)&gt;0),$V356/365*(CA356-BZ356+1),IF(AND(($S356-CA356)&lt;=0,(BZ356-$R356)&gt;0),$V356/365*($S356-BZ356+1),$V356/365*(CA356-$R356+1))))),0)</f>
        <v>0</v>
      </c>
      <c r="CC356" s="163">
        <f t="shared" ref="CC356:CC359" si="4270">CA356+1</f>
        <v>46235</v>
      </c>
      <c r="CD356" s="163">
        <f t="shared" ref="CD356:CD359" si="4271">CC356+30</f>
        <v>46265</v>
      </c>
      <c r="CE356" s="167">
        <f t="shared" ref="CE356:CE359" si="4272">IFERROR(IF(($R356-CD356)&gt;=0,0,IF(($S356-CC356)&lt;0,0,IF(AND(($S356-CD356)&gt;0,(CC356-$R356)&gt;0),$V356/365*(CD356-CC356+1),IF(AND(($S356-CD356)&lt;=0,(CC356-$R356)&gt;0),$V356/365*($S356-CC356+1),$V356/365*(CD356-$R356+1))))),0)</f>
        <v>0</v>
      </c>
      <c r="CF356" s="163">
        <f t="shared" ref="CF356:CF359" si="4273">CD356+1</f>
        <v>46266</v>
      </c>
      <c r="CG356" s="163">
        <f t="shared" ref="CG356:CG359" si="4274">CF356+29</f>
        <v>46295</v>
      </c>
      <c r="CH356" s="167">
        <f t="shared" ref="CH356:CH359" si="4275">IFERROR(IF(($R356-CG356)&gt;=0,0,IF(($S356-CF356)&lt;0,0,IF(AND(($S356-CG356)&gt;0,(CF356-$R356)&gt;0),$V356/365*(CG356-CF356+1),IF(AND(($S356-CG356)&lt;=0,(CF356-$R356)&gt;0),$V356/365*($S356-CF356+1),$V356/365*(CG356-$R356+1))))),0)</f>
        <v>0</v>
      </c>
      <c r="CI356" s="163">
        <f t="shared" ref="CI356:CI359" si="4276">CG356+1</f>
        <v>46296</v>
      </c>
      <c r="CJ356" s="163">
        <f t="shared" ref="CJ356:CJ359" si="4277">CI356+30</f>
        <v>46326</v>
      </c>
      <c r="CK356" s="167">
        <f t="shared" ref="CK356:CK359" si="4278">IFERROR(IF(($R356-CJ356)&gt;=0,0,IF(($S356-CI356)&lt;0,0,IF(AND(($S356-CJ356)&gt;0,(CI356-$R356)&gt;0),$V356/365*(CJ356-CI356+1),IF(AND(($S356-CJ356)&lt;=0,(CI356-$R356)&gt;0),$V356/365*($S356-CI356+1),$V356/365*(CJ356-$R356+1))))),0)</f>
        <v>0</v>
      </c>
      <c r="CL356" s="163">
        <f t="shared" ref="CL356:CL359" si="4279">CJ356+1</f>
        <v>46327</v>
      </c>
      <c r="CM356" s="163">
        <f t="shared" ref="CM356:CM359" si="4280">CL356+29</f>
        <v>46356</v>
      </c>
      <c r="CN356" s="167">
        <f t="shared" ref="CN356:CN359" si="4281">IFERROR(IF(($R356-CM356)&gt;=0,0,IF(($S356-CL356)&lt;0,0,IF(AND(($S356-CM356)&gt;0,(CL356-$R356)&gt;0),$V356/365*(CM356-CL356+1),IF(AND(($S356-CM356)&lt;=0,(CL356-$R356)&gt;0),$V356/365*($S356-CL356+1),$V356/365*(CM356-$R356+1))))),0)</f>
        <v>0</v>
      </c>
      <c r="CO356" s="163">
        <f t="shared" ref="CO356:CO359" si="4282">CM356+1</f>
        <v>46357</v>
      </c>
      <c r="CP356" s="163">
        <f t="shared" ref="CP356:CP359" si="4283">CO356+30</f>
        <v>46387</v>
      </c>
      <c r="CQ356" s="167">
        <f t="shared" ref="CQ356:CQ359" si="4284">IFERROR(IF(($R356-CP356)&gt;=0,0,IF(($S356-CO356)&lt;0,0,IF(AND(($S356-CP356)&gt;0,(CO356-$R356)&gt;0),$V356/365*(CP356-CO356+1),IF(AND(($S356-CP356)&lt;=0,(CO356-$R356)&gt;0),$V356/365*($S356-CO356+1),$V356/365*(CP356-$R356+1))))),0)</f>
        <v>0</v>
      </c>
    </row>
    <row r="357" s="89" customFormat="1" ht="24" hidden="1" customHeight="1" outlineLevel="4" spans="1:95">
      <c r="A357" s="128"/>
      <c r="B357" s="129"/>
      <c r="C357" s="130"/>
      <c r="D357" s="128"/>
      <c r="E357" s="129"/>
      <c r="F357" s="129"/>
      <c r="G357" s="129"/>
      <c r="H357" s="131"/>
      <c r="I357" s="131"/>
      <c r="J357" s="131">
        <f t="shared" si="3853"/>
        <v>0</v>
      </c>
      <c r="K357" s="131">
        <f t="shared" ref="K357:K359" si="4285">K356+1</f>
        <v>2</v>
      </c>
      <c r="L357" s="156"/>
      <c r="M357" s="157">
        <f>IFERROR(VLOOKUP($L357,'2-2 引出数据_合同数据仓库'!$B$5:$BP$200,3,FALSE),0)</f>
        <v>0</v>
      </c>
      <c r="N357" s="131"/>
      <c r="O357" s="157">
        <f>IFERROR(VLOOKUP((LEFT(VLOOKUP($L357,'2-2 引出数据_合同数据仓库'!$B$5:$BP$200,64,FALSE),15)&amp;(RIGHT(VLOOKUP($L357,'2-2 引出数据_合同数据仓库'!$B$5:$BP$200,64,FALSE),4)+1)),'2-2 引出数据_合同数据仓库'!$B$5:$BP$200,3,FALSE),0)</f>
        <v>0</v>
      </c>
      <c r="P357" s="131"/>
      <c r="Q357" s="131">
        <f>IFERROR(VLOOKUP($L357,'2-2 引出数据_合同数据仓库'!$B$5:$BP$200,28,FALSE),0)</f>
        <v>0</v>
      </c>
      <c r="R357" s="131">
        <f>IFERROR(VLOOKUP($L357,'2-2 引出数据_合同数据仓库'!$B$5:$BP$200,29,FALSE),0)</f>
        <v>0</v>
      </c>
      <c r="S357" s="131">
        <f>IFERROR(VLOOKUP($L357,'2-2 引出数据_合同数据仓库'!$B$5:$BP$200,4,FALSE),0)</f>
        <v>0</v>
      </c>
      <c r="T357" s="131"/>
      <c r="U357" s="131">
        <f>IFERROR(VLOOKUP($L357,'2-2 引出数据_合同数据仓库'!$B$5:$BP$200,15,FALSE),0)</f>
        <v>0</v>
      </c>
      <c r="V357" s="131">
        <f t="shared" si="4214"/>
        <v>0</v>
      </c>
      <c r="W357" s="131"/>
      <c r="X357" s="163">
        <v>45658</v>
      </c>
      <c r="Y357" s="163">
        <f t="shared" si="4215"/>
        <v>45688</v>
      </c>
      <c r="Z357" s="167">
        <f t="shared" si="4216"/>
        <v>0</v>
      </c>
      <c r="AA357" s="163">
        <f t="shared" si="4217"/>
        <v>45689</v>
      </c>
      <c r="AB357" s="163">
        <f t="shared" si="4218"/>
        <v>45716</v>
      </c>
      <c r="AC357" s="167">
        <f t="shared" si="4219"/>
        <v>0</v>
      </c>
      <c r="AD357" s="163">
        <f t="shared" si="4220"/>
        <v>45717</v>
      </c>
      <c r="AE357" s="163">
        <f t="shared" si="4221"/>
        <v>45747</v>
      </c>
      <c r="AF357" s="167">
        <f t="shared" si="4222"/>
        <v>0</v>
      </c>
      <c r="AG357" s="163">
        <f t="shared" si="4223"/>
        <v>45748</v>
      </c>
      <c r="AH357" s="163">
        <f t="shared" si="4224"/>
        <v>45777</v>
      </c>
      <c r="AI357" s="167">
        <f t="shared" si="4225"/>
        <v>0</v>
      </c>
      <c r="AJ357" s="163">
        <f t="shared" si="4226"/>
        <v>45778</v>
      </c>
      <c r="AK357" s="163">
        <f t="shared" si="4227"/>
        <v>45808</v>
      </c>
      <c r="AL357" s="167">
        <f t="shared" si="4228"/>
        <v>0</v>
      </c>
      <c r="AM357" s="163">
        <f t="shared" si="4229"/>
        <v>45809</v>
      </c>
      <c r="AN357" s="163">
        <f t="shared" si="4230"/>
        <v>45838</v>
      </c>
      <c r="AO357" s="167">
        <f t="shared" si="4231"/>
        <v>0</v>
      </c>
      <c r="AP357" s="163">
        <f t="shared" si="4232"/>
        <v>45839</v>
      </c>
      <c r="AQ357" s="163">
        <f t="shared" si="4233"/>
        <v>45869</v>
      </c>
      <c r="AR357" s="167">
        <f t="shared" si="4234"/>
        <v>0</v>
      </c>
      <c r="AS357" s="163">
        <f t="shared" si="4235"/>
        <v>45870</v>
      </c>
      <c r="AT357" s="163">
        <f t="shared" si="4236"/>
        <v>45900</v>
      </c>
      <c r="AU357" s="167">
        <f t="shared" si="4237"/>
        <v>0</v>
      </c>
      <c r="AV357" s="163">
        <f t="shared" si="4238"/>
        <v>45901</v>
      </c>
      <c r="AW357" s="163">
        <f t="shared" si="4239"/>
        <v>45930</v>
      </c>
      <c r="AX357" s="167">
        <f t="shared" si="4240"/>
        <v>0</v>
      </c>
      <c r="AY357" s="163">
        <f t="shared" si="4241"/>
        <v>45931</v>
      </c>
      <c r="AZ357" s="163">
        <f t="shared" si="4242"/>
        <v>45961</v>
      </c>
      <c r="BA357" s="167">
        <f t="shared" si="4243"/>
        <v>0</v>
      </c>
      <c r="BB357" s="163">
        <f t="shared" si="4244"/>
        <v>45962</v>
      </c>
      <c r="BC357" s="163">
        <f t="shared" si="4245"/>
        <v>45991</v>
      </c>
      <c r="BD357" s="167">
        <f t="shared" si="4246"/>
        <v>0</v>
      </c>
      <c r="BE357" s="163">
        <f t="shared" si="4247"/>
        <v>45992</v>
      </c>
      <c r="BF357" s="163">
        <f t="shared" si="4248"/>
        <v>46022</v>
      </c>
      <c r="BG357" s="167">
        <f t="shared" si="4249"/>
        <v>0</v>
      </c>
      <c r="BH357" s="163">
        <v>46023</v>
      </c>
      <c r="BI357" s="163">
        <f t="shared" si="4250"/>
        <v>46053</v>
      </c>
      <c r="BJ357" s="167">
        <f t="shared" si="4251"/>
        <v>0</v>
      </c>
      <c r="BK357" s="163">
        <f t="shared" si="4252"/>
        <v>46054</v>
      </c>
      <c r="BL357" s="163">
        <f t="shared" si="4253"/>
        <v>46081</v>
      </c>
      <c r="BM357" s="167">
        <f t="shared" si="4254"/>
        <v>0</v>
      </c>
      <c r="BN357" s="163">
        <f t="shared" si="4255"/>
        <v>46082</v>
      </c>
      <c r="BO357" s="163">
        <f t="shared" si="4256"/>
        <v>46112</v>
      </c>
      <c r="BP357" s="167">
        <f t="shared" si="4257"/>
        <v>0</v>
      </c>
      <c r="BQ357" s="163">
        <f t="shared" si="4258"/>
        <v>46113</v>
      </c>
      <c r="BR357" s="163">
        <f t="shared" si="4259"/>
        <v>46142</v>
      </c>
      <c r="BS357" s="167">
        <f t="shared" si="4260"/>
        <v>0</v>
      </c>
      <c r="BT357" s="163">
        <f t="shared" si="4261"/>
        <v>46143</v>
      </c>
      <c r="BU357" s="163">
        <f t="shared" si="4262"/>
        <v>46173</v>
      </c>
      <c r="BV357" s="167">
        <f t="shared" si="4263"/>
        <v>0</v>
      </c>
      <c r="BW357" s="163">
        <f t="shared" si="4264"/>
        <v>46174</v>
      </c>
      <c r="BX357" s="163">
        <f t="shared" si="4265"/>
        <v>46203</v>
      </c>
      <c r="BY357" s="167">
        <f t="shared" si="4266"/>
        <v>0</v>
      </c>
      <c r="BZ357" s="163">
        <f t="shared" si="4267"/>
        <v>46204</v>
      </c>
      <c r="CA357" s="163">
        <f t="shared" si="4268"/>
        <v>46234</v>
      </c>
      <c r="CB357" s="167">
        <f t="shared" si="4269"/>
        <v>0</v>
      </c>
      <c r="CC357" s="163">
        <f t="shared" si="4270"/>
        <v>46235</v>
      </c>
      <c r="CD357" s="163">
        <f t="shared" si="4271"/>
        <v>46265</v>
      </c>
      <c r="CE357" s="167">
        <f t="shared" si="4272"/>
        <v>0</v>
      </c>
      <c r="CF357" s="163">
        <f t="shared" si="4273"/>
        <v>46266</v>
      </c>
      <c r="CG357" s="163">
        <f t="shared" si="4274"/>
        <v>46295</v>
      </c>
      <c r="CH357" s="167">
        <f t="shared" si="4275"/>
        <v>0</v>
      </c>
      <c r="CI357" s="163">
        <f t="shared" si="4276"/>
        <v>46296</v>
      </c>
      <c r="CJ357" s="163">
        <f t="shared" si="4277"/>
        <v>46326</v>
      </c>
      <c r="CK357" s="167">
        <f t="shared" si="4278"/>
        <v>0</v>
      </c>
      <c r="CL357" s="163">
        <f t="shared" si="4279"/>
        <v>46327</v>
      </c>
      <c r="CM357" s="163">
        <f t="shared" si="4280"/>
        <v>46356</v>
      </c>
      <c r="CN357" s="167">
        <f t="shared" si="4281"/>
        <v>0</v>
      </c>
      <c r="CO357" s="163">
        <f t="shared" si="4282"/>
        <v>46357</v>
      </c>
      <c r="CP357" s="163">
        <f t="shared" si="4283"/>
        <v>46387</v>
      </c>
      <c r="CQ357" s="167">
        <f t="shared" si="4284"/>
        <v>0</v>
      </c>
    </row>
    <row r="358" s="89" customFormat="1" ht="24" hidden="1" customHeight="1" outlineLevel="4" spans="1:95">
      <c r="A358" s="128"/>
      <c r="B358" s="129"/>
      <c r="C358" s="130"/>
      <c r="D358" s="128"/>
      <c r="E358" s="129"/>
      <c r="F358" s="129"/>
      <c r="G358" s="129"/>
      <c r="H358" s="131"/>
      <c r="I358" s="131"/>
      <c r="J358" s="131">
        <f t="shared" si="3853"/>
        <v>0</v>
      </c>
      <c r="K358" s="131">
        <f t="shared" si="4285"/>
        <v>3</v>
      </c>
      <c r="L358" s="156"/>
      <c r="M358" s="157">
        <f>IFERROR(VLOOKUP($L358,'2-2 引出数据_合同数据仓库'!$B$5:$BP$200,3,FALSE),0)</f>
        <v>0</v>
      </c>
      <c r="N358" s="131"/>
      <c r="O358" s="157">
        <f>IFERROR(VLOOKUP((LEFT(VLOOKUP($L358,'2-2 引出数据_合同数据仓库'!$B$5:$BP$200,64,FALSE),15)&amp;(RIGHT(VLOOKUP($L358,'2-2 引出数据_合同数据仓库'!$B$5:$BP$200,64,FALSE),4)+1)),'2-2 引出数据_合同数据仓库'!$B$5:$BP$200,3,FALSE),0)</f>
        <v>0</v>
      </c>
      <c r="P358" s="131"/>
      <c r="Q358" s="131">
        <f>IFERROR(VLOOKUP($L358,'2-2 引出数据_合同数据仓库'!$B$5:$BP$200,28,FALSE),0)</f>
        <v>0</v>
      </c>
      <c r="R358" s="131">
        <f>IFERROR(VLOOKUP($L358,'2-2 引出数据_合同数据仓库'!$B$5:$BP$200,29,FALSE),0)</f>
        <v>0</v>
      </c>
      <c r="S358" s="131">
        <f>IFERROR(VLOOKUP($L358,'2-2 引出数据_合同数据仓库'!$B$5:$BP$200,4,FALSE),0)</f>
        <v>0</v>
      </c>
      <c r="T358" s="131"/>
      <c r="U358" s="131">
        <f>IFERROR(VLOOKUP($L358,'2-2 引出数据_合同数据仓库'!$B$5:$BP$200,15,FALSE),0)</f>
        <v>0</v>
      </c>
      <c r="V358" s="131">
        <f t="shared" si="4214"/>
        <v>0</v>
      </c>
      <c r="W358" s="131"/>
      <c r="X358" s="163">
        <v>45658</v>
      </c>
      <c r="Y358" s="163">
        <f t="shared" si="4215"/>
        <v>45688</v>
      </c>
      <c r="Z358" s="167">
        <f t="shared" si="4216"/>
        <v>0</v>
      </c>
      <c r="AA358" s="163">
        <f t="shared" si="4217"/>
        <v>45689</v>
      </c>
      <c r="AB358" s="163">
        <f t="shared" si="4218"/>
        <v>45716</v>
      </c>
      <c r="AC358" s="167">
        <f t="shared" si="4219"/>
        <v>0</v>
      </c>
      <c r="AD358" s="163">
        <f t="shared" si="4220"/>
        <v>45717</v>
      </c>
      <c r="AE358" s="163">
        <f t="shared" si="4221"/>
        <v>45747</v>
      </c>
      <c r="AF358" s="167">
        <f t="shared" si="4222"/>
        <v>0</v>
      </c>
      <c r="AG358" s="163">
        <f t="shared" si="4223"/>
        <v>45748</v>
      </c>
      <c r="AH358" s="163">
        <f t="shared" si="4224"/>
        <v>45777</v>
      </c>
      <c r="AI358" s="167">
        <f t="shared" si="4225"/>
        <v>0</v>
      </c>
      <c r="AJ358" s="163">
        <f t="shared" si="4226"/>
        <v>45778</v>
      </c>
      <c r="AK358" s="163">
        <f t="shared" si="4227"/>
        <v>45808</v>
      </c>
      <c r="AL358" s="167">
        <f t="shared" si="4228"/>
        <v>0</v>
      </c>
      <c r="AM358" s="163">
        <f t="shared" si="4229"/>
        <v>45809</v>
      </c>
      <c r="AN358" s="163">
        <f t="shared" si="4230"/>
        <v>45838</v>
      </c>
      <c r="AO358" s="167">
        <f t="shared" si="4231"/>
        <v>0</v>
      </c>
      <c r="AP358" s="163">
        <f t="shared" si="4232"/>
        <v>45839</v>
      </c>
      <c r="AQ358" s="163">
        <f t="shared" si="4233"/>
        <v>45869</v>
      </c>
      <c r="AR358" s="167">
        <f t="shared" si="4234"/>
        <v>0</v>
      </c>
      <c r="AS358" s="163">
        <f t="shared" si="4235"/>
        <v>45870</v>
      </c>
      <c r="AT358" s="163">
        <f t="shared" si="4236"/>
        <v>45900</v>
      </c>
      <c r="AU358" s="167">
        <f t="shared" si="4237"/>
        <v>0</v>
      </c>
      <c r="AV358" s="163">
        <f t="shared" si="4238"/>
        <v>45901</v>
      </c>
      <c r="AW358" s="163">
        <f t="shared" si="4239"/>
        <v>45930</v>
      </c>
      <c r="AX358" s="167">
        <f t="shared" si="4240"/>
        <v>0</v>
      </c>
      <c r="AY358" s="163">
        <f t="shared" si="4241"/>
        <v>45931</v>
      </c>
      <c r="AZ358" s="163">
        <f t="shared" si="4242"/>
        <v>45961</v>
      </c>
      <c r="BA358" s="167">
        <f t="shared" si="4243"/>
        <v>0</v>
      </c>
      <c r="BB358" s="163">
        <f t="shared" si="4244"/>
        <v>45962</v>
      </c>
      <c r="BC358" s="163">
        <f t="shared" si="4245"/>
        <v>45991</v>
      </c>
      <c r="BD358" s="167">
        <f t="shared" si="4246"/>
        <v>0</v>
      </c>
      <c r="BE358" s="163">
        <f t="shared" si="4247"/>
        <v>45992</v>
      </c>
      <c r="BF358" s="163">
        <f t="shared" si="4248"/>
        <v>46022</v>
      </c>
      <c r="BG358" s="167">
        <f t="shared" si="4249"/>
        <v>0</v>
      </c>
      <c r="BH358" s="163">
        <v>46023</v>
      </c>
      <c r="BI358" s="163">
        <f t="shared" si="4250"/>
        <v>46053</v>
      </c>
      <c r="BJ358" s="167">
        <f t="shared" si="4251"/>
        <v>0</v>
      </c>
      <c r="BK358" s="163">
        <f t="shared" si="4252"/>
        <v>46054</v>
      </c>
      <c r="BL358" s="163">
        <f t="shared" si="4253"/>
        <v>46081</v>
      </c>
      <c r="BM358" s="167">
        <f t="shared" si="4254"/>
        <v>0</v>
      </c>
      <c r="BN358" s="163">
        <f t="shared" si="4255"/>
        <v>46082</v>
      </c>
      <c r="BO358" s="163">
        <f t="shared" si="4256"/>
        <v>46112</v>
      </c>
      <c r="BP358" s="167">
        <f t="shared" si="4257"/>
        <v>0</v>
      </c>
      <c r="BQ358" s="163">
        <f t="shared" si="4258"/>
        <v>46113</v>
      </c>
      <c r="BR358" s="163">
        <f t="shared" si="4259"/>
        <v>46142</v>
      </c>
      <c r="BS358" s="167">
        <f t="shared" si="4260"/>
        <v>0</v>
      </c>
      <c r="BT358" s="163">
        <f t="shared" si="4261"/>
        <v>46143</v>
      </c>
      <c r="BU358" s="163">
        <f t="shared" si="4262"/>
        <v>46173</v>
      </c>
      <c r="BV358" s="167">
        <f t="shared" si="4263"/>
        <v>0</v>
      </c>
      <c r="BW358" s="163">
        <f t="shared" si="4264"/>
        <v>46174</v>
      </c>
      <c r="BX358" s="163">
        <f t="shared" si="4265"/>
        <v>46203</v>
      </c>
      <c r="BY358" s="167">
        <f t="shared" si="4266"/>
        <v>0</v>
      </c>
      <c r="BZ358" s="163">
        <f t="shared" si="4267"/>
        <v>46204</v>
      </c>
      <c r="CA358" s="163">
        <f t="shared" si="4268"/>
        <v>46234</v>
      </c>
      <c r="CB358" s="167">
        <f t="shared" si="4269"/>
        <v>0</v>
      </c>
      <c r="CC358" s="163">
        <f t="shared" si="4270"/>
        <v>46235</v>
      </c>
      <c r="CD358" s="163">
        <f t="shared" si="4271"/>
        <v>46265</v>
      </c>
      <c r="CE358" s="167">
        <f t="shared" si="4272"/>
        <v>0</v>
      </c>
      <c r="CF358" s="163">
        <f t="shared" si="4273"/>
        <v>46266</v>
      </c>
      <c r="CG358" s="163">
        <f t="shared" si="4274"/>
        <v>46295</v>
      </c>
      <c r="CH358" s="167">
        <f t="shared" si="4275"/>
        <v>0</v>
      </c>
      <c r="CI358" s="163">
        <f t="shared" si="4276"/>
        <v>46296</v>
      </c>
      <c r="CJ358" s="163">
        <f t="shared" si="4277"/>
        <v>46326</v>
      </c>
      <c r="CK358" s="167">
        <f t="shared" si="4278"/>
        <v>0</v>
      </c>
      <c r="CL358" s="163">
        <f t="shared" si="4279"/>
        <v>46327</v>
      </c>
      <c r="CM358" s="163">
        <f t="shared" si="4280"/>
        <v>46356</v>
      </c>
      <c r="CN358" s="167">
        <f t="shared" si="4281"/>
        <v>0</v>
      </c>
      <c r="CO358" s="163">
        <f t="shared" si="4282"/>
        <v>46357</v>
      </c>
      <c r="CP358" s="163">
        <f t="shared" si="4283"/>
        <v>46387</v>
      </c>
      <c r="CQ358" s="167">
        <f t="shared" si="4284"/>
        <v>0</v>
      </c>
    </row>
    <row r="359" s="89" customFormat="1" ht="24" hidden="1" customHeight="1" outlineLevel="4" spans="1:95">
      <c r="A359" s="128"/>
      <c r="B359" s="129"/>
      <c r="C359" s="130"/>
      <c r="D359" s="128"/>
      <c r="E359" s="129"/>
      <c r="F359" s="129"/>
      <c r="G359" s="129"/>
      <c r="H359" s="131"/>
      <c r="I359" s="131"/>
      <c r="J359" s="131">
        <f t="shared" si="3853"/>
        <v>0</v>
      </c>
      <c r="K359" s="131">
        <f t="shared" si="4285"/>
        <v>4</v>
      </c>
      <c r="L359" s="156"/>
      <c r="M359" s="157">
        <f>IFERROR(VLOOKUP($L359,'2-2 引出数据_合同数据仓库'!$B$5:$BP$200,3,FALSE),0)</f>
        <v>0</v>
      </c>
      <c r="N359" s="131"/>
      <c r="O359" s="157">
        <f>IFERROR(VLOOKUP((LEFT(VLOOKUP($L359,'2-2 引出数据_合同数据仓库'!$B$5:$BP$200,64,FALSE),15)&amp;(RIGHT(VLOOKUP($L359,'2-2 引出数据_合同数据仓库'!$B$5:$BP$200,64,FALSE),4)+1)),'2-2 引出数据_合同数据仓库'!$B$5:$BP$200,3,FALSE),0)</f>
        <v>0</v>
      </c>
      <c r="P359" s="131"/>
      <c r="Q359" s="131">
        <f>IFERROR(VLOOKUP($L359,'2-2 引出数据_合同数据仓库'!$B$5:$BP$200,28,FALSE),0)</f>
        <v>0</v>
      </c>
      <c r="R359" s="131">
        <f>IFERROR(VLOOKUP($L359,'2-2 引出数据_合同数据仓库'!$B$5:$BP$200,29,FALSE),0)</f>
        <v>0</v>
      </c>
      <c r="S359" s="131">
        <f>IFERROR(VLOOKUP($L359,'2-2 引出数据_合同数据仓库'!$B$5:$BP$200,4,FALSE),0)</f>
        <v>0</v>
      </c>
      <c r="T359" s="131"/>
      <c r="U359" s="131">
        <f>IFERROR(VLOOKUP($L359,'2-2 引出数据_合同数据仓库'!$B$5:$BP$200,15,FALSE),0)</f>
        <v>0</v>
      </c>
      <c r="V359" s="131">
        <f t="shared" si="4214"/>
        <v>0</v>
      </c>
      <c r="W359" s="131"/>
      <c r="X359" s="163">
        <v>45658</v>
      </c>
      <c r="Y359" s="163">
        <f t="shared" si="4215"/>
        <v>45688</v>
      </c>
      <c r="Z359" s="167">
        <f t="shared" si="4216"/>
        <v>0</v>
      </c>
      <c r="AA359" s="163">
        <f t="shared" si="4217"/>
        <v>45689</v>
      </c>
      <c r="AB359" s="163">
        <f t="shared" si="4218"/>
        <v>45716</v>
      </c>
      <c r="AC359" s="167">
        <f t="shared" si="4219"/>
        <v>0</v>
      </c>
      <c r="AD359" s="163">
        <f t="shared" si="4220"/>
        <v>45717</v>
      </c>
      <c r="AE359" s="163">
        <f t="shared" si="4221"/>
        <v>45747</v>
      </c>
      <c r="AF359" s="167">
        <f t="shared" si="4222"/>
        <v>0</v>
      </c>
      <c r="AG359" s="163">
        <f t="shared" si="4223"/>
        <v>45748</v>
      </c>
      <c r="AH359" s="163">
        <f t="shared" si="4224"/>
        <v>45777</v>
      </c>
      <c r="AI359" s="167">
        <f t="shared" si="4225"/>
        <v>0</v>
      </c>
      <c r="AJ359" s="163">
        <f t="shared" si="4226"/>
        <v>45778</v>
      </c>
      <c r="AK359" s="163">
        <f t="shared" si="4227"/>
        <v>45808</v>
      </c>
      <c r="AL359" s="167">
        <f t="shared" si="4228"/>
        <v>0</v>
      </c>
      <c r="AM359" s="163">
        <f t="shared" si="4229"/>
        <v>45809</v>
      </c>
      <c r="AN359" s="163">
        <f t="shared" si="4230"/>
        <v>45838</v>
      </c>
      <c r="AO359" s="167">
        <f t="shared" si="4231"/>
        <v>0</v>
      </c>
      <c r="AP359" s="163">
        <f t="shared" si="4232"/>
        <v>45839</v>
      </c>
      <c r="AQ359" s="163">
        <f t="shared" si="4233"/>
        <v>45869</v>
      </c>
      <c r="AR359" s="167">
        <f t="shared" si="4234"/>
        <v>0</v>
      </c>
      <c r="AS359" s="163">
        <f t="shared" si="4235"/>
        <v>45870</v>
      </c>
      <c r="AT359" s="163">
        <f t="shared" si="4236"/>
        <v>45900</v>
      </c>
      <c r="AU359" s="167">
        <f t="shared" si="4237"/>
        <v>0</v>
      </c>
      <c r="AV359" s="163">
        <f t="shared" si="4238"/>
        <v>45901</v>
      </c>
      <c r="AW359" s="163">
        <f t="shared" si="4239"/>
        <v>45930</v>
      </c>
      <c r="AX359" s="167">
        <f t="shared" si="4240"/>
        <v>0</v>
      </c>
      <c r="AY359" s="163">
        <f t="shared" si="4241"/>
        <v>45931</v>
      </c>
      <c r="AZ359" s="163">
        <f t="shared" si="4242"/>
        <v>45961</v>
      </c>
      <c r="BA359" s="167">
        <f t="shared" si="4243"/>
        <v>0</v>
      </c>
      <c r="BB359" s="163">
        <f t="shared" si="4244"/>
        <v>45962</v>
      </c>
      <c r="BC359" s="163">
        <f t="shared" si="4245"/>
        <v>45991</v>
      </c>
      <c r="BD359" s="167">
        <f t="shared" si="4246"/>
        <v>0</v>
      </c>
      <c r="BE359" s="163">
        <f t="shared" si="4247"/>
        <v>45992</v>
      </c>
      <c r="BF359" s="163">
        <f t="shared" si="4248"/>
        <v>46022</v>
      </c>
      <c r="BG359" s="167">
        <f t="shared" si="4249"/>
        <v>0</v>
      </c>
      <c r="BH359" s="163">
        <v>46023</v>
      </c>
      <c r="BI359" s="163">
        <f t="shared" si="4250"/>
        <v>46053</v>
      </c>
      <c r="BJ359" s="167">
        <f t="shared" si="4251"/>
        <v>0</v>
      </c>
      <c r="BK359" s="163">
        <f t="shared" si="4252"/>
        <v>46054</v>
      </c>
      <c r="BL359" s="163">
        <f t="shared" si="4253"/>
        <v>46081</v>
      </c>
      <c r="BM359" s="167">
        <f t="shared" si="4254"/>
        <v>0</v>
      </c>
      <c r="BN359" s="163">
        <f t="shared" si="4255"/>
        <v>46082</v>
      </c>
      <c r="BO359" s="163">
        <f t="shared" si="4256"/>
        <v>46112</v>
      </c>
      <c r="BP359" s="167">
        <f t="shared" si="4257"/>
        <v>0</v>
      </c>
      <c r="BQ359" s="163">
        <f t="shared" si="4258"/>
        <v>46113</v>
      </c>
      <c r="BR359" s="163">
        <f t="shared" si="4259"/>
        <v>46142</v>
      </c>
      <c r="BS359" s="167">
        <f t="shared" si="4260"/>
        <v>0</v>
      </c>
      <c r="BT359" s="163">
        <f t="shared" si="4261"/>
        <v>46143</v>
      </c>
      <c r="BU359" s="163">
        <f t="shared" si="4262"/>
        <v>46173</v>
      </c>
      <c r="BV359" s="167">
        <f t="shared" si="4263"/>
        <v>0</v>
      </c>
      <c r="BW359" s="163">
        <f t="shared" si="4264"/>
        <v>46174</v>
      </c>
      <c r="BX359" s="163">
        <f t="shared" si="4265"/>
        <v>46203</v>
      </c>
      <c r="BY359" s="167">
        <f t="shared" si="4266"/>
        <v>0</v>
      </c>
      <c r="BZ359" s="163">
        <f t="shared" si="4267"/>
        <v>46204</v>
      </c>
      <c r="CA359" s="163">
        <f t="shared" si="4268"/>
        <v>46234</v>
      </c>
      <c r="CB359" s="167">
        <f t="shared" si="4269"/>
        <v>0</v>
      </c>
      <c r="CC359" s="163">
        <f t="shared" si="4270"/>
        <v>46235</v>
      </c>
      <c r="CD359" s="163">
        <f t="shared" si="4271"/>
        <v>46265</v>
      </c>
      <c r="CE359" s="167">
        <f t="shared" si="4272"/>
        <v>0</v>
      </c>
      <c r="CF359" s="163">
        <f t="shared" si="4273"/>
        <v>46266</v>
      </c>
      <c r="CG359" s="163">
        <f t="shared" si="4274"/>
        <v>46295</v>
      </c>
      <c r="CH359" s="167">
        <f t="shared" si="4275"/>
        <v>0</v>
      </c>
      <c r="CI359" s="163">
        <f t="shared" si="4276"/>
        <v>46296</v>
      </c>
      <c r="CJ359" s="163">
        <f t="shared" si="4277"/>
        <v>46326</v>
      </c>
      <c r="CK359" s="167">
        <f t="shared" si="4278"/>
        <v>0</v>
      </c>
      <c r="CL359" s="163">
        <f t="shared" si="4279"/>
        <v>46327</v>
      </c>
      <c r="CM359" s="163">
        <f t="shared" si="4280"/>
        <v>46356</v>
      </c>
      <c r="CN359" s="167">
        <f t="shared" si="4281"/>
        <v>0</v>
      </c>
      <c r="CO359" s="163">
        <f t="shared" si="4282"/>
        <v>46357</v>
      </c>
      <c r="CP359" s="163">
        <f t="shared" si="4283"/>
        <v>46387</v>
      </c>
      <c r="CQ359" s="167">
        <f t="shared" si="4284"/>
        <v>0</v>
      </c>
    </row>
    <row r="360" s="89" customFormat="1" ht="24" hidden="1" customHeight="1" outlineLevel="4" spans="1:95">
      <c r="A360" s="132" t="s">
        <v>2813</v>
      </c>
      <c r="B360" s="133"/>
      <c r="C360" s="133"/>
      <c r="D360" s="133"/>
      <c r="E360" s="133"/>
      <c r="F360" s="133"/>
      <c r="G360" s="134"/>
      <c r="H360" s="135"/>
      <c r="I360" s="135"/>
      <c r="J360" s="135"/>
      <c r="K360" s="135"/>
      <c r="L360" s="158"/>
      <c r="M360" s="158"/>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c r="CL360" s="135"/>
      <c r="CM360" s="135"/>
      <c r="CN360" s="135"/>
      <c r="CO360" s="135"/>
      <c r="CP360" s="135"/>
      <c r="CQ360" s="135"/>
    </row>
    <row r="361" ht="24" hidden="1" customHeight="1" outlineLevel="3" collapsed="1" spans="1:95">
      <c r="A361" s="124"/>
      <c r="B361" s="125" t="s">
        <v>792</v>
      </c>
      <c r="C361" s="126" t="s">
        <v>1307</v>
      </c>
      <c r="D361" s="124" t="s">
        <v>1308</v>
      </c>
      <c r="E361" s="125"/>
      <c r="F361" s="125"/>
      <c r="G361" s="125"/>
      <c r="H361" s="127">
        <f>X361+AA361+AD361+AG361+AJ361+AM361+AP361+AS361+AV361+AY361+BB361+BE361</f>
        <v>0</v>
      </c>
      <c r="I361" s="127">
        <f>Y361+AB361+AE361+AH361+AK361+AN361+AQ361+AT361+AW361+AZ361+BC361+BF361</f>
        <v>-433400.64</v>
      </c>
      <c r="J361" s="127">
        <f t="shared" si="3853"/>
        <v>433400.64</v>
      </c>
      <c r="K361" s="127"/>
      <c r="L361" s="155"/>
      <c r="M361" s="155"/>
      <c r="N361" s="127"/>
      <c r="O361" s="127"/>
      <c r="P361" s="127"/>
      <c r="Q361" s="127"/>
      <c r="R361" s="127"/>
      <c r="S361" s="127"/>
      <c r="T361" s="127"/>
      <c r="U361" s="127"/>
      <c r="V361" s="127"/>
      <c r="W361" s="127"/>
      <c r="X361" s="127">
        <f>VLOOKUP($C361,'1 预算编制表单'!$C:$BJ,27,FALSE)</f>
        <v>0</v>
      </c>
      <c r="Y361" s="127">
        <f>X361-Z361</f>
        <v>0</v>
      </c>
      <c r="Z361" s="127">
        <f>SUM(Z362:Z366)</f>
        <v>0</v>
      </c>
      <c r="AA361" s="127">
        <f>VLOOKUP($C361,'1 预算编制表单'!$C:$BJ,30,FALSE)</f>
        <v>0</v>
      </c>
      <c r="AB361" s="127">
        <f>AA361-AC361</f>
        <v>0</v>
      </c>
      <c r="AC361" s="127">
        <f>SUM(AC362:AC366)</f>
        <v>0</v>
      </c>
      <c r="AD361" s="127">
        <f>VLOOKUP($C361,'1 预算编制表单'!$C:$BJ,33,FALSE)</f>
        <v>0</v>
      </c>
      <c r="AE361" s="127">
        <f>AD361-AF361</f>
        <v>-36116.72</v>
      </c>
      <c r="AF361" s="127">
        <f>SUM(AF362:AF366)</f>
        <v>36116.72</v>
      </c>
      <c r="AG361" s="127">
        <f>VLOOKUP($C361,'1 预算编制表单'!$C:$BJ,36,FALSE)</f>
        <v>0</v>
      </c>
      <c r="AH361" s="127">
        <f>AG361-AI361</f>
        <v>-43340.064</v>
      </c>
      <c r="AI361" s="127">
        <f>SUM(AI362:AI366)</f>
        <v>43340.064</v>
      </c>
      <c r="AJ361" s="127">
        <f>VLOOKUP($C361,'1 预算编制表单'!$C:$BJ,39,FALSE)</f>
        <v>0</v>
      </c>
      <c r="AK361" s="127">
        <f>AJ361-AL361</f>
        <v>-44784.7328</v>
      </c>
      <c r="AL361" s="127">
        <f>SUM(AL362:AL366)</f>
        <v>44784.7328</v>
      </c>
      <c r="AM361" s="127">
        <f>VLOOKUP($C361,'1 预算编制表单'!$C:$BJ,42,FALSE)</f>
        <v>0</v>
      </c>
      <c r="AN361" s="127">
        <f>AM361-AO361</f>
        <v>-43340.064</v>
      </c>
      <c r="AO361" s="127">
        <f>SUM(AO362:AO366)</f>
        <v>43340.064</v>
      </c>
      <c r="AP361" s="127">
        <f>VLOOKUP($C361,'1 预算编制表单'!$C:$BJ,45,FALSE)</f>
        <v>0</v>
      </c>
      <c r="AQ361" s="127">
        <f>AP361-AR361</f>
        <v>-44784.7328</v>
      </c>
      <c r="AR361" s="127">
        <f>SUM(AR362:AR366)</f>
        <v>44784.7328</v>
      </c>
      <c r="AS361" s="127">
        <f>VLOOKUP($C361,'1 预算编制表单'!$C:$BJ,48,FALSE)</f>
        <v>0</v>
      </c>
      <c r="AT361" s="127">
        <f>AS361-AU361</f>
        <v>-44784.7328</v>
      </c>
      <c r="AU361" s="127">
        <f>SUM(AU362:AU366)</f>
        <v>44784.7328</v>
      </c>
      <c r="AV361" s="127">
        <f>VLOOKUP($C361,'1 预算编制表单'!$C:$BJ,51,FALSE)</f>
        <v>0</v>
      </c>
      <c r="AW361" s="127">
        <f>AV361-AX361</f>
        <v>-43340.064</v>
      </c>
      <c r="AX361" s="127">
        <f>SUM(AX362:AX366)</f>
        <v>43340.064</v>
      </c>
      <c r="AY361" s="127">
        <f>VLOOKUP($C361,'1 预算编制表单'!$C:$BJ,54,FALSE)</f>
        <v>0</v>
      </c>
      <c r="AZ361" s="127">
        <f>AY361-BA361</f>
        <v>-44784.7328</v>
      </c>
      <c r="BA361" s="127">
        <f>SUM(BA362:BA366)</f>
        <v>44784.7328</v>
      </c>
      <c r="BB361" s="127">
        <f>VLOOKUP($C361,'1 预算编制表单'!$C:$BJ,57,FALSE)</f>
        <v>0</v>
      </c>
      <c r="BC361" s="127">
        <f>BB361-BD361</f>
        <v>-43340.064</v>
      </c>
      <c r="BD361" s="127">
        <f>SUM(BD362:BD366)</f>
        <v>43340.064</v>
      </c>
      <c r="BE361" s="127">
        <f>VLOOKUP($C361,'1 预算编制表单'!$C:$BJ,60,FALSE)</f>
        <v>0</v>
      </c>
      <c r="BF361" s="127">
        <f>BE361-BG361</f>
        <v>-44784.7328</v>
      </c>
      <c r="BG361" s="127">
        <f>SUM(BG362:BG366)</f>
        <v>44784.7328</v>
      </c>
      <c r="BH361" s="127">
        <f>VLOOKUP($C361,'1 预算编制表单'!$C:$BJ,27,FALSE)</f>
        <v>0</v>
      </c>
      <c r="BI361" s="127">
        <f>BH361-BJ361</f>
        <v>0</v>
      </c>
      <c r="BJ361" s="127">
        <f>SUM(BJ362:BJ366)</f>
        <v>0</v>
      </c>
      <c r="BK361" s="127">
        <f>VLOOKUP($C361,'1 预算编制表单'!$C:$BJ,30,FALSE)</f>
        <v>0</v>
      </c>
      <c r="BL361" s="127">
        <f>BK361-BM361</f>
        <v>0</v>
      </c>
      <c r="BM361" s="127">
        <f>SUM(BM362:BM366)</f>
        <v>0</v>
      </c>
      <c r="BN361" s="127">
        <f>VLOOKUP($C361,'1 预算编制表单'!$C:$BJ,33,FALSE)</f>
        <v>0</v>
      </c>
      <c r="BO361" s="127">
        <f>BN361-BP361</f>
        <v>0</v>
      </c>
      <c r="BP361" s="127">
        <f>SUM(BP362:BP366)</f>
        <v>0</v>
      </c>
      <c r="BQ361" s="127">
        <f>VLOOKUP($C361,'1 预算编制表单'!$C:$BJ,36,FALSE)</f>
        <v>0</v>
      </c>
      <c r="BR361" s="127">
        <f>BQ361-BS361</f>
        <v>0</v>
      </c>
      <c r="BS361" s="127">
        <f>SUM(BS362:BS366)</f>
        <v>0</v>
      </c>
      <c r="BT361" s="127">
        <f>VLOOKUP($C361,'1 预算编制表单'!$C:$BJ,39,FALSE)</f>
        <v>0</v>
      </c>
      <c r="BU361" s="127">
        <f>BT361-BV361</f>
        <v>0</v>
      </c>
      <c r="BV361" s="127">
        <f>SUM(BV362:BV366)</f>
        <v>0</v>
      </c>
      <c r="BW361" s="127">
        <f>VLOOKUP($C361,'1 预算编制表单'!$C:$BJ,42,FALSE)</f>
        <v>0</v>
      </c>
      <c r="BX361" s="127">
        <f>BW361-BY361</f>
        <v>0</v>
      </c>
      <c r="BY361" s="127">
        <f>SUM(BY362:BY366)</f>
        <v>0</v>
      </c>
      <c r="BZ361" s="127">
        <f>VLOOKUP($C361,'1 预算编制表单'!$C:$BJ,45,FALSE)</f>
        <v>0</v>
      </c>
      <c r="CA361" s="127">
        <f>BZ361-CB361</f>
        <v>0</v>
      </c>
      <c r="CB361" s="127">
        <f>SUM(CB362:CB366)</f>
        <v>0</v>
      </c>
      <c r="CC361" s="127">
        <f>VLOOKUP($C361,'1 预算编制表单'!$C:$BJ,48,FALSE)</f>
        <v>0</v>
      </c>
      <c r="CD361" s="127">
        <f>CC361-CE361</f>
        <v>0</v>
      </c>
      <c r="CE361" s="127">
        <f>SUM(CE362:CE366)</f>
        <v>0</v>
      </c>
      <c r="CF361" s="127">
        <f>VLOOKUP($C361,'1 预算编制表单'!$C:$BJ,51,FALSE)</f>
        <v>0</v>
      </c>
      <c r="CG361" s="127">
        <f>CF361-CH361</f>
        <v>0</v>
      </c>
      <c r="CH361" s="127">
        <f>SUM(CH362:CH366)</f>
        <v>0</v>
      </c>
      <c r="CI361" s="127">
        <f>VLOOKUP($C361,'1 预算编制表单'!$C:$BJ,54,FALSE)</f>
        <v>0</v>
      </c>
      <c r="CJ361" s="127">
        <f>CI361-CK361</f>
        <v>0</v>
      </c>
      <c r="CK361" s="127">
        <f>SUM(CK362:CK366)</f>
        <v>0</v>
      </c>
      <c r="CL361" s="127">
        <f>VLOOKUP($C361,'1 预算编制表单'!$C:$BJ,57,FALSE)</f>
        <v>0</v>
      </c>
      <c r="CM361" s="127">
        <f>CL361-CN361</f>
        <v>0</v>
      </c>
      <c r="CN361" s="127">
        <f>SUM(CN362:CN366)</f>
        <v>0</v>
      </c>
      <c r="CO361" s="127">
        <f>VLOOKUP($C361,'1 预算编制表单'!$C:$BJ,60,FALSE)</f>
        <v>0</v>
      </c>
      <c r="CP361" s="127">
        <f>CO361-CQ361</f>
        <v>0</v>
      </c>
      <c r="CQ361" s="127">
        <f>SUM(CQ362:CQ366)</f>
        <v>0</v>
      </c>
    </row>
    <row r="362" s="89" customFormat="1" ht="24" hidden="1" customHeight="1" outlineLevel="4" spans="1:95">
      <c r="A362" s="128"/>
      <c r="B362" s="129"/>
      <c r="C362" s="130"/>
      <c r="D362" s="128"/>
      <c r="E362" s="129"/>
      <c r="F362" s="129"/>
      <c r="G362" s="129"/>
      <c r="H362" s="131"/>
      <c r="I362" s="131"/>
      <c r="J362" s="131">
        <f t="shared" si="3853"/>
        <v>433400.64</v>
      </c>
      <c r="K362" s="131">
        <v>1</v>
      </c>
      <c r="L362" s="156" t="s">
        <v>2833</v>
      </c>
      <c r="M362" s="157" t="str">
        <f>IFERROR(VLOOKUP($L362,'2-2 引出数据_合同数据仓库'!$B$5:$BP$200,3,FALSE),0)</f>
        <v>深圳非住二片区中海油大厦大理石定期养护服务合同</v>
      </c>
      <c r="N362" s="131"/>
      <c r="O362" s="157">
        <f>IFERROR(VLOOKUP((LEFT(VLOOKUP($L362,'2-2 引出数据_合同数据仓库'!$B$5:$BP$200,64,FALSE),15)&amp;(RIGHT(VLOOKUP($L362,'2-2 引出数据_合同数据仓库'!$B$5:$BP$200,64,FALSE),4)+1)),'2-2 引出数据_合同数据仓库'!$B$5:$BP$200,3,FALSE),0)</f>
        <v>0</v>
      </c>
      <c r="P362" s="131"/>
      <c r="Q362" s="131" t="str">
        <f>IFERROR(VLOOKUP($L362,'2-2 引出数据_合同数据仓库'!$B$5:$BP$200,28,FALSE),0)</f>
        <v>2025-03-07</v>
      </c>
      <c r="R362" s="131" t="str">
        <f>IFERROR(VLOOKUP($L362,'2-2 引出数据_合同数据仓库'!$B$5:$BP$200,29,FALSE),0)</f>
        <v>2025-03-07</v>
      </c>
      <c r="S362" s="131" t="str">
        <f>IFERROR(VLOOKUP($L362,'2-2 引出数据_合同数据仓库'!$B$5:$BP$200,4,FALSE),0)</f>
        <v>2025-12-31</v>
      </c>
      <c r="T362" s="131"/>
      <c r="U362" s="131">
        <f>IFERROR(VLOOKUP($L362,'2-2 引出数据_合同数据仓库'!$B$5:$BP$200,15,FALSE),0)</f>
        <v>433400.64</v>
      </c>
      <c r="V362" s="131">
        <f t="shared" ref="V362:V365" si="4286">U362/(S362-R362+1)*365</f>
        <v>527304.112</v>
      </c>
      <c r="W362" s="131"/>
      <c r="X362" s="163">
        <v>45658</v>
      </c>
      <c r="Y362" s="163">
        <f t="shared" ref="Y362:Y365" si="4287">X362+30</f>
        <v>45688</v>
      </c>
      <c r="Z362" s="167">
        <f t="shared" ref="Z362:Z365" si="4288">IFERROR(IF(($R362-Y362)&gt;=0,0,IF(($S362-X362)&lt;0,0,IF(AND(($S362-Y362)&gt;0,(X362-$R362)&gt;0),$V362/365*(Y362-X362+1),IF(AND(($S362-Y362)&lt;=0,(X362-$R362)&gt;0),$V362/365*($S362-X362+1),$V362/365*(Y362-$R362+1))))),0)</f>
        <v>0</v>
      </c>
      <c r="AA362" s="163">
        <f t="shared" ref="AA362:AA365" si="4289">Y362+1</f>
        <v>45689</v>
      </c>
      <c r="AB362" s="163">
        <f t="shared" ref="AB362:AB365" si="4290">AA362+27</f>
        <v>45716</v>
      </c>
      <c r="AC362" s="167">
        <f t="shared" ref="AC362:AC365" si="4291">IFERROR(IF(($R362-AB362)&gt;=0,0,IF(($S362-AA362)&lt;0,0,IF(AND(($S362-AB362)&gt;0,(AA362-$R362)&gt;0),$V362/365*(AB362-AA362+1),IF(AND(($S362-AB362)&lt;=0,(AA362-$R362)&gt;0),$V362/365*($S362-AA362+1),$V362/365*(AB362-$R362+1))))),0)</f>
        <v>0</v>
      </c>
      <c r="AD362" s="163">
        <f t="shared" ref="AD362:AD365" si="4292">AB362+1</f>
        <v>45717</v>
      </c>
      <c r="AE362" s="163">
        <f t="shared" ref="AE362:AE365" si="4293">AD362+30</f>
        <v>45747</v>
      </c>
      <c r="AF362" s="167">
        <f t="shared" ref="AF362:AF365" si="4294">IFERROR(IF(($R362-AE362)&gt;=0,0,IF(($S362-AD362)&lt;0,0,IF(AND(($S362-AE362)&gt;0,(AD362-$R362)&gt;0),$V362/365*(AE362-AD362+1),IF(AND(($S362-AE362)&lt;=0,(AD362-$R362)&gt;0),$V362/365*($S362-AD362+1),$V362/365*(AE362-$R362+1))))),0)</f>
        <v>36116.72</v>
      </c>
      <c r="AG362" s="163">
        <f t="shared" ref="AG362:AG365" si="4295">AE362+1</f>
        <v>45748</v>
      </c>
      <c r="AH362" s="163">
        <f t="shared" ref="AH362:AH365" si="4296">AG362+29</f>
        <v>45777</v>
      </c>
      <c r="AI362" s="167">
        <f t="shared" ref="AI362:AI365" si="4297">IFERROR(IF(($R362-AH362)&gt;=0,0,IF(($S362-AG362)&lt;0,0,IF(AND(($S362-AH362)&gt;0,(AG362-$R362)&gt;0),$V362/365*(AH362-AG362+1),IF(AND(($S362-AH362)&lt;=0,(AG362-$R362)&gt;0),$V362/365*($S362-AG362+1),$V362/365*(AH362-$R362+1))))),0)</f>
        <v>43340.064</v>
      </c>
      <c r="AJ362" s="163">
        <f t="shared" ref="AJ362:AJ365" si="4298">AH362+1</f>
        <v>45778</v>
      </c>
      <c r="AK362" s="163">
        <f t="shared" ref="AK362:AK365" si="4299">AJ362+30</f>
        <v>45808</v>
      </c>
      <c r="AL362" s="167">
        <f t="shared" ref="AL362:AL365" si="4300">IFERROR(IF(($R362-AK362)&gt;=0,0,IF(($S362-AJ362)&lt;0,0,IF(AND(($S362-AK362)&gt;0,(AJ362-$R362)&gt;0),$V362/365*(AK362-AJ362+1),IF(AND(($S362-AK362)&lt;=0,(AJ362-$R362)&gt;0),$V362/365*($S362-AJ362+1),$V362/365*(AK362-$R362+1))))),0)</f>
        <v>44784.7328</v>
      </c>
      <c r="AM362" s="163">
        <f t="shared" ref="AM362:AM365" si="4301">AK362+1</f>
        <v>45809</v>
      </c>
      <c r="AN362" s="163">
        <f t="shared" ref="AN362:AN365" si="4302">AM362+29</f>
        <v>45838</v>
      </c>
      <c r="AO362" s="167">
        <f t="shared" ref="AO362:AO365" si="4303">IFERROR(IF(($R362-AN362)&gt;=0,0,IF(($S362-AM362)&lt;0,0,IF(AND(($S362-AN362)&gt;0,(AM362-$R362)&gt;0),$V362/365*(AN362-AM362+1),IF(AND(($S362-AN362)&lt;=0,(AM362-$R362)&gt;0),$V362/365*($S362-AM362+1),$V362/365*(AN362-$R362+1))))),0)</f>
        <v>43340.064</v>
      </c>
      <c r="AP362" s="163">
        <f t="shared" ref="AP362:AP365" si="4304">AN362+1</f>
        <v>45839</v>
      </c>
      <c r="AQ362" s="163">
        <f t="shared" ref="AQ362:AQ365" si="4305">AP362+30</f>
        <v>45869</v>
      </c>
      <c r="AR362" s="167">
        <f t="shared" ref="AR362:AR365" si="4306">IFERROR(IF(($R362-AQ362)&gt;=0,0,IF(($S362-AP362)&lt;0,0,IF(AND(($S362-AQ362)&gt;0,(AP362-$R362)&gt;0),$V362/365*(AQ362-AP362+1),IF(AND(($S362-AQ362)&lt;=0,(AP362-$R362)&gt;0),$V362/365*($S362-AP362+1),$V362/365*(AQ362-$R362+1))))),0)</f>
        <v>44784.7328</v>
      </c>
      <c r="AS362" s="163">
        <f t="shared" ref="AS362:AS365" si="4307">AQ362+1</f>
        <v>45870</v>
      </c>
      <c r="AT362" s="163">
        <f t="shared" ref="AT362:AT365" si="4308">AS362+30</f>
        <v>45900</v>
      </c>
      <c r="AU362" s="167">
        <f t="shared" ref="AU362:AU365" si="4309">IFERROR(IF(($R362-AT362)&gt;=0,0,IF(($S362-AS362)&lt;0,0,IF(AND(($S362-AT362)&gt;0,(AS362-$R362)&gt;0),$V362/365*(AT362-AS362+1),IF(AND(($S362-AT362)&lt;=0,(AS362-$R362)&gt;0),$V362/365*($S362-AS362+1),$V362/365*(AT362-$R362+1))))),0)</f>
        <v>44784.7328</v>
      </c>
      <c r="AV362" s="163">
        <f t="shared" ref="AV362:AV365" si="4310">AT362+1</f>
        <v>45901</v>
      </c>
      <c r="AW362" s="163">
        <f t="shared" ref="AW362:AW365" si="4311">AV362+29</f>
        <v>45930</v>
      </c>
      <c r="AX362" s="167">
        <f t="shared" ref="AX362:AX365" si="4312">IFERROR(IF(($R362-AW362)&gt;=0,0,IF(($S362-AV362)&lt;0,0,IF(AND(($S362-AW362)&gt;0,(AV362-$R362)&gt;0),$V362/365*(AW362-AV362+1),IF(AND(($S362-AW362)&lt;=0,(AV362-$R362)&gt;0),$V362/365*($S362-AV362+1),$V362/365*(AW362-$R362+1))))),0)</f>
        <v>43340.064</v>
      </c>
      <c r="AY362" s="163">
        <f t="shared" ref="AY362:AY365" si="4313">AW362+1</f>
        <v>45931</v>
      </c>
      <c r="AZ362" s="163">
        <f t="shared" ref="AZ362:AZ365" si="4314">AY362+30</f>
        <v>45961</v>
      </c>
      <c r="BA362" s="167">
        <f t="shared" ref="BA362:BA365" si="4315">IFERROR(IF(($R362-AZ362)&gt;=0,0,IF(($S362-AY362)&lt;0,0,IF(AND(($S362-AZ362)&gt;0,(AY362-$R362)&gt;0),$V362/365*(AZ362-AY362+1),IF(AND(($S362-AZ362)&lt;=0,(AY362-$R362)&gt;0),$V362/365*($S362-AY362+1),$V362/365*(AZ362-$R362+1))))),0)</f>
        <v>44784.7328</v>
      </c>
      <c r="BB362" s="163">
        <f t="shared" ref="BB362:BB365" si="4316">AZ362+1</f>
        <v>45962</v>
      </c>
      <c r="BC362" s="163">
        <f t="shared" ref="BC362:BC365" si="4317">BB362+29</f>
        <v>45991</v>
      </c>
      <c r="BD362" s="167">
        <f t="shared" ref="BD362:BD365" si="4318">IFERROR(IF(($R362-BC362)&gt;=0,0,IF(($S362-BB362)&lt;0,0,IF(AND(($S362-BC362)&gt;0,(BB362-$R362)&gt;0),$V362/365*(BC362-BB362+1),IF(AND(($S362-BC362)&lt;=0,(BB362-$R362)&gt;0),$V362/365*($S362-BB362+1),$V362/365*(BC362-$R362+1))))),0)</f>
        <v>43340.064</v>
      </c>
      <c r="BE362" s="163">
        <f t="shared" ref="BE362:BE365" si="4319">BC362+1</f>
        <v>45992</v>
      </c>
      <c r="BF362" s="163">
        <f t="shared" ref="BF362:BF365" si="4320">BE362+30</f>
        <v>46022</v>
      </c>
      <c r="BG362" s="167">
        <f t="shared" ref="BG362:BG365" si="4321">IFERROR(IF(($R362-BF362)&gt;=0,0,IF(($S362-BE362)&lt;0,0,IF(AND(($S362-BF362)&gt;0,(BE362-$R362)&gt;0),$V362/365*(BF362-BE362+1),IF(AND(($S362-BF362)&lt;=0,(BE362-$R362)&gt;0),$V362/365*($S362-BE362+1),$V362/365*(BF362-$R362+1))))),0)</f>
        <v>44784.7328</v>
      </c>
      <c r="BH362" s="163">
        <v>46023</v>
      </c>
      <c r="BI362" s="163">
        <f t="shared" ref="BI362:BI365" si="4322">BH362+30</f>
        <v>46053</v>
      </c>
      <c r="BJ362" s="167">
        <f t="shared" ref="BJ362:BJ365" si="4323">IFERROR(IF(($R362-BI362)&gt;=0,0,IF(($S362-BH362)&lt;0,0,IF(AND(($S362-BI362)&gt;0,(BH362-$R362)&gt;0),$V362/365*(BI362-BH362+1),IF(AND(($S362-BI362)&lt;=0,(BH362-$R362)&gt;0),$V362/365*($S362-BH362+1),$V362/365*(BI362-$R362+1))))),0)</f>
        <v>0</v>
      </c>
      <c r="BK362" s="163">
        <f t="shared" ref="BK362:BK365" si="4324">BI362+1</f>
        <v>46054</v>
      </c>
      <c r="BL362" s="163">
        <f t="shared" ref="BL362:BL365" si="4325">BK362+27</f>
        <v>46081</v>
      </c>
      <c r="BM362" s="167">
        <f t="shared" ref="BM362:BM365" si="4326">IFERROR(IF(($R362-BL362)&gt;=0,0,IF(($S362-BK362)&lt;0,0,IF(AND(($S362-BL362)&gt;0,(BK362-$R362)&gt;0),$V362/365*(BL362-BK362+1),IF(AND(($S362-BL362)&lt;=0,(BK362-$R362)&gt;0),$V362/365*($S362-BK362+1),$V362/365*(BL362-$R362+1))))),0)</f>
        <v>0</v>
      </c>
      <c r="BN362" s="163">
        <f t="shared" ref="BN362:BN365" si="4327">BL362+1</f>
        <v>46082</v>
      </c>
      <c r="BO362" s="163">
        <f t="shared" ref="BO362:BO365" si="4328">BN362+30</f>
        <v>46112</v>
      </c>
      <c r="BP362" s="167">
        <f t="shared" ref="BP362:BP365" si="4329">IFERROR(IF(($R362-BO362)&gt;=0,0,IF(($S362-BN362)&lt;0,0,IF(AND(($S362-BO362)&gt;0,(BN362-$R362)&gt;0),$V362/365*(BO362-BN362+1),IF(AND(($S362-BO362)&lt;=0,(BN362-$R362)&gt;0),$V362/365*($S362-BN362+1),$V362/365*(BO362-$R362+1))))),0)</f>
        <v>0</v>
      </c>
      <c r="BQ362" s="163">
        <f t="shared" ref="BQ362:BQ365" si="4330">BO362+1</f>
        <v>46113</v>
      </c>
      <c r="BR362" s="163">
        <f t="shared" ref="BR362:BR365" si="4331">BQ362+29</f>
        <v>46142</v>
      </c>
      <c r="BS362" s="167">
        <f t="shared" ref="BS362:BS365" si="4332">IFERROR(IF(($R362-BR362)&gt;=0,0,IF(($S362-BQ362)&lt;0,0,IF(AND(($S362-BR362)&gt;0,(BQ362-$R362)&gt;0),$V362/365*(BR362-BQ362+1),IF(AND(($S362-BR362)&lt;=0,(BQ362-$R362)&gt;0),$V362/365*($S362-BQ362+1),$V362/365*(BR362-$R362+1))))),0)</f>
        <v>0</v>
      </c>
      <c r="BT362" s="163">
        <f t="shared" ref="BT362:BT365" si="4333">BR362+1</f>
        <v>46143</v>
      </c>
      <c r="BU362" s="163">
        <f t="shared" ref="BU362:BU365" si="4334">BT362+30</f>
        <v>46173</v>
      </c>
      <c r="BV362" s="167">
        <f t="shared" ref="BV362:BV365" si="4335">IFERROR(IF(($R362-BU362)&gt;=0,0,IF(($S362-BT362)&lt;0,0,IF(AND(($S362-BU362)&gt;0,(BT362-$R362)&gt;0),$V362/365*(BU362-BT362+1),IF(AND(($S362-BU362)&lt;=0,(BT362-$R362)&gt;0),$V362/365*($S362-BT362+1),$V362/365*(BU362-$R362+1))))),0)</f>
        <v>0</v>
      </c>
      <c r="BW362" s="163">
        <f t="shared" ref="BW362:BW365" si="4336">BU362+1</f>
        <v>46174</v>
      </c>
      <c r="BX362" s="163">
        <f t="shared" ref="BX362:BX365" si="4337">BW362+29</f>
        <v>46203</v>
      </c>
      <c r="BY362" s="167">
        <f t="shared" ref="BY362:BY365" si="4338">IFERROR(IF(($R362-BX362)&gt;=0,0,IF(($S362-BW362)&lt;0,0,IF(AND(($S362-BX362)&gt;0,(BW362-$R362)&gt;0),$V362/365*(BX362-BW362+1),IF(AND(($S362-BX362)&lt;=0,(BW362-$R362)&gt;0),$V362/365*($S362-BW362+1),$V362/365*(BX362-$R362+1))))),0)</f>
        <v>0</v>
      </c>
      <c r="BZ362" s="163">
        <f t="shared" ref="BZ362:BZ365" si="4339">BX362+1</f>
        <v>46204</v>
      </c>
      <c r="CA362" s="163">
        <f t="shared" ref="CA362:CA365" si="4340">BZ362+30</f>
        <v>46234</v>
      </c>
      <c r="CB362" s="167">
        <f t="shared" ref="CB362:CB365" si="4341">IFERROR(IF(($R362-CA362)&gt;=0,0,IF(($S362-BZ362)&lt;0,0,IF(AND(($S362-CA362)&gt;0,(BZ362-$R362)&gt;0),$V362/365*(CA362-BZ362+1),IF(AND(($S362-CA362)&lt;=0,(BZ362-$R362)&gt;0),$V362/365*($S362-BZ362+1),$V362/365*(CA362-$R362+1))))),0)</f>
        <v>0</v>
      </c>
      <c r="CC362" s="163">
        <f t="shared" ref="CC362:CC365" si="4342">CA362+1</f>
        <v>46235</v>
      </c>
      <c r="CD362" s="163">
        <f t="shared" ref="CD362:CD365" si="4343">CC362+30</f>
        <v>46265</v>
      </c>
      <c r="CE362" s="167">
        <f t="shared" ref="CE362:CE365" si="4344">IFERROR(IF(($R362-CD362)&gt;=0,0,IF(($S362-CC362)&lt;0,0,IF(AND(($S362-CD362)&gt;0,(CC362-$R362)&gt;0),$V362/365*(CD362-CC362+1),IF(AND(($S362-CD362)&lt;=0,(CC362-$R362)&gt;0),$V362/365*($S362-CC362+1),$V362/365*(CD362-$R362+1))))),0)</f>
        <v>0</v>
      </c>
      <c r="CF362" s="163">
        <f t="shared" ref="CF362:CF365" si="4345">CD362+1</f>
        <v>46266</v>
      </c>
      <c r="CG362" s="163">
        <f t="shared" ref="CG362:CG365" si="4346">CF362+29</f>
        <v>46295</v>
      </c>
      <c r="CH362" s="167">
        <f t="shared" ref="CH362:CH365" si="4347">IFERROR(IF(($R362-CG362)&gt;=0,0,IF(($S362-CF362)&lt;0,0,IF(AND(($S362-CG362)&gt;0,(CF362-$R362)&gt;0),$V362/365*(CG362-CF362+1),IF(AND(($S362-CG362)&lt;=0,(CF362-$R362)&gt;0),$V362/365*($S362-CF362+1),$V362/365*(CG362-$R362+1))))),0)</f>
        <v>0</v>
      </c>
      <c r="CI362" s="163">
        <f t="shared" ref="CI362:CI365" si="4348">CG362+1</f>
        <v>46296</v>
      </c>
      <c r="CJ362" s="163">
        <f t="shared" ref="CJ362:CJ365" si="4349">CI362+30</f>
        <v>46326</v>
      </c>
      <c r="CK362" s="167">
        <f t="shared" ref="CK362:CK365" si="4350">IFERROR(IF(($R362-CJ362)&gt;=0,0,IF(($S362-CI362)&lt;0,0,IF(AND(($S362-CJ362)&gt;0,(CI362-$R362)&gt;0),$V362/365*(CJ362-CI362+1),IF(AND(($S362-CJ362)&lt;=0,(CI362-$R362)&gt;0),$V362/365*($S362-CI362+1),$V362/365*(CJ362-$R362+1))))),0)</f>
        <v>0</v>
      </c>
      <c r="CL362" s="163">
        <f t="shared" ref="CL362:CL365" si="4351">CJ362+1</f>
        <v>46327</v>
      </c>
      <c r="CM362" s="163">
        <f t="shared" ref="CM362:CM365" si="4352">CL362+29</f>
        <v>46356</v>
      </c>
      <c r="CN362" s="167">
        <f t="shared" ref="CN362:CN365" si="4353">IFERROR(IF(($R362-CM362)&gt;=0,0,IF(($S362-CL362)&lt;0,0,IF(AND(($S362-CM362)&gt;0,(CL362-$R362)&gt;0),$V362/365*(CM362-CL362+1),IF(AND(($S362-CM362)&lt;=0,(CL362-$R362)&gt;0),$V362/365*($S362-CL362+1),$V362/365*(CM362-$R362+1))))),0)</f>
        <v>0</v>
      </c>
      <c r="CO362" s="163">
        <f t="shared" ref="CO362:CO365" si="4354">CM362+1</f>
        <v>46357</v>
      </c>
      <c r="CP362" s="163">
        <f t="shared" ref="CP362:CP365" si="4355">CO362+30</f>
        <v>46387</v>
      </c>
      <c r="CQ362" s="167">
        <f t="shared" ref="CQ362:CQ365" si="4356">IFERROR(IF(($R362-CP362)&gt;=0,0,IF(($S362-CO362)&lt;0,0,IF(AND(($S362-CP362)&gt;0,(CO362-$R362)&gt;0),$V362/365*(CP362-CO362+1),IF(AND(($S362-CP362)&lt;=0,(CO362-$R362)&gt;0),$V362/365*($S362-CO362+1),$V362/365*(CP362-$R362+1))))),0)</f>
        <v>0</v>
      </c>
    </row>
    <row r="363" s="89" customFormat="1" ht="24" hidden="1" customHeight="1" outlineLevel="4" spans="1:95">
      <c r="A363" s="128"/>
      <c r="B363" s="129"/>
      <c r="C363" s="130"/>
      <c r="D363" s="128"/>
      <c r="E363" s="129"/>
      <c r="F363" s="129"/>
      <c r="G363" s="129"/>
      <c r="H363" s="131"/>
      <c r="I363" s="131"/>
      <c r="J363" s="131">
        <f t="shared" si="3853"/>
        <v>0</v>
      </c>
      <c r="K363" s="131">
        <f t="shared" ref="K363:K365" si="4357">K362+1</f>
        <v>2</v>
      </c>
      <c r="L363" s="156"/>
      <c r="M363" s="157">
        <f>IFERROR(VLOOKUP($L363,'2-2 引出数据_合同数据仓库'!$B$5:$BP$200,3,FALSE),0)</f>
        <v>0</v>
      </c>
      <c r="N363" s="131"/>
      <c r="O363" s="157">
        <f>IFERROR(VLOOKUP((LEFT(VLOOKUP($L363,'2-2 引出数据_合同数据仓库'!$B$5:$BP$200,64,FALSE),15)&amp;(RIGHT(VLOOKUP($L363,'2-2 引出数据_合同数据仓库'!$B$5:$BP$200,64,FALSE),4)+1)),'2-2 引出数据_合同数据仓库'!$B$5:$BP$200,3,FALSE),0)</f>
        <v>0</v>
      </c>
      <c r="P363" s="131"/>
      <c r="Q363" s="131">
        <f>IFERROR(VLOOKUP($L363,'2-2 引出数据_合同数据仓库'!$B$5:$BP$200,28,FALSE),0)</f>
        <v>0</v>
      </c>
      <c r="R363" s="131">
        <f>IFERROR(VLOOKUP($L363,'2-2 引出数据_合同数据仓库'!$B$5:$BP$200,29,FALSE),0)</f>
        <v>0</v>
      </c>
      <c r="S363" s="131">
        <f>IFERROR(VLOOKUP($L363,'2-2 引出数据_合同数据仓库'!$B$5:$BP$200,4,FALSE),0)</f>
        <v>0</v>
      </c>
      <c r="T363" s="131"/>
      <c r="U363" s="131">
        <f>IFERROR(VLOOKUP($L363,'2-2 引出数据_合同数据仓库'!$B$5:$BP$200,15,FALSE),0)</f>
        <v>0</v>
      </c>
      <c r="V363" s="131">
        <f t="shared" si="4286"/>
        <v>0</v>
      </c>
      <c r="W363" s="131"/>
      <c r="X363" s="163">
        <v>45658</v>
      </c>
      <c r="Y363" s="163">
        <f t="shared" si="4287"/>
        <v>45688</v>
      </c>
      <c r="Z363" s="167">
        <f t="shared" si="4288"/>
        <v>0</v>
      </c>
      <c r="AA363" s="163">
        <f t="shared" si="4289"/>
        <v>45689</v>
      </c>
      <c r="AB363" s="163">
        <f t="shared" si="4290"/>
        <v>45716</v>
      </c>
      <c r="AC363" s="167">
        <f t="shared" si="4291"/>
        <v>0</v>
      </c>
      <c r="AD363" s="163">
        <f t="shared" si="4292"/>
        <v>45717</v>
      </c>
      <c r="AE363" s="163">
        <f t="shared" si="4293"/>
        <v>45747</v>
      </c>
      <c r="AF363" s="167">
        <f t="shared" si="4294"/>
        <v>0</v>
      </c>
      <c r="AG363" s="163">
        <f t="shared" si="4295"/>
        <v>45748</v>
      </c>
      <c r="AH363" s="163">
        <f t="shared" si="4296"/>
        <v>45777</v>
      </c>
      <c r="AI363" s="167">
        <f t="shared" si="4297"/>
        <v>0</v>
      </c>
      <c r="AJ363" s="163">
        <f t="shared" si="4298"/>
        <v>45778</v>
      </c>
      <c r="AK363" s="163">
        <f t="shared" si="4299"/>
        <v>45808</v>
      </c>
      <c r="AL363" s="167">
        <f t="shared" si="4300"/>
        <v>0</v>
      </c>
      <c r="AM363" s="163">
        <f t="shared" si="4301"/>
        <v>45809</v>
      </c>
      <c r="AN363" s="163">
        <f t="shared" si="4302"/>
        <v>45838</v>
      </c>
      <c r="AO363" s="167">
        <f t="shared" si="4303"/>
        <v>0</v>
      </c>
      <c r="AP363" s="163">
        <f t="shared" si="4304"/>
        <v>45839</v>
      </c>
      <c r="AQ363" s="163">
        <f t="shared" si="4305"/>
        <v>45869</v>
      </c>
      <c r="AR363" s="167">
        <f t="shared" si="4306"/>
        <v>0</v>
      </c>
      <c r="AS363" s="163">
        <f t="shared" si="4307"/>
        <v>45870</v>
      </c>
      <c r="AT363" s="163">
        <f t="shared" si="4308"/>
        <v>45900</v>
      </c>
      <c r="AU363" s="167">
        <f t="shared" si="4309"/>
        <v>0</v>
      </c>
      <c r="AV363" s="163">
        <f t="shared" si="4310"/>
        <v>45901</v>
      </c>
      <c r="AW363" s="163">
        <f t="shared" si="4311"/>
        <v>45930</v>
      </c>
      <c r="AX363" s="167">
        <f t="shared" si="4312"/>
        <v>0</v>
      </c>
      <c r="AY363" s="163">
        <f t="shared" si="4313"/>
        <v>45931</v>
      </c>
      <c r="AZ363" s="163">
        <f t="shared" si="4314"/>
        <v>45961</v>
      </c>
      <c r="BA363" s="167">
        <f t="shared" si="4315"/>
        <v>0</v>
      </c>
      <c r="BB363" s="163">
        <f t="shared" si="4316"/>
        <v>45962</v>
      </c>
      <c r="BC363" s="163">
        <f t="shared" si="4317"/>
        <v>45991</v>
      </c>
      <c r="BD363" s="167">
        <f t="shared" si="4318"/>
        <v>0</v>
      </c>
      <c r="BE363" s="163">
        <f t="shared" si="4319"/>
        <v>45992</v>
      </c>
      <c r="BF363" s="163">
        <f t="shared" si="4320"/>
        <v>46022</v>
      </c>
      <c r="BG363" s="167">
        <f t="shared" si="4321"/>
        <v>0</v>
      </c>
      <c r="BH363" s="163">
        <v>46023</v>
      </c>
      <c r="BI363" s="163">
        <f t="shared" si="4322"/>
        <v>46053</v>
      </c>
      <c r="BJ363" s="167">
        <f t="shared" si="4323"/>
        <v>0</v>
      </c>
      <c r="BK363" s="163">
        <f t="shared" si="4324"/>
        <v>46054</v>
      </c>
      <c r="BL363" s="163">
        <f t="shared" si="4325"/>
        <v>46081</v>
      </c>
      <c r="BM363" s="167">
        <f t="shared" si="4326"/>
        <v>0</v>
      </c>
      <c r="BN363" s="163">
        <f t="shared" si="4327"/>
        <v>46082</v>
      </c>
      <c r="BO363" s="163">
        <f t="shared" si="4328"/>
        <v>46112</v>
      </c>
      <c r="BP363" s="167">
        <f t="shared" si="4329"/>
        <v>0</v>
      </c>
      <c r="BQ363" s="163">
        <f t="shared" si="4330"/>
        <v>46113</v>
      </c>
      <c r="BR363" s="163">
        <f t="shared" si="4331"/>
        <v>46142</v>
      </c>
      <c r="BS363" s="167">
        <f t="shared" si="4332"/>
        <v>0</v>
      </c>
      <c r="BT363" s="163">
        <f t="shared" si="4333"/>
        <v>46143</v>
      </c>
      <c r="BU363" s="163">
        <f t="shared" si="4334"/>
        <v>46173</v>
      </c>
      <c r="BV363" s="167">
        <f t="shared" si="4335"/>
        <v>0</v>
      </c>
      <c r="BW363" s="163">
        <f t="shared" si="4336"/>
        <v>46174</v>
      </c>
      <c r="BX363" s="163">
        <f t="shared" si="4337"/>
        <v>46203</v>
      </c>
      <c r="BY363" s="167">
        <f t="shared" si="4338"/>
        <v>0</v>
      </c>
      <c r="BZ363" s="163">
        <f t="shared" si="4339"/>
        <v>46204</v>
      </c>
      <c r="CA363" s="163">
        <f t="shared" si="4340"/>
        <v>46234</v>
      </c>
      <c r="CB363" s="167">
        <f t="shared" si="4341"/>
        <v>0</v>
      </c>
      <c r="CC363" s="163">
        <f t="shared" si="4342"/>
        <v>46235</v>
      </c>
      <c r="CD363" s="163">
        <f t="shared" si="4343"/>
        <v>46265</v>
      </c>
      <c r="CE363" s="167">
        <f t="shared" si="4344"/>
        <v>0</v>
      </c>
      <c r="CF363" s="163">
        <f t="shared" si="4345"/>
        <v>46266</v>
      </c>
      <c r="CG363" s="163">
        <f t="shared" si="4346"/>
        <v>46295</v>
      </c>
      <c r="CH363" s="167">
        <f t="shared" si="4347"/>
        <v>0</v>
      </c>
      <c r="CI363" s="163">
        <f t="shared" si="4348"/>
        <v>46296</v>
      </c>
      <c r="CJ363" s="163">
        <f t="shared" si="4349"/>
        <v>46326</v>
      </c>
      <c r="CK363" s="167">
        <f t="shared" si="4350"/>
        <v>0</v>
      </c>
      <c r="CL363" s="163">
        <f t="shared" si="4351"/>
        <v>46327</v>
      </c>
      <c r="CM363" s="163">
        <f t="shared" si="4352"/>
        <v>46356</v>
      </c>
      <c r="CN363" s="167">
        <f t="shared" si="4353"/>
        <v>0</v>
      </c>
      <c r="CO363" s="163">
        <f t="shared" si="4354"/>
        <v>46357</v>
      </c>
      <c r="CP363" s="163">
        <f t="shared" si="4355"/>
        <v>46387</v>
      </c>
      <c r="CQ363" s="167">
        <f t="shared" si="4356"/>
        <v>0</v>
      </c>
    </row>
    <row r="364" s="89" customFormat="1" ht="24" hidden="1" customHeight="1" outlineLevel="4" spans="1:95">
      <c r="A364" s="128"/>
      <c r="B364" s="129"/>
      <c r="C364" s="130"/>
      <c r="D364" s="128"/>
      <c r="E364" s="129"/>
      <c r="F364" s="129"/>
      <c r="G364" s="129"/>
      <c r="H364" s="131"/>
      <c r="I364" s="131"/>
      <c r="J364" s="131">
        <f t="shared" si="3853"/>
        <v>0</v>
      </c>
      <c r="K364" s="131">
        <f t="shared" si="4357"/>
        <v>3</v>
      </c>
      <c r="L364" s="156"/>
      <c r="M364" s="157">
        <f>IFERROR(VLOOKUP($L364,'2-2 引出数据_合同数据仓库'!$B$5:$BP$200,3,FALSE),0)</f>
        <v>0</v>
      </c>
      <c r="N364" s="131"/>
      <c r="O364" s="157">
        <f>IFERROR(VLOOKUP((LEFT(VLOOKUP($L364,'2-2 引出数据_合同数据仓库'!$B$5:$BP$200,64,FALSE),15)&amp;(RIGHT(VLOOKUP($L364,'2-2 引出数据_合同数据仓库'!$B$5:$BP$200,64,FALSE),4)+1)),'2-2 引出数据_合同数据仓库'!$B$5:$BP$200,3,FALSE),0)</f>
        <v>0</v>
      </c>
      <c r="P364" s="131"/>
      <c r="Q364" s="131">
        <f>IFERROR(VLOOKUP($L364,'2-2 引出数据_合同数据仓库'!$B$5:$BP$200,28,FALSE),0)</f>
        <v>0</v>
      </c>
      <c r="R364" s="131">
        <f>IFERROR(VLOOKUP($L364,'2-2 引出数据_合同数据仓库'!$B$5:$BP$200,29,FALSE),0)</f>
        <v>0</v>
      </c>
      <c r="S364" s="131">
        <f>IFERROR(VLOOKUP($L364,'2-2 引出数据_合同数据仓库'!$B$5:$BP$200,4,FALSE),0)</f>
        <v>0</v>
      </c>
      <c r="T364" s="131"/>
      <c r="U364" s="131">
        <f>IFERROR(VLOOKUP($L364,'2-2 引出数据_合同数据仓库'!$B$5:$BP$200,15,FALSE),0)</f>
        <v>0</v>
      </c>
      <c r="V364" s="131">
        <f t="shared" si="4286"/>
        <v>0</v>
      </c>
      <c r="W364" s="131"/>
      <c r="X364" s="163">
        <v>45658</v>
      </c>
      <c r="Y364" s="163">
        <f t="shared" si="4287"/>
        <v>45688</v>
      </c>
      <c r="Z364" s="167">
        <f t="shared" si="4288"/>
        <v>0</v>
      </c>
      <c r="AA364" s="163">
        <f t="shared" si="4289"/>
        <v>45689</v>
      </c>
      <c r="AB364" s="163">
        <f t="shared" si="4290"/>
        <v>45716</v>
      </c>
      <c r="AC364" s="167">
        <f t="shared" si="4291"/>
        <v>0</v>
      </c>
      <c r="AD364" s="163">
        <f t="shared" si="4292"/>
        <v>45717</v>
      </c>
      <c r="AE364" s="163">
        <f t="shared" si="4293"/>
        <v>45747</v>
      </c>
      <c r="AF364" s="167">
        <f t="shared" si="4294"/>
        <v>0</v>
      </c>
      <c r="AG364" s="163">
        <f t="shared" si="4295"/>
        <v>45748</v>
      </c>
      <c r="AH364" s="163">
        <f t="shared" si="4296"/>
        <v>45777</v>
      </c>
      <c r="AI364" s="167">
        <f t="shared" si="4297"/>
        <v>0</v>
      </c>
      <c r="AJ364" s="163">
        <f t="shared" si="4298"/>
        <v>45778</v>
      </c>
      <c r="AK364" s="163">
        <f t="shared" si="4299"/>
        <v>45808</v>
      </c>
      <c r="AL364" s="167">
        <f t="shared" si="4300"/>
        <v>0</v>
      </c>
      <c r="AM364" s="163">
        <f t="shared" si="4301"/>
        <v>45809</v>
      </c>
      <c r="AN364" s="163">
        <f t="shared" si="4302"/>
        <v>45838</v>
      </c>
      <c r="AO364" s="167">
        <f t="shared" si="4303"/>
        <v>0</v>
      </c>
      <c r="AP364" s="163">
        <f t="shared" si="4304"/>
        <v>45839</v>
      </c>
      <c r="AQ364" s="163">
        <f t="shared" si="4305"/>
        <v>45869</v>
      </c>
      <c r="AR364" s="167">
        <f t="shared" si="4306"/>
        <v>0</v>
      </c>
      <c r="AS364" s="163">
        <f t="shared" si="4307"/>
        <v>45870</v>
      </c>
      <c r="AT364" s="163">
        <f t="shared" si="4308"/>
        <v>45900</v>
      </c>
      <c r="AU364" s="167">
        <f t="shared" si="4309"/>
        <v>0</v>
      </c>
      <c r="AV364" s="163">
        <f t="shared" si="4310"/>
        <v>45901</v>
      </c>
      <c r="AW364" s="163">
        <f t="shared" si="4311"/>
        <v>45930</v>
      </c>
      <c r="AX364" s="167">
        <f t="shared" si="4312"/>
        <v>0</v>
      </c>
      <c r="AY364" s="163">
        <f t="shared" si="4313"/>
        <v>45931</v>
      </c>
      <c r="AZ364" s="163">
        <f t="shared" si="4314"/>
        <v>45961</v>
      </c>
      <c r="BA364" s="167">
        <f t="shared" si="4315"/>
        <v>0</v>
      </c>
      <c r="BB364" s="163">
        <f t="shared" si="4316"/>
        <v>45962</v>
      </c>
      <c r="BC364" s="163">
        <f t="shared" si="4317"/>
        <v>45991</v>
      </c>
      <c r="BD364" s="167">
        <f t="shared" si="4318"/>
        <v>0</v>
      </c>
      <c r="BE364" s="163">
        <f t="shared" si="4319"/>
        <v>45992</v>
      </c>
      <c r="BF364" s="163">
        <f t="shared" si="4320"/>
        <v>46022</v>
      </c>
      <c r="BG364" s="167">
        <f t="shared" si="4321"/>
        <v>0</v>
      </c>
      <c r="BH364" s="163">
        <v>46023</v>
      </c>
      <c r="BI364" s="163">
        <f t="shared" si="4322"/>
        <v>46053</v>
      </c>
      <c r="BJ364" s="167">
        <f t="shared" si="4323"/>
        <v>0</v>
      </c>
      <c r="BK364" s="163">
        <f t="shared" si="4324"/>
        <v>46054</v>
      </c>
      <c r="BL364" s="163">
        <f t="shared" si="4325"/>
        <v>46081</v>
      </c>
      <c r="BM364" s="167">
        <f t="shared" si="4326"/>
        <v>0</v>
      </c>
      <c r="BN364" s="163">
        <f t="shared" si="4327"/>
        <v>46082</v>
      </c>
      <c r="BO364" s="163">
        <f t="shared" si="4328"/>
        <v>46112</v>
      </c>
      <c r="BP364" s="167">
        <f t="shared" si="4329"/>
        <v>0</v>
      </c>
      <c r="BQ364" s="163">
        <f t="shared" si="4330"/>
        <v>46113</v>
      </c>
      <c r="BR364" s="163">
        <f t="shared" si="4331"/>
        <v>46142</v>
      </c>
      <c r="BS364" s="167">
        <f t="shared" si="4332"/>
        <v>0</v>
      </c>
      <c r="BT364" s="163">
        <f t="shared" si="4333"/>
        <v>46143</v>
      </c>
      <c r="BU364" s="163">
        <f t="shared" si="4334"/>
        <v>46173</v>
      </c>
      <c r="BV364" s="167">
        <f t="shared" si="4335"/>
        <v>0</v>
      </c>
      <c r="BW364" s="163">
        <f t="shared" si="4336"/>
        <v>46174</v>
      </c>
      <c r="BX364" s="163">
        <f t="shared" si="4337"/>
        <v>46203</v>
      </c>
      <c r="BY364" s="167">
        <f t="shared" si="4338"/>
        <v>0</v>
      </c>
      <c r="BZ364" s="163">
        <f t="shared" si="4339"/>
        <v>46204</v>
      </c>
      <c r="CA364" s="163">
        <f t="shared" si="4340"/>
        <v>46234</v>
      </c>
      <c r="CB364" s="167">
        <f t="shared" si="4341"/>
        <v>0</v>
      </c>
      <c r="CC364" s="163">
        <f t="shared" si="4342"/>
        <v>46235</v>
      </c>
      <c r="CD364" s="163">
        <f t="shared" si="4343"/>
        <v>46265</v>
      </c>
      <c r="CE364" s="167">
        <f t="shared" si="4344"/>
        <v>0</v>
      </c>
      <c r="CF364" s="163">
        <f t="shared" si="4345"/>
        <v>46266</v>
      </c>
      <c r="CG364" s="163">
        <f t="shared" si="4346"/>
        <v>46295</v>
      </c>
      <c r="CH364" s="167">
        <f t="shared" si="4347"/>
        <v>0</v>
      </c>
      <c r="CI364" s="163">
        <f t="shared" si="4348"/>
        <v>46296</v>
      </c>
      <c r="CJ364" s="163">
        <f t="shared" si="4349"/>
        <v>46326</v>
      </c>
      <c r="CK364" s="167">
        <f t="shared" si="4350"/>
        <v>0</v>
      </c>
      <c r="CL364" s="163">
        <f t="shared" si="4351"/>
        <v>46327</v>
      </c>
      <c r="CM364" s="163">
        <f t="shared" si="4352"/>
        <v>46356</v>
      </c>
      <c r="CN364" s="167">
        <f t="shared" si="4353"/>
        <v>0</v>
      </c>
      <c r="CO364" s="163">
        <f t="shared" si="4354"/>
        <v>46357</v>
      </c>
      <c r="CP364" s="163">
        <f t="shared" si="4355"/>
        <v>46387</v>
      </c>
      <c r="CQ364" s="167">
        <f t="shared" si="4356"/>
        <v>0</v>
      </c>
    </row>
    <row r="365" s="89" customFormat="1" ht="24" hidden="1" customHeight="1" outlineLevel="4" spans="1:95">
      <c r="A365" s="128"/>
      <c r="B365" s="129"/>
      <c r="C365" s="130"/>
      <c r="D365" s="128"/>
      <c r="E365" s="129"/>
      <c r="F365" s="129"/>
      <c r="G365" s="129"/>
      <c r="H365" s="131"/>
      <c r="I365" s="131"/>
      <c r="J365" s="131">
        <f t="shared" si="3853"/>
        <v>0</v>
      </c>
      <c r="K365" s="131">
        <f t="shared" si="4357"/>
        <v>4</v>
      </c>
      <c r="L365" s="156"/>
      <c r="M365" s="157">
        <f>IFERROR(VLOOKUP($L365,'2-2 引出数据_合同数据仓库'!$B$5:$BP$200,3,FALSE),0)</f>
        <v>0</v>
      </c>
      <c r="N365" s="131"/>
      <c r="O365" s="157">
        <f>IFERROR(VLOOKUP((LEFT(VLOOKUP($L365,'2-2 引出数据_合同数据仓库'!$B$5:$BP$200,64,FALSE),15)&amp;(RIGHT(VLOOKUP($L365,'2-2 引出数据_合同数据仓库'!$B$5:$BP$200,64,FALSE),4)+1)),'2-2 引出数据_合同数据仓库'!$B$5:$BP$200,3,FALSE),0)</f>
        <v>0</v>
      </c>
      <c r="P365" s="131"/>
      <c r="Q365" s="131">
        <f>IFERROR(VLOOKUP($L365,'2-2 引出数据_合同数据仓库'!$B$5:$BP$200,28,FALSE),0)</f>
        <v>0</v>
      </c>
      <c r="R365" s="131">
        <f>IFERROR(VLOOKUP($L365,'2-2 引出数据_合同数据仓库'!$B$5:$BP$200,29,FALSE),0)</f>
        <v>0</v>
      </c>
      <c r="S365" s="131">
        <f>IFERROR(VLOOKUP($L365,'2-2 引出数据_合同数据仓库'!$B$5:$BP$200,4,FALSE),0)</f>
        <v>0</v>
      </c>
      <c r="T365" s="131"/>
      <c r="U365" s="131">
        <f>IFERROR(VLOOKUP($L365,'2-2 引出数据_合同数据仓库'!$B$5:$BP$200,15,FALSE),0)</f>
        <v>0</v>
      </c>
      <c r="V365" s="131">
        <f t="shared" si="4286"/>
        <v>0</v>
      </c>
      <c r="W365" s="131"/>
      <c r="X365" s="163">
        <v>45658</v>
      </c>
      <c r="Y365" s="163">
        <f t="shared" si="4287"/>
        <v>45688</v>
      </c>
      <c r="Z365" s="167">
        <f t="shared" si="4288"/>
        <v>0</v>
      </c>
      <c r="AA365" s="163">
        <f t="shared" si="4289"/>
        <v>45689</v>
      </c>
      <c r="AB365" s="163">
        <f t="shared" si="4290"/>
        <v>45716</v>
      </c>
      <c r="AC365" s="167">
        <f t="shared" si="4291"/>
        <v>0</v>
      </c>
      <c r="AD365" s="163">
        <f t="shared" si="4292"/>
        <v>45717</v>
      </c>
      <c r="AE365" s="163">
        <f t="shared" si="4293"/>
        <v>45747</v>
      </c>
      <c r="AF365" s="167">
        <f t="shared" si="4294"/>
        <v>0</v>
      </c>
      <c r="AG365" s="163">
        <f t="shared" si="4295"/>
        <v>45748</v>
      </c>
      <c r="AH365" s="163">
        <f t="shared" si="4296"/>
        <v>45777</v>
      </c>
      <c r="AI365" s="167">
        <f t="shared" si="4297"/>
        <v>0</v>
      </c>
      <c r="AJ365" s="163">
        <f t="shared" si="4298"/>
        <v>45778</v>
      </c>
      <c r="AK365" s="163">
        <f t="shared" si="4299"/>
        <v>45808</v>
      </c>
      <c r="AL365" s="167">
        <f t="shared" si="4300"/>
        <v>0</v>
      </c>
      <c r="AM365" s="163">
        <f t="shared" si="4301"/>
        <v>45809</v>
      </c>
      <c r="AN365" s="163">
        <f t="shared" si="4302"/>
        <v>45838</v>
      </c>
      <c r="AO365" s="167">
        <f t="shared" si="4303"/>
        <v>0</v>
      </c>
      <c r="AP365" s="163">
        <f t="shared" si="4304"/>
        <v>45839</v>
      </c>
      <c r="AQ365" s="163">
        <f t="shared" si="4305"/>
        <v>45869</v>
      </c>
      <c r="AR365" s="167">
        <f t="shared" si="4306"/>
        <v>0</v>
      </c>
      <c r="AS365" s="163">
        <f t="shared" si="4307"/>
        <v>45870</v>
      </c>
      <c r="AT365" s="163">
        <f t="shared" si="4308"/>
        <v>45900</v>
      </c>
      <c r="AU365" s="167">
        <f t="shared" si="4309"/>
        <v>0</v>
      </c>
      <c r="AV365" s="163">
        <f t="shared" si="4310"/>
        <v>45901</v>
      </c>
      <c r="AW365" s="163">
        <f t="shared" si="4311"/>
        <v>45930</v>
      </c>
      <c r="AX365" s="167">
        <f t="shared" si="4312"/>
        <v>0</v>
      </c>
      <c r="AY365" s="163">
        <f t="shared" si="4313"/>
        <v>45931</v>
      </c>
      <c r="AZ365" s="163">
        <f t="shared" si="4314"/>
        <v>45961</v>
      </c>
      <c r="BA365" s="167">
        <f t="shared" si="4315"/>
        <v>0</v>
      </c>
      <c r="BB365" s="163">
        <f t="shared" si="4316"/>
        <v>45962</v>
      </c>
      <c r="BC365" s="163">
        <f t="shared" si="4317"/>
        <v>45991</v>
      </c>
      <c r="BD365" s="167">
        <f t="shared" si="4318"/>
        <v>0</v>
      </c>
      <c r="BE365" s="163">
        <f t="shared" si="4319"/>
        <v>45992</v>
      </c>
      <c r="BF365" s="163">
        <f t="shared" si="4320"/>
        <v>46022</v>
      </c>
      <c r="BG365" s="167">
        <f t="shared" si="4321"/>
        <v>0</v>
      </c>
      <c r="BH365" s="163">
        <v>46023</v>
      </c>
      <c r="BI365" s="163">
        <f t="shared" si="4322"/>
        <v>46053</v>
      </c>
      <c r="BJ365" s="167">
        <f t="shared" si="4323"/>
        <v>0</v>
      </c>
      <c r="BK365" s="163">
        <f t="shared" si="4324"/>
        <v>46054</v>
      </c>
      <c r="BL365" s="163">
        <f t="shared" si="4325"/>
        <v>46081</v>
      </c>
      <c r="BM365" s="167">
        <f t="shared" si="4326"/>
        <v>0</v>
      </c>
      <c r="BN365" s="163">
        <f t="shared" si="4327"/>
        <v>46082</v>
      </c>
      <c r="BO365" s="163">
        <f t="shared" si="4328"/>
        <v>46112</v>
      </c>
      <c r="BP365" s="167">
        <f t="shared" si="4329"/>
        <v>0</v>
      </c>
      <c r="BQ365" s="163">
        <f t="shared" si="4330"/>
        <v>46113</v>
      </c>
      <c r="BR365" s="163">
        <f t="shared" si="4331"/>
        <v>46142</v>
      </c>
      <c r="BS365" s="167">
        <f t="shared" si="4332"/>
        <v>0</v>
      </c>
      <c r="BT365" s="163">
        <f t="shared" si="4333"/>
        <v>46143</v>
      </c>
      <c r="BU365" s="163">
        <f t="shared" si="4334"/>
        <v>46173</v>
      </c>
      <c r="BV365" s="167">
        <f t="shared" si="4335"/>
        <v>0</v>
      </c>
      <c r="BW365" s="163">
        <f t="shared" si="4336"/>
        <v>46174</v>
      </c>
      <c r="BX365" s="163">
        <f t="shared" si="4337"/>
        <v>46203</v>
      </c>
      <c r="BY365" s="167">
        <f t="shared" si="4338"/>
        <v>0</v>
      </c>
      <c r="BZ365" s="163">
        <f t="shared" si="4339"/>
        <v>46204</v>
      </c>
      <c r="CA365" s="163">
        <f t="shared" si="4340"/>
        <v>46234</v>
      </c>
      <c r="CB365" s="167">
        <f t="shared" si="4341"/>
        <v>0</v>
      </c>
      <c r="CC365" s="163">
        <f t="shared" si="4342"/>
        <v>46235</v>
      </c>
      <c r="CD365" s="163">
        <f t="shared" si="4343"/>
        <v>46265</v>
      </c>
      <c r="CE365" s="167">
        <f t="shared" si="4344"/>
        <v>0</v>
      </c>
      <c r="CF365" s="163">
        <f t="shared" si="4345"/>
        <v>46266</v>
      </c>
      <c r="CG365" s="163">
        <f t="shared" si="4346"/>
        <v>46295</v>
      </c>
      <c r="CH365" s="167">
        <f t="shared" si="4347"/>
        <v>0</v>
      </c>
      <c r="CI365" s="163">
        <f t="shared" si="4348"/>
        <v>46296</v>
      </c>
      <c r="CJ365" s="163">
        <f t="shared" si="4349"/>
        <v>46326</v>
      </c>
      <c r="CK365" s="167">
        <f t="shared" si="4350"/>
        <v>0</v>
      </c>
      <c r="CL365" s="163">
        <f t="shared" si="4351"/>
        <v>46327</v>
      </c>
      <c r="CM365" s="163">
        <f t="shared" si="4352"/>
        <v>46356</v>
      </c>
      <c r="CN365" s="167">
        <f t="shared" si="4353"/>
        <v>0</v>
      </c>
      <c r="CO365" s="163">
        <f t="shared" si="4354"/>
        <v>46357</v>
      </c>
      <c r="CP365" s="163">
        <f t="shared" si="4355"/>
        <v>46387</v>
      </c>
      <c r="CQ365" s="167">
        <f t="shared" si="4356"/>
        <v>0</v>
      </c>
    </row>
    <row r="366" s="89" customFormat="1" ht="24" hidden="1" customHeight="1" outlineLevel="4" spans="1:95">
      <c r="A366" s="132" t="s">
        <v>2813</v>
      </c>
      <c r="B366" s="133"/>
      <c r="C366" s="133"/>
      <c r="D366" s="133"/>
      <c r="E366" s="133"/>
      <c r="F366" s="133"/>
      <c r="G366" s="134"/>
      <c r="H366" s="135"/>
      <c r="I366" s="135"/>
      <c r="J366" s="135"/>
      <c r="K366" s="135"/>
      <c r="L366" s="158"/>
      <c r="M366" s="158"/>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c r="CL366" s="135"/>
      <c r="CM366" s="135"/>
      <c r="CN366" s="135"/>
      <c r="CO366" s="135"/>
      <c r="CP366" s="135"/>
      <c r="CQ366" s="135"/>
    </row>
    <row r="367" ht="24" hidden="1" customHeight="1" outlineLevel="3" collapsed="1" spans="1:95">
      <c r="A367" s="124"/>
      <c r="B367" s="125" t="s">
        <v>792</v>
      </c>
      <c r="C367" s="126" t="s">
        <v>1334</v>
      </c>
      <c r="D367" s="124" t="s">
        <v>1335</v>
      </c>
      <c r="E367" s="125" t="s">
        <v>1336</v>
      </c>
      <c r="F367" s="125"/>
      <c r="G367" s="125"/>
      <c r="H367" s="127">
        <f>X367+AA367+AD367+AG367+AJ367+AM367+AP367+AS367+AV367+AY367+BB367+BE367</f>
        <v>0</v>
      </c>
      <c r="I367" s="127">
        <f>Y367+AB367+AE367+AH367+AK367+AN367+AQ367+AT367+AW367+AZ367+BC367+BF367</f>
        <v>-60641.7534246575</v>
      </c>
      <c r="J367" s="127">
        <f t="shared" si="3853"/>
        <v>60641.7534246575</v>
      </c>
      <c r="K367" s="127"/>
      <c r="L367" s="155"/>
      <c r="M367" s="155"/>
      <c r="N367" s="127"/>
      <c r="O367" s="127"/>
      <c r="P367" s="127"/>
      <c r="Q367" s="127"/>
      <c r="R367" s="127"/>
      <c r="S367" s="127"/>
      <c r="T367" s="127"/>
      <c r="U367" s="127"/>
      <c r="V367" s="127"/>
      <c r="W367" s="127"/>
      <c r="X367" s="127">
        <f>VLOOKUP($C367,'1 预算编制表单'!$C:$BJ,27,FALSE)</f>
        <v>0</v>
      </c>
      <c r="Y367" s="127">
        <f>X367-Z367</f>
        <v>-5221.92876712329</v>
      </c>
      <c r="Z367" s="127">
        <f>SUM(Z368:Z372)</f>
        <v>5221.92876712329</v>
      </c>
      <c r="AA367" s="127">
        <f>VLOOKUP($C367,'1 预算编制表单'!$C:$BJ,30,FALSE)</f>
        <v>0</v>
      </c>
      <c r="AB367" s="127">
        <f>AA367-AC367</f>
        <v>-4716.58082191781</v>
      </c>
      <c r="AC367" s="127">
        <f>SUM(AC368:AC372)</f>
        <v>4716.58082191781</v>
      </c>
      <c r="AD367" s="127">
        <f>VLOOKUP($C367,'1 预算编制表单'!$C:$BJ,33,FALSE)</f>
        <v>0</v>
      </c>
      <c r="AE367" s="127">
        <f>AD367-AF367</f>
        <v>-5221.92876712329</v>
      </c>
      <c r="AF367" s="127">
        <f>SUM(AF368:AF372)</f>
        <v>5221.92876712329</v>
      </c>
      <c r="AG367" s="127">
        <f>VLOOKUP($C367,'1 预算编制表单'!$C:$BJ,36,FALSE)</f>
        <v>0</v>
      </c>
      <c r="AH367" s="127">
        <f>AG367-AI367</f>
        <v>-5053.47945205479</v>
      </c>
      <c r="AI367" s="127">
        <f>SUM(AI368:AI372)</f>
        <v>5053.47945205479</v>
      </c>
      <c r="AJ367" s="127">
        <f>VLOOKUP($C367,'1 预算编制表单'!$C:$BJ,39,FALSE)</f>
        <v>0</v>
      </c>
      <c r="AK367" s="127">
        <f>AJ367-AL367</f>
        <v>-5221.92876712329</v>
      </c>
      <c r="AL367" s="127">
        <f>SUM(AL368:AL372)</f>
        <v>5221.92876712329</v>
      </c>
      <c r="AM367" s="127">
        <f>VLOOKUP($C367,'1 预算编制表单'!$C:$BJ,42,FALSE)</f>
        <v>0</v>
      </c>
      <c r="AN367" s="127">
        <f>AM367-AO367</f>
        <v>-5053.47945205479</v>
      </c>
      <c r="AO367" s="127">
        <f>SUM(AO368:AO372)</f>
        <v>5053.47945205479</v>
      </c>
      <c r="AP367" s="127">
        <f>VLOOKUP($C367,'1 预算编制表单'!$C:$BJ,45,FALSE)</f>
        <v>0</v>
      </c>
      <c r="AQ367" s="127">
        <f>AP367-AR367</f>
        <v>-5221.92876712329</v>
      </c>
      <c r="AR367" s="127">
        <f>SUM(AR368:AR372)</f>
        <v>5221.92876712329</v>
      </c>
      <c r="AS367" s="127">
        <f>VLOOKUP($C367,'1 预算编制表单'!$C:$BJ,48,FALSE)</f>
        <v>0</v>
      </c>
      <c r="AT367" s="127">
        <f>AS367-AU367</f>
        <v>-5221.92876712329</v>
      </c>
      <c r="AU367" s="127">
        <f>SUM(AU368:AU372)</f>
        <v>5221.92876712329</v>
      </c>
      <c r="AV367" s="127">
        <f>VLOOKUP($C367,'1 预算编制表单'!$C:$BJ,51,FALSE)</f>
        <v>0</v>
      </c>
      <c r="AW367" s="127">
        <f>AV367-AX367</f>
        <v>-5053.47945205479</v>
      </c>
      <c r="AX367" s="127">
        <f>SUM(AX368:AX372)</f>
        <v>5053.47945205479</v>
      </c>
      <c r="AY367" s="127">
        <f>VLOOKUP($C367,'1 预算编制表单'!$C:$BJ,54,FALSE)</f>
        <v>0</v>
      </c>
      <c r="AZ367" s="127">
        <f>AY367-BA367</f>
        <v>-5221.92876712329</v>
      </c>
      <c r="BA367" s="127">
        <f>SUM(BA368:BA372)</f>
        <v>5221.92876712329</v>
      </c>
      <c r="BB367" s="127">
        <f>VLOOKUP($C367,'1 预算编制表单'!$C:$BJ,57,FALSE)</f>
        <v>0</v>
      </c>
      <c r="BC367" s="127">
        <f>BB367-BD367</f>
        <v>-5053.47945205479</v>
      </c>
      <c r="BD367" s="127">
        <f>SUM(BD368:BD372)</f>
        <v>5053.47945205479</v>
      </c>
      <c r="BE367" s="127">
        <f>VLOOKUP($C367,'1 预算编制表单'!$C:$BJ,60,FALSE)</f>
        <v>0</v>
      </c>
      <c r="BF367" s="127">
        <f>BE367-BG367</f>
        <v>-4379.68219178082</v>
      </c>
      <c r="BG367" s="127">
        <f>SUM(BG368:BG372)</f>
        <v>4379.68219178082</v>
      </c>
      <c r="BH367" s="127">
        <f>VLOOKUP($C367,'1 预算编制表单'!$C:$BJ,27,FALSE)</f>
        <v>0</v>
      </c>
      <c r="BI367" s="127">
        <f>BH367-BJ367</f>
        <v>0</v>
      </c>
      <c r="BJ367" s="127">
        <f>SUM(BJ368:BJ372)</f>
        <v>0</v>
      </c>
      <c r="BK367" s="127">
        <f>VLOOKUP($C367,'1 预算编制表单'!$C:$BJ,30,FALSE)</f>
        <v>0</v>
      </c>
      <c r="BL367" s="127">
        <f>BK367-BM367</f>
        <v>0</v>
      </c>
      <c r="BM367" s="127">
        <f>SUM(BM368:BM372)</f>
        <v>0</v>
      </c>
      <c r="BN367" s="127">
        <f>VLOOKUP($C367,'1 预算编制表单'!$C:$BJ,33,FALSE)</f>
        <v>0</v>
      </c>
      <c r="BO367" s="127">
        <f>BN367-BP367</f>
        <v>0</v>
      </c>
      <c r="BP367" s="127">
        <f>SUM(BP368:BP372)</f>
        <v>0</v>
      </c>
      <c r="BQ367" s="127">
        <f>VLOOKUP($C367,'1 预算编制表单'!$C:$BJ,36,FALSE)</f>
        <v>0</v>
      </c>
      <c r="BR367" s="127">
        <f>BQ367-BS367</f>
        <v>0</v>
      </c>
      <c r="BS367" s="127">
        <f>SUM(BS368:BS372)</f>
        <v>0</v>
      </c>
      <c r="BT367" s="127">
        <f>VLOOKUP($C367,'1 预算编制表单'!$C:$BJ,39,FALSE)</f>
        <v>0</v>
      </c>
      <c r="BU367" s="127">
        <f>BT367-BV367</f>
        <v>0</v>
      </c>
      <c r="BV367" s="127">
        <f>SUM(BV368:BV372)</f>
        <v>0</v>
      </c>
      <c r="BW367" s="127">
        <f>VLOOKUP($C367,'1 预算编制表单'!$C:$BJ,42,FALSE)</f>
        <v>0</v>
      </c>
      <c r="BX367" s="127">
        <f>BW367-BY367</f>
        <v>0</v>
      </c>
      <c r="BY367" s="127">
        <f>SUM(BY368:BY372)</f>
        <v>0</v>
      </c>
      <c r="BZ367" s="127">
        <f>VLOOKUP($C367,'1 预算编制表单'!$C:$BJ,45,FALSE)</f>
        <v>0</v>
      </c>
      <c r="CA367" s="127">
        <f>BZ367-CB367</f>
        <v>0</v>
      </c>
      <c r="CB367" s="127">
        <f>SUM(CB368:CB372)</f>
        <v>0</v>
      </c>
      <c r="CC367" s="127">
        <f>VLOOKUP($C367,'1 预算编制表单'!$C:$BJ,48,FALSE)</f>
        <v>0</v>
      </c>
      <c r="CD367" s="127">
        <f>CC367-CE367</f>
        <v>0</v>
      </c>
      <c r="CE367" s="127">
        <f>SUM(CE368:CE372)</f>
        <v>0</v>
      </c>
      <c r="CF367" s="127">
        <f>VLOOKUP($C367,'1 预算编制表单'!$C:$BJ,51,FALSE)</f>
        <v>0</v>
      </c>
      <c r="CG367" s="127">
        <f>CF367-CH367</f>
        <v>0</v>
      </c>
      <c r="CH367" s="127">
        <f>SUM(CH368:CH372)</f>
        <v>0</v>
      </c>
      <c r="CI367" s="127">
        <f>VLOOKUP($C367,'1 预算编制表单'!$C:$BJ,54,FALSE)</f>
        <v>0</v>
      </c>
      <c r="CJ367" s="127">
        <f>CI367-CK367</f>
        <v>0</v>
      </c>
      <c r="CK367" s="127">
        <f>SUM(CK368:CK372)</f>
        <v>0</v>
      </c>
      <c r="CL367" s="127">
        <f>VLOOKUP($C367,'1 预算编制表单'!$C:$BJ,57,FALSE)</f>
        <v>0</v>
      </c>
      <c r="CM367" s="127">
        <f>CL367-CN367</f>
        <v>0</v>
      </c>
      <c r="CN367" s="127">
        <f>SUM(CN368:CN372)</f>
        <v>0</v>
      </c>
      <c r="CO367" s="127">
        <f>VLOOKUP($C367,'1 预算编制表单'!$C:$BJ,60,FALSE)</f>
        <v>0</v>
      </c>
      <c r="CP367" s="127">
        <f>CO367-CQ367</f>
        <v>0</v>
      </c>
      <c r="CQ367" s="127">
        <f>SUM(CQ368:CQ372)</f>
        <v>0</v>
      </c>
    </row>
    <row r="368" s="89" customFormat="1" ht="24" hidden="1" customHeight="1" outlineLevel="4" spans="1:95">
      <c r="A368" s="128"/>
      <c r="B368" s="129"/>
      <c r="C368" s="130"/>
      <c r="D368" s="128"/>
      <c r="E368" s="129"/>
      <c r="F368" s="129"/>
      <c r="G368" s="129"/>
      <c r="H368" s="131"/>
      <c r="I368" s="131"/>
      <c r="J368" s="131">
        <f t="shared" si="3853"/>
        <v>54901.4794520548</v>
      </c>
      <c r="K368" s="131">
        <v>1</v>
      </c>
      <c r="L368" s="156" t="s">
        <v>2834</v>
      </c>
      <c r="M368" s="157" t="str">
        <f>IFERROR(VLOOKUP($L368,'2-2 引出数据_合同数据仓库'!$B$5:$BP$200,3,FALSE),0)</f>
        <v>深圳中海油大厦三楼智能门锁安装合同评审的申请</v>
      </c>
      <c r="N368" s="131"/>
      <c r="O368" s="157">
        <f>IFERROR(VLOOKUP((LEFT(VLOOKUP($L368,'2-2 引出数据_合同数据仓库'!$B$5:$BP$200,64,FALSE),15)&amp;(RIGHT(VLOOKUP($L368,'2-2 引出数据_合同数据仓库'!$B$5:$BP$200,64,FALSE),4)+1)),'2-2 引出数据_合同数据仓库'!$B$5:$BP$200,3,FALSE),0)</f>
        <v>0</v>
      </c>
      <c r="P368" s="131"/>
      <c r="Q368" s="131" t="str">
        <f>IFERROR(VLOOKUP($L368,'2-2 引出数据_合同数据仓库'!$B$5:$BP$200,28,FALSE),0)</f>
        <v>2024-12-27</v>
      </c>
      <c r="R368" s="131" t="str">
        <f>IFERROR(VLOOKUP($L368,'2-2 引出数据_合同数据仓库'!$B$5:$BP$200,29,FALSE),0)</f>
        <v>2024-12-27</v>
      </c>
      <c r="S368" s="131" t="str">
        <f>IFERROR(VLOOKUP($L368,'2-2 引出数据_合同数据仓库'!$B$5:$BP$200,4,FALSE),0)</f>
        <v>2025-12-26</v>
      </c>
      <c r="T368" s="131"/>
      <c r="U368" s="131">
        <f>IFERROR(VLOOKUP($L368,'2-2 引出数据_合同数据仓库'!$B$5:$BP$200,15,FALSE),0)</f>
        <v>55664</v>
      </c>
      <c r="V368" s="131">
        <f t="shared" ref="V368:V371" si="4358">U368/(S368-R368+1)*365</f>
        <v>55664</v>
      </c>
      <c r="W368" s="131"/>
      <c r="X368" s="163">
        <v>45658</v>
      </c>
      <c r="Y368" s="163">
        <f t="shared" ref="Y368:Y371" si="4359">X368+30</f>
        <v>45688</v>
      </c>
      <c r="Z368" s="167">
        <f t="shared" ref="Z368:Z371" si="4360">IFERROR(IF(($R368-Y368)&gt;=0,0,IF(($S368-X368)&lt;0,0,IF(AND(($S368-Y368)&gt;0,(X368-$R368)&gt;0),$V368/365*(Y368-X368+1),IF(AND(($S368-Y368)&lt;=0,(X368-$R368)&gt;0),$V368/365*($S368-X368+1),$V368/365*(Y368-$R368+1))))),0)</f>
        <v>4727.62739726027</v>
      </c>
      <c r="AA368" s="163">
        <f t="shared" ref="AA368:AA371" si="4361">Y368+1</f>
        <v>45689</v>
      </c>
      <c r="AB368" s="163">
        <f t="shared" ref="AB368:AB371" si="4362">AA368+27</f>
        <v>45716</v>
      </c>
      <c r="AC368" s="167">
        <f t="shared" ref="AC368:AC371" si="4363">IFERROR(IF(($R368-AB368)&gt;=0,0,IF(($S368-AA368)&lt;0,0,IF(AND(($S368-AB368)&gt;0,(AA368-$R368)&gt;0),$V368/365*(AB368-AA368+1),IF(AND(($S368-AB368)&lt;=0,(AA368-$R368)&gt;0),$V368/365*($S368-AA368+1),$V368/365*(AB368-$R368+1))))),0)</f>
        <v>4270.11506849315</v>
      </c>
      <c r="AD368" s="163">
        <f t="shared" ref="AD368:AD371" si="4364">AB368+1</f>
        <v>45717</v>
      </c>
      <c r="AE368" s="163">
        <f t="shared" ref="AE368:AE371" si="4365">AD368+30</f>
        <v>45747</v>
      </c>
      <c r="AF368" s="167">
        <f t="shared" ref="AF368:AF371" si="4366">IFERROR(IF(($R368-AE368)&gt;=0,0,IF(($S368-AD368)&lt;0,0,IF(AND(($S368-AE368)&gt;0,(AD368-$R368)&gt;0),$V368/365*(AE368-AD368+1),IF(AND(($S368-AE368)&lt;=0,(AD368-$R368)&gt;0),$V368/365*($S368-AD368+1),$V368/365*(AE368-$R368+1))))),0)</f>
        <v>4727.62739726027</v>
      </c>
      <c r="AG368" s="163">
        <f t="shared" ref="AG368:AG371" si="4367">AE368+1</f>
        <v>45748</v>
      </c>
      <c r="AH368" s="163">
        <f t="shared" ref="AH368:AH371" si="4368">AG368+29</f>
        <v>45777</v>
      </c>
      <c r="AI368" s="167">
        <f t="shared" ref="AI368:AI371" si="4369">IFERROR(IF(($R368-AH368)&gt;=0,0,IF(($S368-AG368)&lt;0,0,IF(AND(($S368-AH368)&gt;0,(AG368-$R368)&gt;0),$V368/365*(AH368-AG368+1),IF(AND(($S368-AH368)&lt;=0,(AG368-$R368)&gt;0),$V368/365*($S368-AG368+1),$V368/365*(AH368-$R368+1))))),0)</f>
        <v>4575.12328767123</v>
      </c>
      <c r="AJ368" s="163">
        <f t="shared" ref="AJ368:AJ371" si="4370">AH368+1</f>
        <v>45778</v>
      </c>
      <c r="AK368" s="163">
        <f t="shared" ref="AK368:AK371" si="4371">AJ368+30</f>
        <v>45808</v>
      </c>
      <c r="AL368" s="167">
        <f t="shared" ref="AL368:AL371" si="4372">IFERROR(IF(($R368-AK368)&gt;=0,0,IF(($S368-AJ368)&lt;0,0,IF(AND(($S368-AK368)&gt;0,(AJ368-$R368)&gt;0),$V368/365*(AK368-AJ368+1),IF(AND(($S368-AK368)&lt;=0,(AJ368-$R368)&gt;0),$V368/365*($S368-AJ368+1),$V368/365*(AK368-$R368+1))))),0)</f>
        <v>4727.62739726027</v>
      </c>
      <c r="AM368" s="163">
        <f t="shared" ref="AM368:AM371" si="4373">AK368+1</f>
        <v>45809</v>
      </c>
      <c r="AN368" s="163">
        <f t="shared" ref="AN368:AN371" si="4374">AM368+29</f>
        <v>45838</v>
      </c>
      <c r="AO368" s="167">
        <f t="shared" ref="AO368:AO371" si="4375">IFERROR(IF(($R368-AN368)&gt;=0,0,IF(($S368-AM368)&lt;0,0,IF(AND(($S368-AN368)&gt;0,(AM368-$R368)&gt;0),$V368/365*(AN368-AM368+1),IF(AND(($S368-AN368)&lt;=0,(AM368-$R368)&gt;0),$V368/365*($S368-AM368+1),$V368/365*(AN368-$R368+1))))),0)</f>
        <v>4575.12328767123</v>
      </c>
      <c r="AP368" s="163">
        <f t="shared" ref="AP368:AP371" si="4376">AN368+1</f>
        <v>45839</v>
      </c>
      <c r="AQ368" s="163">
        <f t="shared" ref="AQ368:AQ371" si="4377">AP368+30</f>
        <v>45869</v>
      </c>
      <c r="AR368" s="167">
        <f t="shared" ref="AR368:AR371" si="4378">IFERROR(IF(($R368-AQ368)&gt;=0,0,IF(($S368-AP368)&lt;0,0,IF(AND(($S368-AQ368)&gt;0,(AP368-$R368)&gt;0),$V368/365*(AQ368-AP368+1),IF(AND(($S368-AQ368)&lt;=0,(AP368-$R368)&gt;0),$V368/365*($S368-AP368+1),$V368/365*(AQ368-$R368+1))))),0)</f>
        <v>4727.62739726027</v>
      </c>
      <c r="AS368" s="163">
        <f t="shared" ref="AS368:AS371" si="4379">AQ368+1</f>
        <v>45870</v>
      </c>
      <c r="AT368" s="163">
        <f t="shared" ref="AT368:AT371" si="4380">AS368+30</f>
        <v>45900</v>
      </c>
      <c r="AU368" s="167">
        <f t="shared" ref="AU368:AU371" si="4381">IFERROR(IF(($R368-AT368)&gt;=0,0,IF(($S368-AS368)&lt;0,0,IF(AND(($S368-AT368)&gt;0,(AS368-$R368)&gt;0),$V368/365*(AT368-AS368+1),IF(AND(($S368-AT368)&lt;=0,(AS368-$R368)&gt;0),$V368/365*($S368-AS368+1),$V368/365*(AT368-$R368+1))))),0)</f>
        <v>4727.62739726027</v>
      </c>
      <c r="AV368" s="163">
        <f t="shared" ref="AV368:AV371" si="4382">AT368+1</f>
        <v>45901</v>
      </c>
      <c r="AW368" s="163">
        <f t="shared" ref="AW368:AW371" si="4383">AV368+29</f>
        <v>45930</v>
      </c>
      <c r="AX368" s="167">
        <f t="shared" ref="AX368:AX371" si="4384">IFERROR(IF(($R368-AW368)&gt;=0,0,IF(($S368-AV368)&lt;0,0,IF(AND(($S368-AW368)&gt;0,(AV368-$R368)&gt;0),$V368/365*(AW368-AV368+1),IF(AND(($S368-AW368)&lt;=0,(AV368-$R368)&gt;0),$V368/365*($S368-AV368+1),$V368/365*(AW368-$R368+1))))),0)</f>
        <v>4575.12328767123</v>
      </c>
      <c r="AY368" s="163">
        <f t="shared" ref="AY368:AY371" si="4385">AW368+1</f>
        <v>45931</v>
      </c>
      <c r="AZ368" s="163">
        <f t="shared" ref="AZ368:AZ371" si="4386">AY368+30</f>
        <v>45961</v>
      </c>
      <c r="BA368" s="167">
        <f t="shared" ref="BA368:BA371" si="4387">IFERROR(IF(($R368-AZ368)&gt;=0,0,IF(($S368-AY368)&lt;0,0,IF(AND(($S368-AZ368)&gt;0,(AY368-$R368)&gt;0),$V368/365*(AZ368-AY368+1),IF(AND(($S368-AZ368)&lt;=0,(AY368-$R368)&gt;0),$V368/365*($S368-AY368+1),$V368/365*(AZ368-$R368+1))))),0)</f>
        <v>4727.62739726027</v>
      </c>
      <c r="BB368" s="163">
        <f t="shared" ref="BB368:BB371" si="4388">AZ368+1</f>
        <v>45962</v>
      </c>
      <c r="BC368" s="163">
        <f t="shared" ref="BC368:BC371" si="4389">BB368+29</f>
        <v>45991</v>
      </c>
      <c r="BD368" s="167">
        <f t="shared" ref="BD368:BD371" si="4390">IFERROR(IF(($R368-BC368)&gt;=0,0,IF(($S368-BB368)&lt;0,0,IF(AND(($S368-BC368)&gt;0,(BB368-$R368)&gt;0),$V368/365*(BC368-BB368+1),IF(AND(($S368-BC368)&lt;=0,(BB368-$R368)&gt;0),$V368/365*($S368-BB368+1),$V368/365*(BC368-$R368+1))))),0)</f>
        <v>4575.12328767123</v>
      </c>
      <c r="BE368" s="163">
        <f t="shared" ref="BE368:BE371" si="4391">BC368+1</f>
        <v>45992</v>
      </c>
      <c r="BF368" s="163">
        <f t="shared" ref="BF368:BF371" si="4392">BE368+30</f>
        <v>46022</v>
      </c>
      <c r="BG368" s="167">
        <f t="shared" ref="BG368:BG371" si="4393">IFERROR(IF(($R368-BF368)&gt;=0,0,IF(($S368-BE368)&lt;0,0,IF(AND(($S368-BF368)&gt;0,(BE368-$R368)&gt;0),$V368/365*(BF368-BE368+1),IF(AND(($S368-BF368)&lt;=0,(BE368-$R368)&gt;0),$V368/365*($S368-BE368+1),$V368/365*(BF368-$R368+1))))),0)</f>
        <v>3965.10684931507</v>
      </c>
      <c r="BH368" s="163">
        <v>46023</v>
      </c>
      <c r="BI368" s="163">
        <f t="shared" ref="BI368:BI371" si="4394">BH368+30</f>
        <v>46053</v>
      </c>
      <c r="BJ368" s="167">
        <f t="shared" ref="BJ368:BJ371" si="4395">IFERROR(IF(($R368-BI368)&gt;=0,0,IF(($S368-BH368)&lt;0,0,IF(AND(($S368-BI368)&gt;0,(BH368-$R368)&gt;0),$V368/365*(BI368-BH368+1),IF(AND(($S368-BI368)&lt;=0,(BH368-$R368)&gt;0),$V368/365*($S368-BH368+1),$V368/365*(BI368-$R368+1))))),0)</f>
        <v>0</v>
      </c>
      <c r="BK368" s="163">
        <f t="shared" ref="BK368:BK371" si="4396">BI368+1</f>
        <v>46054</v>
      </c>
      <c r="BL368" s="163">
        <f t="shared" ref="BL368:BL371" si="4397">BK368+27</f>
        <v>46081</v>
      </c>
      <c r="BM368" s="167">
        <f t="shared" ref="BM368:BM371" si="4398">IFERROR(IF(($R368-BL368)&gt;=0,0,IF(($S368-BK368)&lt;0,0,IF(AND(($S368-BL368)&gt;0,(BK368-$R368)&gt;0),$V368/365*(BL368-BK368+1),IF(AND(($S368-BL368)&lt;=0,(BK368-$R368)&gt;0),$V368/365*($S368-BK368+1),$V368/365*(BL368-$R368+1))))),0)</f>
        <v>0</v>
      </c>
      <c r="BN368" s="163">
        <f t="shared" ref="BN368:BN371" si="4399">BL368+1</f>
        <v>46082</v>
      </c>
      <c r="BO368" s="163">
        <f t="shared" ref="BO368:BO371" si="4400">BN368+30</f>
        <v>46112</v>
      </c>
      <c r="BP368" s="167">
        <f t="shared" ref="BP368:BP371" si="4401">IFERROR(IF(($R368-BO368)&gt;=0,0,IF(($S368-BN368)&lt;0,0,IF(AND(($S368-BO368)&gt;0,(BN368-$R368)&gt;0),$V368/365*(BO368-BN368+1),IF(AND(($S368-BO368)&lt;=0,(BN368-$R368)&gt;0),$V368/365*($S368-BN368+1),$V368/365*(BO368-$R368+1))))),0)</f>
        <v>0</v>
      </c>
      <c r="BQ368" s="163">
        <f t="shared" ref="BQ368:BQ371" si="4402">BO368+1</f>
        <v>46113</v>
      </c>
      <c r="BR368" s="163">
        <f t="shared" ref="BR368:BR371" si="4403">BQ368+29</f>
        <v>46142</v>
      </c>
      <c r="BS368" s="167">
        <f t="shared" ref="BS368:BS371" si="4404">IFERROR(IF(($R368-BR368)&gt;=0,0,IF(($S368-BQ368)&lt;0,0,IF(AND(($S368-BR368)&gt;0,(BQ368-$R368)&gt;0),$V368/365*(BR368-BQ368+1),IF(AND(($S368-BR368)&lt;=0,(BQ368-$R368)&gt;0),$V368/365*($S368-BQ368+1),$V368/365*(BR368-$R368+1))))),0)</f>
        <v>0</v>
      </c>
      <c r="BT368" s="163">
        <f t="shared" ref="BT368:BT371" si="4405">BR368+1</f>
        <v>46143</v>
      </c>
      <c r="BU368" s="163">
        <f t="shared" ref="BU368:BU371" si="4406">BT368+30</f>
        <v>46173</v>
      </c>
      <c r="BV368" s="167">
        <f t="shared" ref="BV368:BV371" si="4407">IFERROR(IF(($R368-BU368)&gt;=0,0,IF(($S368-BT368)&lt;0,0,IF(AND(($S368-BU368)&gt;0,(BT368-$R368)&gt;0),$V368/365*(BU368-BT368+1),IF(AND(($S368-BU368)&lt;=0,(BT368-$R368)&gt;0),$V368/365*($S368-BT368+1),$V368/365*(BU368-$R368+1))))),0)</f>
        <v>0</v>
      </c>
      <c r="BW368" s="163">
        <f t="shared" ref="BW368:BW371" si="4408">BU368+1</f>
        <v>46174</v>
      </c>
      <c r="BX368" s="163">
        <f t="shared" ref="BX368:BX371" si="4409">BW368+29</f>
        <v>46203</v>
      </c>
      <c r="BY368" s="167">
        <f t="shared" ref="BY368:BY371" si="4410">IFERROR(IF(($R368-BX368)&gt;=0,0,IF(($S368-BW368)&lt;0,0,IF(AND(($S368-BX368)&gt;0,(BW368-$R368)&gt;0),$V368/365*(BX368-BW368+1),IF(AND(($S368-BX368)&lt;=0,(BW368-$R368)&gt;0),$V368/365*($S368-BW368+1),$V368/365*(BX368-$R368+1))))),0)</f>
        <v>0</v>
      </c>
      <c r="BZ368" s="163">
        <f t="shared" ref="BZ368:BZ371" si="4411">BX368+1</f>
        <v>46204</v>
      </c>
      <c r="CA368" s="163">
        <f t="shared" ref="CA368:CA371" si="4412">BZ368+30</f>
        <v>46234</v>
      </c>
      <c r="CB368" s="167">
        <f t="shared" ref="CB368:CB371" si="4413">IFERROR(IF(($R368-CA368)&gt;=0,0,IF(($S368-BZ368)&lt;0,0,IF(AND(($S368-CA368)&gt;0,(BZ368-$R368)&gt;0),$V368/365*(CA368-BZ368+1),IF(AND(($S368-CA368)&lt;=0,(BZ368-$R368)&gt;0),$V368/365*($S368-BZ368+1),$V368/365*(CA368-$R368+1))))),0)</f>
        <v>0</v>
      </c>
      <c r="CC368" s="163">
        <f t="shared" ref="CC368:CC371" si="4414">CA368+1</f>
        <v>46235</v>
      </c>
      <c r="CD368" s="163">
        <f t="shared" ref="CD368:CD371" si="4415">CC368+30</f>
        <v>46265</v>
      </c>
      <c r="CE368" s="167">
        <f t="shared" ref="CE368:CE371" si="4416">IFERROR(IF(($R368-CD368)&gt;=0,0,IF(($S368-CC368)&lt;0,0,IF(AND(($S368-CD368)&gt;0,(CC368-$R368)&gt;0),$V368/365*(CD368-CC368+1),IF(AND(($S368-CD368)&lt;=0,(CC368-$R368)&gt;0),$V368/365*($S368-CC368+1),$V368/365*(CD368-$R368+1))))),0)</f>
        <v>0</v>
      </c>
      <c r="CF368" s="163">
        <f t="shared" ref="CF368:CF371" si="4417">CD368+1</f>
        <v>46266</v>
      </c>
      <c r="CG368" s="163">
        <f t="shared" ref="CG368:CG371" si="4418">CF368+29</f>
        <v>46295</v>
      </c>
      <c r="CH368" s="167">
        <f t="shared" ref="CH368:CH371" si="4419">IFERROR(IF(($R368-CG368)&gt;=0,0,IF(($S368-CF368)&lt;0,0,IF(AND(($S368-CG368)&gt;0,(CF368-$R368)&gt;0),$V368/365*(CG368-CF368+1),IF(AND(($S368-CG368)&lt;=0,(CF368-$R368)&gt;0),$V368/365*($S368-CF368+1),$V368/365*(CG368-$R368+1))))),0)</f>
        <v>0</v>
      </c>
      <c r="CI368" s="163">
        <f t="shared" ref="CI368:CI371" si="4420">CG368+1</f>
        <v>46296</v>
      </c>
      <c r="CJ368" s="163">
        <f t="shared" ref="CJ368:CJ371" si="4421">CI368+30</f>
        <v>46326</v>
      </c>
      <c r="CK368" s="167">
        <f t="shared" ref="CK368:CK371" si="4422">IFERROR(IF(($R368-CJ368)&gt;=0,0,IF(($S368-CI368)&lt;0,0,IF(AND(($S368-CJ368)&gt;0,(CI368-$R368)&gt;0),$V368/365*(CJ368-CI368+1),IF(AND(($S368-CJ368)&lt;=0,(CI368-$R368)&gt;0),$V368/365*($S368-CI368+1),$V368/365*(CJ368-$R368+1))))),0)</f>
        <v>0</v>
      </c>
      <c r="CL368" s="163">
        <f t="shared" ref="CL368:CL371" si="4423">CJ368+1</f>
        <v>46327</v>
      </c>
      <c r="CM368" s="163">
        <f t="shared" ref="CM368:CM371" si="4424">CL368+29</f>
        <v>46356</v>
      </c>
      <c r="CN368" s="167">
        <f t="shared" ref="CN368:CN371" si="4425">IFERROR(IF(($R368-CM368)&gt;=0,0,IF(($S368-CL368)&lt;0,0,IF(AND(($S368-CM368)&gt;0,(CL368-$R368)&gt;0),$V368/365*(CM368-CL368+1),IF(AND(($S368-CM368)&lt;=0,(CL368-$R368)&gt;0),$V368/365*($S368-CL368+1),$V368/365*(CM368-$R368+1))))),0)</f>
        <v>0</v>
      </c>
      <c r="CO368" s="163">
        <f t="shared" ref="CO368:CO371" si="4426">CM368+1</f>
        <v>46357</v>
      </c>
      <c r="CP368" s="163">
        <f t="shared" ref="CP368:CP371" si="4427">CO368+30</f>
        <v>46387</v>
      </c>
      <c r="CQ368" s="167">
        <f t="shared" ref="CQ368:CQ371" si="4428">IFERROR(IF(($R368-CP368)&gt;=0,0,IF(($S368-CO368)&lt;0,0,IF(AND(($S368-CP368)&gt;0,(CO368-$R368)&gt;0),$V368/365*(CP368-CO368+1),IF(AND(($S368-CP368)&lt;=0,(CO368-$R368)&gt;0),$V368/365*($S368-CO368+1),$V368/365*(CP368-$R368+1))))),0)</f>
        <v>0</v>
      </c>
    </row>
    <row r="369" s="89" customFormat="1" ht="24" hidden="1" customHeight="1" outlineLevel="4" spans="1:95">
      <c r="A369" s="128"/>
      <c r="B369" s="129"/>
      <c r="C369" s="130"/>
      <c r="D369" s="128"/>
      <c r="E369" s="129"/>
      <c r="F369" s="129"/>
      <c r="G369" s="129"/>
      <c r="H369" s="131"/>
      <c r="I369" s="131"/>
      <c r="J369" s="131">
        <f t="shared" si="3853"/>
        <v>5740.27397260274</v>
      </c>
      <c r="K369" s="131">
        <f t="shared" ref="K369:K371" si="4429">K368+1</f>
        <v>2</v>
      </c>
      <c r="L369" s="156" t="s">
        <v>2835</v>
      </c>
      <c r="M369" s="157" t="str">
        <f>IFERROR(VLOOKUP($L369,'2-2 引出数据_合同数据仓库'!$B$5:$BP$200,3,FALSE),0)</f>
        <v>深圳中海油大厦A座大堂不锈钢自动门安装施工合同评审的申请</v>
      </c>
      <c r="N369" s="131"/>
      <c r="O369" s="157">
        <f>IFERROR(VLOOKUP((LEFT(VLOOKUP($L369,'2-2 引出数据_合同数据仓库'!$B$5:$BP$200,64,FALSE),15)&amp;(RIGHT(VLOOKUP($L369,'2-2 引出数据_合同数据仓库'!$B$5:$BP$200,64,FALSE),4)+1)),'2-2 引出数据_合同数据仓库'!$B$5:$BP$200,3,FALSE),0)</f>
        <v>0</v>
      </c>
      <c r="P369" s="131"/>
      <c r="Q369" s="131" t="str">
        <f>IFERROR(VLOOKUP($L369,'2-2 引出数据_合同数据仓库'!$B$5:$BP$200,28,FALSE),0)</f>
        <v>2024-12-27</v>
      </c>
      <c r="R369" s="131" t="str">
        <f>IFERROR(VLOOKUP($L369,'2-2 引出数据_合同数据仓库'!$B$5:$BP$200,29,FALSE),0)</f>
        <v>2024-12-27</v>
      </c>
      <c r="S369" s="131" t="str">
        <f>IFERROR(VLOOKUP($L369,'2-2 引出数据_合同数据仓库'!$B$5:$BP$200,4,FALSE),0)</f>
        <v>2025-12-26</v>
      </c>
      <c r="T369" s="131"/>
      <c r="U369" s="131">
        <f>IFERROR(VLOOKUP($L369,'2-2 引出数据_合同数据仓库'!$B$5:$BP$200,15,FALSE),0)</f>
        <v>5820</v>
      </c>
      <c r="V369" s="131">
        <f t="shared" si="4358"/>
        <v>5820</v>
      </c>
      <c r="W369" s="131"/>
      <c r="X369" s="163">
        <v>45658</v>
      </c>
      <c r="Y369" s="163">
        <f t="shared" si="4359"/>
        <v>45688</v>
      </c>
      <c r="Z369" s="167">
        <f t="shared" si="4360"/>
        <v>494.301369863014</v>
      </c>
      <c r="AA369" s="163">
        <f t="shared" si="4361"/>
        <v>45689</v>
      </c>
      <c r="AB369" s="163">
        <f t="shared" si="4362"/>
        <v>45716</v>
      </c>
      <c r="AC369" s="167">
        <f t="shared" si="4363"/>
        <v>446.465753424658</v>
      </c>
      <c r="AD369" s="163">
        <f t="shared" si="4364"/>
        <v>45717</v>
      </c>
      <c r="AE369" s="163">
        <f t="shared" si="4365"/>
        <v>45747</v>
      </c>
      <c r="AF369" s="167">
        <f t="shared" si="4366"/>
        <v>494.301369863014</v>
      </c>
      <c r="AG369" s="163">
        <f t="shared" si="4367"/>
        <v>45748</v>
      </c>
      <c r="AH369" s="163">
        <f t="shared" si="4368"/>
        <v>45777</v>
      </c>
      <c r="AI369" s="167">
        <f t="shared" si="4369"/>
        <v>478.356164383562</v>
      </c>
      <c r="AJ369" s="163">
        <f t="shared" si="4370"/>
        <v>45778</v>
      </c>
      <c r="AK369" s="163">
        <f t="shared" si="4371"/>
        <v>45808</v>
      </c>
      <c r="AL369" s="167">
        <f t="shared" si="4372"/>
        <v>494.301369863014</v>
      </c>
      <c r="AM369" s="163">
        <f t="shared" si="4373"/>
        <v>45809</v>
      </c>
      <c r="AN369" s="163">
        <f t="shared" si="4374"/>
        <v>45838</v>
      </c>
      <c r="AO369" s="167">
        <f t="shared" si="4375"/>
        <v>478.356164383562</v>
      </c>
      <c r="AP369" s="163">
        <f t="shared" si="4376"/>
        <v>45839</v>
      </c>
      <c r="AQ369" s="163">
        <f t="shared" si="4377"/>
        <v>45869</v>
      </c>
      <c r="AR369" s="167">
        <f t="shared" si="4378"/>
        <v>494.301369863014</v>
      </c>
      <c r="AS369" s="163">
        <f t="shared" si="4379"/>
        <v>45870</v>
      </c>
      <c r="AT369" s="163">
        <f t="shared" si="4380"/>
        <v>45900</v>
      </c>
      <c r="AU369" s="167">
        <f t="shared" si="4381"/>
        <v>494.301369863014</v>
      </c>
      <c r="AV369" s="163">
        <f t="shared" si="4382"/>
        <v>45901</v>
      </c>
      <c r="AW369" s="163">
        <f t="shared" si="4383"/>
        <v>45930</v>
      </c>
      <c r="AX369" s="167">
        <f t="shared" si="4384"/>
        <v>478.356164383562</v>
      </c>
      <c r="AY369" s="163">
        <f t="shared" si="4385"/>
        <v>45931</v>
      </c>
      <c r="AZ369" s="163">
        <f t="shared" si="4386"/>
        <v>45961</v>
      </c>
      <c r="BA369" s="167">
        <f t="shared" si="4387"/>
        <v>494.301369863014</v>
      </c>
      <c r="BB369" s="163">
        <f t="shared" si="4388"/>
        <v>45962</v>
      </c>
      <c r="BC369" s="163">
        <f t="shared" si="4389"/>
        <v>45991</v>
      </c>
      <c r="BD369" s="167">
        <f t="shared" si="4390"/>
        <v>478.356164383562</v>
      </c>
      <c r="BE369" s="163">
        <f t="shared" si="4391"/>
        <v>45992</v>
      </c>
      <c r="BF369" s="163">
        <f t="shared" si="4392"/>
        <v>46022</v>
      </c>
      <c r="BG369" s="167">
        <f t="shared" si="4393"/>
        <v>414.575342465753</v>
      </c>
      <c r="BH369" s="163">
        <v>46023</v>
      </c>
      <c r="BI369" s="163">
        <f t="shared" si="4394"/>
        <v>46053</v>
      </c>
      <c r="BJ369" s="167">
        <f t="shared" si="4395"/>
        <v>0</v>
      </c>
      <c r="BK369" s="163">
        <f t="shared" si="4396"/>
        <v>46054</v>
      </c>
      <c r="BL369" s="163">
        <f t="shared" si="4397"/>
        <v>46081</v>
      </c>
      <c r="BM369" s="167">
        <f t="shared" si="4398"/>
        <v>0</v>
      </c>
      <c r="BN369" s="163">
        <f t="shared" si="4399"/>
        <v>46082</v>
      </c>
      <c r="BO369" s="163">
        <f t="shared" si="4400"/>
        <v>46112</v>
      </c>
      <c r="BP369" s="167">
        <f t="shared" si="4401"/>
        <v>0</v>
      </c>
      <c r="BQ369" s="163">
        <f t="shared" si="4402"/>
        <v>46113</v>
      </c>
      <c r="BR369" s="163">
        <f t="shared" si="4403"/>
        <v>46142</v>
      </c>
      <c r="BS369" s="167">
        <f t="shared" si="4404"/>
        <v>0</v>
      </c>
      <c r="BT369" s="163">
        <f t="shared" si="4405"/>
        <v>46143</v>
      </c>
      <c r="BU369" s="163">
        <f t="shared" si="4406"/>
        <v>46173</v>
      </c>
      <c r="BV369" s="167">
        <f t="shared" si="4407"/>
        <v>0</v>
      </c>
      <c r="BW369" s="163">
        <f t="shared" si="4408"/>
        <v>46174</v>
      </c>
      <c r="BX369" s="163">
        <f t="shared" si="4409"/>
        <v>46203</v>
      </c>
      <c r="BY369" s="167">
        <f t="shared" si="4410"/>
        <v>0</v>
      </c>
      <c r="BZ369" s="163">
        <f t="shared" si="4411"/>
        <v>46204</v>
      </c>
      <c r="CA369" s="163">
        <f t="shared" si="4412"/>
        <v>46234</v>
      </c>
      <c r="CB369" s="167">
        <f t="shared" si="4413"/>
        <v>0</v>
      </c>
      <c r="CC369" s="163">
        <f t="shared" si="4414"/>
        <v>46235</v>
      </c>
      <c r="CD369" s="163">
        <f t="shared" si="4415"/>
        <v>46265</v>
      </c>
      <c r="CE369" s="167">
        <f t="shared" si="4416"/>
        <v>0</v>
      </c>
      <c r="CF369" s="163">
        <f t="shared" si="4417"/>
        <v>46266</v>
      </c>
      <c r="CG369" s="163">
        <f t="shared" si="4418"/>
        <v>46295</v>
      </c>
      <c r="CH369" s="167">
        <f t="shared" si="4419"/>
        <v>0</v>
      </c>
      <c r="CI369" s="163">
        <f t="shared" si="4420"/>
        <v>46296</v>
      </c>
      <c r="CJ369" s="163">
        <f t="shared" si="4421"/>
        <v>46326</v>
      </c>
      <c r="CK369" s="167">
        <f t="shared" si="4422"/>
        <v>0</v>
      </c>
      <c r="CL369" s="163">
        <f t="shared" si="4423"/>
        <v>46327</v>
      </c>
      <c r="CM369" s="163">
        <f t="shared" si="4424"/>
        <v>46356</v>
      </c>
      <c r="CN369" s="167">
        <f t="shared" si="4425"/>
        <v>0</v>
      </c>
      <c r="CO369" s="163">
        <f t="shared" si="4426"/>
        <v>46357</v>
      </c>
      <c r="CP369" s="163">
        <f t="shared" si="4427"/>
        <v>46387</v>
      </c>
      <c r="CQ369" s="167">
        <f t="shared" si="4428"/>
        <v>0</v>
      </c>
    </row>
    <row r="370" s="89" customFormat="1" ht="24" hidden="1" customHeight="1" outlineLevel="4" spans="1:95">
      <c r="A370" s="128"/>
      <c r="B370" s="129"/>
      <c r="C370" s="130"/>
      <c r="D370" s="128"/>
      <c r="E370" s="129"/>
      <c r="F370" s="129"/>
      <c r="G370" s="129"/>
      <c r="H370" s="131"/>
      <c r="I370" s="131"/>
      <c r="J370" s="131">
        <f t="shared" si="3853"/>
        <v>0</v>
      </c>
      <c r="K370" s="131">
        <f t="shared" si="4429"/>
        <v>3</v>
      </c>
      <c r="L370" s="156"/>
      <c r="M370" s="157">
        <f>IFERROR(VLOOKUP($L370,'2-2 引出数据_合同数据仓库'!$B$5:$BP$200,3,FALSE),0)</f>
        <v>0</v>
      </c>
      <c r="N370" s="131"/>
      <c r="O370" s="157">
        <f>IFERROR(VLOOKUP((LEFT(VLOOKUP($L370,'2-2 引出数据_合同数据仓库'!$B$5:$BP$200,64,FALSE),15)&amp;(RIGHT(VLOOKUP($L370,'2-2 引出数据_合同数据仓库'!$B$5:$BP$200,64,FALSE),4)+1)),'2-2 引出数据_合同数据仓库'!$B$5:$BP$200,3,FALSE),0)</f>
        <v>0</v>
      </c>
      <c r="P370" s="131"/>
      <c r="Q370" s="131">
        <f>IFERROR(VLOOKUP($L370,'2-2 引出数据_合同数据仓库'!$B$5:$BP$200,28,FALSE),0)</f>
        <v>0</v>
      </c>
      <c r="R370" s="131">
        <f>IFERROR(VLOOKUP($L370,'2-2 引出数据_合同数据仓库'!$B$5:$BP$200,29,FALSE),0)</f>
        <v>0</v>
      </c>
      <c r="S370" s="131">
        <f>IFERROR(VLOOKUP($L370,'2-2 引出数据_合同数据仓库'!$B$5:$BP$200,4,FALSE),0)</f>
        <v>0</v>
      </c>
      <c r="T370" s="131"/>
      <c r="U370" s="131">
        <f>IFERROR(VLOOKUP($L370,'2-2 引出数据_合同数据仓库'!$B$5:$BP$200,15,FALSE),0)</f>
        <v>0</v>
      </c>
      <c r="V370" s="131">
        <f t="shared" si="4358"/>
        <v>0</v>
      </c>
      <c r="W370" s="131"/>
      <c r="X370" s="163">
        <v>45658</v>
      </c>
      <c r="Y370" s="163">
        <f t="shared" si="4359"/>
        <v>45688</v>
      </c>
      <c r="Z370" s="167">
        <f t="shared" si="4360"/>
        <v>0</v>
      </c>
      <c r="AA370" s="163">
        <f t="shared" si="4361"/>
        <v>45689</v>
      </c>
      <c r="AB370" s="163">
        <f t="shared" si="4362"/>
        <v>45716</v>
      </c>
      <c r="AC370" s="167">
        <f t="shared" si="4363"/>
        <v>0</v>
      </c>
      <c r="AD370" s="163">
        <f t="shared" si="4364"/>
        <v>45717</v>
      </c>
      <c r="AE370" s="163">
        <f t="shared" si="4365"/>
        <v>45747</v>
      </c>
      <c r="AF370" s="167">
        <f t="shared" si="4366"/>
        <v>0</v>
      </c>
      <c r="AG370" s="163">
        <f t="shared" si="4367"/>
        <v>45748</v>
      </c>
      <c r="AH370" s="163">
        <f t="shared" si="4368"/>
        <v>45777</v>
      </c>
      <c r="AI370" s="167">
        <f t="shared" si="4369"/>
        <v>0</v>
      </c>
      <c r="AJ370" s="163">
        <f t="shared" si="4370"/>
        <v>45778</v>
      </c>
      <c r="AK370" s="163">
        <f t="shared" si="4371"/>
        <v>45808</v>
      </c>
      <c r="AL370" s="167">
        <f t="shared" si="4372"/>
        <v>0</v>
      </c>
      <c r="AM370" s="163">
        <f t="shared" si="4373"/>
        <v>45809</v>
      </c>
      <c r="AN370" s="163">
        <f t="shared" si="4374"/>
        <v>45838</v>
      </c>
      <c r="AO370" s="167">
        <f t="shared" si="4375"/>
        <v>0</v>
      </c>
      <c r="AP370" s="163">
        <f t="shared" si="4376"/>
        <v>45839</v>
      </c>
      <c r="AQ370" s="163">
        <f t="shared" si="4377"/>
        <v>45869</v>
      </c>
      <c r="AR370" s="167">
        <f t="shared" si="4378"/>
        <v>0</v>
      </c>
      <c r="AS370" s="163">
        <f t="shared" si="4379"/>
        <v>45870</v>
      </c>
      <c r="AT370" s="163">
        <f t="shared" si="4380"/>
        <v>45900</v>
      </c>
      <c r="AU370" s="167">
        <f t="shared" si="4381"/>
        <v>0</v>
      </c>
      <c r="AV370" s="163">
        <f t="shared" si="4382"/>
        <v>45901</v>
      </c>
      <c r="AW370" s="163">
        <f t="shared" si="4383"/>
        <v>45930</v>
      </c>
      <c r="AX370" s="167">
        <f t="shared" si="4384"/>
        <v>0</v>
      </c>
      <c r="AY370" s="163">
        <f t="shared" si="4385"/>
        <v>45931</v>
      </c>
      <c r="AZ370" s="163">
        <f t="shared" si="4386"/>
        <v>45961</v>
      </c>
      <c r="BA370" s="167">
        <f t="shared" si="4387"/>
        <v>0</v>
      </c>
      <c r="BB370" s="163">
        <f t="shared" si="4388"/>
        <v>45962</v>
      </c>
      <c r="BC370" s="163">
        <f t="shared" si="4389"/>
        <v>45991</v>
      </c>
      <c r="BD370" s="167">
        <f t="shared" si="4390"/>
        <v>0</v>
      </c>
      <c r="BE370" s="163">
        <f t="shared" si="4391"/>
        <v>45992</v>
      </c>
      <c r="BF370" s="163">
        <f t="shared" si="4392"/>
        <v>46022</v>
      </c>
      <c r="BG370" s="167">
        <f t="shared" si="4393"/>
        <v>0</v>
      </c>
      <c r="BH370" s="163">
        <v>46023</v>
      </c>
      <c r="BI370" s="163">
        <f t="shared" si="4394"/>
        <v>46053</v>
      </c>
      <c r="BJ370" s="167">
        <f t="shared" si="4395"/>
        <v>0</v>
      </c>
      <c r="BK370" s="163">
        <f t="shared" si="4396"/>
        <v>46054</v>
      </c>
      <c r="BL370" s="163">
        <f t="shared" si="4397"/>
        <v>46081</v>
      </c>
      <c r="BM370" s="167">
        <f t="shared" si="4398"/>
        <v>0</v>
      </c>
      <c r="BN370" s="163">
        <f t="shared" si="4399"/>
        <v>46082</v>
      </c>
      <c r="BO370" s="163">
        <f t="shared" si="4400"/>
        <v>46112</v>
      </c>
      <c r="BP370" s="167">
        <f t="shared" si="4401"/>
        <v>0</v>
      </c>
      <c r="BQ370" s="163">
        <f t="shared" si="4402"/>
        <v>46113</v>
      </c>
      <c r="BR370" s="163">
        <f t="shared" si="4403"/>
        <v>46142</v>
      </c>
      <c r="BS370" s="167">
        <f t="shared" si="4404"/>
        <v>0</v>
      </c>
      <c r="BT370" s="163">
        <f t="shared" si="4405"/>
        <v>46143</v>
      </c>
      <c r="BU370" s="163">
        <f t="shared" si="4406"/>
        <v>46173</v>
      </c>
      <c r="BV370" s="167">
        <f t="shared" si="4407"/>
        <v>0</v>
      </c>
      <c r="BW370" s="163">
        <f t="shared" si="4408"/>
        <v>46174</v>
      </c>
      <c r="BX370" s="163">
        <f t="shared" si="4409"/>
        <v>46203</v>
      </c>
      <c r="BY370" s="167">
        <f t="shared" si="4410"/>
        <v>0</v>
      </c>
      <c r="BZ370" s="163">
        <f t="shared" si="4411"/>
        <v>46204</v>
      </c>
      <c r="CA370" s="163">
        <f t="shared" si="4412"/>
        <v>46234</v>
      </c>
      <c r="CB370" s="167">
        <f t="shared" si="4413"/>
        <v>0</v>
      </c>
      <c r="CC370" s="163">
        <f t="shared" si="4414"/>
        <v>46235</v>
      </c>
      <c r="CD370" s="163">
        <f t="shared" si="4415"/>
        <v>46265</v>
      </c>
      <c r="CE370" s="167">
        <f t="shared" si="4416"/>
        <v>0</v>
      </c>
      <c r="CF370" s="163">
        <f t="shared" si="4417"/>
        <v>46266</v>
      </c>
      <c r="CG370" s="163">
        <f t="shared" si="4418"/>
        <v>46295</v>
      </c>
      <c r="CH370" s="167">
        <f t="shared" si="4419"/>
        <v>0</v>
      </c>
      <c r="CI370" s="163">
        <f t="shared" si="4420"/>
        <v>46296</v>
      </c>
      <c r="CJ370" s="163">
        <f t="shared" si="4421"/>
        <v>46326</v>
      </c>
      <c r="CK370" s="167">
        <f t="shared" si="4422"/>
        <v>0</v>
      </c>
      <c r="CL370" s="163">
        <f t="shared" si="4423"/>
        <v>46327</v>
      </c>
      <c r="CM370" s="163">
        <f t="shared" si="4424"/>
        <v>46356</v>
      </c>
      <c r="CN370" s="167">
        <f t="shared" si="4425"/>
        <v>0</v>
      </c>
      <c r="CO370" s="163">
        <f t="shared" si="4426"/>
        <v>46357</v>
      </c>
      <c r="CP370" s="163">
        <f t="shared" si="4427"/>
        <v>46387</v>
      </c>
      <c r="CQ370" s="167">
        <f t="shared" si="4428"/>
        <v>0</v>
      </c>
    </row>
    <row r="371" s="89" customFormat="1" ht="24" hidden="1" customHeight="1" outlineLevel="4" spans="1:95">
      <c r="A371" s="128"/>
      <c r="B371" s="129"/>
      <c r="C371" s="130"/>
      <c r="D371" s="128"/>
      <c r="E371" s="129"/>
      <c r="F371" s="129"/>
      <c r="G371" s="129"/>
      <c r="H371" s="131"/>
      <c r="I371" s="131"/>
      <c r="J371" s="131">
        <f t="shared" si="3853"/>
        <v>0</v>
      </c>
      <c r="K371" s="131">
        <f t="shared" si="4429"/>
        <v>4</v>
      </c>
      <c r="L371" s="156"/>
      <c r="M371" s="157">
        <f>IFERROR(VLOOKUP($L371,'2-2 引出数据_合同数据仓库'!$B$5:$BP$200,3,FALSE),0)</f>
        <v>0</v>
      </c>
      <c r="N371" s="131"/>
      <c r="O371" s="157">
        <f>IFERROR(VLOOKUP((LEFT(VLOOKUP($L371,'2-2 引出数据_合同数据仓库'!$B$5:$BP$200,64,FALSE),15)&amp;(RIGHT(VLOOKUP($L371,'2-2 引出数据_合同数据仓库'!$B$5:$BP$200,64,FALSE),4)+1)),'2-2 引出数据_合同数据仓库'!$B$5:$BP$200,3,FALSE),0)</f>
        <v>0</v>
      </c>
      <c r="P371" s="131"/>
      <c r="Q371" s="131">
        <f>IFERROR(VLOOKUP($L371,'2-2 引出数据_合同数据仓库'!$B$5:$BP$200,28,FALSE),0)</f>
        <v>0</v>
      </c>
      <c r="R371" s="131">
        <f>IFERROR(VLOOKUP($L371,'2-2 引出数据_合同数据仓库'!$B$5:$BP$200,29,FALSE),0)</f>
        <v>0</v>
      </c>
      <c r="S371" s="131">
        <f>IFERROR(VLOOKUP($L371,'2-2 引出数据_合同数据仓库'!$B$5:$BP$200,4,FALSE),0)</f>
        <v>0</v>
      </c>
      <c r="T371" s="131"/>
      <c r="U371" s="131">
        <f>IFERROR(VLOOKUP($L371,'2-2 引出数据_合同数据仓库'!$B$5:$BP$200,15,FALSE),0)</f>
        <v>0</v>
      </c>
      <c r="V371" s="131">
        <f t="shared" si="4358"/>
        <v>0</v>
      </c>
      <c r="W371" s="131"/>
      <c r="X371" s="163">
        <v>45658</v>
      </c>
      <c r="Y371" s="163">
        <f t="shared" si="4359"/>
        <v>45688</v>
      </c>
      <c r="Z371" s="167">
        <f t="shared" si="4360"/>
        <v>0</v>
      </c>
      <c r="AA371" s="163">
        <f t="shared" si="4361"/>
        <v>45689</v>
      </c>
      <c r="AB371" s="163">
        <f t="shared" si="4362"/>
        <v>45716</v>
      </c>
      <c r="AC371" s="167">
        <f t="shared" si="4363"/>
        <v>0</v>
      </c>
      <c r="AD371" s="163">
        <f t="shared" si="4364"/>
        <v>45717</v>
      </c>
      <c r="AE371" s="163">
        <f t="shared" si="4365"/>
        <v>45747</v>
      </c>
      <c r="AF371" s="167">
        <f t="shared" si="4366"/>
        <v>0</v>
      </c>
      <c r="AG371" s="163">
        <f t="shared" si="4367"/>
        <v>45748</v>
      </c>
      <c r="AH371" s="163">
        <f t="shared" si="4368"/>
        <v>45777</v>
      </c>
      <c r="AI371" s="167">
        <f t="shared" si="4369"/>
        <v>0</v>
      </c>
      <c r="AJ371" s="163">
        <f t="shared" si="4370"/>
        <v>45778</v>
      </c>
      <c r="AK371" s="163">
        <f t="shared" si="4371"/>
        <v>45808</v>
      </c>
      <c r="AL371" s="167">
        <f t="shared" si="4372"/>
        <v>0</v>
      </c>
      <c r="AM371" s="163">
        <f t="shared" si="4373"/>
        <v>45809</v>
      </c>
      <c r="AN371" s="163">
        <f t="shared" si="4374"/>
        <v>45838</v>
      </c>
      <c r="AO371" s="167">
        <f t="shared" si="4375"/>
        <v>0</v>
      </c>
      <c r="AP371" s="163">
        <f t="shared" si="4376"/>
        <v>45839</v>
      </c>
      <c r="AQ371" s="163">
        <f t="shared" si="4377"/>
        <v>45869</v>
      </c>
      <c r="AR371" s="167">
        <f t="shared" si="4378"/>
        <v>0</v>
      </c>
      <c r="AS371" s="163">
        <f t="shared" si="4379"/>
        <v>45870</v>
      </c>
      <c r="AT371" s="163">
        <f t="shared" si="4380"/>
        <v>45900</v>
      </c>
      <c r="AU371" s="167">
        <f t="shared" si="4381"/>
        <v>0</v>
      </c>
      <c r="AV371" s="163">
        <f t="shared" si="4382"/>
        <v>45901</v>
      </c>
      <c r="AW371" s="163">
        <f t="shared" si="4383"/>
        <v>45930</v>
      </c>
      <c r="AX371" s="167">
        <f t="shared" si="4384"/>
        <v>0</v>
      </c>
      <c r="AY371" s="163">
        <f t="shared" si="4385"/>
        <v>45931</v>
      </c>
      <c r="AZ371" s="163">
        <f t="shared" si="4386"/>
        <v>45961</v>
      </c>
      <c r="BA371" s="167">
        <f t="shared" si="4387"/>
        <v>0</v>
      </c>
      <c r="BB371" s="163">
        <f t="shared" si="4388"/>
        <v>45962</v>
      </c>
      <c r="BC371" s="163">
        <f t="shared" si="4389"/>
        <v>45991</v>
      </c>
      <c r="BD371" s="167">
        <f t="shared" si="4390"/>
        <v>0</v>
      </c>
      <c r="BE371" s="163">
        <f t="shared" si="4391"/>
        <v>45992</v>
      </c>
      <c r="BF371" s="163">
        <f t="shared" si="4392"/>
        <v>46022</v>
      </c>
      <c r="BG371" s="167">
        <f t="shared" si="4393"/>
        <v>0</v>
      </c>
      <c r="BH371" s="163">
        <v>46023</v>
      </c>
      <c r="BI371" s="163">
        <f t="shared" si="4394"/>
        <v>46053</v>
      </c>
      <c r="BJ371" s="167">
        <f t="shared" si="4395"/>
        <v>0</v>
      </c>
      <c r="BK371" s="163">
        <f t="shared" si="4396"/>
        <v>46054</v>
      </c>
      <c r="BL371" s="163">
        <f t="shared" si="4397"/>
        <v>46081</v>
      </c>
      <c r="BM371" s="167">
        <f t="shared" si="4398"/>
        <v>0</v>
      </c>
      <c r="BN371" s="163">
        <f t="shared" si="4399"/>
        <v>46082</v>
      </c>
      <c r="BO371" s="163">
        <f t="shared" si="4400"/>
        <v>46112</v>
      </c>
      <c r="BP371" s="167">
        <f t="shared" si="4401"/>
        <v>0</v>
      </c>
      <c r="BQ371" s="163">
        <f t="shared" si="4402"/>
        <v>46113</v>
      </c>
      <c r="BR371" s="163">
        <f t="shared" si="4403"/>
        <v>46142</v>
      </c>
      <c r="BS371" s="167">
        <f t="shared" si="4404"/>
        <v>0</v>
      </c>
      <c r="BT371" s="163">
        <f t="shared" si="4405"/>
        <v>46143</v>
      </c>
      <c r="BU371" s="163">
        <f t="shared" si="4406"/>
        <v>46173</v>
      </c>
      <c r="BV371" s="167">
        <f t="shared" si="4407"/>
        <v>0</v>
      </c>
      <c r="BW371" s="163">
        <f t="shared" si="4408"/>
        <v>46174</v>
      </c>
      <c r="BX371" s="163">
        <f t="shared" si="4409"/>
        <v>46203</v>
      </c>
      <c r="BY371" s="167">
        <f t="shared" si="4410"/>
        <v>0</v>
      </c>
      <c r="BZ371" s="163">
        <f t="shared" si="4411"/>
        <v>46204</v>
      </c>
      <c r="CA371" s="163">
        <f t="shared" si="4412"/>
        <v>46234</v>
      </c>
      <c r="CB371" s="167">
        <f t="shared" si="4413"/>
        <v>0</v>
      </c>
      <c r="CC371" s="163">
        <f t="shared" si="4414"/>
        <v>46235</v>
      </c>
      <c r="CD371" s="163">
        <f t="shared" si="4415"/>
        <v>46265</v>
      </c>
      <c r="CE371" s="167">
        <f t="shared" si="4416"/>
        <v>0</v>
      </c>
      <c r="CF371" s="163">
        <f t="shared" si="4417"/>
        <v>46266</v>
      </c>
      <c r="CG371" s="163">
        <f t="shared" si="4418"/>
        <v>46295</v>
      </c>
      <c r="CH371" s="167">
        <f t="shared" si="4419"/>
        <v>0</v>
      </c>
      <c r="CI371" s="163">
        <f t="shared" si="4420"/>
        <v>46296</v>
      </c>
      <c r="CJ371" s="163">
        <f t="shared" si="4421"/>
        <v>46326</v>
      </c>
      <c r="CK371" s="167">
        <f t="shared" si="4422"/>
        <v>0</v>
      </c>
      <c r="CL371" s="163">
        <f t="shared" si="4423"/>
        <v>46327</v>
      </c>
      <c r="CM371" s="163">
        <f t="shared" si="4424"/>
        <v>46356</v>
      </c>
      <c r="CN371" s="167">
        <f t="shared" si="4425"/>
        <v>0</v>
      </c>
      <c r="CO371" s="163">
        <f t="shared" si="4426"/>
        <v>46357</v>
      </c>
      <c r="CP371" s="163">
        <f t="shared" si="4427"/>
        <v>46387</v>
      </c>
      <c r="CQ371" s="167">
        <f t="shared" si="4428"/>
        <v>0</v>
      </c>
    </row>
    <row r="372" s="89" customFormat="1" ht="24" hidden="1" customHeight="1" outlineLevel="4" spans="1:95">
      <c r="A372" s="132" t="s">
        <v>2813</v>
      </c>
      <c r="B372" s="133"/>
      <c r="C372" s="133"/>
      <c r="D372" s="133"/>
      <c r="E372" s="133"/>
      <c r="F372" s="133"/>
      <c r="G372" s="134"/>
      <c r="H372" s="135"/>
      <c r="I372" s="135"/>
      <c r="J372" s="135"/>
      <c r="K372" s="135"/>
      <c r="L372" s="158"/>
      <c r="M372" s="158"/>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c r="CL372" s="135"/>
      <c r="CM372" s="135"/>
      <c r="CN372" s="135"/>
      <c r="CO372" s="135"/>
      <c r="CP372" s="135"/>
      <c r="CQ372" s="135"/>
    </row>
    <row r="373" ht="24" hidden="1" customHeight="1" outlineLevel="3" collapsed="1" spans="1:95">
      <c r="A373" s="124"/>
      <c r="B373" s="125" t="s">
        <v>792</v>
      </c>
      <c r="C373" s="126" t="s">
        <v>1349</v>
      </c>
      <c r="D373" s="124" t="s">
        <v>1350</v>
      </c>
      <c r="E373" s="125" t="s">
        <v>1351</v>
      </c>
      <c r="F373" s="125"/>
      <c r="G373" s="125" t="s">
        <v>936</v>
      </c>
      <c r="H373" s="127">
        <f>X373+AA373+AD373+AG373+AJ373+AM373+AP373+AS373+AV373+AY373+BB373+BE373</f>
        <v>0</v>
      </c>
      <c r="I373" s="127">
        <f>Y373+AB373+AE373+AH373+AK373+AN373+AQ373+AT373+AW373+AZ373+BC373+BF373</f>
        <v>-45767.8428493151</v>
      </c>
      <c r="J373" s="127">
        <f t="shared" si="3853"/>
        <v>45767.8428493151</v>
      </c>
      <c r="K373" s="127"/>
      <c r="L373" s="155"/>
      <c r="M373" s="155"/>
      <c r="N373" s="127"/>
      <c r="O373" s="127"/>
      <c r="P373" s="127"/>
      <c r="Q373" s="127"/>
      <c r="R373" s="127"/>
      <c r="S373" s="127"/>
      <c r="T373" s="127"/>
      <c r="U373" s="127"/>
      <c r="V373" s="127"/>
      <c r="W373" s="127"/>
      <c r="X373" s="127">
        <f>VLOOKUP($C373,'1 预算编制表单'!$C:$BJ,27,FALSE)</f>
        <v>0</v>
      </c>
      <c r="Y373" s="127">
        <f>X373-Z373</f>
        <v>0</v>
      </c>
      <c r="Z373" s="127">
        <f>SUM(Z374:Z378)</f>
        <v>0</v>
      </c>
      <c r="AA373" s="127">
        <f>VLOOKUP($C373,'1 预算编制表单'!$C:$BJ,30,FALSE)</f>
        <v>0</v>
      </c>
      <c r="AB373" s="127">
        <f>AA373-AC373</f>
        <v>0</v>
      </c>
      <c r="AC373" s="127">
        <f>SUM(AC374:AC378)</f>
        <v>0</v>
      </c>
      <c r="AD373" s="127">
        <f>VLOOKUP($C373,'1 预算编制表单'!$C:$BJ,33,FALSE)</f>
        <v>0</v>
      </c>
      <c r="AE373" s="127">
        <f>AD373-AF373</f>
        <v>0</v>
      </c>
      <c r="AF373" s="127">
        <f>SUM(AF374:AF378)</f>
        <v>0</v>
      </c>
      <c r="AG373" s="127">
        <f>VLOOKUP($C373,'1 预算编制表单'!$C:$BJ,36,FALSE)</f>
        <v>0</v>
      </c>
      <c r="AH373" s="127">
        <f>AG373-AI373</f>
        <v>-2306.13161643836</v>
      </c>
      <c r="AI373" s="127">
        <f>SUM(AI374:AI378)</f>
        <v>2306.13161643836</v>
      </c>
      <c r="AJ373" s="127">
        <f>VLOOKUP($C373,'1 预算编制表单'!$C:$BJ,39,FALSE)</f>
        <v>0</v>
      </c>
      <c r="AK373" s="127">
        <f>AJ373-AL373</f>
        <v>-5499.23693150685</v>
      </c>
      <c r="AL373" s="127">
        <f>SUM(AL374:AL378)</f>
        <v>5499.23693150685</v>
      </c>
      <c r="AM373" s="127">
        <f>VLOOKUP($C373,'1 预算编制表单'!$C:$BJ,42,FALSE)</f>
        <v>0</v>
      </c>
      <c r="AN373" s="127">
        <f>AM373-AO373</f>
        <v>-5321.84219178082</v>
      </c>
      <c r="AO373" s="127">
        <f>SUM(AO374:AO378)</f>
        <v>5321.84219178082</v>
      </c>
      <c r="AP373" s="127">
        <f>VLOOKUP($C373,'1 预算编制表单'!$C:$BJ,45,FALSE)</f>
        <v>0</v>
      </c>
      <c r="AQ373" s="127">
        <f>AP373-AR373</f>
        <v>-5499.23693150685</v>
      </c>
      <c r="AR373" s="127">
        <f>SUM(AR374:AR378)</f>
        <v>5499.23693150685</v>
      </c>
      <c r="AS373" s="127">
        <f>VLOOKUP($C373,'1 预算编制表单'!$C:$BJ,48,FALSE)</f>
        <v>0</v>
      </c>
      <c r="AT373" s="127">
        <f>AS373-AU373</f>
        <v>-5499.23693150685</v>
      </c>
      <c r="AU373" s="127">
        <f>SUM(AU374:AU378)</f>
        <v>5499.23693150685</v>
      </c>
      <c r="AV373" s="127">
        <f>VLOOKUP($C373,'1 预算编制表单'!$C:$BJ,51,FALSE)</f>
        <v>0</v>
      </c>
      <c r="AW373" s="127">
        <f>AV373-AX373</f>
        <v>-5321.84219178082</v>
      </c>
      <c r="AX373" s="127">
        <f>SUM(AX374:AX378)</f>
        <v>5321.84219178082</v>
      </c>
      <c r="AY373" s="127">
        <f>VLOOKUP($C373,'1 预算编制表单'!$C:$BJ,54,FALSE)</f>
        <v>0</v>
      </c>
      <c r="AZ373" s="127">
        <f>AY373-BA373</f>
        <v>-5499.23693150685</v>
      </c>
      <c r="BA373" s="127">
        <f>SUM(BA374:BA378)</f>
        <v>5499.23693150685</v>
      </c>
      <c r="BB373" s="127">
        <f>VLOOKUP($C373,'1 预算编制表单'!$C:$BJ,57,FALSE)</f>
        <v>0</v>
      </c>
      <c r="BC373" s="127">
        <f>BB373-BD373</f>
        <v>-5321.84219178082</v>
      </c>
      <c r="BD373" s="127">
        <f>SUM(BD374:BD378)</f>
        <v>5321.84219178082</v>
      </c>
      <c r="BE373" s="127">
        <f>VLOOKUP($C373,'1 预算编制表单'!$C:$BJ,60,FALSE)</f>
        <v>0</v>
      </c>
      <c r="BF373" s="127">
        <f>BE373-BG373</f>
        <v>-5499.23693150685</v>
      </c>
      <c r="BG373" s="127">
        <f>SUM(BG374:BG378)</f>
        <v>5499.23693150685</v>
      </c>
      <c r="BH373" s="127">
        <f>VLOOKUP($C373,'1 预算编制表单'!$C:$BJ,27,FALSE)</f>
        <v>0</v>
      </c>
      <c r="BI373" s="127">
        <f>BH373-BJ373</f>
        <v>-5499.23693150685</v>
      </c>
      <c r="BJ373" s="127">
        <f>SUM(BJ374:BJ378)</f>
        <v>5499.23693150685</v>
      </c>
      <c r="BK373" s="127">
        <f>VLOOKUP($C373,'1 预算编制表单'!$C:$BJ,30,FALSE)</f>
        <v>0</v>
      </c>
      <c r="BL373" s="127">
        <f>BK373-BM373</f>
        <v>-4967.05271232877</v>
      </c>
      <c r="BM373" s="127">
        <f>SUM(BM374:BM378)</f>
        <v>4967.05271232877</v>
      </c>
      <c r="BN373" s="127">
        <f>VLOOKUP($C373,'1 预算编制表单'!$C:$BJ,33,FALSE)</f>
        <v>0</v>
      </c>
      <c r="BO373" s="127">
        <f>BN373-BP373</f>
        <v>-5499.23693150685</v>
      </c>
      <c r="BP373" s="127">
        <f>SUM(BP374:BP378)</f>
        <v>5499.23693150685</v>
      </c>
      <c r="BQ373" s="127">
        <f>VLOOKUP($C373,'1 预算编制表单'!$C:$BJ,36,FALSE)</f>
        <v>0</v>
      </c>
      <c r="BR373" s="127">
        <f>BQ373-BS373</f>
        <v>-3015.71057534247</v>
      </c>
      <c r="BS373" s="127">
        <f>SUM(BS374:BS378)</f>
        <v>3015.71057534247</v>
      </c>
      <c r="BT373" s="127">
        <f>VLOOKUP($C373,'1 预算编制表单'!$C:$BJ,39,FALSE)</f>
        <v>0</v>
      </c>
      <c r="BU373" s="127">
        <f>BT373-BV373</f>
        <v>0</v>
      </c>
      <c r="BV373" s="127">
        <f>SUM(BV374:BV378)</f>
        <v>0</v>
      </c>
      <c r="BW373" s="127">
        <f>VLOOKUP($C373,'1 预算编制表单'!$C:$BJ,42,FALSE)</f>
        <v>0</v>
      </c>
      <c r="BX373" s="127">
        <f>BW373-BY373</f>
        <v>0</v>
      </c>
      <c r="BY373" s="127">
        <f>SUM(BY374:BY378)</f>
        <v>0</v>
      </c>
      <c r="BZ373" s="127">
        <f>VLOOKUP($C373,'1 预算编制表单'!$C:$BJ,45,FALSE)</f>
        <v>0</v>
      </c>
      <c r="CA373" s="127">
        <f>BZ373-CB373</f>
        <v>0</v>
      </c>
      <c r="CB373" s="127">
        <f>SUM(CB374:CB378)</f>
        <v>0</v>
      </c>
      <c r="CC373" s="127">
        <f>VLOOKUP($C373,'1 预算编制表单'!$C:$BJ,48,FALSE)</f>
        <v>0</v>
      </c>
      <c r="CD373" s="127">
        <f>CC373-CE373</f>
        <v>0</v>
      </c>
      <c r="CE373" s="127">
        <f>SUM(CE374:CE378)</f>
        <v>0</v>
      </c>
      <c r="CF373" s="127">
        <f>VLOOKUP($C373,'1 预算编制表单'!$C:$BJ,51,FALSE)</f>
        <v>0</v>
      </c>
      <c r="CG373" s="127">
        <f>CF373-CH373</f>
        <v>0</v>
      </c>
      <c r="CH373" s="127">
        <f>SUM(CH374:CH378)</f>
        <v>0</v>
      </c>
      <c r="CI373" s="127">
        <f>VLOOKUP($C373,'1 预算编制表单'!$C:$BJ,54,FALSE)</f>
        <v>0</v>
      </c>
      <c r="CJ373" s="127">
        <f>CI373-CK373</f>
        <v>0</v>
      </c>
      <c r="CK373" s="127">
        <f>SUM(CK374:CK378)</f>
        <v>0</v>
      </c>
      <c r="CL373" s="127">
        <f>VLOOKUP($C373,'1 预算编制表单'!$C:$BJ,57,FALSE)</f>
        <v>0</v>
      </c>
      <c r="CM373" s="127">
        <f>CL373-CN373</f>
        <v>0</v>
      </c>
      <c r="CN373" s="127">
        <f>SUM(CN374:CN378)</f>
        <v>0</v>
      </c>
      <c r="CO373" s="127">
        <f>VLOOKUP($C373,'1 预算编制表单'!$C:$BJ,60,FALSE)</f>
        <v>0</v>
      </c>
      <c r="CP373" s="127">
        <f>CO373-CQ373</f>
        <v>0</v>
      </c>
      <c r="CQ373" s="127">
        <f>SUM(CQ374:CQ378)</f>
        <v>0</v>
      </c>
    </row>
    <row r="374" s="89" customFormat="1" ht="24" hidden="1" customHeight="1" outlineLevel="4" spans="1:95">
      <c r="A374" s="128"/>
      <c r="B374" s="129"/>
      <c r="C374" s="130"/>
      <c r="D374" s="128"/>
      <c r="E374" s="129"/>
      <c r="F374" s="129"/>
      <c r="G374" s="129"/>
      <c r="H374" s="131"/>
      <c r="I374" s="131"/>
      <c r="J374" s="131">
        <f t="shared" si="3853"/>
        <v>45767.8428493151</v>
      </c>
      <c r="K374" s="131">
        <v>1</v>
      </c>
      <c r="L374" s="156" t="s">
        <v>2836</v>
      </c>
      <c r="M374" s="157" t="str">
        <f>IFERROR(VLOOKUP($L374,'2-2 引出数据_合同数据仓库'!$B$5:$BP$200,3,FALSE),0)</f>
        <v>深圳非住二片区中海油大厦A座1007办公室改造合同</v>
      </c>
      <c r="N374" s="131"/>
      <c r="O374" s="157">
        <f>IFERROR(VLOOKUP((LEFT(VLOOKUP($L374,'2-2 引出数据_合同数据仓库'!$B$5:$BP$200,64,FALSE),15)&amp;(RIGHT(VLOOKUP($L374,'2-2 引出数据_合同数据仓库'!$B$5:$BP$200,64,FALSE),4)+1)),'2-2 引出数据_合同数据仓库'!$B$5:$BP$200,3,FALSE),0)</f>
        <v>0</v>
      </c>
      <c r="P374" s="131"/>
      <c r="Q374" s="131" t="str">
        <f>IFERROR(VLOOKUP($L374,'2-2 引出数据_合同数据仓库'!$B$5:$BP$200,28,FALSE),0)</f>
        <v>2025-04-18</v>
      </c>
      <c r="R374" s="131" t="str">
        <f>IFERROR(VLOOKUP($L374,'2-2 引出数据_合同数据仓库'!$B$5:$BP$200,29,FALSE),0)</f>
        <v>2025-04-18</v>
      </c>
      <c r="S374" s="131" t="str">
        <f>IFERROR(VLOOKUP($L374,'2-2 引出数据_合同数据仓库'!$B$5:$BP$200,4,FALSE),0)</f>
        <v>2026-04-17</v>
      </c>
      <c r="T374" s="131"/>
      <c r="U374" s="131">
        <f>IFERROR(VLOOKUP($L374,'2-2 引出数据_合同数据仓库'!$B$5:$BP$200,15,FALSE),0)</f>
        <v>64749.08</v>
      </c>
      <c r="V374" s="131">
        <f t="shared" ref="V374:V377" si="4430">U374/(S374-R374+1)*365</f>
        <v>64749.08</v>
      </c>
      <c r="W374" s="131"/>
      <c r="X374" s="163">
        <v>45658</v>
      </c>
      <c r="Y374" s="163">
        <f t="shared" ref="Y374:Y377" si="4431">X374+30</f>
        <v>45688</v>
      </c>
      <c r="Z374" s="167">
        <f t="shared" ref="Z374:Z377" si="4432">IFERROR(IF(($R374-Y374)&gt;=0,0,IF(($S374-X374)&lt;0,0,IF(AND(($S374-Y374)&gt;0,(X374-$R374)&gt;0),$V374/365*(Y374-X374+1),IF(AND(($S374-Y374)&lt;=0,(X374-$R374)&gt;0),$V374/365*($S374-X374+1),$V374/365*(Y374-$R374+1))))),0)</f>
        <v>0</v>
      </c>
      <c r="AA374" s="163">
        <f t="shared" ref="AA374:AA377" si="4433">Y374+1</f>
        <v>45689</v>
      </c>
      <c r="AB374" s="163">
        <f t="shared" ref="AB374:AB377" si="4434">AA374+27</f>
        <v>45716</v>
      </c>
      <c r="AC374" s="167">
        <f t="shared" ref="AC374:AC377" si="4435">IFERROR(IF(($R374-AB374)&gt;=0,0,IF(($S374-AA374)&lt;0,0,IF(AND(($S374-AB374)&gt;0,(AA374-$R374)&gt;0),$V374/365*(AB374-AA374+1),IF(AND(($S374-AB374)&lt;=0,(AA374-$R374)&gt;0),$V374/365*($S374-AA374+1),$V374/365*(AB374-$R374+1))))),0)</f>
        <v>0</v>
      </c>
      <c r="AD374" s="163">
        <f t="shared" ref="AD374:AD377" si="4436">AB374+1</f>
        <v>45717</v>
      </c>
      <c r="AE374" s="163">
        <f t="shared" ref="AE374:AE377" si="4437">AD374+30</f>
        <v>45747</v>
      </c>
      <c r="AF374" s="167">
        <f t="shared" ref="AF374:AF377" si="4438">IFERROR(IF(($R374-AE374)&gt;=0,0,IF(($S374-AD374)&lt;0,0,IF(AND(($S374-AE374)&gt;0,(AD374-$R374)&gt;0),$V374/365*(AE374-AD374+1),IF(AND(($S374-AE374)&lt;=0,(AD374-$R374)&gt;0),$V374/365*($S374-AD374+1),$V374/365*(AE374-$R374+1))))),0)</f>
        <v>0</v>
      </c>
      <c r="AG374" s="163">
        <f t="shared" ref="AG374:AG377" si="4439">AE374+1</f>
        <v>45748</v>
      </c>
      <c r="AH374" s="163">
        <f t="shared" ref="AH374:AH377" si="4440">AG374+29</f>
        <v>45777</v>
      </c>
      <c r="AI374" s="167">
        <f t="shared" ref="AI374:AI377" si="4441">IFERROR(IF(($R374-AH374)&gt;=0,0,IF(($S374-AG374)&lt;0,0,IF(AND(($S374-AH374)&gt;0,(AG374-$R374)&gt;0),$V374/365*(AH374-AG374+1),IF(AND(($S374-AH374)&lt;=0,(AG374-$R374)&gt;0),$V374/365*($S374-AG374+1),$V374/365*(AH374-$R374+1))))),0)</f>
        <v>2306.13161643836</v>
      </c>
      <c r="AJ374" s="163">
        <f t="shared" ref="AJ374:AJ377" si="4442">AH374+1</f>
        <v>45778</v>
      </c>
      <c r="AK374" s="163">
        <f t="shared" ref="AK374:AK377" si="4443">AJ374+30</f>
        <v>45808</v>
      </c>
      <c r="AL374" s="167">
        <f t="shared" ref="AL374:AL377" si="4444">IFERROR(IF(($R374-AK374)&gt;=0,0,IF(($S374-AJ374)&lt;0,0,IF(AND(($S374-AK374)&gt;0,(AJ374-$R374)&gt;0),$V374/365*(AK374-AJ374+1),IF(AND(($S374-AK374)&lt;=0,(AJ374-$R374)&gt;0),$V374/365*($S374-AJ374+1),$V374/365*(AK374-$R374+1))))),0)</f>
        <v>5499.23693150685</v>
      </c>
      <c r="AM374" s="163">
        <f t="shared" ref="AM374:AM377" si="4445">AK374+1</f>
        <v>45809</v>
      </c>
      <c r="AN374" s="163">
        <f t="shared" ref="AN374:AN377" si="4446">AM374+29</f>
        <v>45838</v>
      </c>
      <c r="AO374" s="167">
        <f t="shared" ref="AO374:AO377" si="4447">IFERROR(IF(($R374-AN374)&gt;=0,0,IF(($S374-AM374)&lt;0,0,IF(AND(($S374-AN374)&gt;0,(AM374-$R374)&gt;0),$V374/365*(AN374-AM374+1),IF(AND(($S374-AN374)&lt;=0,(AM374-$R374)&gt;0),$V374/365*($S374-AM374+1),$V374/365*(AN374-$R374+1))))),0)</f>
        <v>5321.84219178082</v>
      </c>
      <c r="AP374" s="163">
        <f t="shared" ref="AP374:AP377" si="4448">AN374+1</f>
        <v>45839</v>
      </c>
      <c r="AQ374" s="163">
        <f t="shared" ref="AQ374:AQ377" si="4449">AP374+30</f>
        <v>45869</v>
      </c>
      <c r="AR374" s="167">
        <f t="shared" ref="AR374:AR377" si="4450">IFERROR(IF(($R374-AQ374)&gt;=0,0,IF(($S374-AP374)&lt;0,0,IF(AND(($S374-AQ374)&gt;0,(AP374-$R374)&gt;0),$V374/365*(AQ374-AP374+1),IF(AND(($S374-AQ374)&lt;=0,(AP374-$R374)&gt;0),$V374/365*($S374-AP374+1),$V374/365*(AQ374-$R374+1))))),0)</f>
        <v>5499.23693150685</v>
      </c>
      <c r="AS374" s="163">
        <f t="shared" ref="AS374:AS377" si="4451">AQ374+1</f>
        <v>45870</v>
      </c>
      <c r="AT374" s="163">
        <f t="shared" ref="AT374:AT377" si="4452">AS374+30</f>
        <v>45900</v>
      </c>
      <c r="AU374" s="167">
        <f t="shared" ref="AU374:AU377" si="4453">IFERROR(IF(($R374-AT374)&gt;=0,0,IF(($S374-AS374)&lt;0,0,IF(AND(($S374-AT374)&gt;0,(AS374-$R374)&gt;0),$V374/365*(AT374-AS374+1),IF(AND(($S374-AT374)&lt;=0,(AS374-$R374)&gt;0),$V374/365*($S374-AS374+1),$V374/365*(AT374-$R374+1))))),0)</f>
        <v>5499.23693150685</v>
      </c>
      <c r="AV374" s="163">
        <f t="shared" ref="AV374:AV377" si="4454">AT374+1</f>
        <v>45901</v>
      </c>
      <c r="AW374" s="163">
        <f t="shared" ref="AW374:AW377" si="4455">AV374+29</f>
        <v>45930</v>
      </c>
      <c r="AX374" s="167">
        <f t="shared" ref="AX374:AX377" si="4456">IFERROR(IF(($R374-AW374)&gt;=0,0,IF(($S374-AV374)&lt;0,0,IF(AND(($S374-AW374)&gt;0,(AV374-$R374)&gt;0),$V374/365*(AW374-AV374+1),IF(AND(($S374-AW374)&lt;=0,(AV374-$R374)&gt;0),$V374/365*($S374-AV374+1),$V374/365*(AW374-$R374+1))))),0)</f>
        <v>5321.84219178082</v>
      </c>
      <c r="AY374" s="163">
        <f t="shared" ref="AY374:AY377" si="4457">AW374+1</f>
        <v>45931</v>
      </c>
      <c r="AZ374" s="163">
        <f t="shared" ref="AZ374:AZ377" si="4458">AY374+30</f>
        <v>45961</v>
      </c>
      <c r="BA374" s="167">
        <f t="shared" ref="BA374:BA377" si="4459">IFERROR(IF(($R374-AZ374)&gt;=0,0,IF(($S374-AY374)&lt;0,0,IF(AND(($S374-AZ374)&gt;0,(AY374-$R374)&gt;0),$V374/365*(AZ374-AY374+1),IF(AND(($S374-AZ374)&lt;=0,(AY374-$R374)&gt;0),$V374/365*($S374-AY374+1),$V374/365*(AZ374-$R374+1))))),0)</f>
        <v>5499.23693150685</v>
      </c>
      <c r="BB374" s="163">
        <f t="shared" ref="BB374:BB377" si="4460">AZ374+1</f>
        <v>45962</v>
      </c>
      <c r="BC374" s="163">
        <f t="shared" ref="BC374:BC377" si="4461">BB374+29</f>
        <v>45991</v>
      </c>
      <c r="BD374" s="167">
        <f t="shared" ref="BD374:BD377" si="4462">IFERROR(IF(($R374-BC374)&gt;=0,0,IF(($S374-BB374)&lt;0,0,IF(AND(($S374-BC374)&gt;0,(BB374-$R374)&gt;0),$V374/365*(BC374-BB374+1),IF(AND(($S374-BC374)&lt;=0,(BB374-$R374)&gt;0),$V374/365*($S374-BB374+1),$V374/365*(BC374-$R374+1))))),0)</f>
        <v>5321.84219178082</v>
      </c>
      <c r="BE374" s="163">
        <f t="shared" ref="BE374:BE377" si="4463">BC374+1</f>
        <v>45992</v>
      </c>
      <c r="BF374" s="163">
        <f t="shared" ref="BF374:BF377" si="4464">BE374+30</f>
        <v>46022</v>
      </c>
      <c r="BG374" s="167">
        <f t="shared" ref="BG374:BG377" si="4465">IFERROR(IF(($R374-BF374)&gt;=0,0,IF(($S374-BE374)&lt;0,0,IF(AND(($S374-BF374)&gt;0,(BE374-$R374)&gt;0),$V374/365*(BF374-BE374+1),IF(AND(($S374-BF374)&lt;=0,(BE374-$R374)&gt;0),$V374/365*($S374-BE374+1),$V374/365*(BF374-$R374+1))))),0)</f>
        <v>5499.23693150685</v>
      </c>
      <c r="BH374" s="163">
        <v>46023</v>
      </c>
      <c r="BI374" s="163">
        <f t="shared" ref="BI374:BI377" si="4466">BH374+30</f>
        <v>46053</v>
      </c>
      <c r="BJ374" s="167">
        <f t="shared" ref="BJ374:BJ377" si="4467">IFERROR(IF(($R374-BI374)&gt;=0,0,IF(($S374-BH374)&lt;0,0,IF(AND(($S374-BI374)&gt;0,(BH374-$R374)&gt;0),$V374/365*(BI374-BH374+1),IF(AND(($S374-BI374)&lt;=0,(BH374-$R374)&gt;0),$V374/365*($S374-BH374+1),$V374/365*(BI374-$R374+1))))),0)</f>
        <v>5499.23693150685</v>
      </c>
      <c r="BK374" s="163">
        <f t="shared" ref="BK374:BK377" si="4468">BI374+1</f>
        <v>46054</v>
      </c>
      <c r="BL374" s="163">
        <f t="shared" ref="BL374:BL377" si="4469">BK374+27</f>
        <v>46081</v>
      </c>
      <c r="BM374" s="167">
        <f t="shared" ref="BM374:BM377" si="4470">IFERROR(IF(($R374-BL374)&gt;=0,0,IF(($S374-BK374)&lt;0,0,IF(AND(($S374-BL374)&gt;0,(BK374-$R374)&gt;0),$V374/365*(BL374-BK374+1),IF(AND(($S374-BL374)&lt;=0,(BK374-$R374)&gt;0),$V374/365*($S374-BK374+1),$V374/365*(BL374-$R374+1))))),0)</f>
        <v>4967.05271232877</v>
      </c>
      <c r="BN374" s="163">
        <f t="shared" ref="BN374:BN377" si="4471">BL374+1</f>
        <v>46082</v>
      </c>
      <c r="BO374" s="163">
        <f t="shared" ref="BO374:BO377" si="4472">BN374+30</f>
        <v>46112</v>
      </c>
      <c r="BP374" s="167">
        <f t="shared" ref="BP374:BP377" si="4473">IFERROR(IF(($R374-BO374)&gt;=0,0,IF(($S374-BN374)&lt;0,0,IF(AND(($S374-BO374)&gt;0,(BN374-$R374)&gt;0),$V374/365*(BO374-BN374+1),IF(AND(($S374-BO374)&lt;=0,(BN374-$R374)&gt;0),$V374/365*($S374-BN374+1),$V374/365*(BO374-$R374+1))))),0)</f>
        <v>5499.23693150685</v>
      </c>
      <c r="BQ374" s="163">
        <f t="shared" ref="BQ374:BQ377" si="4474">BO374+1</f>
        <v>46113</v>
      </c>
      <c r="BR374" s="163">
        <f t="shared" ref="BR374:BR377" si="4475">BQ374+29</f>
        <v>46142</v>
      </c>
      <c r="BS374" s="167">
        <f t="shared" ref="BS374:BS377" si="4476">IFERROR(IF(($R374-BR374)&gt;=0,0,IF(($S374-BQ374)&lt;0,0,IF(AND(($S374-BR374)&gt;0,(BQ374-$R374)&gt;0),$V374/365*(BR374-BQ374+1),IF(AND(($S374-BR374)&lt;=0,(BQ374-$R374)&gt;0),$V374/365*($S374-BQ374+1),$V374/365*(BR374-$R374+1))))),0)</f>
        <v>3015.71057534247</v>
      </c>
      <c r="BT374" s="163">
        <f t="shared" ref="BT374:BT377" si="4477">BR374+1</f>
        <v>46143</v>
      </c>
      <c r="BU374" s="163">
        <f t="shared" ref="BU374:BU377" si="4478">BT374+30</f>
        <v>46173</v>
      </c>
      <c r="BV374" s="167">
        <f t="shared" ref="BV374:BV377" si="4479">IFERROR(IF(($R374-BU374)&gt;=0,0,IF(($S374-BT374)&lt;0,0,IF(AND(($S374-BU374)&gt;0,(BT374-$R374)&gt;0),$V374/365*(BU374-BT374+1),IF(AND(($S374-BU374)&lt;=0,(BT374-$R374)&gt;0),$V374/365*($S374-BT374+1),$V374/365*(BU374-$R374+1))))),0)</f>
        <v>0</v>
      </c>
      <c r="BW374" s="163">
        <f t="shared" ref="BW374:BW377" si="4480">BU374+1</f>
        <v>46174</v>
      </c>
      <c r="BX374" s="163">
        <f t="shared" ref="BX374:BX377" si="4481">BW374+29</f>
        <v>46203</v>
      </c>
      <c r="BY374" s="167">
        <f t="shared" ref="BY374:BY377" si="4482">IFERROR(IF(($R374-BX374)&gt;=0,0,IF(($S374-BW374)&lt;0,0,IF(AND(($S374-BX374)&gt;0,(BW374-$R374)&gt;0),$V374/365*(BX374-BW374+1),IF(AND(($S374-BX374)&lt;=0,(BW374-$R374)&gt;0),$V374/365*($S374-BW374+1),$V374/365*(BX374-$R374+1))))),0)</f>
        <v>0</v>
      </c>
      <c r="BZ374" s="163">
        <f t="shared" ref="BZ374:BZ377" si="4483">BX374+1</f>
        <v>46204</v>
      </c>
      <c r="CA374" s="163">
        <f t="shared" ref="CA374:CA377" si="4484">BZ374+30</f>
        <v>46234</v>
      </c>
      <c r="CB374" s="167">
        <f t="shared" ref="CB374:CB377" si="4485">IFERROR(IF(($R374-CA374)&gt;=0,0,IF(($S374-BZ374)&lt;0,0,IF(AND(($S374-CA374)&gt;0,(BZ374-$R374)&gt;0),$V374/365*(CA374-BZ374+1),IF(AND(($S374-CA374)&lt;=0,(BZ374-$R374)&gt;0),$V374/365*($S374-BZ374+1),$V374/365*(CA374-$R374+1))))),0)</f>
        <v>0</v>
      </c>
      <c r="CC374" s="163">
        <f t="shared" ref="CC374:CC377" si="4486">CA374+1</f>
        <v>46235</v>
      </c>
      <c r="CD374" s="163">
        <f t="shared" ref="CD374:CD377" si="4487">CC374+30</f>
        <v>46265</v>
      </c>
      <c r="CE374" s="167">
        <f t="shared" ref="CE374:CE377" si="4488">IFERROR(IF(($R374-CD374)&gt;=0,0,IF(($S374-CC374)&lt;0,0,IF(AND(($S374-CD374)&gt;0,(CC374-$R374)&gt;0),$V374/365*(CD374-CC374+1),IF(AND(($S374-CD374)&lt;=0,(CC374-$R374)&gt;0),$V374/365*($S374-CC374+1),$V374/365*(CD374-$R374+1))))),0)</f>
        <v>0</v>
      </c>
      <c r="CF374" s="163">
        <f t="shared" ref="CF374:CF377" si="4489">CD374+1</f>
        <v>46266</v>
      </c>
      <c r="CG374" s="163">
        <f t="shared" ref="CG374:CG377" si="4490">CF374+29</f>
        <v>46295</v>
      </c>
      <c r="CH374" s="167">
        <f t="shared" ref="CH374:CH377" si="4491">IFERROR(IF(($R374-CG374)&gt;=0,0,IF(($S374-CF374)&lt;0,0,IF(AND(($S374-CG374)&gt;0,(CF374-$R374)&gt;0),$V374/365*(CG374-CF374+1),IF(AND(($S374-CG374)&lt;=0,(CF374-$R374)&gt;0),$V374/365*($S374-CF374+1),$V374/365*(CG374-$R374+1))))),0)</f>
        <v>0</v>
      </c>
      <c r="CI374" s="163">
        <f t="shared" ref="CI374:CI377" si="4492">CG374+1</f>
        <v>46296</v>
      </c>
      <c r="CJ374" s="163">
        <f t="shared" ref="CJ374:CJ377" si="4493">CI374+30</f>
        <v>46326</v>
      </c>
      <c r="CK374" s="167">
        <f t="shared" ref="CK374:CK377" si="4494">IFERROR(IF(($R374-CJ374)&gt;=0,0,IF(($S374-CI374)&lt;0,0,IF(AND(($S374-CJ374)&gt;0,(CI374-$R374)&gt;0),$V374/365*(CJ374-CI374+1),IF(AND(($S374-CJ374)&lt;=0,(CI374-$R374)&gt;0),$V374/365*($S374-CI374+1),$V374/365*(CJ374-$R374+1))))),0)</f>
        <v>0</v>
      </c>
      <c r="CL374" s="163">
        <f t="shared" ref="CL374:CL377" si="4495">CJ374+1</f>
        <v>46327</v>
      </c>
      <c r="CM374" s="163">
        <f t="shared" ref="CM374:CM377" si="4496">CL374+29</f>
        <v>46356</v>
      </c>
      <c r="CN374" s="167">
        <f t="shared" ref="CN374:CN377" si="4497">IFERROR(IF(($R374-CM374)&gt;=0,0,IF(($S374-CL374)&lt;0,0,IF(AND(($S374-CM374)&gt;0,(CL374-$R374)&gt;0),$V374/365*(CM374-CL374+1),IF(AND(($S374-CM374)&lt;=0,(CL374-$R374)&gt;0),$V374/365*($S374-CL374+1),$V374/365*(CM374-$R374+1))))),0)</f>
        <v>0</v>
      </c>
      <c r="CO374" s="163">
        <f t="shared" ref="CO374:CO377" si="4498">CM374+1</f>
        <v>46357</v>
      </c>
      <c r="CP374" s="163">
        <f t="shared" ref="CP374:CP377" si="4499">CO374+30</f>
        <v>46387</v>
      </c>
      <c r="CQ374" s="167">
        <f t="shared" ref="CQ374:CQ377" si="4500">IFERROR(IF(($R374-CP374)&gt;=0,0,IF(($S374-CO374)&lt;0,0,IF(AND(($S374-CP374)&gt;0,(CO374-$R374)&gt;0),$V374/365*(CP374-CO374+1),IF(AND(($S374-CP374)&lt;=0,(CO374-$R374)&gt;0),$V374/365*($S374-CO374+1),$V374/365*(CP374-$R374+1))))),0)</f>
        <v>0</v>
      </c>
    </row>
    <row r="375" s="89" customFormat="1" ht="24" hidden="1" customHeight="1" outlineLevel="4" spans="1:95">
      <c r="A375" s="128"/>
      <c r="B375" s="129"/>
      <c r="C375" s="130"/>
      <c r="D375" s="128"/>
      <c r="E375" s="129"/>
      <c r="F375" s="129"/>
      <c r="G375" s="129"/>
      <c r="H375" s="131"/>
      <c r="I375" s="131"/>
      <c r="J375" s="131">
        <f t="shared" si="3853"/>
        <v>0</v>
      </c>
      <c r="K375" s="131">
        <f t="shared" ref="K375:K377" si="4501">K374+1</f>
        <v>2</v>
      </c>
      <c r="L375" s="156"/>
      <c r="M375" s="157">
        <f>IFERROR(VLOOKUP($L375,'2-2 引出数据_合同数据仓库'!$B$5:$BP$200,3,FALSE),0)</f>
        <v>0</v>
      </c>
      <c r="N375" s="131"/>
      <c r="O375" s="157">
        <f>IFERROR(VLOOKUP((LEFT(VLOOKUP($L375,'2-2 引出数据_合同数据仓库'!$B$5:$BP$200,64,FALSE),15)&amp;(RIGHT(VLOOKUP($L375,'2-2 引出数据_合同数据仓库'!$B$5:$BP$200,64,FALSE),4)+1)),'2-2 引出数据_合同数据仓库'!$B$5:$BP$200,3,FALSE),0)</f>
        <v>0</v>
      </c>
      <c r="P375" s="131"/>
      <c r="Q375" s="131">
        <f>IFERROR(VLOOKUP($L375,'2-2 引出数据_合同数据仓库'!$B$5:$BP$200,28,FALSE),0)</f>
        <v>0</v>
      </c>
      <c r="R375" s="131">
        <f>IFERROR(VLOOKUP($L375,'2-2 引出数据_合同数据仓库'!$B$5:$BP$200,29,FALSE),0)</f>
        <v>0</v>
      </c>
      <c r="S375" s="131">
        <f>IFERROR(VLOOKUP($L375,'2-2 引出数据_合同数据仓库'!$B$5:$BP$200,4,FALSE),0)</f>
        <v>0</v>
      </c>
      <c r="T375" s="131"/>
      <c r="U375" s="131">
        <f>IFERROR(VLOOKUP($L375,'2-2 引出数据_合同数据仓库'!$B$5:$BP$200,15,FALSE),0)</f>
        <v>0</v>
      </c>
      <c r="V375" s="131">
        <f t="shared" si="4430"/>
        <v>0</v>
      </c>
      <c r="W375" s="131"/>
      <c r="X375" s="163">
        <v>45658</v>
      </c>
      <c r="Y375" s="163">
        <f t="shared" si="4431"/>
        <v>45688</v>
      </c>
      <c r="Z375" s="167">
        <f t="shared" si="4432"/>
        <v>0</v>
      </c>
      <c r="AA375" s="163">
        <f t="shared" si="4433"/>
        <v>45689</v>
      </c>
      <c r="AB375" s="163">
        <f t="shared" si="4434"/>
        <v>45716</v>
      </c>
      <c r="AC375" s="167">
        <f t="shared" si="4435"/>
        <v>0</v>
      </c>
      <c r="AD375" s="163">
        <f t="shared" si="4436"/>
        <v>45717</v>
      </c>
      <c r="AE375" s="163">
        <f t="shared" si="4437"/>
        <v>45747</v>
      </c>
      <c r="AF375" s="167">
        <f t="shared" si="4438"/>
        <v>0</v>
      </c>
      <c r="AG375" s="163">
        <f t="shared" si="4439"/>
        <v>45748</v>
      </c>
      <c r="AH375" s="163">
        <f t="shared" si="4440"/>
        <v>45777</v>
      </c>
      <c r="AI375" s="167">
        <f t="shared" si="4441"/>
        <v>0</v>
      </c>
      <c r="AJ375" s="163">
        <f t="shared" si="4442"/>
        <v>45778</v>
      </c>
      <c r="AK375" s="163">
        <f t="shared" si="4443"/>
        <v>45808</v>
      </c>
      <c r="AL375" s="167">
        <f t="shared" si="4444"/>
        <v>0</v>
      </c>
      <c r="AM375" s="163">
        <f t="shared" si="4445"/>
        <v>45809</v>
      </c>
      <c r="AN375" s="163">
        <f t="shared" si="4446"/>
        <v>45838</v>
      </c>
      <c r="AO375" s="167">
        <f t="shared" si="4447"/>
        <v>0</v>
      </c>
      <c r="AP375" s="163">
        <f t="shared" si="4448"/>
        <v>45839</v>
      </c>
      <c r="AQ375" s="163">
        <f t="shared" si="4449"/>
        <v>45869</v>
      </c>
      <c r="AR375" s="167">
        <f t="shared" si="4450"/>
        <v>0</v>
      </c>
      <c r="AS375" s="163">
        <f t="shared" si="4451"/>
        <v>45870</v>
      </c>
      <c r="AT375" s="163">
        <f t="shared" si="4452"/>
        <v>45900</v>
      </c>
      <c r="AU375" s="167">
        <f t="shared" si="4453"/>
        <v>0</v>
      </c>
      <c r="AV375" s="163">
        <f t="shared" si="4454"/>
        <v>45901</v>
      </c>
      <c r="AW375" s="163">
        <f t="shared" si="4455"/>
        <v>45930</v>
      </c>
      <c r="AX375" s="167">
        <f t="shared" si="4456"/>
        <v>0</v>
      </c>
      <c r="AY375" s="163">
        <f t="shared" si="4457"/>
        <v>45931</v>
      </c>
      <c r="AZ375" s="163">
        <f t="shared" si="4458"/>
        <v>45961</v>
      </c>
      <c r="BA375" s="167">
        <f t="shared" si="4459"/>
        <v>0</v>
      </c>
      <c r="BB375" s="163">
        <f t="shared" si="4460"/>
        <v>45962</v>
      </c>
      <c r="BC375" s="163">
        <f t="shared" si="4461"/>
        <v>45991</v>
      </c>
      <c r="BD375" s="167">
        <f t="shared" si="4462"/>
        <v>0</v>
      </c>
      <c r="BE375" s="163">
        <f t="shared" si="4463"/>
        <v>45992</v>
      </c>
      <c r="BF375" s="163">
        <f t="shared" si="4464"/>
        <v>46022</v>
      </c>
      <c r="BG375" s="167">
        <f t="shared" si="4465"/>
        <v>0</v>
      </c>
      <c r="BH375" s="163">
        <v>46023</v>
      </c>
      <c r="BI375" s="163">
        <f t="shared" si="4466"/>
        <v>46053</v>
      </c>
      <c r="BJ375" s="167">
        <f t="shared" si="4467"/>
        <v>0</v>
      </c>
      <c r="BK375" s="163">
        <f t="shared" si="4468"/>
        <v>46054</v>
      </c>
      <c r="BL375" s="163">
        <f t="shared" si="4469"/>
        <v>46081</v>
      </c>
      <c r="BM375" s="167">
        <f t="shared" si="4470"/>
        <v>0</v>
      </c>
      <c r="BN375" s="163">
        <f t="shared" si="4471"/>
        <v>46082</v>
      </c>
      <c r="BO375" s="163">
        <f t="shared" si="4472"/>
        <v>46112</v>
      </c>
      <c r="BP375" s="167">
        <f t="shared" si="4473"/>
        <v>0</v>
      </c>
      <c r="BQ375" s="163">
        <f t="shared" si="4474"/>
        <v>46113</v>
      </c>
      <c r="BR375" s="163">
        <f t="shared" si="4475"/>
        <v>46142</v>
      </c>
      <c r="BS375" s="167">
        <f t="shared" si="4476"/>
        <v>0</v>
      </c>
      <c r="BT375" s="163">
        <f t="shared" si="4477"/>
        <v>46143</v>
      </c>
      <c r="BU375" s="163">
        <f t="shared" si="4478"/>
        <v>46173</v>
      </c>
      <c r="BV375" s="167">
        <f t="shared" si="4479"/>
        <v>0</v>
      </c>
      <c r="BW375" s="163">
        <f t="shared" si="4480"/>
        <v>46174</v>
      </c>
      <c r="BX375" s="163">
        <f t="shared" si="4481"/>
        <v>46203</v>
      </c>
      <c r="BY375" s="167">
        <f t="shared" si="4482"/>
        <v>0</v>
      </c>
      <c r="BZ375" s="163">
        <f t="shared" si="4483"/>
        <v>46204</v>
      </c>
      <c r="CA375" s="163">
        <f t="shared" si="4484"/>
        <v>46234</v>
      </c>
      <c r="CB375" s="167">
        <f t="shared" si="4485"/>
        <v>0</v>
      </c>
      <c r="CC375" s="163">
        <f t="shared" si="4486"/>
        <v>46235</v>
      </c>
      <c r="CD375" s="163">
        <f t="shared" si="4487"/>
        <v>46265</v>
      </c>
      <c r="CE375" s="167">
        <f t="shared" si="4488"/>
        <v>0</v>
      </c>
      <c r="CF375" s="163">
        <f t="shared" si="4489"/>
        <v>46266</v>
      </c>
      <c r="CG375" s="163">
        <f t="shared" si="4490"/>
        <v>46295</v>
      </c>
      <c r="CH375" s="167">
        <f t="shared" si="4491"/>
        <v>0</v>
      </c>
      <c r="CI375" s="163">
        <f t="shared" si="4492"/>
        <v>46296</v>
      </c>
      <c r="CJ375" s="163">
        <f t="shared" si="4493"/>
        <v>46326</v>
      </c>
      <c r="CK375" s="167">
        <f t="shared" si="4494"/>
        <v>0</v>
      </c>
      <c r="CL375" s="163">
        <f t="shared" si="4495"/>
        <v>46327</v>
      </c>
      <c r="CM375" s="163">
        <f t="shared" si="4496"/>
        <v>46356</v>
      </c>
      <c r="CN375" s="167">
        <f t="shared" si="4497"/>
        <v>0</v>
      </c>
      <c r="CO375" s="163">
        <f t="shared" si="4498"/>
        <v>46357</v>
      </c>
      <c r="CP375" s="163">
        <f t="shared" si="4499"/>
        <v>46387</v>
      </c>
      <c r="CQ375" s="167">
        <f t="shared" si="4500"/>
        <v>0</v>
      </c>
    </row>
    <row r="376" s="89" customFormat="1" ht="24" hidden="1" customHeight="1" outlineLevel="4" spans="1:95">
      <c r="A376" s="128"/>
      <c r="B376" s="129"/>
      <c r="C376" s="130"/>
      <c r="D376" s="128"/>
      <c r="E376" s="129"/>
      <c r="F376" s="129"/>
      <c r="G376" s="129"/>
      <c r="H376" s="131"/>
      <c r="I376" s="131"/>
      <c r="J376" s="131">
        <f t="shared" si="3853"/>
        <v>0</v>
      </c>
      <c r="K376" s="131">
        <f t="shared" si="4501"/>
        <v>3</v>
      </c>
      <c r="L376" s="156"/>
      <c r="M376" s="157">
        <f>IFERROR(VLOOKUP($L376,'2-2 引出数据_合同数据仓库'!$B$5:$BP$200,3,FALSE),0)</f>
        <v>0</v>
      </c>
      <c r="N376" s="131"/>
      <c r="O376" s="157">
        <f>IFERROR(VLOOKUP((LEFT(VLOOKUP($L376,'2-2 引出数据_合同数据仓库'!$B$5:$BP$200,64,FALSE),15)&amp;(RIGHT(VLOOKUP($L376,'2-2 引出数据_合同数据仓库'!$B$5:$BP$200,64,FALSE),4)+1)),'2-2 引出数据_合同数据仓库'!$B$5:$BP$200,3,FALSE),0)</f>
        <v>0</v>
      </c>
      <c r="P376" s="131"/>
      <c r="Q376" s="131">
        <f>IFERROR(VLOOKUP($L376,'2-2 引出数据_合同数据仓库'!$B$5:$BP$200,28,FALSE),0)</f>
        <v>0</v>
      </c>
      <c r="R376" s="131">
        <f>IFERROR(VLOOKUP($L376,'2-2 引出数据_合同数据仓库'!$B$5:$BP$200,29,FALSE),0)</f>
        <v>0</v>
      </c>
      <c r="S376" s="131">
        <f>IFERROR(VLOOKUP($L376,'2-2 引出数据_合同数据仓库'!$B$5:$BP$200,4,FALSE),0)</f>
        <v>0</v>
      </c>
      <c r="T376" s="131"/>
      <c r="U376" s="131">
        <f>IFERROR(VLOOKUP($L376,'2-2 引出数据_合同数据仓库'!$B$5:$BP$200,15,FALSE),0)</f>
        <v>0</v>
      </c>
      <c r="V376" s="131">
        <f t="shared" si="4430"/>
        <v>0</v>
      </c>
      <c r="W376" s="131"/>
      <c r="X376" s="163">
        <v>45658</v>
      </c>
      <c r="Y376" s="163">
        <f t="shared" si="4431"/>
        <v>45688</v>
      </c>
      <c r="Z376" s="167">
        <f t="shared" si="4432"/>
        <v>0</v>
      </c>
      <c r="AA376" s="163">
        <f t="shared" si="4433"/>
        <v>45689</v>
      </c>
      <c r="AB376" s="163">
        <f t="shared" si="4434"/>
        <v>45716</v>
      </c>
      <c r="AC376" s="167">
        <f t="shared" si="4435"/>
        <v>0</v>
      </c>
      <c r="AD376" s="163">
        <f t="shared" si="4436"/>
        <v>45717</v>
      </c>
      <c r="AE376" s="163">
        <f t="shared" si="4437"/>
        <v>45747</v>
      </c>
      <c r="AF376" s="167">
        <f t="shared" si="4438"/>
        <v>0</v>
      </c>
      <c r="AG376" s="163">
        <f t="shared" si="4439"/>
        <v>45748</v>
      </c>
      <c r="AH376" s="163">
        <f t="shared" si="4440"/>
        <v>45777</v>
      </c>
      <c r="AI376" s="167">
        <f t="shared" si="4441"/>
        <v>0</v>
      </c>
      <c r="AJ376" s="163">
        <f t="shared" si="4442"/>
        <v>45778</v>
      </c>
      <c r="AK376" s="163">
        <f t="shared" si="4443"/>
        <v>45808</v>
      </c>
      <c r="AL376" s="167">
        <f t="shared" si="4444"/>
        <v>0</v>
      </c>
      <c r="AM376" s="163">
        <f t="shared" si="4445"/>
        <v>45809</v>
      </c>
      <c r="AN376" s="163">
        <f t="shared" si="4446"/>
        <v>45838</v>
      </c>
      <c r="AO376" s="167">
        <f t="shared" si="4447"/>
        <v>0</v>
      </c>
      <c r="AP376" s="163">
        <f t="shared" si="4448"/>
        <v>45839</v>
      </c>
      <c r="AQ376" s="163">
        <f t="shared" si="4449"/>
        <v>45869</v>
      </c>
      <c r="AR376" s="167">
        <f t="shared" si="4450"/>
        <v>0</v>
      </c>
      <c r="AS376" s="163">
        <f t="shared" si="4451"/>
        <v>45870</v>
      </c>
      <c r="AT376" s="163">
        <f t="shared" si="4452"/>
        <v>45900</v>
      </c>
      <c r="AU376" s="167">
        <f t="shared" si="4453"/>
        <v>0</v>
      </c>
      <c r="AV376" s="163">
        <f t="shared" si="4454"/>
        <v>45901</v>
      </c>
      <c r="AW376" s="163">
        <f t="shared" si="4455"/>
        <v>45930</v>
      </c>
      <c r="AX376" s="167">
        <f t="shared" si="4456"/>
        <v>0</v>
      </c>
      <c r="AY376" s="163">
        <f t="shared" si="4457"/>
        <v>45931</v>
      </c>
      <c r="AZ376" s="163">
        <f t="shared" si="4458"/>
        <v>45961</v>
      </c>
      <c r="BA376" s="167">
        <f t="shared" si="4459"/>
        <v>0</v>
      </c>
      <c r="BB376" s="163">
        <f t="shared" si="4460"/>
        <v>45962</v>
      </c>
      <c r="BC376" s="163">
        <f t="shared" si="4461"/>
        <v>45991</v>
      </c>
      <c r="BD376" s="167">
        <f t="shared" si="4462"/>
        <v>0</v>
      </c>
      <c r="BE376" s="163">
        <f t="shared" si="4463"/>
        <v>45992</v>
      </c>
      <c r="BF376" s="163">
        <f t="shared" si="4464"/>
        <v>46022</v>
      </c>
      <c r="BG376" s="167">
        <f t="shared" si="4465"/>
        <v>0</v>
      </c>
      <c r="BH376" s="163">
        <v>46023</v>
      </c>
      <c r="BI376" s="163">
        <f t="shared" si="4466"/>
        <v>46053</v>
      </c>
      <c r="BJ376" s="167">
        <f t="shared" si="4467"/>
        <v>0</v>
      </c>
      <c r="BK376" s="163">
        <f t="shared" si="4468"/>
        <v>46054</v>
      </c>
      <c r="BL376" s="163">
        <f t="shared" si="4469"/>
        <v>46081</v>
      </c>
      <c r="BM376" s="167">
        <f t="shared" si="4470"/>
        <v>0</v>
      </c>
      <c r="BN376" s="163">
        <f t="shared" si="4471"/>
        <v>46082</v>
      </c>
      <c r="BO376" s="163">
        <f t="shared" si="4472"/>
        <v>46112</v>
      </c>
      <c r="BP376" s="167">
        <f t="shared" si="4473"/>
        <v>0</v>
      </c>
      <c r="BQ376" s="163">
        <f t="shared" si="4474"/>
        <v>46113</v>
      </c>
      <c r="BR376" s="163">
        <f t="shared" si="4475"/>
        <v>46142</v>
      </c>
      <c r="BS376" s="167">
        <f t="shared" si="4476"/>
        <v>0</v>
      </c>
      <c r="BT376" s="163">
        <f t="shared" si="4477"/>
        <v>46143</v>
      </c>
      <c r="BU376" s="163">
        <f t="shared" si="4478"/>
        <v>46173</v>
      </c>
      <c r="BV376" s="167">
        <f t="shared" si="4479"/>
        <v>0</v>
      </c>
      <c r="BW376" s="163">
        <f t="shared" si="4480"/>
        <v>46174</v>
      </c>
      <c r="BX376" s="163">
        <f t="shared" si="4481"/>
        <v>46203</v>
      </c>
      <c r="BY376" s="167">
        <f t="shared" si="4482"/>
        <v>0</v>
      </c>
      <c r="BZ376" s="163">
        <f t="shared" si="4483"/>
        <v>46204</v>
      </c>
      <c r="CA376" s="163">
        <f t="shared" si="4484"/>
        <v>46234</v>
      </c>
      <c r="CB376" s="167">
        <f t="shared" si="4485"/>
        <v>0</v>
      </c>
      <c r="CC376" s="163">
        <f t="shared" si="4486"/>
        <v>46235</v>
      </c>
      <c r="CD376" s="163">
        <f t="shared" si="4487"/>
        <v>46265</v>
      </c>
      <c r="CE376" s="167">
        <f t="shared" si="4488"/>
        <v>0</v>
      </c>
      <c r="CF376" s="163">
        <f t="shared" si="4489"/>
        <v>46266</v>
      </c>
      <c r="CG376" s="163">
        <f t="shared" si="4490"/>
        <v>46295</v>
      </c>
      <c r="CH376" s="167">
        <f t="shared" si="4491"/>
        <v>0</v>
      </c>
      <c r="CI376" s="163">
        <f t="shared" si="4492"/>
        <v>46296</v>
      </c>
      <c r="CJ376" s="163">
        <f t="shared" si="4493"/>
        <v>46326</v>
      </c>
      <c r="CK376" s="167">
        <f t="shared" si="4494"/>
        <v>0</v>
      </c>
      <c r="CL376" s="163">
        <f t="shared" si="4495"/>
        <v>46327</v>
      </c>
      <c r="CM376" s="163">
        <f t="shared" si="4496"/>
        <v>46356</v>
      </c>
      <c r="CN376" s="167">
        <f t="shared" si="4497"/>
        <v>0</v>
      </c>
      <c r="CO376" s="163">
        <f t="shared" si="4498"/>
        <v>46357</v>
      </c>
      <c r="CP376" s="163">
        <f t="shared" si="4499"/>
        <v>46387</v>
      </c>
      <c r="CQ376" s="167">
        <f t="shared" si="4500"/>
        <v>0</v>
      </c>
    </row>
    <row r="377" s="89" customFormat="1" ht="24" hidden="1" customHeight="1" outlineLevel="4" spans="1:95">
      <c r="A377" s="128"/>
      <c r="B377" s="129"/>
      <c r="C377" s="130"/>
      <c r="D377" s="128"/>
      <c r="E377" s="129"/>
      <c r="F377" s="129"/>
      <c r="G377" s="129"/>
      <c r="H377" s="131"/>
      <c r="I377" s="131"/>
      <c r="J377" s="131">
        <f t="shared" si="3853"/>
        <v>0</v>
      </c>
      <c r="K377" s="131">
        <f t="shared" si="4501"/>
        <v>4</v>
      </c>
      <c r="L377" s="156"/>
      <c r="M377" s="157">
        <f>IFERROR(VLOOKUP($L377,'2-2 引出数据_合同数据仓库'!$B$5:$BP$200,3,FALSE),0)</f>
        <v>0</v>
      </c>
      <c r="N377" s="131"/>
      <c r="O377" s="157">
        <f>IFERROR(VLOOKUP((LEFT(VLOOKUP($L377,'2-2 引出数据_合同数据仓库'!$B$5:$BP$200,64,FALSE),15)&amp;(RIGHT(VLOOKUP($L377,'2-2 引出数据_合同数据仓库'!$B$5:$BP$200,64,FALSE),4)+1)),'2-2 引出数据_合同数据仓库'!$B$5:$BP$200,3,FALSE),0)</f>
        <v>0</v>
      </c>
      <c r="P377" s="131"/>
      <c r="Q377" s="131">
        <f>IFERROR(VLOOKUP($L377,'2-2 引出数据_合同数据仓库'!$B$5:$BP$200,28,FALSE),0)</f>
        <v>0</v>
      </c>
      <c r="R377" s="131">
        <f>IFERROR(VLOOKUP($L377,'2-2 引出数据_合同数据仓库'!$B$5:$BP$200,29,FALSE),0)</f>
        <v>0</v>
      </c>
      <c r="S377" s="131">
        <f>IFERROR(VLOOKUP($L377,'2-2 引出数据_合同数据仓库'!$B$5:$BP$200,4,FALSE),0)</f>
        <v>0</v>
      </c>
      <c r="T377" s="131"/>
      <c r="U377" s="131">
        <f>IFERROR(VLOOKUP($L377,'2-2 引出数据_合同数据仓库'!$B$5:$BP$200,15,FALSE),0)</f>
        <v>0</v>
      </c>
      <c r="V377" s="131">
        <f t="shared" si="4430"/>
        <v>0</v>
      </c>
      <c r="W377" s="131"/>
      <c r="X377" s="163">
        <v>45658</v>
      </c>
      <c r="Y377" s="163">
        <f t="shared" si="4431"/>
        <v>45688</v>
      </c>
      <c r="Z377" s="167">
        <f t="shared" si="4432"/>
        <v>0</v>
      </c>
      <c r="AA377" s="163">
        <f t="shared" si="4433"/>
        <v>45689</v>
      </c>
      <c r="AB377" s="163">
        <f t="shared" si="4434"/>
        <v>45716</v>
      </c>
      <c r="AC377" s="167">
        <f t="shared" si="4435"/>
        <v>0</v>
      </c>
      <c r="AD377" s="163">
        <f t="shared" si="4436"/>
        <v>45717</v>
      </c>
      <c r="AE377" s="163">
        <f t="shared" si="4437"/>
        <v>45747</v>
      </c>
      <c r="AF377" s="167">
        <f t="shared" si="4438"/>
        <v>0</v>
      </c>
      <c r="AG377" s="163">
        <f t="shared" si="4439"/>
        <v>45748</v>
      </c>
      <c r="AH377" s="163">
        <f t="shared" si="4440"/>
        <v>45777</v>
      </c>
      <c r="AI377" s="167">
        <f t="shared" si="4441"/>
        <v>0</v>
      </c>
      <c r="AJ377" s="163">
        <f t="shared" si="4442"/>
        <v>45778</v>
      </c>
      <c r="AK377" s="163">
        <f t="shared" si="4443"/>
        <v>45808</v>
      </c>
      <c r="AL377" s="167">
        <f t="shared" si="4444"/>
        <v>0</v>
      </c>
      <c r="AM377" s="163">
        <f t="shared" si="4445"/>
        <v>45809</v>
      </c>
      <c r="AN377" s="163">
        <f t="shared" si="4446"/>
        <v>45838</v>
      </c>
      <c r="AO377" s="167">
        <f t="shared" si="4447"/>
        <v>0</v>
      </c>
      <c r="AP377" s="163">
        <f t="shared" si="4448"/>
        <v>45839</v>
      </c>
      <c r="AQ377" s="163">
        <f t="shared" si="4449"/>
        <v>45869</v>
      </c>
      <c r="AR377" s="167">
        <f t="shared" si="4450"/>
        <v>0</v>
      </c>
      <c r="AS377" s="163">
        <f t="shared" si="4451"/>
        <v>45870</v>
      </c>
      <c r="AT377" s="163">
        <f t="shared" si="4452"/>
        <v>45900</v>
      </c>
      <c r="AU377" s="167">
        <f t="shared" si="4453"/>
        <v>0</v>
      </c>
      <c r="AV377" s="163">
        <f t="shared" si="4454"/>
        <v>45901</v>
      </c>
      <c r="AW377" s="163">
        <f t="shared" si="4455"/>
        <v>45930</v>
      </c>
      <c r="AX377" s="167">
        <f t="shared" si="4456"/>
        <v>0</v>
      </c>
      <c r="AY377" s="163">
        <f t="shared" si="4457"/>
        <v>45931</v>
      </c>
      <c r="AZ377" s="163">
        <f t="shared" si="4458"/>
        <v>45961</v>
      </c>
      <c r="BA377" s="167">
        <f t="shared" si="4459"/>
        <v>0</v>
      </c>
      <c r="BB377" s="163">
        <f t="shared" si="4460"/>
        <v>45962</v>
      </c>
      <c r="BC377" s="163">
        <f t="shared" si="4461"/>
        <v>45991</v>
      </c>
      <c r="BD377" s="167">
        <f t="shared" si="4462"/>
        <v>0</v>
      </c>
      <c r="BE377" s="163">
        <f t="shared" si="4463"/>
        <v>45992</v>
      </c>
      <c r="BF377" s="163">
        <f t="shared" si="4464"/>
        <v>46022</v>
      </c>
      <c r="BG377" s="167">
        <f t="shared" si="4465"/>
        <v>0</v>
      </c>
      <c r="BH377" s="163">
        <v>46023</v>
      </c>
      <c r="BI377" s="163">
        <f t="shared" si="4466"/>
        <v>46053</v>
      </c>
      <c r="BJ377" s="167">
        <f t="shared" si="4467"/>
        <v>0</v>
      </c>
      <c r="BK377" s="163">
        <f t="shared" si="4468"/>
        <v>46054</v>
      </c>
      <c r="BL377" s="163">
        <f t="shared" si="4469"/>
        <v>46081</v>
      </c>
      <c r="BM377" s="167">
        <f t="shared" si="4470"/>
        <v>0</v>
      </c>
      <c r="BN377" s="163">
        <f t="shared" si="4471"/>
        <v>46082</v>
      </c>
      <c r="BO377" s="163">
        <f t="shared" si="4472"/>
        <v>46112</v>
      </c>
      <c r="BP377" s="167">
        <f t="shared" si="4473"/>
        <v>0</v>
      </c>
      <c r="BQ377" s="163">
        <f t="shared" si="4474"/>
        <v>46113</v>
      </c>
      <c r="BR377" s="163">
        <f t="shared" si="4475"/>
        <v>46142</v>
      </c>
      <c r="BS377" s="167">
        <f t="shared" si="4476"/>
        <v>0</v>
      </c>
      <c r="BT377" s="163">
        <f t="shared" si="4477"/>
        <v>46143</v>
      </c>
      <c r="BU377" s="163">
        <f t="shared" si="4478"/>
        <v>46173</v>
      </c>
      <c r="BV377" s="167">
        <f t="shared" si="4479"/>
        <v>0</v>
      </c>
      <c r="BW377" s="163">
        <f t="shared" si="4480"/>
        <v>46174</v>
      </c>
      <c r="BX377" s="163">
        <f t="shared" si="4481"/>
        <v>46203</v>
      </c>
      <c r="BY377" s="167">
        <f t="shared" si="4482"/>
        <v>0</v>
      </c>
      <c r="BZ377" s="163">
        <f t="shared" si="4483"/>
        <v>46204</v>
      </c>
      <c r="CA377" s="163">
        <f t="shared" si="4484"/>
        <v>46234</v>
      </c>
      <c r="CB377" s="167">
        <f t="shared" si="4485"/>
        <v>0</v>
      </c>
      <c r="CC377" s="163">
        <f t="shared" si="4486"/>
        <v>46235</v>
      </c>
      <c r="CD377" s="163">
        <f t="shared" si="4487"/>
        <v>46265</v>
      </c>
      <c r="CE377" s="167">
        <f t="shared" si="4488"/>
        <v>0</v>
      </c>
      <c r="CF377" s="163">
        <f t="shared" si="4489"/>
        <v>46266</v>
      </c>
      <c r="CG377" s="163">
        <f t="shared" si="4490"/>
        <v>46295</v>
      </c>
      <c r="CH377" s="167">
        <f t="shared" si="4491"/>
        <v>0</v>
      </c>
      <c r="CI377" s="163">
        <f t="shared" si="4492"/>
        <v>46296</v>
      </c>
      <c r="CJ377" s="163">
        <f t="shared" si="4493"/>
        <v>46326</v>
      </c>
      <c r="CK377" s="167">
        <f t="shared" si="4494"/>
        <v>0</v>
      </c>
      <c r="CL377" s="163">
        <f t="shared" si="4495"/>
        <v>46327</v>
      </c>
      <c r="CM377" s="163">
        <f t="shared" si="4496"/>
        <v>46356</v>
      </c>
      <c r="CN377" s="167">
        <f t="shared" si="4497"/>
        <v>0</v>
      </c>
      <c r="CO377" s="163">
        <f t="shared" si="4498"/>
        <v>46357</v>
      </c>
      <c r="CP377" s="163">
        <f t="shared" si="4499"/>
        <v>46387</v>
      </c>
      <c r="CQ377" s="167">
        <f t="shared" si="4500"/>
        <v>0</v>
      </c>
    </row>
    <row r="378" s="89" customFormat="1" ht="24" hidden="1" customHeight="1" outlineLevel="4" spans="1:95">
      <c r="A378" s="132" t="s">
        <v>2813</v>
      </c>
      <c r="B378" s="133"/>
      <c r="C378" s="133"/>
      <c r="D378" s="133"/>
      <c r="E378" s="133"/>
      <c r="F378" s="133"/>
      <c r="G378" s="134"/>
      <c r="H378" s="135"/>
      <c r="I378" s="135"/>
      <c r="J378" s="135"/>
      <c r="K378" s="135"/>
      <c r="L378" s="158"/>
      <c r="M378" s="158"/>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c r="CL378" s="135"/>
      <c r="CM378" s="135"/>
      <c r="CN378" s="135"/>
      <c r="CO378" s="135"/>
      <c r="CP378" s="135"/>
      <c r="CQ378" s="135"/>
    </row>
    <row r="379" ht="24" hidden="1" customHeight="1" outlineLevel="3" collapsed="1" spans="1:95">
      <c r="A379" s="124"/>
      <c r="B379" s="125" t="s">
        <v>792</v>
      </c>
      <c r="C379" s="126" t="s">
        <v>1352</v>
      </c>
      <c r="D379" s="124" t="s">
        <v>1353</v>
      </c>
      <c r="E379" s="125" t="s">
        <v>1354</v>
      </c>
      <c r="F379" s="125"/>
      <c r="G379" s="125" t="s">
        <v>936</v>
      </c>
      <c r="H379" s="127">
        <f>X379+AA379+AD379+AG379+AJ379+AM379+AP379+AS379+AV379+AY379+BB379+BE379</f>
        <v>0</v>
      </c>
      <c r="I379" s="127">
        <f>Y379+AB379+AE379+AH379+AK379+AN379+AQ379+AT379+AW379+AZ379+BC379+BF379</f>
        <v>-182966.292134831</v>
      </c>
      <c r="J379" s="127">
        <f t="shared" si="3853"/>
        <v>182966.292134831</v>
      </c>
      <c r="K379" s="127"/>
      <c r="L379" s="155"/>
      <c r="M379" s="155"/>
      <c r="N379" s="127"/>
      <c r="O379" s="127"/>
      <c r="P379" s="127"/>
      <c r="Q379" s="127"/>
      <c r="R379" s="127"/>
      <c r="S379" s="127"/>
      <c r="T379" s="127"/>
      <c r="U379" s="127"/>
      <c r="V379" s="127"/>
      <c r="W379" s="127"/>
      <c r="X379" s="127">
        <f>VLOOKUP($C379,'1 预算编制表单'!$C:$BJ,27,FALSE)</f>
        <v>0</v>
      </c>
      <c r="Y379" s="127">
        <f>X379-Z379</f>
        <v>0</v>
      </c>
      <c r="Z379" s="127">
        <f>SUM(Z380:Z384)</f>
        <v>0</v>
      </c>
      <c r="AA379" s="127">
        <f>VLOOKUP($C379,'1 预算编制表单'!$C:$BJ,30,FALSE)</f>
        <v>0</v>
      </c>
      <c r="AB379" s="127">
        <f>AA379-AC379</f>
        <v>0</v>
      </c>
      <c r="AC379" s="127">
        <f>SUM(AC380:AC384)</f>
        <v>0</v>
      </c>
      <c r="AD379" s="127">
        <f>VLOOKUP($C379,'1 预算编制表单'!$C:$BJ,33,FALSE)</f>
        <v>0</v>
      </c>
      <c r="AE379" s="127">
        <f>AD379-AF379</f>
        <v>0</v>
      </c>
      <c r="AF379" s="127">
        <f>SUM(AF380:AF384)</f>
        <v>0</v>
      </c>
      <c r="AG379" s="127">
        <f>VLOOKUP($C379,'1 预算编制表单'!$C:$BJ,36,FALSE)</f>
        <v>0</v>
      </c>
      <c r="AH379" s="127">
        <f>AG379-AI379</f>
        <v>-31011.2359550562</v>
      </c>
      <c r="AI379" s="127">
        <f>SUM(AI380:AI384)</f>
        <v>31011.2359550562</v>
      </c>
      <c r="AJ379" s="127">
        <f>VLOOKUP($C379,'1 预算编制表单'!$C:$BJ,39,FALSE)</f>
        <v>0</v>
      </c>
      <c r="AK379" s="127">
        <f>AJ379-AL379</f>
        <v>-32044.9438202247</v>
      </c>
      <c r="AL379" s="127">
        <f>SUM(AL380:AL384)</f>
        <v>32044.9438202247</v>
      </c>
      <c r="AM379" s="127">
        <f>VLOOKUP($C379,'1 预算编制表单'!$C:$BJ,42,FALSE)</f>
        <v>0</v>
      </c>
      <c r="AN379" s="127">
        <f>AM379-AO379</f>
        <v>-31011.2359550562</v>
      </c>
      <c r="AO379" s="127">
        <f>SUM(AO380:AO384)</f>
        <v>31011.2359550562</v>
      </c>
      <c r="AP379" s="127">
        <f>VLOOKUP($C379,'1 预算编制表单'!$C:$BJ,45,FALSE)</f>
        <v>0</v>
      </c>
      <c r="AQ379" s="127">
        <f>AP379-AR379</f>
        <v>-32044.9438202247</v>
      </c>
      <c r="AR379" s="127">
        <f>SUM(AR380:AR384)</f>
        <v>32044.9438202247</v>
      </c>
      <c r="AS379" s="127">
        <f>VLOOKUP($C379,'1 预算编制表单'!$C:$BJ,48,FALSE)</f>
        <v>0</v>
      </c>
      <c r="AT379" s="127">
        <f>AS379-AU379</f>
        <v>-32044.9438202247</v>
      </c>
      <c r="AU379" s="127">
        <f>SUM(AU380:AU384)</f>
        <v>32044.9438202247</v>
      </c>
      <c r="AV379" s="127">
        <f>VLOOKUP($C379,'1 预算编制表单'!$C:$BJ,51,FALSE)</f>
        <v>0</v>
      </c>
      <c r="AW379" s="127">
        <f>AV379-AX379</f>
        <v>-24808.9887640449</v>
      </c>
      <c r="AX379" s="127">
        <f>SUM(AX380:AX384)</f>
        <v>24808.9887640449</v>
      </c>
      <c r="AY379" s="127">
        <f>VLOOKUP($C379,'1 预算编制表单'!$C:$BJ,54,FALSE)</f>
        <v>0</v>
      </c>
      <c r="AZ379" s="127">
        <f>AY379-BA379</f>
        <v>0</v>
      </c>
      <c r="BA379" s="127">
        <f>SUM(BA380:BA384)</f>
        <v>0</v>
      </c>
      <c r="BB379" s="127">
        <f>VLOOKUP($C379,'1 预算编制表单'!$C:$BJ,57,FALSE)</f>
        <v>0</v>
      </c>
      <c r="BC379" s="127">
        <f>BB379-BD379</f>
        <v>0</v>
      </c>
      <c r="BD379" s="127">
        <f>SUM(BD380:BD384)</f>
        <v>0</v>
      </c>
      <c r="BE379" s="127">
        <f>VLOOKUP($C379,'1 预算编制表单'!$C:$BJ,60,FALSE)</f>
        <v>0</v>
      </c>
      <c r="BF379" s="127">
        <f>BE379-BG379</f>
        <v>0</v>
      </c>
      <c r="BG379" s="127">
        <f>SUM(BG380:BG384)</f>
        <v>0</v>
      </c>
      <c r="BH379" s="127">
        <f>VLOOKUP($C379,'1 预算编制表单'!$C:$BJ,27,FALSE)</f>
        <v>0</v>
      </c>
      <c r="BI379" s="127">
        <f>BH379-BJ379</f>
        <v>0</v>
      </c>
      <c r="BJ379" s="127">
        <f>SUM(BJ380:BJ384)</f>
        <v>0</v>
      </c>
      <c r="BK379" s="127">
        <f>VLOOKUP($C379,'1 预算编制表单'!$C:$BJ,30,FALSE)</f>
        <v>0</v>
      </c>
      <c r="BL379" s="127">
        <f>BK379-BM379</f>
        <v>0</v>
      </c>
      <c r="BM379" s="127">
        <f>SUM(BM380:BM384)</f>
        <v>0</v>
      </c>
      <c r="BN379" s="127">
        <f>VLOOKUP($C379,'1 预算编制表单'!$C:$BJ,33,FALSE)</f>
        <v>0</v>
      </c>
      <c r="BO379" s="127">
        <f>BN379-BP379</f>
        <v>0</v>
      </c>
      <c r="BP379" s="127">
        <f>SUM(BP380:BP384)</f>
        <v>0</v>
      </c>
      <c r="BQ379" s="127">
        <f>VLOOKUP($C379,'1 预算编制表单'!$C:$BJ,36,FALSE)</f>
        <v>0</v>
      </c>
      <c r="BR379" s="127">
        <f>BQ379-BS379</f>
        <v>0</v>
      </c>
      <c r="BS379" s="127">
        <f>SUM(BS380:BS384)</f>
        <v>0</v>
      </c>
      <c r="BT379" s="127">
        <f>VLOOKUP($C379,'1 预算编制表单'!$C:$BJ,39,FALSE)</f>
        <v>0</v>
      </c>
      <c r="BU379" s="127">
        <f>BT379-BV379</f>
        <v>0</v>
      </c>
      <c r="BV379" s="127">
        <f>SUM(BV380:BV384)</f>
        <v>0</v>
      </c>
      <c r="BW379" s="127">
        <f>VLOOKUP($C379,'1 预算编制表单'!$C:$BJ,42,FALSE)</f>
        <v>0</v>
      </c>
      <c r="BX379" s="127">
        <f>BW379-BY379</f>
        <v>0</v>
      </c>
      <c r="BY379" s="127">
        <f>SUM(BY380:BY384)</f>
        <v>0</v>
      </c>
      <c r="BZ379" s="127">
        <f>VLOOKUP($C379,'1 预算编制表单'!$C:$BJ,45,FALSE)</f>
        <v>0</v>
      </c>
      <c r="CA379" s="127">
        <f>BZ379-CB379</f>
        <v>0</v>
      </c>
      <c r="CB379" s="127">
        <f>SUM(CB380:CB384)</f>
        <v>0</v>
      </c>
      <c r="CC379" s="127">
        <f>VLOOKUP($C379,'1 预算编制表单'!$C:$BJ,48,FALSE)</f>
        <v>0</v>
      </c>
      <c r="CD379" s="127">
        <f>CC379-CE379</f>
        <v>0</v>
      </c>
      <c r="CE379" s="127">
        <f>SUM(CE380:CE384)</f>
        <v>0</v>
      </c>
      <c r="CF379" s="127">
        <f>VLOOKUP($C379,'1 预算编制表单'!$C:$BJ,51,FALSE)</f>
        <v>0</v>
      </c>
      <c r="CG379" s="127">
        <f>CF379-CH379</f>
        <v>0</v>
      </c>
      <c r="CH379" s="127">
        <f>SUM(CH380:CH384)</f>
        <v>0</v>
      </c>
      <c r="CI379" s="127">
        <f>VLOOKUP($C379,'1 预算编制表单'!$C:$BJ,54,FALSE)</f>
        <v>0</v>
      </c>
      <c r="CJ379" s="127">
        <f>CI379-CK379</f>
        <v>0</v>
      </c>
      <c r="CK379" s="127">
        <f>SUM(CK380:CK384)</f>
        <v>0</v>
      </c>
      <c r="CL379" s="127">
        <f>VLOOKUP($C379,'1 预算编制表单'!$C:$BJ,57,FALSE)</f>
        <v>0</v>
      </c>
      <c r="CM379" s="127">
        <f>CL379-CN379</f>
        <v>0</v>
      </c>
      <c r="CN379" s="127">
        <f>SUM(CN380:CN384)</f>
        <v>0</v>
      </c>
      <c r="CO379" s="127">
        <f>VLOOKUP($C379,'1 预算编制表单'!$C:$BJ,60,FALSE)</f>
        <v>0</v>
      </c>
      <c r="CP379" s="127">
        <f>CO379-CQ379</f>
        <v>0</v>
      </c>
      <c r="CQ379" s="127">
        <f>SUM(CQ380:CQ384)</f>
        <v>0</v>
      </c>
    </row>
    <row r="380" s="89" customFormat="1" ht="24" hidden="1" customHeight="1" outlineLevel="4" spans="1:95">
      <c r="A380" s="128"/>
      <c r="B380" s="129"/>
      <c r="C380" s="130"/>
      <c r="D380" s="128"/>
      <c r="E380" s="129"/>
      <c r="F380" s="129"/>
      <c r="G380" s="129"/>
      <c r="H380" s="131"/>
      <c r="I380" s="131"/>
      <c r="J380" s="131">
        <f t="shared" si="3853"/>
        <v>182966.292134831</v>
      </c>
      <c r="K380" s="131">
        <v>1</v>
      </c>
      <c r="L380" s="156" t="s">
        <v>2837</v>
      </c>
      <c r="M380" s="157" t="str">
        <f>IFERROR(VLOOKUP($L380,'2-2 引出数据_合同数据仓库'!$B$5:$BP$200,3,FALSE),0)</f>
        <v>深圳非住二片区中海油大厦外墙清洗服务合同</v>
      </c>
      <c r="N380" s="131"/>
      <c r="O380" s="157">
        <f>IFERROR(VLOOKUP((LEFT(VLOOKUP($L380,'2-2 引出数据_合同数据仓库'!$B$5:$BP$200,64,FALSE),15)&amp;(RIGHT(VLOOKUP($L380,'2-2 引出数据_合同数据仓库'!$B$5:$BP$200,64,FALSE),4)+1)),'2-2 引出数据_合同数据仓库'!$B$5:$BP$200,3,FALSE),0)</f>
        <v>0</v>
      </c>
      <c r="P380" s="131"/>
      <c r="Q380" s="131" t="str">
        <f>IFERROR(VLOOKUP($L380,'2-2 引出数据_合同数据仓库'!$B$5:$BP$200,28,FALSE),0)</f>
        <v>2025-03-31</v>
      </c>
      <c r="R380" s="131" t="str">
        <f>IFERROR(VLOOKUP($L380,'2-2 引出数据_合同数据仓库'!$B$5:$BP$200,29,FALSE),0)</f>
        <v>2025-03-31</v>
      </c>
      <c r="S380" s="131" t="str">
        <f>IFERROR(VLOOKUP($L380,'2-2 引出数据_合同数据仓库'!$B$5:$BP$200,4,FALSE),0)</f>
        <v>2025-09-24</v>
      </c>
      <c r="T380" s="131"/>
      <c r="U380" s="131">
        <f>IFERROR(VLOOKUP($L380,'2-2 引出数据_合同数据仓库'!$B$5:$BP$200,15,FALSE),0)</f>
        <v>184000</v>
      </c>
      <c r="V380" s="131">
        <f t="shared" ref="V380:V383" si="4502">U380/(S380-R380+1)*365</f>
        <v>377303.370786517</v>
      </c>
      <c r="W380" s="131"/>
      <c r="X380" s="163">
        <v>45658</v>
      </c>
      <c r="Y380" s="163">
        <f t="shared" ref="Y380:Y383" si="4503">X380+30</f>
        <v>45688</v>
      </c>
      <c r="Z380" s="167">
        <f t="shared" ref="Z380:Z383" si="4504">IFERROR(IF(($R380-Y380)&gt;=0,0,IF(($S380-X380)&lt;0,0,IF(AND(($S380-Y380)&gt;0,(X380-$R380)&gt;0),$V380/365*(Y380-X380+1),IF(AND(($S380-Y380)&lt;=0,(X380-$R380)&gt;0),$V380/365*($S380-X380+1),$V380/365*(Y380-$R380+1))))),0)</f>
        <v>0</v>
      </c>
      <c r="AA380" s="163">
        <f t="shared" ref="AA380:AA383" si="4505">Y380+1</f>
        <v>45689</v>
      </c>
      <c r="AB380" s="163">
        <f t="shared" ref="AB380:AB383" si="4506">AA380+27</f>
        <v>45716</v>
      </c>
      <c r="AC380" s="167">
        <f t="shared" ref="AC380:AC383" si="4507">IFERROR(IF(($R380-AB380)&gt;=0,0,IF(($S380-AA380)&lt;0,0,IF(AND(($S380-AB380)&gt;0,(AA380-$R380)&gt;0),$V380/365*(AB380-AA380+1),IF(AND(($S380-AB380)&lt;=0,(AA380-$R380)&gt;0),$V380/365*($S380-AA380+1),$V380/365*(AB380-$R380+1))))),0)</f>
        <v>0</v>
      </c>
      <c r="AD380" s="163">
        <f t="shared" ref="AD380:AD383" si="4508">AB380+1</f>
        <v>45717</v>
      </c>
      <c r="AE380" s="163">
        <f t="shared" ref="AE380:AE383" si="4509">AD380+30</f>
        <v>45747</v>
      </c>
      <c r="AF380" s="167">
        <f t="shared" ref="AF380:AF383" si="4510">IFERROR(IF(($R380-AE380)&gt;=0,0,IF(($S380-AD380)&lt;0,0,IF(AND(($S380-AE380)&gt;0,(AD380-$R380)&gt;0),$V380/365*(AE380-AD380+1),IF(AND(($S380-AE380)&lt;=0,(AD380-$R380)&gt;0),$V380/365*($S380-AD380+1),$V380/365*(AE380-$R380+1))))),0)</f>
        <v>0</v>
      </c>
      <c r="AG380" s="163">
        <f t="shared" ref="AG380:AG383" si="4511">AE380+1</f>
        <v>45748</v>
      </c>
      <c r="AH380" s="163">
        <f t="shared" ref="AH380:AH383" si="4512">AG380+29</f>
        <v>45777</v>
      </c>
      <c r="AI380" s="167">
        <f t="shared" ref="AI380:AI383" si="4513">IFERROR(IF(($R380-AH380)&gt;=0,0,IF(($S380-AG380)&lt;0,0,IF(AND(($S380-AH380)&gt;0,(AG380-$R380)&gt;0),$V380/365*(AH380-AG380+1),IF(AND(($S380-AH380)&lt;=0,(AG380-$R380)&gt;0),$V380/365*($S380-AG380+1),$V380/365*(AH380-$R380+1))))),0)</f>
        <v>31011.2359550562</v>
      </c>
      <c r="AJ380" s="163">
        <f t="shared" ref="AJ380:AJ383" si="4514">AH380+1</f>
        <v>45778</v>
      </c>
      <c r="AK380" s="163">
        <f t="shared" ref="AK380:AK383" si="4515">AJ380+30</f>
        <v>45808</v>
      </c>
      <c r="AL380" s="167">
        <f t="shared" ref="AL380:AL383" si="4516">IFERROR(IF(($R380-AK380)&gt;=0,0,IF(($S380-AJ380)&lt;0,0,IF(AND(($S380-AK380)&gt;0,(AJ380-$R380)&gt;0),$V380/365*(AK380-AJ380+1),IF(AND(($S380-AK380)&lt;=0,(AJ380-$R380)&gt;0),$V380/365*($S380-AJ380+1),$V380/365*(AK380-$R380+1))))),0)</f>
        <v>32044.9438202247</v>
      </c>
      <c r="AM380" s="163">
        <f t="shared" ref="AM380:AM383" si="4517">AK380+1</f>
        <v>45809</v>
      </c>
      <c r="AN380" s="163">
        <f t="shared" ref="AN380:AN383" si="4518">AM380+29</f>
        <v>45838</v>
      </c>
      <c r="AO380" s="167">
        <f t="shared" ref="AO380:AO383" si="4519">IFERROR(IF(($R380-AN380)&gt;=0,0,IF(($S380-AM380)&lt;0,0,IF(AND(($S380-AN380)&gt;0,(AM380-$R380)&gt;0),$V380/365*(AN380-AM380+1),IF(AND(($S380-AN380)&lt;=0,(AM380-$R380)&gt;0),$V380/365*($S380-AM380+1),$V380/365*(AN380-$R380+1))))),0)</f>
        <v>31011.2359550562</v>
      </c>
      <c r="AP380" s="163">
        <f t="shared" ref="AP380:AP383" si="4520">AN380+1</f>
        <v>45839</v>
      </c>
      <c r="AQ380" s="163">
        <f t="shared" ref="AQ380:AQ383" si="4521">AP380+30</f>
        <v>45869</v>
      </c>
      <c r="AR380" s="167">
        <f t="shared" ref="AR380:AR383" si="4522">IFERROR(IF(($R380-AQ380)&gt;=0,0,IF(($S380-AP380)&lt;0,0,IF(AND(($S380-AQ380)&gt;0,(AP380-$R380)&gt;0),$V380/365*(AQ380-AP380+1),IF(AND(($S380-AQ380)&lt;=0,(AP380-$R380)&gt;0),$V380/365*($S380-AP380+1),$V380/365*(AQ380-$R380+1))))),0)</f>
        <v>32044.9438202247</v>
      </c>
      <c r="AS380" s="163">
        <f t="shared" ref="AS380:AS383" si="4523">AQ380+1</f>
        <v>45870</v>
      </c>
      <c r="AT380" s="163">
        <f t="shared" ref="AT380:AT383" si="4524">AS380+30</f>
        <v>45900</v>
      </c>
      <c r="AU380" s="167">
        <f t="shared" ref="AU380:AU383" si="4525">IFERROR(IF(($R380-AT380)&gt;=0,0,IF(($S380-AS380)&lt;0,0,IF(AND(($S380-AT380)&gt;0,(AS380-$R380)&gt;0),$V380/365*(AT380-AS380+1),IF(AND(($S380-AT380)&lt;=0,(AS380-$R380)&gt;0),$V380/365*($S380-AS380+1),$V380/365*(AT380-$R380+1))))),0)</f>
        <v>32044.9438202247</v>
      </c>
      <c r="AV380" s="163">
        <f t="shared" ref="AV380:AV383" si="4526">AT380+1</f>
        <v>45901</v>
      </c>
      <c r="AW380" s="163">
        <f t="shared" ref="AW380:AW383" si="4527">AV380+29</f>
        <v>45930</v>
      </c>
      <c r="AX380" s="167">
        <f t="shared" ref="AX380:AX383" si="4528">IFERROR(IF(($R380-AW380)&gt;=0,0,IF(($S380-AV380)&lt;0,0,IF(AND(($S380-AW380)&gt;0,(AV380-$R380)&gt;0),$V380/365*(AW380-AV380+1),IF(AND(($S380-AW380)&lt;=0,(AV380-$R380)&gt;0),$V380/365*($S380-AV380+1),$V380/365*(AW380-$R380+1))))),0)</f>
        <v>24808.9887640449</v>
      </c>
      <c r="AY380" s="163">
        <f t="shared" ref="AY380:AY383" si="4529">AW380+1</f>
        <v>45931</v>
      </c>
      <c r="AZ380" s="163">
        <f t="shared" ref="AZ380:AZ383" si="4530">AY380+30</f>
        <v>45961</v>
      </c>
      <c r="BA380" s="167">
        <f t="shared" ref="BA380:BA383" si="4531">IFERROR(IF(($R380-AZ380)&gt;=0,0,IF(($S380-AY380)&lt;0,0,IF(AND(($S380-AZ380)&gt;0,(AY380-$R380)&gt;0),$V380/365*(AZ380-AY380+1),IF(AND(($S380-AZ380)&lt;=0,(AY380-$R380)&gt;0),$V380/365*($S380-AY380+1),$V380/365*(AZ380-$R380+1))))),0)</f>
        <v>0</v>
      </c>
      <c r="BB380" s="163">
        <f t="shared" ref="BB380:BB383" si="4532">AZ380+1</f>
        <v>45962</v>
      </c>
      <c r="BC380" s="163">
        <f t="shared" ref="BC380:BC383" si="4533">BB380+29</f>
        <v>45991</v>
      </c>
      <c r="BD380" s="167">
        <f t="shared" ref="BD380:BD383" si="4534">IFERROR(IF(($R380-BC380)&gt;=0,0,IF(($S380-BB380)&lt;0,0,IF(AND(($S380-BC380)&gt;0,(BB380-$R380)&gt;0),$V380/365*(BC380-BB380+1),IF(AND(($S380-BC380)&lt;=0,(BB380-$R380)&gt;0),$V380/365*($S380-BB380+1),$V380/365*(BC380-$R380+1))))),0)</f>
        <v>0</v>
      </c>
      <c r="BE380" s="163">
        <f t="shared" ref="BE380:BE383" si="4535">BC380+1</f>
        <v>45992</v>
      </c>
      <c r="BF380" s="163">
        <f t="shared" ref="BF380:BF383" si="4536">BE380+30</f>
        <v>46022</v>
      </c>
      <c r="BG380" s="167">
        <f t="shared" ref="BG380:BG383" si="4537">IFERROR(IF(($R380-BF380)&gt;=0,0,IF(($S380-BE380)&lt;0,0,IF(AND(($S380-BF380)&gt;0,(BE380-$R380)&gt;0),$V380/365*(BF380-BE380+1),IF(AND(($S380-BF380)&lt;=0,(BE380-$R380)&gt;0),$V380/365*($S380-BE380+1),$V380/365*(BF380-$R380+1))))),0)</f>
        <v>0</v>
      </c>
      <c r="BH380" s="163">
        <v>46023</v>
      </c>
      <c r="BI380" s="163">
        <f t="shared" ref="BI380:BI383" si="4538">BH380+30</f>
        <v>46053</v>
      </c>
      <c r="BJ380" s="167">
        <f t="shared" ref="BJ380:BJ383" si="4539">IFERROR(IF(($R380-BI380)&gt;=0,0,IF(($S380-BH380)&lt;0,0,IF(AND(($S380-BI380)&gt;0,(BH380-$R380)&gt;0),$V380/365*(BI380-BH380+1),IF(AND(($S380-BI380)&lt;=0,(BH380-$R380)&gt;0),$V380/365*($S380-BH380+1),$V380/365*(BI380-$R380+1))))),0)</f>
        <v>0</v>
      </c>
      <c r="BK380" s="163">
        <f t="shared" ref="BK380:BK383" si="4540">BI380+1</f>
        <v>46054</v>
      </c>
      <c r="BL380" s="163">
        <f t="shared" ref="BL380:BL383" si="4541">BK380+27</f>
        <v>46081</v>
      </c>
      <c r="BM380" s="167">
        <f t="shared" ref="BM380:BM383" si="4542">IFERROR(IF(($R380-BL380)&gt;=0,0,IF(($S380-BK380)&lt;0,0,IF(AND(($S380-BL380)&gt;0,(BK380-$R380)&gt;0),$V380/365*(BL380-BK380+1),IF(AND(($S380-BL380)&lt;=0,(BK380-$R380)&gt;0),$V380/365*($S380-BK380+1),$V380/365*(BL380-$R380+1))))),0)</f>
        <v>0</v>
      </c>
      <c r="BN380" s="163">
        <f t="shared" ref="BN380:BN383" si="4543">BL380+1</f>
        <v>46082</v>
      </c>
      <c r="BO380" s="163">
        <f t="shared" ref="BO380:BO383" si="4544">BN380+30</f>
        <v>46112</v>
      </c>
      <c r="BP380" s="167">
        <f t="shared" ref="BP380:BP383" si="4545">IFERROR(IF(($R380-BO380)&gt;=0,0,IF(($S380-BN380)&lt;0,0,IF(AND(($S380-BO380)&gt;0,(BN380-$R380)&gt;0),$V380/365*(BO380-BN380+1),IF(AND(($S380-BO380)&lt;=0,(BN380-$R380)&gt;0),$V380/365*($S380-BN380+1),$V380/365*(BO380-$R380+1))))),0)</f>
        <v>0</v>
      </c>
      <c r="BQ380" s="163">
        <f t="shared" ref="BQ380:BQ383" si="4546">BO380+1</f>
        <v>46113</v>
      </c>
      <c r="BR380" s="163">
        <f t="shared" ref="BR380:BR383" si="4547">BQ380+29</f>
        <v>46142</v>
      </c>
      <c r="BS380" s="167">
        <f t="shared" ref="BS380:BS383" si="4548">IFERROR(IF(($R380-BR380)&gt;=0,0,IF(($S380-BQ380)&lt;0,0,IF(AND(($S380-BR380)&gt;0,(BQ380-$R380)&gt;0),$V380/365*(BR380-BQ380+1),IF(AND(($S380-BR380)&lt;=0,(BQ380-$R380)&gt;0),$V380/365*($S380-BQ380+1),$V380/365*(BR380-$R380+1))))),0)</f>
        <v>0</v>
      </c>
      <c r="BT380" s="163">
        <f t="shared" ref="BT380:BT383" si="4549">BR380+1</f>
        <v>46143</v>
      </c>
      <c r="BU380" s="163">
        <f t="shared" ref="BU380:BU383" si="4550">BT380+30</f>
        <v>46173</v>
      </c>
      <c r="BV380" s="167">
        <f t="shared" ref="BV380:BV383" si="4551">IFERROR(IF(($R380-BU380)&gt;=0,0,IF(($S380-BT380)&lt;0,0,IF(AND(($S380-BU380)&gt;0,(BT380-$R380)&gt;0),$V380/365*(BU380-BT380+1),IF(AND(($S380-BU380)&lt;=0,(BT380-$R380)&gt;0),$V380/365*($S380-BT380+1),$V380/365*(BU380-$R380+1))))),0)</f>
        <v>0</v>
      </c>
      <c r="BW380" s="163">
        <f t="shared" ref="BW380:BW383" si="4552">BU380+1</f>
        <v>46174</v>
      </c>
      <c r="BX380" s="163">
        <f t="shared" ref="BX380:BX383" si="4553">BW380+29</f>
        <v>46203</v>
      </c>
      <c r="BY380" s="167">
        <f t="shared" ref="BY380:BY383" si="4554">IFERROR(IF(($R380-BX380)&gt;=0,0,IF(($S380-BW380)&lt;0,0,IF(AND(($S380-BX380)&gt;0,(BW380-$R380)&gt;0),$V380/365*(BX380-BW380+1),IF(AND(($S380-BX380)&lt;=0,(BW380-$R380)&gt;0),$V380/365*($S380-BW380+1),$V380/365*(BX380-$R380+1))))),0)</f>
        <v>0</v>
      </c>
      <c r="BZ380" s="163">
        <f t="shared" ref="BZ380:BZ383" si="4555">BX380+1</f>
        <v>46204</v>
      </c>
      <c r="CA380" s="163">
        <f t="shared" ref="CA380:CA383" si="4556">BZ380+30</f>
        <v>46234</v>
      </c>
      <c r="CB380" s="167">
        <f t="shared" ref="CB380:CB383" si="4557">IFERROR(IF(($R380-CA380)&gt;=0,0,IF(($S380-BZ380)&lt;0,0,IF(AND(($S380-CA380)&gt;0,(BZ380-$R380)&gt;0),$V380/365*(CA380-BZ380+1),IF(AND(($S380-CA380)&lt;=0,(BZ380-$R380)&gt;0),$V380/365*($S380-BZ380+1),$V380/365*(CA380-$R380+1))))),0)</f>
        <v>0</v>
      </c>
      <c r="CC380" s="163">
        <f t="shared" ref="CC380:CC383" si="4558">CA380+1</f>
        <v>46235</v>
      </c>
      <c r="CD380" s="163">
        <f t="shared" ref="CD380:CD383" si="4559">CC380+30</f>
        <v>46265</v>
      </c>
      <c r="CE380" s="167">
        <f t="shared" ref="CE380:CE383" si="4560">IFERROR(IF(($R380-CD380)&gt;=0,0,IF(($S380-CC380)&lt;0,0,IF(AND(($S380-CD380)&gt;0,(CC380-$R380)&gt;0),$V380/365*(CD380-CC380+1),IF(AND(($S380-CD380)&lt;=0,(CC380-$R380)&gt;0),$V380/365*($S380-CC380+1),$V380/365*(CD380-$R380+1))))),0)</f>
        <v>0</v>
      </c>
      <c r="CF380" s="163">
        <f t="shared" ref="CF380:CF383" si="4561">CD380+1</f>
        <v>46266</v>
      </c>
      <c r="CG380" s="163">
        <f t="shared" ref="CG380:CG383" si="4562">CF380+29</f>
        <v>46295</v>
      </c>
      <c r="CH380" s="167">
        <f t="shared" ref="CH380:CH383" si="4563">IFERROR(IF(($R380-CG380)&gt;=0,0,IF(($S380-CF380)&lt;0,0,IF(AND(($S380-CG380)&gt;0,(CF380-$R380)&gt;0),$V380/365*(CG380-CF380+1),IF(AND(($S380-CG380)&lt;=0,(CF380-$R380)&gt;0),$V380/365*($S380-CF380+1),$V380/365*(CG380-$R380+1))))),0)</f>
        <v>0</v>
      </c>
      <c r="CI380" s="163">
        <f t="shared" ref="CI380:CI383" si="4564">CG380+1</f>
        <v>46296</v>
      </c>
      <c r="CJ380" s="163">
        <f t="shared" ref="CJ380:CJ383" si="4565">CI380+30</f>
        <v>46326</v>
      </c>
      <c r="CK380" s="167">
        <f t="shared" ref="CK380:CK383" si="4566">IFERROR(IF(($R380-CJ380)&gt;=0,0,IF(($S380-CI380)&lt;0,0,IF(AND(($S380-CJ380)&gt;0,(CI380-$R380)&gt;0),$V380/365*(CJ380-CI380+1),IF(AND(($S380-CJ380)&lt;=0,(CI380-$R380)&gt;0),$V380/365*($S380-CI380+1),$V380/365*(CJ380-$R380+1))))),0)</f>
        <v>0</v>
      </c>
      <c r="CL380" s="163">
        <f t="shared" ref="CL380:CL383" si="4567">CJ380+1</f>
        <v>46327</v>
      </c>
      <c r="CM380" s="163">
        <f t="shared" ref="CM380:CM383" si="4568">CL380+29</f>
        <v>46356</v>
      </c>
      <c r="CN380" s="167">
        <f t="shared" ref="CN380:CN383" si="4569">IFERROR(IF(($R380-CM380)&gt;=0,0,IF(($S380-CL380)&lt;0,0,IF(AND(($S380-CM380)&gt;0,(CL380-$R380)&gt;0),$V380/365*(CM380-CL380+1),IF(AND(($S380-CM380)&lt;=0,(CL380-$R380)&gt;0),$V380/365*($S380-CL380+1),$V380/365*(CM380-$R380+1))))),0)</f>
        <v>0</v>
      </c>
      <c r="CO380" s="163">
        <f t="shared" ref="CO380:CO383" si="4570">CM380+1</f>
        <v>46357</v>
      </c>
      <c r="CP380" s="163">
        <f t="shared" ref="CP380:CP383" si="4571">CO380+30</f>
        <v>46387</v>
      </c>
      <c r="CQ380" s="167">
        <f t="shared" ref="CQ380:CQ383" si="4572">IFERROR(IF(($R380-CP380)&gt;=0,0,IF(($S380-CO380)&lt;0,0,IF(AND(($S380-CP380)&gt;0,(CO380-$R380)&gt;0),$V380/365*(CP380-CO380+1),IF(AND(($S380-CP380)&lt;=0,(CO380-$R380)&gt;0),$V380/365*($S380-CO380+1),$V380/365*(CP380-$R380+1))))),0)</f>
        <v>0</v>
      </c>
    </row>
    <row r="381" s="89" customFormat="1" ht="24" hidden="1" customHeight="1" outlineLevel="4" spans="1:95">
      <c r="A381" s="128"/>
      <c r="B381" s="129"/>
      <c r="C381" s="130"/>
      <c r="D381" s="128"/>
      <c r="E381" s="129"/>
      <c r="F381" s="129"/>
      <c r="G381" s="129"/>
      <c r="H381" s="131"/>
      <c r="I381" s="131"/>
      <c r="J381" s="131">
        <f t="shared" si="3853"/>
        <v>0</v>
      </c>
      <c r="K381" s="131">
        <f t="shared" ref="K381:K383" si="4573">K380+1</f>
        <v>2</v>
      </c>
      <c r="L381" s="156"/>
      <c r="M381" s="157">
        <f>IFERROR(VLOOKUP($L381,'2-2 引出数据_合同数据仓库'!$B$5:$BP$200,3,FALSE),0)</f>
        <v>0</v>
      </c>
      <c r="N381" s="131"/>
      <c r="O381" s="157">
        <f>IFERROR(VLOOKUP((LEFT(VLOOKUP($L381,'2-2 引出数据_合同数据仓库'!$B$5:$BP$200,64,FALSE),15)&amp;(RIGHT(VLOOKUP($L381,'2-2 引出数据_合同数据仓库'!$B$5:$BP$200,64,FALSE),4)+1)),'2-2 引出数据_合同数据仓库'!$B$5:$BP$200,3,FALSE),0)</f>
        <v>0</v>
      </c>
      <c r="P381" s="131"/>
      <c r="Q381" s="131">
        <f>IFERROR(VLOOKUP($L381,'2-2 引出数据_合同数据仓库'!$B$5:$BP$200,28,FALSE),0)</f>
        <v>0</v>
      </c>
      <c r="R381" s="131">
        <f>IFERROR(VLOOKUP($L381,'2-2 引出数据_合同数据仓库'!$B$5:$BP$200,29,FALSE),0)</f>
        <v>0</v>
      </c>
      <c r="S381" s="131">
        <f>IFERROR(VLOOKUP($L381,'2-2 引出数据_合同数据仓库'!$B$5:$BP$200,4,FALSE),0)</f>
        <v>0</v>
      </c>
      <c r="T381" s="131"/>
      <c r="U381" s="131">
        <f>IFERROR(VLOOKUP($L381,'2-2 引出数据_合同数据仓库'!$B$5:$BP$200,15,FALSE),0)</f>
        <v>0</v>
      </c>
      <c r="V381" s="131">
        <f t="shared" si="4502"/>
        <v>0</v>
      </c>
      <c r="W381" s="131"/>
      <c r="X381" s="163">
        <v>45658</v>
      </c>
      <c r="Y381" s="163">
        <f t="shared" si="4503"/>
        <v>45688</v>
      </c>
      <c r="Z381" s="167">
        <f t="shared" si="4504"/>
        <v>0</v>
      </c>
      <c r="AA381" s="163">
        <f t="shared" si="4505"/>
        <v>45689</v>
      </c>
      <c r="AB381" s="163">
        <f t="shared" si="4506"/>
        <v>45716</v>
      </c>
      <c r="AC381" s="167">
        <f t="shared" si="4507"/>
        <v>0</v>
      </c>
      <c r="AD381" s="163">
        <f t="shared" si="4508"/>
        <v>45717</v>
      </c>
      <c r="AE381" s="163">
        <f t="shared" si="4509"/>
        <v>45747</v>
      </c>
      <c r="AF381" s="167">
        <f t="shared" si="4510"/>
        <v>0</v>
      </c>
      <c r="AG381" s="163">
        <f t="shared" si="4511"/>
        <v>45748</v>
      </c>
      <c r="AH381" s="163">
        <f t="shared" si="4512"/>
        <v>45777</v>
      </c>
      <c r="AI381" s="167">
        <f t="shared" si="4513"/>
        <v>0</v>
      </c>
      <c r="AJ381" s="163">
        <f t="shared" si="4514"/>
        <v>45778</v>
      </c>
      <c r="AK381" s="163">
        <f t="shared" si="4515"/>
        <v>45808</v>
      </c>
      <c r="AL381" s="167">
        <f t="shared" si="4516"/>
        <v>0</v>
      </c>
      <c r="AM381" s="163">
        <f t="shared" si="4517"/>
        <v>45809</v>
      </c>
      <c r="AN381" s="163">
        <f t="shared" si="4518"/>
        <v>45838</v>
      </c>
      <c r="AO381" s="167">
        <f t="shared" si="4519"/>
        <v>0</v>
      </c>
      <c r="AP381" s="163">
        <f t="shared" si="4520"/>
        <v>45839</v>
      </c>
      <c r="AQ381" s="163">
        <f t="shared" si="4521"/>
        <v>45869</v>
      </c>
      <c r="AR381" s="167">
        <f t="shared" si="4522"/>
        <v>0</v>
      </c>
      <c r="AS381" s="163">
        <f t="shared" si="4523"/>
        <v>45870</v>
      </c>
      <c r="AT381" s="163">
        <f t="shared" si="4524"/>
        <v>45900</v>
      </c>
      <c r="AU381" s="167">
        <f t="shared" si="4525"/>
        <v>0</v>
      </c>
      <c r="AV381" s="163">
        <f t="shared" si="4526"/>
        <v>45901</v>
      </c>
      <c r="AW381" s="163">
        <f t="shared" si="4527"/>
        <v>45930</v>
      </c>
      <c r="AX381" s="167">
        <f t="shared" si="4528"/>
        <v>0</v>
      </c>
      <c r="AY381" s="163">
        <f t="shared" si="4529"/>
        <v>45931</v>
      </c>
      <c r="AZ381" s="163">
        <f t="shared" si="4530"/>
        <v>45961</v>
      </c>
      <c r="BA381" s="167">
        <f t="shared" si="4531"/>
        <v>0</v>
      </c>
      <c r="BB381" s="163">
        <f t="shared" si="4532"/>
        <v>45962</v>
      </c>
      <c r="BC381" s="163">
        <f t="shared" si="4533"/>
        <v>45991</v>
      </c>
      <c r="BD381" s="167">
        <f t="shared" si="4534"/>
        <v>0</v>
      </c>
      <c r="BE381" s="163">
        <f t="shared" si="4535"/>
        <v>45992</v>
      </c>
      <c r="BF381" s="163">
        <f t="shared" si="4536"/>
        <v>46022</v>
      </c>
      <c r="BG381" s="167">
        <f t="shared" si="4537"/>
        <v>0</v>
      </c>
      <c r="BH381" s="163">
        <v>46023</v>
      </c>
      <c r="BI381" s="163">
        <f t="shared" si="4538"/>
        <v>46053</v>
      </c>
      <c r="BJ381" s="167">
        <f t="shared" si="4539"/>
        <v>0</v>
      </c>
      <c r="BK381" s="163">
        <f t="shared" si="4540"/>
        <v>46054</v>
      </c>
      <c r="BL381" s="163">
        <f t="shared" si="4541"/>
        <v>46081</v>
      </c>
      <c r="BM381" s="167">
        <f t="shared" si="4542"/>
        <v>0</v>
      </c>
      <c r="BN381" s="163">
        <f t="shared" si="4543"/>
        <v>46082</v>
      </c>
      <c r="BO381" s="163">
        <f t="shared" si="4544"/>
        <v>46112</v>
      </c>
      <c r="BP381" s="167">
        <f t="shared" si="4545"/>
        <v>0</v>
      </c>
      <c r="BQ381" s="163">
        <f t="shared" si="4546"/>
        <v>46113</v>
      </c>
      <c r="BR381" s="163">
        <f t="shared" si="4547"/>
        <v>46142</v>
      </c>
      <c r="BS381" s="167">
        <f t="shared" si="4548"/>
        <v>0</v>
      </c>
      <c r="BT381" s="163">
        <f t="shared" si="4549"/>
        <v>46143</v>
      </c>
      <c r="BU381" s="163">
        <f t="shared" si="4550"/>
        <v>46173</v>
      </c>
      <c r="BV381" s="167">
        <f t="shared" si="4551"/>
        <v>0</v>
      </c>
      <c r="BW381" s="163">
        <f t="shared" si="4552"/>
        <v>46174</v>
      </c>
      <c r="BX381" s="163">
        <f t="shared" si="4553"/>
        <v>46203</v>
      </c>
      <c r="BY381" s="167">
        <f t="shared" si="4554"/>
        <v>0</v>
      </c>
      <c r="BZ381" s="163">
        <f t="shared" si="4555"/>
        <v>46204</v>
      </c>
      <c r="CA381" s="163">
        <f t="shared" si="4556"/>
        <v>46234</v>
      </c>
      <c r="CB381" s="167">
        <f t="shared" si="4557"/>
        <v>0</v>
      </c>
      <c r="CC381" s="163">
        <f t="shared" si="4558"/>
        <v>46235</v>
      </c>
      <c r="CD381" s="163">
        <f t="shared" si="4559"/>
        <v>46265</v>
      </c>
      <c r="CE381" s="167">
        <f t="shared" si="4560"/>
        <v>0</v>
      </c>
      <c r="CF381" s="163">
        <f t="shared" si="4561"/>
        <v>46266</v>
      </c>
      <c r="CG381" s="163">
        <f t="shared" si="4562"/>
        <v>46295</v>
      </c>
      <c r="CH381" s="167">
        <f t="shared" si="4563"/>
        <v>0</v>
      </c>
      <c r="CI381" s="163">
        <f t="shared" si="4564"/>
        <v>46296</v>
      </c>
      <c r="CJ381" s="163">
        <f t="shared" si="4565"/>
        <v>46326</v>
      </c>
      <c r="CK381" s="167">
        <f t="shared" si="4566"/>
        <v>0</v>
      </c>
      <c r="CL381" s="163">
        <f t="shared" si="4567"/>
        <v>46327</v>
      </c>
      <c r="CM381" s="163">
        <f t="shared" si="4568"/>
        <v>46356</v>
      </c>
      <c r="CN381" s="167">
        <f t="shared" si="4569"/>
        <v>0</v>
      </c>
      <c r="CO381" s="163">
        <f t="shared" si="4570"/>
        <v>46357</v>
      </c>
      <c r="CP381" s="163">
        <f t="shared" si="4571"/>
        <v>46387</v>
      </c>
      <c r="CQ381" s="167">
        <f t="shared" si="4572"/>
        <v>0</v>
      </c>
    </row>
    <row r="382" s="89" customFormat="1" ht="24" hidden="1" customHeight="1" outlineLevel="4" spans="1:95">
      <c r="A382" s="128"/>
      <c r="B382" s="129"/>
      <c r="C382" s="130"/>
      <c r="D382" s="128"/>
      <c r="E382" s="129"/>
      <c r="F382" s="129"/>
      <c r="G382" s="129"/>
      <c r="H382" s="131"/>
      <c r="I382" s="131"/>
      <c r="J382" s="131">
        <f t="shared" si="3853"/>
        <v>0</v>
      </c>
      <c r="K382" s="131">
        <f t="shared" si="4573"/>
        <v>3</v>
      </c>
      <c r="L382" s="156"/>
      <c r="M382" s="157">
        <f>IFERROR(VLOOKUP($L382,'2-2 引出数据_合同数据仓库'!$B$5:$BP$200,3,FALSE),0)</f>
        <v>0</v>
      </c>
      <c r="N382" s="131"/>
      <c r="O382" s="157">
        <f>IFERROR(VLOOKUP((LEFT(VLOOKUP($L382,'2-2 引出数据_合同数据仓库'!$B$5:$BP$200,64,FALSE),15)&amp;(RIGHT(VLOOKUP($L382,'2-2 引出数据_合同数据仓库'!$B$5:$BP$200,64,FALSE),4)+1)),'2-2 引出数据_合同数据仓库'!$B$5:$BP$200,3,FALSE),0)</f>
        <v>0</v>
      </c>
      <c r="P382" s="131"/>
      <c r="Q382" s="131">
        <f>IFERROR(VLOOKUP($L382,'2-2 引出数据_合同数据仓库'!$B$5:$BP$200,28,FALSE),0)</f>
        <v>0</v>
      </c>
      <c r="R382" s="131">
        <f>IFERROR(VLOOKUP($L382,'2-2 引出数据_合同数据仓库'!$B$5:$BP$200,29,FALSE),0)</f>
        <v>0</v>
      </c>
      <c r="S382" s="131">
        <f>IFERROR(VLOOKUP($L382,'2-2 引出数据_合同数据仓库'!$B$5:$BP$200,4,FALSE),0)</f>
        <v>0</v>
      </c>
      <c r="T382" s="131"/>
      <c r="U382" s="131">
        <f>IFERROR(VLOOKUP($L382,'2-2 引出数据_合同数据仓库'!$B$5:$BP$200,15,FALSE),0)</f>
        <v>0</v>
      </c>
      <c r="V382" s="131">
        <f t="shared" si="4502"/>
        <v>0</v>
      </c>
      <c r="W382" s="131"/>
      <c r="X382" s="163">
        <v>45658</v>
      </c>
      <c r="Y382" s="163">
        <f t="shared" si="4503"/>
        <v>45688</v>
      </c>
      <c r="Z382" s="167">
        <f t="shared" si="4504"/>
        <v>0</v>
      </c>
      <c r="AA382" s="163">
        <f t="shared" si="4505"/>
        <v>45689</v>
      </c>
      <c r="AB382" s="163">
        <f t="shared" si="4506"/>
        <v>45716</v>
      </c>
      <c r="AC382" s="167">
        <f t="shared" si="4507"/>
        <v>0</v>
      </c>
      <c r="AD382" s="163">
        <f t="shared" si="4508"/>
        <v>45717</v>
      </c>
      <c r="AE382" s="163">
        <f t="shared" si="4509"/>
        <v>45747</v>
      </c>
      <c r="AF382" s="167">
        <f t="shared" si="4510"/>
        <v>0</v>
      </c>
      <c r="AG382" s="163">
        <f t="shared" si="4511"/>
        <v>45748</v>
      </c>
      <c r="AH382" s="163">
        <f t="shared" si="4512"/>
        <v>45777</v>
      </c>
      <c r="AI382" s="167">
        <f t="shared" si="4513"/>
        <v>0</v>
      </c>
      <c r="AJ382" s="163">
        <f t="shared" si="4514"/>
        <v>45778</v>
      </c>
      <c r="AK382" s="163">
        <f t="shared" si="4515"/>
        <v>45808</v>
      </c>
      <c r="AL382" s="167">
        <f t="shared" si="4516"/>
        <v>0</v>
      </c>
      <c r="AM382" s="163">
        <f t="shared" si="4517"/>
        <v>45809</v>
      </c>
      <c r="AN382" s="163">
        <f t="shared" si="4518"/>
        <v>45838</v>
      </c>
      <c r="AO382" s="167">
        <f t="shared" si="4519"/>
        <v>0</v>
      </c>
      <c r="AP382" s="163">
        <f t="shared" si="4520"/>
        <v>45839</v>
      </c>
      <c r="AQ382" s="163">
        <f t="shared" si="4521"/>
        <v>45869</v>
      </c>
      <c r="AR382" s="167">
        <f t="shared" si="4522"/>
        <v>0</v>
      </c>
      <c r="AS382" s="163">
        <f t="shared" si="4523"/>
        <v>45870</v>
      </c>
      <c r="AT382" s="163">
        <f t="shared" si="4524"/>
        <v>45900</v>
      </c>
      <c r="AU382" s="167">
        <f t="shared" si="4525"/>
        <v>0</v>
      </c>
      <c r="AV382" s="163">
        <f t="shared" si="4526"/>
        <v>45901</v>
      </c>
      <c r="AW382" s="163">
        <f t="shared" si="4527"/>
        <v>45930</v>
      </c>
      <c r="AX382" s="167">
        <f t="shared" si="4528"/>
        <v>0</v>
      </c>
      <c r="AY382" s="163">
        <f t="shared" si="4529"/>
        <v>45931</v>
      </c>
      <c r="AZ382" s="163">
        <f t="shared" si="4530"/>
        <v>45961</v>
      </c>
      <c r="BA382" s="167">
        <f t="shared" si="4531"/>
        <v>0</v>
      </c>
      <c r="BB382" s="163">
        <f t="shared" si="4532"/>
        <v>45962</v>
      </c>
      <c r="BC382" s="163">
        <f t="shared" si="4533"/>
        <v>45991</v>
      </c>
      <c r="BD382" s="167">
        <f t="shared" si="4534"/>
        <v>0</v>
      </c>
      <c r="BE382" s="163">
        <f t="shared" si="4535"/>
        <v>45992</v>
      </c>
      <c r="BF382" s="163">
        <f t="shared" si="4536"/>
        <v>46022</v>
      </c>
      <c r="BG382" s="167">
        <f t="shared" si="4537"/>
        <v>0</v>
      </c>
      <c r="BH382" s="163">
        <v>46023</v>
      </c>
      <c r="BI382" s="163">
        <f t="shared" si="4538"/>
        <v>46053</v>
      </c>
      <c r="BJ382" s="167">
        <f t="shared" si="4539"/>
        <v>0</v>
      </c>
      <c r="BK382" s="163">
        <f t="shared" si="4540"/>
        <v>46054</v>
      </c>
      <c r="BL382" s="163">
        <f t="shared" si="4541"/>
        <v>46081</v>
      </c>
      <c r="BM382" s="167">
        <f t="shared" si="4542"/>
        <v>0</v>
      </c>
      <c r="BN382" s="163">
        <f t="shared" si="4543"/>
        <v>46082</v>
      </c>
      <c r="BO382" s="163">
        <f t="shared" si="4544"/>
        <v>46112</v>
      </c>
      <c r="BP382" s="167">
        <f t="shared" si="4545"/>
        <v>0</v>
      </c>
      <c r="BQ382" s="163">
        <f t="shared" si="4546"/>
        <v>46113</v>
      </c>
      <c r="BR382" s="163">
        <f t="shared" si="4547"/>
        <v>46142</v>
      </c>
      <c r="BS382" s="167">
        <f t="shared" si="4548"/>
        <v>0</v>
      </c>
      <c r="BT382" s="163">
        <f t="shared" si="4549"/>
        <v>46143</v>
      </c>
      <c r="BU382" s="163">
        <f t="shared" si="4550"/>
        <v>46173</v>
      </c>
      <c r="BV382" s="167">
        <f t="shared" si="4551"/>
        <v>0</v>
      </c>
      <c r="BW382" s="163">
        <f t="shared" si="4552"/>
        <v>46174</v>
      </c>
      <c r="BX382" s="163">
        <f t="shared" si="4553"/>
        <v>46203</v>
      </c>
      <c r="BY382" s="167">
        <f t="shared" si="4554"/>
        <v>0</v>
      </c>
      <c r="BZ382" s="163">
        <f t="shared" si="4555"/>
        <v>46204</v>
      </c>
      <c r="CA382" s="163">
        <f t="shared" si="4556"/>
        <v>46234</v>
      </c>
      <c r="CB382" s="167">
        <f t="shared" si="4557"/>
        <v>0</v>
      </c>
      <c r="CC382" s="163">
        <f t="shared" si="4558"/>
        <v>46235</v>
      </c>
      <c r="CD382" s="163">
        <f t="shared" si="4559"/>
        <v>46265</v>
      </c>
      <c r="CE382" s="167">
        <f t="shared" si="4560"/>
        <v>0</v>
      </c>
      <c r="CF382" s="163">
        <f t="shared" si="4561"/>
        <v>46266</v>
      </c>
      <c r="CG382" s="163">
        <f t="shared" si="4562"/>
        <v>46295</v>
      </c>
      <c r="CH382" s="167">
        <f t="shared" si="4563"/>
        <v>0</v>
      </c>
      <c r="CI382" s="163">
        <f t="shared" si="4564"/>
        <v>46296</v>
      </c>
      <c r="CJ382" s="163">
        <f t="shared" si="4565"/>
        <v>46326</v>
      </c>
      <c r="CK382" s="167">
        <f t="shared" si="4566"/>
        <v>0</v>
      </c>
      <c r="CL382" s="163">
        <f t="shared" si="4567"/>
        <v>46327</v>
      </c>
      <c r="CM382" s="163">
        <f t="shared" si="4568"/>
        <v>46356</v>
      </c>
      <c r="CN382" s="167">
        <f t="shared" si="4569"/>
        <v>0</v>
      </c>
      <c r="CO382" s="163">
        <f t="shared" si="4570"/>
        <v>46357</v>
      </c>
      <c r="CP382" s="163">
        <f t="shared" si="4571"/>
        <v>46387</v>
      </c>
      <c r="CQ382" s="167">
        <f t="shared" si="4572"/>
        <v>0</v>
      </c>
    </row>
    <row r="383" s="89" customFormat="1" ht="24" hidden="1" customHeight="1" outlineLevel="4" spans="1:95">
      <c r="A383" s="128"/>
      <c r="B383" s="129"/>
      <c r="C383" s="130"/>
      <c r="D383" s="128"/>
      <c r="E383" s="129"/>
      <c r="F383" s="129"/>
      <c r="G383" s="129"/>
      <c r="H383" s="131"/>
      <c r="I383" s="131"/>
      <c r="J383" s="131">
        <f t="shared" si="3853"/>
        <v>0</v>
      </c>
      <c r="K383" s="131">
        <f t="shared" si="4573"/>
        <v>4</v>
      </c>
      <c r="L383" s="156"/>
      <c r="M383" s="157">
        <f>IFERROR(VLOOKUP($L383,'2-2 引出数据_合同数据仓库'!$B$5:$BP$200,3,FALSE),0)</f>
        <v>0</v>
      </c>
      <c r="N383" s="131"/>
      <c r="O383" s="157">
        <f>IFERROR(VLOOKUP((LEFT(VLOOKUP($L383,'2-2 引出数据_合同数据仓库'!$B$5:$BP$200,64,FALSE),15)&amp;(RIGHT(VLOOKUP($L383,'2-2 引出数据_合同数据仓库'!$B$5:$BP$200,64,FALSE),4)+1)),'2-2 引出数据_合同数据仓库'!$B$5:$BP$200,3,FALSE),0)</f>
        <v>0</v>
      </c>
      <c r="P383" s="131"/>
      <c r="Q383" s="131">
        <f>IFERROR(VLOOKUP($L383,'2-2 引出数据_合同数据仓库'!$B$5:$BP$200,28,FALSE),0)</f>
        <v>0</v>
      </c>
      <c r="R383" s="131">
        <f>IFERROR(VLOOKUP($L383,'2-2 引出数据_合同数据仓库'!$B$5:$BP$200,29,FALSE),0)</f>
        <v>0</v>
      </c>
      <c r="S383" s="131">
        <f>IFERROR(VLOOKUP($L383,'2-2 引出数据_合同数据仓库'!$B$5:$BP$200,4,FALSE),0)</f>
        <v>0</v>
      </c>
      <c r="T383" s="131"/>
      <c r="U383" s="131">
        <f>IFERROR(VLOOKUP($L383,'2-2 引出数据_合同数据仓库'!$B$5:$BP$200,15,FALSE),0)</f>
        <v>0</v>
      </c>
      <c r="V383" s="131">
        <f t="shared" si="4502"/>
        <v>0</v>
      </c>
      <c r="W383" s="131"/>
      <c r="X383" s="163">
        <v>45658</v>
      </c>
      <c r="Y383" s="163">
        <f t="shared" si="4503"/>
        <v>45688</v>
      </c>
      <c r="Z383" s="167">
        <f t="shared" si="4504"/>
        <v>0</v>
      </c>
      <c r="AA383" s="163">
        <f t="shared" si="4505"/>
        <v>45689</v>
      </c>
      <c r="AB383" s="163">
        <f t="shared" si="4506"/>
        <v>45716</v>
      </c>
      <c r="AC383" s="167">
        <f t="shared" si="4507"/>
        <v>0</v>
      </c>
      <c r="AD383" s="163">
        <f t="shared" si="4508"/>
        <v>45717</v>
      </c>
      <c r="AE383" s="163">
        <f t="shared" si="4509"/>
        <v>45747</v>
      </c>
      <c r="AF383" s="167">
        <f t="shared" si="4510"/>
        <v>0</v>
      </c>
      <c r="AG383" s="163">
        <f t="shared" si="4511"/>
        <v>45748</v>
      </c>
      <c r="AH383" s="163">
        <f t="shared" si="4512"/>
        <v>45777</v>
      </c>
      <c r="AI383" s="167">
        <f t="shared" si="4513"/>
        <v>0</v>
      </c>
      <c r="AJ383" s="163">
        <f t="shared" si="4514"/>
        <v>45778</v>
      </c>
      <c r="AK383" s="163">
        <f t="shared" si="4515"/>
        <v>45808</v>
      </c>
      <c r="AL383" s="167">
        <f t="shared" si="4516"/>
        <v>0</v>
      </c>
      <c r="AM383" s="163">
        <f t="shared" si="4517"/>
        <v>45809</v>
      </c>
      <c r="AN383" s="163">
        <f t="shared" si="4518"/>
        <v>45838</v>
      </c>
      <c r="AO383" s="167">
        <f t="shared" si="4519"/>
        <v>0</v>
      </c>
      <c r="AP383" s="163">
        <f t="shared" si="4520"/>
        <v>45839</v>
      </c>
      <c r="AQ383" s="163">
        <f t="shared" si="4521"/>
        <v>45869</v>
      </c>
      <c r="AR383" s="167">
        <f t="shared" si="4522"/>
        <v>0</v>
      </c>
      <c r="AS383" s="163">
        <f t="shared" si="4523"/>
        <v>45870</v>
      </c>
      <c r="AT383" s="163">
        <f t="shared" si="4524"/>
        <v>45900</v>
      </c>
      <c r="AU383" s="167">
        <f t="shared" si="4525"/>
        <v>0</v>
      </c>
      <c r="AV383" s="163">
        <f t="shared" si="4526"/>
        <v>45901</v>
      </c>
      <c r="AW383" s="163">
        <f t="shared" si="4527"/>
        <v>45930</v>
      </c>
      <c r="AX383" s="167">
        <f t="shared" si="4528"/>
        <v>0</v>
      </c>
      <c r="AY383" s="163">
        <f t="shared" si="4529"/>
        <v>45931</v>
      </c>
      <c r="AZ383" s="163">
        <f t="shared" si="4530"/>
        <v>45961</v>
      </c>
      <c r="BA383" s="167">
        <f t="shared" si="4531"/>
        <v>0</v>
      </c>
      <c r="BB383" s="163">
        <f t="shared" si="4532"/>
        <v>45962</v>
      </c>
      <c r="BC383" s="163">
        <f t="shared" si="4533"/>
        <v>45991</v>
      </c>
      <c r="BD383" s="167">
        <f t="shared" si="4534"/>
        <v>0</v>
      </c>
      <c r="BE383" s="163">
        <f t="shared" si="4535"/>
        <v>45992</v>
      </c>
      <c r="BF383" s="163">
        <f t="shared" si="4536"/>
        <v>46022</v>
      </c>
      <c r="BG383" s="167">
        <f t="shared" si="4537"/>
        <v>0</v>
      </c>
      <c r="BH383" s="163">
        <v>46023</v>
      </c>
      <c r="BI383" s="163">
        <f t="shared" si="4538"/>
        <v>46053</v>
      </c>
      <c r="BJ383" s="167">
        <f t="shared" si="4539"/>
        <v>0</v>
      </c>
      <c r="BK383" s="163">
        <f t="shared" si="4540"/>
        <v>46054</v>
      </c>
      <c r="BL383" s="163">
        <f t="shared" si="4541"/>
        <v>46081</v>
      </c>
      <c r="BM383" s="167">
        <f t="shared" si="4542"/>
        <v>0</v>
      </c>
      <c r="BN383" s="163">
        <f t="shared" si="4543"/>
        <v>46082</v>
      </c>
      <c r="BO383" s="163">
        <f t="shared" si="4544"/>
        <v>46112</v>
      </c>
      <c r="BP383" s="167">
        <f t="shared" si="4545"/>
        <v>0</v>
      </c>
      <c r="BQ383" s="163">
        <f t="shared" si="4546"/>
        <v>46113</v>
      </c>
      <c r="BR383" s="163">
        <f t="shared" si="4547"/>
        <v>46142</v>
      </c>
      <c r="BS383" s="167">
        <f t="shared" si="4548"/>
        <v>0</v>
      </c>
      <c r="BT383" s="163">
        <f t="shared" si="4549"/>
        <v>46143</v>
      </c>
      <c r="BU383" s="163">
        <f t="shared" si="4550"/>
        <v>46173</v>
      </c>
      <c r="BV383" s="167">
        <f t="shared" si="4551"/>
        <v>0</v>
      </c>
      <c r="BW383" s="163">
        <f t="shared" si="4552"/>
        <v>46174</v>
      </c>
      <c r="BX383" s="163">
        <f t="shared" si="4553"/>
        <v>46203</v>
      </c>
      <c r="BY383" s="167">
        <f t="shared" si="4554"/>
        <v>0</v>
      </c>
      <c r="BZ383" s="163">
        <f t="shared" si="4555"/>
        <v>46204</v>
      </c>
      <c r="CA383" s="163">
        <f t="shared" si="4556"/>
        <v>46234</v>
      </c>
      <c r="CB383" s="167">
        <f t="shared" si="4557"/>
        <v>0</v>
      </c>
      <c r="CC383" s="163">
        <f t="shared" si="4558"/>
        <v>46235</v>
      </c>
      <c r="CD383" s="163">
        <f t="shared" si="4559"/>
        <v>46265</v>
      </c>
      <c r="CE383" s="167">
        <f t="shared" si="4560"/>
        <v>0</v>
      </c>
      <c r="CF383" s="163">
        <f t="shared" si="4561"/>
        <v>46266</v>
      </c>
      <c r="CG383" s="163">
        <f t="shared" si="4562"/>
        <v>46295</v>
      </c>
      <c r="CH383" s="167">
        <f t="shared" si="4563"/>
        <v>0</v>
      </c>
      <c r="CI383" s="163">
        <f t="shared" si="4564"/>
        <v>46296</v>
      </c>
      <c r="CJ383" s="163">
        <f t="shared" si="4565"/>
        <v>46326</v>
      </c>
      <c r="CK383" s="167">
        <f t="shared" si="4566"/>
        <v>0</v>
      </c>
      <c r="CL383" s="163">
        <f t="shared" si="4567"/>
        <v>46327</v>
      </c>
      <c r="CM383" s="163">
        <f t="shared" si="4568"/>
        <v>46356</v>
      </c>
      <c r="CN383" s="167">
        <f t="shared" si="4569"/>
        <v>0</v>
      </c>
      <c r="CO383" s="163">
        <f t="shared" si="4570"/>
        <v>46357</v>
      </c>
      <c r="CP383" s="163">
        <f t="shared" si="4571"/>
        <v>46387</v>
      </c>
      <c r="CQ383" s="167">
        <f t="shared" si="4572"/>
        <v>0</v>
      </c>
    </row>
    <row r="384" s="89" customFormat="1" ht="24" hidden="1" customHeight="1" outlineLevel="4" spans="1:95">
      <c r="A384" s="132" t="s">
        <v>2813</v>
      </c>
      <c r="B384" s="133"/>
      <c r="C384" s="133"/>
      <c r="D384" s="133"/>
      <c r="E384" s="133"/>
      <c r="F384" s="133"/>
      <c r="G384" s="134"/>
      <c r="H384" s="135"/>
      <c r="I384" s="135"/>
      <c r="J384" s="135"/>
      <c r="K384" s="135"/>
      <c r="L384" s="158"/>
      <c r="M384" s="158"/>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c r="CL384" s="135"/>
      <c r="CM384" s="135"/>
      <c r="CN384" s="135"/>
      <c r="CO384" s="135"/>
      <c r="CP384" s="135"/>
      <c r="CQ384" s="135"/>
    </row>
    <row r="385" ht="24" hidden="1" customHeight="1" outlineLevel="3" collapsed="1" spans="1:95">
      <c r="A385" s="124"/>
      <c r="B385" s="125" t="s">
        <v>792</v>
      </c>
      <c r="C385" s="126" t="s">
        <v>1356</v>
      </c>
      <c r="D385" s="124" t="s">
        <v>1357</v>
      </c>
      <c r="E385" s="125" t="s">
        <v>1358</v>
      </c>
      <c r="F385" s="125"/>
      <c r="G385" s="125" t="s">
        <v>936</v>
      </c>
      <c r="H385" s="127">
        <f>X385+AA385+AD385+AG385+AJ385+AM385+AP385+AS385+AV385+AY385+BB385+BE385</f>
        <v>0</v>
      </c>
      <c r="I385" s="127">
        <f>Y385+AB385+AE385+AH385+AK385+AN385+AQ385+AT385+AW385+AZ385+BC385+BF385</f>
        <v>0</v>
      </c>
      <c r="J385" s="127">
        <f t="shared" si="3853"/>
        <v>0</v>
      </c>
      <c r="K385" s="127"/>
      <c r="L385" s="155"/>
      <c r="M385" s="155"/>
      <c r="N385" s="127"/>
      <c r="O385" s="127"/>
      <c r="P385" s="127"/>
      <c r="Q385" s="127"/>
      <c r="R385" s="127"/>
      <c r="S385" s="127"/>
      <c r="T385" s="127"/>
      <c r="U385" s="127"/>
      <c r="V385" s="127"/>
      <c r="W385" s="127"/>
      <c r="X385" s="127">
        <f>VLOOKUP($C385,'1 预算编制表单'!$C:$BJ,27,FALSE)</f>
        <v>0</v>
      </c>
      <c r="Y385" s="127">
        <f>X385-Z385</f>
        <v>0</v>
      </c>
      <c r="Z385" s="127">
        <f>SUM(Z386:Z390)</f>
        <v>0</v>
      </c>
      <c r="AA385" s="127">
        <f>VLOOKUP($C385,'1 预算编制表单'!$C:$BJ,30,FALSE)</f>
        <v>0</v>
      </c>
      <c r="AB385" s="127">
        <f>AA385-AC385</f>
        <v>0</v>
      </c>
      <c r="AC385" s="127">
        <f>SUM(AC386:AC390)</f>
        <v>0</v>
      </c>
      <c r="AD385" s="127">
        <f>VLOOKUP($C385,'1 预算编制表单'!$C:$BJ,33,FALSE)</f>
        <v>0</v>
      </c>
      <c r="AE385" s="127">
        <f>AD385-AF385</f>
        <v>0</v>
      </c>
      <c r="AF385" s="127">
        <f>SUM(AF386:AF390)</f>
        <v>0</v>
      </c>
      <c r="AG385" s="127">
        <f>VLOOKUP($C385,'1 预算编制表单'!$C:$BJ,36,FALSE)</f>
        <v>0</v>
      </c>
      <c r="AH385" s="127">
        <f>AG385-AI385</f>
        <v>0</v>
      </c>
      <c r="AI385" s="127">
        <f>SUM(AI386:AI390)</f>
        <v>0</v>
      </c>
      <c r="AJ385" s="127">
        <f>VLOOKUP($C385,'1 预算编制表单'!$C:$BJ,39,FALSE)</f>
        <v>0</v>
      </c>
      <c r="AK385" s="127">
        <f>AJ385-AL385</f>
        <v>0</v>
      </c>
      <c r="AL385" s="127">
        <f>SUM(AL386:AL390)</f>
        <v>0</v>
      </c>
      <c r="AM385" s="127">
        <f>VLOOKUP($C385,'1 预算编制表单'!$C:$BJ,42,FALSE)</f>
        <v>0</v>
      </c>
      <c r="AN385" s="127">
        <f>AM385-AO385</f>
        <v>0</v>
      </c>
      <c r="AO385" s="127">
        <f>SUM(AO386:AO390)</f>
        <v>0</v>
      </c>
      <c r="AP385" s="127">
        <f>VLOOKUP($C385,'1 预算编制表单'!$C:$BJ,45,FALSE)</f>
        <v>0</v>
      </c>
      <c r="AQ385" s="127">
        <f>AP385-AR385</f>
        <v>0</v>
      </c>
      <c r="AR385" s="127">
        <f>SUM(AR386:AR390)</f>
        <v>0</v>
      </c>
      <c r="AS385" s="127">
        <f>VLOOKUP($C385,'1 预算编制表单'!$C:$BJ,48,FALSE)</f>
        <v>0</v>
      </c>
      <c r="AT385" s="127">
        <f>AS385-AU385</f>
        <v>0</v>
      </c>
      <c r="AU385" s="127">
        <f>SUM(AU386:AU390)</f>
        <v>0</v>
      </c>
      <c r="AV385" s="127">
        <f>VLOOKUP($C385,'1 预算编制表单'!$C:$BJ,51,FALSE)</f>
        <v>0</v>
      </c>
      <c r="AW385" s="127">
        <f>AV385-AX385</f>
        <v>0</v>
      </c>
      <c r="AX385" s="127">
        <f>SUM(AX386:AX390)</f>
        <v>0</v>
      </c>
      <c r="AY385" s="127">
        <f>VLOOKUP($C385,'1 预算编制表单'!$C:$BJ,54,FALSE)</f>
        <v>0</v>
      </c>
      <c r="AZ385" s="127">
        <f>AY385-BA385</f>
        <v>0</v>
      </c>
      <c r="BA385" s="127">
        <f>SUM(BA386:BA390)</f>
        <v>0</v>
      </c>
      <c r="BB385" s="127">
        <f>VLOOKUP($C385,'1 预算编制表单'!$C:$BJ,57,FALSE)</f>
        <v>0</v>
      </c>
      <c r="BC385" s="127">
        <f>BB385-BD385</f>
        <v>0</v>
      </c>
      <c r="BD385" s="127">
        <f>SUM(BD386:BD390)</f>
        <v>0</v>
      </c>
      <c r="BE385" s="127">
        <f>VLOOKUP($C385,'1 预算编制表单'!$C:$BJ,60,FALSE)</f>
        <v>0</v>
      </c>
      <c r="BF385" s="127">
        <f>BE385-BG385</f>
        <v>0</v>
      </c>
      <c r="BG385" s="127">
        <f>SUM(BG386:BG390)</f>
        <v>0</v>
      </c>
      <c r="BH385" s="127">
        <f>VLOOKUP($C385,'1 预算编制表单'!$C:$BJ,27,FALSE)</f>
        <v>0</v>
      </c>
      <c r="BI385" s="127">
        <f>BH385-BJ385</f>
        <v>0</v>
      </c>
      <c r="BJ385" s="127">
        <f>SUM(BJ386:BJ390)</f>
        <v>0</v>
      </c>
      <c r="BK385" s="127">
        <f>VLOOKUP($C385,'1 预算编制表单'!$C:$BJ,30,FALSE)</f>
        <v>0</v>
      </c>
      <c r="BL385" s="127">
        <f>BK385-BM385</f>
        <v>0</v>
      </c>
      <c r="BM385" s="127">
        <f>SUM(BM386:BM390)</f>
        <v>0</v>
      </c>
      <c r="BN385" s="127">
        <f>VLOOKUP($C385,'1 预算编制表单'!$C:$BJ,33,FALSE)</f>
        <v>0</v>
      </c>
      <c r="BO385" s="127">
        <f>BN385-BP385</f>
        <v>0</v>
      </c>
      <c r="BP385" s="127">
        <f>SUM(BP386:BP390)</f>
        <v>0</v>
      </c>
      <c r="BQ385" s="127">
        <f>VLOOKUP($C385,'1 预算编制表单'!$C:$BJ,36,FALSE)</f>
        <v>0</v>
      </c>
      <c r="BR385" s="127">
        <f>BQ385-BS385</f>
        <v>0</v>
      </c>
      <c r="BS385" s="127">
        <f>SUM(BS386:BS390)</f>
        <v>0</v>
      </c>
      <c r="BT385" s="127">
        <f>VLOOKUP($C385,'1 预算编制表单'!$C:$BJ,39,FALSE)</f>
        <v>0</v>
      </c>
      <c r="BU385" s="127">
        <f>BT385-BV385</f>
        <v>0</v>
      </c>
      <c r="BV385" s="127">
        <f>SUM(BV386:BV390)</f>
        <v>0</v>
      </c>
      <c r="BW385" s="127">
        <f>VLOOKUP($C385,'1 预算编制表单'!$C:$BJ,42,FALSE)</f>
        <v>0</v>
      </c>
      <c r="BX385" s="127">
        <f>BW385-BY385</f>
        <v>0</v>
      </c>
      <c r="BY385" s="127">
        <f>SUM(BY386:BY390)</f>
        <v>0</v>
      </c>
      <c r="BZ385" s="127">
        <f>VLOOKUP($C385,'1 预算编制表单'!$C:$BJ,45,FALSE)</f>
        <v>0</v>
      </c>
      <c r="CA385" s="127">
        <f>BZ385-CB385</f>
        <v>0</v>
      </c>
      <c r="CB385" s="127">
        <f>SUM(CB386:CB390)</f>
        <v>0</v>
      </c>
      <c r="CC385" s="127">
        <f>VLOOKUP($C385,'1 预算编制表单'!$C:$BJ,48,FALSE)</f>
        <v>0</v>
      </c>
      <c r="CD385" s="127">
        <f>CC385-CE385</f>
        <v>0</v>
      </c>
      <c r="CE385" s="127">
        <f>SUM(CE386:CE390)</f>
        <v>0</v>
      </c>
      <c r="CF385" s="127">
        <f>VLOOKUP($C385,'1 预算编制表单'!$C:$BJ,51,FALSE)</f>
        <v>0</v>
      </c>
      <c r="CG385" s="127">
        <f>CF385-CH385</f>
        <v>0</v>
      </c>
      <c r="CH385" s="127">
        <f>SUM(CH386:CH390)</f>
        <v>0</v>
      </c>
      <c r="CI385" s="127">
        <f>VLOOKUP($C385,'1 预算编制表单'!$C:$BJ,54,FALSE)</f>
        <v>0</v>
      </c>
      <c r="CJ385" s="127">
        <f>CI385-CK385</f>
        <v>0</v>
      </c>
      <c r="CK385" s="127">
        <f>SUM(CK386:CK390)</f>
        <v>0</v>
      </c>
      <c r="CL385" s="127">
        <f>VLOOKUP($C385,'1 预算编制表单'!$C:$BJ,57,FALSE)</f>
        <v>0</v>
      </c>
      <c r="CM385" s="127">
        <f>CL385-CN385</f>
        <v>0</v>
      </c>
      <c r="CN385" s="127">
        <f>SUM(CN386:CN390)</f>
        <v>0</v>
      </c>
      <c r="CO385" s="127">
        <f>VLOOKUP($C385,'1 预算编制表单'!$C:$BJ,60,FALSE)</f>
        <v>0</v>
      </c>
      <c r="CP385" s="127">
        <f>CO385-CQ385</f>
        <v>0</v>
      </c>
      <c r="CQ385" s="127">
        <f>SUM(CQ386:CQ390)</f>
        <v>0</v>
      </c>
    </row>
    <row r="386" s="89" customFormat="1" ht="24" hidden="1" customHeight="1" outlineLevel="4" spans="1:95">
      <c r="A386" s="128"/>
      <c r="B386" s="129"/>
      <c r="C386" s="130"/>
      <c r="D386" s="128"/>
      <c r="E386" s="129"/>
      <c r="F386" s="129"/>
      <c r="G386" s="129"/>
      <c r="H386" s="131"/>
      <c r="I386" s="131"/>
      <c r="J386" s="131">
        <f t="shared" si="3853"/>
        <v>0</v>
      </c>
      <c r="K386" s="131">
        <v>1</v>
      </c>
      <c r="L386" s="156"/>
      <c r="M386" s="157">
        <f>IFERROR(VLOOKUP($L386,'2-2 引出数据_合同数据仓库'!$B$5:$BP$200,3,FALSE),0)</f>
        <v>0</v>
      </c>
      <c r="N386" s="131"/>
      <c r="O386" s="157">
        <f>IFERROR(VLOOKUP((LEFT(VLOOKUP($L386,'2-2 引出数据_合同数据仓库'!$B$5:$BP$200,64,FALSE),15)&amp;(RIGHT(VLOOKUP($L386,'2-2 引出数据_合同数据仓库'!$B$5:$BP$200,64,FALSE),4)+1)),'2-2 引出数据_合同数据仓库'!$B$5:$BP$200,3,FALSE),0)</f>
        <v>0</v>
      </c>
      <c r="P386" s="131"/>
      <c r="Q386" s="131">
        <f>IFERROR(VLOOKUP($L386,'2-2 引出数据_合同数据仓库'!$B$5:$BP$200,28,FALSE),0)</f>
        <v>0</v>
      </c>
      <c r="R386" s="131">
        <f>IFERROR(VLOOKUP($L386,'2-2 引出数据_合同数据仓库'!$B$5:$BP$200,29,FALSE),0)</f>
        <v>0</v>
      </c>
      <c r="S386" s="131">
        <f>IFERROR(VLOOKUP($L386,'2-2 引出数据_合同数据仓库'!$B$5:$BP$200,4,FALSE),0)</f>
        <v>0</v>
      </c>
      <c r="T386" s="131"/>
      <c r="U386" s="131">
        <f>IFERROR(VLOOKUP($L386,'2-2 引出数据_合同数据仓库'!$B$5:$BP$200,15,FALSE),0)</f>
        <v>0</v>
      </c>
      <c r="V386" s="131">
        <f t="shared" ref="V386:V389" si="4574">U386/(S386-R386+1)*365</f>
        <v>0</v>
      </c>
      <c r="W386" s="131"/>
      <c r="X386" s="163">
        <v>45658</v>
      </c>
      <c r="Y386" s="163">
        <f t="shared" ref="Y386:Y389" si="4575">X386+30</f>
        <v>45688</v>
      </c>
      <c r="Z386" s="167">
        <f t="shared" ref="Z386:Z389" si="4576">IFERROR(IF(($R386-Y386)&gt;=0,0,IF(($S386-X386)&lt;0,0,IF(AND(($S386-Y386)&gt;0,(X386-$R386)&gt;0),$V386/365*(Y386-X386+1),IF(AND(($S386-Y386)&lt;=0,(X386-$R386)&gt;0),$V386/365*($S386-X386+1),$V386/365*(Y386-$R386+1))))),0)</f>
        <v>0</v>
      </c>
      <c r="AA386" s="163">
        <f t="shared" ref="AA386:AA389" si="4577">Y386+1</f>
        <v>45689</v>
      </c>
      <c r="AB386" s="163">
        <f t="shared" ref="AB386:AB389" si="4578">AA386+27</f>
        <v>45716</v>
      </c>
      <c r="AC386" s="167">
        <f t="shared" ref="AC386:AC389" si="4579">IFERROR(IF(($R386-AB386)&gt;=0,0,IF(($S386-AA386)&lt;0,0,IF(AND(($S386-AB386)&gt;0,(AA386-$R386)&gt;0),$V386/365*(AB386-AA386+1),IF(AND(($S386-AB386)&lt;=0,(AA386-$R386)&gt;0),$V386/365*($S386-AA386+1),$V386/365*(AB386-$R386+1))))),0)</f>
        <v>0</v>
      </c>
      <c r="AD386" s="163">
        <f t="shared" ref="AD386:AD389" si="4580">AB386+1</f>
        <v>45717</v>
      </c>
      <c r="AE386" s="163">
        <f t="shared" ref="AE386:AE389" si="4581">AD386+30</f>
        <v>45747</v>
      </c>
      <c r="AF386" s="167">
        <f t="shared" ref="AF386:AF389" si="4582">IFERROR(IF(($R386-AE386)&gt;=0,0,IF(($S386-AD386)&lt;0,0,IF(AND(($S386-AE386)&gt;0,(AD386-$R386)&gt;0),$V386/365*(AE386-AD386+1),IF(AND(($S386-AE386)&lt;=0,(AD386-$R386)&gt;0),$V386/365*($S386-AD386+1),$V386/365*(AE386-$R386+1))))),0)</f>
        <v>0</v>
      </c>
      <c r="AG386" s="163">
        <f t="shared" ref="AG386:AG389" si="4583">AE386+1</f>
        <v>45748</v>
      </c>
      <c r="AH386" s="163">
        <f t="shared" ref="AH386:AH389" si="4584">AG386+29</f>
        <v>45777</v>
      </c>
      <c r="AI386" s="167">
        <f t="shared" ref="AI386:AI389" si="4585">IFERROR(IF(($R386-AH386)&gt;=0,0,IF(($S386-AG386)&lt;0,0,IF(AND(($S386-AH386)&gt;0,(AG386-$R386)&gt;0),$V386/365*(AH386-AG386+1),IF(AND(($S386-AH386)&lt;=0,(AG386-$R386)&gt;0),$V386/365*($S386-AG386+1),$V386/365*(AH386-$R386+1))))),0)</f>
        <v>0</v>
      </c>
      <c r="AJ386" s="163">
        <f t="shared" ref="AJ386:AJ389" si="4586">AH386+1</f>
        <v>45778</v>
      </c>
      <c r="AK386" s="163">
        <f t="shared" ref="AK386:AK389" si="4587">AJ386+30</f>
        <v>45808</v>
      </c>
      <c r="AL386" s="167">
        <f t="shared" ref="AL386:AL389" si="4588">IFERROR(IF(($R386-AK386)&gt;=0,0,IF(($S386-AJ386)&lt;0,0,IF(AND(($S386-AK386)&gt;0,(AJ386-$R386)&gt;0),$V386/365*(AK386-AJ386+1),IF(AND(($S386-AK386)&lt;=0,(AJ386-$R386)&gt;0),$V386/365*($S386-AJ386+1),$V386/365*(AK386-$R386+1))))),0)</f>
        <v>0</v>
      </c>
      <c r="AM386" s="163">
        <f t="shared" ref="AM386:AM389" si="4589">AK386+1</f>
        <v>45809</v>
      </c>
      <c r="AN386" s="163">
        <f t="shared" ref="AN386:AN389" si="4590">AM386+29</f>
        <v>45838</v>
      </c>
      <c r="AO386" s="167">
        <f t="shared" ref="AO386:AO389" si="4591">IFERROR(IF(($R386-AN386)&gt;=0,0,IF(($S386-AM386)&lt;0,0,IF(AND(($S386-AN386)&gt;0,(AM386-$R386)&gt;0),$V386/365*(AN386-AM386+1),IF(AND(($S386-AN386)&lt;=0,(AM386-$R386)&gt;0),$V386/365*($S386-AM386+1),$V386/365*(AN386-$R386+1))))),0)</f>
        <v>0</v>
      </c>
      <c r="AP386" s="163">
        <f t="shared" ref="AP386:AP389" si="4592">AN386+1</f>
        <v>45839</v>
      </c>
      <c r="AQ386" s="163">
        <f t="shared" ref="AQ386:AQ389" si="4593">AP386+30</f>
        <v>45869</v>
      </c>
      <c r="AR386" s="167">
        <f t="shared" ref="AR386:AR389" si="4594">IFERROR(IF(($R386-AQ386)&gt;=0,0,IF(($S386-AP386)&lt;0,0,IF(AND(($S386-AQ386)&gt;0,(AP386-$R386)&gt;0),$V386/365*(AQ386-AP386+1),IF(AND(($S386-AQ386)&lt;=0,(AP386-$R386)&gt;0),$V386/365*($S386-AP386+1),$V386/365*(AQ386-$R386+1))))),0)</f>
        <v>0</v>
      </c>
      <c r="AS386" s="163">
        <f t="shared" ref="AS386:AS389" si="4595">AQ386+1</f>
        <v>45870</v>
      </c>
      <c r="AT386" s="163">
        <f t="shared" ref="AT386:AT389" si="4596">AS386+30</f>
        <v>45900</v>
      </c>
      <c r="AU386" s="167">
        <f t="shared" ref="AU386:AU389" si="4597">IFERROR(IF(($R386-AT386)&gt;=0,0,IF(($S386-AS386)&lt;0,0,IF(AND(($S386-AT386)&gt;0,(AS386-$R386)&gt;0),$V386/365*(AT386-AS386+1),IF(AND(($S386-AT386)&lt;=0,(AS386-$R386)&gt;0),$V386/365*($S386-AS386+1),$V386/365*(AT386-$R386+1))))),0)</f>
        <v>0</v>
      </c>
      <c r="AV386" s="163">
        <f t="shared" ref="AV386:AV389" si="4598">AT386+1</f>
        <v>45901</v>
      </c>
      <c r="AW386" s="163">
        <f t="shared" ref="AW386:AW389" si="4599">AV386+29</f>
        <v>45930</v>
      </c>
      <c r="AX386" s="167">
        <f t="shared" ref="AX386:AX389" si="4600">IFERROR(IF(($R386-AW386)&gt;=0,0,IF(($S386-AV386)&lt;0,0,IF(AND(($S386-AW386)&gt;0,(AV386-$R386)&gt;0),$V386/365*(AW386-AV386+1),IF(AND(($S386-AW386)&lt;=0,(AV386-$R386)&gt;0),$V386/365*($S386-AV386+1),$V386/365*(AW386-$R386+1))))),0)</f>
        <v>0</v>
      </c>
      <c r="AY386" s="163">
        <f t="shared" ref="AY386:AY389" si="4601">AW386+1</f>
        <v>45931</v>
      </c>
      <c r="AZ386" s="163">
        <f t="shared" ref="AZ386:AZ389" si="4602">AY386+30</f>
        <v>45961</v>
      </c>
      <c r="BA386" s="167">
        <f t="shared" ref="BA386:BA389" si="4603">IFERROR(IF(($R386-AZ386)&gt;=0,0,IF(($S386-AY386)&lt;0,0,IF(AND(($S386-AZ386)&gt;0,(AY386-$R386)&gt;0),$V386/365*(AZ386-AY386+1),IF(AND(($S386-AZ386)&lt;=0,(AY386-$R386)&gt;0),$V386/365*($S386-AY386+1),$V386/365*(AZ386-$R386+1))))),0)</f>
        <v>0</v>
      </c>
      <c r="BB386" s="163">
        <f t="shared" ref="BB386:BB389" si="4604">AZ386+1</f>
        <v>45962</v>
      </c>
      <c r="BC386" s="163">
        <f t="shared" ref="BC386:BC389" si="4605">BB386+29</f>
        <v>45991</v>
      </c>
      <c r="BD386" s="167">
        <f t="shared" ref="BD386:BD389" si="4606">IFERROR(IF(($R386-BC386)&gt;=0,0,IF(($S386-BB386)&lt;0,0,IF(AND(($S386-BC386)&gt;0,(BB386-$R386)&gt;0),$V386/365*(BC386-BB386+1),IF(AND(($S386-BC386)&lt;=0,(BB386-$R386)&gt;0),$V386/365*($S386-BB386+1),$V386/365*(BC386-$R386+1))))),0)</f>
        <v>0</v>
      </c>
      <c r="BE386" s="163">
        <f t="shared" ref="BE386:BE389" si="4607">BC386+1</f>
        <v>45992</v>
      </c>
      <c r="BF386" s="163">
        <f t="shared" ref="BF386:BF389" si="4608">BE386+30</f>
        <v>46022</v>
      </c>
      <c r="BG386" s="167">
        <f t="shared" ref="BG386:BG389" si="4609">IFERROR(IF(($R386-BF386)&gt;=0,0,IF(($S386-BE386)&lt;0,0,IF(AND(($S386-BF386)&gt;0,(BE386-$R386)&gt;0),$V386/365*(BF386-BE386+1),IF(AND(($S386-BF386)&lt;=0,(BE386-$R386)&gt;0),$V386/365*($S386-BE386+1),$V386/365*(BF386-$R386+1))))),0)</f>
        <v>0</v>
      </c>
      <c r="BH386" s="163">
        <v>46023</v>
      </c>
      <c r="BI386" s="163">
        <f t="shared" ref="BI386:BI389" si="4610">BH386+30</f>
        <v>46053</v>
      </c>
      <c r="BJ386" s="167">
        <f t="shared" ref="BJ386:BJ389" si="4611">IFERROR(IF(($R386-BI386)&gt;=0,0,IF(($S386-BH386)&lt;0,0,IF(AND(($S386-BI386)&gt;0,(BH386-$R386)&gt;0),$V386/365*(BI386-BH386+1),IF(AND(($S386-BI386)&lt;=0,(BH386-$R386)&gt;0),$V386/365*($S386-BH386+1),$V386/365*(BI386-$R386+1))))),0)</f>
        <v>0</v>
      </c>
      <c r="BK386" s="163">
        <f t="shared" ref="BK386:BK389" si="4612">BI386+1</f>
        <v>46054</v>
      </c>
      <c r="BL386" s="163">
        <f t="shared" ref="BL386:BL389" si="4613">BK386+27</f>
        <v>46081</v>
      </c>
      <c r="BM386" s="167">
        <f t="shared" ref="BM386:BM389" si="4614">IFERROR(IF(($R386-BL386)&gt;=0,0,IF(($S386-BK386)&lt;0,0,IF(AND(($S386-BL386)&gt;0,(BK386-$R386)&gt;0),$V386/365*(BL386-BK386+1),IF(AND(($S386-BL386)&lt;=0,(BK386-$R386)&gt;0),$V386/365*($S386-BK386+1),$V386/365*(BL386-$R386+1))))),0)</f>
        <v>0</v>
      </c>
      <c r="BN386" s="163">
        <f t="shared" ref="BN386:BN389" si="4615">BL386+1</f>
        <v>46082</v>
      </c>
      <c r="BO386" s="163">
        <f t="shared" ref="BO386:BO389" si="4616">BN386+30</f>
        <v>46112</v>
      </c>
      <c r="BP386" s="167">
        <f t="shared" ref="BP386:BP389" si="4617">IFERROR(IF(($R386-BO386)&gt;=0,0,IF(($S386-BN386)&lt;0,0,IF(AND(($S386-BO386)&gt;0,(BN386-$R386)&gt;0),$V386/365*(BO386-BN386+1),IF(AND(($S386-BO386)&lt;=0,(BN386-$R386)&gt;0),$V386/365*($S386-BN386+1),$V386/365*(BO386-$R386+1))))),0)</f>
        <v>0</v>
      </c>
      <c r="BQ386" s="163">
        <f t="shared" ref="BQ386:BQ389" si="4618">BO386+1</f>
        <v>46113</v>
      </c>
      <c r="BR386" s="163">
        <f t="shared" ref="BR386:BR389" si="4619">BQ386+29</f>
        <v>46142</v>
      </c>
      <c r="BS386" s="167">
        <f t="shared" ref="BS386:BS389" si="4620">IFERROR(IF(($R386-BR386)&gt;=0,0,IF(($S386-BQ386)&lt;0,0,IF(AND(($S386-BR386)&gt;0,(BQ386-$R386)&gt;0),$V386/365*(BR386-BQ386+1),IF(AND(($S386-BR386)&lt;=0,(BQ386-$R386)&gt;0),$V386/365*($S386-BQ386+1),$V386/365*(BR386-$R386+1))))),0)</f>
        <v>0</v>
      </c>
      <c r="BT386" s="163">
        <f t="shared" ref="BT386:BT389" si="4621">BR386+1</f>
        <v>46143</v>
      </c>
      <c r="BU386" s="163">
        <f t="shared" ref="BU386:BU389" si="4622">BT386+30</f>
        <v>46173</v>
      </c>
      <c r="BV386" s="167">
        <f t="shared" ref="BV386:BV389" si="4623">IFERROR(IF(($R386-BU386)&gt;=0,0,IF(($S386-BT386)&lt;0,0,IF(AND(($S386-BU386)&gt;0,(BT386-$R386)&gt;0),$V386/365*(BU386-BT386+1),IF(AND(($S386-BU386)&lt;=0,(BT386-$R386)&gt;0),$V386/365*($S386-BT386+1),$V386/365*(BU386-$R386+1))))),0)</f>
        <v>0</v>
      </c>
      <c r="BW386" s="163">
        <f t="shared" ref="BW386:BW389" si="4624">BU386+1</f>
        <v>46174</v>
      </c>
      <c r="BX386" s="163">
        <f t="shared" ref="BX386:BX389" si="4625">BW386+29</f>
        <v>46203</v>
      </c>
      <c r="BY386" s="167">
        <f t="shared" ref="BY386:BY389" si="4626">IFERROR(IF(($R386-BX386)&gt;=0,0,IF(($S386-BW386)&lt;0,0,IF(AND(($S386-BX386)&gt;0,(BW386-$R386)&gt;0),$V386/365*(BX386-BW386+1),IF(AND(($S386-BX386)&lt;=0,(BW386-$R386)&gt;0),$V386/365*($S386-BW386+1),$V386/365*(BX386-$R386+1))))),0)</f>
        <v>0</v>
      </c>
      <c r="BZ386" s="163">
        <f t="shared" ref="BZ386:BZ389" si="4627">BX386+1</f>
        <v>46204</v>
      </c>
      <c r="CA386" s="163">
        <f t="shared" ref="CA386:CA389" si="4628">BZ386+30</f>
        <v>46234</v>
      </c>
      <c r="CB386" s="167">
        <f t="shared" ref="CB386:CB389" si="4629">IFERROR(IF(($R386-CA386)&gt;=0,0,IF(($S386-BZ386)&lt;0,0,IF(AND(($S386-CA386)&gt;0,(BZ386-$R386)&gt;0),$V386/365*(CA386-BZ386+1),IF(AND(($S386-CA386)&lt;=0,(BZ386-$R386)&gt;0),$V386/365*($S386-BZ386+1),$V386/365*(CA386-$R386+1))))),0)</f>
        <v>0</v>
      </c>
      <c r="CC386" s="163">
        <f t="shared" ref="CC386:CC389" si="4630">CA386+1</f>
        <v>46235</v>
      </c>
      <c r="CD386" s="163">
        <f t="shared" ref="CD386:CD389" si="4631">CC386+30</f>
        <v>46265</v>
      </c>
      <c r="CE386" s="167">
        <f t="shared" ref="CE386:CE389" si="4632">IFERROR(IF(($R386-CD386)&gt;=0,0,IF(($S386-CC386)&lt;0,0,IF(AND(($S386-CD386)&gt;0,(CC386-$R386)&gt;0),$V386/365*(CD386-CC386+1),IF(AND(($S386-CD386)&lt;=0,(CC386-$R386)&gt;0),$V386/365*($S386-CC386+1),$V386/365*(CD386-$R386+1))))),0)</f>
        <v>0</v>
      </c>
      <c r="CF386" s="163">
        <f t="shared" ref="CF386:CF389" si="4633">CD386+1</f>
        <v>46266</v>
      </c>
      <c r="CG386" s="163">
        <f t="shared" ref="CG386:CG389" si="4634">CF386+29</f>
        <v>46295</v>
      </c>
      <c r="CH386" s="167">
        <f t="shared" ref="CH386:CH389" si="4635">IFERROR(IF(($R386-CG386)&gt;=0,0,IF(($S386-CF386)&lt;0,0,IF(AND(($S386-CG386)&gt;0,(CF386-$R386)&gt;0),$V386/365*(CG386-CF386+1),IF(AND(($S386-CG386)&lt;=0,(CF386-$R386)&gt;0),$V386/365*($S386-CF386+1),$V386/365*(CG386-$R386+1))))),0)</f>
        <v>0</v>
      </c>
      <c r="CI386" s="163">
        <f t="shared" ref="CI386:CI389" si="4636">CG386+1</f>
        <v>46296</v>
      </c>
      <c r="CJ386" s="163">
        <f t="shared" ref="CJ386:CJ389" si="4637">CI386+30</f>
        <v>46326</v>
      </c>
      <c r="CK386" s="167">
        <f t="shared" ref="CK386:CK389" si="4638">IFERROR(IF(($R386-CJ386)&gt;=0,0,IF(($S386-CI386)&lt;0,0,IF(AND(($S386-CJ386)&gt;0,(CI386-$R386)&gt;0),$V386/365*(CJ386-CI386+1),IF(AND(($S386-CJ386)&lt;=0,(CI386-$R386)&gt;0),$V386/365*($S386-CI386+1),$V386/365*(CJ386-$R386+1))))),0)</f>
        <v>0</v>
      </c>
      <c r="CL386" s="163">
        <f t="shared" ref="CL386:CL389" si="4639">CJ386+1</f>
        <v>46327</v>
      </c>
      <c r="CM386" s="163">
        <f t="shared" ref="CM386:CM389" si="4640">CL386+29</f>
        <v>46356</v>
      </c>
      <c r="CN386" s="167">
        <f t="shared" ref="CN386:CN389" si="4641">IFERROR(IF(($R386-CM386)&gt;=0,0,IF(($S386-CL386)&lt;0,0,IF(AND(($S386-CM386)&gt;0,(CL386-$R386)&gt;0),$V386/365*(CM386-CL386+1),IF(AND(($S386-CM386)&lt;=0,(CL386-$R386)&gt;0),$V386/365*($S386-CL386+1),$V386/365*(CM386-$R386+1))))),0)</f>
        <v>0</v>
      </c>
      <c r="CO386" s="163">
        <f t="shared" ref="CO386:CO389" si="4642">CM386+1</f>
        <v>46357</v>
      </c>
      <c r="CP386" s="163">
        <f t="shared" ref="CP386:CP389" si="4643">CO386+30</f>
        <v>46387</v>
      </c>
      <c r="CQ386" s="167">
        <f t="shared" ref="CQ386:CQ389" si="4644">IFERROR(IF(($R386-CP386)&gt;=0,0,IF(($S386-CO386)&lt;0,0,IF(AND(($S386-CP386)&gt;0,(CO386-$R386)&gt;0),$V386/365*(CP386-CO386+1),IF(AND(($S386-CP386)&lt;=0,(CO386-$R386)&gt;0),$V386/365*($S386-CO386+1),$V386/365*(CP386-$R386+1))))),0)</f>
        <v>0</v>
      </c>
    </row>
    <row r="387" s="89" customFormat="1" ht="24" hidden="1" customHeight="1" outlineLevel="4" spans="1:95">
      <c r="A387" s="128"/>
      <c r="B387" s="129"/>
      <c r="C387" s="130"/>
      <c r="D387" s="128"/>
      <c r="E387" s="129"/>
      <c r="F387" s="129"/>
      <c r="G387" s="129"/>
      <c r="H387" s="131"/>
      <c r="I387" s="131"/>
      <c r="J387" s="131">
        <f t="shared" si="3853"/>
        <v>0</v>
      </c>
      <c r="K387" s="131">
        <f t="shared" ref="K387:K389" si="4645">K386+1</f>
        <v>2</v>
      </c>
      <c r="L387" s="156"/>
      <c r="M387" s="157">
        <f>IFERROR(VLOOKUP($L387,'2-2 引出数据_合同数据仓库'!$B$5:$BP$200,3,FALSE),0)</f>
        <v>0</v>
      </c>
      <c r="N387" s="131"/>
      <c r="O387" s="157">
        <f>IFERROR(VLOOKUP((LEFT(VLOOKUP($L387,'2-2 引出数据_合同数据仓库'!$B$5:$BP$200,64,FALSE),15)&amp;(RIGHT(VLOOKUP($L387,'2-2 引出数据_合同数据仓库'!$B$5:$BP$200,64,FALSE),4)+1)),'2-2 引出数据_合同数据仓库'!$B$5:$BP$200,3,FALSE),0)</f>
        <v>0</v>
      </c>
      <c r="P387" s="131"/>
      <c r="Q387" s="131">
        <f>IFERROR(VLOOKUP($L387,'2-2 引出数据_合同数据仓库'!$B$5:$BP$200,28,FALSE),0)</f>
        <v>0</v>
      </c>
      <c r="R387" s="131">
        <f>IFERROR(VLOOKUP($L387,'2-2 引出数据_合同数据仓库'!$B$5:$BP$200,29,FALSE),0)</f>
        <v>0</v>
      </c>
      <c r="S387" s="131">
        <f>IFERROR(VLOOKUP($L387,'2-2 引出数据_合同数据仓库'!$B$5:$BP$200,4,FALSE),0)</f>
        <v>0</v>
      </c>
      <c r="T387" s="131"/>
      <c r="U387" s="131">
        <f>IFERROR(VLOOKUP($L387,'2-2 引出数据_合同数据仓库'!$B$5:$BP$200,15,FALSE),0)</f>
        <v>0</v>
      </c>
      <c r="V387" s="131">
        <f t="shared" si="4574"/>
        <v>0</v>
      </c>
      <c r="W387" s="131"/>
      <c r="X387" s="163">
        <v>45658</v>
      </c>
      <c r="Y387" s="163">
        <f t="shared" si="4575"/>
        <v>45688</v>
      </c>
      <c r="Z387" s="167">
        <f t="shared" si="4576"/>
        <v>0</v>
      </c>
      <c r="AA387" s="163">
        <f t="shared" si="4577"/>
        <v>45689</v>
      </c>
      <c r="AB387" s="163">
        <f t="shared" si="4578"/>
        <v>45716</v>
      </c>
      <c r="AC387" s="167">
        <f t="shared" si="4579"/>
        <v>0</v>
      </c>
      <c r="AD387" s="163">
        <f t="shared" si="4580"/>
        <v>45717</v>
      </c>
      <c r="AE387" s="163">
        <f t="shared" si="4581"/>
        <v>45747</v>
      </c>
      <c r="AF387" s="167">
        <f t="shared" si="4582"/>
        <v>0</v>
      </c>
      <c r="AG387" s="163">
        <f t="shared" si="4583"/>
        <v>45748</v>
      </c>
      <c r="AH387" s="163">
        <f t="shared" si="4584"/>
        <v>45777</v>
      </c>
      <c r="AI387" s="167">
        <f t="shared" si="4585"/>
        <v>0</v>
      </c>
      <c r="AJ387" s="163">
        <f t="shared" si="4586"/>
        <v>45778</v>
      </c>
      <c r="AK387" s="163">
        <f t="shared" si="4587"/>
        <v>45808</v>
      </c>
      <c r="AL387" s="167">
        <f t="shared" si="4588"/>
        <v>0</v>
      </c>
      <c r="AM387" s="163">
        <f t="shared" si="4589"/>
        <v>45809</v>
      </c>
      <c r="AN387" s="163">
        <f t="shared" si="4590"/>
        <v>45838</v>
      </c>
      <c r="AO387" s="167">
        <f t="shared" si="4591"/>
        <v>0</v>
      </c>
      <c r="AP387" s="163">
        <f t="shared" si="4592"/>
        <v>45839</v>
      </c>
      <c r="AQ387" s="163">
        <f t="shared" si="4593"/>
        <v>45869</v>
      </c>
      <c r="AR387" s="167">
        <f t="shared" si="4594"/>
        <v>0</v>
      </c>
      <c r="AS387" s="163">
        <f t="shared" si="4595"/>
        <v>45870</v>
      </c>
      <c r="AT387" s="163">
        <f t="shared" si="4596"/>
        <v>45900</v>
      </c>
      <c r="AU387" s="167">
        <f t="shared" si="4597"/>
        <v>0</v>
      </c>
      <c r="AV387" s="163">
        <f t="shared" si="4598"/>
        <v>45901</v>
      </c>
      <c r="AW387" s="163">
        <f t="shared" si="4599"/>
        <v>45930</v>
      </c>
      <c r="AX387" s="167">
        <f t="shared" si="4600"/>
        <v>0</v>
      </c>
      <c r="AY387" s="163">
        <f t="shared" si="4601"/>
        <v>45931</v>
      </c>
      <c r="AZ387" s="163">
        <f t="shared" si="4602"/>
        <v>45961</v>
      </c>
      <c r="BA387" s="167">
        <f t="shared" si="4603"/>
        <v>0</v>
      </c>
      <c r="BB387" s="163">
        <f t="shared" si="4604"/>
        <v>45962</v>
      </c>
      <c r="BC387" s="163">
        <f t="shared" si="4605"/>
        <v>45991</v>
      </c>
      <c r="BD387" s="167">
        <f t="shared" si="4606"/>
        <v>0</v>
      </c>
      <c r="BE387" s="163">
        <f t="shared" si="4607"/>
        <v>45992</v>
      </c>
      <c r="BF387" s="163">
        <f t="shared" si="4608"/>
        <v>46022</v>
      </c>
      <c r="BG387" s="167">
        <f t="shared" si="4609"/>
        <v>0</v>
      </c>
      <c r="BH387" s="163">
        <v>46023</v>
      </c>
      <c r="BI387" s="163">
        <f t="shared" si="4610"/>
        <v>46053</v>
      </c>
      <c r="BJ387" s="167">
        <f t="shared" si="4611"/>
        <v>0</v>
      </c>
      <c r="BK387" s="163">
        <f t="shared" si="4612"/>
        <v>46054</v>
      </c>
      <c r="BL387" s="163">
        <f t="shared" si="4613"/>
        <v>46081</v>
      </c>
      <c r="BM387" s="167">
        <f t="shared" si="4614"/>
        <v>0</v>
      </c>
      <c r="BN387" s="163">
        <f t="shared" si="4615"/>
        <v>46082</v>
      </c>
      <c r="BO387" s="163">
        <f t="shared" si="4616"/>
        <v>46112</v>
      </c>
      <c r="BP387" s="167">
        <f t="shared" si="4617"/>
        <v>0</v>
      </c>
      <c r="BQ387" s="163">
        <f t="shared" si="4618"/>
        <v>46113</v>
      </c>
      <c r="BR387" s="163">
        <f t="shared" si="4619"/>
        <v>46142</v>
      </c>
      <c r="BS387" s="167">
        <f t="shared" si="4620"/>
        <v>0</v>
      </c>
      <c r="BT387" s="163">
        <f t="shared" si="4621"/>
        <v>46143</v>
      </c>
      <c r="BU387" s="163">
        <f t="shared" si="4622"/>
        <v>46173</v>
      </c>
      <c r="BV387" s="167">
        <f t="shared" si="4623"/>
        <v>0</v>
      </c>
      <c r="BW387" s="163">
        <f t="shared" si="4624"/>
        <v>46174</v>
      </c>
      <c r="BX387" s="163">
        <f t="shared" si="4625"/>
        <v>46203</v>
      </c>
      <c r="BY387" s="167">
        <f t="shared" si="4626"/>
        <v>0</v>
      </c>
      <c r="BZ387" s="163">
        <f t="shared" si="4627"/>
        <v>46204</v>
      </c>
      <c r="CA387" s="163">
        <f t="shared" si="4628"/>
        <v>46234</v>
      </c>
      <c r="CB387" s="167">
        <f t="shared" si="4629"/>
        <v>0</v>
      </c>
      <c r="CC387" s="163">
        <f t="shared" si="4630"/>
        <v>46235</v>
      </c>
      <c r="CD387" s="163">
        <f t="shared" si="4631"/>
        <v>46265</v>
      </c>
      <c r="CE387" s="167">
        <f t="shared" si="4632"/>
        <v>0</v>
      </c>
      <c r="CF387" s="163">
        <f t="shared" si="4633"/>
        <v>46266</v>
      </c>
      <c r="CG387" s="163">
        <f t="shared" si="4634"/>
        <v>46295</v>
      </c>
      <c r="CH387" s="167">
        <f t="shared" si="4635"/>
        <v>0</v>
      </c>
      <c r="CI387" s="163">
        <f t="shared" si="4636"/>
        <v>46296</v>
      </c>
      <c r="CJ387" s="163">
        <f t="shared" si="4637"/>
        <v>46326</v>
      </c>
      <c r="CK387" s="167">
        <f t="shared" si="4638"/>
        <v>0</v>
      </c>
      <c r="CL387" s="163">
        <f t="shared" si="4639"/>
        <v>46327</v>
      </c>
      <c r="CM387" s="163">
        <f t="shared" si="4640"/>
        <v>46356</v>
      </c>
      <c r="CN387" s="167">
        <f t="shared" si="4641"/>
        <v>0</v>
      </c>
      <c r="CO387" s="163">
        <f t="shared" si="4642"/>
        <v>46357</v>
      </c>
      <c r="CP387" s="163">
        <f t="shared" si="4643"/>
        <v>46387</v>
      </c>
      <c r="CQ387" s="167">
        <f t="shared" si="4644"/>
        <v>0</v>
      </c>
    </row>
    <row r="388" s="89" customFormat="1" ht="24" hidden="1" customHeight="1" outlineLevel="4" spans="1:95">
      <c r="A388" s="128"/>
      <c r="B388" s="129"/>
      <c r="C388" s="130"/>
      <c r="D388" s="128"/>
      <c r="E388" s="129"/>
      <c r="F388" s="129"/>
      <c r="G388" s="129"/>
      <c r="H388" s="131"/>
      <c r="I388" s="131"/>
      <c r="J388" s="131">
        <f t="shared" si="3853"/>
        <v>0</v>
      </c>
      <c r="K388" s="131">
        <f t="shared" si="4645"/>
        <v>3</v>
      </c>
      <c r="L388" s="156"/>
      <c r="M388" s="157">
        <f>IFERROR(VLOOKUP($L388,'2-2 引出数据_合同数据仓库'!$B$5:$BP$200,3,FALSE),0)</f>
        <v>0</v>
      </c>
      <c r="N388" s="131"/>
      <c r="O388" s="157">
        <f>IFERROR(VLOOKUP((LEFT(VLOOKUP($L388,'2-2 引出数据_合同数据仓库'!$B$5:$BP$200,64,FALSE),15)&amp;(RIGHT(VLOOKUP($L388,'2-2 引出数据_合同数据仓库'!$B$5:$BP$200,64,FALSE),4)+1)),'2-2 引出数据_合同数据仓库'!$B$5:$BP$200,3,FALSE),0)</f>
        <v>0</v>
      </c>
      <c r="P388" s="131"/>
      <c r="Q388" s="131">
        <f>IFERROR(VLOOKUP($L388,'2-2 引出数据_合同数据仓库'!$B$5:$BP$200,28,FALSE),0)</f>
        <v>0</v>
      </c>
      <c r="R388" s="131">
        <f>IFERROR(VLOOKUP($L388,'2-2 引出数据_合同数据仓库'!$B$5:$BP$200,29,FALSE),0)</f>
        <v>0</v>
      </c>
      <c r="S388" s="131">
        <f>IFERROR(VLOOKUP($L388,'2-2 引出数据_合同数据仓库'!$B$5:$BP$200,4,FALSE),0)</f>
        <v>0</v>
      </c>
      <c r="T388" s="131"/>
      <c r="U388" s="131">
        <f>IFERROR(VLOOKUP($L388,'2-2 引出数据_合同数据仓库'!$B$5:$BP$200,15,FALSE),0)</f>
        <v>0</v>
      </c>
      <c r="V388" s="131">
        <f t="shared" si="4574"/>
        <v>0</v>
      </c>
      <c r="W388" s="131"/>
      <c r="X388" s="163">
        <v>45658</v>
      </c>
      <c r="Y388" s="163">
        <f t="shared" si="4575"/>
        <v>45688</v>
      </c>
      <c r="Z388" s="167">
        <f t="shared" si="4576"/>
        <v>0</v>
      </c>
      <c r="AA388" s="163">
        <f t="shared" si="4577"/>
        <v>45689</v>
      </c>
      <c r="AB388" s="163">
        <f t="shared" si="4578"/>
        <v>45716</v>
      </c>
      <c r="AC388" s="167">
        <f t="shared" si="4579"/>
        <v>0</v>
      </c>
      <c r="AD388" s="163">
        <f t="shared" si="4580"/>
        <v>45717</v>
      </c>
      <c r="AE388" s="163">
        <f t="shared" si="4581"/>
        <v>45747</v>
      </c>
      <c r="AF388" s="167">
        <f t="shared" si="4582"/>
        <v>0</v>
      </c>
      <c r="AG388" s="163">
        <f t="shared" si="4583"/>
        <v>45748</v>
      </c>
      <c r="AH388" s="163">
        <f t="shared" si="4584"/>
        <v>45777</v>
      </c>
      <c r="AI388" s="167">
        <f t="shared" si="4585"/>
        <v>0</v>
      </c>
      <c r="AJ388" s="163">
        <f t="shared" si="4586"/>
        <v>45778</v>
      </c>
      <c r="AK388" s="163">
        <f t="shared" si="4587"/>
        <v>45808</v>
      </c>
      <c r="AL388" s="167">
        <f t="shared" si="4588"/>
        <v>0</v>
      </c>
      <c r="AM388" s="163">
        <f t="shared" si="4589"/>
        <v>45809</v>
      </c>
      <c r="AN388" s="163">
        <f t="shared" si="4590"/>
        <v>45838</v>
      </c>
      <c r="AO388" s="167">
        <f t="shared" si="4591"/>
        <v>0</v>
      </c>
      <c r="AP388" s="163">
        <f t="shared" si="4592"/>
        <v>45839</v>
      </c>
      <c r="AQ388" s="163">
        <f t="shared" si="4593"/>
        <v>45869</v>
      </c>
      <c r="AR388" s="167">
        <f t="shared" si="4594"/>
        <v>0</v>
      </c>
      <c r="AS388" s="163">
        <f t="shared" si="4595"/>
        <v>45870</v>
      </c>
      <c r="AT388" s="163">
        <f t="shared" si="4596"/>
        <v>45900</v>
      </c>
      <c r="AU388" s="167">
        <f t="shared" si="4597"/>
        <v>0</v>
      </c>
      <c r="AV388" s="163">
        <f t="shared" si="4598"/>
        <v>45901</v>
      </c>
      <c r="AW388" s="163">
        <f t="shared" si="4599"/>
        <v>45930</v>
      </c>
      <c r="AX388" s="167">
        <f t="shared" si="4600"/>
        <v>0</v>
      </c>
      <c r="AY388" s="163">
        <f t="shared" si="4601"/>
        <v>45931</v>
      </c>
      <c r="AZ388" s="163">
        <f t="shared" si="4602"/>
        <v>45961</v>
      </c>
      <c r="BA388" s="167">
        <f t="shared" si="4603"/>
        <v>0</v>
      </c>
      <c r="BB388" s="163">
        <f t="shared" si="4604"/>
        <v>45962</v>
      </c>
      <c r="BC388" s="163">
        <f t="shared" si="4605"/>
        <v>45991</v>
      </c>
      <c r="BD388" s="167">
        <f t="shared" si="4606"/>
        <v>0</v>
      </c>
      <c r="BE388" s="163">
        <f t="shared" si="4607"/>
        <v>45992</v>
      </c>
      <c r="BF388" s="163">
        <f t="shared" si="4608"/>
        <v>46022</v>
      </c>
      <c r="BG388" s="167">
        <f t="shared" si="4609"/>
        <v>0</v>
      </c>
      <c r="BH388" s="163">
        <v>46023</v>
      </c>
      <c r="BI388" s="163">
        <f t="shared" si="4610"/>
        <v>46053</v>
      </c>
      <c r="BJ388" s="167">
        <f t="shared" si="4611"/>
        <v>0</v>
      </c>
      <c r="BK388" s="163">
        <f t="shared" si="4612"/>
        <v>46054</v>
      </c>
      <c r="BL388" s="163">
        <f t="shared" si="4613"/>
        <v>46081</v>
      </c>
      <c r="BM388" s="167">
        <f t="shared" si="4614"/>
        <v>0</v>
      </c>
      <c r="BN388" s="163">
        <f t="shared" si="4615"/>
        <v>46082</v>
      </c>
      <c r="BO388" s="163">
        <f t="shared" si="4616"/>
        <v>46112</v>
      </c>
      <c r="BP388" s="167">
        <f t="shared" si="4617"/>
        <v>0</v>
      </c>
      <c r="BQ388" s="163">
        <f t="shared" si="4618"/>
        <v>46113</v>
      </c>
      <c r="BR388" s="163">
        <f t="shared" si="4619"/>
        <v>46142</v>
      </c>
      <c r="BS388" s="167">
        <f t="shared" si="4620"/>
        <v>0</v>
      </c>
      <c r="BT388" s="163">
        <f t="shared" si="4621"/>
        <v>46143</v>
      </c>
      <c r="BU388" s="163">
        <f t="shared" si="4622"/>
        <v>46173</v>
      </c>
      <c r="BV388" s="167">
        <f t="shared" si="4623"/>
        <v>0</v>
      </c>
      <c r="BW388" s="163">
        <f t="shared" si="4624"/>
        <v>46174</v>
      </c>
      <c r="BX388" s="163">
        <f t="shared" si="4625"/>
        <v>46203</v>
      </c>
      <c r="BY388" s="167">
        <f t="shared" si="4626"/>
        <v>0</v>
      </c>
      <c r="BZ388" s="163">
        <f t="shared" si="4627"/>
        <v>46204</v>
      </c>
      <c r="CA388" s="163">
        <f t="shared" si="4628"/>
        <v>46234</v>
      </c>
      <c r="CB388" s="167">
        <f t="shared" si="4629"/>
        <v>0</v>
      </c>
      <c r="CC388" s="163">
        <f t="shared" si="4630"/>
        <v>46235</v>
      </c>
      <c r="CD388" s="163">
        <f t="shared" si="4631"/>
        <v>46265</v>
      </c>
      <c r="CE388" s="167">
        <f t="shared" si="4632"/>
        <v>0</v>
      </c>
      <c r="CF388" s="163">
        <f t="shared" si="4633"/>
        <v>46266</v>
      </c>
      <c r="CG388" s="163">
        <f t="shared" si="4634"/>
        <v>46295</v>
      </c>
      <c r="CH388" s="167">
        <f t="shared" si="4635"/>
        <v>0</v>
      </c>
      <c r="CI388" s="163">
        <f t="shared" si="4636"/>
        <v>46296</v>
      </c>
      <c r="CJ388" s="163">
        <f t="shared" si="4637"/>
        <v>46326</v>
      </c>
      <c r="CK388" s="167">
        <f t="shared" si="4638"/>
        <v>0</v>
      </c>
      <c r="CL388" s="163">
        <f t="shared" si="4639"/>
        <v>46327</v>
      </c>
      <c r="CM388" s="163">
        <f t="shared" si="4640"/>
        <v>46356</v>
      </c>
      <c r="CN388" s="167">
        <f t="shared" si="4641"/>
        <v>0</v>
      </c>
      <c r="CO388" s="163">
        <f t="shared" si="4642"/>
        <v>46357</v>
      </c>
      <c r="CP388" s="163">
        <f t="shared" si="4643"/>
        <v>46387</v>
      </c>
      <c r="CQ388" s="167">
        <f t="shared" si="4644"/>
        <v>0</v>
      </c>
    </row>
    <row r="389" s="89" customFormat="1" ht="24" hidden="1" customHeight="1" outlineLevel="4" spans="1:95">
      <c r="A389" s="128"/>
      <c r="B389" s="129"/>
      <c r="C389" s="130"/>
      <c r="D389" s="128"/>
      <c r="E389" s="129"/>
      <c r="F389" s="129"/>
      <c r="G389" s="129"/>
      <c r="H389" s="131"/>
      <c r="I389" s="131"/>
      <c r="J389" s="131">
        <f t="shared" si="3853"/>
        <v>0</v>
      </c>
      <c r="K389" s="131">
        <f t="shared" si="4645"/>
        <v>4</v>
      </c>
      <c r="L389" s="156"/>
      <c r="M389" s="157">
        <f>IFERROR(VLOOKUP($L389,'2-2 引出数据_合同数据仓库'!$B$5:$BP$200,3,FALSE),0)</f>
        <v>0</v>
      </c>
      <c r="N389" s="131"/>
      <c r="O389" s="157">
        <f>IFERROR(VLOOKUP((LEFT(VLOOKUP($L389,'2-2 引出数据_合同数据仓库'!$B$5:$BP$200,64,FALSE),15)&amp;(RIGHT(VLOOKUP($L389,'2-2 引出数据_合同数据仓库'!$B$5:$BP$200,64,FALSE),4)+1)),'2-2 引出数据_合同数据仓库'!$B$5:$BP$200,3,FALSE),0)</f>
        <v>0</v>
      </c>
      <c r="P389" s="131"/>
      <c r="Q389" s="131">
        <f>IFERROR(VLOOKUP($L389,'2-2 引出数据_合同数据仓库'!$B$5:$BP$200,28,FALSE),0)</f>
        <v>0</v>
      </c>
      <c r="R389" s="131">
        <f>IFERROR(VLOOKUP($L389,'2-2 引出数据_合同数据仓库'!$B$5:$BP$200,29,FALSE),0)</f>
        <v>0</v>
      </c>
      <c r="S389" s="131">
        <f>IFERROR(VLOOKUP($L389,'2-2 引出数据_合同数据仓库'!$B$5:$BP$200,4,FALSE),0)</f>
        <v>0</v>
      </c>
      <c r="T389" s="131"/>
      <c r="U389" s="131">
        <f>IFERROR(VLOOKUP($L389,'2-2 引出数据_合同数据仓库'!$B$5:$BP$200,15,FALSE),0)</f>
        <v>0</v>
      </c>
      <c r="V389" s="131">
        <f t="shared" si="4574"/>
        <v>0</v>
      </c>
      <c r="W389" s="131"/>
      <c r="X389" s="163">
        <v>45658</v>
      </c>
      <c r="Y389" s="163">
        <f t="shared" si="4575"/>
        <v>45688</v>
      </c>
      <c r="Z389" s="167">
        <f t="shared" si="4576"/>
        <v>0</v>
      </c>
      <c r="AA389" s="163">
        <f t="shared" si="4577"/>
        <v>45689</v>
      </c>
      <c r="AB389" s="163">
        <f t="shared" si="4578"/>
        <v>45716</v>
      </c>
      <c r="AC389" s="167">
        <f t="shared" si="4579"/>
        <v>0</v>
      </c>
      <c r="AD389" s="163">
        <f t="shared" si="4580"/>
        <v>45717</v>
      </c>
      <c r="AE389" s="163">
        <f t="shared" si="4581"/>
        <v>45747</v>
      </c>
      <c r="AF389" s="167">
        <f t="shared" si="4582"/>
        <v>0</v>
      </c>
      <c r="AG389" s="163">
        <f t="shared" si="4583"/>
        <v>45748</v>
      </c>
      <c r="AH389" s="163">
        <f t="shared" si="4584"/>
        <v>45777</v>
      </c>
      <c r="AI389" s="167">
        <f t="shared" si="4585"/>
        <v>0</v>
      </c>
      <c r="AJ389" s="163">
        <f t="shared" si="4586"/>
        <v>45778</v>
      </c>
      <c r="AK389" s="163">
        <f t="shared" si="4587"/>
        <v>45808</v>
      </c>
      <c r="AL389" s="167">
        <f t="shared" si="4588"/>
        <v>0</v>
      </c>
      <c r="AM389" s="163">
        <f t="shared" si="4589"/>
        <v>45809</v>
      </c>
      <c r="AN389" s="163">
        <f t="shared" si="4590"/>
        <v>45838</v>
      </c>
      <c r="AO389" s="167">
        <f t="shared" si="4591"/>
        <v>0</v>
      </c>
      <c r="AP389" s="163">
        <f t="shared" si="4592"/>
        <v>45839</v>
      </c>
      <c r="AQ389" s="163">
        <f t="shared" si="4593"/>
        <v>45869</v>
      </c>
      <c r="AR389" s="167">
        <f t="shared" si="4594"/>
        <v>0</v>
      </c>
      <c r="AS389" s="163">
        <f t="shared" si="4595"/>
        <v>45870</v>
      </c>
      <c r="AT389" s="163">
        <f t="shared" si="4596"/>
        <v>45900</v>
      </c>
      <c r="AU389" s="167">
        <f t="shared" si="4597"/>
        <v>0</v>
      </c>
      <c r="AV389" s="163">
        <f t="shared" si="4598"/>
        <v>45901</v>
      </c>
      <c r="AW389" s="163">
        <f t="shared" si="4599"/>
        <v>45930</v>
      </c>
      <c r="AX389" s="167">
        <f t="shared" si="4600"/>
        <v>0</v>
      </c>
      <c r="AY389" s="163">
        <f t="shared" si="4601"/>
        <v>45931</v>
      </c>
      <c r="AZ389" s="163">
        <f t="shared" si="4602"/>
        <v>45961</v>
      </c>
      <c r="BA389" s="167">
        <f t="shared" si="4603"/>
        <v>0</v>
      </c>
      <c r="BB389" s="163">
        <f t="shared" si="4604"/>
        <v>45962</v>
      </c>
      <c r="BC389" s="163">
        <f t="shared" si="4605"/>
        <v>45991</v>
      </c>
      <c r="BD389" s="167">
        <f t="shared" si="4606"/>
        <v>0</v>
      </c>
      <c r="BE389" s="163">
        <f t="shared" si="4607"/>
        <v>45992</v>
      </c>
      <c r="BF389" s="163">
        <f t="shared" si="4608"/>
        <v>46022</v>
      </c>
      <c r="BG389" s="167">
        <f t="shared" si="4609"/>
        <v>0</v>
      </c>
      <c r="BH389" s="163">
        <v>46023</v>
      </c>
      <c r="BI389" s="163">
        <f t="shared" si="4610"/>
        <v>46053</v>
      </c>
      <c r="BJ389" s="167">
        <f t="shared" si="4611"/>
        <v>0</v>
      </c>
      <c r="BK389" s="163">
        <f t="shared" si="4612"/>
        <v>46054</v>
      </c>
      <c r="BL389" s="163">
        <f t="shared" si="4613"/>
        <v>46081</v>
      </c>
      <c r="BM389" s="167">
        <f t="shared" si="4614"/>
        <v>0</v>
      </c>
      <c r="BN389" s="163">
        <f t="shared" si="4615"/>
        <v>46082</v>
      </c>
      <c r="BO389" s="163">
        <f t="shared" si="4616"/>
        <v>46112</v>
      </c>
      <c r="BP389" s="167">
        <f t="shared" si="4617"/>
        <v>0</v>
      </c>
      <c r="BQ389" s="163">
        <f t="shared" si="4618"/>
        <v>46113</v>
      </c>
      <c r="BR389" s="163">
        <f t="shared" si="4619"/>
        <v>46142</v>
      </c>
      <c r="BS389" s="167">
        <f t="shared" si="4620"/>
        <v>0</v>
      </c>
      <c r="BT389" s="163">
        <f t="shared" si="4621"/>
        <v>46143</v>
      </c>
      <c r="BU389" s="163">
        <f t="shared" si="4622"/>
        <v>46173</v>
      </c>
      <c r="BV389" s="167">
        <f t="shared" si="4623"/>
        <v>0</v>
      </c>
      <c r="BW389" s="163">
        <f t="shared" si="4624"/>
        <v>46174</v>
      </c>
      <c r="BX389" s="163">
        <f t="shared" si="4625"/>
        <v>46203</v>
      </c>
      <c r="BY389" s="167">
        <f t="shared" si="4626"/>
        <v>0</v>
      </c>
      <c r="BZ389" s="163">
        <f t="shared" si="4627"/>
        <v>46204</v>
      </c>
      <c r="CA389" s="163">
        <f t="shared" si="4628"/>
        <v>46234</v>
      </c>
      <c r="CB389" s="167">
        <f t="shared" si="4629"/>
        <v>0</v>
      </c>
      <c r="CC389" s="163">
        <f t="shared" si="4630"/>
        <v>46235</v>
      </c>
      <c r="CD389" s="163">
        <f t="shared" si="4631"/>
        <v>46265</v>
      </c>
      <c r="CE389" s="167">
        <f t="shared" si="4632"/>
        <v>0</v>
      </c>
      <c r="CF389" s="163">
        <f t="shared" si="4633"/>
        <v>46266</v>
      </c>
      <c r="CG389" s="163">
        <f t="shared" si="4634"/>
        <v>46295</v>
      </c>
      <c r="CH389" s="167">
        <f t="shared" si="4635"/>
        <v>0</v>
      </c>
      <c r="CI389" s="163">
        <f t="shared" si="4636"/>
        <v>46296</v>
      </c>
      <c r="CJ389" s="163">
        <f t="shared" si="4637"/>
        <v>46326</v>
      </c>
      <c r="CK389" s="167">
        <f t="shared" si="4638"/>
        <v>0</v>
      </c>
      <c r="CL389" s="163">
        <f t="shared" si="4639"/>
        <v>46327</v>
      </c>
      <c r="CM389" s="163">
        <f t="shared" si="4640"/>
        <v>46356</v>
      </c>
      <c r="CN389" s="167">
        <f t="shared" si="4641"/>
        <v>0</v>
      </c>
      <c r="CO389" s="163">
        <f t="shared" si="4642"/>
        <v>46357</v>
      </c>
      <c r="CP389" s="163">
        <f t="shared" si="4643"/>
        <v>46387</v>
      </c>
      <c r="CQ389" s="167">
        <f t="shared" si="4644"/>
        <v>0</v>
      </c>
    </row>
    <row r="390" s="89" customFormat="1" ht="24" hidden="1" customHeight="1" outlineLevel="4" spans="1:95">
      <c r="A390" s="132" t="s">
        <v>2813</v>
      </c>
      <c r="B390" s="133"/>
      <c r="C390" s="133"/>
      <c r="D390" s="133"/>
      <c r="E390" s="133"/>
      <c r="F390" s="133"/>
      <c r="G390" s="134"/>
      <c r="H390" s="135"/>
      <c r="I390" s="135"/>
      <c r="J390" s="135"/>
      <c r="K390" s="135"/>
      <c r="L390" s="158"/>
      <c r="M390" s="158"/>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c r="CL390" s="135"/>
      <c r="CM390" s="135"/>
      <c r="CN390" s="135"/>
      <c r="CO390" s="135"/>
      <c r="CP390" s="135"/>
      <c r="CQ390" s="135"/>
    </row>
    <row r="391" ht="24" hidden="1" customHeight="1" outlineLevel="3" collapsed="1" spans="1:95">
      <c r="A391" s="124"/>
      <c r="B391" s="125" t="s">
        <v>792</v>
      </c>
      <c r="C391" s="126" t="s">
        <v>1360</v>
      </c>
      <c r="D391" s="124" t="s">
        <v>1361</v>
      </c>
      <c r="E391" s="125" t="s">
        <v>1362</v>
      </c>
      <c r="F391" s="125"/>
      <c r="G391" s="125" t="s">
        <v>936</v>
      </c>
      <c r="H391" s="127">
        <f>X391+AA391+AD391+AG391+AJ391+AM391+AP391+AS391+AV391+AY391+BB391+BE391</f>
        <v>0</v>
      </c>
      <c r="I391" s="127">
        <f>Y391+AB391+AE391+AH391+AK391+AN391+AQ391+AT391+AW391+AZ391+BC391+BF391</f>
        <v>0</v>
      </c>
      <c r="J391" s="127">
        <f t="shared" si="3853"/>
        <v>0</v>
      </c>
      <c r="K391" s="127"/>
      <c r="L391" s="155"/>
      <c r="M391" s="155"/>
      <c r="N391" s="127"/>
      <c r="O391" s="127"/>
      <c r="P391" s="127"/>
      <c r="Q391" s="127"/>
      <c r="R391" s="127"/>
      <c r="S391" s="127"/>
      <c r="T391" s="127"/>
      <c r="U391" s="127"/>
      <c r="V391" s="127"/>
      <c r="W391" s="127"/>
      <c r="X391" s="127">
        <f>VLOOKUP($C391,'1 预算编制表单'!$C:$BJ,27,FALSE)</f>
        <v>0</v>
      </c>
      <c r="Y391" s="127">
        <f>X391-Z391</f>
        <v>0</v>
      </c>
      <c r="Z391" s="127">
        <f>SUM(Z392:Z396)</f>
        <v>0</v>
      </c>
      <c r="AA391" s="127">
        <f>VLOOKUP($C391,'1 预算编制表单'!$C:$BJ,30,FALSE)</f>
        <v>0</v>
      </c>
      <c r="AB391" s="127">
        <f>AA391-AC391</f>
        <v>0</v>
      </c>
      <c r="AC391" s="127">
        <f>SUM(AC392:AC396)</f>
        <v>0</v>
      </c>
      <c r="AD391" s="127">
        <f>VLOOKUP($C391,'1 预算编制表单'!$C:$BJ,33,FALSE)</f>
        <v>0</v>
      </c>
      <c r="AE391" s="127">
        <f>AD391-AF391</f>
        <v>0</v>
      </c>
      <c r="AF391" s="127">
        <f>SUM(AF392:AF396)</f>
        <v>0</v>
      </c>
      <c r="AG391" s="127">
        <f>VLOOKUP($C391,'1 预算编制表单'!$C:$BJ,36,FALSE)</f>
        <v>0</v>
      </c>
      <c r="AH391" s="127">
        <f>AG391-AI391</f>
        <v>0</v>
      </c>
      <c r="AI391" s="127">
        <f>SUM(AI392:AI396)</f>
        <v>0</v>
      </c>
      <c r="AJ391" s="127">
        <f>VLOOKUP($C391,'1 预算编制表单'!$C:$BJ,39,FALSE)</f>
        <v>0</v>
      </c>
      <c r="AK391" s="127">
        <f>AJ391-AL391</f>
        <v>0</v>
      </c>
      <c r="AL391" s="127">
        <f>SUM(AL392:AL396)</f>
        <v>0</v>
      </c>
      <c r="AM391" s="127">
        <f>VLOOKUP($C391,'1 预算编制表单'!$C:$BJ,42,FALSE)</f>
        <v>0</v>
      </c>
      <c r="AN391" s="127">
        <f>AM391-AO391</f>
        <v>0</v>
      </c>
      <c r="AO391" s="127">
        <f>SUM(AO392:AO396)</f>
        <v>0</v>
      </c>
      <c r="AP391" s="127">
        <f>VLOOKUP($C391,'1 预算编制表单'!$C:$BJ,45,FALSE)</f>
        <v>0</v>
      </c>
      <c r="AQ391" s="127">
        <f>AP391-AR391</f>
        <v>0</v>
      </c>
      <c r="AR391" s="127">
        <f>SUM(AR392:AR396)</f>
        <v>0</v>
      </c>
      <c r="AS391" s="127">
        <f>VLOOKUP($C391,'1 预算编制表单'!$C:$BJ,48,FALSE)</f>
        <v>0</v>
      </c>
      <c r="AT391" s="127">
        <f>AS391-AU391</f>
        <v>0</v>
      </c>
      <c r="AU391" s="127">
        <f>SUM(AU392:AU396)</f>
        <v>0</v>
      </c>
      <c r="AV391" s="127">
        <f>VLOOKUP($C391,'1 预算编制表单'!$C:$BJ,51,FALSE)</f>
        <v>0</v>
      </c>
      <c r="AW391" s="127">
        <f>AV391-AX391</f>
        <v>0</v>
      </c>
      <c r="AX391" s="127">
        <f>SUM(AX392:AX396)</f>
        <v>0</v>
      </c>
      <c r="AY391" s="127">
        <f>VLOOKUP($C391,'1 预算编制表单'!$C:$BJ,54,FALSE)</f>
        <v>0</v>
      </c>
      <c r="AZ391" s="127">
        <f>AY391-BA391</f>
        <v>0</v>
      </c>
      <c r="BA391" s="127">
        <f>SUM(BA392:BA396)</f>
        <v>0</v>
      </c>
      <c r="BB391" s="127">
        <f>VLOOKUP($C391,'1 预算编制表单'!$C:$BJ,57,FALSE)</f>
        <v>0</v>
      </c>
      <c r="BC391" s="127">
        <f>BB391-BD391</f>
        <v>0</v>
      </c>
      <c r="BD391" s="127">
        <f>SUM(BD392:BD396)</f>
        <v>0</v>
      </c>
      <c r="BE391" s="127">
        <f>VLOOKUP($C391,'1 预算编制表单'!$C:$BJ,60,FALSE)</f>
        <v>0</v>
      </c>
      <c r="BF391" s="127">
        <f>BE391-BG391</f>
        <v>0</v>
      </c>
      <c r="BG391" s="127">
        <f>SUM(BG392:BG396)</f>
        <v>0</v>
      </c>
      <c r="BH391" s="127">
        <f>VLOOKUP($C391,'1 预算编制表单'!$C:$BJ,27,FALSE)</f>
        <v>0</v>
      </c>
      <c r="BI391" s="127">
        <f>BH391-BJ391</f>
        <v>0</v>
      </c>
      <c r="BJ391" s="127">
        <f>SUM(BJ392:BJ396)</f>
        <v>0</v>
      </c>
      <c r="BK391" s="127">
        <f>VLOOKUP($C391,'1 预算编制表单'!$C:$BJ,30,FALSE)</f>
        <v>0</v>
      </c>
      <c r="BL391" s="127">
        <f>BK391-BM391</f>
        <v>0</v>
      </c>
      <c r="BM391" s="127">
        <f>SUM(BM392:BM396)</f>
        <v>0</v>
      </c>
      <c r="BN391" s="127">
        <f>VLOOKUP($C391,'1 预算编制表单'!$C:$BJ,33,FALSE)</f>
        <v>0</v>
      </c>
      <c r="BO391" s="127">
        <f>BN391-BP391</f>
        <v>0</v>
      </c>
      <c r="BP391" s="127">
        <f>SUM(BP392:BP396)</f>
        <v>0</v>
      </c>
      <c r="BQ391" s="127">
        <f>VLOOKUP($C391,'1 预算编制表单'!$C:$BJ,36,FALSE)</f>
        <v>0</v>
      </c>
      <c r="BR391" s="127">
        <f>BQ391-BS391</f>
        <v>0</v>
      </c>
      <c r="BS391" s="127">
        <f>SUM(BS392:BS396)</f>
        <v>0</v>
      </c>
      <c r="BT391" s="127">
        <f>VLOOKUP($C391,'1 预算编制表单'!$C:$BJ,39,FALSE)</f>
        <v>0</v>
      </c>
      <c r="BU391" s="127">
        <f>BT391-BV391</f>
        <v>0</v>
      </c>
      <c r="BV391" s="127">
        <f>SUM(BV392:BV396)</f>
        <v>0</v>
      </c>
      <c r="BW391" s="127">
        <f>VLOOKUP($C391,'1 预算编制表单'!$C:$BJ,42,FALSE)</f>
        <v>0</v>
      </c>
      <c r="BX391" s="127">
        <f>BW391-BY391</f>
        <v>0</v>
      </c>
      <c r="BY391" s="127">
        <f>SUM(BY392:BY396)</f>
        <v>0</v>
      </c>
      <c r="BZ391" s="127">
        <f>VLOOKUP($C391,'1 预算编制表单'!$C:$BJ,45,FALSE)</f>
        <v>0</v>
      </c>
      <c r="CA391" s="127">
        <f>BZ391-CB391</f>
        <v>0</v>
      </c>
      <c r="CB391" s="127">
        <f>SUM(CB392:CB396)</f>
        <v>0</v>
      </c>
      <c r="CC391" s="127">
        <f>VLOOKUP($C391,'1 预算编制表单'!$C:$BJ,48,FALSE)</f>
        <v>0</v>
      </c>
      <c r="CD391" s="127">
        <f>CC391-CE391</f>
        <v>0</v>
      </c>
      <c r="CE391" s="127">
        <f>SUM(CE392:CE396)</f>
        <v>0</v>
      </c>
      <c r="CF391" s="127">
        <f>VLOOKUP($C391,'1 预算编制表单'!$C:$BJ,51,FALSE)</f>
        <v>0</v>
      </c>
      <c r="CG391" s="127">
        <f>CF391-CH391</f>
        <v>0</v>
      </c>
      <c r="CH391" s="127">
        <f>SUM(CH392:CH396)</f>
        <v>0</v>
      </c>
      <c r="CI391" s="127">
        <f>VLOOKUP($C391,'1 预算编制表单'!$C:$BJ,54,FALSE)</f>
        <v>0</v>
      </c>
      <c r="CJ391" s="127">
        <f>CI391-CK391</f>
        <v>0</v>
      </c>
      <c r="CK391" s="127">
        <f>SUM(CK392:CK396)</f>
        <v>0</v>
      </c>
      <c r="CL391" s="127">
        <f>VLOOKUP($C391,'1 预算编制表单'!$C:$BJ,57,FALSE)</f>
        <v>0</v>
      </c>
      <c r="CM391" s="127">
        <f>CL391-CN391</f>
        <v>0</v>
      </c>
      <c r="CN391" s="127">
        <f>SUM(CN392:CN396)</f>
        <v>0</v>
      </c>
      <c r="CO391" s="127">
        <f>VLOOKUP($C391,'1 预算编制表单'!$C:$BJ,60,FALSE)</f>
        <v>0</v>
      </c>
      <c r="CP391" s="127">
        <f>CO391-CQ391</f>
        <v>0</v>
      </c>
      <c r="CQ391" s="127">
        <f>SUM(CQ392:CQ396)</f>
        <v>0</v>
      </c>
    </row>
    <row r="392" s="89" customFormat="1" ht="24" hidden="1" customHeight="1" outlineLevel="4" spans="1:95">
      <c r="A392" s="128"/>
      <c r="B392" s="129"/>
      <c r="C392" s="130"/>
      <c r="D392" s="128"/>
      <c r="E392" s="129"/>
      <c r="F392" s="129"/>
      <c r="G392" s="129"/>
      <c r="H392" s="131"/>
      <c r="I392" s="131"/>
      <c r="J392" s="131">
        <f t="shared" ref="J392:J434" si="4646">Z392+AC392+AF392+AI392+AL392+AO392+AR392+AU392+AX392+BA392+BD392+BG392</f>
        <v>0</v>
      </c>
      <c r="K392" s="131">
        <v>1</v>
      </c>
      <c r="L392" s="156"/>
      <c r="M392" s="157">
        <f>IFERROR(VLOOKUP($L392,'2-2 引出数据_合同数据仓库'!$B$5:$BP$200,3,FALSE),0)</f>
        <v>0</v>
      </c>
      <c r="N392" s="131"/>
      <c r="O392" s="157">
        <f>IFERROR(VLOOKUP((LEFT(VLOOKUP($L392,'2-2 引出数据_合同数据仓库'!$B$5:$BP$200,64,FALSE),15)&amp;(RIGHT(VLOOKUP($L392,'2-2 引出数据_合同数据仓库'!$B$5:$BP$200,64,FALSE),4)+1)),'2-2 引出数据_合同数据仓库'!$B$5:$BP$200,3,FALSE),0)</f>
        <v>0</v>
      </c>
      <c r="P392" s="131"/>
      <c r="Q392" s="131">
        <f>IFERROR(VLOOKUP($L392,'2-2 引出数据_合同数据仓库'!$B$5:$BP$200,28,FALSE),0)</f>
        <v>0</v>
      </c>
      <c r="R392" s="131">
        <f>IFERROR(VLOOKUP($L392,'2-2 引出数据_合同数据仓库'!$B$5:$BP$200,29,FALSE),0)</f>
        <v>0</v>
      </c>
      <c r="S392" s="131">
        <f>IFERROR(VLOOKUP($L392,'2-2 引出数据_合同数据仓库'!$B$5:$BP$200,4,FALSE),0)</f>
        <v>0</v>
      </c>
      <c r="T392" s="131"/>
      <c r="U392" s="131">
        <f>IFERROR(VLOOKUP($L392,'2-2 引出数据_合同数据仓库'!$B$5:$BP$200,15,FALSE),0)</f>
        <v>0</v>
      </c>
      <c r="V392" s="131">
        <f t="shared" ref="V392:V395" si="4647">U392/(S392-R392+1)*365</f>
        <v>0</v>
      </c>
      <c r="W392" s="131"/>
      <c r="X392" s="163">
        <v>45658</v>
      </c>
      <c r="Y392" s="163">
        <f t="shared" ref="Y392:Y395" si="4648">X392+30</f>
        <v>45688</v>
      </c>
      <c r="Z392" s="167">
        <f t="shared" ref="Z392:Z395" si="4649">IFERROR(IF(($R392-Y392)&gt;=0,0,IF(($S392-X392)&lt;0,0,IF(AND(($S392-Y392)&gt;0,(X392-$R392)&gt;0),$V392/365*(Y392-X392+1),IF(AND(($S392-Y392)&lt;=0,(X392-$R392)&gt;0),$V392/365*($S392-X392+1),$V392/365*(Y392-$R392+1))))),0)</f>
        <v>0</v>
      </c>
      <c r="AA392" s="163">
        <f t="shared" ref="AA392:AA395" si="4650">Y392+1</f>
        <v>45689</v>
      </c>
      <c r="AB392" s="163">
        <f t="shared" ref="AB392:AB395" si="4651">AA392+27</f>
        <v>45716</v>
      </c>
      <c r="AC392" s="167">
        <f t="shared" ref="AC392:AC395" si="4652">IFERROR(IF(($R392-AB392)&gt;=0,0,IF(($S392-AA392)&lt;0,0,IF(AND(($S392-AB392)&gt;0,(AA392-$R392)&gt;0),$V392/365*(AB392-AA392+1),IF(AND(($S392-AB392)&lt;=0,(AA392-$R392)&gt;0),$V392/365*($S392-AA392+1),$V392/365*(AB392-$R392+1))))),0)</f>
        <v>0</v>
      </c>
      <c r="AD392" s="163">
        <f t="shared" ref="AD392:AD395" si="4653">AB392+1</f>
        <v>45717</v>
      </c>
      <c r="AE392" s="163">
        <f t="shared" ref="AE392:AE395" si="4654">AD392+30</f>
        <v>45747</v>
      </c>
      <c r="AF392" s="167">
        <f t="shared" ref="AF392:AF395" si="4655">IFERROR(IF(($R392-AE392)&gt;=0,0,IF(($S392-AD392)&lt;0,0,IF(AND(($S392-AE392)&gt;0,(AD392-$R392)&gt;0),$V392/365*(AE392-AD392+1),IF(AND(($S392-AE392)&lt;=0,(AD392-$R392)&gt;0),$V392/365*($S392-AD392+1),$V392/365*(AE392-$R392+1))))),0)</f>
        <v>0</v>
      </c>
      <c r="AG392" s="163">
        <f t="shared" ref="AG392:AG395" si="4656">AE392+1</f>
        <v>45748</v>
      </c>
      <c r="AH392" s="163">
        <f t="shared" ref="AH392:AH395" si="4657">AG392+29</f>
        <v>45777</v>
      </c>
      <c r="AI392" s="167">
        <f t="shared" ref="AI392:AI395" si="4658">IFERROR(IF(($R392-AH392)&gt;=0,0,IF(($S392-AG392)&lt;0,0,IF(AND(($S392-AH392)&gt;0,(AG392-$R392)&gt;0),$V392/365*(AH392-AG392+1),IF(AND(($S392-AH392)&lt;=0,(AG392-$R392)&gt;0),$V392/365*($S392-AG392+1),$V392/365*(AH392-$R392+1))))),0)</f>
        <v>0</v>
      </c>
      <c r="AJ392" s="163">
        <f t="shared" ref="AJ392:AJ395" si="4659">AH392+1</f>
        <v>45778</v>
      </c>
      <c r="AK392" s="163">
        <f t="shared" ref="AK392:AK395" si="4660">AJ392+30</f>
        <v>45808</v>
      </c>
      <c r="AL392" s="167">
        <f t="shared" ref="AL392:AL395" si="4661">IFERROR(IF(($R392-AK392)&gt;=0,0,IF(($S392-AJ392)&lt;0,0,IF(AND(($S392-AK392)&gt;0,(AJ392-$R392)&gt;0),$V392/365*(AK392-AJ392+1),IF(AND(($S392-AK392)&lt;=0,(AJ392-$R392)&gt;0),$V392/365*($S392-AJ392+1),$V392/365*(AK392-$R392+1))))),0)</f>
        <v>0</v>
      </c>
      <c r="AM392" s="163">
        <f t="shared" ref="AM392:AM395" si="4662">AK392+1</f>
        <v>45809</v>
      </c>
      <c r="AN392" s="163">
        <f t="shared" ref="AN392:AN395" si="4663">AM392+29</f>
        <v>45838</v>
      </c>
      <c r="AO392" s="167">
        <f t="shared" ref="AO392:AO395" si="4664">IFERROR(IF(($R392-AN392)&gt;=0,0,IF(($S392-AM392)&lt;0,0,IF(AND(($S392-AN392)&gt;0,(AM392-$R392)&gt;0),$V392/365*(AN392-AM392+1),IF(AND(($S392-AN392)&lt;=0,(AM392-$R392)&gt;0),$V392/365*($S392-AM392+1),$V392/365*(AN392-$R392+1))))),0)</f>
        <v>0</v>
      </c>
      <c r="AP392" s="163">
        <f t="shared" ref="AP392:AP395" si="4665">AN392+1</f>
        <v>45839</v>
      </c>
      <c r="AQ392" s="163">
        <f t="shared" ref="AQ392:AQ395" si="4666">AP392+30</f>
        <v>45869</v>
      </c>
      <c r="AR392" s="167">
        <f t="shared" ref="AR392:AR395" si="4667">IFERROR(IF(($R392-AQ392)&gt;=0,0,IF(($S392-AP392)&lt;0,0,IF(AND(($S392-AQ392)&gt;0,(AP392-$R392)&gt;0),$V392/365*(AQ392-AP392+1),IF(AND(($S392-AQ392)&lt;=0,(AP392-$R392)&gt;0),$V392/365*($S392-AP392+1),$V392/365*(AQ392-$R392+1))))),0)</f>
        <v>0</v>
      </c>
      <c r="AS392" s="163">
        <f t="shared" ref="AS392:AS395" si="4668">AQ392+1</f>
        <v>45870</v>
      </c>
      <c r="AT392" s="163">
        <f t="shared" ref="AT392:AT395" si="4669">AS392+30</f>
        <v>45900</v>
      </c>
      <c r="AU392" s="167">
        <f t="shared" ref="AU392:AU395" si="4670">IFERROR(IF(($R392-AT392)&gt;=0,0,IF(($S392-AS392)&lt;0,0,IF(AND(($S392-AT392)&gt;0,(AS392-$R392)&gt;0),$V392/365*(AT392-AS392+1),IF(AND(($S392-AT392)&lt;=0,(AS392-$R392)&gt;0),$V392/365*($S392-AS392+1),$V392/365*(AT392-$R392+1))))),0)</f>
        <v>0</v>
      </c>
      <c r="AV392" s="163">
        <f t="shared" ref="AV392:AV395" si="4671">AT392+1</f>
        <v>45901</v>
      </c>
      <c r="AW392" s="163">
        <f t="shared" ref="AW392:AW395" si="4672">AV392+29</f>
        <v>45930</v>
      </c>
      <c r="AX392" s="167">
        <f t="shared" ref="AX392:AX395" si="4673">IFERROR(IF(($R392-AW392)&gt;=0,0,IF(($S392-AV392)&lt;0,0,IF(AND(($S392-AW392)&gt;0,(AV392-$R392)&gt;0),$V392/365*(AW392-AV392+1),IF(AND(($S392-AW392)&lt;=0,(AV392-$R392)&gt;0),$V392/365*($S392-AV392+1),$V392/365*(AW392-$R392+1))))),0)</f>
        <v>0</v>
      </c>
      <c r="AY392" s="163">
        <f t="shared" ref="AY392:AY395" si="4674">AW392+1</f>
        <v>45931</v>
      </c>
      <c r="AZ392" s="163">
        <f t="shared" ref="AZ392:AZ395" si="4675">AY392+30</f>
        <v>45961</v>
      </c>
      <c r="BA392" s="167">
        <f t="shared" ref="BA392:BA395" si="4676">IFERROR(IF(($R392-AZ392)&gt;=0,0,IF(($S392-AY392)&lt;0,0,IF(AND(($S392-AZ392)&gt;0,(AY392-$R392)&gt;0),$V392/365*(AZ392-AY392+1),IF(AND(($S392-AZ392)&lt;=0,(AY392-$R392)&gt;0),$V392/365*($S392-AY392+1),$V392/365*(AZ392-$R392+1))))),0)</f>
        <v>0</v>
      </c>
      <c r="BB392" s="163">
        <f t="shared" ref="BB392:BB395" si="4677">AZ392+1</f>
        <v>45962</v>
      </c>
      <c r="BC392" s="163">
        <f t="shared" ref="BC392:BC395" si="4678">BB392+29</f>
        <v>45991</v>
      </c>
      <c r="BD392" s="167">
        <f t="shared" ref="BD392:BD395" si="4679">IFERROR(IF(($R392-BC392)&gt;=0,0,IF(($S392-BB392)&lt;0,0,IF(AND(($S392-BC392)&gt;0,(BB392-$R392)&gt;0),$V392/365*(BC392-BB392+1),IF(AND(($S392-BC392)&lt;=0,(BB392-$R392)&gt;0),$V392/365*($S392-BB392+1),$V392/365*(BC392-$R392+1))))),0)</f>
        <v>0</v>
      </c>
      <c r="BE392" s="163">
        <f t="shared" ref="BE392:BE395" si="4680">BC392+1</f>
        <v>45992</v>
      </c>
      <c r="BF392" s="163">
        <f t="shared" ref="BF392:BF395" si="4681">BE392+30</f>
        <v>46022</v>
      </c>
      <c r="BG392" s="167">
        <f t="shared" ref="BG392:BG395" si="4682">IFERROR(IF(($R392-BF392)&gt;=0,0,IF(($S392-BE392)&lt;0,0,IF(AND(($S392-BF392)&gt;0,(BE392-$R392)&gt;0),$V392/365*(BF392-BE392+1),IF(AND(($S392-BF392)&lt;=0,(BE392-$R392)&gt;0),$V392/365*($S392-BE392+1),$V392/365*(BF392-$R392+1))))),0)</f>
        <v>0</v>
      </c>
      <c r="BH392" s="163">
        <v>46023</v>
      </c>
      <c r="BI392" s="163">
        <f t="shared" ref="BI392:BI395" si="4683">BH392+30</f>
        <v>46053</v>
      </c>
      <c r="BJ392" s="167">
        <f t="shared" ref="BJ392:BJ395" si="4684">IFERROR(IF(($R392-BI392)&gt;=0,0,IF(($S392-BH392)&lt;0,0,IF(AND(($S392-BI392)&gt;0,(BH392-$R392)&gt;0),$V392/365*(BI392-BH392+1),IF(AND(($S392-BI392)&lt;=0,(BH392-$R392)&gt;0),$V392/365*($S392-BH392+1),$V392/365*(BI392-$R392+1))))),0)</f>
        <v>0</v>
      </c>
      <c r="BK392" s="163">
        <f t="shared" ref="BK392:BK395" si="4685">BI392+1</f>
        <v>46054</v>
      </c>
      <c r="BL392" s="163">
        <f t="shared" ref="BL392:BL395" si="4686">BK392+27</f>
        <v>46081</v>
      </c>
      <c r="BM392" s="167">
        <f t="shared" ref="BM392:BM395" si="4687">IFERROR(IF(($R392-BL392)&gt;=0,0,IF(($S392-BK392)&lt;0,0,IF(AND(($S392-BL392)&gt;0,(BK392-$R392)&gt;0),$V392/365*(BL392-BK392+1),IF(AND(($S392-BL392)&lt;=0,(BK392-$R392)&gt;0),$V392/365*($S392-BK392+1),$V392/365*(BL392-$R392+1))))),0)</f>
        <v>0</v>
      </c>
      <c r="BN392" s="163">
        <f t="shared" ref="BN392:BN395" si="4688">BL392+1</f>
        <v>46082</v>
      </c>
      <c r="BO392" s="163">
        <f t="shared" ref="BO392:BO395" si="4689">BN392+30</f>
        <v>46112</v>
      </c>
      <c r="BP392" s="167">
        <f t="shared" ref="BP392:BP395" si="4690">IFERROR(IF(($R392-BO392)&gt;=0,0,IF(($S392-BN392)&lt;0,0,IF(AND(($S392-BO392)&gt;0,(BN392-$R392)&gt;0),$V392/365*(BO392-BN392+1),IF(AND(($S392-BO392)&lt;=0,(BN392-$R392)&gt;0),$V392/365*($S392-BN392+1),$V392/365*(BO392-$R392+1))))),0)</f>
        <v>0</v>
      </c>
      <c r="BQ392" s="163">
        <f t="shared" ref="BQ392:BQ395" si="4691">BO392+1</f>
        <v>46113</v>
      </c>
      <c r="BR392" s="163">
        <f t="shared" ref="BR392:BR395" si="4692">BQ392+29</f>
        <v>46142</v>
      </c>
      <c r="BS392" s="167">
        <f t="shared" ref="BS392:BS395" si="4693">IFERROR(IF(($R392-BR392)&gt;=0,0,IF(($S392-BQ392)&lt;0,0,IF(AND(($S392-BR392)&gt;0,(BQ392-$R392)&gt;0),$V392/365*(BR392-BQ392+1),IF(AND(($S392-BR392)&lt;=0,(BQ392-$R392)&gt;0),$V392/365*($S392-BQ392+1),$V392/365*(BR392-$R392+1))))),0)</f>
        <v>0</v>
      </c>
      <c r="BT392" s="163">
        <f t="shared" ref="BT392:BT395" si="4694">BR392+1</f>
        <v>46143</v>
      </c>
      <c r="BU392" s="163">
        <f t="shared" ref="BU392:BU395" si="4695">BT392+30</f>
        <v>46173</v>
      </c>
      <c r="BV392" s="167">
        <f t="shared" ref="BV392:BV395" si="4696">IFERROR(IF(($R392-BU392)&gt;=0,0,IF(($S392-BT392)&lt;0,0,IF(AND(($S392-BU392)&gt;0,(BT392-$R392)&gt;0),$V392/365*(BU392-BT392+1),IF(AND(($S392-BU392)&lt;=0,(BT392-$R392)&gt;0),$V392/365*($S392-BT392+1),$V392/365*(BU392-$R392+1))))),0)</f>
        <v>0</v>
      </c>
      <c r="BW392" s="163">
        <f t="shared" ref="BW392:BW395" si="4697">BU392+1</f>
        <v>46174</v>
      </c>
      <c r="BX392" s="163">
        <f t="shared" ref="BX392:BX395" si="4698">BW392+29</f>
        <v>46203</v>
      </c>
      <c r="BY392" s="167">
        <f t="shared" ref="BY392:BY395" si="4699">IFERROR(IF(($R392-BX392)&gt;=0,0,IF(($S392-BW392)&lt;0,0,IF(AND(($S392-BX392)&gt;0,(BW392-$R392)&gt;0),$V392/365*(BX392-BW392+1),IF(AND(($S392-BX392)&lt;=0,(BW392-$R392)&gt;0),$V392/365*($S392-BW392+1),$V392/365*(BX392-$R392+1))))),0)</f>
        <v>0</v>
      </c>
      <c r="BZ392" s="163">
        <f t="shared" ref="BZ392:BZ395" si="4700">BX392+1</f>
        <v>46204</v>
      </c>
      <c r="CA392" s="163">
        <f t="shared" ref="CA392:CA395" si="4701">BZ392+30</f>
        <v>46234</v>
      </c>
      <c r="CB392" s="167">
        <f t="shared" ref="CB392:CB395" si="4702">IFERROR(IF(($R392-CA392)&gt;=0,0,IF(($S392-BZ392)&lt;0,0,IF(AND(($S392-CA392)&gt;0,(BZ392-$R392)&gt;0),$V392/365*(CA392-BZ392+1),IF(AND(($S392-CA392)&lt;=0,(BZ392-$R392)&gt;0),$V392/365*($S392-BZ392+1),$V392/365*(CA392-$R392+1))))),0)</f>
        <v>0</v>
      </c>
      <c r="CC392" s="163">
        <f t="shared" ref="CC392:CC395" si="4703">CA392+1</f>
        <v>46235</v>
      </c>
      <c r="CD392" s="163">
        <f t="shared" ref="CD392:CD395" si="4704">CC392+30</f>
        <v>46265</v>
      </c>
      <c r="CE392" s="167">
        <f t="shared" ref="CE392:CE395" si="4705">IFERROR(IF(($R392-CD392)&gt;=0,0,IF(($S392-CC392)&lt;0,0,IF(AND(($S392-CD392)&gt;0,(CC392-$R392)&gt;0),$V392/365*(CD392-CC392+1),IF(AND(($S392-CD392)&lt;=0,(CC392-$R392)&gt;0),$V392/365*($S392-CC392+1),$V392/365*(CD392-$R392+1))))),0)</f>
        <v>0</v>
      </c>
      <c r="CF392" s="163">
        <f t="shared" ref="CF392:CF395" si="4706">CD392+1</f>
        <v>46266</v>
      </c>
      <c r="CG392" s="163">
        <f t="shared" ref="CG392:CG395" si="4707">CF392+29</f>
        <v>46295</v>
      </c>
      <c r="CH392" s="167">
        <f t="shared" ref="CH392:CH395" si="4708">IFERROR(IF(($R392-CG392)&gt;=0,0,IF(($S392-CF392)&lt;0,0,IF(AND(($S392-CG392)&gt;0,(CF392-$R392)&gt;0),$V392/365*(CG392-CF392+1),IF(AND(($S392-CG392)&lt;=0,(CF392-$R392)&gt;0),$V392/365*($S392-CF392+1),$V392/365*(CG392-$R392+1))))),0)</f>
        <v>0</v>
      </c>
      <c r="CI392" s="163">
        <f t="shared" ref="CI392:CI395" si="4709">CG392+1</f>
        <v>46296</v>
      </c>
      <c r="CJ392" s="163">
        <f t="shared" ref="CJ392:CJ395" si="4710">CI392+30</f>
        <v>46326</v>
      </c>
      <c r="CK392" s="167">
        <f t="shared" ref="CK392:CK395" si="4711">IFERROR(IF(($R392-CJ392)&gt;=0,0,IF(($S392-CI392)&lt;0,0,IF(AND(($S392-CJ392)&gt;0,(CI392-$R392)&gt;0),$V392/365*(CJ392-CI392+1),IF(AND(($S392-CJ392)&lt;=0,(CI392-$R392)&gt;0),$V392/365*($S392-CI392+1),$V392/365*(CJ392-$R392+1))))),0)</f>
        <v>0</v>
      </c>
      <c r="CL392" s="163">
        <f t="shared" ref="CL392:CL395" si="4712">CJ392+1</f>
        <v>46327</v>
      </c>
      <c r="CM392" s="163">
        <f t="shared" ref="CM392:CM395" si="4713">CL392+29</f>
        <v>46356</v>
      </c>
      <c r="CN392" s="167">
        <f t="shared" ref="CN392:CN395" si="4714">IFERROR(IF(($R392-CM392)&gt;=0,0,IF(($S392-CL392)&lt;0,0,IF(AND(($S392-CM392)&gt;0,(CL392-$R392)&gt;0),$V392/365*(CM392-CL392+1),IF(AND(($S392-CM392)&lt;=0,(CL392-$R392)&gt;0),$V392/365*($S392-CL392+1),$V392/365*(CM392-$R392+1))))),0)</f>
        <v>0</v>
      </c>
      <c r="CO392" s="163">
        <f t="shared" ref="CO392:CO395" si="4715">CM392+1</f>
        <v>46357</v>
      </c>
      <c r="CP392" s="163">
        <f t="shared" ref="CP392:CP395" si="4716">CO392+30</f>
        <v>46387</v>
      </c>
      <c r="CQ392" s="167">
        <f t="shared" ref="CQ392:CQ395" si="4717">IFERROR(IF(($R392-CP392)&gt;=0,0,IF(($S392-CO392)&lt;0,0,IF(AND(($S392-CP392)&gt;0,(CO392-$R392)&gt;0),$V392/365*(CP392-CO392+1),IF(AND(($S392-CP392)&lt;=0,(CO392-$R392)&gt;0),$V392/365*($S392-CO392+1),$V392/365*(CP392-$R392+1))))),0)</f>
        <v>0</v>
      </c>
    </row>
    <row r="393" s="89" customFormat="1" ht="24" hidden="1" customHeight="1" outlineLevel="4" spans="1:95">
      <c r="A393" s="128"/>
      <c r="B393" s="129"/>
      <c r="C393" s="130"/>
      <c r="D393" s="128"/>
      <c r="E393" s="129"/>
      <c r="F393" s="129"/>
      <c r="G393" s="129"/>
      <c r="H393" s="131"/>
      <c r="I393" s="131"/>
      <c r="J393" s="131">
        <f t="shared" si="4646"/>
        <v>0</v>
      </c>
      <c r="K393" s="131">
        <f t="shared" ref="K393:K395" si="4718">K392+1</f>
        <v>2</v>
      </c>
      <c r="L393" s="156"/>
      <c r="M393" s="157">
        <f>IFERROR(VLOOKUP($L393,'2-2 引出数据_合同数据仓库'!$B$5:$BP$200,3,FALSE),0)</f>
        <v>0</v>
      </c>
      <c r="N393" s="131"/>
      <c r="O393" s="157">
        <f>IFERROR(VLOOKUP((LEFT(VLOOKUP($L393,'2-2 引出数据_合同数据仓库'!$B$5:$BP$200,64,FALSE),15)&amp;(RIGHT(VLOOKUP($L393,'2-2 引出数据_合同数据仓库'!$B$5:$BP$200,64,FALSE),4)+1)),'2-2 引出数据_合同数据仓库'!$B$5:$BP$200,3,FALSE),0)</f>
        <v>0</v>
      </c>
      <c r="P393" s="131"/>
      <c r="Q393" s="131">
        <f>IFERROR(VLOOKUP($L393,'2-2 引出数据_合同数据仓库'!$B$5:$BP$200,28,FALSE),0)</f>
        <v>0</v>
      </c>
      <c r="R393" s="131">
        <f>IFERROR(VLOOKUP($L393,'2-2 引出数据_合同数据仓库'!$B$5:$BP$200,29,FALSE),0)</f>
        <v>0</v>
      </c>
      <c r="S393" s="131">
        <f>IFERROR(VLOOKUP($L393,'2-2 引出数据_合同数据仓库'!$B$5:$BP$200,4,FALSE),0)</f>
        <v>0</v>
      </c>
      <c r="T393" s="131"/>
      <c r="U393" s="131">
        <f>IFERROR(VLOOKUP($L393,'2-2 引出数据_合同数据仓库'!$B$5:$BP$200,15,FALSE),0)</f>
        <v>0</v>
      </c>
      <c r="V393" s="131">
        <f t="shared" si="4647"/>
        <v>0</v>
      </c>
      <c r="W393" s="131"/>
      <c r="X393" s="163">
        <v>45658</v>
      </c>
      <c r="Y393" s="163">
        <f t="shared" si="4648"/>
        <v>45688</v>
      </c>
      <c r="Z393" s="167">
        <f t="shared" si="4649"/>
        <v>0</v>
      </c>
      <c r="AA393" s="163">
        <f t="shared" si="4650"/>
        <v>45689</v>
      </c>
      <c r="AB393" s="163">
        <f t="shared" si="4651"/>
        <v>45716</v>
      </c>
      <c r="AC393" s="167">
        <f t="shared" si="4652"/>
        <v>0</v>
      </c>
      <c r="AD393" s="163">
        <f t="shared" si="4653"/>
        <v>45717</v>
      </c>
      <c r="AE393" s="163">
        <f t="shared" si="4654"/>
        <v>45747</v>
      </c>
      <c r="AF393" s="167">
        <f t="shared" si="4655"/>
        <v>0</v>
      </c>
      <c r="AG393" s="163">
        <f t="shared" si="4656"/>
        <v>45748</v>
      </c>
      <c r="AH393" s="163">
        <f t="shared" si="4657"/>
        <v>45777</v>
      </c>
      <c r="AI393" s="167">
        <f t="shared" si="4658"/>
        <v>0</v>
      </c>
      <c r="AJ393" s="163">
        <f t="shared" si="4659"/>
        <v>45778</v>
      </c>
      <c r="AK393" s="163">
        <f t="shared" si="4660"/>
        <v>45808</v>
      </c>
      <c r="AL393" s="167">
        <f t="shared" si="4661"/>
        <v>0</v>
      </c>
      <c r="AM393" s="163">
        <f t="shared" si="4662"/>
        <v>45809</v>
      </c>
      <c r="AN393" s="163">
        <f t="shared" si="4663"/>
        <v>45838</v>
      </c>
      <c r="AO393" s="167">
        <f t="shared" si="4664"/>
        <v>0</v>
      </c>
      <c r="AP393" s="163">
        <f t="shared" si="4665"/>
        <v>45839</v>
      </c>
      <c r="AQ393" s="163">
        <f t="shared" si="4666"/>
        <v>45869</v>
      </c>
      <c r="AR393" s="167">
        <f t="shared" si="4667"/>
        <v>0</v>
      </c>
      <c r="AS393" s="163">
        <f t="shared" si="4668"/>
        <v>45870</v>
      </c>
      <c r="AT393" s="163">
        <f t="shared" si="4669"/>
        <v>45900</v>
      </c>
      <c r="AU393" s="167">
        <f t="shared" si="4670"/>
        <v>0</v>
      </c>
      <c r="AV393" s="163">
        <f t="shared" si="4671"/>
        <v>45901</v>
      </c>
      <c r="AW393" s="163">
        <f t="shared" si="4672"/>
        <v>45930</v>
      </c>
      <c r="AX393" s="167">
        <f t="shared" si="4673"/>
        <v>0</v>
      </c>
      <c r="AY393" s="163">
        <f t="shared" si="4674"/>
        <v>45931</v>
      </c>
      <c r="AZ393" s="163">
        <f t="shared" si="4675"/>
        <v>45961</v>
      </c>
      <c r="BA393" s="167">
        <f t="shared" si="4676"/>
        <v>0</v>
      </c>
      <c r="BB393" s="163">
        <f t="shared" si="4677"/>
        <v>45962</v>
      </c>
      <c r="BC393" s="163">
        <f t="shared" si="4678"/>
        <v>45991</v>
      </c>
      <c r="BD393" s="167">
        <f t="shared" si="4679"/>
        <v>0</v>
      </c>
      <c r="BE393" s="163">
        <f t="shared" si="4680"/>
        <v>45992</v>
      </c>
      <c r="BF393" s="163">
        <f t="shared" si="4681"/>
        <v>46022</v>
      </c>
      <c r="BG393" s="167">
        <f t="shared" si="4682"/>
        <v>0</v>
      </c>
      <c r="BH393" s="163">
        <v>46023</v>
      </c>
      <c r="BI393" s="163">
        <f t="shared" si="4683"/>
        <v>46053</v>
      </c>
      <c r="BJ393" s="167">
        <f t="shared" si="4684"/>
        <v>0</v>
      </c>
      <c r="BK393" s="163">
        <f t="shared" si="4685"/>
        <v>46054</v>
      </c>
      <c r="BL393" s="163">
        <f t="shared" si="4686"/>
        <v>46081</v>
      </c>
      <c r="BM393" s="167">
        <f t="shared" si="4687"/>
        <v>0</v>
      </c>
      <c r="BN393" s="163">
        <f t="shared" si="4688"/>
        <v>46082</v>
      </c>
      <c r="BO393" s="163">
        <f t="shared" si="4689"/>
        <v>46112</v>
      </c>
      <c r="BP393" s="167">
        <f t="shared" si="4690"/>
        <v>0</v>
      </c>
      <c r="BQ393" s="163">
        <f t="shared" si="4691"/>
        <v>46113</v>
      </c>
      <c r="BR393" s="163">
        <f t="shared" si="4692"/>
        <v>46142</v>
      </c>
      <c r="BS393" s="167">
        <f t="shared" si="4693"/>
        <v>0</v>
      </c>
      <c r="BT393" s="163">
        <f t="shared" si="4694"/>
        <v>46143</v>
      </c>
      <c r="BU393" s="163">
        <f t="shared" si="4695"/>
        <v>46173</v>
      </c>
      <c r="BV393" s="167">
        <f t="shared" si="4696"/>
        <v>0</v>
      </c>
      <c r="BW393" s="163">
        <f t="shared" si="4697"/>
        <v>46174</v>
      </c>
      <c r="BX393" s="163">
        <f t="shared" si="4698"/>
        <v>46203</v>
      </c>
      <c r="BY393" s="167">
        <f t="shared" si="4699"/>
        <v>0</v>
      </c>
      <c r="BZ393" s="163">
        <f t="shared" si="4700"/>
        <v>46204</v>
      </c>
      <c r="CA393" s="163">
        <f t="shared" si="4701"/>
        <v>46234</v>
      </c>
      <c r="CB393" s="167">
        <f t="shared" si="4702"/>
        <v>0</v>
      </c>
      <c r="CC393" s="163">
        <f t="shared" si="4703"/>
        <v>46235</v>
      </c>
      <c r="CD393" s="163">
        <f t="shared" si="4704"/>
        <v>46265</v>
      </c>
      <c r="CE393" s="167">
        <f t="shared" si="4705"/>
        <v>0</v>
      </c>
      <c r="CF393" s="163">
        <f t="shared" si="4706"/>
        <v>46266</v>
      </c>
      <c r="CG393" s="163">
        <f t="shared" si="4707"/>
        <v>46295</v>
      </c>
      <c r="CH393" s="167">
        <f t="shared" si="4708"/>
        <v>0</v>
      </c>
      <c r="CI393" s="163">
        <f t="shared" si="4709"/>
        <v>46296</v>
      </c>
      <c r="CJ393" s="163">
        <f t="shared" si="4710"/>
        <v>46326</v>
      </c>
      <c r="CK393" s="167">
        <f t="shared" si="4711"/>
        <v>0</v>
      </c>
      <c r="CL393" s="163">
        <f t="shared" si="4712"/>
        <v>46327</v>
      </c>
      <c r="CM393" s="163">
        <f t="shared" si="4713"/>
        <v>46356</v>
      </c>
      <c r="CN393" s="167">
        <f t="shared" si="4714"/>
        <v>0</v>
      </c>
      <c r="CO393" s="163">
        <f t="shared" si="4715"/>
        <v>46357</v>
      </c>
      <c r="CP393" s="163">
        <f t="shared" si="4716"/>
        <v>46387</v>
      </c>
      <c r="CQ393" s="167">
        <f t="shared" si="4717"/>
        <v>0</v>
      </c>
    </row>
    <row r="394" s="89" customFormat="1" ht="24" hidden="1" customHeight="1" outlineLevel="4" spans="1:95">
      <c r="A394" s="128"/>
      <c r="B394" s="129"/>
      <c r="C394" s="130"/>
      <c r="D394" s="128"/>
      <c r="E394" s="129"/>
      <c r="F394" s="129"/>
      <c r="G394" s="129"/>
      <c r="H394" s="131"/>
      <c r="I394" s="131"/>
      <c r="J394" s="131">
        <f t="shared" si="4646"/>
        <v>0</v>
      </c>
      <c r="K394" s="131">
        <f t="shared" si="4718"/>
        <v>3</v>
      </c>
      <c r="L394" s="156"/>
      <c r="M394" s="157">
        <f>IFERROR(VLOOKUP($L394,'2-2 引出数据_合同数据仓库'!$B$5:$BP$200,3,FALSE),0)</f>
        <v>0</v>
      </c>
      <c r="N394" s="131"/>
      <c r="O394" s="157">
        <f>IFERROR(VLOOKUP((LEFT(VLOOKUP($L394,'2-2 引出数据_合同数据仓库'!$B$5:$BP$200,64,FALSE),15)&amp;(RIGHT(VLOOKUP($L394,'2-2 引出数据_合同数据仓库'!$B$5:$BP$200,64,FALSE),4)+1)),'2-2 引出数据_合同数据仓库'!$B$5:$BP$200,3,FALSE),0)</f>
        <v>0</v>
      </c>
      <c r="P394" s="131"/>
      <c r="Q394" s="131">
        <f>IFERROR(VLOOKUP($L394,'2-2 引出数据_合同数据仓库'!$B$5:$BP$200,28,FALSE),0)</f>
        <v>0</v>
      </c>
      <c r="R394" s="131">
        <f>IFERROR(VLOOKUP($L394,'2-2 引出数据_合同数据仓库'!$B$5:$BP$200,29,FALSE),0)</f>
        <v>0</v>
      </c>
      <c r="S394" s="131">
        <f>IFERROR(VLOOKUP($L394,'2-2 引出数据_合同数据仓库'!$B$5:$BP$200,4,FALSE),0)</f>
        <v>0</v>
      </c>
      <c r="T394" s="131"/>
      <c r="U394" s="131">
        <f>IFERROR(VLOOKUP($L394,'2-2 引出数据_合同数据仓库'!$B$5:$BP$200,15,FALSE),0)</f>
        <v>0</v>
      </c>
      <c r="V394" s="131">
        <f t="shared" si="4647"/>
        <v>0</v>
      </c>
      <c r="W394" s="131"/>
      <c r="X394" s="163">
        <v>45658</v>
      </c>
      <c r="Y394" s="163">
        <f t="shared" si="4648"/>
        <v>45688</v>
      </c>
      <c r="Z394" s="167">
        <f t="shared" si="4649"/>
        <v>0</v>
      </c>
      <c r="AA394" s="163">
        <f t="shared" si="4650"/>
        <v>45689</v>
      </c>
      <c r="AB394" s="163">
        <f t="shared" si="4651"/>
        <v>45716</v>
      </c>
      <c r="AC394" s="167">
        <f t="shared" si="4652"/>
        <v>0</v>
      </c>
      <c r="AD394" s="163">
        <f t="shared" si="4653"/>
        <v>45717</v>
      </c>
      <c r="AE394" s="163">
        <f t="shared" si="4654"/>
        <v>45747</v>
      </c>
      <c r="AF394" s="167">
        <f t="shared" si="4655"/>
        <v>0</v>
      </c>
      <c r="AG394" s="163">
        <f t="shared" si="4656"/>
        <v>45748</v>
      </c>
      <c r="AH394" s="163">
        <f t="shared" si="4657"/>
        <v>45777</v>
      </c>
      <c r="AI394" s="167">
        <f t="shared" si="4658"/>
        <v>0</v>
      </c>
      <c r="AJ394" s="163">
        <f t="shared" si="4659"/>
        <v>45778</v>
      </c>
      <c r="AK394" s="163">
        <f t="shared" si="4660"/>
        <v>45808</v>
      </c>
      <c r="AL394" s="167">
        <f t="shared" si="4661"/>
        <v>0</v>
      </c>
      <c r="AM394" s="163">
        <f t="shared" si="4662"/>
        <v>45809</v>
      </c>
      <c r="AN394" s="163">
        <f t="shared" si="4663"/>
        <v>45838</v>
      </c>
      <c r="AO394" s="167">
        <f t="shared" si="4664"/>
        <v>0</v>
      </c>
      <c r="AP394" s="163">
        <f t="shared" si="4665"/>
        <v>45839</v>
      </c>
      <c r="AQ394" s="163">
        <f t="shared" si="4666"/>
        <v>45869</v>
      </c>
      <c r="AR394" s="167">
        <f t="shared" si="4667"/>
        <v>0</v>
      </c>
      <c r="AS394" s="163">
        <f t="shared" si="4668"/>
        <v>45870</v>
      </c>
      <c r="AT394" s="163">
        <f t="shared" si="4669"/>
        <v>45900</v>
      </c>
      <c r="AU394" s="167">
        <f t="shared" si="4670"/>
        <v>0</v>
      </c>
      <c r="AV394" s="163">
        <f t="shared" si="4671"/>
        <v>45901</v>
      </c>
      <c r="AW394" s="163">
        <f t="shared" si="4672"/>
        <v>45930</v>
      </c>
      <c r="AX394" s="167">
        <f t="shared" si="4673"/>
        <v>0</v>
      </c>
      <c r="AY394" s="163">
        <f t="shared" si="4674"/>
        <v>45931</v>
      </c>
      <c r="AZ394" s="163">
        <f t="shared" si="4675"/>
        <v>45961</v>
      </c>
      <c r="BA394" s="167">
        <f t="shared" si="4676"/>
        <v>0</v>
      </c>
      <c r="BB394" s="163">
        <f t="shared" si="4677"/>
        <v>45962</v>
      </c>
      <c r="BC394" s="163">
        <f t="shared" si="4678"/>
        <v>45991</v>
      </c>
      <c r="BD394" s="167">
        <f t="shared" si="4679"/>
        <v>0</v>
      </c>
      <c r="BE394" s="163">
        <f t="shared" si="4680"/>
        <v>45992</v>
      </c>
      <c r="BF394" s="163">
        <f t="shared" si="4681"/>
        <v>46022</v>
      </c>
      <c r="BG394" s="167">
        <f t="shared" si="4682"/>
        <v>0</v>
      </c>
      <c r="BH394" s="163">
        <v>46023</v>
      </c>
      <c r="BI394" s="163">
        <f t="shared" si="4683"/>
        <v>46053</v>
      </c>
      <c r="BJ394" s="167">
        <f t="shared" si="4684"/>
        <v>0</v>
      </c>
      <c r="BK394" s="163">
        <f t="shared" si="4685"/>
        <v>46054</v>
      </c>
      <c r="BL394" s="163">
        <f t="shared" si="4686"/>
        <v>46081</v>
      </c>
      <c r="BM394" s="167">
        <f t="shared" si="4687"/>
        <v>0</v>
      </c>
      <c r="BN394" s="163">
        <f t="shared" si="4688"/>
        <v>46082</v>
      </c>
      <c r="BO394" s="163">
        <f t="shared" si="4689"/>
        <v>46112</v>
      </c>
      <c r="BP394" s="167">
        <f t="shared" si="4690"/>
        <v>0</v>
      </c>
      <c r="BQ394" s="163">
        <f t="shared" si="4691"/>
        <v>46113</v>
      </c>
      <c r="BR394" s="163">
        <f t="shared" si="4692"/>
        <v>46142</v>
      </c>
      <c r="BS394" s="167">
        <f t="shared" si="4693"/>
        <v>0</v>
      </c>
      <c r="BT394" s="163">
        <f t="shared" si="4694"/>
        <v>46143</v>
      </c>
      <c r="BU394" s="163">
        <f t="shared" si="4695"/>
        <v>46173</v>
      </c>
      <c r="BV394" s="167">
        <f t="shared" si="4696"/>
        <v>0</v>
      </c>
      <c r="BW394" s="163">
        <f t="shared" si="4697"/>
        <v>46174</v>
      </c>
      <c r="BX394" s="163">
        <f t="shared" si="4698"/>
        <v>46203</v>
      </c>
      <c r="BY394" s="167">
        <f t="shared" si="4699"/>
        <v>0</v>
      </c>
      <c r="BZ394" s="163">
        <f t="shared" si="4700"/>
        <v>46204</v>
      </c>
      <c r="CA394" s="163">
        <f t="shared" si="4701"/>
        <v>46234</v>
      </c>
      <c r="CB394" s="167">
        <f t="shared" si="4702"/>
        <v>0</v>
      </c>
      <c r="CC394" s="163">
        <f t="shared" si="4703"/>
        <v>46235</v>
      </c>
      <c r="CD394" s="163">
        <f t="shared" si="4704"/>
        <v>46265</v>
      </c>
      <c r="CE394" s="167">
        <f t="shared" si="4705"/>
        <v>0</v>
      </c>
      <c r="CF394" s="163">
        <f t="shared" si="4706"/>
        <v>46266</v>
      </c>
      <c r="CG394" s="163">
        <f t="shared" si="4707"/>
        <v>46295</v>
      </c>
      <c r="CH394" s="167">
        <f t="shared" si="4708"/>
        <v>0</v>
      </c>
      <c r="CI394" s="163">
        <f t="shared" si="4709"/>
        <v>46296</v>
      </c>
      <c r="CJ394" s="163">
        <f t="shared" si="4710"/>
        <v>46326</v>
      </c>
      <c r="CK394" s="167">
        <f t="shared" si="4711"/>
        <v>0</v>
      </c>
      <c r="CL394" s="163">
        <f t="shared" si="4712"/>
        <v>46327</v>
      </c>
      <c r="CM394" s="163">
        <f t="shared" si="4713"/>
        <v>46356</v>
      </c>
      <c r="CN394" s="167">
        <f t="shared" si="4714"/>
        <v>0</v>
      </c>
      <c r="CO394" s="163">
        <f t="shared" si="4715"/>
        <v>46357</v>
      </c>
      <c r="CP394" s="163">
        <f t="shared" si="4716"/>
        <v>46387</v>
      </c>
      <c r="CQ394" s="167">
        <f t="shared" si="4717"/>
        <v>0</v>
      </c>
    </row>
    <row r="395" s="89" customFormat="1" ht="24" hidden="1" customHeight="1" outlineLevel="4" spans="1:95">
      <c r="A395" s="128"/>
      <c r="B395" s="129"/>
      <c r="C395" s="130"/>
      <c r="D395" s="128"/>
      <c r="E395" s="129"/>
      <c r="F395" s="129"/>
      <c r="G395" s="129"/>
      <c r="H395" s="131"/>
      <c r="I395" s="131"/>
      <c r="J395" s="131">
        <f t="shared" si="4646"/>
        <v>0</v>
      </c>
      <c r="K395" s="131">
        <f t="shared" si="4718"/>
        <v>4</v>
      </c>
      <c r="L395" s="156"/>
      <c r="M395" s="157">
        <f>IFERROR(VLOOKUP($L395,'2-2 引出数据_合同数据仓库'!$B$5:$BP$200,3,FALSE),0)</f>
        <v>0</v>
      </c>
      <c r="N395" s="131"/>
      <c r="O395" s="157">
        <f>IFERROR(VLOOKUP((LEFT(VLOOKUP($L395,'2-2 引出数据_合同数据仓库'!$B$5:$BP$200,64,FALSE),15)&amp;(RIGHT(VLOOKUP($L395,'2-2 引出数据_合同数据仓库'!$B$5:$BP$200,64,FALSE),4)+1)),'2-2 引出数据_合同数据仓库'!$B$5:$BP$200,3,FALSE),0)</f>
        <v>0</v>
      </c>
      <c r="P395" s="131"/>
      <c r="Q395" s="131">
        <f>IFERROR(VLOOKUP($L395,'2-2 引出数据_合同数据仓库'!$B$5:$BP$200,28,FALSE),0)</f>
        <v>0</v>
      </c>
      <c r="R395" s="131">
        <f>IFERROR(VLOOKUP($L395,'2-2 引出数据_合同数据仓库'!$B$5:$BP$200,29,FALSE),0)</f>
        <v>0</v>
      </c>
      <c r="S395" s="131">
        <f>IFERROR(VLOOKUP($L395,'2-2 引出数据_合同数据仓库'!$B$5:$BP$200,4,FALSE),0)</f>
        <v>0</v>
      </c>
      <c r="T395" s="131"/>
      <c r="U395" s="131">
        <f>IFERROR(VLOOKUP($L395,'2-2 引出数据_合同数据仓库'!$B$5:$BP$200,15,FALSE),0)</f>
        <v>0</v>
      </c>
      <c r="V395" s="131">
        <f t="shared" si="4647"/>
        <v>0</v>
      </c>
      <c r="W395" s="131"/>
      <c r="X395" s="163">
        <v>45658</v>
      </c>
      <c r="Y395" s="163">
        <f t="shared" si="4648"/>
        <v>45688</v>
      </c>
      <c r="Z395" s="167">
        <f t="shared" si="4649"/>
        <v>0</v>
      </c>
      <c r="AA395" s="163">
        <f t="shared" si="4650"/>
        <v>45689</v>
      </c>
      <c r="AB395" s="163">
        <f t="shared" si="4651"/>
        <v>45716</v>
      </c>
      <c r="AC395" s="167">
        <f t="shared" si="4652"/>
        <v>0</v>
      </c>
      <c r="AD395" s="163">
        <f t="shared" si="4653"/>
        <v>45717</v>
      </c>
      <c r="AE395" s="163">
        <f t="shared" si="4654"/>
        <v>45747</v>
      </c>
      <c r="AF395" s="167">
        <f t="shared" si="4655"/>
        <v>0</v>
      </c>
      <c r="AG395" s="163">
        <f t="shared" si="4656"/>
        <v>45748</v>
      </c>
      <c r="AH395" s="163">
        <f t="shared" si="4657"/>
        <v>45777</v>
      </c>
      <c r="AI395" s="167">
        <f t="shared" si="4658"/>
        <v>0</v>
      </c>
      <c r="AJ395" s="163">
        <f t="shared" si="4659"/>
        <v>45778</v>
      </c>
      <c r="AK395" s="163">
        <f t="shared" si="4660"/>
        <v>45808</v>
      </c>
      <c r="AL395" s="167">
        <f t="shared" si="4661"/>
        <v>0</v>
      </c>
      <c r="AM395" s="163">
        <f t="shared" si="4662"/>
        <v>45809</v>
      </c>
      <c r="AN395" s="163">
        <f t="shared" si="4663"/>
        <v>45838</v>
      </c>
      <c r="AO395" s="167">
        <f t="shared" si="4664"/>
        <v>0</v>
      </c>
      <c r="AP395" s="163">
        <f t="shared" si="4665"/>
        <v>45839</v>
      </c>
      <c r="AQ395" s="163">
        <f t="shared" si="4666"/>
        <v>45869</v>
      </c>
      <c r="AR395" s="167">
        <f t="shared" si="4667"/>
        <v>0</v>
      </c>
      <c r="AS395" s="163">
        <f t="shared" si="4668"/>
        <v>45870</v>
      </c>
      <c r="AT395" s="163">
        <f t="shared" si="4669"/>
        <v>45900</v>
      </c>
      <c r="AU395" s="167">
        <f t="shared" si="4670"/>
        <v>0</v>
      </c>
      <c r="AV395" s="163">
        <f t="shared" si="4671"/>
        <v>45901</v>
      </c>
      <c r="AW395" s="163">
        <f t="shared" si="4672"/>
        <v>45930</v>
      </c>
      <c r="AX395" s="167">
        <f t="shared" si="4673"/>
        <v>0</v>
      </c>
      <c r="AY395" s="163">
        <f t="shared" si="4674"/>
        <v>45931</v>
      </c>
      <c r="AZ395" s="163">
        <f t="shared" si="4675"/>
        <v>45961</v>
      </c>
      <c r="BA395" s="167">
        <f t="shared" si="4676"/>
        <v>0</v>
      </c>
      <c r="BB395" s="163">
        <f t="shared" si="4677"/>
        <v>45962</v>
      </c>
      <c r="BC395" s="163">
        <f t="shared" si="4678"/>
        <v>45991</v>
      </c>
      <c r="BD395" s="167">
        <f t="shared" si="4679"/>
        <v>0</v>
      </c>
      <c r="BE395" s="163">
        <f t="shared" si="4680"/>
        <v>45992</v>
      </c>
      <c r="BF395" s="163">
        <f t="shared" si="4681"/>
        <v>46022</v>
      </c>
      <c r="BG395" s="167">
        <f t="shared" si="4682"/>
        <v>0</v>
      </c>
      <c r="BH395" s="163">
        <v>46023</v>
      </c>
      <c r="BI395" s="163">
        <f t="shared" si="4683"/>
        <v>46053</v>
      </c>
      <c r="BJ395" s="167">
        <f t="shared" si="4684"/>
        <v>0</v>
      </c>
      <c r="BK395" s="163">
        <f t="shared" si="4685"/>
        <v>46054</v>
      </c>
      <c r="BL395" s="163">
        <f t="shared" si="4686"/>
        <v>46081</v>
      </c>
      <c r="BM395" s="167">
        <f t="shared" si="4687"/>
        <v>0</v>
      </c>
      <c r="BN395" s="163">
        <f t="shared" si="4688"/>
        <v>46082</v>
      </c>
      <c r="BO395" s="163">
        <f t="shared" si="4689"/>
        <v>46112</v>
      </c>
      <c r="BP395" s="167">
        <f t="shared" si="4690"/>
        <v>0</v>
      </c>
      <c r="BQ395" s="163">
        <f t="shared" si="4691"/>
        <v>46113</v>
      </c>
      <c r="BR395" s="163">
        <f t="shared" si="4692"/>
        <v>46142</v>
      </c>
      <c r="BS395" s="167">
        <f t="shared" si="4693"/>
        <v>0</v>
      </c>
      <c r="BT395" s="163">
        <f t="shared" si="4694"/>
        <v>46143</v>
      </c>
      <c r="BU395" s="163">
        <f t="shared" si="4695"/>
        <v>46173</v>
      </c>
      <c r="BV395" s="167">
        <f t="shared" si="4696"/>
        <v>0</v>
      </c>
      <c r="BW395" s="163">
        <f t="shared" si="4697"/>
        <v>46174</v>
      </c>
      <c r="BX395" s="163">
        <f t="shared" si="4698"/>
        <v>46203</v>
      </c>
      <c r="BY395" s="167">
        <f t="shared" si="4699"/>
        <v>0</v>
      </c>
      <c r="BZ395" s="163">
        <f t="shared" si="4700"/>
        <v>46204</v>
      </c>
      <c r="CA395" s="163">
        <f t="shared" si="4701"/>
        <v>46234</v>
      </c>
      <c r="CB395" s="167">
        <f t="shared" si="4702"/>
        <v>0</v>
      </c>
      <c r="CC395" s="163">
        <f t="shared" si="4703"/>
        <v>46235</v>
      </c>
      <c r="CD395" s="163">
        <f t="shared" si="4704"/>
        <v>46265</v>
      </c>
      <c r="CE395" s="167">
        <f t="shared" si="4705"/>
        <v>0</v>
      </c>
      <c r="CF395" s="163">
        <f t="shared" si="4706"/>
        <v>46266</v>
      </c>
      <c r="CG395" s="163">
        <f t="shared" si="4707"/>
        <v>46295</v>
      </c>
      <c r="CH395" s="167">
        <f t="shared" si="4708"/>
        <v>0</v>
      </c>
      <c r="CI395" s="163">
        <f t="shared" si="4709"/>
        <v>46296</v>
      </c>
      <c r="CJ395" s="163">
        <f t="shared" si="4710"/>
        <v>46326</v>
      </c>
      <c r="CK395" s="167">
        <f t="shared" si="4711"/>
        <v>0</v>
      </c>
      <c r="CL395" s="163">
        <f t="shared" si="4712"/>
        <v>46327</v>
      </c>
      <c r="CM395" s="163">
        <f t="shared" si="4713"/>
        <v>46356</v>
      </c>
      <c r="CN395" s="167">
        <f t="shared" si="4714"/>
        <v>0</v>
      </c>
      <c r="CO395" s="163">
        <f t="shared" si="4715"/>
        <v>46357</v>
      </c>
      <c r="CP395" s="163">
        <f t="shared" si="4716"/>
        <v>46387</v>
      </c>
      <c r="CQ395" s="167">
        <f t="shared" si="4717"/>
        <v>0</v>
      </c>
    </row>
    <row r="396" s="89" customFormat="1" ht="24" hidden="1" customHeight="1" outlineLevel="4" spans="1:95">
      <c r="A396" s="132" t="s">
        <v>2813</v>
      </c>
      <c r="B396" s="133"/>
      <c r="C396" s="133"/>
      <c r="D396" s="133"/>
      <c r="E396" s="133"/>
      <c r="F396" s="133"/>
      <c r="G396" s="134"/>
      <c r="H396" s="135"/>
      <c r="I396" s="135"/>
      <c r="J396" s="135"/>
      <c r="K396" s="135"/>
      <c r="L396" s="158"/>
      <c r="M396" s="158"/>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c r="CL396" s="135"/>
      <c r="CM396" s="135"/>
      <c r="CN396" s="135"/>
      <c r="CO396" s="135"/>
      <c r="CP396" s="135"/>
      <c r="CQ396" s="135"/>
    </row>
    <row r="397" ht="24" customHeight="1" outlineLevel="2" collapsed="1" spans="1:95">
      <c r="A397" s="43"/>
      <c r="B397" s="121" t="s">
        <v>792</v>
      </c>
      <c r="C397" s="122" t="s">
        <v>1364</v>
      </c>
      <c r="D397" s="43" t="s">
        <v>1365</v>
      </c>
      <c r="E397" s="121"/>
      <c r="F397" s="121"/>
      <c r="G397" s="121"/>
      <c r="H397" s="123">
        <f>X397+AA397+AD397+AG397+AJ397+AM397+AP397+AS397+AV397+AY397+BB397+BE397</f>
        <v>155775</v>
      </c>
      <c r="I397" s="123">
        <f>Y397+AB397+AE397+AH397+AK397+AN397+AQ397+AT397+AW397+AZ397+BC397+BF397</f>
        <v>135715</v>
      </c>
      <c r="J397" s="123">
        <f t="shared" si="4646"/>
        <v>20060</v>
      </c>
      <c r="K397" s="123"/>
      <c r="L397" s="154"/>
      <c r="M397" s="154"/>
      <c r="N397" s="123"/>
      <c r="O397" s="123"/>
      <c r="P397" s="123"/>
      <c r="Q397" s="123"/>
      <c r="R397" s="123"/>
      <c r="S397" s="123"/>
      <c r="T397" s="123"/>
      <c r="U397" s="123"/>
      <c r="V397" s="123"/>
      <c r="W397" s="123"/>
      <c r="X397" s="123">
        <f>VLOOKUP($C397,'1 预算编制表单'!$C:$BJ,27,FALSE)</f>
        <v>12981.25</v>
      </c>
      <c r="Y397" s="123">
        <f>X397-Z397</f>
        <v>12981.25</v>
      </c>
      <c r="Z397" s="123">
        <f>SUM(Z398:Z402)</f>
        <v>0</v>
      </c>
      <c r="AA397" s="123">
        <f>VLOOKUP($C397,'1 预算编制表单'!$C:$BJ,30,FALSE)</f>
        <v>12981.25</v>
      </c>
      <c r="AB397" s="123">
        <f>AA397-AC397</f>
        <v>12981.25</v>
      </c>
      <c r="AC397" s="123">
        <f>SUM(AC398:AC402)</f>
        <v>0</v>
      </c>
      <c r="AD397" s="123">
        <f>VLOOKUP($C397,'1 预算编制表单'!$C:$BJ,33,FALSE)</f>
        <v>12981.25</v>
      </c>
      <c r="AE397" s="123">
        <f>AD397-AF397</f>
        <v>2951.25</v>
      </c>
      <c r="AF397" s="123">
        <f>SUM(AF398:AF402)</f>
        <v>10030</v>
      </c>
      <c r="AG397" s="123">
        <f>VLOOKUP($C397,'1 预算编制表单'!$C:$BJ,36,FALSE)</f>
        <v>12981.25</v>
      </c>
      <c r="AH397" s="123">
        <f>AG397-AI397</f>
        <v>2951.25</v>
      </c>
      <c r="AI397" s="123">
        <f>SUM(AI398:AI402)</f>
        <v>10030</v>
      </c>
      <c r="AJ397" s="123">
        <f>VLOOKUP($C397,'1 预算编制表单'!$C:$BJ,39,FALSE)</f>
        <v>12981.25</v>
      </c>
      <c r="AK397" s="123">
        <f>AJ397-AL397</f>
        <v>12981.25</v>
      </c>
      <c r="AL397" s="123">
        <f>SUM(AL398:AL402)</f>
        <v>0</v>
      </c>
      <c r="AM397" s="123">
        <f>VLOOKUP($C397,'1 预算编制表单'!$C:$BJ,42,FALSE)</f>
        <v>12981.25</v>
      </c>
      <c r="AN397" s="123">
        <f>AM397-AO397</f>
        <v>12981.25</v>
      </c>
      <c r="AO397" s="123">
        <f>SUM(AO398:AO402)</f>
        <v>0</v>
      </c>
      <c r="AP397" s="123">
        <f>VLOOKUP($C397,'1 预算编制表单'!$C:$BJ,45,FALSE)</f>
        <v>12981.25</v>
      </c>
      <c r="AQ397" s="123">
        <f>AP397-AR397</f>
        <v>12981.25</v>
      </c>
      <c r="AR397" s="123">
        <f>SUM(AR398:AR402)</f>
        <v>0</v>
      </c>
      <c r="AS397" s="123">
        <f>VLOOKUP($C397,'1 预算编制表单'!$C:$BJ,48,FALSE)</f>
        <v>12981.25</v>
      </c>
      <c r="AT397" s="123">
        <f>AS397-AU397</f>
        <v>12981.25</v>
      </c>
      <c r="AU397" s="123">
        <f>SUM(AU398:AU402)</f>
        <v>0</v>
      </c>
      <c r="AV397" s="123">
        <f>VLOOKUP($C397,'1 预算编制表单'!$C:$BJ,51,FALSE)</f>
        <v>12981.25</v>
      </c>
      <c r="AW397" s="123">
        <f>AV397-AX397</f>
        <v>12981.25</v>
      </c>
      <c r="AX397" s="123">
        <f>SUM(AX398:AX402)</f>
        <v>0</v>
      </c>
      <c r="AY397" s="123">
        <f>VLOOKUP($C397,'1 预算编制表单'!$C:$BJ,54,FALSE)</f>
        <v>12981.25</v>
      </c>
      <c r="AZ397" s="123">
        <f>AY397-BA397</f>
        <v>12981.25</v>
      </c>
      <c r="BA397" s="123">
        <f>SUM(BA398:BA402)</f>
        <v>0</v>
      </c>
      <c r="BB397" s="123">
        <f>VLOOKUP($C397,'1 预算编制表单'!$C:$BJ,57,FALSE)</f>
        <v>12981.25</v>
      </c>
      <c r="BC397" s="123">
        <f>BB397-BD397</f>
        <v>12981.25</v>
      </c>
      <c r="BD397" s="123">
        <f>SUM(BD398:BD402)</f>
        <v>0</v>
      </c>
      <c r="BE397" s="123">
        <f>VLOOKUP($C397,'1 预算编制表单'!$C:$BJ,60,FALSE)</f>
        <v>12981.25</v>
      </c>
      <c r="BF397" s="123">
        <f>BE397-BG397</f>
        <v>12981.25</v>
      </c>
      <c r="BG397" s="123">
        <f>SUM(BG398:BG402)</f>
        <v>0</v>
      </c>
      <c r="BH397" s="123">
        <f>VLOOKUP($C397,'1 预算编制表单'!$C:$BJ,27,FALSE)</f>
        <v>12981.25</v>
      </c>
      <c r="BI397" s="123">
        <f>BH397-BJ397</f>
        <v>12981.25</v>
      </c>
      <c r="BJ397" s="123">
        <f>SUM(BJ398:BJ402)</f>
        <v>0</v>
      </c>
      <c r="BK397" s="123">
        <f>VLOOKUP($C397,'1 预算编制表单'!$C:$BJ,30,FALSE)</f>
        <v>12981.25</v>
      </c>
      <c r="BL397" s="123">
        <f>BK397-BM397</f>
        <v>12981.25</v>
      </c>
      <c r="BM397" s="123">
        <f>SUM(BM398:BM402)</f>
        <v>0</v>
      </c>
      <c r="BN397" s="123">
        <f>VLOOKUP($C397,'1 预算编制表单'!$C:$BJ,33,FALSE)</f>
        <v>12981.25</v>
      </c>
      <c r="BO397" s="123">
        <f>BN397-BP397</f>
        <v>12981.25</v>
      </c>
      <c r="BP397" s="123">
        <f>SUM(BP398:BP402)</f>
        <v>0</v>
      </c>
      <c r="BQ397" s="123">
        <f>VLOOKUP($C397,'1 预算编制表单'!$C:$BJ,36,FALSE)</f>
        <v>12981.25</v>
      </c>
      <c r="BR397" s="123">
        <f>BQ397-BS397</f>
        <v>12981.25</v>
      </c>
      <c r="BS397" s="123">
        <f>SUM(BS398:BS402)</f>
        <v>0</v>
      </c>
      <c r="BT397" s="123">
        <f>VLOOKUP($C397,'1 预算编制表单'!$C:$BJ,39,FALSE)</f>
        <v>12981.25</v>
      </c>
      <c r="BU397" s="123">
        <f>BT397-BV397</f>
        <v>12981.25</v>
      </c>
      <c r="BV397" s="123">
        <f>SUM(BV398:BV402)</f>
        <v>0</v>
      </c>
      <c r="BW397" s="123">
        <f>VLOOKUP($C397,'1 预算编制表单'!$C:$BJ,42,FALSE)</f>
        <v>12981.25</v>
      </c>
      <c r="BX397" s="123">
        <f>BW397-BY397</f>
        <v>12981.25</v>
      </c>
      <c r="BY397" s="123">
        <f>SUM(BY398:BY402)</f>
        <v>0</v>
      </c>
      <c r="BZ397" s="123">
        <f>VLOOKUP($C397,'1 预算编制表单'!$C:$BJ,45,FALSE)</f>
        <v>12981.25</v>
      </c>
      <c r="CA397" s="123">
        <f>BZ397-CB397</f>
        <v>12981.25</v>
      </c>
      <c r="CB397" s="123">
        <f>SUM(CB398:CB402)</f>
        <v>0</v>
      </c>
      <c r="CC397" s="123">
        <f>VLOOKUP($C397,'1 预算编制表单'!$C:$BJ,48,FALSE)</f>
        <v>12981.25</v>
      </c>
      <c r="CD397" s="123">
        <f>CC397-CE397</f>
        <v>12981.25</v>
      </c>
      <c r="CE397" s="123">
        <f>SUM(CE398:CE402)</f>
        <v>0</v>
      </c>
      <c r="CF397" s="123">
        <f>VLOOKUP($C397,'1 预算编制表单'!$C:$BJ,51,FALSE)</f>
        <v>12981.25</v>
      </c>
      <c r="CG397" s="123">
        <f>CF397-CH397</f>
        <v>12981.25</v>
      </c>
      <c r="CH397" s="123">
        <f>SUM(CH398:CH402)</f>
        <v>0</v>
      </c>
      <c r="CI397" s="123">
        <f>VLOOKUP($C397,'1 预算编制表单'!$C:$BJ,54,FALSE)</f>
        <v>12981.25</v>
      </c>
      <c r="CJ397" s="123">
        <f>CI397-CK397</f>
        <v>12981.25</v>
      </c>
      <c r="CK397" s="123">
        <f>SUM(CK398:CK402)</f>
        <v>0</v>
      </c>
      <c r="CL397" s="123">
        <f>VLOOKUP($C397,'1 预算编制表单'!$C:$BJ,57,FALSE)</f>
        <v>12981.25</v>
      </c>
      <c r="CM397" s="123">
        <f>CL397-CN397</f>
        <v>12981.25</v>
      </c>
      <c r="CN397" s="123">
        <f>SUM(CN398:CN402)</f>
        <v>0</v>
      </c>
      <c r="CO397" s="123">
        <f>VLOOKUP($C397,'1 预算编制表单'!$C:$BJ,60,FALSE)</f>
        <v>12981.25</v>
      </c>
      <c r="CP397" s="123">
        <f>CO397-CQ397</f>
        <v>12981.25</v>
      </c>
      <c r="CQ397" s="123">
        <f>SUM(CQ398:CQ402)</f>
        <v>0</v>
      </c>
    </row>
    <row r="398" s="89" customFormat="1" ht="24" hidden="1" customHeight="1" outlineLevel="3" spans="1:95">
      <c r="A398" s="128"/>
      <c r="B398" s="129"/>
      <c r="C398" s="130" t="s">
        <v>1366</v>
      </c>
      <c r="D398" s="128" t="s">
        <v>2838</v>
      </c>
      <c r="E398" s="129"/>
      <c r="F398" s="129"/>
      <c r="G398" s="129"/>
      <c r="H398" s="131"/>
      <c r="I398" s="131"/>
      <c r="J398" s="131">
        <f t="shared" si="4646"/>
        <v>20060</v>
      </c>
      <c r="K398" s="131">
        <v>1</v>
      </c>
      <c r="L398" s="161"/>
      <c r="M398" s="157">
        <f>IFERROR(VLOOKUP($L398,'2-2 引出数据_合同数据仓库'!$B$5:$BP$200,3,FALSE),0)</f>
        <v>0</v>
      </c>
      <c r="N398" s="131"/>
      <c r="O398" s="157">
        <f>IFERROR(VLOOKUP((LEFT(VLOOKUP($L398,'2-2 引出数据_合同数据仓库'!$B$5:$BP$200,64,FALSE),15)&amp;(RIGHT(VLOOKUP($L398,'2-2 引出数据_合同数据仓库'!$B$5:$BP$200,64,FALSE),4)+1)),'2-2 引出数据_合同数据仓库'!$B$5:$BP$200,3,FALSE),0)</f>
        <v>0</v>
      </c>
      <c r="P398" s="131"/>
      <c r="Q398" s="131">
        <f>IFERROR(VLOOKUP($L398,'2-2 引出数据_合同数据仓库'!$B$5:$BP$200,28,FALSE),0)</f>
        <v>0</v>
      </c>
      <c r="R398" s="131">
        <f>IFERROR(VLOOKUP($L398,'2-2 引出数据_合同数据仓库'!$B$5:$BP$200,29,FALSE),0)</f>
        <v>0</v>
      </c>
      <c r="S398" s="131">
        <f>IFERROR(VLOOKUP($L398,'2-2 引出数据_合同数据仓库'!$B$5:$BP$200,4,FALSE),0)</f>
        <v>0</v>
      </c>
      <c r="T398" s="131"/>
      <c r="U398" s="131">
        <f>IFERROR(VLOOKUP($L398,'2-2 引出数据_合同数据仓库'!$B$5:$BP$200,15,FALSE),0)</f>
        <v>0</v>
      </c>
      <c r="V398" s="131">
        <f t="shared" ref="V398:V401" si="4719">U398/(S398-R398+1)*365</f>
        <v>0</v>
      </c>
      <c r="W398" s="131"/>
      <c r="X398" s="164"/>
      <c r="Y398" s="164"/>
      <c r="Z398" s="140">
        <f>报销单计算表!B15</f>
        <v>0</v>
      </c>
      <c r="AA398" s="164"/>
      <c r="AB398" s="164"/>
      <c r="AC398" s="140">
        <f>报销单计算表!C15</f>
        <v>0</v>
      </c>
      <c r="AD398" s="164"/>
      <c r="AE398" s="164"/>
      <c r="AF398" s="140">
        <f>报销单计算表!D15</f>
        <v>10030</v>
      </c>
      <c r="AG398" s="164"/>
      <c r="AH398" s="164"/>
      <c r="AI398" s="140">
        <f>报销单计算表!E15</f>
        <v>10030</v>
      </c>
      <c r="AJ398" s="164"/>
      <c r="AK398" s="164"/>
      <c r="AL398" s="140">
        <f>报销单计算表!F15</f>
        <v>0</v>
      </c>
      <c r="AM398" s="164"/>
      <c r="AN398" s="164"/>
      <c r="AO398" s="140">
        <f>报销单计算表!G15</f>
        <v>0</v>
      </c>
      <c r="AP398" s="164"/>
      <c r="AQ398" s="164"/>
      <c r="AR398" s="140">
        <f>报销单计算表!H15</f>
        <v>0</v>
      </c>
      <c r="AS398" s="164"/>
      <c r="AT398" s="164"/>
      <c r="AU398" s="140">
        <f>报销单计算表!I15</f>
        <v>0</v>
      </c>
      <c r="AV398" s="164"/>
      <c r="AW398" s="164"/>
      <c r="AX398" s="140">
        <f>报销单计算表!J15</f>
        <v>0</v>
      </c>
      <c r="AY398" s="164"/>
      <c r="AZ398" s="164"/>
      <c r="BA398" s="140">
        <f>报销单计算表!K15</f>
        <v>0</v>
      </c>
      <c r="BB398" s="164"/>
      <c r="BC398" s="164"/>
      <c r="BD398" s="140">
        <f>报销单计算表!L15</f>
        <v>0</v>
      </c>
      <c r="BE398" s="164"/>
      <c r="BF398" s="164"/>
      <c r="BG398" s="140">
        <f>报销单计算表!M15</f>
        <v>0</v>
      </c>
      <c r="BH398" s="164"/>
      <c r="BI398" s="164"/>
      <c r="BJ398" s="140"/>
      <c r="BK398" s="164"/>
      <c r="BL398" s="164"/>
      <c r="BM398" s="140"/>
      <c r="BN398" s="164"/>
      <c r="BO398" s="164"/>
      <c r="BP398" s="140"/>
      <c r="BQ398" s="164"/>
      <c r="BR398" s="164"/>
      <c r="BS398" s="140"/>
      <c r="BT398" s="164"/>
      <c r="BU398" s="164"/>
      <c r="BV398" s="140"/>
      <c r="BW398" s="164"/>
      <c r="BX398" s="164"/>
      <c r="BY398" s="140"/>
      <c r="BZ398" s="164"/>
      <c r="CA398" s="164"/>
      <c r="CB398" s="140"/>
      <c r="CC398" s="164"/>
      <c r="CD398" s="164"/>
      <c r="CE398" s="140"/>
      <c r="CF398" s="164"/>
      <c r="CG398" s="164"/>
      <c r="CH398" s="140"/>
      <c r="CI398" s="164"/>
      <c r="CJ398" s="164"/>
      <c r="CK398" s="140"/>
      <c r="CL398" s="164"/>
      <c r="CM398" s="164"/>
      <c r="CN398" s="140"/>
      <c r="CO398" s="164"/>
      <c r="CP398" s="164"/>
      <c r="CQ398" s="140"/>
    </row>
    <row r="399" s="89" customFormat="1" ht="24" hidden="1" customHeight="1" outlineLevel="3" spans="1:95">
      <c r="A399" s="128"/>
      <c r="B399" s="129"/>
      <c r="C399" s="130"/>
      <c r="D399" s="128"/>
      <c r="E399" s="129"/>
      <c r="F399" s="129"/>
      <c r="G399" s="129"/>
      <c r="H399" s="131"/>
      <c r="I399" s="131"/>
      <c r="J399" s="131">
        <f t="shared" si="4646"/>
        <v>0</v>
      </c>
      <c r="K399" s="131">
        <f t="shared" ref="K399:K401" si="4720">K398+1</f>
        <v>2</v>
      </c>
      <c r="L399" s="156"/>
      <c r="M399" s="157">
        <f>IFERROR(VLOOKUP($L399,'2-2 引出数据_合同数据仓库'!$B$5:$BP$200,3,FALSE),0)</f>
        <v>0</v>
      </c>
      <c r="N399" s="131"/>
      <c r="O399" s="157">
        <f>IFERROR(VLOOKUP((LEFT(VLOOKUP($L399,'2-2 引出数据_合同数据仓库'!$B$5:$BP$200,64,FALSE),15)&amp;(RIGHT(VLOOKUP($L399,'2-2 引出数据_合同数据仓库'!$B$5:$BP$200,64,FALSE),4)+1)),'2-2 引出数据_合同数据仓库'!$B$5:$BP$200,3,FALSE),0)</f>
        <v>0</v>
      </c>
      <c r="P399" s="131"/>
      <c r="Q399" s="131">
        <f>IFERROR(VLOOKUP($L399,'2-2 引出数据_合同数据仓库'!$B$5:$BP$200,28,FALSE),0)</f>
        <v>0</v>
      </c>
      <c r="R399" s="131">
        <f>IFERROR(VLOOKUP($L399,'2-2 引出数据_合同数据仓库'!$B$5:$BP$200,29,FALSE),0)</f>
        <v>0</v>
      </c>
      <c r="S399" s="131">
        <f>IFERROR(VLOOKUP($L399,'2-2 引出数据_合同数据仓库'!$B$5:$BP$200,4,FALSE),0)</f>
        <v>0</v>
      </c>
      <c r="T399" s="131"/>
      <c r="U399" s="131">
        <f>IFERROR(VLOOKUP($L399,'2-2 引出数据_合同数据仓库'!$B$5:$BP$200,15,FALSE),0)</f>
        <v>0</v>
      </c>
      <c r="V399" s="131">
        <f t="shared" si="4719"/>
        <v>0</v>
      </c>
      <c r="W399" s="131"/>
      <c r="X399" s="163">
        <v>45658</v>
      </c>
      <c r="Y399" s="163">
        <f t="shared" ref="Y399:Y401" si="4721">X399+30</f>
        <v>45688</v>
      </c>
      <c r="Z399" s="167">
        <f t="shared" ref="Z399:Z401" si="4722">IFERROR(IF(($R399-Y399)&gt;=0,0,IF(($S399-X399)&lt;0,0,IF(AND(($S399-Y399)&gt;0,(X399-$R399)&gt;0),$V399/365*(Y399-X399+1),IF(AND(($S399-Y399)&lt;=0,(X399-$R399)&gt;0),$V399/365*($S399-X399+1),$V399/365*(Y399-$R399+1))))),0)</f>
        <v>0</v>
      </c>
      <c r="AA399" s="163">
        <f t="shared" ref="AA399:AA401" si="4723">Y399+1</f>
        <v>45689</v>
      </c>
      <c r="AB399" s="163">
        <f t="shared" ref="AB399:AB401" si="4724">AA399+27</f>
        <v>45716</v>
      </c>
      <c r="AC399" s="167">
        <f t="shared" ref="AC399:AC401" si="4725">IFERROR(IF(($R399-AB399)&gt;=0,0,IF(($S399-AA399)&lt;0,0,IF(AND(($S399-AB399)&gt;0,(AA399-$R399)&gt;0),$V399/365*(AB399-AA399+1),IF(AND(($S399-AB399)&lt;=0,(AA399-$R399)&gt;0),$V399/365*($S399-AA399+1),$V399/365*(AB399-$R399+1))))),0)</f>
        <v>0</v>
      </c>
      <c r="AD399" s="163">
        <f t="shared" ref="AD399:AD401" si="4726">AB399+1</f>
        <v>45717</v>
      </c>
      <c r="AE399" s="163">
        <f t="shared" ref="AE399:AE401" si="4727">AD399+30</f>
        <v>45747</v>
      </c>
      <c r="AF399" s="167">
        <f t="shared" ref="AF399:AF401" si="4728">IFERROR(IF(($R399-AE399)&gt;=0,0,IF(($S399-AD399)&lt;0,0,IF(AND(($S399-AE399)&gt;0,(AD399-$R399)&gt;0),$V399/365*(AE399-AD399+1),IF(AND(($S399-AE399)&lt;=0,(AD399-$R399)&gt;0),$V399/365*($S399-AD399+1),$V399/365*(AE399-$R399+1))))),0)</f>
        <v>0</v>
      </c>
      <c r="AG399" s="163">
        <f t="shared" ref="AG399:AG401" si="4729">AE399+1</f>
        <v>45748</v>
      </c>
      <c r="AH399" s="163">
        <f t="shared" ref="AH399:AH401" si="4730">AG399+29</f>
        <v>45777</v>
      </c>
      <c r="AI399" s="167">
        <f t="shared" ref="AI399:AI401" si="4731">IFERROR(IF(($R399-AH399)&gt;=0,0,IF(($S399-AG399)&lt;0,0,IF(AND(($S399-AH399)&gt;0,(AG399-$R399)&gt;0),$V399/365*(AH399-AG399+1),IF(AND(($S399-AH399)&lt;=0,(AG399-$R399)&gt;0),$V399/365*($S399-AG399+1),$V399/365*(AH399-$R399+1))))),0)</f>
        <v>0</v>
      </c>
      <c r="AJ399" s="163">
        <f t="shared" ref="AJ399:AJ401" si="4732">AH399+1</f>
        <v>45778</v>
      </c>
      <c r="AK399" s="163">
        <f t="shared" ref="AK399:AK401" si="4733">AJ399+30</f>
        <v>45808</v>
      </c>
      <c r="AL399" s="167">
        <f t="shared" ref="AL399:AL401" si="4734">IFERROR(IF(($R399-AK399)&gt;=0,0,IF(($S399-AJ399)&lt;0,0,IF(AND(($S399-AK399)&gt;0,(AJ399-$R399)&gt;0),$V399/365*(AK399-AJ399+1),IF(AND(($S399-AK399)&lt;=0,(AJ399-$R399)&gt;0),$V399/365*($S399-AJ399+1),$V399/365*(AK399-$R399+1))))),0)</f>
        <v>0</v>
      </c>
      <c r="AM399" s="163">
        <f t="shared" ref="AM399:AM401" si="4735">AK399+1</f>
        <v>45809</v>
      </c>
      <c r="AN399" s="163">
        <f t="shared" ref="AN399:AN401" si="4736">AM399+29</f>
        <v>45838</v>
      </c>
      <c r="AO399" s="167">
        <f t="shared" ref="AO399:AO401" si="4737">IFERROR(IF(($R399-AN399)&gt;=0,0,IF(($S399-AM399)&lt;0,0,IF(AND(($S399-AN399)&gt;0,(AM399-$R399)&gt;0),$V399/365*(AN399-AM399+1),IF(AND(($S399-AN399)&lt;=0,(AM399-$R399)&gt;0),$V399/365*($S399-AM399+1),$V399/365*(AN399-$R399+1))))),0)</f>
        <v>0</v>
      </c>
      <c r="AP399" s="163">
        <f t="shared" ref="AP399:AP401" si="4738">AN399+1</f>
        <v>45839</v>
      </c>
      <c r="AQ399" s="163">
        <f t="shared" ref="AQ399:AQ401" si="4739">AP399+30</f>
        <v>45869</v>
      </c>
      <c r="AR399" s="167">
        <f t="shared" ref="AR399:AR401" si="4740">IFERROR(IF(($R399-AQ399)&gt;=0,0,IF(($S399-AP399)&lt;0,0,IF(AND(($S399-AQ399)&gt;0,(AP399-$R399)&gt;0),$V399/365*(AQ399-AP399+1),IF(AND(($S399-AQ399)&lt;=0,(AP399-$R399)&gt;0),$V399/365*($S399-AP399+1),$V399/365*(AQ399-$R399+1))))),0)</f>
        <v>0</v>
      </c>
      <c r="AS399" s="163">
        <f t="shared" ref="AS399:AS401" si="4741">AQ399+1</f>
        <v>45870</v>
      </c>
      <c r="AT399" s="163">
        <f t="shared" ref="AT399:AT401" si="4742">AS399+30</f>
        <v>45900</v>
      </c>
      <c r="AU399" s="167">
        <f t="shared" ref="AU399:AU401" si="4743">IFERROR(IF(($R399-AT399)&gt;=0,0,IF(($S399-AS399)&lt;0,0,IF(AND(($S399-AT399)&gt;0,(AS399-$R399)&gt;0),$V399/365*(AT399-AS399+1),IF(AND(($S399-AT399)&lt;=0,(AS399-$R399)&gt;0),$V399/365*($S399-AS399+1),$V399/365*(AT399-$R399+1))))),0)</f>
        <v>0</v>
      </c>
      <c r="AV399" s="163">
        <f t="shared" ref="AV399:AV401" si="4744">AT399+1</f>
        <v>45901</v>
      </c>
      <c r="AW399" s="163">
        <f t="shared" ref="AW399:AW401" si="4745">AV399+29</f>
        <v>45930</v>
      </c>
      <c r="AX399" s="167">
        <f t="shared" ref="AX399:AX401" si="4746">IFERROR(IF(($R399-AW399)&gt;=0,0,IF(($S399-AV399)&lt;0,0,IF(AND(($S399-AW399)&gt;0,(AV399-$R399)&gt;0),$V399/365*(AW399-AV399+1),IF(AND(($S399-AW399)&lt;=0,(AV399-$R399)&gt;0),$V399/365*($S399-AV399+1),$V399/365*(AW399-$R399+1))))),0)</f>
        <v>0</v>
      </c>
      <c r="AY399" s="163">
        <f t="shared" ref="AY399:AY401" si="4747">AW399+1</f>
        <v>45931</v>
      </c>
      <c r="AZ399" s="163">
        <f t="shared" ref="AZ399:AZ401" si="4748">AY399+30</f>
        <v>45961</v>
      </c>
      <c r="BA399" s="167">
        <f t="shared" ref="BA399:BA401" si="4749">IFERROR(IF(($R399-AZ399)&gt;=0,0,IF(($S399-AY399)&lt;0,0,IF(AND(($S399-AZ399)&gt;0,(AY399-$R399)&gt;0),$V399/365*(AZ399-AY399+1),IF(AND(($S399-AZ399)&lt;=0,(AY399-$R399)&gt;0),$V399/365*($S399-AY399+1),$V399/365*(AZ399-$R399+1))))),0)</f>
        <v>0</v>
      </c>
      <c r="BB399" s="163">
        <f t="shared" ref="BB399:BB401" si="4750">AZ399+1</f>
        <v>45962</v>
      </c>
      <c r="BC399" s="163">
        <f t="shared" ref="BC399:BC401" si="4751">BB399+29</f>
        <v>45991</v>
      </c>
      <c r="BD399" s="167">
        <f t="shared" ref="BD399:BD401" si="4752">IFERROR(IF(($R399-BC399)&gt;=0,0,IF(($S399-BB399)&lt;0,0,IF(AND(($S399-BC399)&gt;0,(BB399-$R399)&gt;0),$V399/365*(BC399-BB399+1),IF(AND(($S399-BC399)&lt;=0,(BB399-$R399)&gt;0),$V399/365*($S399-BB399+1),$V399/365*(BC399-$R399+1))))),0)</f>
        <v>0</v>
      </c>
      <c r="BE399" s="163">
        <f t="shared" ref="BE399:BE401" si="4753">BC399+1</f>
        <v>45992</v>
      </c>
      <c r="BF399" s="163">
        <f t="shared" ref="BF399:BF401" si="4754">BE399+30</f>
        <v>46022</v>
      </c>
      <c r="BG399" s="167">
        <f t="shared" ref="BG399:BG401" si="4755">IFERROR(IF(($R399-BF399)&gt;=0,0,IF(($S399-BE399)&lt;0,0,IF(AND(($S399-BF399)&gt;0,(BE399-$R399)&gt;0),$V399/365*(BF399-BE399+1),IF(AND(($S399-BF399)&lt;=0,(BE399-$R399)&gt;0),$V399/365*($S399-BE399+1),$V399/365*(BF399-$R399+1))))),0)</f>
        <v>0</v>
      </c>
      <c r="BH399" s="163">
        <v>46023</v>
      </c>
      <c r="BI399" s="163">
        <f t="shared" ref="BI399:BI401" si="4756">BH399+30</f>
        <v>46053</v>
      </c>
      <c r="BJ399" s="167">
        <f t="shared" ref="BJ399:BJ401" si="4757">IFERROR(IF(($R399-BI399)&gt;=0,0,IF(($S399-BH399)&lt;0,0,IF(AND(($S399-BI399)&gt;0,(BH399-$R399)&gt;0),$V399/365*(BI399-BH399+1),IF(AND(($S399-BI399)&lt;=0,(BH399-$R399)&gt;0),$V399/365*($S399-BH399+1),$V399/365*(BI399-$R399+1))))),0)</f>
        <v>0</v>
      </c>
      <c r="BK399" s="163">
        <f t="shared" ref="BK399:BK401" si="4758">BI399+1</f>
        <v>46054</v>
      </c>
      <c r="BL399" s="163">
        <f t="shared" ref="BL399:BL401" si="4759">BK399+27</f>
        <v>46081</v>
      </c>
      <c r="BM399" s="167">
        <f t="shared" ref="BM399:BM401" si="4760">IFERROR(IF(($R399-BL399)&gt;=0,0,IF(($S399-BK399)&lt;0,0,IF(AND(($S399-BL399)&gt;0,(BK399-$R399)&gt;0),$V399/365*(BL399-BK399+1),IF(AND(($S399-BL399)&lt;=0,(BK399-$R399)&gt;0),$V399/365*($S399-BK399+1),$V399/365*(BL399-$R399+1))))),0)</f>
        <v>0</v>
      </c>
      <c r="BN399" s="163">
        <f t="shared" ref="BN399:BN401" si="4761">BL399+1</f>
        <v>46082</v>
      </c>
      <c r="BO399" s="163">
        <f t="shared" ref="BO399:BO401" si="4762">BN399+30</f>
        <v>46112</v>
      </c>
      <c r="BP399" s="167">
        <f t="shared" ref="BP399:BP401" si="4763">IFERROR(IF(($R399-BO399)&gt;=0,0,IF(($S399-BN399)&lt;0,0,IF(AND(($S399-BO399)&gt;0,(BN399-$R399)&gt;0),$V399/365*(BO399-BN399+1),IF(AND(($S399-BO399)&lt;=0,(BN399-$R399)&gt;0),$V399/365*($S399-BN399+1),$V399/365*(BO399-$R399+1))))),0)</f>
        <v>0</v>
      </c>
      <c r="BQ399" s="163">
        <f t="shared" ref="BQ399:BQ401" si="4764">BO399+1</f>
        <v>46113</v>
      </c>
      <c r="BR399" s="163">
        <f t="shared" ref="BR399:BR401" si="4765">BQ399+29</f>
        <v>46142</v>
      </c>
      <c r="BS399" s="167">
        <f t="shared" ref="BS399:BS401" si="4766">IFERROR(IF(($R399-BR399)&gt;=0,0,IF(($S399-BQ399)&lt;0,0,IF(AND(($S399-BR399)&gt;0,(BQ399-$R399)&gt;0),$V399/365*(BR399-BQ399+1),IF(AND(($S399-BR399)&lt;=0,(BQ399-$R399)&gt;0),$V399/365*($S399-BQ399+1),$V399/365*(BR399-$R399+1))))),0)</f>
        <v>0</v>
      </c>
      <c r="BT399" s="163">
        <f t="shared" ref="BT399:BT401" si="4767">BR399+1</f>
        <v>46143</v>
      </c>
      <c r="BU399" s="163">
        <f t="shared" ref="BU399:BU401" si="4768">BT399+30</f>
        <v>46173</v>
      </c>
      <c r="BV399" s="167">
        <f t="shared" ref="BV399:BV401" si="4769">IFERROR(IF(($R399-BU399)&gt;=0,0,IF(($S399-BT399)&lt;0,0,IF(AND(($S399-BU399)&gt;0,(BT399-$R399)&gt;0),$V399/365*(BU399-BT399+1),IF(AND(($S399-BU399)&lt;=0,(BT399-$R399)&gt;0),$V399/365*($S399-BT399+1),$V399/365*(BU399-$R399+1))))),0)</f>
        <v>0</v>
      </c>
      <c r="BW399" s="163">
        <f t="shared" ref="BW399:BW401" si="4770">BU399+1</f>
        <v>46174</v>
      </c>
      <c r="BX399" s="163">
        <f t="shared" ref="BX399:BX401" si="4771">BW399+29</f>
        <v>46203</v>
      </c>
      <c r="BY399" s="167">
        <f t="shared" ref="BY399:BY401" si="4772">IFERROR(IF(($R399-BX399)&gt;=0,0,IF(($S399-BW399)&lt;0,0,IF(AND(($S399-BX399)&gt;0,(BW399-$R399)&gt;0),$V399/365*(BX399-BW399+1),IF(AND(($S399-BX399)&lt;=0,(BW399-$R399)&gt;0),$V399/365*($S399-BW399+1),$V399/365*(BX399-$R399+1))))),0)</f>
        <v>0</v>
      </c>
      <c r="BZ399" s="163">
        <f t="shared" ref="BZ399:BZ401" si="4773">BX399+1</f>
        <v>46204</v>
      </c>
      <c r="CA399" s="163">
        <f t="shared" ref="CA399:CA401" si="4774">BZ399+30</f>
        <v>46234</v>
      </c>
      <c r="CB399" s="167">
        <f t="shared" ref="CB399:CB401" si="4775">IFERROR(IF(($R399-CA399)&gt;=0,0,IF(($S399-BZ399)&lt;0,0,IF(AND(($S399-CA399)&gt;0,(BZ399-$R399)&gt;0),$V399/365*(CA399-BZ399+1),IF(AND(($S399-CA399)&lt;=0,(BZ399-$R399)&gt;0),$V399/365*($S399-BZ399+1),$V399/365*(CA399-$R399+1))))),0)</f>
        <v>0</v>
      </c>
      <c r="CC399" s="163">
        <f t="shared" ref="CC399:CC401" si="4776">CA399+1</f>
        <v>46235</v>
      </c>
      <c r="CD399" s="163">
        <f t="shared" ref="CD399:CD401" si="4777">CC399+30</f>
        <v>46265</v>
      </c>
      <c r="CE399" s="167">
        <f t="shared" ref="CE399:CE401" si="4778">IFERROR(IF(($R399-CD399)&gt;=0,0,IF(($S399-CC399)&lt;0,0,IF(AND(($S399-CD399)&gt;0,(CC399-$R399)&gt;0),$V399/365*(CD399-CC399+1),IF(AND(($S399-CD399)&lt;=0,(CC399-$R399)&gt;0),$V399/365*($S399-CC399+1),$V399/365*(CD399-$R399+1))))),0)</f>
        <v>0</v>
      </c>
      <c r="CF399" s="163">
        <f t="shared" ref="CF399:CF401" si="4779">CD399+1</f>
        <v>46266</v>
      </c>
      <c r="CG399" s="163">
        <f t="shared" ref="CG399:CG401" si="4780">CF399+29</f>
        <v>46295</v>
      </c>
      <c r="CH399" s="167">
        <f t="shared" ref="CH399:CH401" si="4781">IFERROR(IF(($R399-CG399)&gt;=0,0,IF(($S399-CF399)&lt;0,0,IF(AND(($S399-CG399)&gt;0,(CF399-$R399)&gt;0),$V399/365*(CG399-CF399+1),IF(AND(($S399-CG399)&lt;=0,(CF399-$R399)&gt;0),$V399/365*($S399-CF399+1),$V399/365*(CG399-$R399+1))))),0)</f>
        <v>0</v>
      </c>
      <c r="CI399" s="163">
        <f t="shared" ref="CI399:CI401" si="4782">CG399+1</f>
        <v>46296</v>
      </c>
      <c r="CJ399" s="163">
        <f t="shared" ref="CJ399:CJ401" si="4783">CI399+30</f>
        <v>46326</v>
      </c>
      <c r="CK399" s="167">
        <f t="shared" ref="CK399:CK401" si="4784">IFERROR(IF(($R399-CJ399)&gt;=0,0,IF(($S399-CI399)&lt;0,0,IF(AND(($S399-CJ399)&gt;0,(CI399-$R399)&gt;0),$V399/365*(CJ399-CI399+1),IF(AND(($S399-CJ399)&lt;=0,(CI399-$R399)&gt;0),$V399/365*($S399-CI399+1),$V399/365*(CJ399-$R399+1))))),0)</f>
        <v>0</v>
      </c>
      <c r="CL399" s="163">
        <f t="shared" ref="CL399:CL401" si="4785">CJ399+1</f>
        <v>46327</v>
      </c>
      <c r="CM399" s="163">
        <f t="shared" ref="CM399:CM401" si="4786">CL399+29</f>
        <v>46356</v>
      </c>
      <c r="CN399" s="167">
        <f t="shared" ref="CN399:CN401" si="4787">IFERROR(IF(($R399-CM399)&gt;=0,0,IF(($S399-CL399)&lt;0,0,IF(AND(($S399-CM399)&gt;0,(CL399-$R399)&gt;0),$V399/365*(CM399-CL399+1),IF(AND(($S399-CM399)&lt;=0,(CL399-$R399)&gt;0),$V399/365*($S399-CL399+1),$V399/365*(CM399-$R399+1))))),0)</f>
        <v>0</v>
      </c>
      <c r="CO399" s="163">
        <f t="shared" ref="CO399:CO401" si="4788">CM399+1</f>
        <v>46357</v>
      </c>
      <c r="CP399" s="163">
        <f t="shared" ref="CP399:CP401" si="4789">CO399+30</f>
        <v>46387</v>
      </c>
      <c r="CQ399" s="167">
        <f t="shared" ref="CQ399:CQ401" si="4790">IFERROR(IF(($R399-CP399)&gt;=0,0,IF(($S399-CO399)&lt;0,0,IF(AND(($S399-CP399)&gt;0,(CO399-$R399)&gt;0),$V399/365*(CP399-CO399+1),IF(AND(($S399-CP399)&lt;=0,(CO399-$R399)&gt;0),$V399/365*($S399-CO399+1),$V399/365*(CP399-$R399+1))))),0)</f>
        <v>0</v>
      </c>
    </row>
    <row r="400" s="89" customFormat="1" ht="24" hidden="1" customHeight="1" outlineLevel="3" spans="1:95">
      <c r="A400" s="128"/>
      <c r="B400" s="129"/>
      <c r="C400" s="130"/>
      <c r="D400" s="128"/>
      <c r="E400" s="129"/>
      <c r="F400" s="129"/>
      <c r="G400" s="129"/>
      <c r="H400" s="131"/>
      <c r="I400" s="131"/>
      <c r="J400" s="131">
        <f t="shared" si="4646"/>
        <v>0</v>
      </c>
      <c r="K400" s="131">
        <f t="shared" si="4720"/>
        <v>3</v>
      </c>
      <c r="L400" s="156"/>
      <c r="M400" s="157">
        <f>IFERROR(VLOOKUP($L400,'2-2 引出数据_合同数据仓库'!$B$5:$BP$200,3,FALSE),0)</f>
        <v>0</v>
      </c>
      <c r="N400" s="131"/>
      <c r="O400" s="157">
        <f>IFERROR(VLOOKUP((LEFT(VLOOKUP($L400,'2-2 引出数据_合同数据仓库'!$B$5:$BP$200,64,FALSE),15)&amp;(RIGHT(VLOOKUP($L400,'2-2 引出数据_合同数据仓库'!$B$5:$BP$200,64,FALSE),4)+1)),'2-2 引出数据_合同数据仓库'!$B$5:$BP$200,3,FALSE),0)</f>
        <v>0</v>
      </c>
      <c r="P400" s="131"/>
      <c r="Q400" s="131">
        <f>IFERROR(VLOOKUP($L400,'2-2 引出数据_合同数据仓库'!$B$5:$BP$200,28,FALSE),0)</f>
        <v>0</v>
      </c>
      <c r="R400" s="131">
        <f>IFERROR(VLOOKUP($L400,'2-2 引出数据_合同数据仓库'!$B$5:$BP$200,29,FALSE),0)</f>
        <v>0</v>
      </c>
      <c r="S400" s="131">
        <f>IFERROR(VLOOKUP($L400,'2-2 引出数据_合同数据仓库'!$B$5:$BP$200,4,FALSE),0)</f>
        <v>0</v>
      </c>
      <c r="T400" s="131"/>
      <c r="U400" s="131">
        <f>IFERROR(VLOOKUP($L400,'2-2 引出数据_合同数据仓库'!$B$5:$BP$200,15,FALSE),0)</f>
        <v>0</v>
      </c>
      <c r="V400" s="131">
        <f t="shared" si="4719"/>
        <v>0</v>
      </c>
      <c r="W400" s="131"/>
      <c r="X400" s="163">
        <v>45658</v>
      </c>
      <c r="Y400" s="163">
        <f t="shared" si="4721"/>
        <v>45688</v>
      </c>
      <c r="Z400" s="167">
        <f t="shared" si="4722"/>
        <v>0</v>
      </c>
      <c r="AA400" s="163">
        <f t="shared" si="4723"/>
        <v>45689</v>
      </c>
      <c r="AB400" s="163">
        <f t="shared" si="4724"/>
        <v>45716</v>
      </c>
      <c r="AC400" s="167">
        <f t="shared" si="4725"/>
        <v>0</v>
      </c>
      <c r="AD400" s="163">
        <f t="shared" si="4726"/>
        <v>45717</v>
      </c>
      <c r="AE400" s="163">
        <f t="shared" si="4727"/>
        <v>45747</v>
      </c>
      <c r="AF400" s="167">
        <f t="shared" si="4728"/>
        <v>0</v>
      </c>
      <c r="AG400" s="163">
        <f t="shared" si="4729"/>
        <v>45748</v>
      </c>
      <c r="AH400" s="163">
        <f t="shared" si="4730"/>
        <v>45777</v>
      </c>
      <c r="AI400" s="167">
        <f t="shared" si="4731"/>
        <v>0</v>
      </c>
      <c r="AJ400" s="163">
        <f t="shared" si="4732"/>
        <v>45778</v>
      </c>
      <c r="AK400" s="163">
        <f t="shared" si="4733"/>
        <v>45808</v>
      </c>
      <c r="AL400" s="167">
        <f t="shared" si="4734"/>
        <v>0</v>
      </c>
      <c r="AM400" s="163">
        <f t="shared" si="4735"/>
        <v>45809</v>
      </c>
      <c r="AN400" s="163">
        <f t="shared" si="4736"/>
        <v>45838</v>
      </c>
      <c r="AO400" s="167">
        <f t="shared" si="4737"/>
        <v>0</v>
      </c>
      <c r="AP400" s="163">
        <f t="shared" si="4738"/>
        <v>45839</v>
      </c>
      <c r="AQ400" s="163">
        <f t="shared" si="4739"/>
        <v>45869</v>
      </c>
      <c r="AR400" s="167">
        <f t="shared" si="4740"/>
        <v>0</v>
      </c>
      <c r="AS400" s="163">
        <f t="shared" si="4741"/>
        <v>45870</v>
      </c>
      <c r="AT400" s="163">
        <f t="shared" si="4742"/>
        <v>45900</v>
      </c>
      <c r="AU400" s="167">
        <f t="shared" si="4743"/>
        <v>0</v>
      </c>
      <c r="AV400" s="163">
        <f t="shared" si="4744"/>
        <v>45901</v>
      </c>
      <c r="AW400" s="163">
        <f t="shared" si="4745"/>
        <v>45930</v>
      </c>
      <c r="AX400" s="167">
        <f t="shared" si="4746"/>
        <v>0</v>
      </c>
      <c r="AY400" s="163">
        <f t="shared" si="4747"/>
        <v>45931</v>
      </c>
      <c r="AZ400" s="163">
        <f t="shared" si="4748"/>
        <v>45961</v>
      </c>
      <c r="BA400" s="167">
        <f t="shared" si="4749"/>
        <v>0</v>
      </c>
      <c r="BB400" s="163">
        <f t="shared" si="4750"/>
        <v>45962</v>
      </c>
      <c r="BC400" s="163">
        <f t="shared" si="4751"/>
        <v>45991</v>
      </c>
      <c r="BD400" s="167">
        <f t="shared" si="4752"/>
        <v>0</v>
      </c>
      <c r="BE400" s="163">
        <f t="shared" si="4753"/>
        <v>45992</v>
      </c>
      <c r="BF400" s="163">
        <f t="shared" si="4754"/>
        <v>46022</v>
      </c>
      <c r="BG400" s="167">
        <f t="shared" si="4755"/>
        <v>0</v>
      </c>
      <c r="BH400" s="163">
        <v>46023</v>
      </c>
      <c r="BI400" s="163">
        <f t="shared" si="4756"/>
        <v>46053</v>
      </c>
      <c r="BJ400" s="167">
        <f t="shared" si="4757"/>
        <v>0</v>
      </c>
      <c r="BK400" s="163">
        <f t="shared" si="4758"/>
        <v>46054</v>
      </c>
      <c r="BL400" s="163">
        <f t="shared" si="4759"/>
        <v>46081</v>
      </c>
      <c r="BM400" s="167">
        <f t="shared" si="4760"/>
        <v>0</v>
      </c>
      <c r="BN400" s="163">
        <f t="shared" si="4761"/>
        <v>46082</v>
      </c>
      <c r="BO400" s="163">
        <f t="shared" si="4762"/>
        <v>46112</v>
      </c>
      <c r="BP400" s="167">
        <f t="shared" si="4763"/>
        <v>0</v>
      </c>
      <c r="BQ400" s="163">
        <f t="shared" si="4764"/>
        <v>46113</v>
      </c>
      <c r="BR400" s="163">
        <f t="shared" si="4765"/>
        <v>46142</v>
      </c>
      <c r="BS400" s="167">
        <f t="shared" si="4766"/>
        <v>0</v>
      </c>
      <c r="BT400" s="163">
        <f t="shared" si="4767"/>
        <v>46143</v>
      </c>
      <c r="BU400" s="163">
        <f t="shared" si="4768"/>
        <v>46173</v>
      </c>
      <c r="BV400" s="167">
        <f t="shared" si="4769"/>
        <v>0</v>
      </c>
      <c r="BW400" s="163">
        <f t="shared" si="4770"/>
        <v>46174</v>
      </c>
      <c r="BX400" s="163">
        <f t="shared" si="4771"/>
        <v>46203</v>
      </c>
      <c r="BY400" s="167">
        <f t="shared" si="4772"/>
        <v>0</v>
      </c>
      <c r="BZ400" s="163">
        <f t="shared" si="4773"/>
        <v>46204</v>
      </c>
      <c r="CA400" s="163">
        <f t="shared" si="4774"/>
        <v>46234</v>
      </c>
      <c r="CB400" s="167">
        <f t="shared" si="4775"/>
        <v>0</v>
      </c>
      <c r="CC400" s="163">
        <f t="shared" si="4776"/>
        <v>46235</v>
      </c>
      <c r="CD400" s="163">
        <f t="shared" si="4777"/>
        <v>46265</v>
      </c>
      <c r="CE400" s="167">
        <f t="shared" si="4778"/>
        <v>0</v>
      </c>
      <c r="CF400" s="163">
        <f t="shared" si="4779"/>
        <v>46266</v>
      </c>
      <c r="CG400" s="163">
        <f t="shared" si="4780"/>
        <v>46295</v>
      </c>
      <c r="CH400" s="167">
        <f t="shared" si="4781"/>
        <v>0</v>
      </c>
      <c r="CI400" s="163">
        <f t="shared" si="4782"/>
        <v>46296</v>
      </c>
      <c r="CJ400" s="163">
        <f t="shared" si="4783"/>
        <v>46326</v>
      </c>
      <c r="CK400" s="167">
        <f t="shared" si="4784"/>
        <v>0</v>
      </c>
      <c r="CL400" s="163">
        <f t="shared" si="4785"/>
        <v>46327</v>
      </c>
      <c r="CM400" s="163">
        <f t="shared" si="4786"/>
        <v>46356</v>
      </c>
      <c r="CN400" s="167">
        <f t="shared" si="4787"/>
        <v>0</v>
      </c>
      <c r="CO400" s="163">
        <f t="shared" si="4788"/>
        <v>46357</v>
      </c>
      <c r="CP400" s="163">
        <f t="shared" si="4789"/>
        <v>46387</v>
      </c>
      <c r="CQ400" s="167">
        <f t="shared" si="4790"/>
        <v>0</v>
      </c>
    </row>
    <row r="401" s="89" customFormat="1" ht="24" hidden="1" customHeight="1" outlineLevel="3" collapsed="1" spans="1:95">
      <c r="A401" s="128"/>
      <c r="B401" s="129"/>
      <c r="C401" s="130"/>
      <c r="D401" s="128"/>
      <c r="E401" s="129"/>
      <c r="F401" s="129"/>
      <c r="G401" s="129"/>
      <c r="H401" s="131"/>
      <c r="I401" s="131"/>
      <c r="J401" s="131">
        <f t="shared" si="4646"/>
        <v>0</v>
      </c>
      <c r="K401" s="131">
        <f t="shared" si="4720"/>
        <v>4</v>
      </c>
      <c r="L401" s="156"/>
      <c r="M401" s="157">
        <f>IFERROR(VLOOKUP($L401,'2-2 引出数据_合同数据仓库'!$B$5:$BP$200,3,FALSE),0)</f>
        <v>0</v>
      </c>
      <c r="N401" s="131"/>
      <c r="O401" s="157">
        <f>IFERROR(VLOOKUP((LEFT(VLOOKUP($L401,'2-2 引出数据_合同数据仓库'!$B$5:$BP$200,64,FALSE),15)&amp;(RIGHT(VLOOKUP($L401,'2-2 引出数据_合同数据仓库'!$B$5:$BP$200,64,FALSE),4)+1)),'2-2 引出数据_合同数据仓库'!$B$5:$BP$200,3,FALSE),0)</f>
        <v>0</v>
      </c>
      <c r="P401" s="131"/>
      <c r="Q401" s="131">
        <f>IFERROR(VLOOKUP($L401,'2-2 引出数据_合同数据仓库'!$B$5:$BP$200,28,FALSE),0)</f>
        <v>0</v>
      </c>
      <c r="R401" s="131">
        <f>IFERROR(VLOOKUP($L401,'2-2 引出数据_合同数据仓库'!$B$5:$BP$200,29,FALSE),0)</f>
        <v>0</v>
      </c>
      <c r="S401" s="131">
        <f>IFERROR(VLOOKUP($L401,'2-2 引出数据_合同数据仓库'!$B$5:$BP$200,4,FALSE),0)</f>
        <v>0</v>
      </c>
      <c r="T401" s="131"/>
      <c r="U401" s="131">
        <f>IFERROR(VLOOKUP($L401,'2-2 引出数据_合同数据仓库'!$B$5:$BP$200,15,FALSE),0)</f>
        <v>0</v>
      </c>
      <c r="V401" s="131">
        <f t="shared" si="4719"/>
        <v>0</v>
      </c>
      <c r="W401" s="131"/>
      <c r="X401" s="163">
        <v>45658</v>
      </c>
      <c r="Y401" s="163">
        <f t="shared" si="4721"/>
        <v>45688</v>
      </c>
      <c r="Z401" s="167">
        <f t="shared" si="4722"/>
        <v>0</v>
      </c>
      <c r="AA401" s="163">
        <f t="shared" si="4723"/>
        <v>45689</v>
      </c>
      <c r="AB401" s="163">
        <f t="shared" si="4724"/>
        <v>45716</v>
      </c>
      <c r="AC401" s="167">
        <f t="shared" si="4725"/>
        <v>0</v>
      </c>
      <c r="AD401" s="163">
        <f t="shared" si="4726"/>
        <v>45717</v>
      </c>
      <c r="AE401" s="163">
        <f t="shared" si="4727"/>
        <v>45747</v>
      </c>
      <c r="AF401" s="167">
        <f t="shared" si="4728"/>
        <v>0</v>
      </c>
      <c r="AG401" s="163">
        <f t="shared" si="4729"/>
        <v>45748</v>
      </c>
      <c r="AH401" s="163">
        <f t="shared" si="4730"/>
        <v>45777</v>
      </c>
      <c r="AI401" s="167">
        <f t="shared" si="4731"/>
        <v>0</v>
      </c>
      <c r="AJ401" s="163">
        <f t="shared" si="4732"/>
        <v>45778</v>
      </c>
      <c r="AK401" s="163">
        <f t="shared" si="4733"/>
        <v>45808</v>
      </c>
      <c r="AL401" s="167">
        <f t="shared" si="4734"/>
        <v>0</v>
      </c>
      <c r="AM401" s="163">
        <f t="shared" si="4735"/>
        <v>45809</v>
      </c>
      <c r="AN401" s="163">
        <f t="shared" si="4736"/>
        <v>45838</v>
      </c>
      <c r="AO401" s="167">
        <f t="shared" si="4737"/>
        <v>0</v>
      </c>
      <c r="AP401" s="163">
        <f t="shared" si="4738"/>
        <v>45839</v>
      </c>
      <c r="AQ401" s="163">
        <f t="shared" si="4739"/>
        <v>45869</v>
      </c>
      <c r="AR401" s="167">
        <f t="shared" si="4740"/>
        <v>0</v>
      </c>
      <c r="AS401" s="163">
        <f t="shared" si="4741"/>
        <v>45870</v>
      </c>
      <c r="AT401" s="163">
        <f t="shared" si="4742"/>
        <v>45900</v>
      </c>
      <c r="AU401" s="167">
        <f t="shared" si="4743"/>
        <v>0</v>
      </c>
      <c r="AV401" s="163">
        <f t="shared" si="4744"/>
        <v>45901</v>
      </c>
      <c r="AW401" s="163">
        <f t="shared" si="4745"/>
        <v>45930</v>
      </c>
      <c r="AX401" s="167">
        <f t="shared" si="4746"/>
        <v>0</v>
      </c>
      <c r="AY401" s="163">
        <f t="shared" si="4747"/>
        <v>45931</v>
      </c>
      <c r="AZ401" s="163">
        <f t="shared" si="4748"/>
        <v>45961</v>
      </c>
      <c r="BA401" s="167">
        <f t="shared" si="4749"/>
        <v>0</v>
      </c>
      <c r="BB401" s="163">
        <f t="shared" si="4750"/>
        <v>45962</v>
      </c>
      <c r="BC401" s="163">
        <f t="shared" si="4751"/>
        <v>45991</v>
      </c>
      <c r="BD401" s="167">
        <f t="shared" si="4752"/>
        <v>0</v>
      </c>
      <c r="BE401" s="163">
        <f t="shared" si="4753"/>
        <v>45992</v>
      </c>
      <c r="BF401" s="163">
        <f t="shared" si="4754"/>
        <v>46022</v>
      </c>
      <c r="BG401" s="167">
        <f t="shared" si="4755"/>
        <v>0</v>
      </c>
      <c r="BH401" s="163">
        <v>46023</v>
      </c>
      <c r="BI401" s="163">
        <f t="shared" si="4756"/>
        <v>46053</v>
      </c>
      <c r="BJ401" s="167">
        <f t="shared" si="4757"/>
        <v>0</v>
      </c>
      <c r="BK401" s="163">
        <f t="shared" si="4758"/>
        <v>46054</v>
      </c>
      <c r="BL401" s="163">
        <f t="shared" si="4759"/>
        <v>46081</v>
      </c>
      <c r="BM401" s="167">
        <f t="shared" si="4760"/>
        <v>0</v>
      </c>
      <c r="BN401" s="163">
        <f t="shared" si="4761"/>
        <v>46082</v>
      </c>
      <c r="BO401" s="163">
        <f t="shared" si="4762"/>
        <v>46112</v>
      </c>
      <c r="BP401" s="167">
        <f t="shared" si="4763"/>
        <v>0</v>
      </c>
      <c r="BQ401" s="163">
        <f t="shared" si="4764"/>
        <v>46113</v>
      </c>
      <c r="BR401" s="163">
        <f t="shared" si="4765"/>
        <v>46142</v>
      </c>
      <c r="BS401" s="167">
        <f t="shared" si="4766"/>
        <v>0</v>
      </c>
      <c r="BT401" s="163">
        <f t="shared" si="4767"/>
        <v>46143</v>
      </c>
      <c r="BU401" s="163">
        <f t="shared" si="4768"/>
        <v>46173</v>
      </c>
      <c r="BV401" s="167">
        <f t="shared" si="4769"/>
        <v>0</v>
      </c>
      <c r="BW401" s="163">
        <f t="shared" si="4770"/>
        <v>46174</v>
      </c>
      <c r="BX401" s="163">
        <f t="shared" si="4771"/>
        <v>46203</v>
      </c>
      <c r="BY401" s="167">
        <f t="shared" si="4772"/>
        <v>0</v>
      </c>
      <c r="BZ401" s="163">
        <f t="shared" si="4773"/>
        <v>46204</v>
      </c>
      <c r="CA401" s="163">
        <f t="shared" si="4774"/>
        <v>46234</v>
      </c>
      <c r="CB401" s="167">
        <f t="shared" si="4775"/>
        <v>0</v>
      </c>
      <c r="CC401" s="163">
        <f t="shared" si="4776"/>
        <v>46235</v>
      </c>
      <c r="CD401" s="163">
        <f t="shared" si="4777"/>
        <v>46265</v>
      </c>
      <c r="CE401" s="167">
        <f t="shared" si="4778"/>
        <v>0</v>
      </c>
      <c r="CF401" s="163">
        <f t="shared" si="4779"/>
        <v>46266</v>
      </c>
      <c r="CG401" s="163">
        <f t="shared" si="4780"/>
        <v>46295</v>
      </c>
      <c r="CH401" s="167">
        <f t="shared" si="4781"/>
        <v>0</v>
      </c>
      <c r="CI401" s="163">
        <f t="shared" si="4782"/>
        <v>46296</v>
      </c>
      <c r="CJ401" s="163">
        <f t="shared" si="4783"/>
        <v>46326</v>
      </c>
      <c r="CK401" s="167">
        <f t="shared" si="4784"/>
        <v>0</v>
      </c>
      <c r="CL401" s="163">
        <f t="shared" si="4785"/>
        <v>46327</v>
      </c>
      <c r="CM401" s="163">
        <f t="shared" si="4786"/>
        <v>46356</v>
      </c>
      <c r="CN401" s="167">
        <f t="shared" si="4787"/>
        <v>0</v>
      </c>
      <c r="CO401" s="163">
        <f t="shared" si="4788"/>
        <v>46357</v>
      </c>
      <c r="CP401" s="163">
        <f t="shared" si="4789"/>
        <v>46387</v>
      </c>
      <c r="CQ401" s="167">
        <f t="shared" si="4790"/>
        <v>0</v>
      </c>
    </row>
    <row r="402" s="89" customFormat="1" ht="24" hidden="1" customHeight="1" outlineLevel="4" spans="1:95">
      <c r="A402" s="132" t="s">
        <v>2813</v>
      </c>
      <c r="B402" s="133"/>
      <c r="C402" s="133"/>
      <c r="D402" s="133"/>
      <c r="E402" s="133"/>
      <c r="F402" s="133"/>
      <c r="G402" s="134"/>
      <c r="H402" s="135"/>
      <c r="I402" s="135"/>
      <c r="J402" s="135"/>
      <c r="K402" s="135"/>
      <c r="L402" s="158"/>
      <c r="M402" s="158"/>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c r="CL402" s="135"/>
      <c r="CM402" s="135"/>
      <c r="CN402" s="135"/>
      <c r="CO402" s="135"/>
      <c r="CP402" s="135"/>
      <c r="CQ402" s="135"/>
    </row>
    <row r="403" ht="24" customHeight="1" outlineLevel="2" collapsed="1" spans="1:95">
      <c r="A403" s="43"/>
      <c r="B403" s="121" t="s">
        <v>787</v>
      </c>
      <c r="C403" s="122" t="s">
        <v>1400</v>
      </c>
      <c r="D403" s="43" t="s">
        <v>1401</v>
      </c>
      <c r="E403" s="121"/>
      <c r="F403" s="121"/>
      <c r="G403" s="121"/>
      <c r="H403" s="123">
        <f>X403+AA403+AD403+AG403+AJ403+AM403+AP403+AS403+AV403+AY403+BB403+BE403</f>
        <v>0</v>
      </c>
      <c r="I403" s="123">
        <f>Y403+AB403+AE403+AH403+AK403+AN403+AQ403+AT403+AW403+AZ403+BC403+BF403</f>
        <v>0</v>
      </c>
      <c r="J403" s="123">
        <f t="shared" si="4646"/>
        <v>0</v>
      </c>
      <c r="K403" s="123"/>
      <c r="L403" s="154"/>
      <c r="M403" s="154"/>
      <c r="N403" s="123"/>
      <c r="O403" s="123"/>
      <c r="P403" s="123"/>
      <c r="Q403" s="123"/>
      <c r="R403" s="123"/>
      <c r="S403" s="123"/>
      <c r="T403" s="123"/>
      <c r="U403" s="123"/>
      <c r="V403" s="123"/>
      <c r="W403" s="123"/>
      <c r="X403" s="123">
        <f>VLOOKUP($C403,'1 预算编制表单'!$C:$BJ,27,FALSE)</f>
        <v>0</v>
      </c>
      <c r="Y403" s="123">
        <f>X403-Z403</f>
        <v>0</v>
      </c>
      <c r="Z403" s="123">
        <f>Z404+Z410+Z416</f>
        <v>0</v>
      </c>
      <c r="AA403" s="123">
        <f>VLOOKUP($C403,'1 预算编制表单'!$C:$BJ,30,FALSE)</f>
        <v>0</v>
      </c>
      <c r="AB403" s="123">
        <f>AA403-AC403</f>
        <v>0</v>
      </c>
      <c r="AC403" s="123">
        <f>AC404+AC410+AC416</f>
        <v>0</v>
      </c>
      <c r="AD403" s="123">
        <f>VLOOKUP($C403,'1 预算编制表单'!$C:$BJ,33,FALSE)</f>
        <v>0</v>
      </c>
      <c r="AE403" s="123">
        <f>AD403-AF403</f>
        <v>0</v>
      </c>
      <c r="AF403" s="123">
        <f>AF404+AF410+AF416</f>
        <v>0</v>
      </c>
      <c r="AG403" s="123">
        <f>VLOOKUP($C403,'1 预算编制表单'!$C:$BJ,36,FALSE)</f>
        <v>0</v>
      </c>
      <c r="AH403" s="123">
        <f>AG403-AI403</f>
        <v>0</v>
      </c>
      <c r="AI403" s="123">
        <f>AI404+AI410+AI416</f>
        <v>0</v>
      </c>
      <c r="AJ403" s="123">
        <f>VLOOKUP($C403,'1 预算编制表单'!$C:$BJ,39,FALSE)</f>
        <v>0</v>
      </c>
      <c r="AK403" s="123">
        <f>AJ403-AL403</f>
        <v>0</v>
      </c>
      <c r="AL403" s="123">
        <f>AL404+AL410+AL416</f>
        <v>0</v>
      </c>
      <c r="AM403" s="123">
        <f>VLOOKUP($C403,'1 预算编制表单'!$C:$BJ,42,FALSE)</f>
        <v>0</v>
      </c>
      <c r="AN403" s="123">
        <f>AM403-AO403</f>
        <v>0</v>
      </c>
      <c r="AO403" s="123">
        <f>AO404+AO410+AO416</f>
        <v>0</v>
      </c>
      <c r="AP403" s="123">
        <f>VLOOKUP($C403,'1 预算编制表单'!$C:$BJ,45,FALSE)</f>
        <v>0</v>
      </c>
      <c r="AQ403" s="123">
        <f>AP403-AR403</f>
        <v>0</v>
      </c>
      <c r="AR403" s="123">
        <f>AR404+AR410+AR416</f>
        <v>0</v>
      </c>
      <c r="AS403" s="123">
        <f>VLOOKUP($C403,'1 预算编制表单'!$C:$BJ,48,FALSE)</f>
        <v>0</v>
      </c>
      <c r="AT403" s="123">
        <f>AS403-AU403</f>
        <v>0</v>
      </c>
      <c r="AU403" s="123">
        <f>AU404+AU410+AU416</f>
        <v>0</v>
      </c>
      <c r="AV403" s="123">
        <f>VLOOKUP($C403,'1 预算编制表单'!$C:$BJ,51,FALSE)</f>
        <v>0</v>
      </c>
      <c r="AW403" s="123">
        <f>AV403-AX403</f>
        <v>0</v>
      </c>
      <c r="AX403" s="123">
        <f>AX404+AX410+AX416</f>
        <v>0</v>
      </c>
      <c r="AY403" s="123">
        <f>VLOOKUP($C403,'1 预算编制表单'!$C:$BJ,54,FALSE)</f>
        <v>0</v>
      </c>
      <c r="AZ403" s="123">
        <f>AY403-BA403</f>
        <v>0</v>
      </c>
      <c r="BA403" s="123">
        <f>BA404+BA410+BA416</f>
        <v>0</v>
      </c>
      <c r="BB403" s="123">
        <f>VLOOKUP($C403,'1 预算编制表单'!$C:$BJ,57,FALSE)</f>
        <v>0</v>
      </c>
      <c r="BC403" s="123">
        <f>BB403-BD403</f>
        <v>0</v>
      </c>
      <c r="BD403" s="123">
        <f>BD404+BD410+BD416</f>
        <v>0</v>
      </c>
      <c r="BE403" s="123">
        <f>VLOOKUP($C403,'1 预算编制表单'!$C:$BJ,60,FALSE)</f>
        <v>0</v>
      </c>
      <c r="BF403" s="123">
        <f>BE403-BG403</f>
        <v>0</v>
      </c>
      <c r="BG403" s="123">
        <f>BG404+BG410+BG416</f>
        <v>0</v>
      </c>
      <c r="BH403" s="123">
        <f>VLOOKUP($C403,'1 预算编制表单'!$C:$BJ,27,FALSE)</f>
        <v>0</v>
      </c>
      <c r="BI403" s="123">
        <f>BH403-BJ403</f>
        <v>0</v>
      </c>
      <c r="BJ403" s="123">
        <f>BJ404+BJ410+BJ416</f>
        <v>0</v>
      </c>
      <c r="BK403" s="123">
        <f>VLOOKUP($C403,'1 预算编制表单'!$C:$BJ,30,FALSE)</f>
        <v>0</v>
      </c>
      <c r="BL403" s="123">
        <f>BK403-BM403</f>
        <v>0</v>
      </c>
      <c r="BM403" s="123">
        <f>BM404+BM410+BM416</f>
        <v>0</v>
      </c>
      <c r="BN403" s="123">
        <f>VLOOKUP($C403,'1 预算编制表单'!$C:$BJ,33,FALSE)</f>
        <v>0</v>
      </c>
      <c r="BO403" s="123">
        <f>BN403-BP403</f>
        <v>0</v>
      </c>
      <c r="BP403" s="123">
        <f>BP404+BP410+BP416</f>
        <v>0</v>
      </c>
      <c r="BQ403" s="123">
        <f>VLOOKUP($C403,'1 预算编制表单'!$C:$BJ,36,FALSE)</f>
        <v>0</v>
      </c>
      <c r="BR403" s="123">
        <f>BQ403-BS403</f>
        <v>0</v>
      </c>
      <c r="BS403" s="123">
        <f>BS404+BS410+BS416</f>
        <v>0</v>
      </c>
      <c r="BT403" s="123">
        <f>VLOOKUP($C403,'1 预算编制表单'!$C:$BJ,39,FALSE)</f>
        <v>0</v>
      </c>
      <c r="BU403" s="123">
        <f>BT403-BV403</f>
        <v>0</v>
      </c>
      <c r="BV403" s="123">
        <f>BV404+BV410+BV416</f>
        <v>0</v>
      </c>
      <c r="BW403" s="123">
        <f>VLOOKUP($C403,'1 预算编制表单'!$C:$BJ,42,FALSE)</f>
        <v>0</v>
      </c>
      <c r="BX403" s="123">
        <f>BW403-BY403</f>
        <v>0</v>
      </c>
      <c r="BY403" s="123">
        <f>BY404+BY410+BY416</f>
        <v>0</v>
      </c>
      <c r="BZ403" s="123">
        <f>VLOOKUP($C403,'1 预算编制表单'!$C:$BJ,45,FALSE)</f>
        <v>0</v>
      </c>
      <c r="CA403" s="123">
        <f>BZ403-CB403</f>
        <v>0</v>
      </c>
      <c r="CB403" s="123">
        <f>CB404+CB410+CB416</f>
        <v>0</v>
      </c>
      <c r="CC403" s="123">
        <f>VLOOKUP($C403,'1 预算编制表单'!$C:$BJ,48,FALSE)</f>
        <v>0</v>
      </c>
      <c r="CD403" s="123">
        <f>CC403-CE403</f>
        <v>0</v>
      </c>
      <c r="CE403" s="123">
        <f>CE404+CE410+CE416</f>
        <v>0</v>
      </c>
      <c r="CF403" s="123">
        <f>VLOOKUP($C403,'1 预算编制表单'!$C:$BJ,51,FALSE)</f>
        <v>0</v>
      </c>
      <c r="CG403" s="123">
        <f>CF403-CH403</f>
        <v>0</v>
      </c>
      <c r="CH403" s="123">
        <f>CH404+CH410+CH416</f>
        <v>0</v>
      </c>
      <c r="CI403" s="123">
        <f>VLOOKUP($C403,'1 预算编制表单'!$C:$BJ,54,FALSE)</f>
        <v>0</v>
      </c>
      <c r="CJ403" s="123">
        <f>CI403-CK403</f>
        <v>0</v>
      </c>
      <c r="CK403" s="123">
        <f>CK404+CK410+CK416</f>
        <v>0</v>
      </c>
      <c r="CL403" s="123">
        <f>VLOOKUP($C403,'1 预算编制表单'!$C:$BJ,57,FALSE)</f>
        <v>0</v>
      </c>
      <c r="CM403" s="123">
        <f>CL403-CN403</f>
        <v>0</v>
      </c>
      <c r="CN403" s="123">
        <f>CN404+CN410+CN416</f>
        <v>0</v>
      </c>
      <c r="CO403" s="123">
        <f>VLOOKUP($C403,'1 预算编制表单'!$C:$BJ,60,FALSE)</f>
        <v>0</v>
      </c>
      <c r="CP403" s="123">
        <f>CO403-CQ403</f>
        <v>0</v>
      </c>
      <c r="CQ403" s="123">
        <f>CQ404+CQ410+CQ416</f>
        <v>0</v>
      </c>
    </row>
    <row r="404" ht="24" hidden="1" customHeight="1" outlineLevel="3" collapsed="1" spans="1:95">
      <c r="A404" s="124"/>
      <c r="B404" s="125" t="s">
        <v>792</v>
      </c>
      <c r="C404" s="126" t="s">
        <v>1402</v>
      </c>
      <c r="D404" s="124" t="s">
        <v>1403</v>
      </c>
      <c r="E404" s="125" t="s">
        <v>1404</v>
      </c>
      <c r="F404" s="125"/>
      <c r="G404" s="125" t="s">
        <v>936</v>
      </c>
      <c r="H404" s="127">
        <f>X404+AA404+AD404+AG404+AJ404+AM404+AP404+AS404+AV404+AY404+BB404+BE404</f>
        <v>0</v>
      </c>
      <c r="I404" s="127">
        <f>Y404+AB404+AE404+AH404+AK404+AN404+AQ404+AT404+AW404+AZ404+BC404+BF404</f>
        <v>0</v>
      </c>
      <c r="J404" s="127">
        <f t="shared" si="4646"/>
        <v>0</v>
      </c>
      <c r="K404" s="127"/>
      <c r="L404" s="155"/>
      <c r="M404" s="155"/>
      <c r="N404" s="127"/>
      <c r="O404" s="127"/>
      <c r="P404" s="127"/>
      <c r="Q404" s="127"/>
      <c r="R404" s="127"/>
      <c r="S404" s="127"/>
      <c r="T404" s="127"/>
      <c r="U404" s="127"/>
      <c r="V404" s="127"/>
      <c r="W404" s="127"/>
      <c r="X404" s="127">
        <f>VLOOKUP($C404,'1 预算编制表单'!$C:$BJ,27,FALSE)</f>
        <v>0</v>
      </c>
      <c r="Y404" s="127">
        <f>X404-Z404</f>
        <v>0</v>
      </c>
      <c r="Z404" s="127">
        <f>SUM(Z405:Z409)</f>
        <v>0</v>
      </c>
      <c r="AA404" s="127">
        <f>VLOOKUP($C404,'1 预算编制表单'!$C:$BJ,30,FALSE)</f>
        <v>0</v>
      </c>
      <c r="AB404" s="127">
        <f>AA404-AC404</f>
        <v>0</v>
      </c>
      <c r="AC404" s="127">
        <f>SUM(AC405:AC409)</f>
        <v>0</v>
      </c>
      <c r="AD404" s="127">
        <f>VLOOKUP($C404,'1 预算编制表单'!$C:$BJ,33,FALSE)</f>
        <v>0</v>
      </c>
      <c r="AE404" s="127">
        <f>AD404-AF404</f>
        <v>0</v>
      </c>
      <c r="AF404" s="127">
        <f>SUM(AF405:AF409)</f>
        <v>0</v>
      </c>
      <c r="AG404" s="127">
        <f>VLOOKUP($C404,'1 预算编制表单'!$C:$BJ,36,FALSE)</f>
        <v>0</v>
      </c>
      <c r="AH404" s="127">
        <f>AG404-AI404</f>
        <v>0</v>
      </c>
      <c r="AI404" s="127">
        <f>SUM(AI405:AI409)</f>
        <v>0</v>
      </c>
      <c r="AJ404" s="127">
        <f>VLOOKUP($C404,'1 预算编制表单'!$C:$BJ,39,FALSE)</f>
        <v>0</v>
      </c>
      <c r="AK404" s="127">
        <f>AJ404-AL404</f>
        <v>0</v>
      </c>
      <c r="AL404" s="127">
        <f>SUM(AL405:AL409)</f>
        <v>0</v>
      </c>
      <c r="AM404" s="127">
        <f>VLOOKUP($C404,'1 预算编制表单'!$C:$BJ,42,FALSE)</f>
        <v>0</v>
      </c>
      <c r="AN404" s="127">
        <f>AM404-AO404</f>
        <v>0</v>
      </c>
      <c r="AO404" s="127">
        <f>SUM(AO405:AO409)</f>
        <v>0</v>
      </c>
      <c r="AP404" s="127">
        <f>VLOOKUP($C404,'1 预算编制表单'!$C:$BJ,45,FALSE)</f>
        <v>0</v>
      </c>
      <c r="AQ404" s="127">
        <f>AP404-AR404</f>
        <v>0</v>
      </c>
      <c r="AR404" s="127">
        <f>SUM(AR405:AR409)</f>
        <v>0</v>
      </c>
      <c r="AS404" s="127">
        <f>VLOOKUP($C404,'1 预算编制表单'!$C:$BJ,48,FALSE)</f>
        <v>0</v>
      </c>
      <c r="AT404" s="127">
        <f>AS404-AU404</f>
        <v>0</v>
      </c>
      <c r="AU404" s="127">
        <f>SUM(AU405:AU409)</f>
        <v>0</v>
      </c>
      <c r="AV404" s="127">
        <f>VLOOKUP($C404,'1 预算编制表单'!$C:$BJ,51,FALSE)</f>
        <v>0</v>
      </c>
      <c r="AW404" s="127">
        <f>AV404-AX404</f>
        <v>0</v>
      </c>
      <c r="AX404" s="127">
        <f>SUM(AX405:AX409)</f>
        <v>0</v>
      </c>
      <c r="AY404" s="127">
        <f>VLOOKUP($C404,'1 预算编制表单'!$C:$BJ,54,FALSE)</f>
        <v>0</v>
      </c>
      <c r="AZ404" s="127">
        <f>AY404-BA404</f>
        <v>0</v>
      </c>
      <c r="BA404" s="127">
        <f>SUM(BA405:BA409)</f>
        <v>0</v>
      </c>
      <c r="BB404" s="127">
        <f>VLOOKUP($C404,'1 预算编制表单'!$C:$BJ,57,FALSE)</f>
        <v>0</v>
      </c>
      <c r="BC404" s="127">
        <f>BB404-BD404</f>
        <v>0</v>
      </c>
      <c r="BD404" s="127">
        <f>SUM(BD405:BD409)</f>
        <v>0</v>
      </c>
      <c r="BE404" s="127">
        <f>VLOOKUP($C404,'1 预算编制表单'!$C:$BJ,60,FALSE)</f>
        <v>0</v>
      </c>
      <c r="BF404" s="127">
        <f>BE404-BG404</f>
        <v>0</v>
      </c>
      <c r="BG404" s="127">
        <f>SUM(BG405:BG409)</f>
        <v>0</v>
      </c>
      <c r="BH404" s="127">
        <f>VLOOKUP($C404,'1 预算编制表单'!$C:$BJ,27,FALSE)</f>
        <v>0</v>
      </c>
      <c r="BI404" s="127">
        <f>BH404-BJ404</f>
        <v>0</v>
      </c>
      <c r="BJ404" s="127">
        <f>SUM(BJ405:BJ409)</f>
        <v>0</v>
      </c>
      <c r="BK404" s="127">
        <f>VLOOKUP($C404,'1 预算编制表单'!$C:$BJ,30,FALSE)</f>
        <v>0</v>
      </c>
      <c r="BL404" s="127">
        <f>BK404-BM404</f>
        <v>0</v>
      </c>
      <c r="BM404" s="127">
        <f>SUM(BM405:BM409)</f>
        <v>0</v>
      </c>
      <c r="BN404" s="127">
        <f>VLOOKUP($C404,'1 预算编制表单'!$C:$BJ,33,FALSE)</f>
        <v>0</v>
      </c>
      <c r="BO404" s="127">
        <f>BN404-BP404</f>
        <v>0</v>
      </c>
      <c r="BP404" s="127">
        <f>SUM(BP405:BP409)</f>
        <v>0</v>
      </c>
      <c r="BQ404" s="127">
        <f>VLOOKUP($C404,'1 预算编制表单'!$C:$BJ,36,FALSE)</f>
        <v>0</v>
      </c>
      <c r="BR404" s="127">
        <f>BQ404-BS404</f>
        <v>0</v>
      </c>
      <c r="BS404" s="127">
        <f>SUM(BS405:BS409)</f>
        <v>0</v>
      </c>
      <c r="BT404" s="127">
        <f>VLOOKUP($C404,'1 预算编制表单'!$C:$BJ,39,FALSE)</f>
        <v>0</v>
      </c>
      <c r="BU404" s="127">
        <f>BT404-BV404</f>
        <v>0</v>
      </c>
      <c r="BV404" s="127">
        <f>SUM(BV405:BV409)</f>
        <v>0</v>
      </c>
      <c r="BW404" s="127">
        <f>VLOOKUP($C404,'1 预算编制表单'!$C:$BJ,42,FALSE)</f>
        <v>0</v>
      </c>
      <c r="BX404" s="127">
        <f>BW404-BY404</f>
        <v>0</v>
      </c>
      <c r="BY404" s="127">
        <f>SUM(BY405:BY409)</f>
        <v>0</v>
      </c>
      <c r="BZ404" s="127">
        <f>VLOOKUP($C404,'1 预算编制表单'!$C:$BJ,45,FALSE)</f>
        <v>0</v>
      </c>
      <c r="CA404" s="127">
        <f>BZ404-CB404</f>
        <v>0</v>
      </c>
      <c r="CB404" s="127">
        <f>SUM(CB405:CB409)</f>
        <v>0</v>
      </c>
      <c r="CC404" s="127">
        <f>VLOOKUP($C404,'1 预算编制表单'!$C:$BJ,48,FALSE)</f>
        <v>0</v>
      </c>
      <c r="CD404" s="127">
        <f>CC404-CE404</f>
        <v>0</v>
      </c>
      <c r="CE404" s="127">
        <f>SUM(CE405:CE409)</f>
        <v>0</v>
      </c>
      <c r="CF404" s="127">
        <f>VLOOKUP($C404,'1 预算编制表单'!$C:$BJ,51,FALSE)</f>
        <v>0</v>
      </c>
      <c r="CG404" s="127">
        <f>CF404-CH404</f>
        <v>0</v>
      </c>
      <c r="CH404" s="127">
        <f>SUM(CH405:CH409)</f>
        <v>0</v>
      </c>
      <c r="CI404" s="127">
        <f>VLOOKUP($C404,'1 预算编制表单'!$C:$BJ,54,FALSE)</f>
        <v>0</v>
      </c>
      <c r="CJ404" s="127">
        <f>CI404-CK404</f>
        <v>0</v>
      </c>
      <c r="CK404" s="127">
        <f>SUM(CK405:CK409)</f>
        <v>0</v>
      </c>
      <c r="CL404" s="127">
        <f>VLOOKUP($C404,'1 预算编制表单'!$C:$BJ,57,FALSE)</f>
        <v>0</v>
      </c>
      <c r="CM404" s="127">
        <f>CL404-CN404</f>
        <v>0</v>
      </c>
      <c r="CN404" s="127">
        <f>SUM(CN405:CN409)</f>
        <v>0</v>
      </c>
      <c r="CO404" s="127">
        <f>VLOOKUP($C404,'1 预算编制表单'!$C:$BJ,60,FALSE)</f>
        <v>0</v>
      </c>
      <c r="CP404" s="127">
        <f>CO404-CQ404</f>
        <v>0</v>
      </c>
      <c r="CQ404" s="127">
        <f>SUM(CQ405:CQ409)</f>
        <v>0</v>
      </c>
    </row>
    <row r="405" s="89" customFormat="1" ht="24" hidden="1" customHeight="1" outlineLevel="4" spans="1:95">
      <c r="A405" s="128"/>
      <c r="B405" s="129"/>
      <c r="C405" s="130" t="s">
        <v>1406</v>
      </c>
      <c r="D405" s="128" t="s">
        <v>2839</v>
      </c>
      <c r="E405" s="129"/>
      <c r="F405" s="129"/>
      <c r="G405" s="129"/>
      <c r="H405" s="131"/>
      <c r="I405" s="131"/>
      <c r="J405" s="131">
        <f t="shared" si="4646"/>
        <v>0</v>
      </c>
      <c r="K405" s="131"/>
      <c r="L405" s="161"/>
      <c r="M405" s="157"/>
      <c r="N405" s="131"/>
      <c r="O405" s="157"/>
      <c r="P405" s="131"/>
      <c r="Q405" s="131"/>
      <c r="R405" s="131"/>
      <c r="S405" s="131"/>
      <c r="T405" s="131"/>
      <c r="U405" s="131"/>
      <c r="V405" s="131"/>
      <c r="W405" s="131"/>
      <c r="X405" s="164"/>
      <c r="Y405" s="164"/>
      <c r="Z405" s="140">
        <f>报销单计算表!B9</f>
        <v>0</v>
      </c>
      <c r="AA405" s="164"/>
      <c r="AB405" s="164"/>
      <c r="AC405" s="140">
        <f>报销单计算表!C9</f>
        <v>0</v>
      </c>
      <c r="AD405" s="164"/>
      <c r="AE405" s="164"/>
      <c r="AF405" s="140">
        <f>报销单计算表!D9</f>
        <v>0</v>
      </c>
      <c r="AG405" s="164"/>
      <c r="AH405" s="164"/>
      <c r="AI405" s="140">
        <f>报销单计算表!E9</f>
        <v>0</v>
      </c>
      <c r="AJ405" s="164"/>
      <c r="AK405" s="164"/>
      <c r="AL405" s="140">
        <f>报销单计算表!F9</f>
        <v>0</v>
      </c>
      <c r="AM405" s="164"/>
      <c r="AN405" s="164"/>
      <c r="AO405" s="140">
        <f>报销单计算表!G9</f>
        <v>0</v>
      </c>
      <c r="AP405" s="164"/>
      <c r="AQ405" s="164"/>
      <c r="AR405" s="140">
        <f>报销单计算表!H9</f>
        <v>0</v>
      </c>
      <c r="AS405" s="164"/>
      <c r="AT405" s="164"/>
      <c r="AU405" s="140">
        <f>报销单计算表!I9</f>
        <v>0</v>
      </c>
      <c r="AV405" s="164"/>
      <c r="AW405" s="164"/>
      <c r="AX405" s="140">
        <f>报销单计算表!J9</f>
        <v>0</v>
      </c>
      <c r="AY405" s="164"/>
      <c r="AZ405" s="164"/>
      <c r="BA405" s="140">
        <f>报销单计算表!K9</f>
        <v>0</v>
      </c>
      <c r="BB405" s="164"/>
      <c r="BC405" s="164"/>
      <c r="BD405" s="140">
        <f>报销单计算表!L9</f>
        <v>0</v>
      </c>
      <c r="BE405" s="164"/>
      <c r="BF405" s="164"/>
      <c r="BG405" s="140">
        <f>报销单计算表!M9</f>
        <v>0</v>
      </c>
      <c r="BH405" s="164"/>
      <c r="BI405" s="164"/>
      <c r="BJ405" s="140"/>
      <c r="BK405" s="164"/>
      <c r="BL405" s="164"/>
      <c r="BM405" s="140"/>
      <c r="BN405" s="164"/>
      <c r="BO405" s="164"/>
      <c r="BP405" s="140"/>
      <c r="BQ405" s="164"/>
      <c r="BR405" s="164"/>
      <c r="BS405" s="140"/>
      <c r="BT405" s="164"/>
      <c r="BU405" s="164"/>
      <c r="BV405" s="140"/>
      <c r="BW405" s="164"/>
      <c r="BX405" s="164"/>
      <c r="BY405" s="140"/>
      <c r="BZ405" s="164"/>
      <c r="CA405" s="164"/>
      <c r="CB405" s="140"/>
      <c r="CC405" s="164"/>
      <c r="CD405" s="164"/>
      <c r="CE405" s="140"/>
      <c r="CF405" s="164"/>
      <c r="CG405" s="164"/>
      <c r="CH405" s="140"/>
      <c r="CI405" s="164"/>
      <c r="CJ405" s="164"/>
      <c r="CK405" s="140"/>
      <c r="CL405" s="164"/>
      <c r="CM405" s="164"/>
      <c r="CN405" s="140"/>
      <c r="CO405" s="164"/>
      <c r="CP405" s="164"/>
      <c r="CQ405" s="140"/>
    </row>
    <row r="406" s="89" customFormat="1" ht="24" hidden="1" customHeight="1" outlineLevel="4" spans="1:95">
      <c r="A406" s="128"/>
      <c r="B406" s="129"/>
      <c r="C406" s="130"/>
      <c r="D406" s="128"/>
      <c r="E406" s="129"/>
      <c r="F406" s="129"/>
      <c r="G406" s="129"/>
      <c r="H406" s="131"/>
      <c r="I406" s="131"/>
      <c r="J406" s="131">
        <f t="shared" si="4646"/>
        <v>0</v>
      </c>
      <c r="K406" s="131">
        <f t="shared" ref="K406:K408" si="4791">K405+1</f>
        <v>1</v>
      </c>
      <c r="L406" s="156"/>
      <c r="M406" s="157">
        <f>IFERROR(VLOOKUP($L406,'2-2 引出数据_合同数据仓库'!$B$5:$BP$200,3,FALSE),0)</f>
        <v>0</v>
      </c>
      <c r="N406" s="131"/>
      <c r="O406" s="157">
        <f>IFERROR(VLOOKUP((LEFT(VLOOKUP($L406,'2-2 引出数据_合同数据仓库'!$B$5:$BP$200,64,FALSE),15)&amp;(RIGHT(VLOOKUP($L406,'2-2 引出数据_合同数据仓库'!$B$5:$BP$200,64,FALSE),4)+1)),'2-2 引出数据_合同数据仓库'!$B$5:$BP$200,3,FALSE),0)</f>
        <v>0</v>
      </c>
      <c r="P406" s="131"/>
      <c r="Q406" s="131">
        <f>IFERROR(VLOOKUP($L406,'2-2 引出数据_合同数据仓库'!$B$5:$BP$200,28,FALSE),0)</f>
        <v>0</v>
      </c>
      <c r="R406" s="131">
        <f>IFERROR(VLOOKUP($L406,'2-2 引出数据_合同数据仓库'!$B$5:$BP$200,29,FALSE),0)</f>
        <v>0</v>
      </c>
      <c r="S406" s="131">
        <f>IFERROR(VLOOKUP($L406,'2-2 引出数据_合同数据仓库'!$B$5:$BP$200,4,FALSE),0)</f>
        <v>0</v>
      </c>
      <c r="T406" s="131"/>
      <c r="U406" s="131">
        <f>IFERROR(VLOOKUP($L406,'2-2 引出数据_合同数据仓库'!$B$5:$BP$200,15,FALSE),0)</f>
        <v>0</v>
      </c>
      <c r="V406" s="131">
        <f t="shared" ref="V406:V408" si="4792">U406/(S406-R406+1)*365</f>
        <v>0</v>
      </c>
      <c r="W406" s="131"/>
      <c r="X406" s="163">
        <v>45658</v>
      </c>
      <c r="Y406" s="163">
        <f t="shared" ref="Y406:Y408" si="4793">X406+30</f>
        <v>45688</v>
      </c>
      <c r="Z406" s="167">
        <f t="shared" ref="Z406:Z408" si="4794">IFERROR(IF(($R406-Y406)&gt;=0,0,IF(($S406-X406)&lt;0,0,IF(AND(($S406-Y406)&gt;0,(X406-$R406)&gt;0),$V406/365*(Y406-X406+1),IF(AND(($S406-Y406)&lt;=0,(X406-$R406)&gt;0),$V406/365*($S406-X406+1),$V406/365*(Y406-$R406+1))))),0)</f>
        <v>0</v>
      </c>
      <c r="AA406" s="163">
        <f t="shared" ref="AA406:AA408" si="4795">Y406+1</f>
        <v>45689</v>
      </c>
      <c r="AB406" s="163">
        <f t="shared" ref="AB406:AB408" si="4796">AA406+27</f>
        <v>45716</v>
      </c>
      <c r="AC406" s="167">
        <f t="shared" ref="AC406:AC408" si="4797">IFERROR(IF(($R406-AB406)&gt;=0,0,IF(($S406-AA406)&lt;0,0,IF(AND(($S406-AB406)&gt;0,(AA406-$R406)&gt;0),$V406/365*(AB406-AA406+1),IF(AND(($S406-AB406)&lt;=0,(AA406-$R406)&gt;0),$V406/365*($S406-AA406+1),$V406/365*(AB406-$R406+1))))),0)</f>
        <v>0</v>
      </c>
      <c r="AD406" s="163">
        <f t="shared" ref="AD406:AD408" si="4798">AB406+1</f>
        <v>45717</v>
      </c>
      <c r="AE406" s="163">
        <f t="shared" ref="AE406:AE408" si="4799">AD406+30</f>
        <v>45747</v>
      </c>
      <c r="AF406" s="167">
        <f t="shared" ref="AF406:AF408" si="4800">IFERROR(IF(($R406-AE406)&gt;=0,0,IF(($S406-AD406)&lt;0,0,IF(AND(($S406-AE406)&gt;0,(AD406-$R406)&gt;0),$V406/365*(AE406-AD406+1),IF(AND(($S406-AE406)&lt;=0,(AD406-$R406)&gt;0),$V406/365*($S406-AD406+1),$V406/365*(AE406-$R406+1))))),0)</f>
        <v>0</v>
      </c>
      <c r="AG406" s="163">
        <f t="shared" ref="AG406:AG408" si="4801">AE406+1</f>
        <v>45748</v>
      </c>
      <c r="AH406" s="163">
        <f t="shared" ref="AH406:AH408" si="4802">AG406+29</f>
        <v>45777</v>
      </c>
      <c r="AI406" s="167">
        <f t="shared" ref="AI406:AI408" si="4803">IFERROR(IF(($R406-AH406)&gt;=0,0,IF(($S406-AG406)&lt;0,0,IF(AND(($S406-AH406)&gt;0,(AG406-$R406)&gt;0),$V406/365*(AH406-AG406+1),IF(AND(($S406-AH406)&lt;=0,(AG406-$R406)&gt;0),$V406/365*($S406-AG406+1),$V406/365*(AH406-$R406+1))))),0)</f>
        <v>0</v>
      </c>
      <c r="AJ406" s="163">
        <f t="shared" ref="AJ406:AJ408" si="4804">AH406+1</f>
        <v>45778</v>
      </c>
      <c r="AK406" s="163">
        <f t="shared" ref="AK406:AK408" si="4805">AJ406+30</f>
        <v>45808</v>
      </c>
      <c r="AL406" s="167">
        <f t="shared" ref="AL406:AL408" si="4806">IFERROR(IF(($R406-AK406)&gt;=0,0,IF(($S406-AJ406)&lt;0,0,IF(AND(($S406-AK406)&gt;0,(AJ406-$R406)&gt;0),$V406/365*(AK406-AJ406+1),IF(AND(($S406-AK406)&lt;=0,(AJ406-$R406)&gt;0),$V406/365*($S406-AJ406+1),$V406/365*(AK406-$R406+1))))),0)</f>
        <v>0</v>
      </c>
      <c r="AM406" s="163">
        <f t="shared" ref="AM406:AM408" si="4807">AK406+1</f>
        <v>45809</v>
      </c>
      <c r="AN406" s="163">
        <f t="shared" ref="AN406:AN408" si="4808">AM406+29</f>
        <v>45838</v>
      </c>
      <c r="AO406" s="167">
        <f t="shared" ref="AO406:AO408" si="4809">IFERROR(IF(($R406-AN406)&gt;=0,0,IF(($S406-AM406)&lt;0,0,IF(AND(($S406-AN406)&gt;0,(AM406-$R406)&gt;0),$V406/365*(AN406-AM406+1),IF(AND(($S406-AN406)&lt;=0,(AM406-$R406)&gt;0),$V406/365*($S406-AM406+1),$V406/365*(AN406-$R406+1))))),0)</f>
        <v>0</v>
      </c>
      <c r="AP406" s="163">
        <f t="shared" ref="AP406:AP408" si="4810">AN406+1</f>
        <v>45839</v>
      </c>
      <c r="AQ406" s="163">
        <f t="shared" ref="AQ406:AQ408" si="4811">AP406+30</f>
        <v>45869</v>
      </c>
      <c r="AR406" s="167">
        <f t="shared" ref="AR406:AR408" si="4812">IFERROR(IF(($R406-AQ406)&gt;=0,0,IF(($S406-AP406)&lt;0,0,IF(AND(($S406-AQ406)&gt;0,(AP406-$R406)&gt;0),$V406/365*(AQ406-AP406+1),IF(AND(($S406-AQ406)&lt;=0,(AP406-$R406)&gt;0),$V406/365*($S406-AP406+1),$V406/365*(AQ406-$R406+1))))),0)</f>
        <v>0</v>
      </c>
      <c r="AS406" s="163">
        <f t="shared" ref="AS406:AS408" si="4813">AQ406+1</f>
        <v>45870</v>
      </c>
      <c r="AT406" s="163">
        <f t="shared" ref="AT406:AT408" si="4814">AS406+30</f>
        <v>45900</v>
      </c>
      <c r="AU406" s="167">
        <f t="shared" ref="AU406:AU408" si="4815">IFERROR(IF(($R406-AT406)&gt;=0,0,IF(($S406-AS406)&lt;0,0,IF(AND(($S406-AT406)&gt;0,(AS406-$R406)&gt;0),$V406/365*(AT406-AS406+1),IF(AND(($S406-AT406)&lt;=0,(AS406-$R406)&gt;0),$V406/365*($S406-AS406+1),$V406/365*(AT406-$R406+1))))),0)</f>
        <v>0</v>
      </c>
      <c r="AV406" s="163">
        <f t="shared" ref="AV406:AV408" si="4816">AT406+1</f>
        <v>45901</v>
      </c>
      <c r="AW406" s="163">
        <f t="shared" ref="AW406:AW408" si="4817">AV406+29</f>
        <v>45930</v>
      </c>
      <c r="AX406" s="167">
        <f t="shared" ref="AX406:AX408" si="4818">IFERROR(IF(($R406-AW406)&gt;=0,0,IF(($S406-AV406)&lt;0,0,IF(AND(($S406-AW406)&gt;0,(AV406-$R406)&gt;0),$V406/365*(AW406-AV406+1),IF(AND(($S406-AW406)&lt;=0,(AV406-$R406)&gt;0),$V406/365*($S406-AV406+1),$V406/365*(AW406-$R406+1))))),0)</f>
        <v>0</v>
      </c>
      <c r="AY406" s="163">
        <f t="shared" ref="AY406:AY408" si="4819">AW406+1</f>
        <v>45931</v>
      </c>
      <c r="AZ406" s="163">
        <f t="shared" ref="AZ406:AZ408" si="4820">AY406+30</f>
        <v>45961</v>
      </c>
      <c r="BA406" s="167">
        <f t="shared" ref="BA406:BA408" si="4821">IFERROR(IF(($R406-AZ406)&gt;=0,0,IF(($S406-AY406)&lt;0,0,IF(AND(($S406-AZ406)&gt;0,(AY406-$R406)&gt;0),$V406/365*(AZ406-AY406+1),IF(AND(($S406-AZ406)&lt;=0,(AY406-$R406)&gt;0),$V406/365*($S406-AY406+1),$V406/365*(AZ406-$R406+1))))),0)</f>
        <v>0</v>
      </c>
      <c r="BB406" s="163">
        <f t="shared" ref="BB406:BB408" si="4822">AZ406+1</f>
        <v>45962</v>
      </c>
      <c r="BC406" s="163">
        <f t="shared" ref="BC406:BC408" si="4823">BB406+29</f>
        <v>45991</v>
      </c>
      <c r="BD406" s="167">
        <f t="shared" ref="BD406:BD408" si="4824">IFERROR(IF(($R406-BC406)&gt;=0,0,IF(($S406-BB406)&lt;0,0,IF(AND(($S406-BC406)&gt;0,(BB406-$R406)&gt;0),$V406/365*(BC406-BB406+1),IF(AND(($S406-BC406)&lt;=0,(BB406-$R406)&gt;0),$V406/365*($S406-BB406+1),$V406/365*(BC406-$R406+1))))),0)</f>
        <v>0</v>
      </c>
      <c r="BE406" s="163">
        <f t="shared" ref="BE406:BE408" si="4825">BC406+1</f>
        <v>45992</v>
      </c>
      <c r="BF406" s="163">
        <f t="shared" ref="BF406:BF408" si="4826">BE406+30</f>
        <v>46022</v>
      </c>
      <c r="BG406" s="167">
        <f t="shared" ref="BG406:BG408" si="4827">IFERROR(IF(($R406-BF406)&gt;=0,0,IF(($S406-BE406)&lt;0,0,IF(AND(($S406-BF406)&gt;0,(BE406-$R406)&gt;0),$V406/365*(BF406-BE406+1),IF(AND(($S406-BF406)&lt;=0,(BE406-$R406)&gt;0),$V406/365*($S406-BE406+1),$V406/365*(BF406-$R406+1))))),0)</f>
        <v>0</v>
      </c>
      <c r="BH406" s="163">
        <v>46023</v>
      </c>
      <c r="BI406" s="163">
        <f t="shared" ref="BI406:BI408" si="4828">BH406+30</f>
        <v>46053</v>
      </c>
      <c r="BJ406" s="167">
        <f t="shared" ref="BJ406:BJ408" si="4829">IFERROR(IF(($R406-BI406)&gt;=0,0,IF(($S406-BH406)&lt;0,0,IF(AND(($S406-BI406)&gt;0,(BH406-$R406)&gt;0),$V406/365*(BI406-BH406+1),IF(AND(($S406-BI406)&lt;=0,(BH406-$R406)&gt;0),$V406/365*($S406-BH406+1),$V406/365*(BI406-$R406+1))))),0)</f>
        <v>0</v>
      </c>
      <c r="BK406" s="163">
        <f t="shared" ref="BK406:BK408" si="4830">BI406+1</f>
        <v>46054</v>
      </c>
      <c r="BL406" s="163">
        <f t="shared" ref="BL406:BL408" si="4831">BK406+27</f>
        <v>46081</v>
      </c>
      <c r="BM406" s="167">
        <f t="shared" ref="BM406:BM408" si="4832">IFERROR(IF(($R406-BL406)&gt;=0,0,IF(($S406-BK406)&lt;0,0,IF(AND(($S406-BL406)&gt;0,(BK406-$R406)&gt;0),$V406/365*(BL406-BK406+1),IF(AND(($S406-BL406)&lt;=0,(BK406-$R406)&gt;0),$V406/365*($S406-BK406+1),$V406/365*(BL406-$R406+1))))),0)</f>
        <v>0</v>
      </c>
      <c r="BN406" s="163">
        <f t="shared" ref="BN406:BN408" si="4833">BL406+1</f>
        <v>46082</v>
      </c>
      <c r="BO406" s="163">
        <f t="shared" ref="BO406:BO408" si="4834">BN406+30</f>
        <v>46112</v>
      </c>
      <c r="BP406" s="167">
        <f t="shared" ref="BP406:BP408" si="4835">IFERROR(IF(($R406-BO406)&gt;=0,0,IF(($S406-BN406)&lt;0,0,IF(AND(($S406-BO406)&gt;0,(BN406-$R406)&gt;0),$V406/365*(BO406-BN406+1),IF(AND(($S406-BO406)&lt;=0,(BN406-$R406)&gt;0),$V406/365*($S406-BN406+1),$V406/365*(BO406-$R406+1))))),0)</f>
        <v>0</v>
      </c>
      <c r="BQ406" s="163">
        <f t="shared" ref="BQ406:BQ408" si="4836">BO406+1</f>
        <v>46113</v>
      </c>
      <c r="BR406" s="163">
        <f t="shared" ref="BR406:BR408" si="4837">BQ406+29</f>
        <v>46142</v>
      </c>
      <c r="BS406" s="167">
        <f t="shared" ref="BS406:BS408" si="4838">IFERROR(IF(($R406-BR406)&gt;=0,0,IF(($S406-BQ406)&lt;0,0,IF(AND(($S406-BR406)&gt;0,(BQ406-$R406)&gt;0),$V406/365*(BR406-BQ406+1),IF(AND(($S406-BR406)&lt;=0,(BQ406-$R406)&gt;0),$V406/365*($S406-BQ406+1),$V406/365*(BR406-$R406+1))))),0)</f>
        <v>0</v>
      </c>
      <c r="BT406" s="163">
        <f t="shared" ref="BT406:BT408" si="4839">BR406+1</f>
        <v>46143</v>
      </c>
      <c r="BU406" s="163">
        <f t="shared" ref="BU406:BU408" si="4840">BT406+30</f>
        <v>46173</v>
      </c>
      <c r="BV406" s="167">
        <f t="shared" ref="BV406:BV408" si="4841">IFERROR(IF(($R406-BU406)&gt;=0,0,IF(($S406-BT406)&lt;0,0,IF(AND(($S406-BU406)&gt;0,(BT406-$R406)&gt;0),$V406/365*(BU406-BT406+1),IF(AND(($S406-BU406)&lt;=0,(BT406-$R406)&gt;0),$V406/365*($S406-BT406+1),$V406/365*(BU406-$R406+1))))),0)</f>
        <v>0</v>
      </c>
      <c r="BW406" s="163">
        <f t="shared" ref="BW406:BW408" si="4842">BU406+1</f>
        <v>46174</v>
      </c>
      <c r="BX406" s="163">
        <f t="shared" ref="BX406:BX408" si="4843">BW406+29</f>
        <v>46203</v>
      </c>
      <c r="BY406" s="167">
        <f t="shared" ref="BY406:BY408" si="4844">IFERROR(IF(($R406-BX406)&gt;=0,0,IF(($S406-BW406)&lt;0,0,IF(AND(($S406-BX406)&gt;0,(BW406-$R406)&gt;0),$V406/365*(BX406-BW406+1),IF(AND(($S406-BX406)&lt;=0,(BW406-$R406)&gt;0),$V406/365*($S406-BW406+1),$V406/365*(BX406-$R406+1))))),0)</f>
        <v>0</v>
      </c>
      <c r="BZ406" s="163">
        <f t="shared" ref="BZ406:BZ408" si="4845">BX406+1</f>
        <v>46204</v>
      </c>
      <c r="CA406" s="163">
        <f t="shared" ref="CA406:CA408" si="4846">BZ406+30</f>
        <v>46234</v>
      </c>
      <c r="CB406" s="167">
        <f t="shared" ref="CB406:CB408" si="4847">IFERROR(IF(($R406-CA406)&gt;=0,0,IF(($S406-BZ406)&lt;0,0,IF(AND(($S406-CA406)&gt;0,(BZ406-$R406)&gt;0),$V406/365*(CA406-BZ406+1),IF(AND(($S406-CA406)&lt;=0,(BZ406-$R406)&gt;0),$V406/365*($S406-BZ406+1),$V406/365*(CA406-$R406+1))))),0)</f>
        <v>0</v>
      </c>
      <c r="CC406" s="163">
        <f t="shared" ref="CC406:CC408" si="4848">CA406+1</f>
        <v>46235</v>
      </c>
      <c r="CD406" s="163">
        <f t="shared" ref="CD406:CD408" si="4849">CC406+30</f>
        <v>46265</v>
      </c>
      <c r="CE406" s="167">
        <f t="shared" ref="CE406:CE408" si="4850">IFERROR(IF(($R406-CD406)&gt;=0,0,IF(($S406-CC406)&lt;0,0,IF(AND(($S406-CD406)&gt;0,(CC406-$R406)&gt;0),$V406/365*(CD406-CC406+1),IF(AND(($S406-CD406)&lt;=0,(CC406-$R406)&gt;0),$V406/365*($S406-CC406+1),$V406/365*(CD406-$R406+1))))),0)</f>
        <v>0</v>
      </c>
      <c r="CF406" s="163">
        <f t="shared" ref="CF406:CF408" si="4851">CD406+1</f>
        <v>46266</v>
      </c>
      <c r="CG406" s="163">
        <f t="shared" ref="CG406:CG408" si="4852">CF406+29</f>
        <v>46295</v>
      </c>
      <c r="CH406" s="167">
        <f t="shared" ref="CH406:CH408" si="4853">IFERROR(IF(($R406-CG406)&gt;=0,0,IF(($S406-CF406)&lt;0,0,IF(AND(($S406-CG406)&gt;0,(CF406-$R406)&gt;0),$V406/365*(CG406-CF406+1),IF(AND(($S406-CG406)&lt;=0,(CF406-$R406)&gt;0),$V406/365*($S406-CF406+1),$V406/365*(CG406-$R406+1))))),0)</f>
        <v>0</v>
      </c>
      <c r="CI406" s="163">
        <f t="shared" ref="CI406:CI408" si="4854">CG406+1</f>
        <v>46296</v>
      </c>
      <c r="CJ406" s="163">
        <f t="shared" ref="CJ406:CJ408" si="4855">CI406+30</f>
        <v>46326</v>
      </c>
      <c r="CK406" s="167">
        <f t="shared" ref="CK406:CK408" si="4856">IFERROR(IF(($R406-CJ406)&gt;=0,0,IF(($S406-CI406)&lt;0,0,IF(AND(($S406-CJ406)&gt;0,(CI406-$R406)&gt;0),$V406/365*(CJ406-CI406+1),IF(AND(($S406-CJ406)&lt;=0,(CI406-$R406)&gt;0),$V406/365*($S406-CI406+1),$V406/365*(CJ406-$R406+1))))),0)</f>
        <v>0</v>
      </c>
      <c r="CL406" s="163">
        <f t="shared" ref="CL406:CL408" si="4857">CJ406+1</f>
        <v>46327</v>
      </c>
      <c r="CM406" s="163">
        <f t="shared" ref="CM406:CM408" si="4858">CL406+29</f>
        <v>46356</v>
      </c>
      <c r="CN406" s="167">
        <f t="shared" ref="CN406:CN408" si="4859">IFERROR(IF(($R406-CM406)&gt;=0,0,IF(($S406-CL406)&lt;0,0,IF(AND(($S406-CM406)&gt;0,(CL406-$R406)&gt;0),$V406/365*(CM406-CL406+1),IF(AND(($S406-CM406)&lt;=0,(CL406-$R406)&gt;0),$V406/365*($S406-CL406+1),$V406/365*(CM406-$R406+1))))),0)</f>
        <v>0</v>
      </c>
      <c r="CO406" s="163">
        <f t="shared" ref="CO406:CO408" si="4860">CM406+1</f>
        <v>46357</v>
      </c>
      <c r="CP406" s="163">
        <f t="shared" ref="CP406:CP408" si="4861">CO406+30</f>
        <v>46387</v>
      </c>
      <c r="CQ406" s="167">
        <f t="shared" ref="CQ406:CQ408" si="4862">IFERROR(IF(($R406-CP406)&gt;=0,0,IF(($S406-CO406)&lt;0,0,IF(AND(($S406-CP406)&gt;0,(CO406-$R406)&gt;0),$V406/365*(CP406-CO406+1),IF(AND(($S406-CP406)&lt;=0,(CO406-$R406)&gt;0),$V406/365*($S406-CO406+1),$V406/365*(CP406-$R406+1))))),0)</f>
        <v>0</v>
      </c>
    </row>
    <row r="407" s="89" customFormat="1" ht="24" hidden="1" customHeight="1" outlineLevel="4" spans="1:95">
      <c r="A407" s="128"/>
      <c r="B407" s="129"/>
      <c r="C407" s="130"/>
      <c r="D407" s="128"/>
      <c r="E407" s="129"/>
      <c r="F407" s="129"/>
      <c r="G407" s="129"/>
      <c r="H407" s="131"/>
      <c r="I407" s="131"/>
      <c r="J407" s="131">
        <f t="shared" si="4646"/>
        <v>0</v>
      </c>
      <c r="K407" s="131">
        <f t="shared" si="4791"/>
        <v>2</v>
      </c>
      <c r="L407" s="156"/>
      <c r="M407" s="157">
        <f>IFERROR(VLOOKUP($L407,'2-2 引出数据_合同数据仓库'!$B$5:$BP$200,3,FALSE),0)</f>
        <v>0</v>
      </c>
      <c r="N407" s="131"/>
      <c r="O407" s="157">
        <f>IFERROR(VLOOKUP((LEFT(VLOOKUP($L407,'2-2 引出数据_合同数据仓库'!$B$5:$BP$200,64,FALSE),15)&amp;(RIGHT(VLOOKUP($L407,'2-2 引出数据_合同数据仓库'!$B$5:$BP$200,64,FALSE),4)+1)),'2-2 引出数据_合同数据仓库'!$B$5:$BP$200,3,FALSE),0)</f>
        <v>0</v>
      </c>
      <c r="P407" s="131"/>
      <c r="Q407" s="131">
        <f>IFERROR(VLOOKUP($L407,'2-2 引出数据_合同数据仓库'!$B$5:$BP$200,28,FALSE),0)</f>
        <v>0</v>
      </c>
      <c r="R407" s="131">
        <f>IFERROR(VLOOKUP($L407,'2-2 引出数据_合同数据仓库'!$B$5:$BP$200,29,FALSE),0)</f>
        <v>0</v>
      </c>
      <c r="S407" s="131">
        <f>IFERROR(VLOOKUP($L407,'2-2 引出数据_合同数据仓库'!$B$5:$BP$200,4,FALSE),0)</f>
        <v>0</v>
      </c>
      <c r="T407" s="131"/>
      <c r="U407" s="131">
        <f>IFERROR(VLOOKUP($L407,'2-2 引出数据_合同数据仓库'!$B$5:$BP$200,15,FALSE),0)</f>
        <v>0</v>
      </c>
      <c r="V407" s="131">
        <f t="shared" si="4792"/>
        <v>0</v>
      </c>
      <c r="W407" s="131"/>
      <c r="X407" s="163">
        <v>45658</v>
      </c>
      <c r="Y407" s="163">
        <f t="shared" si="4793"/>
        <v>45688</v>
      </c>
      <c r="Z407" s="167">
        <f t="shared" si="4794"/>
        <v>0</v>
      </c>
      <c r="AA407" s="163">
        <f t="shared" si="4795"/>
        <v>45689</v>
      </c>
      <c r="AB407" s="163">
        <f t="shared" si="4796"/>
        <v>45716</v>
      </c>
      <c r="AC407" s="167">
        <f t="shared" si="4797"/>
        <v>0</v>
      </c>
      <c r="AD407" s="163">
        <f t="shared" si="4798"/>
        <v>45717</v>
      </c>
      <c r="AE407" s="163">
        <f t="shared" si="4799"/>
        <v>45747</v>
      </c>
      <c r="AF407" s="167">
        <f t="shared" si="4800"/>
        <v>0</v>
      </c>
      <c r="AG407" s="163">
        <f t="shared" si="4801"/>
        <v>45748</v>
      </c>
      <c r="AH407" s="163">
        <f t="shared" si="4802"/>
        <v>45777</v>
      </c>
      <c r="AI407" s="167">
        <f t="shared" si="4803"/>
        <v>0</v>
      </c>
      <c r="AJ407" s="163">
        <f t="shared" si="4804"/>
        <v>45778</v>
      </c>
      <c r="AK407" s="163">
        <f t="shared" si="4805"/>
        <v>45808</v>
      </c>
      <c r="AL407" s="167">
        <f t="shared" si="4806"/>
        <v>0</v>
      </c>
      <c r="AM407" s="163">
        <f t="shared" si="4807"/>
        <v>45809</v>
      </c>
      <c r="AN407" s="163">
        <f t="shared" si="4808"/>
        <v>45838</v>
      </c>
      <c r="AO407" s="167">
        <f t="shared" si="4809"/>
        <v>0</v>
      </c>
      <c r="AP407" s="163">
        <f t="shared" si="4810"/>
        <v>45839</v>
      </c>
      <c r="AQ407" s="163">
        <f t="shared" si="4811"/>
        <v>45869</v>
      </c>
      <c r="AR407" s="167">
        <f t="shared" si="4812"/>
        <v>0</v>
      </c>
      <c r="AS407" s="163">
        <f t="shared" si="4813"/>
        <v>45870</v>
      </c>
      <c r="AT407" s="163">
        <f t="shared" si="4814"/>
        <v>45900</v>
      </c>
      <c r="AU407" s="167">
        <f t="shared" si="4815"/>
        <v>0</v>
      </c>
      <c r="AV407" s="163">
        <f t="shared" si="4816"/>
        <v>45901</v>
      </c>
      <c r="AW407" s="163">
        <f t="shared" si="4817"/>
        <v>45930</v>
      </c>
      <c r="AX407" s="167">
        <f t="shared" si="4818"/>
        <v>0</v>
      </c>
      <c r="AY407" s="163">
        <f t="shared" si="4819"/>
        <v>45931</v>
      </c>
      <c r="AZ407" s="163">
        <f t="shared" si="4820"/>
        <v>45961</v>
      </c>
      <c r="BA407" s="167">
        <f t="shared" si="4821"/>
        <v>0</v>
      </c>
      <c r="BB407" s="163">
        <f t="shared" si="4822"/>
        <v>45962</v>
      </c>
      <c r="BC407" s="163">
        <f t="shared" si="4823"/>
        <v>45991</v>
      </c>
      <c r="BD407" s="167">
        <f t="shared" si="4824"/>
        <v>0</v>
      </c>
      <c r="BE407" s="163">
        <f t="shared" si="4825"/>
        <v>45992</v>
      </c>
      <c r="BF407" s="163">
        <f t="shared" si="4826"/>
        <v>46022</v>
      </c>
      <c r="BG407" s="167">
        <f t="shared" si="4827"/>
        <v>0</v>
      </c>
      <c r="BH407" s="163">
        <v>46023</v>
      </c>
      <c r="BI407" s="163">
        <f t="shared" si="4828"/>
        <v>46053</v>
      </c>
      <c r="BJ407" s="167">
        <f t="shared" si="4829"/>
        <v>0</v>
      </c>
      <c r="BK407" s="163">
        <f t="shared" si="4830"/>
        <v>46054</v>
      </c>
      <c r="BL407" s="163">
        <f t="shared" si="4831"/>
        <v>46081</v>
      </c>
      <c r="BM407" s="167">
        <f t="shared" si="4832"/>
        <v>0</v>
      </c>
      <c r="BN407" s="163">
        <f t="shared" si="4833"/>
        <v>46082</v>
      </c>
      <c r="BO407" s="163">
        <f t="shared" si="4834"/>
        <v>46112</v>
      </c>
      <c r="BP407" s="167">
        <f t="shared" si="4835"/>
        <v>0</v>
      </c>
      <c r="BQ407" s="163">
        <f t="shared" si="4836"/>
        <v>46113</v>
      </c>
      <c r="BR407" s="163">
        <f t="shared" si="4837"/>
        <v>46142</v>
      </c>
      <c r="BS407" s="167">
        <f t="shared" si="4838"/>
        <v>0</v>
      </c>
      <c r="BT407" s="163">
        <f t="shared" si="4839"/>
        <v>46143</v>
      </c>
      <c r="BU407" s="163">
        <f t="shared" si="4840"/>
        <v>46173</v>
      </c>
      <c r="BV407" s="167">
        <f t="shared" si="4841"/>
        <v>0</v>
      </c>
      <c r="BW407" s="163">
        <f t="shared" si="4842"/>
        <v>46174</v>
      </c>
      <c r="BX407" s="163">
        <f t="shared" si="4843"/>
        <v>46203</v>
      </c>
      <c r="BY407" s="167">
        <f t="shared" si="4844"/>
        <v>0</v>
      </c>
      <c r="BZ407" s="163">
        <f t="shared" si="4845"/>
        <v>46204</v>
      </c>
      <c r="CA407" s="163">
        <f t="shared" si="4846"/>
        <v>46234</v>
      </c>
      <c r="CB407" s="167">
        <f t="shared" si="4847"/>
        <v>0</v>
      </c>
      <c r="CC407" s="163">
        <f t="shared" si="4848"/>
        <v>46235</v>
      </c>
      <c r="CD407" s="163">
        <f t="shared" si="4849"/>
        <v>46265</v>
      </c>
      <c r="CE407" s="167">
        <f t="shared" si="4850"/>
        <v>0</v>
      </c>
      <c r="CF407" s="163">
        <f t="shared" si="4851"/>
        <v>46266</v>
      </c>
      <c r="CG407" s="163">
        <f t="shared" si="4852"/>
        <v>46295</v>
      </c>
      <c r="CH407" s="167">
        <f t="shared" si="4853"/>
        <v>0</v>
      </c>
      <c r="CI407" s="163">
        <f t="shared" si="4854"/>
        <v>46296</v>
      </c>
      <c r="CJ407" s="163">
        <f t="shared" si="4855"/>
        <v>46326</v>
      </c>
      <c r="CK407" s="167">
        <f t="shared" si="4856"/>
        <v>0</v>
      </c>
      <c r="CL407" s="163">
        <f t="shared" si="4857"/>
        <v>46327</v>
      </c>
      <c r="CM407" s="163">
        <f t="shared" si="4858"/>
        <v>46356</v>
      </c>
      <c r="CN407" s="167">
        <f t="shared" si="4859"/>
        <v>0</v>
      </c>
      <c r="CO407" s="163">
        <f t="shared" si="4860"/>
        <v>46357</v>
      </c>
      <c r="CP407" s="163">
        <f t="shared" si="4861"/>
        <v>46387</v>
      </c>
      <c r="CQ407" s="167">
        <f t="shared" si="4862"/>
        <v>0</v>
      </c>
    </row>
    <row r="408" s="89" customFormat="1" ht="24" hidden="1" customHeight="1" outlineLevel="4" spans="1:95">
      <c r="A408" s="128"/>
      <c r="B408" s="129"/>
      <c r="C408" s="130"/>
      <c r="D408" s="128"/>
      <c r="E408" s="129"/>
      <c r="F408" s="129"/>
      <c r="G408" s="129"/>
      <c r="H408" s="131"/>
      <c r="I408" s="131"/>
      <c r="J408" s="131">
        <f t="shared" si="4646"/>
        <v>0</v>
      </c>
      <c r="K408" s="131">
        <f t="shared" si="4791"/>
        <v>3</v>
      </c>
      <c r="L408" s="156"/>
      <c r="M408" s="157">
        <f>IFERROR(VLOOKUP($L408,'2-2 引出数据_合同数据仓库'!$B$5:$BP$200,3,FALSE),0)</f>
        <v>0</v>
      </c>
      <c r="N408" s="131"/>
      <c r="O408" s="157">
        <f>IFERROR(VLOOKUP((LEFT(VLOOKUP($L408,'2-2 引出数据_合同数据仓库'!$B$5:$BP$200,64,FALSE),15)&amp;(RIGHT(VLOOKUP($L408,'2-2 引出数据_合同数据仓库'!$B$5:$BP$200,64,FALSE),4)+1)),'2-2 引出数据_合同数据仓库'!$B$5:$BP$200,3,FALSE),0)</f>
        <v>0</v>
      </c>
      <c r="P408" s="131"/>
      <c r="Q408" s="131">
        <f>IFERROR(VLOOKUP($L408,'2-2 引出数据_合同数据仓库'!$B$5:$BP$200,28,FALSE),0)</f>
        <v>0</v>
      </c>
      <c r="R408" s="131">
        <f>IFERROR(VLOOKUP($L408,'2-2 引出数据_合同数据仓库'!$B$5:$BP$200,29,FALSE),0)</f>
        <v>0</v>
      </c>
      <c r="S408" s="131">
        <f>IFERROR(VLOOKUP($L408,'2-2 引出数据_合同数据仓库'!$B$5:$BP$200,4,FALSE),0)</f>
        <v>0</v>
      </c>
      <c r="T408" s="131"/>
      <c r="U408" s="131">
        <f>IFERROR(VLOOKUP($L408,'2-2 引出数据_合同数据仓库'!$B$5:$BP$200,15,FALSE),0)</f>
        <v>0</v>
      </c>
      <c r="V408" s="131">
        <f t="shared" si="4792"/>
        <v>0</v>
      </c>
      <c r="W408" s="131"/>
      <c r="X408" s="163">
        <v>45658</v>
      </c>
      <c r="Y408" s="163">
        <f t="shared" si="4793"/>
        <v>45688</v>
      </c>
      <c r="Z408" s="167">
        <f t="shared" si="4794"/>
        <v>0</v>
      </c>
      <c r="AA408" s="163">
        <f t="shared" si="4795"/>
        <v>45689</v>
      </c>
      <c r="AB408" s="163">
        <f t="shared" si="4796"/>
        <v>45716</v>
      </c>
      <c r="AC408" s="167">
        <f t="shared" si="4797"/>
        <v>0</v>
      </c>
      <c r="AD408" s="163">
        <f t="shared" si="4798"/>
        <v>45717</v>
      </c>
      <c r="AE408" s="163">
        <f t="shared" si="4799"/>
        <v>45747</v>
      </c>
      <c r="AF408" s="167">
        <f t="shared" si="4800"/>
        <v>0</v>
      </c>
      <c r="AG408" s="163">
        <f t="shared" si="4801"/>
        <v>45748</v>
      </c>
      <c r="AH408" s="163">
        <f t="shared" si="4802"/>
        <v>45777</v>
      </c>
      <c r="AI408" s="167">
        <f t="shared" si="4803"/>
        <v>0</v>
      </c>
      <c r="AJ408" s="163">
        <f t="shared" si="4804"/>
        <v>45778</v>
      </c>
      <c r="AK408" s="163">
        <f t="shared" si="4805"/>
        <v>45808</v>
      </c>
      <c r="AL408" s="167">
        <f t="shared" si="4806"/>
        <v>0</v>
      </c>
      <c r="AM408" s="163">
        <f t="shared" si="4807"/>
        <v>45809</v>
      </c>
      <c r="AN408" s="163">
        <f t="shared" si="4808"/>
        <v>45838</v>
      </c>
      <c r="AO408" s="167">
        <f t="shared" si="4809"/>
        <v>0</v>
      </c>
      <c r="AP408" s="163">
        <f t="shared" si="4810"/>
        <v>45839</v>
      </c>
      <c r="AQ408" s="163">
        <f t="shared" si="4811"/>
        <v>45869</v>
      </c>
      <c r="AR408" s="167">
        <f t="shared" si="4812"/>
        <v>0</v>
      </c>
      <c r="AS408" s="163">
        <f t="shared" si="4813"/>
        <v>45870</v>
      </c>
      <c r="AT408" s="163">
        <f t="shared" si="4814"/>
        <v>45900</v>
      </c>
      <c r="AU408" s="167">
        <f t="shared" si="4815"/>
        <v>0</v>
      </c>
      <c r="AV408" s="163">
        <f t="shared" si="4816"/>
        <v>45901</v>
      </c>
      <c r="AW408" s="163">
        <f t="shared" si="4817"/>
        <v>45930</v>
      </c>
      <c r="AX408" s="167">
        <f t="shared" si="4818"/>
        <v>0</v>
      </c>
      <c r="AY408" s="163">
        <f t="shared" si="4819"/>
        <v>45931</v>
      </c>
      <c r="AZ408" s="163">
        <f t="shared" si="4820"/>
        <v>45961</v>
      </c>
      <c r="BA408" s="167">
        <f t="shared" si="4821"/>
        <v>0</v>
      </c>
      <c r="BB408" s="163">
        <f t="shared" si="4822"/>
        <v>45962</v>
      </c>
      <c r="BC408" s="163">
        <f t="shared" si="4823"/>
        <v>45991</v>
      </c>
      <c r="BD408" s="167">
        <f t="shared" si="4824"/>
        <v>0</v>
      </c>
      <c r="BE408" s="163">
        <f t="shared" si="4825"/>
        <v>45992</v>
      </c>
      <c r="BF408" s="163">
        <f t="shared" si="4826"/>
        <v>46022</v>
      </c>
      <c r="BG408" s="167">
        <f t="shared" si="4827"/>
        <v>0</v>
      </c>
      <c r="BH408" s="163">
        <v>46023</v>
      </c>
      <c r="BI408" s="163">
        <f t="shared" si="4828"/>
        <v>46053</v>
      </c>
      <c r="BJ408" s="167">
        <f t="shared" si="4829"/>
        <v>0</v>
      </c>
      <c r="BK408" s="163">
        <f t="shared" si="4830"/>
        <v>46054</v>
      </c>
      <c r="BL408" s="163">
        <f t="shared" si="4831"/>
        <v>46081</v>
      </c>
      <c r="BM408" s="167">
        <f t="shared" si="4832"/>
        <v>0</v>
      </c>
      <c r="BN408" s="163">
        <f t="shared" si="4833"/>
        <v>46082</v>
      </c>
      <c r="BO408" s="163">
        <f t="shared" si="4834"/>
        <v>46112</v>
      </c>
      <c r="BP408" s="167">
        <f t="shared" si="4835"/>
        <v>0</v>
      </c>
      <c r="BQ408" s="163">
        <f t="shared" si="4836"/>
        <v>46113</v>
      </c>
      <c r="BR408" s="163">
        <f t="shared" si="4837"/>
        <v>46142</v>
      </c>
      <c r="BS408" s="167">
        <f t="shared" si="4838"/>
        <v>0</v>
      </c>
      <c r="BT408" s="163">
        <f t="shared" si="4839"/>
        <v>46143</v>
      </c>
      <c r="BU408" s="163">
        <f t="shared" si="4840"/>
        <v>46173</v>
      </c>
      <c r="BV408" s="167">
        <f t="shared" si="4841"/>
        <v>0</v>
      </c>
      <c r="BW408" s="163">
        <f t="shared" si="4842"/>
        <v>46174</v>
      </c>
      <c r="BX408" s="163">
        <f t="shared" si="4843"/>
        <v>46203</v>
      </c>
      <c r="BY408" s="167">
        <f t="shared" si="4844"/>
        <v>0</v>
      </c>
      <c r="BZ408" s="163">
        <f t="shared" si="4845"/>
        <v>46204</v>
      </c>
      <c r="CA408" s="163">
        <f t="shared" si="4846"/>
        <v>46234</v>
      </c>
      <c r="CB408" s="167">
        <f t="shared" si="4847"/>
        <v>0</v>
      </c>
      <c r="CC408" s="163">
        <f t="shared" si="4848"/>
        <v>46235</v>
      </c>
      <c r="CD408" s="163">
        <f t="shared" si="4849"/>
        <v>46265</v>
      </c>
      <c r="CE408" s="167">
        <f t="shared" si="4850"/>
        <v>0</v>
      </c>
      <c r="CF408" s="163">
        <f t="shared" si="4851"/>
        <v>46266</v>
      </c>
      <c r="CG408" s="163">
        <f t="shared" si="4852"/>
        <v>46295</v>
      </c>
      <c r="CH408" s="167">
        <f t="shared" si="4853"/>
        <v>0</v>
      </c>
      <c r="CI408" s="163">
        <f t="shared" si="4854"/>
        <v>46296</v>
      </c>
      <c r="CJ408" s="163">
        <f t="shared" si="4855"/>
        <v>46326</v>
      </c>
      <c r="CK408" s="167">
        <f t="shared" si="4856"/>
        <v>0</v>
      </c>
      <c r="CL408" s="163">
        <f t="shared" si="4857"/>
        <v>46327</v>
      </c>
      <c r="CM408" s="163">
        <f t="shared" si="4858"/>
        <v>46356</v>
      </c>
      <c r="CN408" s="167">
        <f t="shared" si="4859"/>
        <v>0</v>
      </c>
      <c r="CO408" s="163">
        <f t="shared" si="4860"/>
        <v>46357</v>
      </c>
      <c r="CP408" s="163">
        <f t="shared" si="4861"/>
        <v>46387</v>
      </c>
      <c r="CQ408" s="167">
        <f t="shared" si="4862"/>
        <v>0</v>
      </c>
    </row>
    <row r="409" s="89" customFormat="1" ht="24" hidden="1" customHeight="1" outlineLevel="4" spans="1:95">
      <c r="A409" s="132" t="s">
        <v>2813</v>
      </c>
      <c r="B409" s="133"/>
      <c r="C409" s="133"/>
      <c r="D409" s="133"/>
      <c r="E409" s="133"/>
      <c r="F409" s="133"/>
      <c r="G409" s="134"/>
      <c r="H409" s="135"/>
      <c r="I409" s="135"/>
      <c r="J409" s="135"/>
      <c r="K409" s="135"/>
      <c r="L409" s="158"/>
      <c r="M409" s="158"/>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c r="CL409" s="135"/>
      <c r="CM409" s="135"/>
      <c r="CN409" s="135"/>
      <c r="CO409" s="135"/>
      <c r="CP409" s="135"/>
      <c r="CQ409" s="135"/>
    </row>
    <row r="410" ht="24" hidden="1" customHeight="1" outlineLevel="3" collapsed="1" spans="1:95">
      <c r="A410" s="124"/>
      <c r="B410" s="125" t="s">
        <v>792</v>
      </c>
      <c r="C410" s="126" t="s">
        <v>1406</v>
      </c>
      <c r="D410" s="124" t="s">
        <v>1407</v>
      </c>
      <c r="E410" s="125" t="s">
        <v>1408</v>
      </c>
      <c r="F410" s="125"/>
      <c r="G410" s="125" t="s">
        <v>936</v>
      </c>
      <c r="H410" s="127">
        <f>X410+AA410+AD410+AG410+AJ410+AM410+AP410+AS410+AV410+AY410+BB410+BE410</f>
        <v>0</v>
      </c>
      <c r="I410" s="127">
        <f>Y410+AB410+AE410+AH410+AK410+AN410+AQ410+AT410+AW410+AZ410+BC410+BF410</f>
        <v>0</v>
      </c>
      <c r="J410" s="127">
        <f t="shared" si="4646"/>
        <v>0</v>
      </c>
      <c r="K410" s="127"/>
      <c r="L410" s="155"/>
      <c r="M410" s="155"/>
      <c r="N410" s="127"/>
      <c r="O410" s="127"/>
      <c r="P410" s="127"/>
      <c r="Q410" s="127"/>
      <c r="R410" s="127"/>
      <c r="S410" s="127"/>
      <c r="T410" s="127"/>
      <c r="U410" s="127"/>
      <c r="V410" s="127"/>
      <c r="W410" s="127"/>
      <c r="X410" s="127">
        <f>VLOOKUP($C410,'1 预算编制表单'!$C:$BJ,27,FALSE)</f>
        <v>0</v>
      </c>
      <c r="Y410" s="127">
        <f>X410-Z410</f>
        <v>0</v>
      </c>
      <c r="Z410" s="127">
        <f>SUM(Z411:Z415)</f>
        <v>0</v>
      </c>
      <c r="AA410" s="127">
        <f>VLOOKUP($C410,'1 预算编制表单'!$C:$BJ,30,FALSE)</f>
        <v>0</v>
      </c>
      <c r="AB410" s="127">
        <f>AA410-AC410</f>
        <v>0</v>
      </c>
      <c r="AC410" s="127">
        <f>SUM(AC411:AC415)</f>
        <v>0</v>
      </c>
      <c r="AD410" s="127">
        <f>VLOOKUP($C410,'1 预算编制表单'!$C:$BJ,33,FALSE)</f>
        <v>0</v>
      </c>
      <c r="AE410" s="127">
        <f>AD410-AF410</f>
        <v>0</v>
      </c>
      <c r="AF410" s="127">
        <f>SUM(AF411:AF415)</f>
        <v>0</v>
      </c>
      <c r="AG410" s="127">
        <f>VLOOKUP($C410,'1 预算编制表单'!$C:$BJ,36,FALSE)</f>
        <v>0</v>
      </c>
      <c r="AH410" s="127">
        <f>AG410-AI410</f>
        <v>0</v>
      </c>
      <c r="AI410" s="127">
        <f>SUM(AI411:AI415)</f>
        <v>0</v>
      </c>
      <c r="AJ410" s="127">
        <f>VLOOKUP($C410,'1 预算编制表单'!$C:$BJ,39,FALSE)</f>
        <v>0</v>
      </c>
      <c r="AK410" s="127">
        <f>AJ410-AL410</f>
        <v>0</v>
      </c>
      <c r="AL410" s="127">
        <f>SUM(AL411:AL415)</f>
        <v>0</v>
      </c>
      <c r="AM410" s="127">
        <f>VLOOKUP($C410,'1 预算编制表单'!$C:$BJ,42,FALSE)</f>
        <v>0</v>
      </c>
      <c r="AN410" s="127">
        <f>AM410-AO410</f>
        <v>0</v>
      </c>
      <c r="AO410" s="127">
        <f>SUM(AO411:AO415)</f>
        <v>0</v>
      </c>
      <c r="AP410" s="127">
        <f>VLOOKUP($C410,'1 预算编制表单'!$C:$BJ,45,FALSE)</f>
        <v>0</v>
      </c>
      <c r="AQ410" s="127">
        <f>AP410-AR410</f>
        <v>0</v>
      </c>
      <c r="AR410" s="127">
        <f>SUM(AR411:AR415)</f>
        <v>0</v>
      </c>
      <c r="AS410" s="127">
        <f>VLOOKUP($C410,'1 预算编制表单'!$C:$BJ,48,FALSE)</f>
        <v>0</v>
      </c>
      <c r="AT410" s="127">
        <f>AS410-AU410</f>
        <v>0</v>
      </c>
      <c r="AU410" s="127">
        <f>SUM(AU411:AU415)</f>
        <v>0</v>
      </c>
      <c r="AV410" s="127">
        <f>VLOOKUP($C410,'1 预算编制表单'!$C:$BJ,51,FALSE)</f>
        <v>0</v>
      </c>
      <c r="AW410" s="127">
        <f>AV410-AX410</f>
        <v>0</v>
      </c>
      <c r="AX410" s="127">
        <f>SUM(AX411:AX415)</f>
        <v>0</v>
      </c>
      <c r="AY410" s="127">
        <f>VLOOKUP($C410,'1 预算编制表单'!$C:$BJ,54,FALSE)</f>
        <v>0</v>
      </c>
      <c r="AZ410" s="127">
        <f>AY410-BA410</f>
        <v>0</v>
      </c>
      <c r="BA410" s="127">
        <f>SUM(BA411:BA415)</f>
        <v>0</v>
      </c>
      <c r="BB410" s="127">
        <f>VLOOKUP($C410,'1 预算编制表单'!$C:$BJ,57,FALSE)</f>
        <v>0</v>
      </c>
      <c r="BC410" s="127">
        <f>BB410-BD410</f>
        <v>0</v>
      </c>
      <c r="BD410" s="127">
        <f>SUM(BD411:BD415)</f>
        <v>0</v>
      </c>
      <c r="BE410" s="127">
        <f>VLOOKUP($C410,'1 预算编制表单'!$C:$BJ,60,FALSE)</f>
        <v>0</v>
      </c>
      <c r="BF410" s="127">
        <f>BE410-BG410</f>
        <v>0</v>
      </c>
      <c r="BG410" s="127">
        <f>SUM(BG411:BG415)</f>
        <v>0</v>
      </c>
      <c r="BH410" s="127">
        <f>VLOOKUP($C410,'1 预算编制表单'!$C:$BJ,27,FALSE)</f>
        <v>0</v>
      </c>
      <c r="BI410" s="127">
        <f>BH410-BJ410</f>
        <v>0</v>
      </c>
      <c r="BJ410" s="127">
        <f>SUM(BJ411:BJ415)</f>
        <v>0</v>
      </c>
      <c r="BK410" s="127">
        <f>VLOOKUP($C410,'1 预算编制表单'!$C:$BJ,30,FALSE)</f>
        <v>0</v>
      </c>
      <c r="BL410" s="127">
        <f>BK410-BM410</f>
        <v>0</v>
      </c>
      <c r="BM410" s="127">
        <f>SUM(BM411:BM415)</f>
        <v>0</v>
      </c>
      <c r="BN410" s="127">
        <f>VLOOKUP($C410,'1 预算编制表单'!$C:$BJ,33,FALSE)</f>
        <v>0</v>
      </c>
      <c r="BO410" s="127">
        <f>BN410-BP410</f>
        <v>0</v>
      </c>
      <c r="BP410" s="127">
        <f>SUM(BP411:BP415)</f>
        <v>0</v>
      </c>
      <c r="BQ410" s="127">
        <f>VLOOKUP($C410,'1 预算编制表单'!$C:$BJ,36,FALSE)</f>
        <v>0</v>
      </c>
      <c r="BR410" s="127">
        <f>BQ410-BS410</f>
        <v>0</v>
      </c>
      <c r="BS410" s="127">
        <f>SUM(BS411:BS415)</f>
        <v>0</v>
      </c>
      <c r="BT410" s="127">
        <f>VLOOKUP($C410,'1 预算编制表单'!$C:$BJ,39,FALSE)</f>
        <v>0</v>
      </c>
      <c r="BU410" s="127">
        <f>BT410-BV410</f>
        <v>0</v>
      </c>
      <c r="BV410" s="127">
        <f>SUM(BV411:BV415)</f>
        <v>0</v>
      </c>
      <c r="BW410" s="127">
        <f>VLOOKUP($C410,'1 预算编制表单'!$C:$BJ,42,FALSE)</f>
        <v>0</v>
      </c>
      <c r="BX410" s="127">
        <f>BW410-BY410</f>
        <v>0</v>
      </c>
      <c r="BY410" s="127">
        <f>SUM(BY411:BY415)</f>
        <v>0</v>
      </c>
      <c r="BZ410" s="127">
        <f>VLOOKUP($C410,'1 预算编制表单'!$C:$BJ,45,FALSE)</f>
        <v>0</v>
      </c>
      <c r="CA410" s="127">
        <f>BZ410-CB410</f>
        <v>0</v>
      </c>
      <c r="CB410" s="127">
        <f>SUM(CB411:CB415)</f>
        <v>0</v>
      </c>
      <c r="CC410" s="127">
        <f>VLOOKUP($C410,'1 预算编制表单'!$C:$BJ,48,FALSE)</f>
        <v>0</v>
      </c>
      <c r="CD410" s="127">
        <f>CC410-CE410</f>
        <v>0</v>
      </c>
      <c r="CE410" s="127">
        <f>SUM(CE411:CE415)</f>
        <v>0</v>
      </c>
      <c r="CF410" s="127">
        <f>VLOOKUP($C410,'1 预算编制表单'!$C:$BJ,51,FALSE)</f>
        <v>0</v>
      </c>
      <c r="CG410" s="127">
        <f>CF410-CH410</f>
        <v>0</v>
      </c>
      <c r="CH410" s="127">
        <f>SUM(CH411:CH415)</f>
        <v>0</v>
      </c>
      <c r="CI410" s="127">
        <f>VLOOKUP($C410,'1 预算编制表单'!$C:$BJ,54,FALSE)</f>
        <v>0</v>
      </c>
      <c r="CJ410" s="127">
        <f>CI410-CK410</f>
        <v>0</v>
      </c>
      <c r="CK410" s="127">
        <f>SUM(CK411:CK415)</f>
        <v>0</v>
      </c>
      <c r="CL410" s="127">
        <f>VLOOKUP($C410,'1 预算编制表单'!$C:$BJ,57,FALSE)</f>
        <v>0</v>
      </c>
      <c r="CM410" s="127">
        <f>CL410-CN410</f>
        <v>0</v>
      </c>
      <c r="CN410" s="127">
        <f>SUM(CN411:CN415)</f>
        <v>0</v>
      </c>
      <c r="CO410" s="127">
        <f>VLOOKUP($C410,'1 预算编制表单'!$C:$BJ,60,FALSE)</f>
        <v>0</v>
      </c>
      <c r="CP410" s="127">
        <f>CO410-CQ410</f>
        <v>0</v>
      </c>
      <c r="CQ410" s="127">
        <f>SUM(CQ411:CQ415)</f>
        <v>0</v>
      </c>
    </row>
    <row r="411" s="89" customFormat="1" ht="24" hidden="1" customHeight="1" outlineLevel="4" spans="1:95">
      <c r="A411" s="128"/>
      <c r="B411" s="129"/>
      <c r="C411" s="130" t="s">
        <v>2840</v>
      </c>
      <c r="D411" s="128" t="s">
        <v>2841</v>
      </c>
      <c r="E411" s="129"/>
      <c r="F411" s="129"/>
      <c r="G411" s="129"/>
      <c r="H411" s="131"/>
      <c r="I411" s="131"/>
      <c r="J411" s="131">
        <f t="shared" si="4646"/>
        <v>0</v>
      </c>
      <c r="K411" s="131"/>
      <c r="L411" s="161"/>
      <c r="M411" s="157"/>
      <c r="N411" s="131"/>
      <c r="O411" s="157"/>
      <c r="P411" s="131"/>
      <c r="Q411" s="131"/>
      <c r="R411" s="131"/>
      <c r="S411" s="131"/>
      <c r="T411" s="131"/>
      <c r="U411" s="131"/>
      <c r="V411" s="131"/>
      <c r="W411" s="131"/>
      <c r="X411" s="163"/>
      <c r="Y411" s="163"/>
      <c r="Z411" s="140">
        <f>报销单计算表!B7</f>
        <v>0</v>
      </c>
      <c r="AA411" s="163"/>
      <c r="AB411" s="164"/>
      <c r="AC411" s="140">
        <f>报销单计算表!C7</f>
        <v>0</v>
      </c>
      <c r="AD411" s="164"/>
      <c r="AE411" s="164"/>
      <c r="AF411" s="140">
        <f>报销单计算表!D7</f>
        <v>0</v>
      </c>
      <c r="AG411" s="164"/>
      <c r="AH411" s="164"/>
      <c r="AI411" s="140">
        <f>报销单计算表!E7</f>
        <v>0</v>
      </c>
      <c r="AJ411" s="164"/>
      <c r="AK411" s="164"/>
      <c r="AL411" s="140">
        <f>报销单计算表!F7</f>
        <v>0</v>
      </c>
      <c r="AM411" s="164"/>
      <c r="AN411" s="164"/>
      <c r="AO411" s="140">
        <f>报销单计算表!G7</f>
        <v>0</v>
      </c>
      <c r="AP411" s="164"/>
      <c r="AQ411" s="164"/>
      <c r="AR411" s="140">
        <f>报销单计算表!H7</f>
        <v>0</v>
      </c>
      <c r="AS411" s="164"/>
      <c r="AT411" s="164"/>
      <c r="AU411" s="140">
        <f>报销单计算表!I7</f>
        <v>0</v>
      </c>
      <c r="AV411" s="164"/>
      <c r="AW411" s="164"/>
      <c r="AX411" s="140">
        <f>报销单计算表!J7</f>
        <v>0</v>
      </c>
      <c r="AY411" s="164"/>
      <c r="AZ411" s="164"/>
      <c r="BA411" s="140">
        <f>报销单计算表!K7</f>
        <v>0</v>
      </c>
      <c r="BB411" s="164"/>
      <c r="BC411" s="164"/>
      <c r="BD411" s="140">
        <f>报销单计算表!L7</f>
        <v>0</v>
      </c>
      <c r="BE411" s="164"/>
      <c r="BF411" s="164"/>
      <c r="BG411" s="140">
        <f>报销单计算表!M7</f>
        <v>0</v>
      </c>
      <c r="BH411" s="164"/>
      <c r="BI411" s="164"/>
      <c r="BJ411" s="140"/>
      <c r="BK411" s="164"/>
      <c r="BL411" s="164"/>
      <c r="BM411" s="140"/>
      <c r="BN411" s="164"/>
      <c r="BO411" s="164"/>
      <c r="BP411" s="140"/>
      <c r="BQ411" s="164"/>
      <c r="BR411" s="164"/>
      <c r="BS411" s="140"/>
      <c r="BT411" s="164"/>
      <c r="BU411" s="164"/>
      <c r="BV411" s="140"/>
      <c r="BW411" s="164"/>
      <c r="BX411" s="164"/>
      <c r="BY411" s="140"/>
      <c r="BZ411" s="164"/>
      <c r="CA411" s="164"/>
      <c r="CB411" s="140"/>
      <c r="CC411" s="164"/>
      <c r="CD411" s="164"/>
      <c r="CE411" s="140"/>
      <c r="CF411" s="164"/>
      <c r="CG411" s="164"/>
      <c r="CH411" s="140"/>
      <c r="CI411" s="164"/>
      <c r="CJ411" s="164"/>
      <c r="CK411" s="140"/>
      <c r="CL411" s="164"/>
      <c r="CM411" s="164"/>
      <c r="CN411" s="140"/>
      <c r="CO411" s="164"/>
      <c r="CP411" s="164"/>
      <c r="CQ411" s="140"/>
    </row>
    <row r="412" s="89" customFormat="1" ht="24" hidden="1" customHeight="1" outlineLevel="4" spans="1:95">
      <c r="A412" s="128"/>
      <c r="B412" s="129"/>
      <c r="C412" s="130"/>
      <c r="D412" s="128"/>
      <c r="E412" s="129"/>
      <c r="F412" s="129"/>
      <c r="G412" s="129"/>
      <c r="H412" s="131"/>
      <c r="I412" s="131"/>
      <c r="J412" s="131">
        <f t="shared" si="4646"/>
        <v>0</v>
      </c>
      <c r="K412" s="131">
        <f t="shared" ref="K412:K414" si="4863">K411+1</f>
        <v>1</v>
      </c>
      <c r="L412" s="156"/>
      <c r="M412" s="157">
        <f>IFERROR(VLOOKUP($L412,'2-2 引出数据_合同数据仓库'!$B$5:$BP$200,3,FALSE),0)</f>
        <v>0</v>
      </c>
      <c r="N412" s="131"/>
      <c r="O412" s="157">
        <f>IFERROR(VLOOKUP((LEFT(VLOOKUP($L412,'2-2 引出数据_合同数据仓库'!$B$5:$BP$200,64,FALSE),15)&amp;(RIGHT(VLOOKUP($L412,'2-2 引出数据_合同数据仓库'!$B$5:$BP$200,64,FALSE),4)+1)),'2-2 引出数据_合同数据仓库'!$B$5:$BP$200,3,FALSE),0)</f>
        <v>0</v>
      </c>
      <c r="P412" s="131"/>
      <c r="Q412" s="131">
        <f>IFERROR(VLOOKUP($L412,'2-2 引出数据_合同数据仓库'!$B$5:$BP$200,28,FALSE),0)</f>
        <v>0</v>
      </c>
      <c r="R412" s="131">
        <f>IFERROR(VLOOKUP($L412,'2-2 引出数据_合同数据仓库'!$B$5:$BP$200,29,FALSE),0)</f>
        <v>0</v>
      </c>
      <c r="S412" s="131">
        <f>IFERROR(VLOOKUP($L412,'2-2 引出数据_合同数据仓库'!$B$5:$BP$200,4,FALSE),0)</f>
        <v>0</v>
      </c>
      <c r="T412" s="131"/>
      <c r="U412" s="131">
        <f>IFERROR(VLOOKUP($L412,'2-2 引出数据_合同数据仓库'!$B$5:$BP$200,15,FALSE),0)</f>
        <v>0</v>
      </c>
      <c r="V412" s="131">
        <f t="shared" ref="V412:V414" si="4864">U412/(S412-R412+1)*365</f>
        <v>0</v>
      </c>
      <c r="W412" s="131"/>
      <c r="X412" s="163">
        <v>45658</v>
      </c>
      <c r="Y412" s="163">
        <f t="shared" ref="Y412:Y414" si="4865">X412+30</f>
        <v>45688</v>
      </c>
      <c r="Z412" s="167">
        <f t="shared" ref="Z412:Z414" si="4866">IFERROR(IF(($R412-Y412)&gt;=0,0,IF(($S412-X412)&lt;0,0,IF(AND(($S412-Y412)&gt;0,(X412-$R412)&gt;0),$V412/365*(Y412-X412+1),IF(AND(($S412-Y412)&lt;=0,(X412-$R412)&gt;0),$V412/365*($S412-X412+1),$V412/365*(Y412-$R412+1))))),0)</f>
        <v>0</v>
      </c>
      <c r="AA412" s="163">
        <f t="shared" ref="AA412:AA414" si="4867">Y412+1</f>
        <v>45689</v>
      </c>
      <c r="AB412" s="163">
        <f t="shared" ref="AB412:AB414" si="4868">AA412+27</f>
        <v>45716</v>
      </c>
      <c r="AC412" s="167">
        <f t="shared" ref="AC412:AC414" si="4869">IFERROR(IF(($R412-AB412)&gt;=0,0,IF(($S412-AA412)&lt;0,0,IF(AND(($S412-AB412)&gt;0,(AA412-$R412)&gt;0),$V412/365*(AB412-AA412+1),IF(AND(($S412-AB412)&lt;=0,(AA412-$R412)&gt;0),$V412/365*($S412-AA412+1),$V412/365*(AB412-$R412+1))))),0)</f>
        <v>0</v>
      </c>
      <c r="AD412" s="163">
        <f t="shared" ref="AD412:AD414" si="4870">AB412+1</f>
        <v>45717</v>
      </c>
      <c r="AE412" s="163">
        <f t="shared" ref="AE412:AE414" si="4871">AD412+30</f>
        <v>45747</v>
      </c>
      <c r="AF412" s="167">
        <f t="shared" ref="AF412:AF414" si="4872">IFERROR(IF(($R412-AE412)&gt;=0,0,IF(($S412-AD412)&lt;0,0,IF(AND(($S412-AE412)&gt;0,(AD412-$R412)&gt;0),$V412/365*(AE412-AD412+1),IF(AND(($S412-AE412)&lt;=0,(AD412-$R412)&gt;0),$V412/365*($S412-AD412+1),$V412/365*(AE412-$R412+1))))),0)</f>
        <v>0</v>
      </c>
      <c r="AG412" s="163">
        <f t="shared" ref="AG412:AG414" si="4873">AE412+1</f>
        <v>45748</v>
      </c>
      <c r="AH412" s="163">
        <f t="shared" ref="AH412:AH414" si="4874">AG412+29</f>
        <v>45777</v>
      </c>
      <c r="AI412" s="167">
        <f t="shared" ref="AI412:AI414" si="4875">IFERROR(IF(($R412-AH412)&gt;=0,0,IF(($S412-AG412)&lt;0,0,IF(AND(($S412-AH412)&gt;0,(AG412-$R412)&gt;0),$V412/365*(AH412-AG412+1),IF(AND(($S412-AH412)&lt;=0,(AG412-$R412)&gt;0),$V412/365*($S412-AG412+1),$V412/365*(AH412-$R412+1))))),0)</f>
        <v>0</v>
      </c>
      <c r="AJ412" s="163">
        <f t="shared" ref="AJ412:AJ414" si="4876">AH412+1</f>
        <v>45778</v>
      </c>
      <c r="AK412" s="163">
        <f t="shared" ref="AK412:AK414" si="4877">AJ412+30</f>
        <v>45808</v>
      </c>
      <c r="AL412" s="167">
        <f t="shared" ref="AL412:AL414" si="4878">IFERROR(IF(($R412-AK412)&gt;=0,0,IF(($S412-AJ412)&lt;0,0,IF(AND(($S412-AK412)&gt;0,(AJ412-$R412)&gt;0),$V412/365*(AK412-AJ412+1),IF(AND(($S412-AK412)&lt;=0,(AJ412-$R412)&gt;0),$V412/365*($S412-AJ412+1),$V412/365*(AK412-$R412+1))))),0)</f>
        <v>0</v>
      </c>
      <c r="AM412" s="163">
        <f t="shared" ref="AM412:AM414" si="4879">AK412+1</f>
        <v>45809</v>
      </c>
      <c r="AN412" s="163">
        <f t="shared" ref="AN412:AN414" si="4880">AM412+29</f>
        <v>45838</v>
      </c>
      <c r="AO412" s="167">
        <f t="shared" ref="AO412:AO414" si="4881">IFERROR(IF(($R412-AN412)&gt;=0,0,IF(($S412-AM412)&lt;0,0,IF(AND(($S412-AN412)&gt;0,(AM412-$R412)&gt;0),$V412/365*(AN412-AM412+1),IF(AND(($S412-AN412)&lt;=0,(AM412-$R412)&gt;0),$V412/365*($S412-AM412+1),$V412/365*(AN412-$R412+1))))),0)</f>
        <v>0</v>
      </c>
      <c r="AP412" s="163">
        <f t="shared" ref="AP412:AP414" si="4882">AN412+1</f>
        <v>45839</v>
      </c>
      <c r="AQ412" s="163">
        <f t="shared" ref="AQ412:AQ414" si="4883">AP412+30</f>
        <v>45869</v>
      </c>
      <c r="AR412" s="167">
        <f t="shared" ref="AR412:AR414" si="4884">IFERROR(IF(($R412-AQ412)&gt;=0,0,IF(($S412-AP412)&lt;0,0,IF(AND(($S412-AQ412)&gt;0,(AP412-$R412)&gt;0),$V412/365*(AQ412-AP412+1),IF(AND(($S412-AQ412)&lt;=0,(AP412-$R412)&gt;0),$V412/365*($S412-AP412+1),$V412/365*(AQ412-$R412+1))))),0)</f>
        <v>0</v>
      </c>
      <c r="AS412" s="163">
        <f t="shared" ref="AS412:AS414" si="4885">AQ412+1</f>
        <v>45870</v>
      </c>
      <c r="AT412" s="163">
        <f t="shared" ref="AT412:AT414" si="4886">AS412+30</f>
        <v>45900</v>
      </c>
      <c r="AU412" s="167">
        <f t="shared" ref="AU412:AU414" si="4887">IFERROR(IF(($R412-AT412)&gt;=0,0,IF(($S412-AS412)&lt;0,0,IF(AND(($S412-AT412)&gt;0,(AS412-$R412)&gt;0),$V412/365*(AT412-AS412+1),IF(AND(($S412-AT412)&lt;=0,(AS412-$R412)&gt;0),$V412/365*($S412-AS412+1),$V412/365*(AT412-$R412+1))))),0)</f>
        <v>0</v>
      </c>
      <c r="AV412" s="163">
        <f t="shared" ref="AV412:AV414" si="4888">AT412+1</f>
        <v>45901</v>
      </c>
      <c r="AW412" s="163">
        <f t="shared" ref="AW412:AW414" si="4889">AV412+29</f>
        <v>45930</v>
      </c>
      <c r="AX412" s="167">
        <f t="shared" ref="AX412:AX414" si="4890">IFERROR(IF(($R412-AW412)&gt;=0,0,IF(($S412-AV412)&lt;0,0,IF(AND(($S412-AW412)&gt;0,(AV412-$R412)&gt;0),$V412/365*(AW412-AV412+1),IF(AND(($S412-AW412)&lt;=0,(AV412-$R412)&gt;0),$V412/365*($S412-AV412+1),$V412/365*(AW412-$R412+1))))),0)</f>
        <v>0</v>
      </c>
      <c r="AY412" s="163">
        <f t="shared" ref="AY412:AY414" si="4891">AW412+1</f>
        <v>45931</v>
      </c>
      <c r="AZ412" s="163">
        <f t="shared" ref="AZ412:AZ414" si="4892">AY412+30</f>
        <v>45961</v>
      </c>
      <c r="BA412" s="167">
        <f t="shared" ref="BA412:BA414" si="4893">IFERROR(IF(($R412-AZ412)&gt;=0,0,IF(($S412-AY412)&lt;0,0,IF(AND(($S412-AZ412)&gt;0,(AY412-$R412)&gt;0),$V412/365*(AZ412-AY412+1),IF(AND(($S412-AZ412)&lt;=0,(AY412-$R412)&gt;0),$V412/365*($S412-AY412+1),$V412/365*(AZ412-$R412+1))))),0)</f>
        <v>0</v>
      </c>
      <c r="BB412" s="163">
        <f t="shared" ref="BB412:BB414" si="4894">AZ412+1</f>
        <v>45962</v>
      </c>
      <c r="BC412" s="163">
        <f t="shared" ref="BC412:BC414" si="4895">BB412+29</f>
        <v>45991</v>
      </c>
      <c r="BD412" s="167">
        <f t="shared" ref="BD412:BD414" si="4896">IFERROR(IF(($R412-BC412)&gt;=0,0,IF(($S412-BB412)&lt;0,0,IF(AND(($S412-BC412)&gt;0,(BB412-$R412)&gt;0),$V412/365*(BC412-BB412+1),IF(AND(($S412-BC412)&lt;=0,(BB412-$R412)&gt;0),$V412/365*($S412-BB412+1),$V412/365*(BC412-$R412+1))))),0)</f>
        <v>0</v>
      </c>
      <c r="BE412" s="163">
        <f t="shared" ref="BE412:BE414" si="4897">BC412+1</f>
        <v>45992</v>
      </c>
      <c r="BF412" s="163">
        <f t="shared" ref="BF412:BF414" si="4898">BE412+30</f>
        <v>46022</v>
      </c>
      <c r="BG412" s="167">
        <f t="shared" ref="BG412:BG414" si="4899">IFERROR(IF(($R412-BF412)&gt;=0,0,IF(($S412-BE412)&lt;0,0,IF(AND(($S412-BF412)&gt;0,(BE412-$R412)&gt;0),$V412/365*(BF412-BE412+1),IF(AND(($S412-BF412)&lt;=0,(BE412-$R412)&gt;0),$V412/365*($S412-BE412+1),$V412/365*(BF412-$R412+1))))),0)</f>
        <v>0</v>
      </c>
      <c r="BH412" s="163">
        <v>46023</v>
      </c>
      <c r="BI412" s="163">
        <f t="shared" ref="BI412:BI414" si="4900">BH412+30</f>
        <v>46053</v>
      </c>
      <c r="BJ412" s="167">
        <f t="shared" ref="BJ412:BJ414" si="4901">IFERROR(IF(($R412-BI412)&gt;=0,0,IF(($S412-BH412)&lt;0,0,IF(AND(($S412-BI412)&gt;0,(BH412-$R412)&gt;0),$V412/365*(BI412-BH412+1),IF(AND(($S412-BI412)&lt;=0,(BH412-$R412)&gt;0),$V412/365*($S412-BH412+1),$V412/365*(BI412-$R412+1))))),0)</f>
        <v>0</v>
      </c>
      <c r="BK412" s="163">
        <f t="shared" ref="BK412:BK414" si="4902">BI412+1</f>
        <v>46054</v>
      </c>
      <c r="BL412" s="163">
        <f t="shared" ref="BL412:BL414" si="4903">BK412+27</f>
        <v>46081</v>
      </c>
      <c r="BM412" s="167">
        <f t="shared" ref="BM412:BM414" si="4904">IFERROR(IF(($R412-BL412)&gt;=0,0,IF(($S412-BK412)&lt;0,0,IF(AND(($S412-BL412)&gt;0,(BK412-$R412)&gt;0),$V412/365*(BL412-BK412+1),IF(AND(($S412-BL412)&lt;=0,(BK412-$R412)&gt;0),$V412/365*($S412-BK412+1),$V412/365*(BL412-$R412+1))))),0)</f>
        <v>0</v>
      </c>
      <c r="BN412" s="163">
        <f t="shared" ref="BN412:BN414" si="4905">BL412+1</f>
        <v>46082</v>
      </c>
      <c r="BO412" s="163">
        <f t="shared" ref="BO412:BO414" si="4906">BN412+30</f>
        <v>46112</v>
      </c>
      <c r="BP412" s="167">
        <f t="shared" ref="BP412:BP414" si="4907">IFERROR(IF(($R412-BO412)&gt;=0,0,IF(($S412-BN412)&lt;0,0,IF(AND(($S412-BO412)&gt;0,(BN412-$R412)&gt;0),$V412/365*(BO412-BN412+1),IF(AND(($S412-BO412)&lt;=0,(BN412-$R412)&gt;0),$V412/365*($S412-BN412+1),$V412/365*(BO412-$R412+1))))),0)</f>
        <v>0</v>
      </c>
      <c r="BQ412" s="163">
        <f t="shared" ref="BQ412:BQ414" si="4908">BO412+1</f>
        <v>46113</v>
      </c>
      <c r="BR412" s="163">
        <f t="shared" ref="BR412:BR414" si="4909">BQ412+29</f>
        <v>46142</v>
      </c>
      <c r="BS412" s="167">
        <f t="shared" ref="BS412:BS414" si="4910">IFERROR(IF(($R412-BR412)&gt;=0,0,IF(($S412-BQ412)&lt;0,0,IF(AND(($S412-BR412)&gt;0,(BQ412-$R412)&gt;0),$V412/365*(BR412-BQ412+1),IF(AND(($S412-BR412)&lt;=0,(BQ412-$R412)&gt;0),$V412/365*($S412-BQ412+1),$V412/365*(BR412-$R412+1))))),0)</f>
        <v>0</v>
      </c>
      <c r="BT412" s="163">
        <f t="shared" ref="BT412:BT414" si="4911">BR412+1</f>
        <v>46143</v>
      </c>
      <c r="BU412" s="163">
        <f t="shared" ref="BU412:BU414" si="4912">BT412+30</f>
        <v>46173</v>
      </c>
      <c r="BV412" s="167">
        <f t="shared" ref="BV412:BV414" si="4913">IFERROR(IF(($R412-BU412)&gt;=0,0,IF(($S412-BT412)&lt;0,0,IF(AND(($S412-BU412)&gt;0,(BT412-$R412)&gt;0),$V412/365*(BU412-BT412+1),IF(AND(($S412-BU412)&lt;=0,(BT412-$R412)&gt;0),$V412/365*($S412-BT412+1),$V412/365*(BU412-$R412+1))))),0)</f>
        <v>0</v>
      </c>
      <c r="BW412" s="163">
        <f t="shared" ref="BW412:BW414" si="4914">BU412+1</f>
        <v>46174</v>
      </c>
      <c r="BX412" s="163">
        <f t="shared" ref="BX412:BX414" si="4915">BW412+29</f>
        <v>46203</v>
      </c>
      <c r="BY412" s="167">
        <f t="shared" ref="BY412:BY414" si="4916">IFERROR(IF(($R412-BX412)&gt;=0,0,IF(($S412-BW412)&lt;0,0,IF(AND(($S412-BX412)&gt;0,(BW412-$R412)&gt;0),$V412/365*(BX412-BW412+1),IF(AND(($S412-BX412)&lt;=0,(BW412-$R412)&gt;0),$V412/365*($S412-BW412+1),$V412/365*(BX412-$R412+1))))),0)</f>
        <v>0</v>
      </c>
      <c r="BZ412" s="163">
        <f t="shared" ref="BZ412:BZ414" si="4917">BX412+1</f>
        <v>46204</v>
      </c>
      <c r="CA412" s="163">
        <f t="shared" ref="CA412:CA414" si="4918">BZ412+30</f>
        <v>46234</v>
      </c>
      <c r="CB412" s="167">
        <f t="shared" ref="CB412:CB414" si="4919">IFERROR(IF(($R412-CA412)&gt;=0,0,IF(($S412-BZ412)&lt;0,0,IF(AND(($S412-CA412)&gt;0,(BZ412-$R412)&gt;0),$V412/365*(CA412-BZ412+1),IF(AND(($S412-CA412)&lt;=0,(BZ412-$R412)&gt;0),$V412/365*($S412-BZ412+1),$V412/365*(CA412-$R412+1))))),0)</f>
        <v>0</v>
      </c>
      <c r="CC412" s="163">
        <f t="shared" ref="CC412:CC414" si="4920">CA412+1</f>
        <v>46235</v>
      </c>
      <c r="CD412" s="163">
        <f t="shared" ref="CD412:CD414" si="4921">CC412+30</f>
        <v>46265</v>
      </c>
      <c r="CE412" s="167">
        <f t="shared" ref="CE412:CE414" si="4922">IFERROR(IF(($R412-CD412)&gt;=0,0,IF(($S412-CC412)&lt;0,0,IF(AND(($S412-CD412)&gt;0,(CC412-$R412)&gt;0),$V412/365*(CD412-CC412+1),IF(AND(($S412-CD412)&lt;=0,(CC412-$R412)&gt;0),$V412/365*($S412-CC412+1),$V412/365*(CD412-$R412+1))))),0)</f>
        <v>0</v>
      </c>
      <c r="CF412" s="163">
        <f t="shared" ref="CF412:CF414" si="4923">CD412+1</f>
        <v>46266</v>
      </c>
      <c r="CG412" s="163">
        <f t="shared" ref="CG412:CG414" si="4924">CF412+29</f>
        <v>46295</v>
      </c>
      <c r="CH412" s="167">
        <f t="shared" ref="CH412:CH414" si="4925">IFERROR(IF(($R412-CG412)&gt;=0,0,IF(($S412-CF412)&lt;0,0,IF(AND(($S412-CG412)&gt;0,(CF412-$R412)&gt;0),$V412/365*(CG412-CF412+1),IF(AND(($S412-CG412)&lt;=0,(CF412-$R412)&gt;0),$V412/365*($S412-CF412+1),$V412/365*(CG412-$R412+1))))),0)</f>
        <v>0</v>
      </c>
      <c r="CI412" s="163">
        <f t="shared" ref="CI412:CI414" si="4926">CG412+1</f>
        <v>46296</v>
      </c>
      <c r="CJ412" s="163">
        <f t="shared" ref="CJ412:CJ414" si="4927">CI412+30</f>
        <v>46326</v>
      </c>
      <c r="CK412" s="167">
        <f t="shared" ref="CK412:CK414" si="4928">IFERROR(IF(($R412-CJ412)&gt;=0,0,IF(($S412-CI412)&lt;0,0,IF(AND(($S412-CJ412)&gt;0,(CI412-$R412)&gt;0),$V412/365*(CJ412-CI412+1),IF(AND(($S412-CJ412)&lt;=0,(CI412-$R412)&gt;0),$V412/365*($S412-CI412+1),$V412/365*(CJ412-$R412+1))))),0)</f>
        <v>0</v>
      </c>
      <c r="CL412" s="163">
        <f t="shared" ref="CL412:CL414" si="4929">CJ412+1</f>
        <v>46327</v>
      </c>
      <c r="CM412" s="163">
        <f t="shared" ref="CM412:CM414" si="4930">CL412+29</f>
        <v>46356</v>
      </c>
      <c r="CN412" s="167">
        <f t="shared" ref="CN412:CN414" si="4931">IFERROR(IF(($R412-CM412)&gt;=0,0,IF(($S412-CL412)&lt;0,0,IF(AND(($S412-CM412)&gt;0,(CL412-$R412)&gt;0),$V412/365*(CM412-CL412+1),IF(AND(($S412-CM412)&lt;=0,(CL412-$R412)&gt;0),$V412/365*($S412-CL412+1),$V412/365*(CM412-$R412+1))))),0)</f>
        <v>0</v>
      </c>
      <c r="CO412" s="163">
        <f t="shared" ref="CO412:CO414" si="4932">CM412+1</f>
        <v>46357</v>
      </c>
      <c r="CP412" s="163">
        <f t="shared" ref="CP412:CP414" si="4933">CO412+30</f>
        <v>46387</v>
      </c>
      <c r="CQ412" s="167">
        <f t="shared" ref="CQ412:CQ414" si="4934">IFERROR(IF(($R412-CP412)&gt;=0,0,IF(($S412-CO412)&lt;0,0,IF(AND(($S412-CP412)&gt;0,(CO412-$R412)&gt;0),$V412/365*(CP412-CO412+1),IF(AND(($S412-CP412)&lt;=0,(CO412-$R412)&gt;0),$V412/365*($S412-CO412+1),$V412/365*(CP412-$R412+1))))),0)</f>
        <v>0</v>
      </c>
    </row>
    <row r="413" s="89" customFormat="1" ht="24" hidden="1" customHeight="1" outlineLevel="4" spans="1:95">
      <c r="A413" s="128"/>
      <c r="B413" s="129"/>
      <c r="C413" s="130"/>
      <c r="D413" s="128"/>
      <c r="E413" s="129"/>
      <c r="F413" s="129"/>
      <c r="G413" s="129"/>
      <c r="H413" s="131"/>
      <c r="I413" s="131"/>
      <c r="J413" s="131">
        <f t="shared" si="4646"/>
        <v>0</v>
      </c>
      <c r="K413" s="131">
        <f t="shared" si="4863"/>
        <v>2</v>
      </c>
      <c r="L413" s="156"/>
      <c r="M413" s="157">
        <f>IFERROR(VLOOKUP($L413,'2-2 引出数据_合同数据仓库'!$B$5:$BP$200,3,FALSE),0)</f>
        <v>0</v>
      </c>
      <c r="N413" s="131"/>
      <c r="O413" s="157">
        <f>IFERROR(VLOOKUP((LEFT(VLOOKUP($L413,'2-2 引出数据_合同数据仓库'!$B$5:$BP$200,64,FALSE),15)&amp;(RIGHT(VLOOKUP($L413,'2-2 引出数据_合同数据仓库'!$B$5:$BP$200,64,FALSE),4)+1)),'2-2 引出数据_合同数据仓库'!$B$5:$BP$200,3,FALSE),0)</f>
        <v>0</v>
      </c>
      <c r="P413" s="131"/>
      <c r="Q413" s="131">
        <f>IFERROR(VLOOKUP($L413,'2-2 引出数据_合同数据仓库'!$B$5:$BP$200,28,FALSE),0)</f>
        <v>0</v>
      </c>
      <c r="R413" s="131">
        <f>IFERROR(VLOOKUP($L413,'2-2 引出数据_合同数据仓库'!$B$5:$BP$200,29,FALSE),0)</f>
        <v>0</v>
      </c>
      <c r="S413" s="131">
        <f>IFERROR(VLOOKUP($L413,'2-2 引出数据_合同数据仓库'!$B$5:$BP$200,4,FALSE),0)</f>
        <v>0</v>
      </c>
      <c r="T413" s="131"/>
      <c r="U413" s="131">
        <f>IFERROR(VLOOKUP($L413,'2-2 引出数据_合同数据仓库'!$B$5:$BP$200,15,FALSE),0)</f>
        <v>0</v>
      </c>
      <c r="V413" s="131">
        <f t="shared" si="4864"/>
        <v>0</v>
      </c>
      <c r="W413" s="131"/>
      <c r="X413" s="163">
        <v>45658</v>
      </c>
      <c r="Y413" s="163">
        <f t="shared" si="4865"/>
        <v>45688</v>
      </c>
      <c r="Z413" s="167">
        <f t="shared" si="4866"/>
        <v>0</v>
      </c>
      <c r="AA413" s="163">
        <f t="shared" si="4867"/>
        <v>45689</v>
      </c>
      <c r="AB413" s="163">
        <f t="shared" si="4868"/>
        <v>45716</v>
      </c>
      <c r="AC413" s="167">
        <f t="shared" si="4869"/>
        <v>0</v>
      </c>
      <c r="AD413" s="163">
        <f t="shared" si="4870"/>
        <v>45717</v>
      </c>
      <c r="AE413" s="163">
        <f t="shared" si="4871"/>
        <v>45747</v>
      </c>
      <c r="AF413" s="167">
        <f t="shared" si="4872"/>
        <v>0</v>
      </c>
      <c r="AG413" s="163">
        <f t="shared" si="4873"/>
        <v>45748</v>
      </c>
      <c r="AH413" s="163">
        <f t="shared" si="4874"/>
        <v>45777</v>
      </c>
      <c r="AI413" s="167">
        <f t="shared" si="4875"/>
        <v>0</v>
      </c>
      <c r="AJ413" s="163">
        <f t="shared" si="4876"/>
        <v>45778</v>
      </c>
      <c r="AK413" s="163">
        <f t="shared" si="4877"/>
        <v>45808</v>
      </c>
      <c r="AL413" s="167">
        <f t="shared" si="4878"/>
        <v>0</v>
      </c>
      <c r="AM413" s="163">
        <f t="shared" si="4879"/>
        <v>45809</v>
      </c>
      <c r="AN413" s="163">
        <f t="shared" si="4880"/>
        <v>45838</v>
      </c>
      <c r="AO413" s="167">
        <f t="shared" si="4881"/>
        <v>0</v>
      </c>
      <c r="AP413" s="163">
        <f t="shared" si="4882"/>
        <v>45839</v>
      </c>
      <c r="AQ413" s="163">
        <f t="shared" si="4883"/>
        <v>45869</v>
      </c>
      <c r="AR413" s="167">
        <f t="shared" si="4884"/>
        <v>0</v>
      </c>
      <c r="AS413" s="163">
        <f t="shared" si="4885"/>
        <v>45870</v>
      </c>
      <c r="AT413" s="163">
        <f t="shared" si="4886"/>
        <v>45900</v>
      </c>
      <c r="AU413" s="167">
        <f t="shared" si="4887"/>
        <v>0</v>
      </c>
      <c r="AV413" s="163">
        <f t="shared" si="4888"/>
        <v>45901</v>
      </c>
      <c r="AW413" s="163">
        <f t="shared" si="4889"/>
        <v>45930</v>
      </c>
      <c r="AX413" s="167">
        <f t="shared" si="4890"/>
        <v>0</v>
      </c>
      <c r="AY413" s="163">
        <f t="shared" si="4891"/>
        <v>45931</v>
      </c>
      <c r="AZ413" s="163">
        <f t="shared" si="4892"/>
        <v>45961</v>
      </c>
      <c r="BA413" s="167">
        <f t="shared" si="4893"/>
        <v>0</v>
      </c>
      <c r="BB413" s="163">
        <f t="shared" si="4894"/>
        <v>45962</v>
      </c>
      <c r="BC413" s="163">
        <f t="shared" si="4895"/>
        <v>45991</v>
      </c>
      <c r="BD413" s="167">
        <f t="shared" si="4896"/>
        <v>0</v>
      </c>
      <c r="BE413" s="163">
        <f t="shared" si="4897"/>
        <v>45992</v>
      </c>
      <c r="BF413" s="163">
        <f t="shared" si="4898"/>
        <v>46022</v>
      </c>
      <c r="BG413" s="167">
        <f t="shared" si="4899"/>
        <v>0</v>
      </c>
      <c r="BH413" s="163">
        <v>46023</v>
      </c>
      <c r="BI413" s="163">
        <f t="shared" si="4900"/>
        <v>46053</v>
      </c>
      <c r="BJ413" s="167">
        <f t="shared" si="4901"/>
        <v>0</v>
      </c>
      <c r="BK413" s="163">
        <f t="shared" si="4902"/>
        <v>46054</v>
      </c>
      <c r="BL413" s="163">
        <f t="shared" si="4903"/>
        <v>46081</v>
      </c>
      <c r="BM413" s="167">
        <f t="shared" si="4904"/>
        <v>0</v>
      </c>
      <c r="BN413" s="163">
        <f t="shared" si="4905"/>
        <v>46082</v>
      </c>
      <c r="BO413" s="163">
        <f t="shared" si="4906"/>
        <v>46112</v>
      </c>
      <c r="BP413" s="167">
        <f t="shared" si="4907"/>
        <v>0</v>
      </c>
      <c r="BQ413" s="163">
        <f t="shared" si="4908"/>
        <v>46113</v>
      </c>
      <c r="BR413" s="163">
        <f t="shared" si="4909"/>
        <v>46142</v>
      </c>
      <c r="BS413" s="167">
        <f t="shared" si="4910"/>
        <v>0</v>
      </c>
      <c r="BT413" s="163">
        <f t="shared" si="4911"/>
        <v>46143</v>
      </c>
      <c r="BU413" s="163">
        <f t="shared" si="4912"/>
        <v>46173</v>
      </c>
      <c r="BV413" s="167">
        <f t="shared" si="4913"/>
        <v>0</v>
      </c>
      <c r="BW413" s="163">
        <f t="shared" si="4914"/>
        <v>46174</v>
      </c>
      <c r="BX413" s="163">
        <f t="shared" si="4915"/>
        <v>46203</v>
      </c>
      <c r="BY413" s="167">
        <f t="shared" si="4916"/>
        <v>0</v>
      </c>
      <c r="BZ413" s="163">
        <f t="shared" si="4917"/>
        <v>46204</v>
      </c>
      <c r="CA413" s="163">
        <f t="shared" si="4918"/>
        <v>46234</v>
      </c>
      <c r="CB413" s="167">
        <f t="shared" si="4919"/>
        <v>0</v>
      </c>
      <c r="CC413" s="163">
        <f t="shared" si="4920"/>
        <v>46235</v>
      </c>
      <c r="CD413" s="163">
        <f t="shared" si="4921"/>
        <v>46265</v>
      </c>
      <c r="CE413" s="167">
        <f t="shared" si="4922"/>
        <v>0</v>
      </c>
      <c r="CF413" s="163">
        <f t="shared" si="4923"/>
        <v>46266</v>
      </c>
      <c r="CG413" s="163">
        <f t="shared" si="4924"/>
        <v>46295</v>
      </c>
      <c r="CH413" s="167">
        <f t="shared" si="4925"/>
        <v>0</v>
      </c>
      <c r="CI413" s="163">
        <f t="shared" si="4926"/>
        <v>46296</v>
      </c>
      <c r="CJ413" s="163">
        <f t="shared" si="4927"/>
        <v>46326</v>
      </c>
      <c r="CK413" s="167">
        <f t="shared" si="4928"/>
        <v>0</v>
      </c>
      <c r="CL413" s="163">
        <f t="shared" si="4929"/>
        <v>46327</v>
      </c>
      <c r="CM413" s="163">
        <f t="shared" si="4930"/>
        <v>46356</v>
      </c>
      <c r="CN413" s="167">
        <f t="shared" si="4931"/>
        <v>0</v>
      </c>
      <c r="CO413" s="163">
        <f t="shared" si="4932"/>
        <v>46357</v>
      </c>
      <c r="CP413" s="163">
        <f t="shared" si="4933"/>
        <v>46387</v>
      </c>
      <c r="CQ413" s="167">
        <f t="shared" si="4934"/>
        <v>0</v>
      </c>
    </row>
    <row r="414" s="89" customFormat="1" ht="24" hidden="1" customHeight="1" outlineLevel="4" spans="1:95">
      <c r="A414" s="128"/>
      <c r="B414" s="129"/>
      <c r="C414" s="130"/>
      <c r="D414" s="128"/>
      <c r="E414" s="129"/>
      <c r="F414" s="129"/>
      <c r="G414" s="129"/>
      <c r="H414" s="131"/>
      <c r="I414" s="131"/>
      <c r="J414" s="131">
        <f t="shared" si="4646"/>
        <v>0</v>
      </c>
      <c r="K414" s="131">
        <f t="shared" si="4863"/>
        <v>3</v>
      </c>
      <c r="L414" s="156"/>
      <c r="M414" s="157">
        <f>IFERROR(VLOOKUP($L414,'2-2 引出数据_合同数据仓库'!$B$5:$BP$200,3,FALSE),0)</f>
        <v>0</v>
      </c>
      <c r="N414" s="131"/>
      <c r="O414" s="157">
        <f>IFERROR(VLOOKUP((LEFT(VLOOKUP($L414,'2-2 引出数据_合同数据仓库'!$B$5:$BP$200,64,FALSE),15)&amp;(RIGHT(VLOOKUP($L414,'2-2 引出数据_合同数据仓库'!$B$5:$BP$200,64,FALSE),4)+1)),'2-2 引出数据_合同数据仓库'!$B$5:$BP$200,3,FALSE),0)</f>
        <v>0</v>
      </c>
      <c r="P414" s="131"/>
      <c r="Q414" s="131">
        <f>IFERROR(VLOOKUP($L414,'2-2 引出数据_合同数据仓库'!$B$5:$BP$200,28,FALSE),0)</f>
        <v>0</v>
      </c>
      <c r="R414" s="131">
        <f>IFERROR(VLOOKUP($L414,'2-2 引出数据_合同数据仓库'!$B$5:$BP$200,29,FALSE),0)</f>
        <v>0</v>
      </c>
      <c r="S414" s="131">
        <f>IFERROR(VLOOKUP($L414,'2-2 引出数据_合同数据仓库'!$B$5:$BP$200,4,FALSE),0)</f>
        <v>0</v>
      </c>
      <c r="T414" s="131"/>
      <c r="U414" s="131">
        <f>IFERROR(VLOOKUP($L414,'2-2 引出数据_合同数据仓库'!$B$5:$BP$200,15,FALSE),0)</f>
        <v>0</v>
      </c>
      <c r="V414" s="131">
        <f t="shared" si="4864"/>
        <v>0</v>
      </c>
      <c r="W414" s="131"/>
      <c r="X414" s="163">
        <v>45658</v>
      </c>
      <c r="Y414" s="163">
        <f t="shared" si="4865"/>
        <v>45688</v>
      </c>
      <c r="Z414" s="167">
        <f t="shared" si="4866"/>
        <v>0</v>
      </c>
      <c r="AA414" s="163">
        <f t="shared" si="4867"/>
        <v>45689</v>
      </c>
      <c r="AB414" s="163">
        <f t="shared" si="4868"/>
        <v>45716</v>
      </c>
      <c r="AC414" s="167">
        <f t="shared" si="4869"/>
        <v>0</v>
      </c>
      <c r="AD414" s="163">
        <f t="shared" si="4870"/>
        <v>45717</v>
      </c>
      <c r="AE414" s="163">
        <f t="shared" si="4871"/>
        <v>45747</v>
      </c>
      <c r="AF414" s="167">
        <f t="shared" si="4872"/>
        <v>0</v>
      </c>
      <c r="AG414" s="163">
        <f t="shared" si="4873"/>
        <v>45748</v>
      </c>
      <c r="AH414" s="163">
        <f t="shared" si="4874"/>
        <v>45777</v>
      </c>
      <c r="AI414" s="167">
        <f t="shared" si="4875"/>
        <v>0</v>
      </c>
      <c r="AJ414" s="163">
        <f t="shared" si="4876"/>
        <v>45778</v>
      </c>
      <c r="AK414" s="163">
        <f t="shared" si="4877"/>
        <v>45808</v>
      </c>
      <c r="AL414" s="167">
        <f t="shared" si="4878"/>
        <v>0</v>
      </c>
      <c r="AM414" s="163">
        <f t="shared" si="4879"/>
        <v>45809</v>
      </c>
      <c r="AN414" s="163">
        <f t="shared" si="4880"/>
        <v>45838</v>
      </c>
      <c r="AO414" s="167">
        <f t="shared" si="4881"/>
        <v>0</v>
      </c>
      <c r="AP414" s="163">
        <f t="shared" si="4882"/>
        <v>45839</v>
      </c>
      <c r="AQ414" s="163">
        <f t="shared" si="4883"/>
        <v>45869</v>
      </c>
      <c r="AR414" s="167">
        <f t="shared" si="4884"/>
        <v>0</v>
      </c>
      <c r="AS414" s="163">
        <f t="shared" si="4885"/>
        <v>45870</v>
      </c>
      <c r="AT414" s="163">
        <f t="shared" si="4886"/>
        <v>45900</v>
      </c>
      <c r="AU414" s="167">
        <f t="shared" si="4887"/>
        <v>0</v>
      </c>
      <c r="AV414" s="163">
        <f t="shared" si="4888"/>
        <v>45901</v>
      </c>
      <c r="AW414" s="163">
        <f t="shared" si="4889"/>
        <v>45930</v>
      </c>
      <c r="AX414" s="167">
        <f t="shared" si="4890"/>
        <v>0</v>
      </c>
      <c r="AY414" s="163">
        <f t="shared" si="4891"/>
        <v>45931</v>
      </c>
      <c r="AZ414" s="163">
        <f t="shared" si="4892"/>
        <v>45961</v>
      </c>
      <c r="BA414" s="167">
        <f t="shared" si="4893"/>
        <v>0</v>
      </c>
      <c r="BB414" s="163">
        <f t="shared" si="4894"/>
        <v>45962</v>
      </c>
      <c r="BC414" s="163">
        <f t="shared" si="4895"/>
        <v>45991</v>
      </c>
      <c r="BD414" s="167">
        <f t="shared" si="4896"/>
        <v>0</v>
      </c>
      <c r="BE414" s="163">
        <f t="shared" si="4897"/>
        <v>45992</v>
      </c>
      <c r="BF414" s="163">
        <f t="shared" si="4898"/>
        <v>46022</v>
      </c>
      <c r="BG414" s="167">
        <f t="shared" si="4899"/>
        <v>0</v>
      </c>
      <c r="BH414" s="163">
        <v>46023</v>
      </c>
      <c r="BI414" s="163">
        <f t="shared" si="4900"/>
        <v>46053</v>
      </c>
      <c r="BJ414" s="167">
        <f t="shared" si="4901"/>
        <v>0</v>
      </c>
      <c r="BK414" s="163">
        <f t="shared" si="4902"/>
        <v>46054</v>
      </c>
      <c r="BL414" s="163">
        <f t="shared" si="4903"/>
        <v>46081</v>
      </c>
      <c r="BM414" s="167">
        <f t="shared" si="4904"/>
        <v>0</v>
      </c>
      <c r="BN414" s="163">
        <f t="shared" si="4905"/>
        <v>46082</v>
      </c>
      <c r="BO414" s="163">
        <f t="shared" si="4906"/>
        <v>46112</v>
      </c>
      <c r="BP414" s="167">
        <f t="shared" si="4907"/>
        <v>0</v>
      </c>
      <c r="BQ414" s="163">
        <f t="shared" si="4908"/>
        <v>46113</v>
      </c>
      <c r="BR414" s="163">
        <f t="shared" si="4909"/>
        <v>46142</v>
      </c>
      <c r="BS414" s="167">
        <f t="shared" si="4910"/>
        <v>0</v>
      </c>
      <c r="BT414" s="163">
        <f t="shared" si="4911"/>
        <v>46143</v>
      </c>
      <c r="BU414" s="163">
        <f t="shared" si="4912"/>
        <v>46173</v>
      </c>
      <c r="BV414" s="167">
        <f t="shared" si="4913"/>
        <v>0</v>
      </c>
      <c r="BW414" s="163">
        <f t="shared" si="4914"/>
        <v>46174</v>
      </c>
      <c r="BX414" s="163">
        <f t="shared" si="4915"/>
        <v>46203</v>
      </c>
      <c r="BY414" s="167">
        <f t="shared" si="4916"/>
        <v>0</v>
      </c>
      <c r="BZ414" s="163">
        <f t="shared" si="4917"/>
        <v>46204</v>
      </c>
      <c r="CA414" s="163">
        <f t="shared" si="4918"/>
        <v>46234</v>
      </c>
      <c r="CB414" s="167">
        <f t="shared" si="4919"/>
        <v>0</v>
      </c>
      <c r="CC414" s="163">
        <f t="shared" si="4920"/>
        <v>46235</v>
      </c>
      <c r="CD414" s="163">
        <f t="shared" si="4921"/>
        <v>46265</v>
      </c>
      <c r="CE414" s="167">
        <f t="shared" si="4922"/>
        <v>0</v>
      </c>
      <c r="CF414" s="163">
        <f t="shared" si="4923"/>
        <v>46266</v>
      </c>
      <c r="CG414" s="163">
        <f t="shared" si="4924"/>
        <v>46295</v>
      </c>
      <c r="CH414" s="167">
        <f t="shared" si="4925"/>
        <v>0</v>
      </c>
      <c r="CI414" s="163">
        <f t="shared" si="4926"/>
        <v>46296</v>
      </c>
      <c r="CJ414" s="163">
        <f t="shared" si="4927"/>
        <v>46326</v>
      </c>
      <c r="CK414" s="167">
        <f t="shared" si="4928"/>
        <v>0</v>
      </c>
      <c r="CL414" s="163">
        <f t="shared" si="4929"/>
        <v>46327</v>
      </c>
      <c r="CM414" s="163">
        <f t="shared" si="4930"/>
        <v>46356</v>
      </c>
      <c r="CN414" s="167">
        <f t="shared" si="4931"/>
        <v>0</v>
      </c>
      <c r="CO414" s="163">
        <f t="shared" si="4932"/>
        <v>46357</v>
      </c>
      <c r="CP414" s="163">
        <f t="shared" si="4933"/>
        <v>46387</v>
      </c>
      <c r="CQ414" s="167">
        <f t="shared" si="4934"/>
        <v>0</v>
      </c>
    </row>
    <row r="415" s="89" customFormat="1" ht="24" hidden="1" customHeight="1" outlineLevel="4" spans="1:95">
      <c r="A415" s="132" t="s">
        <v>2813</v>
      </c>
      <c r="B415" s="133"/>
      <c r="C415" s="133"/>
      <c r="D415" s="133"/>
      <c r="E415" s="133"/>
      <c r="F415" s="133"/>
      <c r="G415" s="134"/>
      <c r="H415" s="135"/>
      <c r="I415" s="135"/>
      <c r="J415" s="135"/>
      <c r="K415" s="135"/>
      <c r="L415" s="158"/>
      <c r="M415" s="158"/>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c r="CL415" s="135"/>
      <c r="CM415" s="135"/>
      <c r="CN415" s="135"/>
      <c r="CO415" s="135"/>
      <c r="CP415" s="135"/>
      <c r="CQ415" s="135"/>
    </row>
    <row r="416" ht="24" hidden="1" customHeight="1" outlineLevel="3" collapsed="1" spans="1:95">
      <c r="A416" s="124"/>
      <c r="B416" s="125" t="s">
        <v>792</v>
      </c>
      <c r="C416" s="126" t="s">
        <v>1411</v>
      </c>
      <c r="D416" s="124" t="s">
        <v>1412</v>
      </c>
      <c r="E416" s="125" t="s">
        <v>1413</v>
      </c>
      <c r="F416" s="125"/>
      <c r="G416" s="125" t="s">
        <v>936</v>
      </c>
      <c r="H416" s="127">
        <f>X416+AA416+AD416+AG416+AJ416+AM416+AP416+AS416+AV416+AY416+BB416+BE416</f>
        <v>0</v>
      </c>
      <c r="I416" s="127">
        <f>Y416+AB416+AE416+AH416+AK416+AN416+AQ416+AT416+AW416+AZ416+BC416+BF416</f>
        <v>0</v>
      </c>
      <c r="J416" s="127">
        <f t="shared" si="4646"/>
        <v>0</v>
      </c>
      <c r="K416" s="127"/>
      <c r="L416" s="155"/>
      <c r="M416" s="155"/>
      <c r="N416" s="127"/>
      <c r="O416" s="127"/>
      <c r="P416" s="127"/>
      <c r="Q416" s="127"/>
      <c r="R416" s="127"/>
      <c r="S416" s="127"/>
      <c r="T416" s="127"/>
      <c r="U416" s="127"/>
      <c r="V416" s="127"/>
      <c r="W416" s="127"/>
      <c r="X416" s="127">
        <f>VLOOKUP($C416,'1 预算编制表单'!$C:$BJ,27,FALSE)</f>
        <v>0</v>
      </c>
      <c r="Y416" s="127">
        <f>X416-Z416</f>
        <v>0</v>
      </c>
      <c r="Z416" s="127">
        <f>SUM(Z417:Z421)</f>
        <v>0</v>
      </c>
      <c r="AA416" s="127">
        <f>VLOOKUP($C416,'1 预算编制表单'!$C:$BJ,30,FALSE)</f>
        <v>0</v>
      </c>
      <c r="AB416" s="127">
        <f>AA416-AC416</f>
        <v>0</v>
      </c>
      <c r="AC416" s="127">
        <f>SUM(AC417:AC421)</f>
        <v>0</v>
      </c>
      <c r="AD416" s="127">
        <f>VLOOKUP($C416,'1 预算编制表单'!$C:$BJ,33,FALSE)</f>
        <v>0</v>
      </c>
      <c r="AE416" s="127">
        <f>AD416-AF416</f>
        <v>0</v>
      </c>
      <c r="AF416" s="127">
        <f>SUM(AF417:AF421)</f>
        <v>0</v>
      </c>
      <c r="AG416" s="127">
        <f>VLOOKUP($C416,'1 预算编制表单'!$C:$BJ,36,FALSE)</f>
        <v>0</v>
      </c>
      <c r="AH416" s="127">
        <f>AG416-AI416</f>
        <v>0</v>
      </c>
      <c r="AI416" s="127">
        <f>SUM(AI417:AI421)</f>
        <v>0</v>
      </c>
      <c r="AJ416" s="127">
        <f>VLOOKUP($C416,'1 预算编制表单'!$C:$BJ,39,FALSE)</f>
        <v>0</v>
      </c>
      <c r="AK416" s="127">
        <f>AJ416-AL416</f>
        <v>0</v>
      </c>
      <c r="AL416" s="127">
        <f>SUM(AL417:AL421)</f>
        <v>0</v>
      </c>
      <c r="AM416" s="127">
        <f>VLOOKUP($C416,'1 预算编制表单'!$C:$BJ,42,FALSE)</f>
        <v>0</v>
      </c>
      <c r="AN416" s="127">
        <f>AM416-AO416</f>
        <v>0</v>
      </c>
      <c r="AO416" s="127">
        <f>SUM(AO417:AO421)</f>
        <v>0</v>
      </c>
      <c r="AP416" s="127">
        <f>VLOOKUP($C416,'1 预算编制表单'!$C:$BJ,45,FALSE)</f>
        <v>0</v>
      </c>
      <c r="AQ416" s="127">
        <f>AP416-AR416</f>
        <v>0</v>
      </c>
      <c r="AR416" s="127">
        <f>SUM(AR417:AR421)</f>
        <v>0</v>
      </c>
      <c r="AS416" s="127">
        <f>VLOOKUP($C416,'1 预算编制表单'!$C:$BJ,48,FALSE)</f>
        <v>0</v>
      </c>
      <c r="AT416" s="127">
        <f>AS416-AU416</f>
        <v>0</v>
      </c>
      <c r="AU416" s="127">
        <f>SUM(AU417:AU421)</f>
        <v>0</v>
      </c>
      <c r="AV416" s="127">
        <f>VLOOKUP($C416,'1 预算编制表单'!$C:$BJ,51,FALSE)</f>
        <v>0</v>
      </c>
      <c r="AW416" s="127">
        <f>AV416-AX416</f>
        <v>0</v>
      </c>
      <c r="AX416" s="127">
        <f>SUM(AX417:AX421)</f>
        <v>0</v>
      </c>
      <c r="AY416" s="127">
        <f>VLOOKUP($C416,'1 预算编制表单'!$C:$BJ,54,FALSE)</f>
        <v>0</v>
      </c>
      <c r="AZ416" s="127">
        <f>AY416-BA416</f>
        <v>0</v>
      </c>
      <c r="BA416" s="127">
        <f>SUM(BA417:BA421)</f>
        <v>0</v>
      </c>
      <c r="BB416" s="127">
        <f>VLOOKUP($C416,'1 预算编制表单'!$C:$BJ,57,FALSE)</f>
        <v>0</v>
      </c>
      <c r="BC416" s="127">
        <f>BB416-BD416</f>
        <v>0</v>
      </c>
      <c r="BD416" s="127">
        <f>SUM(BD417:BD421)</f>
        <v>0</v>
      </c>
      <c r="BE416" s="127">
        <f>VLOOKUP($C416,'1 预算编制表单'!$C:$BJ,60,FALSE)</f>
        <v>0</v>
      </c>
      <c r="BF416" s="127">
        <f>BE416-BG416</f>
        <v>0</v>
      </c>
      <c r="BG416" s="127">
        <f>SUM(BG417:BG421)</f>
        <v>0</v>
      </c>
      <c r="BH416" s="127">
        <f>VLOOKUP($C416,'1 预算编制表单'!$C:$BJ,27,FALSE)</f>
        <v>0</v>
      </c>
      <c r="BI416" s="127">
        <f>BH416-BJ416</f>
        <v>0</v>
      </c>
      <c r="BJ416" s="127">
        <f>SUM(BJ417:BJ421)</f>
        <v>0</v>
      </c>
      <c r="BK416" s="127">
        <f>VLOOKUP($C416,'1 预算编制表单'!$C:$BJ,30,FALSE)</f>
        <v>0</v>
      </c>
      <c r="BL416" s="127">
        <f>BK416-BM416</f>
        <v>0</v>
      </c>
      <c r="BM416" s="127">
        <f>SUM(BM417:BM421)</f>
        <v>0</v>
      </c>
      <c r="BN416" s="127">
        <f>VLOOKUP($C416,'1 预算编制表单'!$C:$BJ,33,FALSE)</f>
        <v>0</v>
      </c>
      <c r="BO416" s="127">
        <f>BN416-BP416</f>
        <v>0</v>
      </c>
      <c r="BP416" s="127">
        <f>SUM(BP417:BP421)</f>
        <v>0</v>
      </c>
      <c r="BQ416" s="127">
        <f>VLOOKUP($C416,'1 预算编制表单'!$C:$BJ,36,FALSE)</f>
        <v>0</v>
      </c>
      <c r="BR416" s="127">
        <f>BQ416-BS416</f>
        <v>0</v>
      </c>
      <c r="BS416" s="127">
        <f>SUM(BS417:BS421)</f>
        <v>0</v>
      </c>
      <c r="BT416" s="127">
        <f>VLOOKUP($C416,'1 预算编制表单'!$C:$BJ,39,FALSE)</f>
        <v>0</v>
      </c>
      <c r="BU416" s="127">
        <f>BT416-BV416</f>
        <v>0</v>
      </c>
      <c r="BV416" s="127">
        <f>SUM(BV417:BV421)</f>
        <v>0</v>
      </c>
      <c r="BW416" s="127">
        <f>VLOOKUP($C416,'1 预算编制表单'!$C:$BJ,42,FALSE)</f>
        <v>0</v>
      </c>
      <c r="BX416" s="127">
        <f>BW416-BY416</f>
        <v>0</v>
      </c>
      <c r="BY416" s="127">
        <f>SUM(BY417:BY421)</f>
        <v>0</v>
      </c>
      <c r="BZ416" s="127">
        <f>VLOOKUP($C416,'1 预算编制表单'!$C:$BJ,45,FALSE)</f>
        <v>0</v>
      </c>
      <c r="CA416" s="127">
        <f>BZ416-CB416</f>
        <v>0</v>
      </c>
      <c r="CB416" s="127">
        <f>SUM(CB417:CB421)</f>
        <v>0</v>
      </c>
      <c r="CC416" s="127">
        <f>VLOOKUP($C416,'1 预算编制表单'!$C:$BJ,48,FALSE)</f>
        <v>0</v>
      </c>
      <c r="CD416" s="127">
        <f>CC416-CE416</f>
        <v>0</v>
      </c>
      <c r="CE416" s="127">
        <f>SUM(CE417:CE421)</f>
        <v>0</v>
      </c>
      <c r="CF416" s="127">
        <f>VLOOKUP($C416,'1 预算编制表单'!$C:$BJ,51,FALSE)</f>
        <v>0</v>
      </c>
      <c r="CG416" s="127">
        <f>CF416-CH416</f>
        <v>0</v>
      </c>
      <c r="CH416" s="127">
        <f>SUM(CH417:CH421)</f>
        <v>0</v>
      </c>
      <c r="CI416" s="127">
        <f>VLOOKUP($C416,'1 预算编制表单'!$C:$BJ,54,FALSE)</f>
        <v>0</v>
      </c>
      <c r="CJ416" s="127">
        <f>CI416-CK416</f>
        <v>0</v>
      </c>
      <c r="CK416" s="127">
        <f>SUM(CK417:CK421)</f>
        <v>0</v>
      </c>
      <c r="CL416" s="127">
        <f>VLOOKUP($C416,'1 预算编制表单'!$C:$BJ,57,FALSE)</f>
        <v>0</v>
      </c>
      <c r="CM416" s="127">
        <f>CL416-CN416</f>
        <v>0</v>
      </c>
      <c r="CN416" s="127">
        <f>SUM(CN417:CN421)</f>
        <v>0</v>
      </c>
      <c r="CO416" s="127">
        <f>VLOOKUP($C416,'1 预算编制表单'!$C:$BJ,60,FALSE)</f>
        <v>0</v>
      </c>
      <c r="CP416" s="127">
        <f>CO416-CQ416</f>
        <v>0</v>
      </c>
      <c r="CQ416" s="127">
        <f>SUM(CQ417:CQ421)</f>
        <v>0</v>
      </c>
    </row>
    <row r="417" s="89" customFormat="1" ht="24" hidden="1" customHeight="1" outlineLevel="4" spans="1:95">
      <c r="A417" s="128"/>
      <c r="B417" s="129"/>
      <c r="C417" s="130"/>
      <c r="D417" s="128"/>
      <c r="E417" s="129"/>
      <c r="F417" s="129"/>
      <c r="G417" s="129"/>
      <c r="H417" s="131"/>
      <c r="I417" s="131"/>
      <c r="J417" s="131">
        <f t="shared" si="4646"/>
        <v>0</v>
      </c>
      <c r="K417" s="131">
        <v>1</v>
      </c>
      <c r="L417" s="156"/>
      <c r="M417" s="157">
        <f>IFERROR(VLOOKUP($L417,'2-2 引出数据_合同数据仓库'!$B$5:$BP$200,3,FALSE),0)</f>
        <v>0</v>
      </c>
      <c r="N417" s="131"/>
      <c r="O417" s="157">
        <f>IFERROR(VLOOKUP((LEFT(VLOOKUP($L417,'2-2 引出数据_合同数据仓库'!$B$5:$BP$200,64,FALSE),15)&amp;(RIGHT(VLOOKUP($L417,'2-2 引出数据_合同数据仓库'!$B$5:$BP$200,64,FALSE),4)+1)),'2-2 引出数据_合同数据仓库'!$B$5:$BP$200,3,FALSE),0)</f>
        <v>0</v>
      </c>
      <c r="P417" s="131"/>
      <c r="Q417" s="131">
        <f>IFERROR(VLOOKUP($L417,'2-2 引出数据_合同数据仓库'!$B$5:$BP$200,28,FALSE),0)</f>
        <v>0</v>
      </c>
      <c r="R417" s="131">
        <f>IFERROR(VLOOKUP($L417,'2-2 引出数据_合同数据仓库'!$B$5:$BP$200,29,FALSE),0)</f>
        <v>0</v>
      </c>
      <c r="S417" s="131">
        <f>IFERROR(VLOOKUP($L417,'2-2 引出数据_合同数据仓库'!$B$5:$BP$200,4,FALSE),0)</f>
        <v>0</v>
      </c>
      <c r="T417" s="131"/>
      <c r="U417" s="131">
        <f>IFERROR(VLOOKUP($L417,'2-2 引出数据_合同数据仓库'!$B$5:$BP$200,15,FALSE),0)</f>
        <v>0</v>
      </c>
      <c r="V417" s="131">
        <f t="shared" ref="V417:V420" si="4935">U417/(S417-R417+1)*365</f>
        <v>0</v>
      </c>
      <c r="W417" s="131"/>
      <c r="X417" s="163">
        <v>45658</v>
      </c>
      <c r="Y417" s="163">
        <f t="shared" ref="Y417:Y420" si="4936">X417+30</f>
        <v>45688</v>
      </c>
      <c r="Z417" s="167">
        <f t="shared" ref="Z417:Z420" si="4937">IFERROR(IF(($R417-Y417)&gt;=0,0,IF(($S417-X417)&lt;0,0,IF(AND(($S417-Y417)&gt;0,(X417-$R417)&gt;0),$V417/365*(Y417-X417+1),IF(AND(($S417-Y417)&lt;=0,(X417-$R417)&gt;0),$V417/365*($S417-X417+1),$V417/365*(Y417-$R417+1))))),0)</f>
        <v>0</v>
      </c>
      <c r="AA417" s="163">
        <f t="shared" ref="AA417:AA420" si="4938">Y417+1</f>
        <v>45689</v>
      </c>
      <c r="AB417" s="163">
        <f t="shared" ref="AB417:AB420" si="4939">AA417+27</f>
        <v>45716</v>
      </c>
      <c r="AC417" s="167">
        <f t="shared" ref="AC417:AC420" si="4940">IFERROR(IF(($R417-AB417)&gt;=0,0,IF(($S417-AA417)&lt;0,0,IF(AND(($S417-AB417)&gt;0,(AA417-$R417)&gt;0),$V417/365*(AB417-AA417+1),IF(AND(($S417-AB417)&lt;=0,(AA417-$R417)&gt;0),$V417/365*($S417-AA417+1),$V417/365*(AB417-$R417+1))))),0)</f>
        <v>0</v>
      </c>
      <c r="AD417" s="163">
        <f t="shared" ref="AD417:AD420" si="4941">AB417+1</f>
        <v>45717</v>
      </c>
      <c r="AE417" s="163">
        <f t="shared" ref="AE417:AE420" si="4942">AD417+30</f>
        <v>45747</v>
      </c>
      <c r="AF417" s="167">
        <f t="shared" ref="AF417:AF420" si="4943">IFERROR(IF(($R417-AE417)&gt;=0,0,IF(($S417-AD417)&lt;0,0,IF(AND(($S417-AE417)&gt;0,(AD417-$R417)&gt;0),$V417/365*(AE417-AD417+1),IF(AND(($S417-AE417)&lt;=0,(AD417-$R417)&gt;0),$V417/365*($S417-AD417+1),$V417/365*(AE417-$R417+1))))),0)</f>
        <v>0</v>
      </c>
      <c r="AG417" s="163">
        <f t="shared" ref="AG417:AG420" si="4944">AE417+1</f>
        <v>45748</v>
      </c>
      <c r="AH417" s="163">
        <f t="shared" ref="AH417:AH420" si="4945">AG417+29</f>
        <v>45777</v>
      </c>
      <c r="AI417" s="167">
        <f t="shared" ref="AI417:AI420" si="4946">IFERROR(IF(($R417-AH417)&gt;=0,0,IF(($S417-AG417)&lt;0,0,IF(AND(($S417-AH417)&gt;0,(AG417-$R417)&gt;0),$V417/365*(AH417-AG417+1),IF(AND(($S417-AH417)&lt;=0,(AG417-$R417)&gt;0),$V417/365*($S417-AG417+1),$V417/365*(AH417-$R417+1))))),0)</f>
        <v>0</v>
      </c>
      <c r="AJ417" s="163">
        <f t="shared" ref="AJ417:AJ420" si="4947">AH417+1</f>
        <v>45778</v>
      </c>
      <c r="AK417" s="163">
        <f t="shared" ref="AK417:AK420" si="4948">AJ417+30</f>
        <v>45808</v>
      </c>
      <c r="AL417" s="167">
        <f t="shared" ref="AL417:AL420" si="4949">IFERROR(IF(($R417-AK417)&gt;=0,0,IF(($S417-AJ417)&lt;0,0,IF(AND(($S417-AK417)&gt;0,(AJ417-$R417)&gt;0),$V417/365*(AK417-AJ417+1),IF(AND(($S417-AK417)&lt;=0,(AJ417-$R417)&gt;0),$V417/365*($S417-AJ417+1),$V417/365*(AK417-$R417+1))))),0)</f>
        <v>0</v>
      </c>
      <c r="AM417" s="163">
        <f t="shared" ref="AM417:AM420" si="4950">AK417+1</f>
        <v>45809</v>
      </c>
      <c r="AN417" s="163">
        <f t="shared" ref="AN417:AN420" si="4951">AM417+29</f>
        <v>45838</v>
      </c>
      <c r="AO417" s="167">
        <f t="shared" ref="AO417:AO420" si="4952">IFERROR(IF(($R417-AN417)&gt;=0,0,IF(($S417-AM417)&lt;0,0,IF(AND(($S417-AN417)&gt;0,(AM417-$R417)&gt;0),$V417/365*(AN417-AM417+1),IF(AND(($S417-AN417)&lt;=0,(AM417-$R417)&gt;0),$V417/365*($S417-AM417+1),$V417/365*(AN417-$R417+1))))),0)</f>
        <v>0</v>
      </c>
      <c r="AP417" s="163">
        <f t="shared" ref="AP417:AP420" si="4953">AN417+1</f>
        <v>45839</v>
      </c>
      <c r="AQ417" s="163">
        <f t="shared" ref="AQ417:AQ420" si="4954">AP417+30</f>
        <v>45869</v>
      </c>
      <c r="AR417" s="167">
        <f t="shared" ref="AR417:AR420" si="4955">IFERROR(IF(($R417-AQ417)&gt;=0,0,IF(($S417-AP417)&lt;0,0,IF(AND(($S417-AQ417)&gt;0,(AP417-$R417)&gt;0),$V417/365*(AQ417-AP417+1),IF(AND(($S417-AQ417)&lt;=0,(AP417-$R417)&gt;0),$V417/365*($S417-AP417+1),$V417/365*(AQ417-$R417+1))))),0)</f>
        <v>0</v>
      </c>
      <c r="AS417" s="163">
        <f t="shared" ref="AS417:AS420" si="4956">AQ417+1</f>
        <v>45870</v>
      </c>
      <c r="AT417" s="163">
        <f t="shared" ref="AT417:AT420" si="4957">AS417+30</f>
        <v>45900</v>
      </c>
      <c r="AU417" s="167">
        <f t="shared" ref="AU417:AU420" si="4958">IFERROR(IF(($R417-AT417)&gt;=0,0,IF(($S417-AS417)&lt;0,0,IF(AND(($S417-AT417)&gt;0,(AS417-$R417)&gt;0),$V417/365*(AT417-AS417+1),IF(AND(($S417-AT417)&lt;=0,(AS417-$R417)&gt;0),$V417/365*($S417-AS417+1),$V417/365*(AT417-$R417+1))))),0)</f>
        <v>0</v>
      </c>
      <c r="AV417" s="163">
        <f t="shared" ref="AV417:AV420" si="4959">AT417+1</f>
        <v>45901</v>
      </c>
      <c r="AW417" s="163">
        <f t="shared" ref="AW417:AW420" si="4960">AV417+29</f>
        <v>45930</v>
      </c>
      <c r="AX417" s="167">
        <f t="shared" ref="AX417:AX420" si="4961">IFERROR(IF(($R417-AW417)&gt;=0,0,IF(($S417-AV417)&lt;0,0,IF(AND(($S417-AW417)&gt;0,(AV417-$R417)&gt;0),$V417/365*(AW417-AV417+1),IF(AND(($S417-AW417)&lt;=0,(AV417-$R417)&gt;0),$V417/365*($S417-AV417+1),$V417/365*(AW417-$R417+1))))),0)</f>
        <v>0</v>
      </c>
      <c r="AY417" s="163">
        <f t="shared" ref="AY417:AY420" si="4962">AW417+1</f>
        <v>45931</v>
      </c>
      <c r="AZ417" s="163">
        <f t="shared" ref="AZ417:AZ420" si="4963">AY417+30</f>
        <v>45961</v>
      </c>
      <c r="BA417" s="167">
        <f t="shared" ref="BA417:BA420" si="4964">IFERROR(IF(($R417-AZ417)&gt;=0,0,IF(($S417-AY417)&lt;0,0,IF(AND(($S417-AZ417)&gt;0,(AY417-$R417)&gt;0),$V417/365*(AZ417-AY417+1),IF(AND(($S417-AZ417)&lt;=0,(AY417-$R417)&gt;0),$V417/365*($S417-AY417+1),$V417/365*(AZ417-$R417+1))))),0)</f>
        <v>0</v>
      </c>
      <c r="BB417" s="163">
        <f t="shared" ref="BB417:BB420" si="4965">AZ417+1</f>
        <v>45962</v>
      </c>
      <c r="BC417" s="163">
        <f t="shared" ref="BC417:BC420" si="4966">BB417+29</f>
        <v>45991</v>
      </c>
      <c r="BD417" s="167">
        <f t="shared" ref="BD417:BD420" si="4967">IFERROR(IF(($R417-BC417)&gt;=0,0,IF(($S417-BB417)&lt;0,0,IF(AND(($S417-BC417)&gt;0,(BB417-$R417)&gt;0),$V417/365*(BC417-BB417+1),IF(AND(($S417-BC417)&lt;=0,(BB417-$R417)&gt;0),$V417/365*($S417-BB417+1),$V417/365*(BC417-$R417+1))))),0)</f>
        <v>0</v>
      </c>
      <c r="BE417" s="163">
        <f t="shared" ref="BE417:BE420" si="4968">BC417+1</f>
        <v>45992</v>
      </c>
      <c r="BF417" s="163">
        <f t="shared" ref="BF417:BF420" si="4969">BE417+30</f>
        <v>46022</v>
      </c>
      <c r="BG417" s="167">
        <f t="shared" ref="BG417:BG420" si="4970">IFERROR(IF(($R417-BF417)&gt;=0,0,IF(($S417-BE417)&lt;0,0,IF(AND(($S417-BF417)&gt;0,(BE417-$R417)&gt;0),$V417/365*(BF417-BE417+1),IF(AND(($S417-BF417)&lt;=0,(BE417-$R417)&gt;0),$V417/365*($S417-BE417+1),$V417/365*(BF417-$R417+1))))),0)</f>
        <v>0</v>
      </c>
      <c r="BH417" s="163">
        <v>46023</v>
      </c>
      <c r="BI417" s="163">
        <f t="shared" ref="BI417:BI420" si="4971">BH417+30</f>
        <v>46053</v>
      </c>
      <c r="BJ417" s="167">
        <f t="shared" ref="BJ417:BJ420" si="4972">IFERROR(IF(($R417-BI417)&gt;=0,0,IF(($S417-BH417)&lt;0,0,IF(AND(($S417-BI417)&gt;0,(BH417-$R417)&gt;0),$V417/365*(BI417-BH417+1),IF(AND(($S417-BI417)&lt;=0,(BH417-$R417)&gt;0),$V417/365*($S417-BH417+1),$V417/365*(BI417-$R417+1))))),0)</f>
        <v>0</v>
      </c>
      <c r="BK417" s="163">
        <f t="shared" ref="BK417:BK420" si="4973">BI417+1</f>
        <v>46054</v>
      </c>
      <c r="BL417" s="163">
        <f t="shared" ref="BL417:BL420" si="4974">BK417+27</f>
        <v>46081</v>
      </c>
      <c r="BM417" s="167">
        <f t="shared" ref="BM417:BM420" si="4975">IFERROR(IF(($R417-BL417)&gt;=0,0,IF(($S417-BK417)&lt;0,0,IF(AND(($S417-BL417)&gt;0,(BK417-$R417)&gt;0),$V417/365*(BL417-BK417+1),IF(AND(($S417-BL417)&lt;=0,(BK417-$R417)&gt;0),$V417/365*($S417-BK417+1),$V417/365*(BL417-$R417+1))))),0)</f>
        <v>0</v>
      </c>
      <c r="BN417" s="163">
        <f t="shared" ref="BN417:BN420" si="4976">BL417+1</f>
        <v>46082</v>
      </c>
      <c r="BO417" s="163">
        <f t="shared" ref="BO417:BO420" si="4977">BN417+30</f>
        <v>46112</v>
      </c>
      <c r="BP417" s="167">
        <f t="shared" ref="BP417:BP420" si="4978">IFERROR(IF(($R417-BO417)&gt;=0,0,IF(($S417-BN417)&lt;0,0,IF(AND(($S417-BO417)&gt;0,(BN417-$R417)&gt;0),$V417/365*(BO417-BN417+1),IF(AND(($S417-BO417)&lt;=0,(BN417-$R417)&gt;0),$V417/365*($S417-BN417+1),$V417/365*(BO417-$R417+1))))),0)</f>
        <v>0</v>
      </c>
      <c r="BQ417" s="163">
        <f t="shared" ref="BQ417:BQ420" si="4979">BO417+1</f>
        <v>46113</v>
      </c>
      <c r="BR417" s="163">
        <f t="shared" ref="BR417:BR420" si="4980">BQ417+29</f>
        <v>46142</v>
      </c>
      <c r="BS417" s="167">
        <f t="shared" ref="BS417:BS420" si="4981">IFERROR(IF(($R417-BR417)&gt;=0,0,IF(($S417-BQ417)&lt;0,0,IF(AND(($S417-BR417)&gt;0,(BQ417-$R417)&gt;0),$V417/365*(BR417-BQ417+1),IF(AND(($S417-BR417)&lt;=0,(BQ417-$R417)&gt;0),$V417/365*($S417-BQ417+1),$V417/365*(BR417-$R417+1))))),0)</f>
        <v>0</v>
      </c>
      <c r="BT417" s="163">
        <f t="shared" ref="BT417:BT420" si="4982">BR417+1</f>
        <v>46143</v>
      </c>
      <c r="BU417" s="163">
        <f t="shared" ref="BU417:BU420" si="4983">BT417+30</f>
        <v>46173</v>
      </c>
      <c r="BV417" s="167">
        <f t="shared" ref="BV417:BV420" si="4984">IFERROR(IF(($R417-BU417)&gt;=0,0,IF(($S417-BT417)&lt;0,0,IF(AND(($S417-BU417)&gt;0,(BT417-$R417)&gt;0),$V417/365*(BU417-BT417+1),IF(AND(($S417-BU417)&lt;=0,(BT417-$R417)&gt;0),$V417/365*($S417-BT417+1),$V417/365*(BU417-$R417+1))))),0)</f>
        <v>0</v>
      </c>
      <c r="BW417" s="163">
        <f t="shared" ref="BW417:BW420" si="4985">BU417+1</f>
        <v>46174</v>
      </c>
      <c r="BX417" s="163">
        <f t="shared" ref="BX417:BX420" si="4986">BW417+29</f>
        <v>46203</v>
      </c>
      <c r="BY417" s="167">
        <f t="shared" ref="BY417:BY420" si="4987">IFERROR(IF(($R417-BX417)&gt;=0,0,IF(($S417-BW417)&lt;0,0,IF(AND(($S417-BX417)&gt;0,(BW417-$R417)&gt;0),$V417/365*(BX417-BW417+1),IF(AND(($S417-BX417)&lt;=0,(BW417-$R417)&gt;0),$V417/365*($S417-BW417+1),$V417/365*(BX417-$R417+1))))),0)</f>
        <v>0</v>
      </c>
      <c r="BZ417" s="163">
        <f t="shared" ref="BZ417:BZ420" si="4988">BX417+1</f>
        <v>46204</v>
      </c>
      <c r="CA417" s="163">
        <f t="shared" ref="CA417:CA420" si="4989">BZ417+30</f>
        <v>46234</v>
      </c>
      <c r="CB417" s="167">
        <f t="shared" ref="CB417:CB420" si="4990">IFERROR(IF(($R417-CA417)&gt;=0,0,IF(($S417-BZ417)&lt;0,0,IF(AND(($S417-CA417)&gt;0,(BZ417-$R417)&gt;0),$V417/365*(CA417-BZ417+1),IF(AND(($S417-CA417)&lt;=0,(BZ417-$R417)&gt;0),$V417/365*($S417-BZ417+1),$V417/365*(CA417-$R417+1))))),0)</f>
        <v>0</v>
      </c>
      <c r="CC417" s="163">
        <f t="shared" ref="CC417:CC420" si="4991">CA417+1</f>
        <v>46235</v>
      </c>
      <c r="CD417" s="163">
        <f t="shared" ref="CD417:CD420" si="4992">CC417+30</f>
        <v>46265</v>
      </c>
      <c r="CE417" s="167">
        <f t="shared" ref="CE417:CE420" si="4993">IFERROR(IF(($R417-CD417)&gt;=0,0,IF(($S417-CC417)&lt;0,0,IF(AND(($S417-CD417)&gt;0,(CC417-$R417)&gt;0),$V417/365*(CD417-CC417+1),IF(AND(($S417-CD417)&lt;=0,(CC417-$R417)&gt;0),$V417/365*($S417-CC417+1),$V417/365*(CD417-$R417+1))))),0)</f>
        <v>0</v>
      </c>
      <c r="CF417" s="163">
        <f t="shared" ref="CF417:CF420" si="4994">CD417+1</f>
        <v>46266</v>
      </c>
      <c r="CG417" s="163">
        <f t="shared" ref="CG417:CG420" si="4995">CF417+29</f>
        <v>46295</v>
      </c>
      <c r="CH417" s="167">
        <f t="shared" ref="CH417:CH420" si="4996">IFERROR(IF(($R417-CG417)&gt;=0,0,IF(($S417-CF417)&lt;0,0,IF(AND(($S417-CG417)&gt;0,(CF417-$R417)&gt;0),$V417/365*(CG417-CF417+1),IF(AND(($S417-CG417)&lt;=0,(CF417-$R417)&gt;0),$V417/365*($S417-CF417+1),$V417/365*(CG417-$R417+1))))),0)</f>
        <v>0</v>
      </c>
      <c r="CI417" s="163">
        <f t="shared" ref="CI417:CI420" si="4997">CG417+1</f>
        <v>46296</v>
      </c>
      <c r="CJ417" s="163">
        <f t="shared" ref="CJ417:CJ420" si="4998">CI417+30</f>
        <v>46326</v>
      </c>
      <c r="CK417" s="167">
        <f t="shared" ref="CK417:CK420" si="4999">IFERROR(IF(($R417-CJ417)&gt;=0,0,IF(($S417-CI417)&lt;0,0,IF(AND(($S417-CJ417)&gt;0,(CI417-$R417)&gt;0),$V417/365*(CJ417-CI417+1),IF(AND(($S417-CJ417)&lt;=0,(CI417-$R417)&gt;0),$V417/365*($S417-CI417+1),$V417/365*(CJ417-$R417+1))))),0)</f>
        <v>0</v>
      </c>
      <c r="CL417" s="163">
        <f t="shared" ref="CL417:CL420" si="5000">CJ417+1</f>
        <v>46327</v>
      </c>
      <c r="CM417" s="163">
        <f t="shared" ref="CM417:CM420" si="5001">CL417+29</f>
        <v>46356</v>
      </c>
      <c r="CN417" s="167">
        <f t="shared" ref="CN417:CN420" si="5002">IFERROR(IF(($R417-CM417)&gt;=0,0,IF(($S417-CL417)&lt;0,0,IF(AND(($S417-CM417)&gt;0,(CL417-$R417)&gt;0),$V417/365*(CM417-CL417+1),IF(AND(($S417-CM417)&lt;=0,(CL417-$R417)&gt;0),$V417/365*($S417-CL417+1),$V417/365*(CM417-$R417+1))))),0)</f>
        <v>0</v>
      </c>
      <c r="CO417" s="163">
        <f t="shared" ref="CO417:CO420" si="5003">CM417+1</f>
        <v>46357</v>
      </c>
      <c r="CP417" s="163">
        <f t="shared" ref="CP417:CP420" si="5004">CO417+30</f>
        <v>46387</v>
      </c>
      <c r="CQ417" s="167">
        <f t="shared" ref="CQ417:CQ420" si="5005">IFERROR(IF(($R417-CP417)&gt;=0,0,IF(($S417-CO417)&lt;0,0,IF(AND(($S417-CP417)&gt;0,(CO417-$R417)&gt;0),$V417/365*(CP417-CO417+1),IF(AND(($S417-CP417)&lt;=0,(CO417-$R417)&gt;0),$V417/365*($S417-CO417+1),$V417/365*(CP417-$R417+1))))),0)</f>
        <v>0</v>
      </c>
    </row>
    <row r="418" s="89" customFormat="1" ht="24" hidden="1" customHeight="1" outlineLevel="4" spans="1:95">
      <c r="A418" s="128"/>
      <c r="B418" s="129"/>
      <c r="C418" s="130"/>
      <c r="D418" s="128"/>
      <c r="E418" s="129"/>
      <c r="F418" s="129"/>
      <c r="G418" s="129"/>
      <c r="H418" s="131"/>
      <c r="I418" s="131"/>
      <c r="J418" s="131">
        <f t="shared" si="4646"/>
        <v>0</v>
      </c>
      <c r="K418" s="131">
        <f t="shared" ref="K418:K420" si="5006">K417+1</f>
        <v>2</v>
      </c>
      <c r="L418" s="156"/>
      <c r="M418" s="157">
        <f>IFERROR(VLOOKUP($L418,'2-2 引出数据_合同数据仓库'!$B$5:$BP$200,3,FALSE),0)</f>
        <v>0</v>
      </c>
      <c r="N418" s="131"/>
      <c r="O418" s="157">
        <f>IFERROR(VLOOKUP((LEFT(VLOOKUP($L418,'2-2 引出数据_合同数据仓库'!$B$5:$BP$200,64,FALSE),15)&amp;(RIGHT(VLOOKUP($L418,'2-2 引出数据_合同数据仓库'!$B$5:$BP$200,64,FALSE),4)+1)),'2-2 引出数据_合同数据仓库'!$B$5:$BP$200,3,FALSE),0)</f>
        <v>0</v>
      </c>
      <c r="P418" s="131"/>
      <c r="Q418" s="131">
        <f>IFERROR(VLOOKUP($L418,'2-2 引出数据_合同数据仓库'!$B$5:$BP$200,28,FALSE),0)</f>
        <v>0</v>
      </c>
      <c r="R418" s="131">
        <f>IFERROR(VLOOKUP($L418,'2-2 引出数据_合同数据仓库'!$B$5:$BP$200,29,FALSE),0)</f>
        <v>0</v>
      </c>
      <c r="S418" s="131">
        <f>IFERROR(VLOOKUP($L418,'2-2 引出数据_合同数据仓库'!$B$5:$BP$200,4,FALSE),0)</f>
        <v>0</v>
      </c>
      <c r="T418" s="131"/>
      <c r="U418" s="131">
        <f>IFERROR(VLOOKUP($L418,'2-2 引出数据_合同数据仓库'!$B$5:$BP$200,15,FALSE),0)</f>
        <v>0</v>
      </c>
      <c r="V418" s="131">
        <f t="shared" si="4935"/>
        <v>0</v>
      </c>
      <c r="W418" s="131"/>
      <c r="X418" s="163">
        <v>45658</v>
      </c>
      <c r="Y418" s="163">
        <f t="shared" si="4936"/>
        <v>45688</v>
      </c>
      <c r="Z418" s="167">
        <f t="shared" si="4937"/>
        <v>0</v>
      </c>
      <c r="AA418" s="163">
        <f t="shared" si="4938"/>
        <v>45689</v>
      </c>
      <c r="AB418" s="163">
        <f t="shared" si="4939"/>
        <v>45716</v>
      </c>
      <c r="AC418" s="167">
        <f t="shared" si="4940"/>
        <v>0</v>
      </c>
      <c r="AD418" s="163">
        <f t="shared" si="4941"/>
        <v>45717</v>
      </c>
      <c r="AE418" s="163">
        <f t="shared" si="4942"/>
        <v>45747</v>
      </c>
      <c r="AF418" s="167">
        <f t="shared" si="4943"/>
        <v>0</v>
      </c>
      <c r="AG418" s="163">
        <f t="shared" si="4944"/>
        <v>45748</v>
      </c>
      <c r="AH418" s="163">
        <f t="shared" si="4945"/>
        <v>45777</v>
      </c>
      <c r="AI418" s="167">
        <f t="shared" si="4946"/>
        <v>0</v>
      </c>
      <c r="AJ418" s="163">
        <f t="shared" si="4947"/>
        <v>45778</v>
      </c>
      <c r="AK418" s="163">
        <f t="shared" si="4948"/>
        <v>45808</v>
      </c>
      <c r="AL418" s="167">
        <f t="shared" si="4949"/>
        <v>0</v>
      </c>
      <c r="AM418" s="163">
        <f t="shared" si="4950"/>
        <v>45809</v>
      </c>
      <c r="AN418" s="163">
        <f t="shared" si="4951"/>
        <v>45838</v>
      </c>
      <c r="AO418" s="167">
        <f t="shared" si="4952"/>
        <v>0</v>
      </c>
      <c r="AP418" s="163">
        <f t="shared" si="4953"/>
        <v>45839</v>
      </c>
      <c r="AQ418" s="163">
        <f t="shared" si="4954"/>
        <v>45869</v>
      </c>
      <c r="AR418" s="167">
        <f t="shared" si="4955"/>
        <v>0</v>
      </c>
      <c r="AS418" s="163">
        <f t="shared" si="4956"/>
        <v>45870</v>
      </c>
      <c r="AT418" s="163">
        <f t="shared" si="4957"/>
        <v>45900</v>
      </c>
      <c r="AU418" s="167">
        <f t="shared" si="4958"/>
        <v>0</v>
      </c>
      <c r="AV418" s="163">
        <f t="shared" si="4959"/>
        <v>45901</v>
      </c>
      <c r="AW418" s="163">
        <f t="shared" si="4960"/>
        <v>45930</v>
      </c>
      <c r="AX418" s="167">
        <f t="shared" si="4961"/>
        <v>0</v>
      </c>
      <c r="AY418" s="163">
        <f t="shared" si="4962"/>
        <v>45931</v>
      </c>
      <c r="AZ418" s="163">
        <f t="shared" si="4963"/>
        <v>45961</v>
      </c>
      <c r="BA418" s="167">
        <f t="shared" si="4964"/>
        <v>0</v>
      </c>
      <c r="BB418" s="163">
        <f t="shared" si="4965"/>
        <v>45962</v>
      </c>
      <c r="BC418" s="163">
        <f t="shared" si="4966"/>
        <v>45991</v>
      </c>
      <c r="BD418" s="167">
        <f t="shared" si="4967"/>
        <v>0</v>
      </c>
      <c r="BE418" s="163">
        <f t="shared" si="4968"/>
        <v>45992</v>
      </c>
      <c r="BF418" s="163">
        <f t="shared" si="4969"/>
        <v>46022</v>
      </c>
      <c r="BG418" s="167">
        <f t="shared" si="4970"/>
        <v>0</v>
      </c>
      <c r="BH418" s="163">
        <v>46023</v>
      </c>
      <c r="BI418" s="163">
        <f t="shared" si="4971"/>
        <v>46053</v>
      </c>
      <c r="BJ418" s="167">
        <f t="shared" si="4972"/>
        <v>0</v>
      </c>
      <c r="BK418" s="163">
        <f t="shared" si="4973"/>
        <v>46054</v>
      </c>
      <c r="BL418" s="163">
        <f t="shared" si="4974"/>
        <v>46081</v>
      </c>
      <c r="BM418" s="167">
        <f t="shared" si="4975"/>
        <v>0</v>
      </c>
      <c r="BN418" s="163">
        <f t="shared" si="4976"/>
        <v>46082</v>
      </c>
      <c r="BO418" s="163">
        <f t="shared" si="4977"/>
        <v>46112</v>
      </c>
      <c r="BP418" s="167">
        <f t="shared" si="4978"/>
        <v>0</v>
      </c>
      <c r="BQ418" s="163">
        <f t="shared" si="4979"/>
        <v>46113</v>
      </c>
      <c r="BR418" s="163">
        <f t="shared" si="4980"/>
        <v>46142</v>
      </c>
      <c r="BS418" s="167">
        <f t="shared" si="4981"/>
        <v>0</v>
      </c>
      <c r="BT418" s="163">
        <f t="shared" si="4982"/>
        <v>46143</v>
      </c>
      <c r="BU418" s="163">
        <f t="shared" si="4983"/>
        <v>46173</v>
      </c>
      <c r="BV418" s="167">
        <f t="shared" si="4984"/>
        <v>0</v>
      </c>
      <c r="BW418" s="163">
        <f t="shared" si="4985"/>
        <v>46174</v>
      </c>
      <c r="BX418" s="163">
        <f t="shared" si="4986"/>
        <v>46203</v>
      </c>
      <c r="BY418" s="167">
        <f t="shared" si="4987"/>
        <v>0</v>
      </c>
      <c r="BZ418" s="163">
        <f t="shared" si="4988"/>
        <v>46204</v>
      </c>
      <c r="CA418" s="163">
        <f t="shared" si="4989"/>
        <v>46234</v>
      </c>
      <c r="CB418" s="167">
        <f t="shared" si="4990"/>
        <v>0</v>
      </c>
      <c r="CC418" s="163">
        <f t="shared" si="4991"/>
        <v>46235</v>
      </c>
      <c r="CD418" s="163">
        <f t="shared" si="4992"/>
        <v>46265</v>
      </c>
      <c r="CE418" s="167">
        <f t="shared" si="4993"/>
        <v>0</v>
      </c>
      <c r="CF418" s="163">
        <f t="shared" si="4994"/>
        <v>46266</v>
      </c>
      <c r="CG418" s="163">
        <f t="shared" si="4995"/>
        <v>46295</v>
      </c>
      <c r="CH418" s="167">
        <f t="shared" si="4996"/>
        <v>0</v>
      </c>
      <c r="CI418" s="163">
        <f t="shared" si="4997"/>
        <v>46296</v>
      </c>
      <c r="CJ418" s="163">
        <f t="shared" si="4998"/>
        <v>46326</v>
      </c>
      <c r="CK418" s="167">
        <f t="shared" si="4999"/>
        <v>0</v>
      </c>
      <c r="CL418" s="163">
        <f t="shared" si="5000"/>
        <v>46327</v>
      </c>
      <c r="CM418" s="163">
        <f t="shared" si="5001"/>
        <v>46356</v>
      </c>
      <c r="CN418" s="167">
        <f t="shared" si="5002"/>
        <v>0</v>
      </c>
      <c r="CO418" s="163">
        <f t="shared" si="5003"/>
        <v>46357</v>
      </c>
      <c r="CP418" s="163">
        <f t="shared" si="5004"/>
        <v>46387</v>
      </c>
      <c r="CQ418" s="167">
        <f t="shared" si="5005"/>
        <v>0</v>
      </c>
    </row>
    <row r="419" s="89" customFormat="1" ht="24" hidden="1" customHeight="1" outlineLevel="4" spans="1:95">
      <c r="A419" s="128"/>
      <c r="B419" s="129"/>
      <c r="C419" s="130"/>
      <c r="D419" s="128"/>
      <c r="E419" s="129"/>
      <c r="F419" s="129"/>
      <c r="G419" s="129"/>
      <c r="H419" s="131"/>
      <c r="I419" s="131"/>
      <c r="J419" s="131">
        <f t="shared" si="4646"/>
        <v>0</v>
      </c>
      <c r="K419" s="131">
        <f t="shared" si="5006"/>
        <v>3</v>
      </c>
      <c r="L419" s="156"/>
      <c r="M419" s="157">
        <f>IFERROR(VLOOKUP($L419,'2-2 引出数据_合同数据仓库'!$B$5:$BP$200,3,FALSE),0)</f>
        <v>0</v>
      </c>
      <c r="N419" s="131"/>
      <c r="O419" s="157">
        <f>IFERROR(VLOOKUP((LEFT(VLOOKUP($L419,'2-2 引出数据_合同数据仓库'!$B$5:$BP$200,64,FALSE),15)&amp;(RIGHT(VLOOKUP($L419,'2-2 引出数据_合同数据仓库'!$B$5:$BP$200,64,FALSE),4)+1)),'2-2 引出数据_合同数据仓库'!$B$5:$BP$200,3,FALSE),0)</f>
        <v>0</v>
      </c>
      <c r="P419" s="131"/>
      <c r="Q419" s="131">
        <f>IFERROR(VLOOKUP($L419,'2-2 引出数据_合同数据仓库'!$B$5:$BP$200,28,FALSE),0)</f>
        <v>0</v>
      </c>
      <c r="R419" s="131">
        <f>IFERROR(VLOOKUP($L419,'2-2 引出数据_合同数据仓库'!$B$5:$BP$200,29,FALSE),0)</f>
        <v>0</v>
      </c>
      <c r="S419" s="131">
        <f>IFERROR(VLOOKUP($L419,'2-2 引出数据_合同数据仓库'!$B$5:$BP$200,4,FALSE),0)</f>
        <v>0</v>
      </c>
      <c r="T419" s="131"/>
      <c r="U419" s="131">
        <f>IFERROR(VLOOKUP($L419,'2-2 引出数据_合同数据仓库'!$B$5:$BP$200,15,FALSE),0)</f>
        <v>0</v>
      </c>
      <c r="V419" s="131">
        <f t="shared" si="4935"/>
        <v>0</v>
      </c>
      <c r="W419" s="131"/>
      <c r="X419" s="163">
        <v>45658</v>
      </c>
      <c r="Y419" s="163">
        <f t="shared" si="4936"/>
        <v>45688</v>
      </c>
      <c r="Z419" s="167">
        <f t="shared" si="4937"/>
        <v>0</v>
      </c>
      <c r="AA419" s="163">
        <f t="shared" si="4938"/>
        <v>45689</v>
      </c>
      <c r="AB419" s="163">
        <f t="shared" si="4939"/>
        <v>45716</v>
      </c>
      <c r="AC419" s="167">
        <f t="shared" si="4940"/>
        <v>0</v>
      </c>
      <c r="AD419" s="163">
        <f t="shared" si="4941"/>
        <v>45717</v>
      </c>
      <c r="AE419" s="163">
        <f t="shared" si="4942"/>
        <v>45747</v>
      </c>
      <c r="AF419" s="167">
        <f t="shared" si="4943"/>
        <v>0</v>
      </c>
      <c r="AG419" s="163">
        <f t="shared" si="4944"/>
        <v>45748</v>
      </c>
      <c r="AH419" s="163">
        <f t="shared" si="4945"/>
        <v>45777</v>
      </c>
      <c r="AI419" s="167">
        <f t="shared" si="4946"/>
        <v>0</v>
      </c>
      <c r="AJ419" s="163">
        <f t="shared" si="4947"/>
        <v>45778</v>
      </c>
      <c r="AK419" s="163">
        <f t="shared" si="4948"/>
        <v>45808</v>
      </c>
      <c r="AL419" s="167">
        <f t="shared" si="4949"/>
        <v>0</v>
      </c>
      <c r="AM419" s="163">
        <f t="shared" si="4950"/>
        <v>45809</v>
      </c>
      <c r="AN419" s="163">
        <f t="shared" si="4951"/>
        <v>45838</v>
      </c>
      <c r="AO419" s="167">
        <f t="shared" si="4952"/>
        <v>0</v>
      </c>
      <c r="AP419" s="163">
        <f t="shared" si="4953"/>
        <v>45839</v>
      </c>
      <c r="AQ419" s="163">
        <f t="shared" si="4954"/>
        <v>45869</v>
      </c>
      <c r="AR419" s="167">
        <f t="shared" si="4955"/>
        <v>0</v>
      </c>
      <c r="AS419" s="163">
        <f t="shared" si="4956"/>
        <v>45870</v>
      </c>
      <c r="AT419" s="163">
        <f t="shared" si="4957"/>
        <v>45900</v>
      </c>
      <c r="AU419" s="167">
        <f t="shared" si="4958"/>
        <v>0</v>
      </c>
      <c r="AV419" s="163">
        <f t="shared" si="4959"/>
        <v>45901</v>
      </c>
      <c r="AW419" s="163">
        <f t="shared" si="4960"/>
        <v>45930</v>
      </c>
      <c r="AX419" s="167">
        <f t="shared" si="4961"/>
        <v>0</v>
      </c>
      <c r="AY419" s="163">
        <f t="shared" si="4962"/>
        <v>45931</v>
      </c>
      <c r="AZ419" s="163">
        <f t="shared" si="4963"/>
        <v>45961</v>
      </c>
      <c r="BA419" s="167">
        <f t="shared" si="4964"/>
        <v>0</v>
      </c>
      <c r="BB419" s="163">
        <f t="shared" si="4965"/>
        <v>45962</v>
      </c>
      <c r="BC419" s="163">
        <f t="shared" si="4966"/>
        <v>45991</v>
      </c>
      <c r="BD419" s="167">
        <f t="shared" si="4967"/>
        <v>0</v>
      </c>
      <c r="BE419" s="163">
        <f t="shared" si="4968"/>
        <v>45992</v>
      </c>
      <c r="BF419" s="163">
        <f t="shared" si="4969"/>
        <v>46022</v>
      </c>
      <c r="BG419" s="167">
        <f t="shared" si="4970"/>
        <v>0</v>
      </c>
      <c r="BH419" s="163">
        <v>46023</v>
      </c>
      <c r="BI419" s="163">
        <f t="shared" si="4971"/>
        <v>46053</v>
      </c>
      <c r="BJ419" s="167">
        <f t="shared" si="4972"/>
        <v>0</v>
      </c>
      <c r="BK419" s="163">
        <f t="shared" si="4973"/>
        <v>46054</v>
      </c>
      <c r="BL419" s="163">
        <f t="shared" si="4974"/>
        <v>46081</v>
      </c>
      <c r="BM419" s="167">
        <f t="shared" si="4975"/>
        <v>0</v>
      </c>
      <c r="BN419" s="163">
        <f t="shared" si="4976"/>
        <v>46082</v>
      </c>
      <c r="BO419" s="163">
        <f t="shared" si="4977"/>
        <v>46112</v>
      </c>
      <c r="BP419" s="167">
        <f t="shared" si="4978"/>
        <v>0</v>
      </c>
      <c r="BQ419" s="163">
        <f t="shared" si="4979"/>
        <v>46113</v>
      </c>
      <c r="BR419" s="163">
        <f t="shared" si="4980"/>
        <v>46142</v>
      </c>
      <c r="BS419" s="167">
        <f t="shared" si="4981"/>
        <v>0</v>
      </c>
      <c r="BT419" s="163">
        <f t="shared" si="4982"/>
        <v>46143</v>
      </c>
      <c r="BU419" s="163">
        <f t="shared" si="4983"/>
        <v>46173</v>
      </c>
      <c r="BV419" s="167">
        <f t="shared" si="4984"/>
        <v>0</v>
      </c>
      <c r="BW419" s="163">
        <f t="shared" si="4985"/>
        <v>46174</v>
      </c>
      <c r="BX419" s="163">
        <f t="shared" si="4986"/>
        <v>46203</v>
      </c>
      <c r="BY419" s="167">
        <f t="shared" si="4987"/>
        <v>0</v>
      </c>
      <c r="BZ419" s="163">
        <f t="shared" si="4988"/>
        <v>46204</v>
      </c>
      <c r="CA419" s="163">
        <f t="shared" si="4989"/>
        <v>46234</v>
      </c>
      <c r="CB419" s="167">
        <f t="shared" si="4990"/>
        <v>0</v>
      </c>
      <c r="CC419" s="163">
        <f t="shared" si="4991"/>
        <v>46235</v>
      </c>
      <c r="CD419" s="163">
        <f t="shared" si="4992"/>
        <v>46265</v>
      </c>
      <c r="CE419" s="167">
        <f t="shared" si="4993"/>
        <v>0</v>
      </c>
      <c r="CF419" s="163">
        <f t="shared" si="4994"/>
        <v>46266</v>
      </c>
      <c r="CG419" s="163">
        <f t="shared" si="4995"/>
        <v>46295</v>
      </c>
      <c r="CH419" s="167">
        <f t="shared" si="4996"/>
        <v>0</v>
      </c>
      <c r="CI419" s="163">
        <f t="shared" si="4997"/>
        <v>46296</v>
      </c>
      <c r="CJ419" s="163">
        <f t="shared" si="4998"/>
        <v>46326</v>
      </c>
      <c r="CK419" s="167">
        <f t="shared" si="4999"/>
        <v>0</v>
      </c>
      <c r="CL419" s="163">
        <f t="shared" si="5000"/>
        <v>46327</v>
      </c>
      <c r="CM419" s="163">
        <f t="shared" si="5001"/>
        <v>46356</v>
      </c>
      <c r="CN419" s="167">
        <f t="shared" si="5002"/>
        <v>0</v>
      </c>
      <c r="CO419" s="163">
        <f t="shared" si="5003"/>
        <v>46357</v>
      </c>
      <c r="CP419" s="163">
        <f t="shared" si="5004"/>
        <v>46387</v>
      </c>
      <c r="CQ419" s="167">
        <f t="shared" si="5005"/>
        <v>0</v>
      </c>
    </row>
    <row r="420" s="89" customFormat="1" ht="24" hidden="1" customHeight="1" outlineLevel="4" spans="1:95">
      <c r="A420" s="128"/>
      <c r="B420" s="129"/>
      <c r="C420" s="130"/>
      <c r="D420" s="128"/>
      <c r="E420" s="129"/>
      <c r="F420" s="129"/>
      <c r="G420" s="129"/>
      <c r="H420" s="131"/>
      <c r="I420" s="131"/>
      <c r="J420" s="131">
        <f t="shared" si="4646"/>
        <v>0</v>
      </c>
      <c r="K420" s="131">
        <f t="shared" si="5006"/>
        <v>4</v>
      </c>
      <c r="L420" s="156"/>
      <c r="M420" s="157">
        <f>IFERROR(VLOOKUP($L420,'2-2 引出数据_合同数据仓库'!$B$5:$BP$200,3,FALSE),0)</f>
        <v>0</v>
      </c>
      <c r="N420" s="131"/>
      <c r="O420" s="157">
        <f>IFERROR(VLOOKUP((LEFT(VLOOKUP($L420,'2-2 引出数据_合同数据仓库'!$B$5:$BP$200,64,FALSE),15)&amp;(RIGHT(VLOOKUP($L420,'2-2 引出数据_合同数据仓库'!$B$5:$BP$200,64,FALSE),4)+1)),'2-2 引出数据_合同数据仓库'!$B$5:$BP$200,3,FALSE),0)</f>
        <v>0</v>
      </c>
      <c r="P420" s="131"/>
      <c r="Q420" s="131">
        <f>IFERROR(VLOOKUP($L420,'2-2 引出数据_合同数据仓库'!$B$5:$BP$200,28,FALSE),0)</f>
        <v>0</v>
      </c>
      <c r="R420" s="131">
        <f>IFERROR(VLOOKUP($L420,'2-2 引出数据_合同数据仓库'!$B$5:$BP$200,29,FALSE),0)</f>
        <v>0</v>
      </c>
      <c r="S420" s="131">
        <f>IFERROR(VLOOKUP($L420,'2-2 引出数据_合同数据仓库'!$B$5:$BP$200,4,FALSE),0)</f>
        <v>0</v>
      </c>
      <c r="T420" s="131"/>
      <c r="U420" s="131">
        <f>IFERROR(VLOOKUP($L420,'2-2 引出数据_合同数据仓库'!$B$5:$BP$200,15,FALSE),0)</f>
        <v>0</v>
      </c>
      <c r="V420" s="131">
        <f t="shared" si="4935"/>
        <v>0</v>
      </c>
      <c r="W420" s="131"/>
      <c r="X420" s="163">
        <v>45658</v>
      </c>
      <c r="Y420" s="163">
        <f t="shared" si="4936"/>
        <v>45688</v>
      </c>
      <c r="Z420" s="167">
        <f t="shared" si="4937"/>
        <v>0</v>
      </c>
      <c r="AA420" s="163">
        <f t="shared" si="4938"/>
        <v>45689</v>
      </c>
      <c r="AB420" s="163">
        <f t="shared" si="4939"/>
        <v>45716</v>
      </c>
      <c r="AC420" s="167">
        <f t="shared" si="4940"/>
        <v>0</v>
      </c>
      <c r="AD420" s="163">
        <f t="shared" si="4941"/>
        <v>45717</v>
      </c>
      <c r="AE420" s="163">
        <f t="shared" si="4942"/>
        <v>45747</v>
      </c>
      <c r="AF420" s="167">
        <f t="shared" si="4943"/>
        <v>0</v>
      </c>
      <c r="AG420" s="163">
        <f t="shared" si="4944"/>
        <v>45748</v>
      </c>
      <c r="AH420" s="163">
        <f t="shared" si="4945"/>
        <v>45777</v>
      </c>
      <c r="AI420" s="167">
        <f t="shared" si="4946"/>
        <v>0</v>
      </c>
      <c r="AJ420" s="163">
        <f t="shared" si="4947"/>
        <v>45778</v>
      </c>
      <c r="AK420" s="163">
        <f t="shared" si="4948"/>
        <v>45808</v>
      </c>
      <c r="AL420" s="167">
        <f t="shared" si="4949"/>
        <v>0</v>
      </c>
      <c r="AM420" s="163">
        <f t="shared" si="4950"/>
        <v>45809</v>
      </c>
      <c r="AN420" s="163">
        <f t="shared" si="4951"/>
        <v>45838</v>
      </c>
      <c r="AO420" s="167">
        <f t="shared" si="4952"/>
        <v>0</v>
      </c>
      <c r="AP420" s="163">
        <f t="shared" si="4953"/>
        <v>45839</v>
      </c>
      <c r="AQ420" s="163">
        <f t="shared" si="4954"/>
        <v>45869</v>
      </c>
      <c r="AR420" s="167">
        <f t="shared" si="4955"/>
        <v>0</v>
      </c>
      <c r="AS420" s="163">
        <f t="shared" si="4956"/>
        <v>45870</v>
      </c>
      <c r="AT420" s="163">
        <f t="shared" si="4957"/>
        <v>45900</v>
      </c>
      <c r="AU420" s="167">
        <f t="shared" si="4958"/>
        <v>0</v>
      </c>
      <c r="AV420" s="163">
        <f t="shared" si="4959"/>
        <v>45901</v>
      </c>
      <c r="AW420" s="163">
        <f t="shared" si="4960"/>
        <v>45930</v>
      </c>
      <c r="AX420" s="167">
        <f t="shared" si="4961"/>
        <v>0</v>
      </c>
      <c r="AY420" s="163">
        <f t="shared" si="4962"/>
        <v>45931</v>
      </c>
      <c r="AZ420" s="163">
        <f t="shared" si="4963"/>
        <v>45961</v>
      </c>
      <c r="BA420" s="167">
        <f t="shared" si="4964"/>
        <v>0</v>
      </c>
      <c r="BB420" s="163">
        <f t="shared" si="4965"/>
        <v>45962</v>
      </c>
      <c r="BC420" s="163">
        <f t="shared" si="4966"/>
        <v>45991</v>
      </c>
      <c r="BD420" s="167">
        <f t="shared" si="4967"/>
        <v>0</v>
      </c>
      <c r="BE420" s="163">
        <f t="shared" si="4968"/>
        <v>45992</v>
      </c>
      <c r="BF420" s="163">
        <f t="shared" si="4969"/>
        <v>46022</v>
      </c>
      <c r="BG420" s="167">
        <f t="shared" si="4970"/>
        <v>0</v>
      </c>
      <c r="BH420" s="163">
        <v>46023</v>
      </c>
      <c r="BI420" s="163">
        <f t="shared" si="4971"/>
        <v>46053</v>
      </c>
      <c r="BJ420" s="167">
        <f t="shared" si="4972"/>
        <v>0</v>
      </c>
      <c r="BK420" s="163">
        <f t="shared" si="4973"/>
        <v>46054</v>
      </c>
      <c r="BL420" s="163">
        <f t="shared" si="4974"/>
        <v>46081</v>
      </c>
      <c r="BM420" s="167">
        <f t="shared" si="4975"/>
        <v>0</v>
      </c>
      <c r="BN420" s="163">
        <f t="shared" si="4976"/>
        <v>46082</v>
      </c>
      <c r="BO420" s="163">
        <f t="shared" si="4977"/>
        <v>46112</v>
      </c>
      <c r="BP420" s="167">
        <f t="shared" si="4978"/>
        <v>0</v>
      </c>
      <c r="BQ420" s="163">
        <f t="shared" si="4979"/>
        <v>46113</v>
      </c>
      <c r="BR420" s="163">
        <f t="shared" si="4980"/>
        <v>46142</v>
      </c>
      <c r="BS420" s="167">
        <f t="shared" si="4981"/>
        <v>0</v>
      </c>
      <c r="BT420" s="163">
        <f t="shared" si="4982"/>
        <v>46143</v>
      </c>
      <c r="BU420" s="163">
        <f t="shared" si="4983"/>
        <v>46173</v>
      </c>
      <c r="BV420" s="167">
        <f t="shared" si="4984"/>
        <v>0</v>
      </c>
      <c r="BW420" s="163">
        <f t="shared" si="4985"/>
        <v>46174</v>
      </c>
      <c r="BX420" s="163">
        <f t="shared" si="4986"/>
        <v>46203</v>
      </c>
      <c r="BY420" s="167">
        <f t="shared" si="4987"/>
        <v>0</v>
      </c>
      <c r="BZ420" s="163">
        <f t="shared" si="4988"/>
        <v>46204</v>
      </c>
      <c r="CA420" s="163">
        <f t="shared" si="4989"/>
        <v>46234</v>
      </c>
      <c r="CB420" s="167">
        <f t="shared" si="4990"/>
        <v>0</v>
      </c>
      <c r="CC420" s="163">
        <f t="shared" si="4991"/>
        <v>46235</v>
      </c>
      <c r="CD420" s="163">
        <f t="shared" si="4992"/>
        <v>46265</v>
      </c>
      <c r="CE420" s="167">
        <f t="shared" si="4993"/>
        <v>0</v>
      </c>
      <c r="CF420" s="163">
        <f t="shared" si="4994"/>
        <v>46266</v>
      </c>
      <c r="CG420" s="163">
        <f t="shared" si="4995"/>
        <v>46295</v>
      </c>
      <c r="CH420" s="167">
        <f t="shared" si="4996"/>
        <v>0</v>
      </c>
      <c r="CI420" s="163">
        <f t="shared" si="4997"/>
        <v>46296</v>
      </c>
      <c r="CJ420" s="163">
        <f t="shared" si="4998"/>
        <v>46326</v>
      </c>
      <c r="CK420" s="167">
        <f t="shared" si="4999"/>
        <v>0</v>
      </c>
      <c r="CL420" s="163">
        <f t="shared" si="5000"/>
        <v>46327</v>
      </c>
      <c r="CM420" s="163">
        <f t="shared" si="5001"/>
        <v>46356</v>
      </c>
      <c r="CN420" s="167">
        <f t="shared" si="5002"/>
        <v>0</v>
      </c>
      <c r="CO420" s="163">
        <f t="shared" si="5003"/>
        <v>46357</v>
      </c>
      <c r="CP420" s="163">
        <f t="shared" si="5004"/>
        <v>46387</v>
      </c>
      <c r="CQ420" s="167">
        <f t="shared" si="5005"/>
        <v>0</v>
      </c>
    </row>
    <row r="421" s="89" customFormat="1" ht="24" hidden="1" customHeight="1" outlineLevel="4" spans="1:95">
      <c r="A421" s="132" t="s">
        <v>2813</v>
      </c>
      <c r="B421" s="133"/>
      <c r="C421" s="133"/>
      <c r="D421" s="133"/>
      <c r="E421" s="133"/>
      <c r="F421" s="133"/>
      <c r="G421" s="134"/>
      <c r="H421" s="135"/>
      <c r="I421" s="135"/>
      <c r="J421" s="135"/>
      <c r="K421" s="135"/>
      <c r="L421" s="158"/>
      <c r="M421" s="158"/>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c r="BM421" s="135"/>
      <c r="BN421" s="135"/>
      <c r="BO421" s="135"/>
      <c r="BP421" s="135"/>
      <c r="BQ421" s="135"/>
      <c r="BR421" s="135"/>
      <c r="BS421" s="135"/>
      <c r="BT421" s="135"/>
      <c r="BU421" s="135"/>
      <c r="BV421" s="135"/>
      <c r="BW421" s="135"/>
      <c r="BX421" s="135"/>
      <c r="BY421" s="135"/>
      <c r="BZ421" s="135"/>
      <c r="CA421" s="135"/>
      <c r="CB421" s="135"/>
      <c r="CC421" s="135"/>
      <c r="CD421" s="135"/>
      <c r="CE421" s="135"/>
      <c r="CF421" s="135"/>
      <c r="CG421" s="135"/>
      <c r="CH421" s="135"/>
      <c r="CI421" s="135"/>
      <c r="CJ421" s="135"/>
      <c r="CK421" s="135"/>
      <c r="CL421" s="135"/>
      <c r="CM421" s="135"/>
      <c r="CN421" s="135"/>
      <c r="CO421" s="135"/>
      <c r="CP421" s="135"/>
      <c r="CQ421" s="135"/>
    </row>
    <row r="422" ht="24" customHeight="1" outlineLevel="2" collapsed="1" spans="1:95">
      <c r="A422" s="43"/>
      <c r="B422" s="121" t="s">
        <v>792</v>
      </c>
      <c r="C422" s="122" t="s">
        <v>1415</v>
      </c>
      <c r="D422" s="43" t="s">
        <v>1416</v>
      </c>
      <c r="E422" s="121" t="s">
        <v>1282</v>
      </c>
      <c r="F422" s="121"/>
      <c r="G422" s="121" t="s">
        <v>1417</v>
      </c>
      <c r="H422" s="123">
        <f>X422+AA422+AD422+AG422+AJ422+AM422+AP422+AS422+AV422+AY422+BB422+BE422</f>
        <v>0</v>
      </c>
      <c r="I422" s="123">
        <f>Y422+AB422+AE422+AH422+AK422+AN422+AQ422+AT422+AW422+AZ422+BC422+BF422</f>
        <v>-22068.1528767123</v>
      </c>
      <c r="J422" s="123">
        <f t="shared" si="4646"/>
        <v>22068.1528767123</v>
      </c>
      <c r="K422" s="123"/>
      <c r="L422" s="154"/>
      <c r="M422" s="154"/>
      <c r="N422" s="123"/>
      <c r="O422" s="123"/>
      <c r="P422" s="123"/>
      <c r="Q422" s="123"/>
      <c r="R422" s="123"/>
      <c r="S422" s="123"/>
      <c r="T422" s="123"/>
      <c r="U422" s="123"/>
      <c r="V422" s="123"/>
      <c r="W422" s="123"/>
      <c r="X422" s="123">
        <f>VLOOKUP($C422,'1 预算编制表单'!$C:$BJ,27,FALSE)</f>
        <v>0</v>
      </c>
      <c r="Y422" s="123">
        <f>X422-Z422</f>
        <v>0</v>
      </c>
      <c r="Z422" s="123">
        <f>SUM(Z423:Z427)</f>
        <v>0</v>
      </c>
      <c r="AA422" s="123">
        <f>VLOOKUP($C422,'1 预算编制表单'!$C:$BJ,30,FALSE)</f>
        <v>0</v>
      </c>
      <c r="AB422" s="123">
        <f>AA422-AC422</f>
        <v>0</v>
      </c>
      <c r="AC422" s="123">
        <f>SUM(AC423:AC427)</f>
        <v>0</v>
      </c>
      <c r="AD422" s="123">
        <f>VLOOKUP($C422,'1 预算编制表单'!$C:$BJ,33,FALSE)</f>
        <v>0</v>
      </c>
      <c r="AE422" s="123">
        <f>AD422-AF422</f>
        <v>0</v>
      </c>
      <c r="AF422" s="123">
        <f>SUM(AF423:AF427)</f>
        <v>0</v>
      </c>
      <c r="AG422" s="123">
        <f>VLOOKUP($C422,'1 预算编制表单'!$C:$BJ,36,FALSE)</f>
        <v>0</v>
      </c>
      <c r="AH422" s="123">
        <f>AG422-AI422</f>
        <v>-240.236220472441</v>
      </c>
      <c r="AI422" s="123">
        <f>SUM(AI423:AI427)</f>
        <v>240.236220472441</v>
      </c>
      <c r="AJ422" s="123">
        <f>VLOOKUP($C422,'1 预算编制表单'!$C:$BJ,39,FALSE)</f>
        <v>0</v>
      </c>
      <c r="AK422" s="123">
        <f>AJ422-AL422</f>
        <v>-827.48031496063</v>
      </c>
      <c r="AL422" s="123">
        <f>SUM(AL423:AL427)</f>
        <v>827.48031496063</v>
      </c>
      <c r="AM422" s="123">
        <f>VLOOKUP($C422,'1 预算编制表单'!$C:$BJ,42,FALSE)</f>
        <v>0</v>
      </c>
      <c r="AN422" s="123">
        <f>AM422-AO422</f>
        <v>-800.787401574803</v>
      </c>
      <c r="AO422" s="123">
        <f>SUM(AO423:AO427)</f>
        <v>800.787401574803</v>
      </c>
      <c r="AP422" s="123">
        <f>VLOOKUP($C422,'1 预算编制表单'!$C:$BJ,45,FALSE)</f>
        <v>0</v>
      </c>
      <c r="AQ422" s="123">
        <f>AP422-AR422</f>
        <v>-2964.96880811131</v>
      </c>
      <c r="AR422" s="123">
        <f>SUM(AR423:AR427)</f>
        <v>2964.96880811131</v>
      </c>
      <c r="AS422" s="123">
        <f>VLOOKUP($C422,'1 预算编制表单'!$C:$BJ,48,FALSE)</f>
        <v>0</v>
      </c>
      <c r="AT422" s="123">
        <f>AS422-AU422</f>
        <v>-3491.99401359077</v>
      </c>
      <c r="AU422" s="123">
        <f>SUM(AU423:AU427)</f>
        <v>3491.99401359077</v>
      </c>
      <c r="AV422" s="123">
        <f>VLOOKUP($C422,'1 预算编制表单'!$C:$BJ,51,FALSE)</f>
        <v>0</v>
      </c>
      <c r="AW422" s="123">
        <f>AV422-AX422</f>
        <v>-3379.34904541042</v>
      </c>
      <c r="AX422" s="123">
        <f>SUM(AX423:AX427)</f>
        <v>3379.34904541042</v>
      </c>
      <c r="AY422" s="123">
        <f>VLOOKUP($C422,'1 预算编制表单'!$C:$BJ,54,FALSE)</f>
        <v>0</v>
      </c>
      <c r="AZ422" s="123">
        <f>AY422-BA422</f>
        <v>-3491.99401359077</v>
      </c>
      <c r="BA422" s="123">
        <f>SUM(BA423:BA427)</f>
        <v>3491.99401359077</v>
      </c>
      <c r="BB422" s="123">
        <f>VLOOKUP($C422,'1 预算编制表单'!$C:$BJ,57,FALSE)</f>
        <v>0</v>
      </c>
      <c r="BC422" s="123">
        <f>BB422-BD422</f>
        <v>-3379.34904541042</v>
      </c>
      <c r="BD422" s="123">
        <f>SUM(BD423:BD427)</f>
        <v>3379.34904541042</v>
      </c>
      <c r="BE422" s="123">
        <f>VLOOKUP($C422,'1 预算编制表单'!$C:$BJ,60,FALSE)</f>
        <v>0</v>
      </c>
      <c r="BF422" s="123">
        <f>BE422-BG422</f>
        <v>-3491.99401359077</v>
      </c>
      <c r="BG422" s="123">
        <f>SUM(BG423:BG427)</f>
        <v>3491.99401359077</v>
      </c>
      <c r="BH422" s="123">
        <f>VLOOKUP($C422,'1 预算编制表单'!$C:$BJ,27,FALSE)</f>
        <v>0</v>
      </c>
      <c r="BI422" s="123">
        <f>BH422-BJ422</f>
        <v>-2664.51369863014</v>
      </c>
      <c r="BJ422" s="123">
        <f>SUM(BJ423:BJ427)</f>
        <v>2664.51369863014</v>
      </c>
      <c r="BK422" s="123">
        <f>VLOOKUP($C422,'1 预算编制表单'!$C:$BJ,30,FALSE)</f>
        <v>0</v>
      </c>
      <c r="BL422" s="123">
        <f>BK422-BM422</f>
        <v>-2406.65753424658</v>
      </c>
      <c r="BM422" s="123">
        <f>SUM(BM423:BM427)</f>
        <v>2406.65753424658</v>
      </c>
      <c r="BN422" s="123">
        <f>VLOOKUP($C422,'1 预算编制表单'!$C:$BJ,33,FALSE)</f>
        <v>0</v>
      </c>
      <c r="BO422" s="123">
        <f>BN422-BP422</f>
        <v>-2664.51369863014</v>
      </c>
      <c r="BP422" s="123">
        <f>SUM(BP423:BP427)</f>
        <v>2664.51369863014</v>
      </c>
      <c r="BQ422" s="123">
        <f>VLOOKUP($C422,'1 预算编制表单'!$C:$BJ,36,FALSE)</f>
        <v>0</v>
      </c>
      <c r="BR422" s="123">
        <f>BQ422-BS422</f>
        <v>-2578.56164383562</v>
      </c>
      <c r="BS422" s="123">
        <f>SUM(BS423:BS427)</f>
        <v>2578.56164383562</v>
      </c>
      <c r="BT422" s="123">
        <f>VLOOKUP($C422,'1 预算编制表单'!$C:$BJ,39,FALSE)</f>
        <v>0</v>
      </c>
      <c r="BU422" s="123">
        <f>BT422-BV422</f>
        <v>-2664.51369863014</v>
      </c>
      <c r="BV422" s="123">
        <f>SUM(BV423:BV427)</f>
        <v>2664.51369863014</v>
      </c>
      <c r="BW422" s="123">
        <f>VLOOKUP($C422,'1 预算编制表单'!$C:$BJ,42,FALSE)</f>
        <v>0</v>
      </c>
      <c r="BX422" s="123">
        <f>BW422-BY422</f>
        <v>-2578.56164383562</v>
      </c>
      <c r="BY422" s="123">
        <f>SUM(BY423:BY427)</f>
        <v>2578.56164383562</v>
      </c>
      <c r="BZ422" s="123">
        <f>VLOOKUP($C422,'1 预算编制表单'!$C:$BJ,45,FALSE)</f>
        <v>0</v>
      </c>
      <c r="CA422" s="123">
        <f>BZ422-CB422</f>
        <v>-527.025205479452</v>
      </c>
      <c r="CB422" s="123">
        <f>SUM(CB423:CB427)</f>
        <v>527.025205479452</v>
      </c>
      <c r="CC422" s="123">
        <f>VLOOKUP($C422,'1 预算编制表单'!$C:$BJ,48,FALSE)</f>
        <v>0</v>
      </c>
      <c r="CD422" s="123">
        <f>CC422-CE422</f>
        <v>0</v>
      </c>
      <c r="CE422" s="123">
        <f>SUM(CE423:CE427)</f>
        <v>0</v>
      </c>
      <c r="CF422" s="123">
        <f>VLOOKUP($C422,'1 预算编制表单'!$C:$BJ,51,FALSE)</f>
        <v>0</v>
      </c>
      <c r="CG422" s="123">
        <f>CF422-CH422</f>
        <v>0</v>
      </c>
      <c r="CH422" s="123">
        <f>SUM(CH423:CH427)</f>
        <v>0</v>
      </c>
      <c r="CI422" s="123">
        <f>VLOOKUP($C422,'1 预算编制表单'!$C:$BJ,54,FALSE)</f>
        <v>0</v>
      </c>
      <c r="CJ422" s="123">
        <f>CI422-CK422</f>
        <v>0</v>
      </c>
      <c r="CK422" s="123">
        <f>SUM(CK423:CK427)</f>
        <v>0</v>
      </c>
      <c r="CL422" s="123">
        <f>VLOOKUP($C422,'1 预算编制表单'!$C:$BJ,57,FALSE)</f>
        <v>0</v>
      </c>
      <c r="CM422" s="123">
        <f>CL422-CN422</f>
        <v>0</v>
      </c>
      <c r="CN422" s="123">
        <f>SUM(CN423:CN427)</f>
        <v>0</v>
      </c>
      <c r="CO422" s="123">
        <f>VLOOKUP($C422,'1 预算编制表单'!$C:$BJ,60,FALSE)</f>
        <v>0</v>
      </c>
      <c r="CP422" s="123">
        <f>CO422-CQ422</f>
        <v>0</v>
      </c>
      <c r="CQ422" s="123">
        <f>SUM(CQ423:CQ427)</f>
        <v>0</v>
      </c>
    </row>
    <row r="423" s="89" customFormat="1" ht="24" hidden="1" customHeight="1" outlineLevel="3" spans="1:95">
      <c r="A423" s="128"/>
      <c r="B423" s="129"/>
      <c r="C423" s="130"/>
      <c r="D423" s="128"/>
      <c r="E423" s="129"/>
      <c r="F423" s="129"/>
      <c r="G423" s="129"/>
      <c r="H423" s="131"/>
      <c r="I423" s="131"/>
      <c r="J423" s="131">
        <f t="shared" si="4646"/>
        <v>2253.42465753425</v>
      </c>
      <c r="K423" s="131">
        <v>1</v>
      </c>
      <c r="L423" s="156" t="s">
        <v>2842</v>
      </c>
      <c r="M423" s="157" t="str">
        <f>IFERROR(VLOOKUP($L423,'2-2 引出数据_合同数据仓库'!$B$5:$BP$200,3,FALSE),0)</f>
        <v>深圳非住二片区中海油大厦楼层打印机维修合同评审申请</v>
      </c>
      <c r="N423" s="131"/>
      <c r="O423" s="157">
        <f>IFERROR(VLOOKUP((LEFT(VLOOKUP($L423,'2-2 引出数据_合同数据仓库'!$B$5:$BP$200,64,FALSE),15)&amp;(RIGHT(VLOOKUP($L423,'2-2 引出数据_合同数据仓库'!$B$5:$BP$200,64,FALSE),4)+1)),'2-2 引出数据_合同数据仓库'!$B$5:$BP$200,3,FALSE),0)</f>
        <v>0</v>
      </c>
      <c r="P423" s="131"/>
      <c r="Q423" s="131" t="str">
        <f>IFERROR(VLOOKUP($L423,'2-2 引出数据_合同数据仓库'!$B$5:$BP$200,28,FALSE),0)</f>
        <v>2025-07-10</v>
      </c>
      <c r="R423" s="131" t="str">
        <f>IFERROR(VLOOKUP($L423,'2-2 引出数据_合同数据仓库'!$B$5:$BP$200,29,FALSE),0)</f>
        <v>2025-07-10</v>
      </c>
      <c r="S423" s="131" t="str">
        <f>IFERROR(VLOOKUP($L423,'2-2 引出数据_合同数据仓库'!$B$5:$BP$200,4,FALSE),0)</f>
        <v>2026-07-09</v>
      </c>
      <c r="T423" s="131"/>
      <c r="U423" s="131">
        <f>IFERROR(VLOOKUP($L423,'2-2 引出数据_合同数据仓库'!$B$5:$BP$200,15,FALSE),0)</f>
        <v>4700</v>
      </c>
      <c r="V423" s="131">
        <f t="shared" ref="V423:V426" si="5007">U423/(S423-R423+1)*365</f>
        <v>4700</v>
      </c>
      <c r="W423" s="131"/>
      <c r="X423" s="163">
        <v>45658</v>
      </c>
      <c r="Y423" s="163">
        <f t="shared" ref="Y423:Y426" si="5008">X423+30</f>
        <v>45688</v>
      </c>
      <c r="Z423" s="167">
        <f t="shared" ref="Z423:Z426" si="5009">IFERROR(IF(($R423-Y423)&gt;=0,0,IF(($S423-X423)&lt;0,0,IF(AND(($S423-Y423)&gt;0,(X423-$R423)&gt;0),$V423/365*(Y423-X423+1),IF(AND(($S423-Y423)&lt;=0,(X423-$R423)&gt;0),$V423/365*($S423-X423+1),$V423/365*(Y423-$R423+1))))),0)</f>
        <v>0</v>
      </c>
      <c r="AA423" s="163">
        <f t="shared" ref="AA423:AA426" si="5010">Y423+1</f>
        <v>45689</v>
      </c>
      <c r="AB423" s="163">
        <f t="shared" ref="AB423:AB426" si="5011">AA423+27</f>
        <v>45716</v>
      </c>
      <c r="AC423" s="167">
        <f t="shared" ref="AC423:AC426" si="5012">IFERROR(IF(($R423-AB423)&gt;=0,0,IF(($S423-AA423)&lt;0,0,IF(AND(($S423-AB423)&gt;0,(AA423-$R423)&gt;0),$V423/365*(AB423-AA423+1),IF(AND(($S423-AB423)&lt;=0,(AA423-$R423)&gt;0),$V423/365*($S423-AA423+1),$V423/365*(AB423-$R423+1))))),0)</f>
        <v>0</v>
      </c>
      <c r="AD423" s="163">
        <f t="shared" ref="AD423:AD426" si="5013">AB423+1</f>
        <v>45717</v>
      </c>
      <c r="AE423" s="163">
        <f t="shared" ref="AE423:AE426" si="5014">AD423+30</f>
        <v>45747</v>
      </c>
      <c r="AF423" s="167">
        <f t="shared" ref="AF423:AF426" si="5015">IFERROR(IF(($R423-AE423)&gt;=0,0,IF(($S423-AD423)&lt;0,0,IF(AND(($S423-AE423)&gt;0,(AD423-$R423)&gt;0),$V423/365*(AE423-AD423+1),IF(AND(($S423-AE423)&lt;=0,(AD423-$R423)&gt;0),$V423/365*($S423-AD423+1),$V423/365*(AE423-$R423+1))))),0)</f>
        <v>0</v>
      </c>
      <c r="AG423" s="163">
        <f t="shared" ref="AG423:AG426" si="5016">AE423+1</f>
        <v>45748</v>
      </c>
      <c r="AH423" s="163">
        <f t="shared" ref="AH423:AH426" si="5017">AG423+29</f>
        <v>45777</v>
      </c>
      <c r="AI423" s="167">
        <f t="shared" ref="AI423:AI426" si="5018">IFERROR(IF(($R423-AH423)&gt;=0,0,IF(($S423-AG423)&lt;0,0,IF(AND(($S423-AH423)&gt;0,(AG423-$R423)&gt;0),$V423/365*(AH423-AG423+1),IF(AND(($S423-AH423)&lt;=0,(AG423-$R423)&gt;0),$V423/365*($S423-AG423+1),$V423/365*(AH423-$R423+1))))),0)</f>
        <v>0</v>
      </c>
      <c r="AJ423" s="163">
        <f t="shared" ref="AJ423:AJ426" si="5019">AH423+1</f>
        <v>45778</v>
      </c>
      <c r="AK423" s="163">
        <f t="shared" ref="AK423:AK426" si="5020">AJ423+30</f>
        <v>45808</v>
      </c>
      <c r="AL423" s="167">
        <f t="shared" ref="AL423:AL426" si="5021">IFERROR(IF(($R423-AK423)&gt;=0,0,IF(($S423-AJ423)&lt;0,0,IF(AND(($S423-AK423)&gt;0,(AJ423-$R423)&gt;0),$V423/365*(AK423-AJ423+1),IF(AND(($S423-AK423)&lt;=0,(AJ423-$R423)&gt;0),$V423/365*($S423-AJ423+1),$V423/365*(AK423-$R423+1))))),0)</f>
        <v>0</v>
      </c>
      <c r="AM423" s="163">
        <f t="shared" ref="AM423:AM426" si="5022">AK423+1</f>
        <v>45809</v>
      </c>
      <c r="AN423" s="163">
        <f t="shared" ref="AN423:AN426" si="5023">AM423+29</f>
        <v>45838</v>
      </c>
      <c r="AO423" s="167">
        <f t="shared" ref="AO423:AO426" si="5024">IFERROR(IF(($R423-AN423)&gt;=0,0,IF(($S423-AM423)&lt;0,0,IF(AND(($S423-AN423)&gt;0,(AM423-$R423)&gt;0),$V423/365*(AN423-AM423+1),IF(AND(($S423-AN423)&lt;=0,(AM423-$R423)&gt;0),$V423/365*($S423-AM423+1),$V423/365*(AN423-$R423+1))))),0)</f>
        <v>0</v>
      </c>
      <c r="AP423" s="163">
        <f t="shared" ref="AP423:AP426" si="5025">AN423+1</f>
        <v>45839</v>
      </c>
      <c r="AQ423" s="163">
        <f t="shared" ref="AQ423:AQ426" si="5026">AP423+30</f>
        <v>45869</v>
      </c>
      <c r="AR423" s="167">
        <f t="shared" ref="AR423:AR426" si="5027">IFERROR(IF(($R423-AQ423)&gt;=0,0,IF(($S423-AP423)&lt;0,0,IF(AND(($S423-AQ423)&gt;0,(AP423-$R423)&gt;0),$V423/365*(AQ423-AP423+1),IF(AND(($S423-AQ423)&lt;=0,(AP423-$R423)&gt;0),$V423/365*($S423-AP423+1),$V423/365*(AQ423-$R423+1))))),0)</f>
        <v>283.287671232877</v>
      </c>
      <c r="AS423" s="163">
        <f t="shared" ref="AS423:AS426" si="5028">AQ423+1</f>
        <v>45870</v>
      </c>
      <c r="AT423" s="163">
        <f t="shared" ref="AT423:AT426" si="5029">AS423+30</f>
        <v>45900</v>
      </c>
      <c r="AU423" s="167">
        <f t="shared" ref="AU423:AU426" si="5030">IFERROR(IF(($R423-AT423)&gt;=0,0,IF(($S423-AS423)&lt;0,0,IF(AND(($S423-AT423)&gt;0,(AS423-$R423)&gt;0),$V423/365*(AT423-AS423+1),IF(AND(($S423-AT423)&lt;=0,(AS423-$R423)&gt;0),$V423/365*($S423-AS423+1),$V423/365*(AT423-$R423+1))))),0)</f>
        <v>399.178082191781</v>
      </c>
      <c r="AV423" s="163">
        <f t="shared" ref="AV423:AV426" si="5031">AT423+1</f>
        <v>45901</v>
      </c>
      <c r="AW423" s="163">
        <f t="shared" ref="AW423:AW426" si="5032">AV423+29</f>
        <v>45930</v>
      </c>
      <c r="AX423" s="167">
        <f t="shared" ref="AX423:AX426" si="5033">IFERROR(IF(($R423-AW423)&gt;=0,0,IF(($S423-AV423)&lt;0,0,IF(AND(($S423-AW423)&gt;0,(AV423-$R423)&gt;0),$V423/365*(AW423-AV423+1),IF(AND(($S423-AW423)&lt;=0,(AV423-$R423)&gt;0),$V423/365*($S423-AV423+1),$V423/365*(AW423-$R423+1))))),0)</f>
        <v>386.301369863014</v>
      </c>
      <c r="AY423" s="163">
        <f t="shared" ref="AY423:AY426" si="5034">AW423+1</f>
        <v>45931</v>
      </c>
      <c r="AZ423" s="163">
        <f t="shared" ref="AZ423:AZ426" si="5035">AY423+30</f>
        <v>45961</v>
      </c>
      <c r="BA423" s="167">
        <f t="shared" ref="BA423:BA426" si="5036">IFERROR(IF(($R423-AZ423)&gt;=0,0,IF(($S423-AY423)&lt;0,0,IF(AND(($S423-AZ423)&gt;0,(AY423-$R423)&gt;0),$V423/365*(AZ423-AY423+1),IF(AND(($S423-AZ423)&lt;=0,(AY423-$R423)&gt;0),$V423/365*($S423-AY423+1),$V423/365*(AZ423-$R423+1))))),0)</f>
        <v>399.178082191781</v>
      </c>
      <c r="BB423" s="163">
        <f t="shared" ref="BB423:BB426" si="5037">AZ423+1</f>
        <v>45962</v>
      </c>
      <c r="BC423" s="163">
        <f t="shared" ref="BC423:BC426" si="5038">BB423+29</f>
        <v>45991</v>
      </c>
      <c r="BD423" s="167">
        <f t="shared" ref="BD423:BD426" si="5039">IFERROR(IF(($R423-BC423)&gt;=0,0,IF(($S423-BB423)&lt;0,0,IF(AND(($S423-BC423)&gt;0,(BB423-$R423)&gt;0),$V423/365*(BC423-BB423+1),IF(AND(($S423-BC423)&lt;=0,(BB423-$R423)&gt;0),$V423/365*($S423-BB423+1),$V423/365*(BC423-$R423+1))))),0)</f>
        <v>386.301369863014</v>
      </c>
      <c r="BE423" s="163">
        <f t="shared" ref="BE423:BE426" si="5040">BC423+1</f>
        <v>45992</v>
      </c>
      <c r="BF423" s="163">
        <f t="shared" ref="BF423:BF426" si="5041">BE423+30</f>
        <v>46022</v>
      </c>
      <c r="BG423" s="167">
        <f t="shared" ref="BG423:BG426" si="5042">IFERROR(IF(($R423-BF423)&gt;=0,0,IF(($S423-BE423)&lt;0,0,IF(AND(($S423-BF423)&gt;0,(BE423-$R423)&gt;0),$V423/365*(BF423-BE423+1),IF(AND(($S423-BF423)&lt;=0,(BE423-$R423)&gt;0),$V423/365*($S423-BE423+1),$V423/365*(BF423-$R423+1))))),0)</f>
        <v>399.178082191781</v>
      </c>
      <c r="BH423" s="163">
        <v>46023</v>
      </c>
      <c r="BI423" s="163">
        <f t="shared" ref="BI423:BI426" si="5043">BH423+30</f>
        <v>46053</v>
      </c>
      <c r="BJ423" s="167">
        <f t="shared" ref="BJ423:BJ426" si="5044">IFERROR(IF(($R423-BI423)&gt;=0,0,IF(($S423-BH423)&lt;0,0,IF(AND(($S423-BI423)&gt;0,(BH423-$R423)&gt;0),$V423/365*(BI423-BH423+1),IF(AND(($S423-BI423)&lt;=0,(BH423-$R423)&gt;0),$V423/365*($S423-BH423+1),$V423/365*(BI423-$R423+1))))),0)</f>
        <v>399.178082191781</v>
      </c>
      <c r="BK423" s="163">
        <f t="shared" ref="BK423:BK426" si="5045">BI423+1</f>
        <v>46054</v>
      </c>
      <c r="BL423" s="163">
        <f t="shared" ref="BL423:BL426" si="5046">BK423+27</f>
        <v>46081</v>
      </c>
      <c r="BM423" s="167">
        <f t="shared" ref="BM423:BM426" si="5047">IFERROR(IF(($R423-BL423)&gt;=0,0,IF(($S423-BK423)&lt;0,0,IF(AND(($S423-BL423)&gt;0,(BK423-$R423)&gt;0),$V423/365*(BL423-BK423+1),IF(AND(($S423-BL423)&lt;=0,(BK423-$R423)&gt;0),$V423/365*($S423-BK423+1),$V423/365*(BL423-$R423+1))))),0)</f>
        <v>360.547945205479</v>
      </c>
      <c r="BN423" s="163">
        <f t="shared" ref="BN423:BN426" si="5048">BL423+1</f>
        <v>46082</v>
      </c>
      <c r="BO423" s="163">
        <f t="shared" ref="BO423:BO426" si="5049">BN423+30</f>
        <v>46112</v>
      </c>
      <c r="BP423" s="167">
        <f t="shared" ref="BP423:BP426" si="5050">IFERROR(IF(($R423-BO423)&gt;=0,0,IF(($S423-BN423)&lt;0,0,IF(AND(($S423-BO423)&gt;0,(BN423-$R423)&gt;0),$V423/365*(BO423-BN423+1),IF(AND(($S423-BO423)&lt;=0,(BN423-$R423)&gt;0),$V423/365*($S423-BN423+1),$V423/365*(BO423-$R423+1))))),0)</f>
        <v>399.178082191781</v>
      </c>
      <c r="BQ423" s="163">
        <f t="shared" ref="BQ423:BQ426" si="5051">BO423+1</f>
        <v>46113</v>
      </c>
      <c r="BR423" s="163">
        <f t="shared" ref="BR423:BR426" si="5052">BQ423+29</f>
        <v>46142</v>
      </c>
      <c r="BS423" s="167">
        <f t="shared" ref="BS423:BS426" si="5053">IFERROR(IF(($R423-BR423)&gt;=0,0,IF(($S423-BQ423)&lt;0,0,IF(AND(($S423-BR423)&gt;0,(BQ423-$R423)&gt;0),$V423/365*(BR423-BQ423+1),IF(AND(($S423-BR423)&lt;=0,(BQ423-$R423)&gt;0),$V423/365*($S423-BQ423+1),$V423/365*(BR423-$R423+1))))),0)</f>
        <v>386.301369863014</v>
      </c>
      <c r="BT423" s="163">
        <f t="shared" ref="BT423:BT426" si="5054">BR423+1</f>
        <v>46143</v>
      </c>
      <c r="BU423" s="163">
        <f t="shared" ref="BU423:BU426" si="5055">BT423+30</f>
        <v>46173</v>
      </c>
      <c r="BV423" s="167">
        <f t="shared" ref="BV423:BV426" si="5056">IFERROR(IF(($R423-BU423)&gt;=0,0,IF(($S423-BT423)&lt;0,0,IF(AND(($S423-BU423)&gt;0,(BT423-$R423)&gt;0),$V423/365*(BU423-BT423+1),IF(AND(($S423-BU423)&lt;=0,(BT423-$R423)&gt;0),$V423/365*($S423-BT423+1),$V423/365*(BU423-$R423+1))))),0)</f>
        <v>399.178082191781</v>
      </c>
      <c r="BW423" s="163">
        <f t="shared" ref="BW423:BW426" si="5057">BU423+1</f>
        <v>46174</v>
      </c>
      <c r="BX423" s="163">
        <f t="shared" ref="BX423:BX426" si="5058">BW423+29</f>
        <v>46203</v>
      </c>
      <c r="BY423" s="167">
        <f t="shared" ref="BY423:BY426" si="5059">IFERROR(IF(($R423-BX423)&gt;=0,0,IF(($S423-BW423)&lt;0,0,IF(AND(($S423-BX423)&gt;0,(BW423-$R423)&gt;0),$V423/365*(BX423-BW423+1),IF(AND(($S423-BX423)&lt;=0,(BW423-$R423)&gt;0),$V423/365*($S423-BW423+1),$V423/365*(BX423-$R423+1))))),0)</f>
        <v>386.301369863014</v>
      </c>
      <c r="BZ423" s="163">
        <f t="shared" ref="BZ423:BZ426" si="5060">BX423+1</f>
        <v>46204</v>
      </c>
      <c r="CA423" s="163">
        <f t="shared" ref="CA423:CA426" si="5061">BZ423+30</f>
        <v>46234</v>
      </c>
      <c r="CB423" s="167">
        <f t="shared" ref="CB423:CB426" si="5062">IFERROR(IF(($R423-CA423)&gt;=0,0,IF(($S423-BZ423)&lt;0,0,IF(AND(($S423-CA423)&gt;0,(BZ423-$R423)&gt;0),$V423/365*(CA423-BZ423+1),IF(AND(($S423-CA423)&lt;=0,(BZ423-$R423)&gt;0),$V423/365*($S423-BZ423+1),$V423/365*(CA423-$R423+1))))),0)</f>
        <v>115.890410958904</v>
      </c>
      <c r="CC423" s="163">
        <f t="shared" ref="CC423:CC426" si="5063">CA423+1</f>
        <v>46235</v>
      </c>
      <c r="CD423" s="163">
        <f t="shared" ref="CD423:CD426" si="5064">CC423+30</f>
        <v>46265</v>
      </c>
      <c r="CE423" s="167">
        <f t="shared" ref="CE423:CE426" si="5065">IFERROR(IF(($R423-CD423)&gt;=0,0,IF(($S423-CC423)&lt;0,0,IF(AND(($S423-CD423)&gt;0,(CC423-$R423)&gt;0),$V423/365*(CD423-CC423+1),IF(AND(($S423-CD423)&lt;=0,(CC423-$R423)&gt;0),$V423/365*($S423-CC423+1),$V423/365*(CD423-$R423+1))))),0)</f>
        <v>0</v>
      </c>
      <c r="CF423" s="163">
        <f t="shared" ref="CF423:CF426" si="5066">CD423+1</f>
        <v>46266</v>
      </c>
      <c r="CG423" s="163">
        <f t="shared" ref="CG423:CG426" si="5067">CF423+29</f>
        <v>46295</v>
      </c>
      <c r="CH423" s="167">
        <f t="shared" ref="CH423:CH426" si="5068">IFERROR(IF(($R423-CG423)&gt;=0,0,IF(($S423-CF423)&lt;0,0,IF(AND(($S423-CG423)&gt;0,(CF423-$R423)&gt;0),$V423/365*(CG423-CF423+1),IF(AND(($S423-CG423)&lt;=0,(CF423-$R423)&gt;0),$V423/365*($S423-CF423+1),$V423/365*(CG423-$R423+1))))),0)</f>
        <v>0</v>
      </c>
      <c r="CI423" s="163">
        <f t="shared" ref="CI423:CI426" si="5069">CG423+1</f>
        <v>46296</v>
      </c>
      <c r="CJ423" s="163">
        <f t="shared" ref="CJ423:CJ426" si="5070">CI423+30</f>
        <v>46326</v>
      </c>
      <c r="CK423" s="167">
        <f t="shared" ref="CK423:CK426" si="5071">IFERROR(IF(($R423-CJ423)&gt;=0,0,IF(($S423-CI423)&lt;0,0,IF(AND(($S423-CJ423)&gt;0,(CI423-$R423)&gt;0),$V423/365*(CJ423-CI423+1),IF(AND(($S423-CJ423)&lt;=0,(CI423-$R423)&gt;0),$V423/365*($S423-CI423+1),$V423/365*(CJ423-$R423+1))))),0)</f>
        <v>0</v>
      </c>
      <c r="CL423" s="163">
        <f t="shared" ref="CL423:CL426" si="5072">CJ423+1</f>
        <v>46327</v>
      </c>
      <c r="CM423" s="163">
        <f t="shared" ref="CM423:CM426" si="5073">CL423+29</f>
        <v>46356</v>
      </c>
      <c r="CN423" s="167">
        <f t="shared" ref="CN423:CN426" si="5074">IFERROR(IF(($R423-CM423)&gt;=0,0,IF(($S423-CL423)&lt;0,0,IF(AND(($S423-CM423)&gt;0,(CL423-$R423)&gt;0),$V423/365*(CM423-CL423+1),IF(AND(($S423-CM423)&lt;=0,(CL423-$R423)&gt;0),$V423/365*($S423-CL423+1),$V423/365*(CM423-$R423+1))))),0)</f>
        <v>0</v>
      </c>
      <c r="CO423" s="163">
        <f t="shared" ref="CO423:CO426" si="5075">CM423+1</f>
        <v>46357</v>
      </c>
      <c r="CP423" s="163">
        <f t="shared" ref="CP423:CP426" si="5076">CO423+30</f>
        <v>46387</v>
      </c>
      <c r="CQ423" s="167">
        <f t="shared" ref="CQ423:CQ426" si="5077">IFERROR(IF(($R423-CP423)&gt;=0,0,IF(($S423-CO423)&lt;0,0,IF(AND(($S423-CP423)&gt;0,(CO423-$R423)&gt;0),$V423/365*(CP423-CO423+1),IF(AND(($S423-CP423)&lt;=0,(CO423-$R423)&gt;0),$V423/365*($S423-CO423+1),$V423/365*(CP423-$R423+1))))),0)</f>
        <v>0</v>
      </c>
    </row>
    <row r="424" s="89" customFormat="1" ht="24" hidden="1" customHeight="1" outlineLevel="3" spans="1:95">
      <c r="A424" s="128"/>
      <c r="B424" s="129"/>
      <c r="C424" s="130"/>
      <c r="D424" s="128"/>
      <c r="E424" s="129"/>
      <c r="F424" s="129"/>
      <c r="G424" s="129"/>
      <c r="H424" s="131"/>
      <c r="I424" s="131"/>
      <c r="J424" s="131">
        <f t="shared" si="4646"/>
        <v>7994.28767123288</v>
      </c>
      <c r="K424" s="131">
        <f t="shared" ref="K424:K426" si="5078">K423+1</f>
        <v>2</v>
      </c>
      <c r="L424" s="156" t="s">
        <v>2843</v>
      </c>
      <c r="M424" s="157" t="str">
        <f>IFERROR(VLOOKUP($L424,'2-2 引出数据_合同数据仓库'!$B$5:$BP$200,3,FALSE),0)</f>
        <v>深圳非住二片区中海油大厦楼层空调维修施工合同评审申请</v>
      </c>
      <c r="N424" s="131"/>
      <c r="O424" s="157">
        <f>IFERROR(VLOOKUP((LEFT(VLOOKUP($L424,'2-2 引出数据_合同数据仓库'!$B$5:$BP$200,64,FALSE),15)&amp;(RIGHT(VLOOKUP($L424,'2-2 引出数据_合同数据仓库'!$B$5:$BP$200,64,FALSE),4)+1)),'2-2 引出数据_合同数据仓库'!$B$5:$BP$200,3,FALSE),0)</f>
        <v>0</v>
      </c>
      <c r="P424" s="131"/>
      <c r="Q424" s="131" t="str">
        <f>IFERROR(VLOOKUP($L424,'2-2 引出数据_合同数据仓库'!$B$5:$BP$200,28,FALSE),0)</f>
        <v>2025-07-10</v>
      </c>
      <c r="R424" s="131" t="str">
        <f>IFERROR(VLOOKUP($L424,'2-2 引出数据_合同数据仓库'!$B$5:$BP$200,29,FALSE),0)</f>
        <v>2025-07-10</v>
      </c>
      <c r="S424" s="131" t="str">
        <f>IFERROR(VLOOKUP($L424,'2-2 引出数据_合同数据仓库'!$B$5:$BP$200,4,FALSE),0)</f>
        <v>2026-07-09</v>
      </c>
      <c r="T424" s="131"/>
      <c r="U424" s="131">
        <f>IFERROR(VLOOKUP($L424,'2-2 引出数据_合同数据仓库'!$B$5:$BP$200,15,FALSE),0)</f>
        <v>16673.8</v>
      </c>
      <c r="V424" s="131">
        <f t="shared" si="5007"/>
        <v>16673.8</v>
      </c>
      <c r="W424" s="131"/>
      <c r="X424" s="163">
        <v>45658</v>
      </c>
      <c r="Y424" s="163">
        <f t="shared" si="5008"/>
        <v>45688</v>
      </c>
      <c r="Z424" s="167">
        <f t="shared" si="5009"/>
        <v>0</v>
      </c>
      <c r="AA424" s="163">
        <f t="shared" si="5010"/>
        <v>45689</v>
      </c>
      <c r="AB424" s="163">
        <f t="shared" si="5011"/>
        <v>45716</v>
      </c>
      <c r="AC424" s="167">
        <f t="shared" si="5012"/>
        <v>0</v>
      </c>
      <c r="AD424" s="163">
        <f t="shared" si="5013"/>
        <v>45717</v>
      </c>
      <c r="AE424" s="163">
        <f t="shared" si="5014"/>
        <v>45747</v>
      </c>
      <c r="AF424" s="167">
        <f t="shared" si="5015"/>
        <v>0</v>
      </c>
      <c r="AG424" s="163">
        <f t="shared" si="5016"/>
        <v>45748</v>
      </c>
      <c r="AH424" s="163">
        <f t="shared" si="5017"/>
        <v>45777</v>
      </c>
      <c r="AI424" s="167">
        <f t="shared" si="5018"/>
        <v>0</v>
      </c>
      <c r="AJ424" s="163">
        <f t="shared" si="5019"/>
        <v>45778</v>
      </c>
      <c r="AK424" s="163">
        <f t="shared" si="5020"/>
        <v>45808</v>
      </c>
      <c r="AL424" s="167">
        <f t="shared" si="5021"/>
        <v>0</v>
      </c>
      <c r="AM424" s="163">
        <f t="shared" si="5022"/>
        <v>45809</v>
      </c>
      <c r="AN424" s="163">
        <f t="shared" si="5023"/>
        <v>45838</v>
      </c>
      <c r="AO424" s="167">
        <f t="shared" si="5024"/>
        <v>0</v>
      </c>
      <c r="AP424" s="163">
        <f t="shared" si="5025"/>
        <v>45839</v>
      </c>
      <c r="AQ424" s="163">
        <f t="shared" si="5026"/>
        <v>45869</v>
      </c>
      <c r="AR424" s="167">
        <f t="shared" si="5027"/>
        <v>1004.99616438356</v>
      </c>
      <c r="AS424" s="163">
        <f t="shared" si="5028"/>
        <v>45870</v>
      </c>
      <c r="AT424" s="163">
        <f t="shared" si="5029"/>
        <v>45900</v>
      </c>
      <c r="AU424" s="167">
        <f t="shared" si="5030"/>
        <v>1416.13095890411</v>
      </c>
      <c r="AV424" s="163">
        <f t="shared" si="5031"/>
        <v>45901</v>
      </c>
      <c r="AW424" s="163">
        <f t="shared" si="5032"/>
        <v>45930</v>
      </c>
      <c r="AX424" s="167">
        <f t="shared" si="5033"/>
        <v>1370.44931506849</v>
      </c>
      <c r="AY424" s="163">
        <f t="shared" si="5034"/>
        <v>45931</v>
      </c>
      <c r="AZ424" s="163">
        <f t="shared" si="5035"/>
        <v>45961</v>
      </c>
      <c r="BA424" s="167">
        <f t="shared" si="5036"/>
        <v>1416.13095890411</v>
      </c>
      <c r="BB424" s="163">
        <f t="shared" si="5037"/>
        <v>45962</v>
      </c>
      <c r="BC424" s="163">
        <f t="shared" si="5038"/>
        <v>45991</v>
      </c>
      <c r="BD424" s="167">
        <f t="shared" si="5039"/>
        <v>1370.44931506849</v>
      </c>
      <c r="BE424" s="163">
        <f t="shared" si="5040"/>
        <v>45992</v>
      </c>
      <c r="BF424" s="163">
        <f t="shared" si="5041"/>
        <v>46022</v>
      </c>
      <c r="BG424" s="167">
        <f t="shared" si="5042"/>
        <v>1416.13095890411</v>
      </c>
      <c r="BH424" s="163">
        <v>46023</v>
      </c>
      <c r="BI424" s="163">
        <f t="shared" si="5043"/>
        <v>46053</v>
      </c>
      <c r="BJ424" s="167">
        <f t="shared" si="5044"/>
        <v>1416.13095890411</v>
      </c>
      <c r="BK424" s="163">
        <f t="shared" si="5045"/>
        <v>46054</v>
      </c>
      <c r="BL424" s="163">
        <f t="shared" si="5046"/>
        <v>46081</v>
      </c>
      <c r="BM424" s="167">
        <f t="shared" si="5047"/>
        <v>1279.08602739726</v>
      </c>
      <c r="BN424" s="163">
        <f t="shared" si="5048"/>
        <v>46082</v>
      </c>
      <c r="BO424" s="163">
        <f t="shared" si="5049"/>
        <v>46112</v>
      </c>
      <c r="BP424" s="167">
        <f t="shared" si="5050"/>
        <v>1416.13095890411</v>
      </c>
      <c r="BQ424" s="163">
        <f t="shared" si="5051"/>
        <v>46113</v>
      </c>
      <c r="BR424" s="163">
        <f t="shared" si="5052"/>
        <v>46142</v>
      </c>
      <c r="BS424" s="167">
        <f t="shared" si="5053"/>
        <v>1370.44931506849</v>
      </c>
      <c r="BT424" s="163">
        <f t="shared" si="5054"/>
        <v>46143</v>
      </c>
      <c r="BU424" s="163">
        <f t="shared" si="5055"/>
        <v>46173</v>
      </c>
      <c r="BV424" s="167">
        <f t="shared" si="5056"/>
        <v>1416.13095890411</v>
      </c>
      <c r="BW424" s="163">
        <f t="shared" si="5057"/>
        <v>46174</v>
      </c>
      <c r="BX424" s="163">
        <f t="shared" si="5058"/>
        <v>46203</v>
      </c>
      <c r="BY424" s="167">
        <f t="shared" si="5059"/>
        <v>1370.44931506849</v>
      </c>
      <c r="BZ424" s="163">
        <f t="shared" si="5060"/>
        <v>46204</v>
      </c>
      <c r="CA424" s="163">
        <f t="shared" si="5061"/>
        <v>46234</v>
      </c>
      <c r="CB424" s="167">
        <f t="shared" si="5062"/>
        <v>411.134794520548</v>
      </c>
      <c r="CC424" s="163">
        <f t="shared" si="5063"/>
        <v>46235</v>
      </c>
      <c r="CD424" s="163">
        <f t="shared" si="5064"/>
        <v>46265</v>
      </c>
      <c r="CE424" s="167">
        <f t="shared" si="5065"/>
        <v>0</v>
      </c>
      <c r="CF424" s="163">
        <f t="shared" si="5066"/>
        <v>46266</v>
      </c>
      <c r="CG424" s="163">
        <f t="shared" si="5067"/>
        <v>46295</v>
      </c>
      <c r="CH424" s="167">
        <f t="shared" si="5068"/>
        <v>0</v>
      </c>
      <c r="CI424" s="163">
        <f t="shared" si="5069"/>
        <v>46296</v>
      </c>
      <c r="CJ424" s="163">
        <f t="shared" si="5070"/>
        <v>46326</v>
      </c>
      <c r="CK424" s="167">
        <f t="shared" si="5071"/>
        <v>0</v>
      </c>
      <c r="CL424" s="163">
        <f t="shared" si="5072"/>
        <v>46327</v>
      </c>
      <c r="CM424" s="163">
        <f t="shared" si="5073"/>
        <v>46356</v>
      </c>
      <c r="CN424" s="167">
        <f t="shared" si="5074"/>
        <v>0</v>
      </c>
      <c r="CO424" s="163">
        <f t="shared" si="5075"/>
        <v>46357</v>
      </c>
      <c r="CP424" s="163">
        <f t="shared" si="5076"/>
        <v>46387</v>
      </c>
      <c r="CQ424" s="167">
        <f t="shared" si="5077"/>
        <v>0</v>
      </c>
    </row>
    <row r="425" s="89" customFormat="1" ht="24" hidden="1" customHeight="1" outlineLevel="3" spans="1:95">
      <c r="A425" s="128"/>
      <c r="B425" s="129"/>
      <c r="C425" s="130"/>
      <c r="D425" s="128"/>
      <c r="E425" s="129"/>
      <c r="F425" s="129"/>
      <c r="G425" s="129"/>
      <c r="H425" s="131"/>
      <c r="I425" s="131"/>
      <c r="J425" s="131">
        <f t="shared" si="4646"/>
        <v>5040.44054794521</v>
      </c>
      <c r="K425" s="131">
        <f t="shared" si="5078"/>
        <v>3</v>
      </c>
      <c r="L425" s="156" t="s">
        <v>2844</v>
      </c>
      <c r="M425" s="157" t="str">
        <f>IFERROR(VLOOKUP($L425,'2-2 引出数据_合同数据仓库'!$B$5:$BP$200,3,FALSE),0)</f>
        <v>深圳非住二片区中海油大厦B座负一楼卷帘门更换施工合同评审申请</v>
      </c>
      <c r="N425" s="131"/>
      <c r="O425" s="157">
        <f>IFERROR(VLOOKUP((LEFT(VLOOKUP($L425,'2-2 引出数据_合同数据仓库'!$B$5:$BP$200,64,FALSE),15)&amp;(RIGHT(VLOOKUP($L425,'2-2 引出数据_合同数据仓库'!$B$5:$BP$200,64,FALSE),4)+1)),'2-2 引出数据_合同数据仓库'!$B$5:$BP$200,3,FALSE),0)</f>
        <v>0</v>
      </c>
      <c r="P425" s="131"/>
      <c r="Q425" s="131" t="str">
        <f>IFERROR(VLOOKUP($L425,'2-2 引出数据_合同数据仓库'!$B$5:$BP$200,28,FALSE),0)</f>
        <v>2025-07-01</v>
      </c>
      <c r="R425" s="131" t="str">
        <f>IFERROR(VLOOKUP($L425,'2-2 引出数据_合同数据仓库'!$B$5:$BP$200,29,FALSE),0)</f>
        <v>2025-07-01</v>
      </c>
      <c r="S425" s="131" t="str">
        <f>IFERROR(VLOOKUP($L425,'2-2 引出数据_合同数据仓库'!$B$5:$BP$200,4,FALSE),0)</f>
        <v>2026-06-30</v>
      </c>
      <c r="T425" s="131"/>
      <c r="U425" s="131">
        <f>IFERROR(VLOOKUP($L425,'2-2 引出数据_合同数据仓库'!$B$5:$BP$200,15,FALSE),0)</f>
        <v>9998.7</v>
      </c>
      <c r="V425" s="131">
        <f t="shared" si="5007"/>
        <v>9998.7</v>
      </c>
      <c r="W425" s="131"/>
      <c r="X425" s="163">
        <v>45658</v>
      </c>
      <c r="Y425" s="163">
        <f t="shared" si="5008"/>
        <v>45688</v>
      </c>
      <c r="Z425" s="167">
        <f t="shared" si="5009"/>
        <v>0</v>
      </c>
      <c r="AA425" s="163">
        <f t="shared" si="5010"/>
        <v>45689</v>
      </c>
      <c r="AB425" s="163">
        <f t="shared" si="5011"/>
        <v>45716</v>
      </c>
      <c r="AC425" s="167">
        <f t="shared" si="5012"/>
        <v>0</v>
      </c>
      <c r="AD425" s="163">
        <f t="shared" si="5013"/>
        <v>45717</v>
      </c>
      <c r="AE425" s="163">
        <f t="shared" si="5014"/>
        <v>45747</v>
      </c>
      <c r="AF425" s="167">
        <f t="shared" si="5015"/>
        <v>0</v>
      </c>
      <c r="AG425" s="163">
        <f t="shared" si="5016"/>
        <v>45748</v>
      </c>
      <c r="AH425" s="163">
        <f t="shared" si="5017"/>
        <v>45777</v>
      </c>
      <c r="AI425" s="167">
        <f t="shared" si="5018"/>
        <v>0</v>
      </c>
      <c r="AJ425" s="163">
        <f t="shared" si="5019"/>
        <v>45778</v>
      </c>
      <c r="AK425" s="163">
        <f t="shared" si="5020"/>
        <v>45808</v>
      </c>
      <c r="AL425" s="167">
        <f t="shared" si="5021"/>
        <v>0</v>
      </c>
      <c r="AM425" s="163">
        <f t="shared" si="5022"/>
        <v>45809</v>
      </c>
      <c r="AN425" s="163">
        <f t="shared" si="5023"/>
        <v>45838</v>
      </c>
      <c r="AO425" s="167">
        <f t="shared" si="5024"/>
        <v>0</v>
      </c>
      <c r="AP425" s="163">
        <f t="shared" si="5025"/>
        <v>45839</v>
      </c>
      <c r="AQ425" s="163">
        <f t="shared" si="5026"/>
        <v>45869</v>
      </c>
      <c r="AR425" s="167">
        <f t="shared" si="5027"/>
        <v>849.204657534247</v>
      </c>
      <c r="AS425" s="163">
        <f t="shared" si="5028"/>
        <v>45870</v>
      </c>
      <c r="AT425" s="163">
        <f t="shared" si="5029"/>
        <v>45900</v>
      </c>
      <c r="AU425" s="167">
        <f t="shared" si="5030"/>
        <v>849.204657534247</v>
      </c>
      <c r="AV425" s="163">
        <f t="shared" si="5031"/>
        <v>45901</v>
      </c>
      <c r="AW425" s="163">
        <f t="shared" si="5032"/>
        <v>45930</v>
      </c>
      <c r="AX425" s="167">
        <f t="shared" si="5033"/>
        <v>821.81095890411</v>
      </c>
      <c r="AY425" s="163">
        <f t="shared" si="5034"/>
        <v>45931</v>
      </c>
      <c r="AZ425" s="163">
        <f t="shared" si="5035"/>
        <v>45961</v>
      </c>
      <c r="BA425" s="167">
        <f t="shared" si="5036"/>
        <v>849.204657534247</v>
      </c>
      <c r="BB425" s="163">
        <f t="shared" si="5037"/>
        <v>45962</v>
      </c>
      <c r="BC425" s="163">
        <f t="shared" si="5038"/>
        <v>45991</v>
      </c>
      <c r="BD425" s="167">
        <f t="shared" si="5039"/>
        <v>821.81095890411</v>
      </c>
      <c r="BE425" s="163">
        <f t="shared" si="5040"/>
        <v>45992</v>
      </c>
      <c r="BF425" s="163">
        <f t="shared" si="5041"/>
        <v>46022</v>
      </c>
      <c r="BG425" s="167">
        <f t="shared" si="5042"/>
        <v>849.204657534247</v>
      </c>
      <c r="BH425" s="163">
        <v>46023</v>
      </c>
      <c r="BI425" s="163">
        <f t="shared" si="5043"/>
        <v>46053</v>
      </c>
      <c r="BJ425" s="167">
        <f t="shared" si="5044"/>
        <v>849.204657534247</v>
      </c>
      <c r="BK425" s="163">
        <f t="shared" si="5045"/>
        <v>46054</v>
      </c>
      <c r="BL425" s="163">
        <f t="shared" si="5046"/>
        <v>46081</v>
      </c>
      <c r="BM425" s="167">
        <f t="shared" si="5047"/>
        <v>767.023561643836</v>
      </c>
      <c r="BN425" s="163">
        <f t="shared" si="5048"/>
        <v>46082</v>
      </c>
      <c r="BO425" s="163">
        <f t="shared" si="5049"/>
        <v>46112</v>
      </c>
      <c r="BP425" s="167">
        <f t="shared" si="5050"/>
        <v>849.204657534247</v>
      </c>
      <c r="BQ425" s="163">
        <f t="shared" si="5051"/>
        <v>46113</v>
      </c>
      <c r="BR425" s="163">
        <f t="shared" si="5052"/>
        <v>46142</v>
      </c>
      <c r="BS425" s="167">
        <f t="shared" si="5053"/>
        <v>821.81095890411</v>
      </c>
      <c r="BT425" s="163">
        <f t="shared" si="5054"/>
        <v>46143</v>
      </c>
      <c r="BU425" s="163">
        <f t="shared" si="5055"/>
        <v>46173</v>
      </c>
      <c r="BV425" s="167">
        <f t="shared" si="5056"/>
        <v>849.204657534247</v>
      </c>
      <c r="BW425" s="163">
        <f t="shared" si="5057"/>
        <v>46174</v>
      </c>
      <c r="BX425" s="163">
        <f t="shared" si="5058"/>
        <v>46203</v>
      </c>
      <c r="BY425" s="167">
        <f t="shared" si="5059"/>
        <v>821.81095890411</v>
      </c>
      <c r="BZ425" s="163">
        <f t="shared" si="5060"/>
        <v>46204</v>
      </c>
      <c r="CA425" s="163">
        <f t="shared" si="5061"/>
        <v>46234</v>
      </c>
      <c r="CB425" s="167">
        <f t="shared" si="5062"/>
        <v>0</v>
      </c>
      <c r="CC425" s="163">
        <f t="shared" si="5063"/>
        <v>46235</v>
      </c>
      <c r="CD425" s="163">
        <f t="shared" si="5064"/>
        <v>46265</v>
      </c>
      <c r="CE425" s="167">
        <f t="shared" si="5065"/>
        <v>0</v>
      </c>
      <c r="CF425" s="163">
        <f t="shared" si="5066"/>
        <v>46266</v>
      </c>
      <c r="CG425" s="163">
        <f t="shared" si="5067"/>
        <v>46295</v>
      </c>
      <c r="CH425" s="167">
        <f t="shared" si="5068"/>
        <v>0</v>
      </c>
      <c r="CI425" s="163">
        <f t="shared" si="5069"/>
        <v>46296</v>
      </c>
      <c r="CJ425" s="163">
        <f t="shared" si="5070"/>
        <v>46326</v>
      </c>
      <c r="CK425" s="167">
        <f t="shared" si="5071"/>
        <v>0</v>
      </c>
      <c r="CL425" s="163">
        <f t="shared" si="5072"/>
        <v>46327</v>
      </c>
      <c r="CM425" s="163">
        <f t="shared" si="5073"/>
        <v>46356</v>
      </c>
      <c r="CN425" s="167">
        <f t="shared" si="5074"/>
        <v>0</v>
      </c>
      <c r="CO425" s="163">
        <f t="shared" si="5075"/>
        <v>46357</v>
      </c>
      <c r="CP425" s="163">
        <f t="shared" si="5076"/>
        <v>46387</v>
      </c>
      <c r="CQ425" s="167">
        <f t="shared" si="5077"/>
        <v>0</v>
      </c>
    </row>
    <row r="426" s="89" customFormat="1" ht="24" hidden="1" customHeight="1" outlineLevel="3" collapsed="1" spans="1:95">
      <c r="A426" s="128"/>
      <c r="B426" s="129"/>
      <c r="C426" s="130"/>
      <c r="D426" s="128"/>
      <c r="E426" s="129"/>
      <c r="F426" s="129"/>
      <c r="G426" s="129"/>
      <c r="H426" s="131"/>
      <c r="I426" s="131"/>
      <c r="J426" s="131">
        <f t="shared" si="4646"/>
        <v>6780</v>
      </c>
      <c r="K426" s="131">
        <f t="shared" si="5078"/>
        <v>4</v>
      </c>
      <c r="L426" s="156" t="s">
        <v>2845</v>
      </c>
      <c r="M426" s="157" t="str">
        <f>IFERROR(VLOOKUP($L426,'2-2 引出数据_合同数据仓库'!$B$5:$BP$200,3,FALSE),0)</f>
        <v>深圳非住二片区中海油大厦绿植采购协议</v>
      </c>
      <c r="N426" s="131"/>
      <c r="O426" s="157">
        <f>IFERROR(VLOOKUP((LEFT(VLOOKUP($L426,'2-2 引出数据_合同数据仓库'!$B$5:$BP$200,64,FALSE),15)&amp;(RIGHT(VLOOKUP($L426,'2-2 引出数据_合同数据仓库'!$B$5:$BP$200,64,FALSE),4)+1)),'2-2 引出数据_合同数据仓库'!$B$5:$BP$200,3,FALSE),0)</f>
        <v>0</v>
      </c>
      <c r="P426" s="131"/>
      <c r="Q426" s="131" t="str">
        <f>IFERROR(VLOOKUP($L426,'2-2 引出数据_合同数据仓库'!$B$5:$BP$200,28,FALSE),0)</f>
        <v>2025-04-22</v>
      </c>
      <c r="R426" s="131" t="str">
        <f>IFERROR(VLOOKUP($L426,'2-2 引出数据_合同数据仓库'!$B$5:$BP$200,29,FALSE),0)</f>
        <v>2025-04-22</v>
      </c>
      <c r="S426" s="131" t="str">
        <f>IFERROR(VLOOKUP($L426,'2-2 引出数据_合同数据仓库'!$B$5:$BP$200,4,FALSE),0)</f>
        <v>2025-12-31</v>
      </c>
      <c r="T426" s="131"/>
      <c r="U426" s="131">
        <f>IFERROR(VLOOKUP($L426,'2-2 引出数据_合同数据仓库'!$B$5:$BP$200,15,FALSE),0)</f>
        <v>6780</v>
      </c>
      <c r="V426" s="131">
        <f t="shared" si="5007"/>
        <v>9742.91338582677</v>
      </c>
      <c r="W426" s="131"/>
      <c r="X426" s="163">
        <v>45658</v>
      </c>
      <c r="Y426" s="163">
        <f t="shared" si="5008"/>
        <v>45688</v>
      </c>
      <c r="Z426" s="167">
        <f t="shared" si="5009"/>
        <v>0</v>
      </c>
      <c r="AA426" s="163">
        <f t="shared" si="5010"/>
        <v>45689</v>
      </c>
      <c r="AB426" s="163">
        <f t="shared" si="5011"/>
        <v>45716</v>
      </c>
      <c r="AC426" s="167">
        <f t="shared" si="5012"/>
        <v>0</v>
      </c>
      <c r="AD426" s="163">
        <f t="shared" si="5013"/>
        <v>45717</v>
      </c>
      <c r="AE426" s="163">
        <f t="shared" si="5014"/>
        <v>45747</v>
      </c>
      <c r="AF426" s="167">
        <f t="shared" si="5015"/>
        <v>0</v>
      </c>
      <c r="AG426" s="163">
        <f t="shared" si="5016"/>
        <v>45748</v>
      </c>
      <c r="AH426" s="163">
        <f t="shared" si="5017"/>
        <v>45777</v>
      </c>
      <c r="AI426" s="167">
        <f t="shared" si="5018"/>
        <v>240.236220472441</v>
      </c>
      <c r="AJ426" s="163">
        <f t="shared" si="5019"/>
        <v>45778</v>
      </c>
      <c r="AK426" s="163">
        <f t="shared" si="5020"/>
        <v>45808</v>
      </c>
      <c r="AL426" s="167">
        <f t="shared" si="5021"/>
        <v>827.48031496063</v>
      </c>
      <c r="AM426" s="163">
        <f t="shared" si="5022"/>
        <v>45809</v>
      </c>
      <c r="AN426" s="163">
        <f t="shared" si="5023"/>
        <v>45838</v>
      </c>
      <c r="AO426" s="167">
        <f t="shared" si="5024"/>
        <v>800.787401574803</v>
      </c>
      <c r="AP426" s="163">
        <f t="shared" si="5025"/>
        <v>45839</v>
      </c>
      <c r="AQ426" s="163">
        <f t="shared" si="5026"/>
        <v>45869</v>
      </c>
      <c r="AR426" s="167">
        <f t="shared" si="5027"/>
        <v>827.48031496063</v>
      </c>
      <c r="AS426" s="163">
        <f t="shared" si="5028"/>
        <v>45870</v>
      </c>
      <c r="AT426" s="163">
        <f t="shared" si="5029"/>
        <v>45900</v>
      </c>
      <c r="AU426" s="167">
        <f t="shared" si="5030"/>
        <v>827.48031496063</v>
      </c>
      <c r="AV426" s="163">
        <f t="shared" si="5031"/>
        <v>45901</v>
      </c>
      <c r="AW426" s="163">
        <f t="shared" si="5032"/>
        <v>45930</v>
      </c>
      <c r="AX426" s="167">
        <f t="shared" si="5033"/>
        <v>800.787401574803</v>
      </c>
      <c r="AY426" s="163">
        <f t="shared" si="5034"/>
        <v>45931</v>
      </c>
      <c r="AZ426" s="163">
        <f t="shared" si="5035"/>
        <v>45961</v>
      </c>
      <c r="BA426" s="167">
        <f t="shared" si="5036"/>
        <v>827.48031496063</v>
      </c>
      <c r="BB426" s="163">
        <f t="shared" si="5037"/>
        <v>45962</v>
      </c>
      <c r="BC426" s="163">
        <f t="shared" si="5038"/>
        <v>45991</v>
      </c>
      <c r="BD426" s="167">
        <f t="shared" si="5039"/>
        <v>800.787401574803</v>
      </c>
      <c r="BE426" s="163">
        <f t="shared" si="5040"/>
        <v>45992</v>
      </c>
      <c r="BF426" s="163">
        <f t="shared" si="5041"/>
        <v>46022</v>
      </c>
      <c r="BG426" s="167">
        <f t="shared" si="5042"/>
        <v>827.48031496063</v>
      </c>
      <c r="BH426" s="163">
        <v>46023</v>
      </c>
      <c r="BI426" s="163">
        <f t="shared" si="5043"/>
        <v>46053</v>
      </c>
      <c r="BJ426" s="167">
        <f t="shared" si="5044"/>
        <v>0</v>
      </c>
      <c r="BK426" s="163">
        <f t="shared" si="5045"/>
        <v>46054</v>
      </c>
      <c r="BL426" s="163">
        <f t="shared" si="5046"/>
        <v>46081</v>
      </c>
      <c r="BM426" s="167">
        <f t="shared" si="5047"/>
        <v>0</v>
      </c>
      <c r="BN426" s="163">
        <f t="shared" si="5048"/>
        <v>46082</v>
      </c>
      <c r="BO426" s="163">
        <f t="shared" si="5049"/>
        <v>46112</v>
      </c>
      <c r="BP426" s="167">
        <f t="shared" si="5050"/>
        <v>0</v>
      </c>
      <c r="BQ426" s="163">
        <f t="shared" si="5051"/>
        <v>46113</v>
      </c>
      <c r="BR426" s="163">
        <f t="shared" si="5052"/>
        <v>46142</v>
      </c>
      <c r="BS426" s="167">
        <f t="shared" si="5053"/>
        <v>0</v>
      </c>
      <c r="BT426" s="163">
        <f t="shared" si="5054"/>
        <v>46143</v>
      </c>
      <c r="BU426" s="163">
        <f t="shared" si="5055"/>
        <v>46173</v>
      </c>
      <c r="BV426" s="167">
        <f t="shared" si="5056"/>
        <v>0</v>
      </c>
      <c r="BW426" s="163">
        <f t="shared" si="5057"/>
        <v>46174</v>
      </c>
      <c r="BX426" s="163">
        <f t="shared" si="5058"/>
        <v>46203</v>
      </c>
      <c r="BY426" s="167">
        <f t="shared" si="5059"/>
        <v>0</v>
      </c>
      <c r="BZ426" s="163">
        <f t="shared" si="5060"/>
        <v>46204</v>
      </c>
      <c r="CA426" s="163">
        <f t="shared" si="5061"/>
        <v>46234</v>
      </c>
      <c r="CB426" s="167">
        <f t="shared" si="5062"/>
        <v>0</v>
      </c>
      <c r="CC426" s="163">
        <f t="shared" si="5063"/>
        <v>46235</v>
      </c>
      <c r="CD426" s="163">
        <f t="shared" si="5064"/>
        <v>46265</v>
      </c>
      <c r="CE426" s="167">
        <f t="shared" si="5065"/>
        <v>0</v>
      </c>
      <c r="CF426" s="163">
        <f t="shared" si="5066"/>
        <v>46266</v>
      </c>
      <c r="CG426" s="163">
        <f t="shared" si="5067"/>
        <v>46295</v>
      </c>
      <c r="CH426" s="167">
        <f t="shared" si="5068"/>
        <v>0</v>
      </c>
      <c r="CI426" s="163">
        <f t="shared" si="5069"/>
        <v>46296</v>
      </c>
      <c r="CJ426" s="163">
        <f t="shared" si="5070"/>
        <v>46326</v>
      </c>
      <c r="CK426" s="167">
        <f t="shared" si="5071"/>
        <v>0</v>
      </c>
      <c r="CL426" s="163">
        <f t="shared" si="5072"/>
        <v>46327</v>
      </c>
      <c r="CM426" s="163">
        <f t="shared" si="5073"/>
        <v>46356</v>
      </c>
      <c r="CN426" s="167">
        <f t="shared" si="5074"/>
        <v>0</v>
      </c>
      <c r="CO426" s="163">
        <f t="shared" si="5075"/>
        <v>46357</v>
      </c>
      <c r="CP426" s="163">
        <f t="shared" si="5076"/>
        <v>46387</v>
      </c>
      <c r="CQ426" s="167">
        <f t="shared" si="5077"/>
        <v>0</v>
      </c>
    </row>
    <row r="427" s="89" customFormat="1" ht="24" hidden="1" customHeight="1" outlineLevel="4" spans="1:95">
      <c r="A427" s="132" t="s">
        <v>2813</v>
      </c>
      <c r="B427" s="133"/>
      <c r="C427" s="133"/>
      <c r="D427" s="133"/>
      <c r="E427" s="133"/>
      <c r="F427" s="133"/>
      <c r="G427" s="134"/>
      <c r="H427" s="135"/>
      <c r="I427" s="135"/>
      <c r="J427" s="135"/>
      <c r="K427" s="135"/>
      <c r="L427" s="158"/>
      <c r="M427" s="158"/>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c r="CL427" s="135"/>
      <c r="CM427" s="135"/>
      <c r="CN427" s="135"/>
      <c r="CO427" s="135"/>
      <c r="CP427" s="135"/>
      <c r="CQ427" s="135"/>
    </row>
    <row r="428" ht="24" customHeight="1" outlineLevel="1" spans="1:95">
      <c r="A428" s="14"/>
      <c r="B428" s="118" t="s">
        <v>787</v>
      </c>
      <c r="C428" s="119" t="s">
        <v>222</v>
      </c>
      <c r="D428" s="14" t="s">
        <v>223</v>
      </c>
      <c r="E428" s="118"/>
      <c r="F428" s="118"/>
      <c r="G428" s="118"/>
      <c r="H428" s="120">
        <f>X428+AA428+AD428+AG428+AJ428+AM428+AP428+AS428+AV428+AY428+BB428+BE428</f>
        <v>0</v>
      </c>
      <c r="I428" s="120">
        <f>Y428+AB428+AE428+AH428+AK428+AN428+AQ428+AT428+AW428+AZ428+BC428+BF428</f>
        <v>-5488632.84846884</v>
      </c>
      <c r="J428" s="120">
        <f t="shared" si="4646"/>
        <v>5488632.84846884</v>
      </c>
      <c r="K428" s="120"/>
      <c r="L428" s="153"/>
      <c r="M428" s="153"/>
      <c r="N428" s="120"/>
      <c r="O428" s="120"/>
      <c r="P428" s="120"/>
      <c r="Q428" s="120"/>
      <c r="R428" s="120"/>
      <c r="S428" s="120"/>
      <c r="T428" s="120"/>
      <c r="U428" s="120"/>
      <c r="V428" s="120"/>
      <c r="W428" s="120"/>
      <c r="X428" s="120">
        <f>VLOOKUP($C428,'1 预算编制表单'!$C:$BJ,27,FALSE)</f>
        <v>0</v>
      </c>
      <c r="Y428" s="120">
        <f>X428-Z428</f>
        <v>-57588.7846191936</v>
      </c>
      <c r="Z428" s="120">
        <f>Z429+Z436+Z442+Z448+Z454+Z460+Z466+Z472+Z478+Z484+Z490+Z496+Z502</f>
        <v>57588.7846191936</v>
      </c>
      <c r="AA428" s="120">
        <f>VLOOKUP($C428,'1 预算编制表单'!$C:$BJ,30,FALSE)</f>
        <v>0</v>
      </c>
      <c r="AB428" s="120">
        <f>AA428-AC428</f>
        <v>-355136.734287108</v>
      </c>
      <c r="AC428" s="120">
        <f>AC429+AC436+AC442+AC448+AC454+AC460+AC466+AC472+AC478+AC484+AC490+AC496+AC502</f>
        <v>355136.734287108</v>
      </c>
      <c r="AD428" s="120">
        <f>VLOOKUP($C428,'1 预算编制表单'!$C:$BJ,33,FALSE)</f>
        <v>0</v>
      </c>
      <c r="AE428" s="120">
        <f>AD428-AF428</f>
        <v>-453958.056204379</v>
      </c>
      <c r="AF428" s="120">
        <f>AF429+AF436+AF442+AF448+AF454+AF460+AF466+AF472+AF478+AF484+AF490+AF496+AF502</f>
        <v>453958.056204379</v>
      </c>
      <c r="AG428" s="120">
        <f>VLOOKUP($C428,'1 预算编制表单'!$C:$BJ,36,FALSE)</f>
        <v>0</v>
      </c>
      <c r="AH428" s="120">
        <f>AG428-AI428</f>
        <v>-484233.024897741</v>
      </c>
      <c r="AI428" s="120">
        <f>AI429+AI436+AI442+AI448+AI454+AI460+AI466+AI472+AI478+AI484+AI490+AI496+AI502</f>
        <v>484233.024897741</v>
      </c>
      <c r="AJ428" s="120">
        <f>VLOOKUP($C428,'1 预算编制表单'!$C:$BJ,39,FALSE)</f>
        <v>0</v>
      </c>
      <c r="AK428" s="120">
        <f>AJ428-AL428</f>
        <v>-535716.03716531</v>
      </c>
      <c r="AL428" s="120">
        <f>AL429+AL436+AL442+AL448+AL454+AL460+AL466+AL472+AL478+AL484+AL490+AL496+AL502</f>
        <v>535716.03716531</v>
      </c>
      <c r="AM428" s="120">
        <f>VLOOKUP($C428,'1 预算编制表单'!$C:$BJ,42,FALSE)</f>
        <v>0</v>
      </c>
      <c r="AN428" s="120">
        <f>AM428-AO428</f>
        <v>-534975.494243615</v>
      </c>
      <c r="AO428" s="120">
        <f>AO429+AO436+AO442+AO448+AO454+AO460+AO466+AO472+AO478+AO484+AO490+AO496+AO502</f>
        <v>534975.494243615</v>
      </c>
      <c r="AP428" s="120">
        <f>VLOOKUP($C428,'1 预算编制表单'!$C:$BJ,45,FALSE)</f>
        <v>0</v>
      </c>
      <c r="AQ428" s="120">
        <f>AP428-AR428</f>
        <v>-528811.489297795</v>
      </c>
      <c r="AR428" s="120">
        <f>AR429+AR436+AR442+AR448+AR454+AR460+AR466+AR472+AR478+AR484+AR490+AR496+AR502</f>
        <v>528811.489297795</v>
      </c>
      <c r="AS428" s="120">
        <f>VLOOKUP($C428,'1 预算编制表单'!$C:$BJ,48,FALSE)</f>
        <v>0</v>
      </c>
      <c r="AT428" s="120">
        <f>AS428-AU428</f>
        <v>-516963.137649443</v>
      </c>
      <c r="AU428" s="120">
        <f>AU429+AU436+AU442+AU448+AU454+AU460+AU466+AU472+AU478+AU484+AU490+AU496+AU502</f>
        <v>516963.137649443</v>
      </c>
      <c r="AV428" s="120">
        <f>VLOOKUP($C428,'1 预算编制表单'!$C:$BJ,51,FALSE)</f>
        <v>0</v>
      </c>
      <c r="AW428" s="120">
        <f>AV428-AX428</f>
        <v>-500286.907402686</v>
      </c>
      <c r="AX428" s="120">
        <f>AX429+AX436+AX442+AX448+AX454+AX460+AX466+AX472+AX478+AX484+AX490+AX496+AX502</f>
        <v>500286.907402686</v>
      </c>
      <c r="AY428" s="120">
        <f>VLOOKUP($C428,'1 预算编制表单'!$C:$BJ,54,FALSE)</f>
        <v>0</v>
      </c>
      <c r="AZ428" s="120">
        <f>AY428-BA428</f>
        <v>-512498.4637364</v>
      </c>
      <c r="BA428" s="120">
        <f>BA429+BA436+BA442+BA448+BA454+BA460+BA466+BA472+BA478+BA484+BA490+BA496+BA502</f>
        <v>512498.4637364</v>
      </c>
      <c r="BB428" s="120">
        <f>VLOOKUP($C428,'1 预算编制表单'!$C:$BJ,57,FALSE)</f>
        <v>0</v>
      </c>
      <c r="BC428" s="120">
        <f>BB428-BD428</f>
        <v>-495966.255228773</v>
      </c>
      <c r="BD428" s="120">
        <f>BD429+BD436+BD442+BD448+BD454+BD460+BD466+BD472+BD478+BD484+BD490+BD496+BD502</f>
        <v>495966.255228773</v>
      </c>
      <c r="BE428" s="120">
        <f>VLOOKUP($C428,'1 预算编制表单'!$C:$BJ,60,FALSE)</f>
        <v>0</v>
      </c>
      <c r="BF428" s="120">
        <f>BE428-BG428</f>
        <v>-512498.4637364</v>
      </c>
      <c r="BG428" s="120">
        <f>BG429+BG436+BG442+BG448+BG454+BG460+BG466+BG472+BG478+BG484+BG490+BG496+BG502</f>
        <v>512498.4637364</v>
      </c>
      <c r="BH428" s="120">
        <f>VLOOKUP($C428,'1 预算编制表单'!$C:$BJ,27,FALSE)</f>
        <v>0</v>
      </c>
      <c r="BI428" s="120">
        <f>BH428-BJ428</f>
        <v>-36812.3163318891</v>
      </c>
      <c r="BJ428" s="120">
        <f>BJ429+BJ436+BJ442+BJ448+BJ454+BJ460+BJ466+BJ472+BJ478+BJ484+BJ490+BJ496+BJ502</f>
        <v>36812.3163318891</v>
      </c>
      <c r="BK428" s="120">
        <f>VLOOKUP($C428,'1 预算编制表单'!$C:$BJ,30,FALSE)</f>
        <v>0</v>
      </c>
      <c r="BL428" s="120">
        <f>BK428-BM428</f>
        <v>-33249.8341062224</v>
      </c>
      <c r="BM428" s="120">
        <f>BM429+BM436+BM442+BM448+BM454+BM460+BM466+BM472+BM478+BM484+BM490+BM496+BM502</f>
        <v>33249.8341062224</v>
      </c>
      <c r="BN428" s="120">
        <f>VLOOKUP($C428,'1 预算编制表单'!$C:$BJ,33,FALSE)</f>
        <v>0</v>
      </c>
      <c r="BO428" s="120">
        <f>BN428-BP428</f>
        <v>-36812.3163318891</v>
      </c>
      <c r="BP428" s="120">
        <f>BP429+BP436+BP442+BP448+BP454+BP460+BP466+BP472+BP478+BP484+BP490+BP496+BP502</f>
        <v>36812.3163318891</v>
      </c>
      <c r="BQ428" s="120">
        <f>VLOOKUP($C428,'1 预算编制表单'!$C:$BJ,36,FALSE)</f>
        <v>0</v>
      </c>
      <c r="BR428" s="120">
        <f>BQ428-BS428</f>
        <v>-21560.378654253</v>
      </c>
      <c r="BS428" s="120">
        <f>BS429+BS436+BS442+BS448+BS454+BS460+BS466+BS472+BS478+BS484+BS490+BS496+BS502</f>
        <v>21560.378654253</v>
      </c>
      <c r="BT428" s="120">
        <f>VLOOKUP($C428,'1 预算编制表单'!$C:$BJ,39,FALSE)</f>
        <v>0</v>
      </c>
      <c r="BU428" s="120">
        <f>BT428-BV428</f>
        <v>-3008.65217391304</v>
      </c>
      <c r="BV428" s="120">
        <f>BV429+BV436+BV442+BV448+BV454+BV460+BV466+BV472+BV478+BV484+BV490+BV496+BV502</f>
        <v>3008.65217391304</v>
      </c>
      <c r="BW428" s="120">
        <f>VLOOKUP($C428,'1 预算编制表单'!$C:$BJ,42,FALSE)</f>
        <v>0</v>
      </c>
      <c r="BX428" s="120">
        <f>BW428-BY428</f>
        <v>-2911.59887798036</v>
      </c>
      <c r="BY428" s="120">
        <f>BY429+BY436+BY442+BY448+BY454+BY460+BY466+BY472+BY478+BY484+BY490+BY496+BY502</f>
        <v>2911.59887798036</v>
      </c>
      <c r="BZ428" s="120">
        <f>VLOOKUP($C428,'1 预算编制表单'!$C:$BJ,45,FALSE)</f>
        <v>0</v>
      </c>
      <c r="CA428" s="120">
        <f>BZ428-CB428</f>
        <v>-3008.65217391304</v>
      </c>
      <c r="CB428" s="120">
        <f>CB429+CB436+CB442+CB448+CB454+CB460+CB466+CB472+CB478+CB484+CB490+CB496+CB502</f>
        <v>3008.65217391304</v>
      </c>
      <c r="CC428" s="120">
        <f>VLOOKUP($C428,'1 预算编制表单'!$C:$BJ,48,FALSE)</f>
        <v>0</v>
      </c>
      <c r="CD428" s="120">
        <f>CC428-CE428</f>
        <v>-3008.65217391304</v>
      </c>
      <c r="CE428" s="120">
        <f>CE429+CE436+CE442+CE448+CE454+CE460+CE466+CE472+CE478+CE484+CE490+CE496+CE502</f>
        <v>3008.65217391304</v>
      </c>
      <c r="CF428" s="120">
        <f>VLOOKUP($C428,'1 预算编制表单'!$C:$BJ,51,FALSE)</f>
        <v>0</v>
      </c>
      <c r="CG428" s="120">
        <f>CF428-CH428</f>
        <v>-2911.59887798036</v>
      </c>
      <c r="CH428" s="120">
        <f>CH429+CH436+CH442+CH448+CH454+CH460+CH466+CH472+CH478+CH484+CH490+CH496+CH502</f>
        <v>2911.59887798036</v>
      </c>
      <c r="CI428" s="120">
        <f>VLOOKUP($C428,'1 预算编制表单'!$C:$BJ,54,FALSE)</f>
        <v>0</v>
      </c>
      <c r="CJ428" s="120">
        <f>CI428-CK428</f>
        <v>-3008.65217391304</v>
      </c>
      <c r="CK428" s="120">
        <f>CK429+CK436+CK442+CK448+CK454+CK460+CK466+CK472+CK478+CK484+CK490+CK496+CK502</f>
        <v>3008.65217391304</v>
      </c>
      <c r="CL428" s="120">
        <f>VLOOKUP($C428,'1 预算编制表单'!$C:$BJ,57,FALSE)</f>
        <v>0</v>
      </c>
      <c r="CM428" s="120">
        <f>CL428-CN428</f>
        <v>-2911.59887798036</v>
      </c>
      <c r="CN428" s="120">
        <f>CN429+CN436+CN442+CN448+CN454+CN460+CN466+CN472+CN478+CN484+CN490+CN496+CN502</f>
        <v>2911.59887798036</v>
      </c>
      <c r="CO428" s="120">
        <f>VLOOKUP($C428,'1 预算编制表单'!$C:$BJ,60,FALSE)</f>
        <v>0</v>
      </c>
      <c r="CP428" s="120">
        <f>CO428-CQ428</f>
        <v>-3008.65217391304</v>
      </c>
      <c r="CQ428" s="120">
        <f>CQ429+CQ436+CQ442+CQ448+CQ454+CQ460+CQ466+CQ472+CQ478+CQ484+CQ490+CQ496+CQ502</f>
        <v>3008.65217391304</v>
      </c>
    </row>
    <row r="429" ht="24" customHeight="1" outlineLevel="2" collapsed="1" spans="1:95">
      <c r="A429" s="43"/>
      <c r="B429" s="121" t="s">
        <v>792</v>
      </c>
      <c r="C429" s="122" t="s">
        <v>1418</v>
      </c>
      <c r="D429" s="43" t="s">
        <v>1419</v>
      </c>
      <c r="E429" s="121"/>
      <c r="F429" s="121"/>
      <c r="G429" s="121"/>
      <c r="H429" s="123">
        <f>X429+AA429+AD429+AG429+AJ429+AM429+AP429+AS429+AV429+AY429+BB429+BE429</f>
        <v>0</v>
      </c>
      <c r="I429" s="123">
        <f>Y429+AB429+AE429+AH429+AK429+AN429+AQ429+AT429+AW429+AZ429+BC429+BF429</f>
        <v>0</v>
      </c>
      <c r="J429" s="123">
        <f t="shared" si="4646"/>
        <v>0</v>
      </c>
      <c r="K429" s="123"/>
      <c r="L429" s="154"/>
      <c r="M429" s="154"/>
      <c r="N429" s="123"/>
      <c r="O429" s="123"/>
      <c r="P429" s="123"/>
      <c r="Q429" s="123"/>
      <c r="R429" s="123"/>
      <c r="S429" s="123"/>
      <c r="T429" s="123"/>
      <c r="U429" s="123"/>
      <c r="V429" s="123"/>
      <c r="W429" s="123"/>
      <c r="X429" s="123">
        <f>VLOOKUP($C429,'1 预算编制表单'!$C:$BJ,27,FALSE)</f>
        <v>0</v>
      </c>
      <c r="Y429" s="123">
        <f>X429-Z429</f>
        <v>0</v>
      </c>
      <c r="Z429" s="123">
        <f>SUM(Z430:Z435)</f>
        <v>0</v>
      </c>
      <c r="AA429" s="123">
        <f>VLOOKUP($C429,'1 预算编制表单'!$C:$BJ,30,FALSE)</f>
        <v>0</v>
      </c>
      <c r="AB429" s="123">
        <f>AA429-AC429</f>
        <v>0</v>
      </c>
      <c r="AC429" s="123">
        <f>SUM(AC430:AC435)</f>
        <v>0</v>
      </c>
      <c r="AD429" s="123">
        <f>VLOOKUP($C429,'1 预算编制表单'!$C:$BJ,33,FALSE)</f>
        <v>0</v>
      </c>
      <c r="AE429" s="123">
        <f>AD429-AF429</f>
        <v>0</v>
      </c>
      <c r="AF429" s="123">
        <f>SUM(AF430:AF435)</f>
        <v>0</v>
      </c>
      <c r="AG429" s="123">
        <f>VLOOKUP($C429,'1 预算编制表单'!$C:$BJ,36,FALSE)</f>
        <v>0</v>
      </c>
      <c r="AH429" s="123">
        <f>AG429-AI429</f>
        <v>0</v>
      </c>
      <c r="AI429" s="123">
        <f>SUM(AI430:AI435)</f>
        <v>0</v>
      </c>
      <c r="AJ429" s="123">
        <f>VLOOKUP($C429,'1 预算编制表单'!$C:$BJ,39,FALSE)</f>
        <v>0</v>
      </c>
      <c r="AK429" s="123">
        <f>AJ429-AL429</f>
        <v>0</v>
      </c>
      <c r="AL429" s="123">
        <f>SUM(AL430:AL435)</f>
        <v>0</v>
      </c>
      <c r="AM429" s="123">
        <f>VLOOKUP($C429,'1 预算编制表单'!$C:$BJ,42,FALSE)</f>
        <v>0</v>
      </c>
      <c r="AN429" s="123">
        <f>AM429-AO429</f>
        <v>0</v>
      </c>
      <c r="AO429" s="123">
        <f>SUM(AO430:AO435)</f>
        <v>0</v>
      </c>
      <c r="AP429" s="123">
        <f>VLOOKUP($C429,'1 预算编制表单'!$C:$BJ,45,FALSE)</f>
        <v>0</v>
      </c>
      <c r="AQ429" s="123">
        <f>AP429-AR429</f>
        <v>0</v>
      </c>
      <c r="AR429" s="123">
        <f>SUM(AR430:AR435)</f>
        <v>0</v>
      </c>
      <c r="AS429" s="123">
        <f>VLOOKUP($C429,'1 预算编制表单'!$C:$BJ,48,FALSE)</f>
        <v>0</v>
      </c>
      <c r="AT429" s="123">
        <f>AS429-AU429</f>
        <v>0</v>
      </c>
      <c r="AU429" s="123">
        <f>SUM(AU430:AU435)</f>
        <v>0</v>
      </c>
      <c r="AV429" s="123">
        <f>VLOOKUP($C429,'1 预算编制表单'!$C:$BJ,51,FALSE)</f>
        <v>0</v>
      </c>
      <c r="AW429" s="123">
        <f>AV429-AX429</f>
        <v>0</v>
      </c>
      <c r="AX429" s="123">
        <f>SUM(AX430:AX435)</f>
        <v>0</v>
      </c>
      <c r="AY429" s="123">
        <f>VLOOKUP($C429,'1 预算编制表单'!$C:$BJ,54,FALSE)</f>
        <v>0</v>
      </c>
      <c r="AZ429" s="123">
        <f>AY429-BA429</f>
        <v>0</v>
      </c>
      <c r="BA429" s="123">
        <f>SUM(BA430:BA435)</f>
        <v>0</v>
      </c>
      <c r="BB429" s="123">
        <f>VLOOKUP($C429,'1 预算编制表单'!$C:$BJ,57,FALSE)</f>
        <v>0</v>
      </c>
      <c r="BC429" s="123">
        <f>BB429-BD429</f>
        <v>0</v>
      </c>
      <c r="BD429" s="123">
        <f>SUM(BD430:BD435)</f>
        <v>0</v>
      </c>
      <c r="BE429" s="123">
        <f>VLOOKUP($C429,'1 预算编制表单'!$C:$BJ,60,FALSE)</f>
        <v>0</v>
      </c>
      <c r="BF429" s="123">
        <f>BE429-BG429</f>
        <v>0</v>
      </c>
      <c r="BG429" s="123">
        <f>SUM(BG430:BG435)</f>
        <v>0</v>
      </c>
      <c r="BH429" s="123">
        <f>VLOOKUP($C429,'1 预算编制表单'!$C:$BJ,27,FALSE)</f>
        <v>0</v>
      </c>
      <c r="BI429" s="123">
        <f>BH429-BJ429</f>
        <v>0</v>
      </c>
      <c r="BJ429" s="123">
        <f>SUM(BJ430:BJ435)</f>
        <v>0</v>
      </c>
      <c r="BK429" s="123">
        <f>VLOOKUP($C429,'1 预算编制表单'!$C:$BJ,30,FALSE)</f>
        <v>0</v>
      </c>
      <c r="BL429" s="123">
        <f>BK429-BM429</f>
        <v>0</v>
      </c>
      <c r="BM429" s="123">
        <f>SUM(BM430:BM435)</f>
        <v>0</v>
      </c>
      <c r="BN429" s="123">
        <f>VLOOKUP($C429,'1 预算编制表单'!$C:$BJ,33,FALSE)</f>
        <v>0</v>
      </c>
      <c r="BO429" s="123">
        <f>BN429-BP429</f>
        <v>0</v>
      </c>
      <c r="BP429" s="123">
        <f>SUM(BP430:BP435)</f>
        <v>0</v>
      </c>
      <c r="BQ429" s="123">
        <f>VLOOKUP($C429,'1 预算编制表单'!$C:$BJ,36,FALSE)</f>
        <v>0</v>
      </c>
      <c r="BR429" s="123">
        <f>BQ429-BS429</f>
        <v>0</v>
      </c>
      <c r="BS429" s="123">
        <f>SUM(BS430:BS435)</f>
        <v>0</v>
      </c>
      <c r="BT429" s="123">
        <f>VLOOKUP($C429,'1 预算编制表单'!$C:$BJ,39,FALSE)</f>
        <v>0</v>
      </c>
      <c r="BU429" s="123">
        <f>BT429-BV429</f>
        <v>0</v>
      </c>
      <c r="BV429" s="123">
        <f>SUM(BV430:BV435)</f>
        <v>0</v>
      </c>
      <c r="BW429" s="123">
        <f>VLOOKUP($C429,'1 预算编制表单'!$C:$BJ,42,FALSE)</f>
        <v>0</v>
      </c>
      <c r="BX429" s="123">
        <f>BW429-BY429</f>
        <v>0</v>
      </c>
      <c r="BY429" s="123">
        <f>SUM(BY430:BY435)</f>
        <v>0</v>
      </c>
      <c r="BZ429" s="123">
        <f>VLOOKUP($C429,'1 预算编制表单'!$C:$BJ,45,FALSE)</f>
        <v>0</v>
      </c>
      <c r="CA429" s="123">
        <f>BZ429-CB429</f>
        <v>0</v>
      </c>
      <c r="CB429" s="123">
        <f>SUM(CB430:CB435)</f>
        <v>0</v>
      </c>
      <c r="CC429" s="123">
        <f>VLOOKUP($C429,'1 预算编制表单'!$C:$BJ,48,FALSE)</f>
        <v>0</v>
      </c>
      <c r="CD429" s="123">
        <f>CC429-CE429</f>
        <v>0</v>
      </c>
      <c r="CE429" s="123">
        <f>SUM(CE430:CE435)</f>
        <v>0</v>
      </c>
      <c r="CF429" s="123">
        <f>VLOOKUP($C429,'1 预算编制表单'!$C:$BJ,51,FALSE)</f>
        <v>0</v>
      </c>
      <c r="CG429" s="123">
        <f>CF429-CH429</f>
        <v>0</v>
      </c>
      <c r="CH429" s="123">
        <f>SUM(CH430:CH435)</f>
        <v>0</v>
      </c>
      <c r="CI429" s="123">
        <f>VLOOKUP($C429,'1 预算编制表单'!$C:$BJ,54,FALSE)</f>
        <v>0</v>
      </c>
      <c r="CJ429" s="123">
        <f>CI429-CK429</f>
        <v>0</v>
      </c>
      <c r="CK429" s="123">
        <f>SUM(CK430:CK435)</f>
        <v>0</v>
      </c>
      <c r="CL429" s="123">
        <f>VLOOKUP($C429,'1 预算编制表单'!$C:$BJ,57,FALSE)</f>
        <v>0</v>
      </c>
      <c r="CM429" s="123">
        <f>CL429-CN429</f>
        <v>0</v>
      </c>
      <c r="CN429" s="123">
        <f>SUM(CN430:CN435)</f>
        <v>0</v>
      </c>
      <c r="CO429" s="123">
        <f>VLOOKUP($C429,'1 预算编制表单'!$C:$BJ,60,FALSE)</f>
        <v>0</v>
      </c>
      <c r="CP429" s="123">
        <f>CO429-CQ429</f>
        <v>0</v>
      </c>
      <c r="CQ429" s="123">
        <f>SUM(CQ430:CQ435)</f>
        <v>0</v>
      </c>
    </row>
    <row r="430" s="89" customFormat="1" ht="24" hidden="1" customHeight="1" outlineLevel="3" spans="1:95">
      <c r="A430" s="128"/>
      <c r="B430" s="129"/>
      <c r="C430" s="130" t="s">
        <v>1420</v>
      </c>
      <c r="D430" s="128" t="s">
        <v>2846</v>
      </c>
      <c r="E430" s="129"/>
      <c r="F430" s="129"/>
      <c r="G430" s="129"/>
      <c r="H430" s="131"/>
      <c r="I430" s="131"/>
      <c r="J430" s="131">
        <f t="shared" si="4646"/>
        <v>0</v>
      </c>
      <c r="K430" s="131"/>
      <c r="L430" s="161"/>
      <c r="M430" s="157"/>
      <c r="N430" s="131"/>
      <c r="O430" s="157"/>
      <c r="P430" s="131"/>
      <c r="Q430" s="131"/>
      <c r="R430" s="131"/>
      <c r="S430" s="131"/>
      <c r="T430" s="131"/>
      <c r="U430" s="131"/>
      <c r="V430" s="131"/>
      <c r="W430" s="131"/>
      <c r="X430" s="164"/>
      <c r="Y430" s="164"/>
      <c r="Z430" s="140">
        <f>报销单计算表!B18</f>
        <v>0</v>
      </c>
      <c r="AA430" s="164"/>
      <c r="AB430" s="164"/>
      <c r="AC430" s="140">
        <f>报销单计算表!C18</f>
        <v>0</v>
      </c>
      <c r="AD430" s="164"/>
      <c r="AE430" s="164"/>
      <c r="AF430" s="140">
        <f>报销单计算表!D18</f>
        <v>0</v>
      </c>
      <c r="AG430" s="164"/>
      <c r="AH430" s="164"/>
      <c r="AI430" s="140">
        <f>报销单计算表!E18</f>
        <v>0</v>
      </c>
      <c r="AJ430" s="164"/>
      <c r="AK430" s="164"/>
      <c r="AL430" s="140">
        <f>报销单计算表!F18</f>
        <v>0</v>
      </c>
      <c r="AM430" s="164"/>
      <c r="AN430" s="164"/>
      <c r="AO430" s="140">
        <f>报销单计算表!G18</f>
        <v>0</v>
      </c>
      <c r="AP430" s="164"/>
      <c r="AQ430" s="164"/>
      <c r="AR430" s="140">
        <f>报销单计算表!H18</f>
        <v>0</v>
      </c>
      <c r="AS430" s="164"/>
      <c r="AT430" s="164"/>
      <c r="AU430" s="140">
        <f>报销单计算表!I18</f>
        <v>0</v>
      </c>
      <c r="AV430" s="164"/>
      <c r="AW430" s="164"/>
      <c r="AX430" s="140">
        <f>报销单计算表!J18</f>
        <v>0</v>
      </c>
      <c r="AY430" s="164"/>
      <c r="AZ430" s="164"/>
      <c r="BA430" s="140">
        <f>报销单计算表!K18</f>
        <v>0</v>
      </c>
      <c r="BB430" s="164"/>
      <c r="BC430" s="164"/>
      <c r="BD430" s="140">
        <f>报销单计算表!L18</f>
        <v>0</v>
      </c>
      <c r="BE430" s="164"/>
      <c r="BF430" s="164"/>
      <c r="BG430" s="140">
        <f>报销单计算表!M18</f>
        <v>0</v>
      </c>
      <c r="BH430" s="164"/>
      <c r="BI430" s="164"/>
      <c r="BJ430" s="140"/>
      <c r="BK430" s="164"/>
      <c r="BL430" s="164"/>
      <c r="BM430" s="140"/>
      <c r="BN430" s="164"/>
      <c r="BO430" s="164"/>
      <c r="BP430" s="140"/>
      <c r="BQ430" s="164"/>
      <c r="BR430" s="164"/>
      <c r="BS430" s="140"/>
      <c r="BT430" s="164"/>
      <c r="BU430" s="164"/>
      <c r="BV430" s="140"/>
      <c r="BW430" s="164"/>
      <c r="BX430" s="164"/>
      <c r="BY430" s="140"/>
      <c r="BZ430" s="164"/>
      <c r="CA430" s="164"/>
      <c r="CB430" s="140"/>
      <c r="CC430" s="164"/>
      <c r="CD430" s="164"/>
      <c r="CE430" s="140"/>
      <c r="CF430" s="164"/>
      <c r="CG430" s="164"/>
      <c r="CH430" s="140"/>
      <c r="CI430" s="164"/>
      <c r="CJ430" s="164"/>
      <c r="CK430" s="140"/>
      <c r="CL430" s="164"/>
      <c r="CM430" s="164"/>
      <c r="CN430" s="140"/>
      <c r="CO430" s="164"/>
      <c r="CP430" s="164"/>
      <c r="CQ430" s="140"/>
    </row>
    <row r="431" s="89" customFormat="1" ht="24" hidden="1" customHeight="1" outlineLevel="3" spans="1:95">
      <c r="A431" s="128"/>
      <c r="B431" s="129"/>
      <c r="C431" s="130"/>
      <c r="D431" s="128"/>
      <c r="E431" s="129"/>
      <c r="F431" s="129"/>
      <c r="G431" s="129"/>
      <c r="H431" s="131"/>
      <c r="I431" s="131"/>
      <c r="J431" s="131">
        <f t="shared" si="4646"/>
        <v>0</v>
      </c>
      <c r="K431" s="131">
        <f>K430+1</f>
        <v>1</v>
      </c>
      <c r="L431" s="156" t="s">
        <v>2847</v>
      </c>
      <c r="M431" s="157">
        <f>IFERROR(VLOOKUP($L431,'2-2 引出数据_合同数据仓库'!$B$5:$BP$200,3,FALSE),0)</f>
        <v>0</v>
      </c>
      <c r="N431" s="131"/>
      <c r="O431" s="157">
        <f>IFERROR(VLOOKUP((LEFT(VLOOKUP($L431,'2-2 引出数据_合同数据仓库'!$B$5:$BP$200,64,FALSE),15)&amp;(RIGHT(VLOOKUP($L431,'2-2 引出数据_合同数据仓库'!$B$5:$BP$200,64,FALSE),4)+1)),'2-2 引出数据_合同数据仓库'!$B$5:$BP$200,3,FALSE),0)</f>
        <v>0</v>
      </c>
      <c r="P431" s="131"/>
      <c r="Q431" s="131">
        <f>IFERROR(VLOOKUP($L431,'2-2 引出数据_合同数据仓库'!$B$5:$BP$200,28,FALSE),0)</f>
        <v>0</v>
      </c>
      <c r="R431" s="131">
        <f>IFERROR(VLOOKUP($L431,'2-2 引出数据_合同数据仓库'!$B$5:$BP$200,29,FALSE),0)</f>
        <v>0</v>
      </c>
      <c r="S431" s="131">
        <f>IFERROR(VLOOKUP($L431,'2-2 引出数据_合同数据仓库'!$B$5:$BP$200,4,FALSE),0)</f>
        <v>0</v>
      </c>
      <c r="T431" s="131"/>
      <c r="U431" s="131">
        <f>IFERROR(VLOOKUP($L431,'2-2 引出数据_合同数据仓库'!$B$5:$BP$200,15,FALSE),0)</f>
        <v>0</v>
      </c>
      <c r="V431" s="131">
        <f>U431/(S431-R431+1)*365</f>
        <v>0</v>
      </c>
      <c r="W431" s="131"/>
      <c r="X431" s="163">
        <v>45658</v>
      </c>
      <c r="Y431" s="163">
        <f>X431+30</f>
        <v>45688</v>
      </c>
      <c r="Z431" s="167">
        <f>IFERROR(IF(($R431-Y431)&gt;=0,0,IF(($S431-X431)&lt;0,0,IF(AND(($S431-Y431)&gt;0,(X431-$R431)&gt;0),$V431/365*(Y431-X431+1),IF(AND(($S431-Y431)&lt;=0,(X431-$R431)&gt;0),$V431/365*($S431-X431+1),$V431/365*(Y431-$R431+1))))),0)</f>
        <v>0</v>
      </c>
      <c r="AA431" s="163">
        <f>Y431+1</f>
        <v>45689</v>
      </c>
      <c r="AB431" s="163">
        <f>AA431+27</f>
        <v>45716</v>
      </c>
      <c r="AC431" s="167">
        <f>IFERROR(IF(($R431-AB431)&gt;=0,0,IF(($S431-AA431)&lt;0,0,IF(AND(($S431-AB431)&gt;0,(AA431-$R431)&gt;0),$V431/365*(AB431-AA431+1),IF(AND(($S431-AB431)&lt;=0,(AA431-$R431)&gt;0),$V431/365*($S431-AA431+1),$V431/365*(AB431-$R431+1))))),0)</f>
        <v>0</v>
      </c>
      <c r="AD431" s="163">
        <f>AB431+1</f>
        <v>45717</v>
      </c>
      <c r="AE431" s="163">
        <f>AD431+30</f>
        <v>45747</v>
      </c>
      <c r="AF431" s="167">
        <f>IFERROR(IF(($R431-AE431)&gt;=0,0,IF(($S431-AD431)&lt;0,0,IF(AND(($S431-AE431)&gt;0,(AD431-$R431)&gt;0),$V431/365*(AE431-AD431+1),IF(AND(($S431-AE431)&lt;=0,(AD431-$R431)&gt;0),$V431/365*($S431-AD431+1),$V431/365*(AE431-$R431+1))))),0)</f>
        <v>0</v>
      </c>
      <c r="AG431" s="163">
        <f>AE431+1</f>
        <v>45748</v>
      </c>
      <c r="AH431" s="163">
        <f>AG431+29</f>
        <v>45777</v>
      </c>
      <c r="AI431" s="167">
        <f>IFERROR(IF(($R431-AH431)&gt;=0,0,IF(($S431-AG431)&lt;0,0,IF(AND(($S431-AH431)&gt;0,(AG431-$R431)&gt;0),$V431/365*(AH431-AG431+1),IF(AND(($S431-AH431)&lt;=0,(AG431-$R431)&gt;0),$V431/365*($S431-AG431+1),$V431/365*(AH431-$R431+1))))),0)</f>
        <v>0</v>
      </c>
      <c r="AJ431" s="163">
        <f>AH431+1</f>
        <v>45778</v>
      </c>
      <c r="AK431" s="163">
        <f>AJ431+30</f>
        <v>45808</v>
      </c>
      <c r="AL431" s="167">
        <f>IFERROR(IF(($R431-AK431)&gt;=0,0,IF(($S431-AJ431)&lt;0,0,IF(AND(($S431-AK431)&gt;0,(AJ431-$R431)&gt;0),$V431/365*(AK431-AJ431+1),IF(AND(($S431-AK431)&lt;=0,(AJ431-$R431)&gt;0),$V431/365*($S431-AJ431+1),$V431/365*(AK431-$R431+1))))),0)</f>
        <v>0</v>
      </c>
      <c r="AM431" s="163">
        <f>AK431+1</f>
        <v>45809</v>
      </c>
      <c r="AN431" s="163">
        <f>AM431+29</f>
        <v>45838</v>
      </c>
      <c r="AO431" s="167">
        <f>IFERROR(IF(($R431-AN431)&gt;=0,0,IF(($S431-AM431)&lt;0,0,IF(AND(($S431-AN431)&gt;0,(AM431-$R431)&gt;0),$V431/365*(AN431-AM431+1),IF(AND(($S431-AN431)&lt;=0,(AM431-$R431)&gt;0),$V431/365*($S431-AM431+1),$V431/365*(AN431-$R431+1))))),0)</f>
        <v>0</v>
      </c>
      <c r="AP431" s="163">
        <f>AN431+1</f>
        <v>45839</v>
      </c>
      <c r="AQ431" s="163">
        <f>AP431+30</f>
        <v>45869</v>
      </c>
      <c r="AR431" s="167">
        <f>IFERROR(IF(($R431-AQ431)&gt;=0,0,IF(($S431-AP431)&lt;0,0,IF(AND(($S431-AQ431)&gt;0,(AP431-$R431)&gt;0),$V431/365*(AQ431-AP431+1),IF(AND(($S431-AQ431)&lt;=0,(AP431-$R431)&gt;0),$V431/365*($S431-AP431+1),$V431/365*(AQ431-$R431+1))))),0)</f>
        <v>0</v>
      </c>
      <c r="AS431" s="163">
        <f>AQ431+1</f>
        <v>45870</v>
      </c>
      <c r="AT431" s="163">
        <f>AS431+30</f>
        <v>45900</v>
      </c>
      <c r="AU431" s="167">
        <f>IFERROR(IF(($R431-AT431)&gt;=0,0,IF(($S431-AS431)&lt;0,0,IF(AND(($S431-AT431)&gt;0,(AS431-$R431)&gt;0),$V431/365*(AT431-AS431+1),IF(AND(($S431-AT431)&lt;=0,(AS431-$R431)&gt;0),$V431/365*($S431-AS431+1),$V431/365*(AT431-$R431+1))))),0)</f>
        <v>0</v>
      </c>
      <c r="AV431" s="163">
        <f>AT431+1</f>
        <v>45901</v>
      </c>
      <c r="AW431" s="163">
        <f>AV431+29</f>
        <v>45930</v>
      </c>
      <c r="AX431" s="167">
        <f>IFERROR(IF(($R431-AW431)&gt;=0,0,IF(($S431-AV431)&lt;0,0,IF(AND(($S431-AW431)&gt;0,(AV431-$R431)&gt;0),$V431/365*(AW431-AV431+1),IF(AND(($S431-AW431)&lt;=0,(AV431-$R431)&gt;0),$V431/365*($S431-AV431+1),$V431/365*(AW431-$R431+1))))),0)</f>
        <v>0</v>
      </c>
      <c r="AY431" s="163">
        <f>AW431+1</f>
        <v>45931</v>
      </c>
      <c r="AZ431" s="163">
        <f>AY431+30</f>
        <v>45961</v>
      </c>
      <c r="BA431" s="167">
        <f>IFERROR(IF(($R431-AZ431)&gt;=0,0,IF(($S431-AY431)&lt;0,0,IF(AND(($S431-AZ431)&gt;0,(AY431-$R431)&gt;0),$V431/365*(AZ431-AY431+1),IF(AND(($S431-AZ431)&lt;=0,(AY431-$R431)&gt;0),$V431/365*($S431-AY431+1),$V431/365*(AZ431-$R431+1))))),0)</f>
        <v>0</v>
      </c>
      <c r="BB431" s="163">
        <f>AZ431+1</f>
        <v>45962</v>
      </c>
      <c r="BC431" s="163">
        <f>BB431+29</f>
        <v>45991</v>
      </c>
      <c r="BD431" s="167">
        <f>IFERROR(IF(($R431-BC431)&gt;=0,0,IF(($S431-BB431)&lt;0,0,IF(AND(($S431-BC431)&gt;0,(BB431-$R431)&gt;0),$V431/365*(BC431-BB431+1),IF(AND(($S431-BC431)&lt;=0,(BB431-$R431)&gt;0),$V431/365*($S431-BB431+1),$V431/365*(BC431-$R431+1))))),0)</f>
        <v>0</v>
      </c>
      <c r="BE431" s="163">
        <f>BC431+1</f>
        <v>45992</v>
      </c>
      <c r="BF431" s="163">
        <f>BE431+30</f>
        <v>46022</v>
      </c>
      <c r="BG431" s="167">
        <f>IFERROR(IF(($R431-BF431)&gt;=0,0,IF(($S431-BE431)&lt;0,0,IF(AND(($S431-BF431)&gt;0,(BE431-$R431)&gt;0),$V431/365*(BF431-BE431+1),IF(AND(($S431-BF431)&lt;=0,(BE431-$R431)&gt;0),$V431/365*($S431-BE431+1),$V431/365*(BF431-$R431+1))))),0)</f>
        <v>0</v>
      </c>
      <c r="BH431" s="163">
        <v>46023</v>
      </c>
      <c r="BI431" s="163">
        <f>BH431+30</f>
        <v>46053</v>
      </c>
      <c r="BJ431" s="167">
        <f>IFERROR(IF(($R431-BI431)&gt;=0,0,IF(($S431-BH431)&lt;0,0,IF(AND(($S431-BI431)&gt;0,(BH431-$R431)&gt;0),$V431/365*(BI431-BH431+1),IF(AND(($S431-BI431)&lt;=0,(BH431-$R431)&gt;0),$V431/365*($S431-BH431+1),$V431/365*(BI431-$R431+1))))),0)</f>
        <v>0</v>
      </c>
      <c r="BK431" s="163">
        <f>BI431+1</f>
        <v>46054</v>
      </c>
      <c r="BL431" s="163">
        <f>BK431+27</f>
        <v>46081</v>
      </c>
      <c r="BM431" s="167">
        <f>IFERROR(IF(($R431-BL431)&gt;=0,0,IF(($S431-BK431)&lt;0,0,IF(AND(($S431-BL431)&gt;0,(BK431-$R431)&gt;0),$V431/365*(BL431-BK431+1),IF(AND(($S431-BL431)&lt;=0,(BK431-$R431)&gt;0),$V431/365*($S431-BK431+1),$V431/365*(BL431-$R431+1))))),0)</f>
        <v>0</v>
      </c>
      <c r="BN431" s="163">
        <f>BL431+1</f>
        <v>46082</v>
      </c>
      <c r="BO431" s="163">
        <f>BN431+30</f>
        <v>46112</v>
      </c>
      <c r="BP431" s="167">
        <f>IFERROR(IF(($R431-BO431)&gt;=0,0,IF(($S431-BN431)&lt;0,0,IF(AND(($S431-BO431)&gt;0,(BN431-$R431)&gt;0),$V431/365*(BO431-BN431+1),IF(AND(($S431-BO431)&lt;=0,(BN431-$R431)&gt;0),$V431/365*($S431-BN431+1),$V431/365*(BO431-$R431+1))))),0)</f>
        <v>0</v>
      </c>
      <c r="BQ431" s="163">
        <f>BO431+1</f>
        <v>46113</v>
      </c>
      <c r="BR431" s="163">
        <f>BQ431+29</f>
        <v>46142</v>
      </c>
      <c r="BS431" s="167">
        <f>IFERROR(IF(($R431-BR431)&gt;=0,0,IF(($S431-BQ431)&lt;0,0,IF(AND(($S431-BR431)&gt;0,(BQ431-$R431)&gt;0),$V431/365*(BR431-BQ431+1),IF(AND(($S431-BR431)&lt;=0,(BQ431-$R431)&gt;0),$V431/365*($S431-BQ431+1),$V431/365*(BR431-$R431+1))))),0)</f>
        <v>0</v>
      </c>
      <c r="BT431" s="163">
        <f>BR431+1</f>
        <v>46143</v>
      </c>
      <c r="BU431" s="163">
        <f>BT431+30</f>
        <v>46173</v>
      </c>
      <c r="BV431" s="167">
        <f>IFERROR(IF(($R431-BU431)&gt;=0,0,IF(($S431-BT431)&lt;0,0,IF(AND(($S431-BU431)&gt;0,(BT431-$R431)&gt;0),$V431/365*(BU431-BT431+1),IF(AND(($S431-BU431)&lt;=0,(BT431-$R431)&gt;0),$V431/365*($S431-BT431+1),$V431/365*(BU431-$R431+1))))),0)</f>
        <v>0</v>
      </c>
      <c r="BW431" s="163">
        <f>BU431+1</f>
        <v>46174</v>
      </c>
      <c r="BX431" s="163">
        <f>BW431+29</f>
        <v>46203</v>
      </c>
      <c r="BY431" s="167">
        <f>IFERROR(IF(($R431-BX431)&gt;=0,0,IF(($S431-BW431)&lt;0,0,IF(AND(($S431-BX431)&gt;0,(BW431-$R431)&gt;0),$V431/365*(BX431-BW431+1),IF(AND(($S431-BX431)&lt;=0,(BW431-$R431)&gt;0),$V431/365*($S431-BW431+1),$V431/365*(BX431-$R431+1))))),0)</f>
        <v>0</v>
      </c>
      <c r="BZ431" s="163">
        <f>BX431+1</f>
        <v>46204</v>
      </c>
      <c r="CA431" s="163">
        <f>BZ431+30</f>
        <v>46234</v>
      </c>
      <c r="CB431" s="167">
        <f>IFERROR(IF(($R431-CA431)&gt;=0,0,IF(($S431-BZ431)&lt;0,0,IF(AND(($S431-CA431)&gt;0,(BZ431-$R431)&gt;0),$V431/365*(CA431-BZ431+1),IF(AND(($S431-CA431)&lt;=0,(BZ431-$R431)&gt;0),$V431/365*($S431-BZ431+1),$V431/365*(CA431-$R431+1))))),0)</f>
        <v>0</v>
      </c>
      <c r="CC431" s="163">
        <f>CA431+1</f>
        <v>46235</v>
      </c>
      <c r="CD431" s="163">
        <f>CC431+30</f>
        <v>46265</v>
      </c>
      <c r="CE431" s="167">
        <f>IFERROR(IF(($R431-CD431)&gt;=0,0,IF(($S431-CC431)&lt;0,0,IF(AND(($S431-CD431)&gt;0,(CC431-$R431)&gt;0),$V431/365*(CD431-CC431+1),IF(AND(($S431-CD431)&lt;=0,(CC431-$R431)&gt;0),$V431/365*($S431-CC431+1),$V431/365*(CD431-$R431+1))))),0)</f>
        <v>0</v>
      </c>
      <c r="CF431" s="163">
        <f>CD431+1</f>
        <v>46266</v>
      </c>
      <c r="CG431" s="163">
        <f>CF431+29</f>
        <v>46295</v>
      </c>
      <c r="CH431" s="167">
        <f>IFERROR(IF(($R431-CG431)&gt;=0,0,IF(($S431-CF431)&lt;0,0,IF(AND(($S431-CG431)&gt;0,(CF431-$R431)&gt;0),$V431/365*(CG431-CF431+1),IF(AND(($S431-CG431)&lt;=0,(CF431-$R431)&gt;0),$V431/365*($S431-CF431+1),$V431/365*(CG431-$R431+1))))),0)</f>
        <v>0</v>
      </c>
      <c r="CI431" s="163">
        <f>CG431+1</f>
        <v>46296</v>
      </c>
      <c r="CJ431" s="163">
        <f>CI431+30</f>
        <v>46326</v>
      </c>
      <c r="CK431" s="167">
        <f>IFERROR(IF(($R431-CJ431)&gt;=0,0,IF(($S431-CI431)&lt;0,0,IF(AND(($S431-CJ431)&gt;0,(CI431-$R431)&gt;0),$V431/365*(CJ431-CI431+1),IF(AND(($S431-CJ431)&lt;=0,(CI431-$R431)&gt;0),$V431/365*($S431-CI431+1),$V431/365*(CJ431-$R431+1))))),0)</f>
        <v>0</v>
      </c>
      <c r="CL431" s="163">
        <f>CJ431+1</f>
        <v>46327</v>
      </c>
      <c r="CM431" s="163">
        <f>CL431+29</f>
        <v>46356</v>
      </c>
      <c r="CN431" s="167">
        <f>IFERROR(IF(($R431-CM431)&gt;=0,0,IF(($S431-CL431)&lt;0,0,IF(AND(($S431-CM431)&gt;0,(CL431-$R431)&gt;0),$V431/365*(CM431-CL431+1),IF(AND(($S431-CM431)&lt;=0,(CL431-$R431)&gt;0),$V431/365*($S431-CL431+1),$V431/365*(CM431-$R431+1))))),0)</f>
        <v>0</v>
      </c>
      <c r="CO431" s="163">
        <f>CM431+1</f>
        <v>46357</v>
      </c>
      <c r="CP431" s="163">
        <f>CO431+30</f>
        <v>46387</v>
      </c>
      <c r="CQ431" s="167">
        <f>IFERROR(IF(($R431-CP431)&gt;=0,0,IF(($S431-CO431)&lt;0,0,IF(AND(($S431-CP431)&gt;0,(CO431-$R431)&gt;0),$V431/365*(CP431-CO431+1),IF(AND(($S431-CP431)&lt;=0,(CO431-$R431)&gt;0),$V431/365*($S431-CO431+1),$V431/365*(CP431-$R431+1))))),0)</f>
        <v>0</v>
      </c>
    </row>
    <row r="432" s="89" customFormat="1" ht="24" hidden="1" customHeight="1" outlineLevel="3" spans="1:95">
      <c r="A432" s="128"/>
      <c r="B432" s="129"/>
      <c r="C432" s="130"/>
      <c r="D432" s="128"/>
      <c r="E432" s="129"/>
      <c r="F432" s="129"/>
      <c r="G432" s="129"/>
      <c r="H432" s="131"/>
      <c r="I432" s="131"/>
      <c r="J432" s="131">
        <f t="shared" si="4646"/>
        <v>0</v>
      </c>
      <c r="K432" s="131">
        <f>K431+1</f>
        <v>2</v>
      </c>
      <c r="L432" s="156" t="s">
        <v>2848</v>
      </c>
      <c r="M432" s="157">
        <f>IFERROR(VLOOKUP($L432,'2-2 引出数据_合同数据仓库'!$B$5:$BP$200,3,FALSE),0)</f>
        <v>0</v>
      </c>
      <c r="N432" s="131"/>
      <c r="O432" s="157">
        <f>IFERROR(VLOOKUP((LEFT(VLOOKUP($L432,'2-2 引出数据_合同数据仓库'!$B$5:$BP$200,64,FALSE),15)&amp;(RIGHT(VLOOKUP($L432,'2-2 引出数据_合同数据仓库'!$B$5:$BP$200,64,FALSE),4)+1)),'2-2 引出数据_合同数据仓库'!$B$5:$BP$200,3,FALSE),0)</f>
        <v>0</v>
      </c>
      <c r="P432" s="131"/>
      <c r="Q432" s="131">
        <f>IFERROR(VLOOKUP($L432,'2-2 引出数据_合同数据仓库'!$B$5:$BP$200,28,FALSE),0)</f>
        <v>0</v>
      </c>
      <c r="R432" s="131">
        <f>IFERROR(VLOOKUP($L432,'2-2 引出数据_合同数据仓库'!$B$5:$BP$200,29,FALSE),0)</f>
        <v>0</v>
      </c>
      <c r="S432" s="131">
        <f>IFERROR(VLOOKUP($L432,'2-2 引出数据_合同数据仓库'!$B$5:$BP$200,4,FALSE),0)</f>
        <v>0</v>
      </c>
      <c r="T432" s="131"/>
      <c r="U432" s="131">
        <f>IFERROR(VLOOKUP($L432,'2-2 引出数据_合同数据仓库'!$B$5:$BP$200,15,FALSE),0)</f>
        <v>0</v>
      </c>
      <c r="V432" s="131">
        <f>U432/(S432-R432+1)*365</f>
        <v>0</v>
      </c>
      <c r="W432" s="131"/>
      <c r="X432" s="163">
        <v>45658</v>
      </c>
      <c r="Y432" s="163">
        <f>X432+30</f>
        <v>45688</v>
      </c>
      <c r="Z432" s="167">
        <f>IFERROR(IF(($R432-Y432)&gt;=0,0,IF(($S432-X432)&lt;0,0,IF(AND(($S432-Y432)&gt;0,(X432-$R432)&gt;0),$V432/365*(Y432-X432+1),IF(AND(($S432-Y432)&lt;=0,(X432-$R432)&gt;0),$V432/365*($S432-X432+1),$V432/365*(Y432-$R432+1))))),0)</f>
        <v>0</v>
      </c>
      <c r="AA432" s="163">
        <f>Y432+1</f>
        <v>45689</v>
      </c>
      <c r="AB432" s="163">
        <f>AA432+27</f>
        <v>45716</v>
      </c>
      <c r="AC432" s="167">
        <f>IFERROR(IF(($R432-AB432)&gt;=0,0,IF(($S432-AA432)&lt;0,0,IF(AND(($S432-AB432)&gt;0,(AA432-$R432)&gt;0),$V432/365*(AB432-AA432+1),IF(AND(($S432-AB432)&lt;=0,(AA432-$R432)&gt;0),$V432/365*($S432-AA432+1),$V432/365*(AB432-$R432+1))))),0)</f>
        <v>0</v>
      </c>
      <c r="AD432" s="163">
        <f>AB432+1</f>
        <v>45717</v>
      </c>
      <c r="AE432" s="163">
        <f>AD432+30</f>
        <v>45747</v>
      </c>
      <c r="AF432" s="167">
        <f>IFERROR(IF(($R432-AE432)&gt;=0,0,IF(($S432-AD432)&lt;0,0,IF(AND(($S432-AE432)&gt;0,(AD432-$R432)&gt;0),$V432/365*(AE432-AD432+1),IF(AND(($S432-AE432)&lt;=0,(AD432-$R432)&gt;0),$V432/365*($S432-AD432+1),$V432/365*(AE432-$R432+1))))),0)</f>
        <v>0</v>
      </c>
      <c r="AG432" s="163">
        <f>AE432+1</f>
        <v>45748</v>
      </c>
      <c r="AH432" s="163">
        <f>AG432+29</f>
        <v>45777</v>
      </c>
      <c r="AI432" s="167">
        <f>IFERROR(IF(($R432-AH432)&gt;=0,0,IF(($S432-AG432)&lt;0,0,IF(AND(($S432-AH432)&gt;0,(AG432-$R432)&gt;0),$V432/365*(AH432-AG432+1),IF(AND(($S432-AH432)&lt;=0,(AG432-$R432)&gt;0),$V432/365*($S432-AG432+1),$V432/365*(AH432-$R432+1))))),0)</f>
        <v>0</v>
      </c>
      <c r="AJ432" s="163">
        <f>AH432+1</f>
        <v>45778</v>
      </c>
      <c r="AK432" s="163">
        <f>AJ432+30</f>
        <v>45808</v>
      </c>
      <c r="AL432" s="167">
        <f>IFERROR(IF(($R432-AK432)&gt;=0,0,IF(($S432-AJ432)&lt;0,0,IF(AND(($S432-AK432)&gt;0,(AJ432-$R432)&gt;0),$V432/365*(AK432-AJ432+1),IF(AND(($S432-AK432)&lt;=0,(AJ432-$R432)&gt;0),$V432/365*($S432-AJ432+1),$V432/365*(AK432-$R432+1))))),0)</f>
        <v>0</v>
      </c>
      <c r="AM432" s="163">
        <f>AK432+1</f>
        <v>45809</v>
      </c>
      <c r="AN432" s="163">
        <f>AM432+29</f>
        <v>45838</v>
      </c>
      <c r="AO432" s="167">
        <f>IFERROR(IF(($R432-AN432)&gt;=0,0,IF(($S432-AM432)&lt;0,0,IF(AND(($S432-AN432)&gt;0,(AM432-$R432)&gt;0),$V432/365*(AN432-AM432+1),IF(AND(($S432-AN432)&lt;=0,(AM432-$R432)&gt;0),$V432/365*($S432-AM432+1),$V432/365*(AN432-$R432+1))))),0)</f>
        <v>0</v>
      </c>
      <c r="AP432" s="163">
        <f>AN432+1</f>
        <v>45839</v>
      </c>
      <c r="AQ432" s="163">
        <f>AP432+30</f>
        <v>45869</v>
      </c>
      <c r="AR432" s="167">
        <f>IFERROR(IF(($R432-AQ432)&gt;=0,0,IF(($S432-AP432)&lt;0,0,IF(AND(($S432-AQ432)&gt;0,(AP432-$R432)&gt;0),$V432/365*(AQ432-AP432+1),IF(AND(($S432-AQ432)&lt;=0,(AP432-$R432)&gt;0),$V432/365*($S432-AP432+1),$V432/365*(AQ432-$R432+1))))),0)</f>
        <v>0</v>
      </c>
      <c r="AS432" s="163">
        <f>AQ432+1</f>
        <v>45870</v>
      </c>
      <c r="AT432" s="163">
        <f>AS432+30</f>
        <v>45900</v>
      </c>
      <c r="AU432" s="167">
        <f>IFERROR(IF(($R432-AT432)&gt;=0,0,IF(($S432-AS432)&lt;0,0,IF(AND(($S432-AT432)&gt;0,(AS432-$R432)&gt;0),$V432/365*(AT432-AS432+1),IF(AND(($S432-AT432)&lt;=0,(AS432-$R432)&gt;0),$V432/365*($S432-AS432+1),$V432/365*(AT432-$R432+1))))),0)</f>
        <v>0</v>
      </c>
      <c r="AV432" s="163">
        <f>AT432+1</f>
        <v>45901</v>
      </c>
      <c r="AW432" s="163">
        <f>AV432+29</f>
        <v>45930</v>
      </c>
      <c r="AX432" s="167">
        <f>IFERROR(IF(($R432-AW432)&gt;=0,0,IF(($S432-AV432)&lt;0,0,IF(AND(($S432-AW432)&gt;0,(AV432-$R432)&gt;0),$V432/365*(AW432-AV432+1),IF(AND(($S432-AW432)&lt;=0,(AV432-$R432)&gt;0),$V432/365*($S432-AV432+1),$V432/365*(AW432-$R432+1))))),0)</f>
        <v>0</v>
      </c>
      <c r="AY432" s="163">
        <f>AW432+1</f>
        <v>45931</v>
      </c>
      <c r="AZ432" s="163">
        <f>AY432+30</f>
        <v>45961</v>
      </c>
      <c r="BA432" s="167">
        <f>IFERROR(IF(($R432-AZ432)&gt;=0,0,IF(($S432-AY432)&lt;0,0,IF(AND(($S432-AZ432)&gt;0,(AY432-$R432)&gt;0),$V432/365*(AZ432-AY432+1),IF(AND(($S432-AZ432)&lt;=0,(AY432-$R432)&gt;0),$V432/365*($S432-AY432+1),$V432/365*(AZ432-$R432+1))))),0)</f>
        <v>0</v>
      </c>
      <c r="BB432" s="163">
        <f>AZ432+1</f>
        <v>45962</v>
      </c>
      <c r="BC432" s="163">
        <f>BB432+29</f>
        <v>45991</v>
      </c>
      <c r="BD432" s="167">
        <f>IFERROR(IF(($R432-BC432)&gt;=0,0,IF(($S432-BB432)&lt;0,0,IF(AND(($S432-BC432)&gt;0,(BB432-$R432)&gt;0),$V432/365*(BC432-BB432+1),IF(AND(($S432-BC432)&lt;=0,(BB432-$R432)&gt;0),$V432/365*($S432-BB432+1),$V432/365*(BC432-$R432+1))))),0)</f>
        <v>0</v>
      </c>
      <c r="BE432" s="163">
        <f>BC432+1</f>
        <v>45992</v>
      </c>
      <c r="BF432" s="163">
        <f>BE432+30</f>
        <v>46022</v>
      </c>
      <c r="BG432" s="167">
        <f>IFERROR(IF(($R432-BF432)&gt;=0,0,IF(($S432-BE432)&lt;0,0,IF(AND(($S432-BF432)&gt;0,(BE432-$R432)&gt;0),$V432/365*(BF432-BE432+1),IF(AND(($S432-BF432)&lt;=0,(BE432-$R432)&gt;0),$V432/365*($S432-BE432+1),$V432/365*(BF432-$R432+1))))),0)</f>
        <v>0</v>
      </c>
      <c r="BH432" s="163">
        <v>46023</v>
      </c>
      <c r="BI432" s="163">
        <f>BH432+30</f>
        <v>46053</v>
      </c>
      <c r="BJ432" s="167">
        <f>IFERROR(IF(($R432-BI432)&gt;=0,0,IF(($S432-BH432)&lt;0,0,IF(AND(($S432-BI432)&gt;0,(BH432-$R432)&gt;0),$V432/365*(BI432-BH432+1),IF(AND(($S432-BI432)&lt;=0,(BH432-$R432)&gt;0),$V432/365*($S432-BH432+1),$V432/365*(BI432-$R432+1))))),0)</f>
        <v>0</v>
      </c>
      <c r="BK432" s="163">
        <f>BI432+1</f>
        <v>46054</v>
      </c>
      <c r="BL432" s="163">
        <f>BK432+27</f>
        <v>46081</v>
      </c>
      <c r="BM432" s="167">
        <f>IFERROR(IF(($R432-BL432)&gt;=0,0,IF(($S432-BK432)&lt;0,0,IF(AND(($S432-BL432)&gt;0,(BK432-$R432)&gt;0),$V432/365*(BL432-BK432+1),IF(AND(($S432-BL432)&lt;=0,(BK432-$R432)&gt;0),$V432/365*($S432-BK432+1),$V432/365*(BL432-$R432+1))))),0)</f>
        <v>0</v>
      </c>
      <c r="BN432" s="163">
        <f>BL432+1</f>
        <v>46082</v>
      </c>
      <c r="BO432" s="163">
        <f>BN432+30</f>
        <v>46112</v>
      </c>
      <c r="BP432" s="167">
        <f>IFERROR(IF(($R432-BO432)&gt;=0,0,IF(($S432-BN432)&lt;0,0,IF(AND(($S432-BO432)&gt;0,(BN432-$R432)&gt;0),$V432/365*(BO432-BN432+1),IF(AND(($S432-BO432)&lt;=0,(BN432-$R432)&gt;0),$V432/365*($S432-BN432+1),$V432/365*(BO432-$R432+1))))),0)</f>
        <v>0</v>
      </c>
      <c r="BQ432" s="163">
        <f>BO432+1</f>
        <v>46113</v>
      </c>
      <c r="BR432" s="163">
        <f>BQ432+29</f>
        <v>46142</v>
      </c>
      <c r="BS432" s="167">
        <f>IFERROR(IF(($R432-BR432)&gt;=0,0,IF(($S432-BQ432)&lt;0,0,IF(AND(($S432-BR432)&gt;0,(BQ432-$R432)&gt;0),$V432/365*(BR432-BQ432+1),IF(AND(($S432-BR432)&lt;=0,(BQ432-$R432)&gt;0),$V432/365*($S432-BQ432+1),$V432/365*(BR432-$R432+1))))),0)</f>
        <v>0</v>
      </c>
      <c r="BT432" s="163">
        <f>BR432+1</f>
        <v>46143</v>
      </c>
      <c r="BU432" s="163">
        <f>BT432+30</f>
        <v>46173</v>
      </c>
      <c r="BV432" s="167">
        <f>IFERROR(IF(($R432-BU432)&gt;=0,0,IF(($S432-BT432)&lt;0,0,IF(AND(($S432-BU432)&gt;0,(BT432-$R432)&gt;0),$V432/365*(BU432-BT432+1),IF(AND(($S432-BU432)&lt;=0,(BT432-$R432)&gt;0),$V432/365*($S432-BT432+1),$V432/365*(BU432-$R432+1))))),0)</f>
        <v>0</v>
      </c>
      <c r="BW432" s="163">
        <f>BU432+1</f>
        <v>46174</v>
      </c>
      <c r="BX432" s="163">
        <f>BW432+29</f>
        <v>46203</v>
      </c>
      <c r="BY432" s="167">
        <f>IFERROR(IF(($R432-BX432)&gt;=0,0,IF(($S432-BW432)&lt;0,0,IF(AND(($S432-BX432)&gt;0,(BW432-$R432)&gt;0),$V432/365*(BX432-BW432+1),IF(AND(($S432-BX432)&lt;=0,(BW432-$R432)&gt;0),$V432/365*($S432-BW432+1),$V432/365*(BX432-$R432+1))))),0)</f>
        <v>0</v>
      </c>
      <c r="BZ432" s="163">
        <f>BX432+1</f>
        <v>46204</v>
      </c>
      <c r="CA432" s="163">
        <f>BZ432+30</f>
        <v>46234</v>
      </c>
      <c r="CB432" s="167">
        <f>IFERROR(IF(($R432-CA432)&gt;=0,0,IF(($S432-BZ432)&lt;0,0,IF(AND(($S432-CA432)&gt;0,(BZ432-$R432)&gt;0),$V432/365*(CA432-BZ432+1),IF(AND(($S432-CA432)&lt;=0,(BZ432-$R432)&gt;0),$V432/365*($S432-BZ432+1),$V432/365*(CA432-$R432+1))))),0)</f>
        <v>0</v>
      </c>
      <c r="CC432" s="163">
        <f>CA432+1</f>
        <v>46235</v>
      </c>
      <c r="CD432" s="163">
        <f>CC432+30</f>
        <v>46265</v>
      </c>
      <c r="CE432" s="167">
        <f>IFERROR(IF(($R432-CD432)&gt;=0,0,IF(($S432-CC432)&lt;0,0,IF(AND(($S432-CD432)&gt;0,(CC432-$R432)&gt;0),$V432/365*(CD432-CC432+1),IF(AND(($S432-CD432)&lt;=0,(CC432-$R432)&gt;0),$V432/365*($S432-CC432+1),$V432/365*(CD432-$R432+1))))),0)</f>
        <v>0</v>
      </c>
      <c r="CF432" s="163">
        <f>CD432+1</f>
        <v>46266</v>
      </c>
      <c r="CG432" s="163">
        <f>CF432+29</f>
        <v>46295</v>
      </c>
      <c r="CH432" s="167">
        <f>IFERROR(IF(($R432-CG432)&gt;=0,0,IF(($S432-CF432)&lt;0,0,IF(AND(($S432-CG432)&gt;0,(CF432-$R432)&gt;0),$V432/365*(CG432-CF432+1),IF(AND(($S432-CG432)&lt;=0,(CF432-$R432)&gt;0),$V432/365*($S432-CF432+1),$V432/365*(CG432-$R432+1))))),0)</f>
        <v>0</v>
      </c>
      <c r="CI432" s="163">
        <f>CG432+1</f>
        <v>46296</v>
      </c>
      <c r="CJ432" s="163">
        <f>CI432+30</f>
        <v>46326</v>
      </c>
      <c r="CK432" s="167">
        <f>IFERROR(IF(($R432-CJ432)&gt;=0,0,IF(($S432-CI432)&lt;0,0,IF(AND(($S432-CJ432)&gt;0,(CI432-$R432)&gt;0),$V432/365*(CJ432-CI432+1),IF(AND(($S432-CJ432)&lt;=0,(CI432-$R432)&gt;0),$V432/365*($S432-CI432+1),$V432/365*(CJ432-$R432+1))))),0)</f>
        <v>0</v>
      </c>
      <c r="CL432" s="163">
        <f>CJ432+1</f>
        <v>46327</v>
      </c>
      <c r="CM432" s="163">
        <f>CL432+29</f>
        <v>46356</v>
      </c>
      <c r="CN432" s="167">
        <f>IFERROR(IF(($R432-CM432)&gt;=0,0,IF(($S432-CL432)&lt;0,0,IF(AND(($S432-CM432)&gt;0,(CL432-$R432)&gt;0),$V432/365*(CM432-CL432+1),IF(AND(($S432-CM432)&lt;=0,(CL432-$R432)&gt;0),$V432/365*($S432-CL432+1),$V432/365*(CM432-$R432+1))))),0)</f>
        <v>0</v>
      </c>
      <c r="CO432" s="163">
        <f>CM432+1</f>
        <v>46357</v>
      </c>
      <c r="CP432" s="163">
        <f>CO432+30</f>
        <v>46387</v>
      </c>
      <c r="CQ432" s="167">
        <f>IFERROR(IF(($R432-CP432)&gt;=0,0,IF(($S432-CO432)&lt;0,0,IF(AND(($S432-CP432)&gt;0,(CO432-$R432)&gt;0),$V432/365*(CP432-CO432+1),IF(AND(($S432-CP432)&lt;=0,(CO432-$R432)&gt;0),$V432/365*($S432-CO432+1),$V432/365*(CP432-$R432+1))))),0)</f>
        <v>0</v>
      </c>
    </row>
    <row r="433" s="89" customFormat="1" ht="24" hidden="1" customHeight="1" outlineLevel="3" spans="1:95">
      <c r="A433" s="128"/>
      <c r="B433" s="129"/>
      <c r="C433" s="130"/>
      <c r="D433" s="128"/>
      <c r="E433" s="129"/>
      <c r="F433" s="129"/>
      <c r="G433" s="129"/>
      <c r="H433" s="131"/>
      <c r="I433" s="131"/>
      <c r="J433" s="131">
        <f t="shared" si="4646"/>
        <v>0</v>
      </c>
      <c r="K433" s="131">
        <f>K432+1</f>
        <v>3</v>
      </c>
      <c r="L433" s="156" t="s">
        <v>2849</v>
      </c>
      <c r="M433" s="157">
        <f>IFERROR(VLOOKUP($L433,'2-2 引出数据_合同数据仓库'!$B$5:$BP$200,3,FALSE),0)</f>
        <v>0</v>
      </c>
      <c r="N433" s="131"/>
      <c r="O433" s="157">
        <f>IFERROR(VLOOKUP((LEFT(VLOOKUP($L433,'2-2 引出数据_合同数据仓库'!$B$5:$BP$200,64,FALSE),15)&amp;(RIGHT(VLOOKUP($L433,'2-2 引出数据_合同数据仓库'!$B$5:$BP$200,64,FALSE),4)+1)),'2-2 引出数据_合同数据仓库'!$B$5:$BP$200,3,FALSE),0)</f>
        <v>0</v>
      </c>
      <c r="P433" s="131"/>
      <c r="Q433" s="131">
        <f>IFERROR(VLOOKUP($L433,'2-2 引出数据_合同数据仓库'!$B$5:$BP$200,28,FALSE),0)</f>
        <v>0</v>
      </c>
      <c r="R433" s="131">
        <f>IFERROR(VLOOKUP($L433,'2-2 引出数据_合同数据仓库'!$B$5:$BP$200,29,FALSE),0)</f>
        <v>0</v>
      </c>
      <c r="S433" s="131">
        <f>IFERROR(VLOOKUP($L433,'2-2 引出数据_合同数据仓库'!$B$5:$BP$200,4,FALSE),0)</f>
        <v>0</v>
      </c>
      <c r="T433" s="131"/>
      <c r="U433" s="131">
        <f>IFERROR(VLOOKUP($L433,'2-2 引出数据_合同数据仓库'!$B$5:$BP$200,15,FALSE),0)</f>
        <v>0</v>
      </c>
      <c r="V433" s="131">
        <f>U433/(S433-R433+1)*365</f>
        <v>0</v>
      </c>
      <c r="W433" s="131"/>
      <c r="X433" s="163">
        <v>45659</v>
      </c>
      <c r="Y433" s="163">
        <f>X433+30</f>
        <v>45689</v>
      </c>
      <c r="Z433" s="167">
        <f>IFERROR(IF(($R433-Y433)&gt;=0,0,IF(($S433-X433)&lt;0,0,IF(AND(($S433-Y433)&gt;0,(X433-$R433)&gt;0),$V433/365*(Y433-X433+1),IF(AND(($S433-Y433)&lt;=0,(X433-$R433)&gt;0),$V433/365*($S433-X433+1),$V433/365*(Y433-$R433+1))))),0)</f>
        <v>0</v>
      </c>
      <c r="AA433" s="163">
        <f>Y433+1</f>
        <v>45690</v>
      </c>
      <c r="AB433" s="163">
        <f>AA433+27</f>
        <v>45717</v>
      </c>
      <c r="AC433" s="167">
        <f>IFERROR(IF(($R433-AB433)&gt;=0,0,IF(($S433-AA433)&lt;0,0,IF(AND(($S433-AB433)&gt;0,(AA433-$R433)&gt;0),$V433/365*(AB433-AA433+1),IF(AND(($S433-AB433)&lt;=0,(AA433-$R433)&gt;0),$V433/365*($S433-AA433+1),$V433/365*(AB433-$R433+1))))),0)</f>
        <v>0</v>
      </c>
      <c r="AD433" s="163">
        <f>AB433+1</f>
        <v>45718</v>
      </c>
      <c r="AE433" s="163">
        <f>AD433+30</f>
        <v>45748</v>
      </c>
      <c r="AF433" s="167">
        <f>IFERROR(IF(($R433-AE433)&gt;=0,0,IF(($S433-AD433)&lt;0,0,IF(AND(($S433-AE433)&gt;0,(AD433-$R433)&gt;0),$V433/365*(AE433-AD433+1),IF(AND(($S433-AE433)&lt;=0,(AD433-$R433)&gt;0),$V433/365*($S433-AD433+1),$V433/365*(AE433-$R433+1))))),0)</f>
        <v>0</v>
      </c>
      <c r="AG433" s="163">
        <f>AE433+1</f>
        <v>45749</v>
      </c>
      <c r="AH433" s="163">
        <f>AG433+29</f>
        <v>45778</v>
      </c>
      <c r="AI433" s="167">
        <f>IFERROR(IF(($R433-AH433)&gt;=0,0,IF(($S433-AG433)&lt;0,0,IF(AND(($S433-AH433)&gt;0,(AG433-$R433)&gt;0),$V433/365*(AH433-AG433+1),IF(AND(($S433-AH433)&lt;=0,(AG433-$R433)&gt;0),$V433/365*($S433-AG433+1),$V433/365*(AH433-$R433+1))))),0)</f>
        <v>0</v>
      </c>
      <c r="AJ433" s="163">
        <f>AH433+1</f>
        <v>45779</v>
      </c>
      <c r="AK433" s="163">
        <f>AJ433+30</f>
        <v>45809</v>
      </c>
      <c r="AL433" s="167">
        <f>IFERROR(IF(($R433-AK433)&gt;=0,0,IF(($S433-AJ433)&lt;0,0,IF(AND(($S433-AK433)&gt;0,(AJ433-$R433)&gt;0),$V433/365*(AK433-AJ433+1),IF(AND(($S433-AK433)&lt;=0,(AJ433-$R433)&gt;0),$V433/365*($S433-AJ433+1),$V433/365*(AK433-$R433+1))))),0)</f>
        <v>0</v>
      </c>
      <c r="AM433" s="163">
        <f>AK433+1</f>
        <v>45810</v>
      </c>
      <c r="AN433" s="163">
        <f>AM433+29</f>
        <v>45839</v>
      </c>
      <c r="AO433" s="167">
        <f>IFERROR(IF(($R433-AN433)&gt;=0,0,IF(($S433-AM433)&lt;0,0,IF(AND(($S433-AN433)&gt;0,(AM433-$R433)&gt;0),$V433/365*(AN433-AM433+1),IF(AND(($S433-AN433)&lt;=0,(AM433-$R433)&gt;0),$V433/365*($S433-AM433+1),$V433/365*(AN433-$R433+1))))),0)</f>
        <v>0</v>
      </c>
      <c r="AP433" s="163">
        <f>AN433+1</f>
        <v>45840</v>
      </c>
      <c r="AQ433" s="163">
        <f>AP433+30</f>
        <v>45870</v>
      </c>
      <c r="AR433" s="167">
        <f>IFERROR(IF(($R433-AQ433)&gt;=0,0,IF(($S433-AP433)&lt;0,0,IF(AND(($S433-AQ433)&gt;0,(AP433-$R433)&gt;0),$V433/365*(AQ433-AP433+1),IF(AND(($S433-AQ433)&lt;=0,(AP433-$R433)&gt;0),$V433/365*($S433-AP433+1),$V433/365*(AQ433-$R433+1))))),0)</f>
        <v>0</v>
      </c>
      <c r="AS433" s="163">
        <f>AQ433+1</f>
        <v>45871</v>
      </c>
      <c r="AT433" s="163">
        <f>AS433+30</f>
        <v>45901</v>
      </c>
      <c r="AU433" s="167">
        <f>IFERROR(IF(($R433-AT433)&gt;=0,0,IF(($S433-AS433)&lt;0,0,IF(AND(($S433-AT433)&gt;0,(AS433-$R433)&gt;0),$V433/365*(AT433-AS433+1),IF(AND(($S433-AT433)&lt;=0,(AS433-$R433)&gt;0),$V433/365*($S433-AS433+1),$V433/365*(AT433-$R433+1))))),0)</f>
        <v>0</v>
      </c>
      <c r="AV433" s="163">
        <f>AT433+1</f>
        <v>45902</v>
      </c>
      <c r="AW433" s="163">
        <f>AV433+29</f>
        <v>45931</v>
      </c>
      <c r="AX433" s="167">
        <f>IFERROR(IF(($R433-AW433)&gt;=0,0,IF(($S433-AV433)&lt;0,0,IF(AND(($S433-AW433)&gt;0,(AV433-$R433)&gt;0),$V433/365*(AW433-AV433+1),IF(AND(($S433-AW433)&lt;=0,(AV433-$R433)&gt;0),$V433/365*($S433-AV433+1),$V433/365*(AW433-$R433+1))))),0)</f>
        <v>0</v>
      </c>
      <c r="AY433" s="163">
        <f>AW433+1</f>
        <v>45932</v>
      </c>
      <c r="AZ433" s="163">
        <f>AY433+30</f>
        <v>45962</v>
      </c>
      <c r="BA433" s="167">
        <f>IFERROR(IF(($R433-AZ433)&gt;=0,0,IF(($S433-AY433)&lt;0,0,IF(AND(($S433-AZ433)&gt;0,(AY433-$R433)&gt;0),$V433/365*(AZ433-AY433+1),IF(AND(($S433-AZ433)&lt;=0,(AY433-$R433)&gt;0),$V433/365*($S433-AY433+1),$V433/365*(AZ433-$R433+1))))),0)</f>
        <v>0</v>
      </c>
      <c r="BB433" s="163">
        <f>AZ433+1</f>
        <v>45963</v>
      </c>
      <c r="BC433" s="163">
        <f>BB433+29</f>
        <v>45992</v>
      </c>
      <c r="BD433" s="167">
        <f>IFERROR(IF(($R433-BC433)&gt;=0,0,IF(($S433-BB433)&lt;0,0,IF(AND(($S433-BC433)&gt;0,(BB433-$R433)&gt;0),$V433/365*(BC433-BB433+1),IF(AND(($S433-BC433)&lt;=0,(BB433-$R433)&gt;0),$V433/365*($S433-BB433+1),$V433/365*(BC433-$R433+1))))),0)</f>
        <v>0</v>
      </c>
      <c r="BE433" s="163">
        <f>BC433+1</f>
        <v>45993</v>
      </c>
      <c r="BF433" s="163">
        <f>BE433+30</f>
        <v>46023</v>
      </c>
      <c r="BG433" s="167">
        <f>IFERROR(IF(($R433-BF433)&gt;=0,0,IF(($S433-BE433)&lt;0,0,IF(AND(($S433-BF433)&gt;0,(BE433-$R433)&gt;0),$V433/365*(BF433-BE433+1),IF(AND(($S433-BF433)&lt;=0,(BE433-$R433)&gt;0),$V433/365*($S433-BE433+1),$V433/365*(BF433-$R433+1))))),0)</f>
        <v>0</v>
      </c>
      <c r="BH433" s="163">
        <v>46024</v>
      </c>
      <c r="BI433" s="163">
        <f>BH433+30</f>
        <v>46054</v>
      </c>
      <c r="BJ433" s="167">
        <f>IFERROR(IF(($R433-BI433)&gt;=0,0,IF(($S433-BH433)&lt;0,0,IF(AND(($S433-BI433)&gt;0,(BH433-$R433)&gt;0),$V433/365*(BI433-BH433+1),IF(AND(($S433-BI433)&lt;=0,(BH433-$R433)&gt;0),$V433/365*($S433-BH433+1),$V433/365*(BI433-$R433+1))))),0)</f>
        <v>0</v>
      </c>
      <c r="BK433" s="163">
        <f>BI433+1</f>
        <v>46055</v>
      </c>
      <c r="BL433" s="163">
        <f>BK433+27</f>
        <v>46082</v>
      </c>
      <c r="BM433" s="167">
        <f>IFERROR(IF(($R433-BL433)&gt;=0,0,IF(($S433-BK433)&lt;0,0,IF(AND(($S433-BL433)&gt;0,(BK433-$R433)&gt;0),$V433/365*(BL433-BK433+1),IF(AND(($S433-BL433)&lt;=0,(BK433-$R433)&gt;0),$V433/365*($S433-BK433+1),$V433/365*(BL433-$R433+1))))),0)</f>
        <v>0</v>
      </c>
      <c r="BN433" s="163">
        <f>BL433+1</f>
        <v>46083</v>
      </c>
      <c r="BO433" s="163">
        <f>BN433+30</f>
        <v>46113</v>
      </c>
      <c r="BP433" s="167">
        <f>IFERROR(IF(($R433-BO433)&gt;=0,0,IF(($S433-BN433)&lt;0,0,IF(AND(($S433-BO433)&gt;0,(BN433-$R433)&gt;0),$V433/365*(BO433-BN433+1),IF(AND(($S433-BO433)&lt;=0,(BN433-$R433)&gt;0),$V433/365*($S433-BN433+1),$V433/365*(BO433-$R433+1))))),0)</f>
        <v>0</v>
      </c>
      <c r="BQ433" s="163">
        <f>BO433+1</f>
        <v>46114</v>
      </c>
      <c r="BR433" s="163">
        <f>BQ433+29</f>
        <v>46143</v>
      </c>
      <c r="BS433" s="167">
        <f>IFERROR(IF(($R433-BR433)&gt;=0,0,IF(($S433-BQ433)&lt;0,0,IF(AND(($S433-BR433)&gt;0,(BQ433-$R433)&gt;0),$V433/365*(BR433-BQ433+1),IF(AND(($S433-BR433)&lt;=0,(BQ433-$R433)&gt;0),$V433/365*($S433-BQ433+1),$V433/365*(BR433-$R433+1))))),0)</f>
        <v>0</v>
      </c>
      <c r="BT433" s="163">
        <f>BR433+1</f>
        <v>46144</v>
      </c>
      <c r="BU433" s="163">
        <f>BT433+30</f>
        <v>46174</v>
      </c>
      <c r="BV433" s="167">
        <f>IFERROR(IF(($R433-BU433)&gt;=0,0,IF(($S433-BT433)&lt;0,0,IF(AND(($S433-BU433)&gt;0,(BT433-$R433)&gt;0),$V433/365*(BU433-BT433+1),IF(AND(($S433-BU433)&lt;=0,(BT433-$R433)&gt;0),$V433/365*($S433-BT433+1),$V433/365*(BU433-$R433+1))))),0)</f>
        <v>0</v>
      </c>
      <c r="BW433" s="163">
        <f>BU433+1</f>
        <v>46175</v>
      </c>
      <c r="BX433" s="163">
        <f>BW433+29</f>
        <v>46204</v>
      </c>
      <c r="BY433" s="167">
        <f>IFERROR(IF(($R433-BX433)&gt;=0,0,IF(($S433-BW433)&lt;0,0,IF(AND(($S433-BX433)&gt;0,(BW433-$R433)&gt;0),$V433/365*(BX433-BW433+1),IF(AND(($S433-BX433)&lt;=0,(BW433-$R433)&gt;0),$V433/365*($S433-BW433+1),$V433/365*(BX433-$R433+1))))),0)</f>
        <v>0</v>
      </c>
      <c r="BZ433" s="163">
        <f>BX433+1</f>
        <v>46205</v>
      </c>
      <c r="CA433" s="163">
        <f>BZ433+30</f>
        <v>46235</v>
      </c>
      <c r="CB433" s="167">
        <f>IFERROR(IF(($R433-CA433)&gt;=0,0,IF(($S433-BZ433)&lt;0,0,IF(AND(($S433-CA433)&gt;0,(BZ433-$R433)&gt;0),$V433/365*(CA433-BZ433+1),IF(AND(($S433-CA433)&lt;=0,(BZ433-$R433)&gt;0),$V433/365*($S433-BZ433+1),$V433/365*(CA433-$R433+1))))),0)</f>
        <v>0</v>
      </c>
      <c r="CC433" s="163">
        <f>CA433+1</f>
        <v>46236</v>
      </c>
      <c r="CD433" s="163">
        <f>CC433+30</f>
        <v>46266</v>
      </c>
      <c r="CE433" s="167">
        <f>IFERROR(IF(($R433-CD433)&gt;=0,0,IF(($S433-CC433)&lt;0,0,IF(AND(($S433-CD433)&gt;0,(CC433-$R433)&gt;0),$V433/365*(CD433-CC433+1),IF(AND(($S433-CD433)&lt;=0,(CC433-$R433)&gt;0),$V433/365*($S433-CC433+1),$V433/365*(CD433-$R433+1))))),0)</f>
        <v>0</v>
      </c>
      <c r="CF433" s="163">
        <f>CD433+1</f>
        <v>46267</v>
      </c>
      <c r="CG433" s="163">
        <f>CF433+29</f>
        <v>46296</v>
      </c>
      <c r="CH433" s="167">
        <f>IFERROR(IF(($R433-CG433)&gt;=0,0,IF(($S433-CF433)&lt;0,0,IF(AND(($S433-CG433)&gt;0,(CF433-$R433)&gt;0),$V433/365*(CG433-CF433+1),IF(AND(($S433-CG433)&lt;=0,(CF433-$R433)&gt;0),$V433/365*($S433-CF433+1),$V433/365*(CG433-$R433+1))))),0)</f>
        <v>0</v>
      </c>
      <c r="CI433" s="163">
        <f>CG433+1</f>
        <v>46297</v>
      </c>
      <c r="CJ433" s="163">
        <f>CI433+30</f>
        <v>46327</v>
      </c>
      <c r="CK433" s="167">
        <f>IFERROR(IF(($R433-CJ433)&gt;=0,0,IF(($S433-CI433)&lt;0,0,IF(AND(($S433-CJ433)&gt;0,(CI433-$R433)&gt;0),$V433/365*(CJ433-CI433+1),IF(AND(($S433-CJ433)&lt;=0,(CI433-$R433)&gt;0),$V433/365*($S433-CI433+1),$V433/365*(CJ433-$R433+1))))),0)</f>
        <v>0</v>
      </c>
      <c r="CL433" s="163">
        <f>CJ433+1</f>
        <v>46328</v>
      </c>
      <c r="CM433" s="163">
        <f>CL433+29</f>
        <v>46357</v>
      </c>
      <c r="CN433" s="167">
        <f>IFERROR(IF(($R433-CM433)&gt;=0,0,IF(($S433-CL433)&lt;0,0,IF(AND(($S433-CM433)&gt;0,(CL433-$R433)&gt;0),$V433/365*(CM433-CL433+1),IF(AND(($S433-CM433)&lt;=0,(CL433-$R433)&gt;0),$V433/365*($S433-CL433+1),$V433/365*(CM433-$R433+1))))),0)</f>
        <v>0</v>
      </c>
      <c r="CO433" s="163">
        <f>CM433+1</f>
        <v>46358</v>
      </c>
      <c r="CP433" s="163">
        <f>CO433+30</f>
        <v>46388</v>
      </c>
      <c r="CQ433" s="167">
        <f>IFERROR(IF(($R433-CP433)&gt;=0,0,IF(($S433-CO433)&lt;0,0,IF(AND(($S433-CP433)&gt;0,(CO433-$R433)&gt;0),$V433/365*(CP433-CO433+1),IF(AND(($S433-CP433)&lt;=0,(CO433-$R433)&gt;0),$V433/365*($S433-CO433+1),$V433/365*(CP433-$R433+1))))),0)</f>
        <v>0</v>
      </c>
    </row>
    <row r="434" s="89" customFormat="1" ht="24" hidden="1" customHeight="1" outlineLevel="3" collapsed="1" spans="1:95">
      <c r="A434" s="128"/>
      <c r="B434" s="129"/>
      <c r="C434" s="130"/>
      <c r="D434" s="128"/>
      <c r="E434" s="129"/>
      <c r="F434" s="129"/>
      <c r="G434" s="129"/>
      <c r="H434" s="131"/>
      <c r="I434" s="131"/>
      <c r="J434" s="131">
        <f t="shared" si="4646"/>
        <v>0</v>
      </c>
      <c r="K434" s="131">
        <f>K432+1</f>
        <v>3</v>
      </c>
      <c r="L434" s="156" t="s">
        <v>2850</v>
      </c>
      <c r="M434" s="157">
        <f>IFERROR(VLOOKUP($L434,'2-2 引出数据_合同数据仓库'!$B$5:$BP$200,3,FALSE),0)</f>
        <v>0</v>
      </c>
      <c r="N434" s="131"/>
      <c r="O434" s="157">
        <f>IFERROR(VLOOKUP((LEFT(VLOOKUP($L434,'2-2 引出数据_合同数据仓库'!$B$5:$BP$200,64,FALSE),15)&amp;(RIGHT(VLOOKUP($L434,'2-2 引出数据_合同数据仓库'!$B$5:$BP$200,64,FALSE),4)+1)),'2-2 引出数据_合同数据仓库'!$B$5:$BP$200,3,FALSE),0)</f>
        <v>0</v>
      </c>
      <c r="P434" s="131"/>
      <c r="Q434" s="131">
        <f>IFERROR(VLOOKUP($L434,'2-2 引出数据_合同数据仓库'!$B$5:$BP$200,28,FALSE),0)</f>
        <v>0</v>
      </c>
      <c r="R434" s="131">
        <f>IFERROR(VLOOKUP($L434,'2-2 引出数据_合同数据仓库'!$B$5:$BP$200,29,FALSE),0)</f>
        <v>0</v>
      </c>
      <c r="S434" s="131">
        <f>IFERROR(VLOOKUP($L434,'2-2 引出数据_合同数据仓库'!$B$5:$BP$200,4,FALSE),0)</f>
        <v>0</v>
      </c>
      <c r="T434" s="131"/>
      <c r="U434" s="131">
        <f>IFERROR(VLOOKUP($L434,'2-2 引出数据_合同数据仓库'!$B$5:$BP$200,15,FALSE),0)</f>
        <v>0</v>
      </c>
      <c r="V434" s="131">
        <f>U434/(S434-R434+1)*365</f>
        <v>0</v>
      </c>
      <c r="W434" s="131"/>
      <c r="X434" s="163">
        <v>45658</v>
      </c>
      <c r="Y434" s="163">
        <f>X434+30</f>
        <v>45688</v>
      </c>
      <c r="Z434" s="167">
        <f>IFERROR(IF(($R434-Y434)&gt;=0,0,IF(($S434-X434)&lt;0,0,IF(AND(($S434-Y434)&gt;0,(X434-$R434)&gt;0),$V434/365*(Y434-X434+1),IF(AND(($S434-Y434)&lt;=0,(X434-$R434)&gt;0),$V434/365*($S434-X434+1),$V434/365*(Y434-$R434+1))))),0)</f>
        <v>0</v>
      </c>
      <c r="AA434" s="163">
        <f>Y434+1</f>
        <v>45689</v>
      </c>
      <c r="AB434" s="163">
        <f>AA434+27</f>
        <v>45716</v>
      </c>
      <c r="AC434" s="167">
        <f>IFERROR(IF(($R434-AB434)&gt;=0,0,IF(($S434-AA434)&lt;0,0,IF(AND(($S434-AB434)&gt;0,(AA434-$R434)&gt;0),$V434/365*(AB434-AA434+1),IF(AND(($S434-AB434)&lt;=0,(AA434-$R434)&gt;0),$V434/365*($S434-AA434+1),$V434/365*(AB434-$R434+1))))),0)</f>
        <v>0</v>
      </c>
      <c r="AD434" s="163">
        <f>AB434+1</f>
        <v>45717</v>
      </c>
      <c r="AE434" s="163">
        <f>AD434+30</f>
        <v>45747</v>
      </c>
      <c r="AF434" s="167">
        <f>IFERROR(IF(($R434-AE434)&gt;=0,0,IF(($S434-AD434)&lt;0,0,IF(AND(($S434-AE434)&gt;0,(AD434-$R434)&gt;0),$V434/365*(AE434-AD434+1),IF(AND(($S434-AE434)&lt;=0,(AD434-$R434)&gt;0),$V434/365*($S434-AD434+1),$V434/365*(AE434-$R434+1))))),0)</f>
        <v>0</v>
      </c>
      <c r="AG434" s="163">
        <f>AE434+1</f>
        <v>45748</v>
      </c>
      <c r="AH434" s="163">
        <f>AG434+29</f>
        <v>45777</v>
      </c>
      <c r="AI434" s="167">
        <f>IFERROR(IF(($R434-AH434)&gt;=0,0,IF(($S434-AG434)&lt;0,0,IF(AND(($S434-AH434)&gt;0,(AG434-$R434)&gt;0),$V434/365*(AH434-AG434+1),IF(AND(($S434-AH434)&lt;=0,(AG434-$R434)&gt;0),$V434/365*($S434-AG434+1),$V434/365*(AH434-$R434+1))))),0)</f>
        <v>0</v>
      </c>
      <c r="AJ434" s="163">
        <f>AH434+1</f>
        <v>45778</v>
      </c>
      <c r="AK434" s="163">
        <f>AJ434+30</f>
        <v>45808</v>
      </c>
      <c r="AL434" s="167">
        <f>IFERROR(IF(($R434-AK434)&gt;=0,0,IF(($S434-AJ434)&lt;0,0,IF(AND(($S434-AK434)&gt;0,(AJ434-$R434)&gt;0),$V434/365*(AK434-AJ434+1),IF(AND(($S434-AK434)&lt;=0,(AJ434-$R434)&gt;0),$V434/365*($S434-AJ434+1),$V434/365*(AK434-$R434+1))))),0)</f>
        <v>0</v>
      </c>
      <c r="AM434" s="163">
        <f>AK434+1</f>
        <v>45809</v>
      </c>
      <c r="AN434" s="163">
        <f>AM434+29</f>
        <v>45838</v>
      </c>
      <c r="AO434" s="167">
        <f>IFERROR(IF(($R434-AN434)&gt;=0,0,IF(($S434-AM434)&lt;0,0,IF(AND(($S434-AN434)&gt;0,(AM434-$R434)&gt;0),$V434/365*(AN434-AM434+1),IF(AND(($S434-AN434)&lt;=0,(AM434-$R434)&gt;0),$V434/365*($S434-AM434+1),$V434/365*(AN434-$R434+1))))),0)</f>
        <v>0</v>
      </c>
      <c r="AP434" s="163">
        <f>AN434+1</f>
        <v>45839</v>
      </c>
      <c r="AQ434" s="163">
        <f>AP434+30</f>
        <v>45869</v>
      </c>
      <c r="AR434" s="167">
        <f>IFERROR(IF(($R434-AQ434)&gt;=0,0,IF(($S434-AP434)&lt;0,0,IF(AND(($S434-AQ434)&gt;0,(AP434-$R434)&gt;0),$V434/365*(AQ434-AP434+1),IF(AND(($S434-AQ434)&lt;=0,(AP434-$R434)&gt;0),$V434/365*($S434-AP434+1),$V434/365*(AQ434-$R434+1))))),0)</f>
        <v>0</v>
      </c>
      <c r="AS434" s="163">
        <f>AQ434+1</f>
        <v>45870</v>
      </c>
      <c r="AT434" s="163">
        <f>AS434+30</f>
        <v>45900</v>
      </c>
      <c r="AU434" s="167">
        <f>IFERROR(IF(($R434-AT434)&gt;=0,0,IF(($S434-AS434)&lt;0,0,IF(AND(($S434-AT434)&gt;0,(AS434-$R434)&gt;0),$V434/365*(AT434-AS434+1),IF(AND(($S434-AT434)&lt;=0,(AS434-$R434)&gt;0),$V434/365*($S434-AS434+1),$V434/365*(AT434-$R434+1))))),0)</f>
        <v>0</v>
      </c>
      <c r="AV434" s="163">
        <f>AT434+1</f>
        <v>45901</v>
      </c>
      <c r="AW434" s="163">
        <f>AV434+29</f>
        <v>45930</v>
      </c>
      <c r="AX434" s="167">
        <f>IFERROR(IF(($R434-AW434)&gt;=0,0,IF(($S434-AV434)&lt;0,0,IF(AND(($S434-AW434)&gt;0,(AV434-$R434)&gt;0),$V434/365*(AW434-AV434+1),IF(AND(($S434-AW434)&lt;=0,(AV434-$R434)&gt;0),$V434/365*($S434-AV434+1),$V434/365*(AW434-$R434+1))))),0)</f>
        <v>0</v>
      </c>
      <c r="AY434" s="163">
        <f>AW434+1</f>
        <v>45931</v>
      </c>
      <c r="AZ434" s="163">
        <f>AY434+30</f>
        <v>45961</v>
      </c>
      <c r="BA434" s="167">
        <f>IFERROR(IF(($R434-AZ434)&gt;=0,0,IF(($S434-AY434)&lt;0,0,IF(AND(($S434-AZ434)&gt;0,(AY434-$R434)&gt;0),$V434/365*(AZ434-AY434+1),IF(AND(($S434-AZ434)&lt;=0,(AY434-$R434)&gt;0),$V434/365*($S434-AY434+1),$V434/365*(AZ434-$R434+1))))),0)</f>
        <v>0</v>
      </c>
      <c r="BB434" s="163">
        <f>AZ434+1</f>
        <v>45962</v>
      </c>
      <c r="BC434" s="163">
        <f>BB434+29</f>
        <v>45991</v>
      </c>
      <c r="BD434" s="167">
        <f>IFERROR(IF(($R434-BC434)&gt;=0,0,IF(($S434-BB434)&lt;0,0,IF(AND(($S434-BC434)&gt;0,(BB434-$R434)&gt;0),$V434/365*(BC434-BB434+1),IF(AND(($S434-BC434)&lt;=0,(BB434-$R434)&gt;0),$V434/365*($S434-BB434+1),$V434/365*(BC434-$R434+1))))),0)</f>
        <v>0</v>
      </c>
      <c r="BE434" s="163">
        <f>BC434+1</f>
        <v>45992</v>
      </c>
      <c r="BF434" s="163">
        <f>BE434+30</f>
        <v>46022</v>
      </c>
      <c r="BG434" s="167">
        <f>IFERROR(IF(($R434-BF434)&gt;=0,0,IF(($S434-BE434)&lt;0,0,IF(AND(($S434-BF434)&gt;0,(BE434-$R434)&gt;0),$V434/365*(BF434-BE434+1),IF(AND(($S434-BF434)&lt;=0,(BE434-$R434)&gt;0),$V434/365*($S434-BE434+1),$V434/365*(BF434-$R434+1))))),0)</f>
        <v>0</v>
      </c>
      <c r="BH434" s="163">
        <v>46023</v>
      </c>
      <c r="BI434" s="163">
        <f>BH434+30</f>
        <v>46053</v>
      </c>
      <c r="BJ434" s="167">
        <f>IFERROR(IF(($R434-BI434)&gt;=0,0,IF(($S434-BH434)&lt;0,0,IF(AND(($S434-BI434)&gt;0,(BH434-$R434)&gt;0),$V434/365*(BI434-BH434+1),IF(AND(($S434-BI434)&lt;=0,(BH434-$R434)&gt;0),$V434/365*($S434-BH434+1),$V434/365*(BI434-$R434+1))))),0)</f>
        <v>0</v>
      </c>
      <c r="BK434" s="163">
        <f>BI434+1</f>
        <v>46054</v>
      </c>
      <c r="BL434" s="163">
        <f>BK434+27</f>
        <v>46081</v>
      </c>
      <c r="BM434" s="167">
        <f>IFERROR(IF(($R434-BL434)&gt;=0,0,IF(($S434-BK434)&lt;0,0,IF(AND(($S434-BL434)&gt;0,(BK434-$R434)&gt;0),$V434/365*(BL434-BK434+1),IF(AND(($S434-BL434)&lt;=0,(BK434-$R434)&gt;0),$V434/365*($S434-BK434+1),$V434/365*(BL434-$R434+1))))),0)</f>
        <v>0</v>
      </c>
      <c r="BN434" s="163">
        <f>BL434+1</f>
        <v>46082</v>
      </c>
      <c r="BO434" s="163">
        <f>BN434+30</f>
        <v>46112</v>
      </c>
      <c r="BP434" s="167">
        <f>IFERROR(IF(($R434-BO434)&gt;=0,0,IF(($S434-BN434)&lt;0,0,IF(AND(($S434-BO434)&gt;0,(BN434-$R434)&gt;0),$V434/365*(BO434-BN434+1),IF(AND(($S434-BO434)&lt;=0,(BN434-$R434)&gt;0),$V434/365*($S434-BN434+1),$V434/365*(BO434-$R434+1))))),0)</f>
        <v>0</v>
      </c>
      <c r="BQ434" s="163">
        <f>BO434+1</f>
        <v>46113</v>
      </c>
      <c r="BR434" s="163">
        <f>BQ434+29</f>
        <v>46142</v>
      </c>
      <c r="BS434" s="167">
        <f>IFERROR(IF(($R434-BR434)&gt;=0,0,IF(($S434-BQ434)&lt;0,0,IF(AND(($S434-BR434)&gt;0,(BQ434-$R434)&gt;0),$V434/365*(BR434-BQ434+1),IF(AND(($S434-BR434)&lt;=0,(BQ434-$R434)&gt;0),$V434/365*($S434-BQ434+1),$V434/365*(BR434-$R434+1))))),0)</f>
        <v>0</v>
      </c>
      <c r="BT434" s="163">
        <f>BR434+1</f>
        <v>46143</v>
      </c>
      <c r="BU434" s="163">
        <f>BT434+30</f>
        <v>46173</v>
      </c>
      <c r="BV434" s="167">
        <f>IFERROR(IF(($R434-BU434)&gt;=0,0,IF(($S434-BT434)&lt;0,0,IF(AND(($S434-BU434)&gt;0,(BT434-$R434)&gt;0),$V434/365*(BU434-BT434+1),IF(AND(($S434-BU434)&lt;=0,(BT434-$R434)&gt;0),$V434/365*($S434-BT434+1),$V434/365*(BU434-$R434+1))))),0)</f>
        <v>0</v>
      </c>
      <c r="BW434" s="163">
        <f>BU434+1</f>
        <v>46174</v>
      </c>
      <c r="BX434" s="163">
        <f>BW434+29</f>
        <v>46203</v>
      </c>
      <c r="BY434" s="167">
        <f>IFERROR(IF(($R434-BX434)&gt;=0,0,IF(($S434-BW434)&lt;0,0,IF(AND(($S434-BX434)&gt;0,(BW434-$R434)&gt;0),$V434/365*(BX434-BW434+1),IF(AND(($S434-BX434)&lt;=0,(BW434-$R434)&gt;0),$V434/365*($S434-BW434+1),$V434/365*(BX434-$R434+1))))),0)</f>
        <v>0</v>
      </c>
      <c r="BZ434" s="163">
        <f>BX434+1</f>
        <v>46204</v>
      </c>
      <c r="CA434" s="163">
        <f>BZ434+30</f>
        <v>46234</v>
      </c>
      <c r="CB434" s="167">
        <f>IFERROR(IF(($R434-CA434)&gt;=0,0,IF(($S434-BZ434)&lt;0,0,IF(AND(($S434-CA434)&gt;0,(BZ434-$R434)&gt;0),$V434/365*(CA434-BZ434+1),IF(AND(($S434-CA434)&lt;=0,(BZ434-$R434)&gt;0),$V434/365*($S434-BZ434+1),$V434/365*(CA434-$R434+1))))),0)</f>
        <v>0</v>
      </c>
      <c r="CC434" s="163">
        <f>CA434+1</f>
        <v>46235</v>
      </c>
      <c r="CD434" s="163">
        <f>CC434+30</f>
        <v>46265</v>
      </c>
      <c r="CE434" s="167">
        <f>IFERROR(IF(($R434-CD434)&gt;=0,0,IF(($S434-CC434)&lt;0,0,IF(AND(($S434-CD434)&gt;0,(CC434-$R434)&gt;0),$V434/365*(CD434-CC434+1),IF(AND(($S434-CD434)&lt;=0,(CC434-$R434)&gt;0),$V434/365*($S434-CC434+1),$V434/365*(CD434-$R434+1))))),0)</f>
        <v>0</v>
      </c>
      <c r="CF434" s="163">
        <f>CD434+1</f>
        <v>46266</v>
      </c>
      <c r="CG434" s="163">
        <f>CF434+29</f>
        <v>46295</v>
      </c>
      <c r="CH434" s="167">
        <f>IFERROR(IF(($R434-CG434)&gt;=0,0,IF(($S434-CF434)&lt;0,0,IF(AND(($S434-CG434)&gt;0,(CF434-$R434)&gt;0),$V434/365*(CG434-CF434+1),IF(AND(($S434-CG434)&lt;=0,(CF434-$R434)&gt;0),$V434/365*($S434-CF434+1),$V434/365*(CG434-$R434+1))))),0)</f>
        <v>0</v>
      </c>
      <c r="CI434" s="163">
        <f>CG434+1</f>
        <v>46296</v>
      </c>
      <c r="CJ434" s="163">
        <f>CI434+30</f>
        <v>46326</v>
      </c>
      <c r="CK434" s="167">
        <f>IFERROR(IF(($R434-CJ434)&gt;=0,0,IF(($S434-CI434)&lt;0,0,IF(AND(($S434-CJ434)&gt;0,(CI434-$R434)&gt;0),$V434/365*(CJ434-CI434+1),IF(AND(($S434-CJ434)&lt;=0,(CI434-$R434)&gt;0),$V434/365*($S434-CI434+1),$V434/365*(CJ434-$R434+1))))),0)</f>
        <v>0</v>
      </c>
      <c r="CL434" s="163">
        <f>CJ434+1</f>
        <v>46327</v>
      </c>
      <c r="CM434" s="163">
        <f>CL434+29</f>
        <v>46356</v>
      </c>
      <c r="CN434" s="167">
        <f>IFERROR(IF(($R434-CM434)&gt;=0,0,IF(($S434-CL434)&lt;0,0,IF(AND(($S434-CM434)&gt;0,(CL434-$R434)&gt;0),$V434/365*(CM434-CL434+1),IF(AND(($S434-CM434)&lt;=0,(CL434-$R434)&gt;0),$V434/365*($S434-CL434+1),$V434/365*(CM434-$R434+1))))),0)</f>
        <v>0</v>
      </c>
      <c r="CO434" s="163">
        <f>CM434+1</f>
        <v>46357</v>
      </c>
      <c r="CP434" s="163">
        <f>CO434+30</f>
        <v>46387</v>
      </c>
      <c r="CQ434" s="167">
        <f>IFERROR(IF(($R434-CP434)&gt;=0,0,IF(($S434-CO434)&lt;0,0,IF(AND(($S434-CP434)&gt;0,(CO434-$R434)&gt;0),$V434/365*(CP434-CO434+1),IF(AND(($S434-CP434)&lt;=0,(CO434-$R434)&gt;0),$V434/365*($S434-CO434+1),$V434/365*(CP434-$R434+1))))),0)</f>
        <v>0</v>
      </c>
    </row>
    <row r="435" s="89" customFormat="1" ht="24" hidden="1" customHeight="1" outlineLevel="4" spans="1:95">
      <c r="A435" s="132" t="s">
        <v>2813</v>
      </c>
      <c r="B435" s="133"/>
      <c r="C435" s="133"/>
      <c r="D435" s="133"/>
      <c r="E435" s="133"/>
      <c r="F435" s="133"/>
      <c r="G435" s="134"/>
      <c r="H435" s="135"/>
      <c r="I435" s="135"/>
      <c r="J435" s="135"/>
      <c r="K435" s="135"/>
      <c r="L435" s="158"/>
      <c r="M435" s="158"/>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c r="BM435" s="135"/>
      <c r="BN435" s="135"/>
      <c r="BO435" s="135"/>
      <c r="BP435" s="135"/>
      <c r="BQ435" s="135"/>
      <c r="BR435" s="135"/>
      <c r="BS435" s="135"/>
      <c r="BT435" s="135"/>
      <c r="BU435" s="135"/>
      <c r="BV435" s="135"/>
      <c r="BW435" s="135"/>
      <c r="BX435" s="135"/>
      <c r="BY435" s="135"/>
      <c r="BZ435" s="135"/>
      <c r="CA435" s="135"/>
      <c r="CB435" s="135"/>
      <c r="CC435" s="135"/>
      <c r="CD435" s="135"/>
      <c r="CE435" s="135"/>
      <c r="CF435" s="135"/>
      <c r="CG435" s="135"/>
      <c r="CH435" s="135"/>
      <c r="CI435" s="135"/>
      <c r="CJ435" s="135"/>
      <c r="CK435" s="135"/>
      <c r="CL435" s="135"/>
      <c r="CM435" s="135"/>
      <c r="CN435" s="135"/>
      <c r="CO435" s="135"/>
      <c r="CP435" s="135"/>
      <c r="CQ435" s="135"/>
    </row>
    <row r="436" ht="24" customHeight="1" outlineLevel="2" spans="1:95">
      <c r="A436" s="43"/>
      <c r="B436" s="121" t="s">
        <v>792</v>
      </c>
      <c r="C436" s="122" t="s">
        <v>1433</v>
      </c>
      <c r="D436" s="43" t="s">
        <v>1434</v>
      </c>
      <c r="E436" s="121"/>
      <c r="F436" s="121"/>
      <c r="G436" s="121" t="s">
        <v>936</v>
      </c>
      <c r="H436" s="123">
        <f>X436+AA436+AD436+AG436+AJ436+AM436+AP436+AS436+AV436+AY436+BB436+BE436</f>
        <v>0</v>
      </c>
      <c r="I436" s="123">
        <f>Y436+AB436+AE436+AH436+AK436+AN436+AQ436+AT436+AW436+AZ436+BC436+BF436</f>
        <v>-35229.0277388188</v>
      </c>
      <c r="J436" s="123">
        <f>Z436+AC436+AF436+AI436+AL436+AO436+AR436+AU436+AX436+BA436+BD436+BG436</f>
        <v>35229.0277388188</v>
      </c>
      <c r="K436" s="123"/>
      <c r="L436" s="154"/>
      <c r="M436" s="154"/>
      <c r="N436" s="123"/>
      <c r="O436" s="123"/>
      <c r="P436" s="123"/>
      <c r="Q436" s="123"/>
      <c r="R436" s="123"/>
      <c r="S436" s="123"/>
      <c r="T436" s="123"/>
      <c r="U436" s="123"/>
      <c r="V436" s="123"/>
      <c r="W436" s="123"/>
      <c r="X436" s="123">
        <f>VLOOKUP($C436,'1 预算编制表单'!$C:$BJ,27,FALSE)</f>
        <v>0</v>
      </c>
      <c r="Y436" s="123">
        <f>X436-Z436</f>
        <v>-6813.11111111111</v>
      </c>
      <c r="Z436" s="123">
        <f>SUM(Z437:Z441)</f>
        <v>6813.11111111111</v>
      </c>
      <c r="AA436" s="123">
        <f>VLOOKUP($C436,'1 预算编制表单'!$C:$BJ,30,FALSE)</f>
        <v>0</v>
      </c>
      <c r="AB436" s="123">
        <f>AA436-AC436</f>
        <v>-6153.77777777778</v>
      </c>
      <c r="AC436" s="123">
        <f>SUM(AC437:AC441)</f>
        <v>6153.77777777778</v>
      </c>
      <c r="AD436" s="123">
        <f>VLOOKUP($C436,'1 预算编制表单'!$C:$BJ,33,FALSE)</f>
        <v>0</v>
      </c>
      <c r="AE436" s="123">
        <f>AD436-AF436</f>
        <v>-1978</v>
      </c>
      <c r="AF436" s="123">
        <f>SUM(AF437:AF441)</f>
        <v>1978</v>
      </c>
      <c r="AG436" s="123">
        <f>VLOOKUP($C436,'1 预算编制表单'!$C:$BJ,36,FALSE)</f>
        <v>0</v>
      </c>
      <c r="AH436" s="123">
        <f>AG436-AI436</f>
        <v>0</v>
      </c>
      <c r="AI436" s="123">
        <f>SUM(AI437:AI441)</f>
        <v>0</v>
      </c>
      <c r="AJ436" s="123">
        <f>VLOOKUP($C436,'1 预算编制表单'!$C:$BJ,39,FALSE)</f>
        <v>0</v>
      </c>
      <c r="AK436" s="123">
        <f>AJ436-AL436</f>
        <v>0</v>
      </c>
      <c r="AL436" s="123">
        <f>SUM(AL437:AL441)</f>
        <v>0</v>
      </c>
      <c r="AM436" s="123">
        <f>VLOOKUP($C436,'1 预算编制表单'!$C:$BJ,42,FALSE)</f>
        <v>0</v>
      </c>
      <c r="AN436" s="123">
        <f>AM436-AO436</f>
        <v>-2426.33239831697</v>
      </c>
      <c r="AO436" s="123">
        <f>SUM(AO437:AO441)</f>
        <v>2426.33239831697</v>
      </c>
      <c r="AP436" s="123">
        <f>VLOOKUP($C436,'1 预算编制表单'!$C:$BJ,45,FALSE)</f>
        <v>0</v>
      </c>
      <c r="AQ436" s="123">
        <f>AP436-AR436</f>
        <v>-3008.65217391304</v>
      </c>
      <c r="AR436" s="123">
        <f>SUM(AR437:AR441)</f>
        <v>3008.65217391304</v>
      </c>
      <c r="AS436" s="123">
        <f>VLOOKUP($C436,'1 预算编制表单'!$C:$BJ,48,FALSE)</f>
        <v>0</v>
      </c>
      <c r="AT436" s="123">
        <f>AS436-AU436</f>
        <v>-3008.65217391304</v>
      </c>
      <c r="AU436" s="123">
        <f>SUM(AU437:AU441)</f>
        <v>3008.65217391304</v>
      </c>
      <c r="AV436" s="123">
        <f>VLOOKUP($C436,'1 预算编制表单'!$C:$BJ,51,FALSE)</f>
        <v>0</v>
      </c>
      <c r="AW436" s="123">
        <f>AV436-AX436</f>
        <v>-2911.59887798036</v>
      </c>
      <c r="AX436" s="123">
        <f>SUM(AX437:AX441)</f>
        <v>2911.59887798036</v>
      </c>
      <c r="AY436" s="123">
        <f>VLOOKUP($C436,'1 预算编制表单'!$C:$BJ,54,FALSE)</f>
        <v>0</v>
      </c>
      <c r="AZ436" s="123">
        <f>AY436-BA436</f>
        <v>-3008.65217391304</v>
      </c>
      <c r="BA436" s="123">
        <f>SUM(BA437:BA441)</f>
        <v>3008.65217391304</v>
      </c>
      <c r="BB436" s="123">
        <f>VLOOKUP($C436,'1 预算编制表单'!$C:$BJ,57,FALSE)</f>
        <v>0</v>
      </c>
      <c r="BC436" s="123">
        <f>BB436-BD436</f>
        <v>-2911.59887798036</v>
      </c>
      <c r="BD436" s="123">
        <f>SUM(BD437:BD441)</f>
        <v>2911.59887798036</v>
      </c>
      <c r="BE436" s="123">
        <f>VLOOKUP($C436,'1 预算编制表单'!$C:$BJ,60,FALSE)</f>
        <v>0</v>
      </c>
      <c r="BF436" s="123">
        <f>BE436-BG436</f>
        <v>-3008.65217391304</v>
      </c>
      <c r="BG436" s="123">
        <f>SUM(BG437:BG441)</f>
        <v>3008.65217391304</v>
      </c>
      <c r="BH436" s="123">
        <f>VLOOKUP($C436,'1 预算编制表单'!$C:$BJ,27,FALSE)</f>
        <v>0</v>
      </c>
      <c r="BI436" s="123">
        <f>BH436-BJ436</f>
        <v>-3008.65217391304</v>
      </c>
      <c r="BJ436" s="123">
        <f>SUM(BJ437:BJ441)</f>
        <v>3008.65217391304</v>
      </c>
      <c r="BK436" s="123">
        <f>VLOOKUP($C436,'1 预算编制表单'!$C:$BJ,30,FALSE)</f>
        <v>0</v>
      </c>
      <c r="BL436" s="123">
        <f>BK436-BM436</f>
        <v>-2717.49228611501</v>
      </c>
      <c r="BM436" s="123">
        <f>SUM(BM437:BM441)</f>
        <v>2717.49228611501</v>
      </c>
      <c r="BN436" s="123">
        <f>VLOOKUP($C436,'1 预算编制表单'!$C:$BJ,33,FALSE)</f>
        <v>0</v>
      </c>
      <c r="BO436" s="123">
        <f>BN436-BP436</f>
        <v>-3008.65217391304</v>
      </c>
      <c r="BP436" s="123">
        <f>SUM(BP437:BP441)</f>
        <v>3008.65217391304</v>
      </c>
      <c r="BQ436" s="123">
        <f>VLOOKUP($C436,'1 预算编制表单'!$C:$BJ,36,FALSE)</f>
        <v>0</v>
      </c>
      <c r="BR436" s="123">
        <f>BQ436-BS436</f>
        <v>-2911.59887798036</v>
      </c>
      <c r="BS436" s="123">
        <f>SUM(BS437:BS441)</f>
        <v>2911.59887798036</v>
      </c>
      <c r="BT436" s="123">
        <f>VLOOKUP($C436,'1 预算编制表单'!$C:$BJ,39,FALSE)</f>
        <v>0</v>
      </c>
      <c r="BU436" s="123">
        <f>BT436-BV436</f>
        <v>-3008.65217391304</v>
      </c>
      <c r="BV436" s="123">
        <f>SUM(BV437:BV441)</f>
        <v>3008.65217391304</v>
      </c>
      <c r="BW436" s="123">
        <f>VLOOKUP($C436,'1 预算编制表单'!$C:$BJ,42,FALSE)</f>
        <v>0</v>
      </c>
      <c r="BX436" s="123">
        <f>BW436-BY436</f>
        <v>-2911.59887798036</v>
      </c>
      <c r="BY436" s="123">
        <f>SUM(BY437:BY441)</f>
        <v>2911.59887798036</v>
      </c>
      <c r="BZ436" s="123">
        <f>VLOOKUP($C436,'1 预算编制表单'!$C:$BJ,45,FALSE)</f>
        <v>0</v>
      </c>
      <c r="CA436" s="123">
        <f>BZ436-CB436</f>
        <v>-3008.65217391304</v>
      </c>
      <c r="CB436" s="123">
        <f>SUM(CB437:CB441)</f>
        <v>3008.65217391304</v>
      </c>
      <c r="CC436" s="123">
        <f>VLOOKUP($C436,'1 预算编制表单'!$C:$BJ,48,FALSE)</f>
        <v>0</v>
      </c>
      <c r="CD436" s="123">
        <f>CC436-CE436</f>
        <v>-3008.65217391304</v>
      </c>
      <c r="CE436" s="123">
        <f>SUM(CE437:CE441)</f>
        <v>3008.65217391304</v>
      </c>
      <c r="CF436" s="123">
        <f>VLOOKUP($C436,'1 预算编制表单'!$C:$BJ,51,FALSE)</f>
        <v>0</v>
      </c>
      <c r="CG436" s="123">
        <f>CF436-CH436</f>
        <v>-2911.59887798036</v>
      </c>
      <c r="CH436" s="123">
        <f>SUM(CH437:CH441)</f>
        <v>2911.59887798036</v>
      </c>
      <c r="CI436" s="123">
        <f>VLOOKUP($C436,'1 预算编制表单'!$C:$BJ,54,FALSE)</f>
        <v>0</v>
      </c>
      <c r="CJ436" s="123">
        <f>CI436-CK436</f>
        <v>-3008.65217391304</v>
      </c>
      <c r="CK436" s="123">
        <f>SUM(CK437:CK441)</f>
        <v>3008.65217391304</v>
      </c>
      <c r="CL436" s="123">
        <f>VLOOKUP($C436,'1 预算编制表单'!$C:$BJ,57,FALSE)</f>
        <v>0</v>
      </c>
      <c r="CM436" s="123">
        <f>CL436-CN436</f>
        <v>-2911.59887798036</v>
      </c>
      <c r="CN436" s="123">
        <f>SUM(CN437:CN441)</f>
        <v>2911.59887798036</v>
      </c>
      <c r="CO436" s="123">
        <f>VLOOKUP($C436,'1 预算编制表单'!$C:$BJ,60,FALSE)</f>
        <v>0</v>
      </c>
      <c r="CP436" s="123">
        <f>CO436-CQ436</f>
        <v>-3008.65217391304</v>
      </c>
      <c r="CQ436" s="123">
        <f>SUM(CQ437:CQ441)</f>
        <v>3008.65217391304</v>
      </c>
    </row>
    <row r="437" s="89" customFormat="1" ht="24" customHeight="1" outlineLevel="3" spans="1:95">
      <c r="A437" s="128"/>
      <c r="B437" s="129"/>
      <c r="C437" s="130"/>
      <c r="D437" s="128"/>
      <c r="E437" s="129"/>
      <c r="F437" s="129"/>
      <c r="G437" s="129"/>
      <c r="H437" s="131"/>
      <c r="I437" s="131"/>
      <c r="J437" s="131">
        <f>Z437+AC437+AF437+AI437+AL437+AO437+AR437+AU437+AX437+BA437+BD437+BG437</f>
        <v>20284.1388499299</v>
      </c>
      <c r="K437" s="131">
        <v>1</v>
      </c>
      <c r="L437" s="156" t="s">
        <v>2851</v>
      </c>
      <c r="M437" s="157" t="str">
        <f>IFERROR(VLOOKUP($L437,'2-2 引出数据_合同数据仓库'!$B$5:$BP$200,3,FALSE),0)</f>
        <v>深圳非住二片区中海油大厦B座四楼厨房餐厅灭火装置安装合同</v>
      </c>
      <c r="N437" s="131"/>
      <c r="O437" s="157">
        <f>IFERROR(VLOOKUP((LEFT(VLOOKUP($L437,'2-2 引出数据_合同数据仓库'!$B$5:$BP$200,64,FALSE),15)&amp;(RIGHT(VLOOKUP($L437,'2-2 引出数据_合同数据仓库'!$B$5:$BP$200,64,FALSE),4)+1)),'2-2 引出数据_合同数据仓库'!$B$5:$BP$200,3,FALSE),0)</f>
        <v>0</v>
      </c>
      <c r="P437" s="131"/>
      <c r="Q437" s="131" t="str">
        <f>IFERROR(VLOOKUP($L437,'2-2 引出数据_合同数据仓库'!$B$5:$BP$200,28,FALSE),0)</f>
        <v>2025-06-06</v>
      </c>
      <c r="R437" s="131" t="str">
        <f>IFERROR(VLOOKUP($L437,'2-2 引出数据_合同数据仓库'!$B$5:$BP$200,29,FALSE),0)</f>
        <v>2025-06-06</v>
      </c>
      <c r="S437" s="131" t="str">
        <f>IFERROR(VLOOKUP($L437,'2-2 引出数据_合同数据仓库'!$B$5:$BP$200,4,FALSE),0)</f>
        <v>2027-05-19</v>
      </c>
      <c r="T437" s="131"/>
      <c r="U437" s="131">
        <f>IFERROR(VLOOKUP($L437,'2-2 引出数据_合同数据仓库'!$B$5:$BP$200,15,FALSE),0)</f>
        <v>69199</v>
      </c>
      <c r="V437" s="131">
        <f t="shared" ref="V437:V440" si="5079">U437/(S437-R437+1)*365</f>
        <v>35424.4530154278</v>
      </c>
      <c r="W437" s="131"/>
      <c r="X437" s="163">
        <v>45658</v>
      </c>
      <c r="Y437" s="163">
        <f t="shared" ref="Y437:Y440" si="5080">X437+30</f>
        <v>45688</v>
      </c>
      <c r="Z437" s="167">
        <f t="shared" ref="Z437:Z440" si="5081">IFERROR(IF(($R437-Y437)&gt;=0,0,IF(($S437-X437)&lt;0,0,IF(AND(($S437-Y437)&gt;0,(X437-$R437)&gt;0),$V437/365*(Y437-X437+1),IF(AND(($S437-Y437)&lt;=0,(X437-$R437)&gt;0),$V437/365*($S437-X437+1),$V437/365*(Y437-$R437+1))))),0)</f>
        <v>0</v>
      </c>
      <c r="AA437" s="163">
        <f t="shared" ref="AA437:AA440" si="5082">Y437+1</f>
        <v>45689</v>
      </c>
      <c r="AB437" s="163">
        <f t="shared" ref="AB437:AB440" si="5083">AA437+27</f>
        <v>45716</v>
      </c>
      <c r="AC437" s="167">
        <f t="shared" ref="AC437:AC440" si="5084">IFERROR(IF(($R437-AB437)&gt;=0,0,IF(($S437-AA437)&lt;0,0,IF(AND(($S437-AB437)&gt;0,(AA437-$R437)&gt;0),$V437/365*(AB437-AA437+1),IF(AND(($S437-AB437)&lt;=0,(AA437-$R437)&gt;0),$V437/365*($S437-AA437+1),$V437/365*(AB437-$R437+1))))),0)</f>
        <v>0</v>
      </c>
      <c r="AD437" s="163">
        <f t="shared" ref="AD437:AD440" si="5085">AB437+1</f>
        <v>45717</v>
      </c>
      <c r="AE437" s="163">
        <f t="shared" ref="AE437:AE440" si="5086">AD437+30</f>
        <v>45747</v>
      </c>
      <c r="AF437" s="167">
        <f t="shared" ref="AF437:AF440" si="5087">IFERROR(IF(($R437-AE437)&gt;=0,0,IF(($S437-AD437)&lt;0,0,IF(AND(($S437-AE437)&gt;0,(AD437-$R437)&gt;0),$V437/365*(AE437-AD437+1),IF(AND(($S437-AE437)&lt;=0,(AD437-$R437)&gt;0),$V437/365*($S437-AD437+1),$V437/365*(AE437-$R437+1))))),0)</f>
        <v>0</v>
      </c>
      <c r="AG437" s="163">
        <f t="shared" ref="AG437:AG440" si="5088">AE437+1</f>
        <v>45748</v>
      </c>
      <c r="AH437" s="163">
        <f t="shared" ref="AH437:AH440" si="5089">AG437+29</f>
        <v>45777</v>
      </c>
      <c r="AI437" s="167">
        <f t="shared" ref="AI437:AI440" si="5090">IFERROR(IF(($R437-AH437)&gt;=0,0,IF(($S437-AG437)&lt;0,0,IF(AND(($S437-AH437)&gt;0,(AG437-$R437)&gt;0),$V437/365*(AH437-AG437+1),IF(AND(($S437-AH437)&lt;=0,(AG437-$R437)&gt;0),$V437/365*($S437-AG437+1),$V437/365*(AH437-$R437+1))))),0)</f>
        <v>0</v>
      </c>
      <c r="AJ437" s="163">
        <f t="shared" ref="AJ437:AJ440" si="5091">AH437+1</f>
        <v>45778</v>
      </c>
      <c r="AK437" s="163">
        <f t="shared" ref="AK437:AK440" si="5092">AJ437+30</f>
        <v>45808</v>
      </c>
      <c r="AL437" s="167">
        <f t="shared" ref="AL437:AL440" si="5093">IFERROR(IF(($R437-AK437)&gt;=0,0,IF(($S437-AJ437)&lt;0,0,IF(AND(($S437-AK437)&gt;0,(AJ437-$R437)&gt;0),$V437/365*(AK437-AJ437+1),IF(AND(($S437-AK437)&lt;=0,(AJ437-$R437)&gt;0),$V437/365*($S437-AJ437+1),$V437/365*(AK437-$R437+1))))),0)</f>
        <v>0</v>
      </c>
      <c r="AM437" s="163">
        <f t="shared" ref="AM437:AM440" si="5094">AK437+1</f>
        <v>45809</v>
      </c>
      <c r="AN437" s="163">
        <f t="shared" ref="AN437:AN440" si="5095">AM437+29</f>
        <v>45838</v>
      </c>
      <c r="AO437" s="167">
        <f t="shared" ref="AO437:AO440" si="5096">IFERROR(IF(($R437-AN437)&gt;=0,0,IF(($S437-AM437)&lt;0,0,IF(AND(($S437-AN437)&gt;0,(AM437-$R437)&gt;0),$V437/365*(AN437-AM437+1),IF(AND(($S437-AN437)&lt;=0,(AM437-$R437)&gt;0),$V437/365*($S437-AM437+1),$V437/365*(AN437-$R437+1))))),0)</f>
        <v>2426.33239831697</v>
      </c>
      <c r="AP437" s="163">
        <f t="shared" ref="AP437:AP440" si="5097">AN437+1</f>
        <v>45839</v>
      </c>
      <c r="AQ437" s="163">
        <f t="shared" ref="AQ437:AQ440" si="5098">AP437+30</f>
        <v>45869</v>
      </c>
      <c r="AR437" s="167">
        <f t="shared" ref="AR437:AR440" si="5099">IFERROR(IF(($R437-AQ437)&gt;=0,0,IF(($S437-AP437)&lt;0,0,IF(AND(($S437-AQ437)&gt;0,(AP437-$R437)&gt;0),$V437/365*(AQ437-AP437+1),IF(AND(($S437-AQ437)&lt;=0,(AP437-$R437)&gt;0),$V437/365*($S437-AP437+1),$V437/365*(AQ437-$R437+1))))),0)</f>
        <v>3008.65217391304</v>
      </c>
      <c r="AS437" s="163">
        <f t="shared" ref="AS437:AS440" si="5100">AQ437+1</f>
        <v>45870</v>
      </c>
      <c r="AT437" s="163">
        <f t="shared" ref="AT437:AT440" si="5101">AS437+30</f>
        <v>45900</v>
      </c>
      <c r="AU437" s="167">
        <f t="shared" ref="AU437:AU440" si="5102">IFERROR(IF(($R437-AT437)&gt;=0,0,IF(($S437-AS437)&lt;0,0,IF(AND(($S437-AT437)&gt;0,(AS437-$R437)&gt;0),$V437/365*(AT437-AS437+1),IF(AND(($S437-AT437)&lt;=0,(AS437-$R437)&gt;0),$V437/365*($S437-AS437+1),$V437/365*(AT437-$R437+1))))),0)</f>
        <v>3008.65217391304</v>
      </c>
      <c r="AV437" s="163">
        <f t="shared" ref="AV437:AV440" si="5103">AT437+1</f>
        <v>45901</v>
      </c>
      <c r="AW437" s="163">
        <f t="shared" ref="AW437:AW440" si="5104">AV437+29</f>
        <v>45930</v>
      </c>
      <c r="AX437" s="167">
        <f t="shared" ref="AX437:AX440" si="5105">IFERROR(IF(($R437-AW437)&gt;=0,0,IF(($S437-AV437)&lt;0,0,IF(AND(($S437-AW437)&gt;0,(AV437-$R437)&gt;0),$V437/365*(AW437-AV437+1),IF(AND(($S437-AW437)&lt;=0,(AV437-$R437)&gt;0),$V437/365*($S437-AV437+1),$V437/365*(AW437-$R437+1))))),0)</f>
        <v>2911.59887798036</v>
      </c>
      <c r="AY437" s="163">
        <f t="shared" ref="AY437:AY440" si="5106">AW437+1</f>
        <v>45931</v>
      </c>
      <c r="AZ437" s="163">
        <f t="shared" ref="AZ437:AZ440" si="5107">AY437+30</f>
        <v>45961</v>
      </c>
      <c r="BA437" s="167">
        <f t="shared" ref="BA437:BA440" si="5108">IFERROR(IF(($R437-AZ437)&gt;=0,0,IF(($S437-AY437)&lt;0,0,IF(AND(($S437-AZ437)&gt;0,(AY437-$R437)&gt;0),$V437/365*(AZ437-AY437+1),IF(AND(($S437-AZ437)&lt;=0,(AY437-$R437)&gt;0),$V437/365*($S437-AY437+1),$V437/365*(AZ437-$R437+1))))),0)</f>
        <v>3008.65217391304</v>
      </c>
      <c r="BB437" s="163">
        <f t="shared" ref="BB437:BB440" si="5109">AZ437+1</f>
        <v>45962</v>
      </c>
      <c r="BC437" s="163">
        <f t="shared" ref="BC437:BC440" si="5110">BB437+29</f>
        <v>45991</v>
      </c>
      <c r="BD437" s="167">
        <f t="shared" ref="BD437:BD440" si="5111">IFERROR(IF(($R437-BC437)&gt;=0,0,IF(($S437-BB437)&lt;0,0,IF(AND(($S437-BC437)&gt;0,(BB437-$R437)&gt;0),$V437/365*(BC437-BB437+1),IF(AND(($S437-BC437)&lt;=0,(BB437-$R437)&gt;0),$V437/365*($S437-BB437+1),$V437/365*(BC437-$R437+1))))),0)</f>
        <v>2911.59887798036</v>
      </c>
      <c r="BE437" s="163">
        <f t="shared" ref="BE437:BE440" si="5112">BC437+1</f>
        <v>45992</v>
      </c>
      <c r="BF437" s="163">
        <f t="shared" ref="BF437:BF440" si="5113">BE437+30</f>
        <v>46022</v>
      </c>
      <c r="BG437" s="167">
        <f t="shared" ref="BG437:BG440" si="5114">IFERROR(IF(($R437-BF437)&gt;=0,0,IF(($S437-BE437)&lt;0,0,IF(AND(($S437-BF437)&gt;0,(BE437-$R437)&gt;0),$V437/365*(BF437-BE437+1),IF(AND(($S437-BF437)&lt;=0,(BE437-$R437)&gt;0),$V437/365*($S437-BE437+1),$V437/365*(BF437-$R437+1))))),0)</f>
        <v>3008.65217391304</v>
      </c>
      <c r="BH437" s="163">
        <v>46023</v>
      </c>
      <c r="BI437" s="163">
        <f t="shared" ref="BI437:BI440" si="5115">BH437+30</f>
        <v>46053</v>
      </c>
      <c r="BJ437" s="167">
        <f t="shared" ref="BJ437:BJ440" si="5116">IFERROR(IF(($R437-BI437)&gt;=0,0,IF(($S437-BH437)&lt;0,0,IF(AND(($S437-BI437)&gt;0,(BH437-$R437)&gt;0),$V437/365*(BI437-BH437+1),IF(AND(($S437-BI437)&lt;=0,(BH437-$R437)&gt;0),$V437/365*($S437-BH437+1),$V437/365*(BI437-$R437+1))))),0)</f>
        <v>3008.65217391304</v>
      </c>
      <c r="BK437" s="163">
        <f t="shared" ref="BK437:BK440" si="5117">BI437+1</f>
        <v>46054</v>
      </c>
      <c r="BL437" s="163">
        <f t="shared" ref="BL437:BL440" si="5118">BK437+27</f>
        <v>46081</v>
      </c>
      <c r="BM437" s="167">
        <f t="shared" ref="BM437:BM440" si="5119">IFERROR(IF(($R437-BL437)&gt;=0,0,IF(($S437-BK437)&lt;0,0,IF(AND(($S437-BL437)&gt;0,(BK437-$R437)&gt;0),$V437/365*(BL437-BK437+1),IF(AND(($S437-BL437)&lt;=0,(BK437-$R437)&gt;0),$V437/365*($S437-BK437+1),$V437/365*(BL437-$R437+1))))),0)</f>
        <v>2717.49228611501</v>
      </c>
      <c r="BN437" s="163">
        <f t="shared" ref="BN437:BN440" si="5120">BL437+1</f>
        <v>46082</v>
      </c>
      <c r="BO437" s="163">
        <f t="shared" ref="BO437:BO440" si="5121">BN437+30</f>
        <v>46112</v>
      </c>
      <c r="BP437" s="167">
        <f t="shared" ref="BP437:BP440" si="5122">IFERROR(IF(($R437-BO437)&gt;=0,0,IF(($S437-BN437)&lt;0,0,IF(AND(($S437-BO437)&gt;0,(BN437-$R437)&gt;0),$V437/365*(BO437-BN437+1),IF(AND(($S437-BO437)&lt;=0,(BN437-$R437)&gt;0),$V437/365*($S437-BN437+1),$V437/365*(BO437-$R437+1))))),0)</f>
        <v>3008.65217391304</v>
      </c>
      <c r="BQ437" s="163">
        <f t="shared" ref="BQ437:BQ440" si="5123">BO437+1</f>
        <v>46113</v>
      </c>
      <c r="BR437" s="163">
        <f t="shared" ref="BR437:BR440" si="5124">BQ437+29</f>
        <v>46142</v>
      </c>
      <c r="BS437" s="167">
        <f t="shared" ref="BS437:BS440" si="5125">IFERROR(IF(($R437-BR437)&gt;=0,0,IF(($S437-BQ437)&lt;0,0,IF(AND(($S437-BR437)&gt;0,(BQ437-$R437)&gt;0),$V437/365*(BR437-BQ437+1),IF(AND(($S437-BR437)&lt;=0,(BQ437-$R437)&gt;0),$V437/365*($S437-BQ437+1),$V437/365*(BR437-$R437+1))))),0)</f>
        <v>2911.59887798036</v>
      </c>
      <c r="BT437" s="163">
        <f t="shared" ref="BT437:BT440" si="5126">BR437+1</f>
        <v>46143</v>
      </c>
      <c r="BU437" s="163">
        <f t="shared" ref="BU437:BU440" si="5127">BT437+30</f>
        <v>46173</v>
      </c>
      <c r="BV437" s="167">
        <f t="shared" ref="BV437:BV440" si="5128">IFERROR(IF(($R437-BU437)&gt;=0,0,IF(($S437-BT437)&lt;0,0,IF(AND(($S437-BU437)&gt;0,(BT437-$R437)&gt;0),$V437/365*(BU437-BT437+1),IF(AND(($S437-BU437)&lt;=0,(BT437-$R437)&gt;0),$V437/365*($S437-BT437+1),$V437/365*(BU437-$R437+1))))),0)</f>
        <v>3008.65217391304</v>
      </c>
      <c r="BW437" s="163">
        <f t="shared" ref="BW437:BW440" si="5129">BU437+1</f>
        <v>46174</v>
      </c>
      <c r="BX437" s="163">
        <f t="shared" ref="BX437:BX440" si="5130">BW437+29</f>
        <v>46203</v>
      </c>
      <c r="BY437" s="167">
        <f t="shared" ref="BY437:BY440" si="5131">IFERROR(IF(($R437-BX437)&gt;=0,0,IF(($S437-BW437)&lt;0,0,IF(AND(($S437-BX437)&gt;0,(BW437-$R437)&gt;0),$V437/365*(BX437-BW437+1),IF(AND(($S437-BX437)&lt;=0,(BW437-$R437)&gt;0),$V437/365*($S437-BW437+1),$V437/365*(BX437-$R437+1))))),0)</f>
        <v>2911.59887798036</v>
      </c>
      <c r="BZ437" s="163">
        <f t="shared" ref="BZ437:BZ440" si="5132">BX437+1</f>
        <v>46204</v>
      </c>
      <c r="CA437" s="163">
        <f t="shared" ref="CA437:CA440" si="5133">BZ437+30</f>
        <v>46234</v>
      </c>
      <c r="CB437" s="167">
        <f t="shared" ref="CB437:CB440" si="5134">IFERROR(IF(($R437-CA437)&gt;=0,0,IF(($S437-BZ437)&lt;0,0,IF(AND(($S437-CA437)&gt;0,(BZ437-$R437)&gt;0),$V437/365*(CA437-BZ437+1),IF(AND(($S437-CA437)&lt;=0,(BZ437-$R437)&gt;0),$V437/365*($S437-BZ437+1),$V437/365*(CA437-$R437+1))))),0)</f>
        <v>3008.65217391304</v>
      </c>
      <c r="CC437" s="163">
        <f t="shared" ref="CC437:CC440" si="5135">CA437+1</f>
        <v>46235</v>
      </c>
      <c r="CD437" s="163">
        <f t="shared" ref="CD437:CD440" si="5136">CC437+30</f>
        <v>46265</v>
      </c>
      <c r="CE437" s="167">
        <f t="shared" ref="CE437:CE440" si="5137">IFERROR(IF(($R437-CD437)&gt;=0,0,IF(($S437-CC437)&lt;0,0,IF(AND(($S437-CD437)&gt;0,(CC437-$R437)&gt;0),$V437/365*(CD437-CC437+1),IF(AND(($S437-CD437)&lt;=0,(CC437-$R437)&gt;0),$V437/365*($S437-CC437+1),$V437/365*(CD437-$R437+1))))),0)</f>
        <v>3008.65217391304</v>
      </c>
      <c r="CF437" s="163">
        <f t="shared" ref="CF437:CF440" si="5138">CD437+1</f>
        <v>46266</v>
      </c>
      <c r="CG437" s="163">
        <f t="shared" ref="CG437:CG440" si="5139">CF437+29</f>
        <v>46295</v>
      </c>
      <c r="CH437" s="167">
        <f t="shared" ref="CH437:CH440" si="5140">IFERROR(IF(($R437-CG437)&gt;=0,0,IF(($S437-CF437)&lt;0,0,IF(AND(($S437-CG437)&gt;0,(CF437-$R437)&gt;0),$V437/365*(CG437-CF437+1),IF(AND(($S437-CG437)&lt;=0,(CF437-$R437)&gt;0),$V437/365*($S437-CF437+1),$V437/365*(CG437-$R437+1))))),0)</f>
        <v>2911.59887798036</v>
      </c>
      <c r="CI437" s="163">
        <f t="shared" ref="CI437:CI440" si="5141">CG437+1</f>
        <v>46296</v>
      </c>
      <c r="CJ437" s="163">
        <f t="shared" ref="CJ437:CJ440" si="5142">CI437+30</f>
        <v>46326</v>
      </c>
      <c r="CK437" s="167">
        <f t="shared" ref="CK437:CK440" si="5143">IFERROR(IF(($R437-CJ437)&gt;=0,0,IF(($S437-CI437)&lt;0,0,IF(AND(($S437-CJ437)&gt;0,(CI437-$R437)&gt;0),$V437/365*(CJ437-CI437+1),IF(AND(($S437-CJ437)&lt;=0,(CI437-$R437)&gt;0),$V437/365*($S437-CI437+1),$V437/365*(CJ437-$R437+1))))),0)</f>
        <v>3008.65217391304</v>
      </c>
      <c r="CL437" s="163">
        <f t="shared" ref="CL437:CL440" si="5144">CJ437+1</f>
        <v>46327</v>
      </c>
      <c r="CM437" s="163">
        <f t="shared" ref="CM437:CM440" si="5145">CL437+29</f>
        <v>46356</v>
      </c>
      <c r="CN437" s="167">
        <f t="shared" ref="CN437:CN440" si="5146">IFERROR(IF(($R437-CM437)&gt;=0,0,IF(($S437-CL437)&lt;0,0,IF(AND(($S437-CM437)&gt;0,(CL437-$R437)&gt;0),$V437/365*(CM437-CL437+1),IF(AND(($S437-CM437)&lt;=0,(CL437-$R437)&gt;0),$V437/365*($S437-CL437+1),$V437/365*(CM437-$R437+1))))),0)</f>
        <v>2911.59887798036</v>
      </c>
      <c r="CO437" s="163">
        <f t="shared" ref="CO437:CO440" si="5147">CM437+1</f>
        <v>46357</v>
      </c>
      <c r="CP437" s="163">
        <f t="shared" ref="CP437:CP440" si="5148">CO437+30</f>
        <v>46387</v>
      </c>
      <c r="CQ437" s="167">
        <f t="shared" ref="CQ437:CQ440" si="5149">IFERROR(IF(($R437-CP437)&gt;=0,0,IF(($S437-CO437)&lt;0,0,IF(AND(($S437-CP437)&gt;0,(CO437-$R437)&gt;0),$V437/365*(CP437-CO437+1),IF(AND(($S437-CP437)&lt;=0,(CO437-$R437)&gt;0),$V437/365*($S437-CO437+1),$V437/365*(CP437-$R437+1))))),0)</f>
        <v>3008.65217391304</v>
      </c>
    </row>
    <row r="438" s="89" customFormat="1" ht="24" customHeight="1" outlineLevel="3" spans="1:95">
      <c r="A438" s="128"/>
      <c r="B438" s="129"/>
      <c r="C438" s="130"/>
      <c r="D438" s="128"/>
      <c r="E438" s="129"/>
      <c r="F438" s="129"/>
      <c r="G438" s="129"/>
      <c r="H438" s="131"/>
      <c r="I438" s="131"/>
      <c r="J438" s="131">
        <f>Z438+AC438+AF438+AI438+AL438+AO438+AR438+AU438+AX438+BA438+BD438+BG438</f>
        <v>14944.8888888889</v>
      </c>
      <c r="K438" s="131">
        <f t="shared" ref="K438:K440" si="5150">K437+1</f>
        <v>2</v>
      </c>
      <c r="L438" s="156" t="s">
        <v>2852</v>
      </c>
      <c r="M438" s="157" t="str">
        <f>IFERROR(VLOOKUP($L438,'2-2 引出数据_合同数据仓库'!$B$5:$BP$200,3,FALSE),0)</f>
        <v>关于深圳中海油大厦停车场许可证换证服务合同评审的申请</v>
      </c>
      <c r="N438" s="131"/>
      <c r="O438" s="157">
        <f>IFERROR(VLOOKUP((LEFT(VLOOKUP($L438,'2-2 引出数据_合同数据仓库'!$B$5:$BP$200,64,FALSE),15)&amp;(RIGHT(VLOOKUP($L438,'2-2 引出数据_合同数据仓库'!$B$5:$BP$200,64,FALSE),4)+1)),'2-2 引出数据_合同数据仓库'!$B$5:$BP$200,3,FALSE),0)</f>
        <v>0</v>
      </c>
      <c r="P438" s="131"/>
      <c r="Q438" s="131" t="str">
        <f>IFERROR(VLOOKUP($L438,'2-2 引出数据_合同数据仓库'!$B$5:$BP$200,28,FALSE),0)</f>
        <v>2024-12-10</v>
      </c>
      <c r="R438" s="131" t="str">
        <f>IFERROR(VLOOKUP($L438,'2-2 引出数据_合同数据仓库'!$B$5:$BP$200,29,FALSE),0)</f>
        <v>2024-12-10</v>
      </c>
      <c r="S438" s="131" t="str">
        <f>IFERROR(VLOOKUP($L438,'2-2 引出数据_合同数据仓库'!$B$5:$BP$200,4,FALSE),0)</f>
        <v>2025-03-09</v>
      </c>
      <c r="T438" s="131"/>
      <c r="U438" s="131">
        <f>IFERROR(VLOOKUP($L438,'2-2 引出数据_合同数据仓库'!$B$5:$BP$200,15,FALSE),0)</f>
        <v>19780</v>
      </c>
      <c r="V438" s="131">
        <f t="shared" si="5079"/>
        <v>80218.8888888889</v>
      </c>
      <c r="W438" s="131"/>
      <c r="X438" s="163">
        <v>45658</v>
      </c>
      <c r="Y438" s="163">
        <f t="shared" si="5080"/>
        <v>45688</v>
      </c>
      <c r="Z438" s="167">
        <f t="shared" si="5081"/>
        <v>6813.11111111111</v>
      </c>
      <c r="AA438" s="163">
        <f t="shared" si="5082"/>
        <v>45689</v>
      </c>
      <c r="AB438" s="163">
        <f t="shared" si="5083"/>
        <v>45716</v>
      </c>
      <c r="AC438" s="167">
        <f t="shared" si="5084"/>
        <v>6153.77777777778</v>
      </c>
      <c r="AD438" s="163">
        <f t="shared" si="5085"/>
        <v>45717</v>
      </c>
      <c r="AE438" s="163">
        <f t="shared" si="5086"/>
        <v>45747</v>
      </c>
      <c r="AF438" s="167">
        <f t="shared" si="5087"/>
        <v>1978</v>
      </c>
      <c r="AG438" s="163">
        <f t="shared" si="5088"/>
        <v>45748</v>
      </c>
      <c r="AH438" s="163">
        <f t="shared" si="5089"/>
        <v>45777</v>
      </c>
      <c r="AI438" s="167">
        <f t="shared" si="5090"/>
        <v>0</v>
      </c>
      <c r="AJ438" s="163">
        <f t="shared" si="5091"/>
        <v>45778</v>
      </c>
      <c r="AK438" s="163">
        <f t="shared" si="5092"/>
        <v>45808</v>
      </c>
      <c r="AL438" s="167">
        <f t="shared" si="5093"/>
        <v>0</v>
      </c>
      <c r="AM438" s="163">
        <f t="shared" si="5094"/>
        <v>45809</v>
      </c>
      <c r="AN438" s="163">
        <f t="shared" si="5095"/>
        <v>45838</v>
      </c>
      <c r="AO438" s="167">
        <f t="shared" si="5096"/>
        <v>0</v>
      </c>
      <c r="AP438" s="163">
        <f t="shared" si="5097"/>
        <v>45839</v>
      </c>
      <c r="AQ438" s="163">
        <f t="shared" si="5098"/>
        <v>45869</v>
      </c>
      <c r="AR438" s="167">
        <f t="shared" si="5099"/>
        <v>0</v>
      </c>
      <c r="AS438" s="163">
        <f t="shared" si="5100"/>
        <v>45870</v>
      </c>
      <c r="AT438" s="163">
        <f t="shared" si="5101"/>
        <v>45900</v>
      </c>
      <c r="AU438" s="167">
        <f t="shared" si="5102"/>
        <v>0</v>
      </c>
      <c r="AV438" s="163">
        <f t="shared" si="5103"/>
        <v>45901</v>
      </c>
      <c r="AW438" s="163">
        <f t="shared" si="5104"/>
        <v>45930</v>
      </c>
      <c r="AX438" s="167">
        <f t="shared" si="5105"/>
        <v>0</v>
      </c>
      <c r="AY438" s="163">
        <f t="shared" si="5106"/>
        <v>45931</v>
      </c>
      <c r="AZ438" s="163">
        <f t="shared" si="5107"/>
        <v>45961</v>
      </c>
      <c r="BA438" s="167">
        <f t="shared" si="5108"/>
        <v>0</v>
      </c>
      <c r="BB438" s="163">
        <f t="shared" si="5109"/>
        <v>45962</v>
      </c>
      <c r="BC438" s="163">
        <f t="shared" si="5110"/>
        <v>45991</v>
      </c>
      <c r="BD438" s="167">
        <f t="shared" si="5111"/>
        <v>0</v>
      </c>
      <c r="BE438" s="163">
        <f t="shared" si="5112"/>
        <v>45992</v>
      </c>
      <c r="BF438" s="163">
        <f t="shared" si="5113"/>
        <v>46022</v>
      </c>
      <c r="BG438" s="167">
        <f t="shared" si="5114"/>
        <v>0</v>
      </c>
      <c r="BH438" s="163">
        <v>46023</v>
      </c>
      <c r="BI438" s="163">
        <f t="shared" si="5115"/>
        <v>46053</v>
      </c>
      <c r="BJ438" s="167">
        <f t="shared" si="5116"/>
        <v>0</v>
      </c>
      <c r="BK438" s="163">
        <f t="shared" si="5117"/>
        <v>46054</v>
      </c>
      <c r="BL438" s="163">
        <f t="shared" si="5118"/>
        <v>46081</v>
      </c>
      <c r="BM438" s="167">
        <f t="shared" si="5119"/>
        <v>0</v>
      </c>
      <c r="BN438" s="163">
        <f t="shared" si="5120"/>
        <v>46082</v>
      </c>
      <c r="BO438" s="163">
        <f t="shared" si="5121"/>
        <v>46112</v>
      </c>
      <c r="BP438" s="167">
        <f t="shared" si="5122"/>
        <v>0</v>
      </c>
      <c r="BQ438" s="163">
        <f t="shared" si="5123"/>
        <v>46113</v>
      </c>
      <c r="BR438" s="163">
        <f t="shared" si="5124"/>
        <v>46142</v>
      </c>
      <c r="BS438" s="167">
        <f t="shared" si="5125"/>
        <v>0</v>
      </c>
      <c r="BT438" s="163">
        <f t="shared" si="5126"/>
        <v>46143</v>
      </c>
      <c r="BU438" s="163">
        <f t="shared" si="5127"/>
        <v>46173</v>
      </c>
      <c r="BV438" s="167">
        <f t="shared" si="5128"/>
        <v>0</v>
      </c>
      <c r="BW438" s="163">
        <f t="shared" si="5129"/>
        <v>46174</v>
      </c>
      <c r="BX438" s="163">
        <f t="shared" si="5130"/>
        <v>46203</v>
      </c>
      <c r="BY438" s="167">
        <f t="shared" si="5131"/>
        <v>0</v>
      </c>
      <c r="BZ438" s="163">
        <f t="shared" si="5132"/>
        <v>46204</v>
      </c>
      <c r="CA438" s="163">
        <f t="shared" si="5133"/>
        <v>46234</v>
      </c>
      <c r="CB438" s="167">
        <f t="shared" si="5134"/>
        <v>0</v>
      </c>
      <c r="CC438" s="163">
        <f t="shared" si="5135"/>
        <v>46235</v>
      </c>
      <c r="CD438" s="163">
        <f t="shared" si="5136"/>
        <v>46265</v>
      </c>
      <c r="CE438" s="167">
        <f t="shared" si="5137"/>
        <v>0</v>
      </c>
      <c r="CF438" s="163">
        <f t="shared" si="5138"/>
        <v>46266</v>
      </c>
      <c r="CG438" s="163">
        <f t="shared" si="5139"/>
        <v>46295</v>
      </c>
      <c r="CH438" s="167">
        <f t="shared" si="5140"/>
        <v>0</v>
      </c>
      <c r="CI438" s="163">
        <f t="shared" si="5141"/>
        <v>46296</v>
      </c>
      <c r="CJ438" s="163">
        <f t="shared" si="5142"/>
        <v>46326</v>
      </c>
      <c r="CK438" s="167">
        <f t="shared" si="5143"/>
        <v>0</v>
      </c>
      <c r="CL438" s="163">
        <f t="shared" si="5144"/>
        <v>46327</v>
      </c>
      <c r="CM438" s="163">
        <f t="shared" si="5145"/>
        <v>46356</v>
      </c>
      <c r="CN438" s="167">
        <f t="shared" si="5146"/>
        <v>0</v>
      </c>
      <c r="CO438" s="163">
        <f t="shared" si="5147"/>
        <v>46357</v>
      </c>
      <c r="CP438" s="163">
        <f t="shared" si="5148"/>
        <v>46387</v>
      </c>
      <c r="CQ438" s="167">
        <f t="shared" si="5149"/>
        <v>0</v>
      </c>
    </row>
    <row r="439" s="89" customFormat="1" ht="24" customHeight="1" outlineLevel="3" spans="1:95">
      <c r="A439" s="128"/>
      <c r="B439" s="129"/>
      <c r="C439" s="130"/>
      <c r="D439" s="128"/>
      <c r="E439" s="129"/>
      <c r="F439" s="129"/>
      <c r="G439" s="129"/>
      <c r="H439" s="131"/>
      <c r="I439" s="131"/>
      <c r="J439" s="131">
        <f>Z439+AC439+AF439+AI439+AL439+AO439+AR439+AU439+AX439+BA439+BD439+BG439</f>
        <v>0</v>
      </c>
      <c r="K439" s="131">
        <f t="shared" si="5150"/>
        <v>3</v>
      </c>
      <c r="L439" s="156"/>
      <c r="M439" s="157">
        <f>IFERROR(VLOOKUP($L439,'2-2 引出数据_合同数据仓库'!$B$5:$BP$200,3,FALSE),0)</f>
        <v>0</v>
      </c>
      <c r="N439" s="131"/>
      <c r="O439" s="157">
        <f>IFERROR(VLOOKUP((LEFT(VLOOKUP($L439,'2-2 引出数据_合同数据仓库'!$B$5:$BP$200,64,FALSE),15)&amp;(RIGHT(VLOOKUP($L439,'2-2 引出数据_合同数据仓库'!$B$5:$BP$200,64,FALSE),4)+1)),'2-2 引出数据_合同数据仓库'!$B$5:$BP$200,3,FALSE),0)</f>
        <v>0</v>
      </c>
      <c r="P439" s="131"/>
      <c r="Q439" s="131">
        <f>IFERROR(VLOOKUP($L439,'2-2 引出数据_合同数据仓库'!$B$5:$BP$200,28,FALSE),0)</f>
        <v>0</v>
      </c>
      <c r="R439" s="131">
        <f>IFERROR(VLOOKUP($L439,'2-2 引出数据_合同数据仓库'!$B$5:$BP$200,29,FALSE),0)</f>
        <v>0</v>
      </c>
      <c r="S439" s="131">
        <f>IFERROR(VLOOKUP($L439,'2-2 引出数据_合同数据仓库'!$B$5:$BP$200,4,FALSE),0)</f>
        <v>0</v>
      </c>
      <c r="T439" s="131"/>
      <c r="U439" s="131">
        <f>IFERROR(VLOOKUP($L439,'2-2 引出数据_合同数据仓库'!$B$5:$BP$200,15,FALSE),0)</f>
        <v>0</v>
      </c>
      <c r="V439" s="131">
        <f t="shared" si="5079"/>
        <v>0</v>
      </c>
      <c r="W439" s="131"/>
      <c r="X439" s="163">
        <v>45658</v>
      </c>
      <c r="Y439" s="163">
        <f t="shared" si="5080"/>
        <v>45688</v>
      </c>
      <c r="Z439" s="167">
        <f t="shared" si="5081"/>
        <v>0</v>
      </c>
      <c r="AA439" s="163">
        <f t="shared" si="5082"/>
        <v>45689</v>
      </c>
      <c r="AB439" s="163">
        <f t="shared" si="5083"/>
        <v>45716</v>
      </c>
      <c r="AC439" s="167">
        <f t="shared" si="5084"/>
        <v>0</v>
      </c>
      <c r="AD439" s="163">
        <f t="shared" si="5085"/>
        <v>45717</v>
      </c>
      <c r="AE439" s="163">
        <f t="shared" si="5086"/>
        <v>45747</v>
      </c>
      <c r="AF439" s="167">
        <f t="shared" si="5087"/>
        <v>0</v>
      </c>
      <c r="AG439" s="163">
        <f t="shared" si="5088"/>
        <v>45748</v>
      </c>
      <c r="AH439" s="163">
        <f t="shared" si="5089"/>
        <v>45777</v>
      </c>
      <c r="AI439" s="167">
        <f t="shared" si="5090"/>
        <v>0</v>
      </c>
      <c r="AJ439" s="163">
        <f t="shared" si="5091"/>
        <v>45778</v>
      </c>
      <c r="AK439" s="163">
        <f t="shared" si="5092"/>
        <v>45808</v>
      </c>
      <c r="AL439" s="167">
        <f t="shared" si="5093"/>
        <v>0</v>
      </c>
      <c r="AM439" s="163">
        <f t="shared" si="5094"/>
        <v>45809</v>
      </c>
      <c r="AN439" s="163">
        <f t="shared" si="5095"/>
        <v>45838</v>
      </c>
      <c r="AO439" s="167">
        <f t="shared" si="5096"/>
        <v>0</v>
      </c>
      <c r="AP439" s="163">
        <f t="shared" si="5097"/>
        <v>45839</v>
      </c>
      <c r="AQ439" s="163">
        <f t="shared" si="5098"/>
        <v>45869</v>
      </c>
      <c r="AR439" s="167">
        <f t="shared" si="5099"/>
        <v>0</v>
      </c>
      <c r="AS439" s="163">
        <f t="shared" si="5100"/>
        <v>45870</v>
      </c>
      <c r="AT439" s="163">
        <f t="shared" si="5101"/>
        <v>45900</v>
      </c>
      <c r="AU439" s="167">
        <f t="shared" si="5102"/>
        <v>0</v>
      </c>
      <c r="AV439" s="163">
        <f t="shared" si="5103"/>
        <v>45901</v>
      </c>
      <c r="AW439" s="163">
        <f t="shared" si="5104"/>
        <v>45930</v>
      </c>
      <c r="AX439" s="167">
        <f t="shared" si="5105"/>
        <v>0</v>
      </c>
      <c r="AY439" s="163">
        <f t="shared" si="5106"/>
        <v>45931</v>
      </c>
      <c r="AZ439" s="163">
        <f t="shared" si="5107"/>
        <v>45961</v>
      </c>
      <c r="BA439" s="167">
        <f t="shared" si="5108"/>
        <v>0</v>
      </c>
      <c r="BB439" s="163">
        <f t="shared" si="5109"/>
        <v>45962</v>
      </c>
      <c r="BC439" s="163">
        <f t="shared" si="5110"/>
        <v>45991</v>
      </c>
      <c r="BD439" s="167">
        <f t="shared" si="5111"/>
        <v>0</v>
      </c>
      <c r="BE439" s="163">
        <f t="shared" si="5112"/>
        <v>45992</v>
      </c>
      <c r="BF439" s="163">
        <f t="shared" si="5113"/>
        <v>46022</v>
      </c>
      <c r="BG439" s="167">
        <f t="shared" si="5114"/>
        <v>0</v>
      </c>
      <c r="BH439" s="163">
        <v>46023</v>
      </c>
      <c r="BI439" s="163">
        <f t="shared" si="5115"/>
        <v>46053</v>
      </c>
      <c r="BJ439" s="167">
        <f t="shared" si="5116"/>
        <v>0</v>
      </c>
      <c r="BK439" s="163">
        <f t="shared" si="5117"/>
        <v>46054</v>
      </c>
      <c r="BL439" s="163">
        <f t="shared" si="5118"/>
        <v>46081</v>
      </c>
      <c r="BM439" s="167">
        <f t="shared" si="5119"/>
        <v>0</v>
      </c>
      <c r="BN439" s="163">
        <f t="shared" si="5120"/>
        <v>46082</v>
      </c>
      <c r="BO439" s="163">
        <f t="shared" si="5121"/>
        <v>46112</v>
      </c>
      <c r="BP439" s="167">
        <f t="shared" si="5122"/>
        <v>0</v>
      </c>
      <c r="BQ439" s="163">
        <f t="shared" si="5123"/>
        <v>46113</v>
      </c>
      <c r="BR439" s="163">
        <f t="shared" si="5124"/>
        <v>46142</v>
      </c>
      <c r="BS439" s="167">
        <f t="shared" si="5125"/>
        <v>0</v>
      </c>
      <c r="BT439" s="163">
        <f t="shared" si="5126"/>
        <v>46143</v>
      </c>
      <c r="BU439" s="163">
        <f t="shared" si="5127"/>
        <v>46173</v>
      </c>
      <c r="BV439" s="167">
        <f t="shared" si="5128"/>
        <v>0</v>
      </c>
      <c r="BW439" s="163">
        <f t="shared" si="5129"/>
        <v>46174</v>
      </c>
      <c r="BX439" s="163">
        <f t="shared" si="5130"/>
        <v>46203</v>
      </c>
      <c r="BY439" s="167">
        <f t="shared" si="5131"/>
        <v>0</v>
      </c>
      <c r="BZ439" s="163">
        <f t="shared" si="5132"/>
        <v>46204</v>
      </c>
      <c r="CA439" s="163">
        <f t="shared" si="5133"/>
        <v>46234</v>
      </c>
      <c r="CB439" s="167">
        <f t="shared" si="5134"/>
        <v>0</v>
      </c>
      <c r="CC439" s="163">
        <f t="shared" si="5135"/>
        <v>46235</v>
      </c>
      <c r="CD439" s="163">
        <f t="shared" si="5136"/>
        <v>46265</v>
      </c>
      <c r="CE439" s="167">
        <f t="shared" si="5137"/>
        <v>0</v>
      </c>
      <c r="CF439" s="163">
        <f t="shared" si="5138"/>
        <v>46266</v>
      </c>
      <c r="CG439" s="163">
        <f t="shared" si="5139"/>
        <v>46295</v>
      </c>
      <c r="CH439" s="167">
        <f t="shared" si="5140"/>
        <v>0</v>
      </c>
      <c r="CI439" s="163">
        <f t="shared" si="5141"/>
        <v>46296</v>
      </c>
      <c r="CJ439" s="163">
        <f t="shared" si="5142"/>
        <v>46326</v>
      </c>
      <c r="CK439" s="167">
        <f t="shared" si="5143"/>
        <v>0</v>
      </c>
      <c r="CL439" s="163">
        <f t="shared" si="5144"/>
        <v>46327</v>
      </c>
      <c r="CM439" s="163">
        <f t="shared" si="5145"/>
        <v>46356</v>
      </c>
      <c r="CN439" s="167">
        <f t="shared" si="5146"/>
        <v>0</v>
      </c>
      <c r="CO439" s="163">
        <f t="shared" si="5147"/>
        <v>46357</v>
      </c>
      <c r="CP439" s="163">
        <f t="shared" si="5148"/>
        <v>46387</v>
      </c>
      <c r="CQ439" s="167">
        <f t="shared" si="5149"/>
        <v>0</v>
      </c>
    </row>
    <row r="440" s="89" customFormat="1" ht="24" customHeight="1" outlineLevel="3" collapsed="1" spans="1:95">
      <c r="A440" s="128"/>
      <c r="B440" s="129"/>
      <c r="C440" s="130"/>
      <c r="D440" s="128"/>
      <c r="E440" s="129"/>
      <c r="F440" s="129"/>
      <c r="G440" s="129"/>
      <c r="H440" s="131"/>
      <c r="I440" s="131"/>
      <c r="J440" s="131">
        <f>Z440+AC440+AF440+AI440+AL440+AO440+AR440+AU440+AX440+BA440+BD440+BG440</f>
        <v>0</v>
      </c>
      <c r="K440" s="131">
        <f t="shared" si="5150"/>
        <v>4</v>
      </c>
      <c r="L440" s="156"/>
      <c r="M440" s="157">
        <f>IFERROR(VLOOKUP($L440,'2-2 引出数据_合同数据仓库'!$B$5:$BP$200,3,FALSE),0)</f>
        <v>0</v>
      </c>
      <c r="N440" s="131"/>
      <c r="O440" s="157">
        <f>IFERROR(VLOOKUP((LEFT(VLOOKUP($L440,'2-2 引出数据_合同数据仓库'!$B$5:$BP$200,64,FALSE),15)&amp;(RIGHT(VLOOKUP($L440,'2-2 引出数据_合同数据仓库'!$B$5:$BP$200,64,FALSE),4)+1)),'2-2 引出数据_合同数据仓库'!$B$5:$BP$200,3,FALSE),0)</f>
        <v>0</v>
      </c>
      <c r="P440" s="131"/>
      <c r="Q440" s="131">
        <f>IFERROR(VLOOKUP($L440,'2-2 引出数据_合同数据仓库'!$B$5:$BP$200,28,FALSE),0)</f>
        <v>0</v>
      </c>
      <c r="R440" s="131">
        <f>IFERROR(VLOOKUP($L440,'2-2 引出数据_合同数据仓库'!$B$5:$BP$200,29,FALSE),0)</f>
        <v>0</v>
      </c>
      <c r="S440" s="131">
        <f>IFERROR(VLOOKUP($L440,'2-2 引出数据_合同数据仓库'!$B$5:$BP$200,4,FALSE),0)</f>
        <v>0</v>
      </c>
      <c r="T440" s="131"/>
      <c r="U440" s="131">
        <f>IFERROR(VLOOKUP($L440,'2-2 引出数据_合同数据仓库'!$B$5:$BP$200,15,FALSE),0)</f>
        <v>0</v>
      </c>
      <c r="V440" s="131">
        <f t="shared" si="5079"/>
        <v>0</v>
      </c>
      <c r="W440" s="131"/>
      <c r="X440" s="163">
        <v>45658</v>
      </c>
      <c r="Y440" s="163">
        <f t="shared" si="5080"/>
        <v>45688</v>
      </c>
      <c r="Z440" s="167">
        <f t="shared" si="5081"/>
        <v>0</v>
      </c>
      <c r="AA440" s="163">
        <f t="shared" si="5082"/>
        <v>45689</v>
      </c>
      <c r="AB440" s="163">
        <f t="shared" si="5083"/>
        <v>45716</v>
      </c>
      <c r="AC440" s="167">
        <f t="shared" si="5084"/>
        <v>0</v>
      </c>
      <c r="AD440" s="163">
        <f t="shared" si="5085"/>
        <v>45717</v>
      </c>
      <c r="AE440" s="163">
        <f t="shared" si="5086"/>
        <v>45747</v>
      </c>
      <c r="AF440" s="167">
        <f t="shared" si="5087"/>
        <v>0</v>
      </c>
      <c r="AG440" s="163">
        <f t="shared" si="5088"/>
        <v>45748</v>
      </c>
      <c r="AH440" s="163">
        <f t="shared" si="5089"/>
        <v>45777</v>
      </c>
      <c r="AI440" s="167">
        <f t="shared" si="5090"/>
        <v>0</v>
      </c>
      <c r="AJ440" s="163">
        <f t="shared" si="5091"/>
        <v>45778</v>
      </c>
      <c r="AK440" s="163">
        <f t="shared" si="5092"/>
        <v>45808</v>
      </c>
      <c r="AL440" s="167">
        <f t="shared" si="5093"/>
        <v>0</v>
      </c>
      <c r="AM440" s="163">
        <f t="shared" si="5094"/>
        <v>45809</v>
      </c>
      <c r="AN440" s="163">
        <f t="shared" si="5095"/>
        <v>45838</v>
      </c>
      <c r="AO440" s="167">
        <f t="shared" si="5096"/>
        <v>0</v>
      </c>
      <c r="AP440" s="163">
        <f t="shared" si="5097"/>
        <v>45839</v>
      </c>
      <c r="AQ440" s="163">
        <f t="shared" si="5098"/>
        <v>45869</v>
      </c>
      <c r="AR440" s="167">
        <f t="shared" si="5099"/>
        <v>0</v>
      </c>
      <c r="AS440" s="163">
        <f t="shared" si="5100"/>
        <v>45870</v>
      </c>
      <c r="AT440" s="163">
        <f t="shared" si="5101"/>
        <v>45900</v>
      </c>
      <c r="AU440" s="167">
        <f t="shared" si="5102"/>
        <v>0</v>
      </c>
      <c r="AV440" s="163">
        <f t="shared" si="5103"/>
        <v>45901</v>
      </c>
      <c r="AW440" s="163">
        <f t="shared" si="5104"/>
        <v>45930</v>
      </c>
      <c r="AX440" s="167">
        <f t="shared" si="5105"/>
        <v>0</v>
      </c>
      <c r="AY440" s="163">
        <f t="shared" si="5106"/>
        <v>45931</v>
      </c>
      <c r="AZ440" s="163">
        <f t="shared" si="5107"/>
        <v>45961</v>
      </c>
      <c r="BA440" s="167">
        <f t="shared" si="5108"/>
        <v>0</v>
      </c>
      <c r="BB440" s="163">
        <f t="shared" si="5109"/>
        <v>45962</v>
      </c>
      <c r="BC440" s="163">
        <f t="shared" si="5110"/>
        <v>45991</v>
      </c>
      <c r="BD440" s="167">
        <f t="shared" si="5111"/>
        <v>0</v>
      </c>
      <c r="BE440" s="163">
        <f t="shared" si="5112"/>
        <v>45992</v>
      </c>
      <c r="BF440" s="163">
        <f t="shared" si="5113"/>
        <v>46022</v>
      </c>
      <c r="BG440" s="167">
        <f t="shared" si="5114"/>
        <v>0</v>
      </c>
      <c r="BH440" s="163">
        <v>46023</v>
      </c>
      <c r="BI440" s="163">
        <f t="shared" si="5115"/>
        <v>46053</v>
      </c>
      <c r="BJ440" s="167">
        <f t="shared" si="5116"/>
        <v>0</v>
      </c>
      <c r="BK440" s="163">
        <f t="shared" si="5117"/>
        <v>46054</v>
      </c>
      <c r="BL440" s="163">
        <f t="shared" si="5118"/>
        <v>46081</v>
      </c>
      <c r="BM440" s="167">
        <f t="shared" si="5119"/>
        <v>0</v>
      </c>
      <c r="BN440" s="163">
        <f t="shared" si="5120"/>
        <v>46082</v>
      </c>
      <c r="BO440" s="163">
        <f t="shared" si="5121"/>
        <v>46112</v>
      </c>
      <c r="BP440" s="167">
        <f t="shared" si="5122"/>
        <v>0</v>
      </c>
      <c r="BQ440" s="163">
        <f t="shared" si="5123"/>
        <v>46113</v>
      </c>
      <c r="BR440" s="163">
        <f t="shared" si="5124"/>
        <v>46142</v>
      </c>
      <c r="BS440" s="167">
        <f t="shared" si="5125"/>
        <v>0</v>
      </c>
      <c r="BT440" s="163">
        <f t="shared" si="5126"/>
        <v>46143</v>
      </c>
      <c r="BU440" s="163">
        <f t="shared" si="5127"/>
        <v>46173</v>
      </c>
      <c r="BV440" s="167">
        <f t="shared" si="5128"/>
        <v>0</v>
      </c>
      <c r="BW440" s="163">
        <f t="shared" si="5129"/>
        <v>46174</v>
      </c>
      <c r="BX440" s="163">
        <f t="shared" si="5130"/>
        <v>46203</v>
      </c>
      <c r="BY440" s="167">
        <f t="shared" si="5131"/>
        <v>0</v>
      </c>
      <c r="BZ440" s="163">
        <f t="shared" si="5132"/>
        <v>46204</v>
      </c>
      <c r="CA440" s="163">
        <f t="shared" si="5133"/>
        <v>46234</v>
      </c>
      <c r="CB440" s="167">
        <f t="shared" si="5134"/>
        <v>0</v>
      </c>
      <c r="CC440" s="163">
        <f t="shared" si="5135"/>
        <v>46235</v>
      </c>
      <c r="CD440" s="163">
        <f t="shared" si="5136"/>
        <v>46265</v>
      </c>
      <c r="CE440" s="167">
        <f t="shared" si="5137"/>
        <v>0</v>
      </c>
      <c r="CF440" s="163">
        <f t="shared" si="5138"/>
        <v>46266</v>
      </c>
      <c r="CG440" s="163">
        <f t="shared" si="5139"/>
        <v>46295</v>
      </c>
      <c r="CH440" s="167">
        <f t="shared" si="5140"/>
        <v>0</v>
      </c>
      <c r="CI440" s="163">
        <f t="shared" si="5141"/>
        <v>46296</v>
      </c>
      <c r="CJ440" s="163">
        <f t="shared" si="5142"/>
        <v>46326</v>
      </c>
      <c r="CK440" s="167">
        <f t="shared" si="5143"/>
        <v>0</v>
      </c>
      <c r="CL440" s="163">
        <f t="shared" si="5144"/>
        <v>46327</v>
      </c>
      <c r="CM440" s="163">
        <f t="shared" si="5145"/>
        <v>46356</v>
      </c>
      <c r="CN440" s="167">
        <f t="shared" si="5146"/>
        <v>0</v>
      </c>
      <c r="CO440" s="163">
        <f t="shared" si="5147"/>
        <v>46357</v>
      </c>
      <c r="CP440" s="163">
        <f t="shared" si="5148"/>
        <v>46387</v>
      </c>
      <c r="CQ440" s="167">
        <f t="shared" si="5149"/>
        <v>0</v>
      </c>
    </row>
    <row r="441" s="89" customFormat="1" ht="24" hidden="1" customHeight="1" outlineLevel="4" spans="1:95">
      <c r="A441" s="132" t="s">
        <v>2813</v>
      </c>
      <c r="B441" s="133"/>
      <c r="C441" s="133"/>
      <c r="D441" s="133"/>
      <c r="E441" s="133"/>
      <c r="F441" s="133"/>
      <c r="G441" s="134"/>
      <c r="H441" s="135"/>
      <c r="I441" s="135"/>
      <c r="J441" s="135"/>
      <c r="K441" s="135"/>
      <c r="L441" s="158"/>
      <c r="M441" s="158"/>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c r="CL441" s="135"/>
      <c r="CM441" s="135"/>
      <c r="CN441" s="135"/>
      <c r="CO441" s="135"/>
      <c r="CP441" s="135"/>
      <c r="CQ441" s="135"/>
    </row>
    <row r="442" ht="24" customHeight="1" outlineLevel="2" collapsed="1" spans="1:95">
      <c r="A442" s="43"/>
      <c r="B442" s="121" t="s">
        <v>792</v>
      </c>
      <c r="C442" s="122" t="s">
        <v>1435</v>
      </c>
      <c r="D442" s="43" t="s">
        <v>1436</v>
      </c>
      <c r="E442" s="121"/>
      <c r="F442" s="121"/>
      <c r="G442" s="121"/>
      <c r="H442" s="123">
        <f>X442+AA442+AD442+AG442+AJ442+AM442+AP442+AS442+AV442+AY442+BB442+BE442</f>
        <v>0</v>
      </c>
      <c r="I442" s="123">
        <f>Y442+AB442+AE442+AH442+AK442+AN442+AQ442+AT442+AW442+AZ442+BC442+BF442</f>
        <v>0</v>
      </c>
      <c r="J442" s="123">
        <f>Z442+AC442+AF442+AI442+AL442+AO442+AR442+AU442+AX442+BA442+BD442+BG442</f>
        <v>0</v>
      </c>
      <c r="K442" s="123"/>
      <c r="L442" s="154"/>
      <c r="M442" s="154"/>
      <c r="N442" s="123"/>
      <c r="O442" s="123"/>
      <c r="P442" s="123"/>
      <c r="Q442" s="123"/>
      <c r="R442" s="123"/>
      <c r="S442" s="123"/>
      <c r="T442" s="123"/>
      <c r="U442" s="123"/>
      <c r="V442" s="123"/>
      <c r="W442" s="123"/>
      <c r="X442" s="123">
        <f>VLOOKUP($C442,'1 预算编制表单'!$C:$BJ,27,FALSE)</f>
        <v>0</v>
      </c>
      <c r="Y442" s="123">
        <f>X442-Z442</f>
        <v>0</v>
      </c>
      <c r="Z442" s="123">
        <f>SUM(Z443:Z447)</f>
        <v>0</v>
      </c>
      <c r="AA442" s="123">
        <f>VLOOKUP($C442,'1 预算编制表单'!$C:$BJ,30,FALSE)</f>
        <v>0</v>
      </c>
      <c r="AB442" s="123">
        <f>AA442-AC442</f>
        <v>0</v>
      </c>
      <c r="AC442" s="123">
        <f>SUM(AC443:AC447)</f>
        <v>0</v>
      </c>
      <c r="AD442" s="123">
        <f>VLOOKUP($C442,'1 预算编制表单'!$C:$BJ,33,FALSE)</f>
        <v>0</v>
      </c>
      <c r="AE442" s="123">
        <f>AD442-AF442</f>
        <v>0</v>
      </c>
      <c r="AF442" s="123">
        <f>SUM(AF443:AF447)</f>
        <v>0</v>
      </c>
      <c r="AG442" s="123">
        <f>VLOOKUP($C442,'1 预算编制表单'!$C:$BJ,36,FALSE)</f>
        <v>0</v>
      </c>
      <c r="AH442" s="123">
        <f>AG442-AI442</f>
        <v>0</v>
      </c>
      <c r="AI442" s="123">
        <f>SUM(AI443:AI447)</f>
        <v>0</v>
      </c>
      <c r="AJ442" s="123">
        <f>VLOOKUP($C442,'1 预算编制表单'!$C:$BJ,39,FALSE)</f>
        <v>0</v>
      </c>
      <c r="AK442" s="123">
        <f>AJ442-AL442</f>
        <v>0</v>
      </c>
      <c r="AL442" s="123">
        <f>SUM(AL443:AL447)</f>
        <v>0</v>
      </c>
      <c r="AM442" s="123">
        <f>VLOOKUP($C442,'1 预算编制表单'!$C:$BJ,42,FALSE)</f>
        <v>0</v>
      </c>
      <c r="AN442" s="123">
        <f>AM442-AO442</f>
        <v>0</v>
      </c>
      <c r="AO442" s="123">
        <f>SUM(AO443:AO447)</f>
        <v>0</v>
      </c>
      <c r="AP442" s="123">
        <f>VLOOKUP($C442,'1 预算编制表单'!$C:$BJ,45,FALSE)</f>
        <v>0</v>
      </c>
      <c r="AQ442" s="123">
        <f>AP442-AR442</f>
        <v>0</v>
      </c>
      <c r="AR442" s="123">
        <f>SUM(AR443:AR447)</f>
        <v>0</v>
      </c>
      <c r="AS442" s="123">
        <f>VLOOKUP($C442,'1 预算编制表单'!$C:$BJ,48,FALSE)</f>
        <v>0</v>
      </c>
      <c r="AT442" s="123">
        <f>AS442-AU442</f>
        <v>0</v>
      </c>
      <c r="AU442" s="123">
        <f>SUM(AU443:AU447)</f>
        <v>0</v>
      </c>
      <c r="AV442" s="123">
        <f>VLOOKUP($C442,'1 预算编制表单'!$C:$BJ,51,FALSE)</f>
        <v>0</v>
      </c>
      <c r="AW442" s="123">
        <f>AV442-AX442</f>
        <v>0</v>
      </c>
      <c r="AX442" s="123">
        <f>SUM(AX443:AX447)</f>
        <v>0</v>
      </c>
      <c r="AY442" s="123">
        <f>VLOOKUP($C442,'1 预算编制表单'!$C:$BJ,54,FALSE)</f>
        <v>0</v>
      </c>
      <c r="AZ442" s="123">
        <f>AY442-BA442</f>
        <v>0</v>
      </c>
      <c r="BA442" s="123">
        <f>SUM(BA443:BA447)</f>
        <v>0</v>
      </c>
      <c r="BB442" s="123">
        <f>VLOOKUP($C442,'1 预算编制表单'!$C:$BJ,57,FALSE)</f>
        <v>0</v>
      </c>
      <c r="BC442" s="123">
        <f>BB442-BD442</f>
        <v>0</v>
      </c>
      <c r="BD442" s="123">
        <f>SUM(BD443:BD447)</f>
        <v>0</v>
      </c>
      <c r="BE442" s="123">
        <f>VLOOKUP($C442,'1 预算编制表单'!$C:$BJ,60,FALSE)</f>
        <v>0</v>
      </c>
      <c r="BF442" s="123">
        <f>BE442-BG442</f>
        <v>0</v>
      </c>
      <c r="BG442" s="123">
        <f>SUM(BG443:BG447)</f>
        <v>0</v>
      </c>
      <c r="BH442" s="123">
        <f>VLOOKUP($C442,'1 预算编制表单'!$C:$BJ,27,FALSE)</f>
        <v>0</v>
      </c>
      <c r="BI442" s="123">
        <f>BH442-BJ442</f>
        <v>0</v>
      </c>
      <c r="BJ442" s="123">
        <f>SUM(BJ443:BJ447)</f>
        <v>0</v>
      </c>
      <c r="BK442" s="123">
        <f>VLOOKUP($C442,'1 预算编制表单'!$C:$BJ,30,FALSE)</f>
        <v>0</v>
      </c>
      <c r="BL442" s="123">
        <f>BK442-BM442</f>
        <v>0</v>
      </c>
      <c r="BM442" s="123">
        <f>SUM(BM443:BM447)</f>
        <v>0</v>
      </c>
      <c r="BN442" s="123">
        <f>VLOOKUP($C442,'1 预算编制表单'!$C:$BJ,33,FALSE)</f>
        <v>0</v>
      </c>
      <c r="BO442" s="123">
        <f>BN442-BP442</f>
        <v>0</v>
      </c>
      <c r="BP442" s="123">
        <f>SUM(BP443:BP447)</f>
        <v>0</v>
      </c>
      <c r="BQ442" s="123">
        <f>VLOOKUP($C442,'1 预算编制表单'!$C:$BJ,36,FALSE)</f>
        <v>0</v>
      </c>
      <c r="BR442" s="123">
        <f>BQ442-BS442</f>
        <v>0</v>
      </c>
      <c r="BS442" s="123">
        <f>SUM(BS443:BS447)</f>
        <v>0</v>
      </c>
      <c r="BT442" s="123">
        <f>VLOOKUP($C442,'1 预算编制表单'!$C:$BJ,39,FALSE)</f>
        <v>0</v>
      </c>
      <c r="BU442" s="123">
        <f>BT442-BV442</f>
        <v>0</v>
      </c>
      <c r="BV442" s="123">
        <f>SUM(BV443:BV447)</f>
        <v>0</v>
      </c>
      <c r="BW442" s="123">
        <f>VLOOKUP($C442,'1 预算编制表单'!$C:$BJ,42,FALSE)</f>
        <v>0</v>
      </c>
      <c r="BX442" s="123">
        <f>BW442-BY442</f>
        <v>0</v>
      </c>
      <c r="BY442" s="123">
        <f>SUM(BY443:BY447)</f>
        <v>0</v>
      </c>
      <c r="BZ442" s="123">
        <f>VLOOKUP($C442,'1 预算编制表单'!$C:$BJ,45,FALSE)</f>
        <v>0</v>
      </c>
      <c r="CA442" s="123">
        <f>BZ442-CB442</f>
        <v>0</v>
      </c>
      <c r="CB442" s="123">
        <f>SUM(CB443:CB447)</f>
        <v>0</v>
      </c>
      <c r="CC442" s="123">
        <f>VLOOKUP($C442,'1 预算编制表单'!$C:$BJ,48,FALSE)</f>
        <v>0</v>
      </c>
      <c r="CD442" s="123">
        <f>CC442-CE442</f>
        <v>0</v>
      </c>
      <c r="CE442" s="123">
        <f>SUM(CE443:CE447)</f>
        <v>0</v>
      </c>
      <c r="CF442" s="123">
        <f>VLOOKUP($C442,'1 预算编制表单'!$C:$BJ,51,FALSE)</f>
        <v>0</v>
      </c>
      <c r="CG442" s="123">
        <f>CF442-CH442</f>
        <v>0</v>
      </c>
      <c r="CH442" s="123">
        <f>SUM(CH443:CH447)</f>
        <v>0</v>
      </c>
      <c r="CI442" s="123">
        <f>VLOOKUP($C442,'1 预算编制表单'!$C:$BJ,54,FALSE)</f>
        <v>0</v>
      </c>
      <c r="CJ442" s="123">
        <f>CI442-CK442</f>
        <v>0</v>
      </c>
      <c r="CK442" s="123">
        <f>SUM(CK443:CK447)</f>
        <v>0</v>
      </c>
      <c r="CL442" s="123">
        <f>VLOOKUP($C442,'1 预算编制表单'!$C:$BJ,57,FALSE)</f>
        <v>0</v>
      </c>
      <c r="CM442" s="123">
        <f>CL442-CN442</f>
        <v>0</v>
      </c>
      <c r="CN442" s="123">
        <f>SUM(CN443:CN447)</f>
        <v>0</v>
      </c>
      <c r="CO442" s="123">
        <f>VLOOKUP($C442,'1 预算编制表单'!$C:$BJ,60,FALSE)</f>
        <v>0</v>
      </c>
      <c r="CP442" s="123">
        <f>CO442-CQ442</f>
        <v>0</v>
      </c>
      <c r="CQ442" s="123">
        <f>SUM(CQ443:CQ447)</f>
        <v>0</v>
      </c>
    </row>
    <row r="443" s="89" customFormat="1" ht="24" hidden="1" customHeight="1" outlineLevel="3" spans="1:95">
      <c r="A443" s="128"/>
      <c r="B443" s="129"/>
      <c r="C443" s="130"/>
      <c r="D443" s="128"/>
      <c r="E443" s="129"/>
      <c r="F443" s="129"/>
      <c r="G443" s="129"/>
      <c r="H443" s="131"/>
      <c r="I443" s="131"/>
      <c r="J443" s="131">
        <f>Z443+AC443+AF443+AI443+AL443+AO443+AR443+AU443+AX443+BA443+BD443+BG443</f>
        <v>0</v>
      </c>
      <c r="K443" s="131">
        <v>1</v>
      </c>
      <c r="L443" s="156"/>
      <c r="M443" s="157">
        <f>IFERROR(VLOOKUP($L443,'2-2 引出数据_合同数据仓库'!$B$5:$BP$200,3,FALSE),0)</f>
        <v>0</v>
      </c>
      <c r="N443" s="131"/>
      <c r="O443" s="157">
        <f>IFERROR(VLOOKUP((LEFT(VLOOKUP($L443,'2-2 引出数据_合同数据仓库'!$B$5:$BP$200,64,FALSE),15)&amp;(RIGHT(VLOOKUP($L443,'2-2 引出数据_合同数据仓库'!$B$5:$BP$200,64,FALSE),4)+1)),'2-2 引出数据_合同数据仓库'!$B$5:$BP$200,3,FALSE),0)</f>
        <v>0</v>
      </c>
      <c r="P443" s="131"/>
      <c r="Q443" s="131">
        <f>IFERROR(VLOOKUP($L443,'2-2 引出数据_合同数据仓库'!$B$5:$BP$200,28,FALSE),0)</f>
        <v>0</v>
      </c>
      <c r="R443" s="131">
        <f>IFERROR(VLOOKUP($L443,'2-2 引出数据_合同数据仓库'!$B$5:$BP$200,29,FALSE),0)</f>
        <v>0</v>
      </c>
      <c r="S443" s="131">
        <f>IFERROR(VLOOKUP($L443,'2-2 引出数据_合同数据仓库'!$B$5:$BP$200,4,FALSE),0)</f>
        <v>0</v>
      </c>
      <c r="T443" s="131"/>
      <c r="U443" s="131">
        <f>IFERROR(VLOOKUP($L443,'2-2 引出数据_合同数据仓库'!$B$5:$BP$200,15,FALSE),0)</f>
        <v>0</v>
      </c>
      <c r="V443" s="131">
        <f t="shared" ref="V443:V446" si="5151">U443/(S443-R443+1)*365</f>
        <v>0</v>
      </c>
      <c r="W443" s="131"/>
      <c r="X443" s="163">
        <v>45658</v>
      </c>
      <c r="Y443" s="163">
        <f t="shared" ref="Y443:Y446" si="5152">X443+30</f>
        <v>45688</v>
      </c>
      <c r="Z443" s="167">
        <f t="shared" ref="Z443:Z446" si="5153">IFERROR(IF(($R443-Y443)&gt;=0,0,IF(($S443-X443)&lt;0,0,IF(AND(($S443-Y443)&gt;0,(X443-$R443)&gt;0),$V443/365*(Y443-X443+1),IF(AND(($S443-Y443)&lt;=0,(X443-$R443)&gt;0),$V443/365*($S443-X443+1),$V443/365*(Y443-$R443+1))))),0)</f>
        <v>0</v>
      </c>
      <c r="AA443" s="163">
        <f t="shared" ref="AA443:AA446" si="5154">Y443+1</f>
        <v>45689</v>
      </c>
      <c r="AB443" s="163">
        <f t="shared" ref="AB443:AB446" si="5155">AA443+27</f>
        <v>45716</v>
      </c>
      <c r="AC443" s="167">
        <f t="shared" ref="AC443:AC446" si="5156">IFERROR(IF(($R443-AB443)&gt;=0,0,IF(($S443-AA443)&lt;0,0,IF(AND(($S443-AB443)&gt;0,(AA443-$R443)&gt;0),$V443/365*(AB443-AA443+1),IF(AND(($S443-AB443)&lt;=0,(AA443-$R443)&gt;0),$V443/365*($S443-AA443+1),$V443/365*(AB443-$R443+1))))),0)</f>
        <v>0</v>
      </c>
      <c r="AD443" s="163">
        <f t="shared" ref="AD443:AD446" si="5157">AB443+1</f>
        <v>45717</v>
      </c>
      <c r="AE443" s="163">
        <f t="shared" ref="AE443:AE446" si="5158">AD443+30</f>
        <v>45747</v>
      </c>
      <c r="AF443" s="167">
        <f t="shared" ref="AF443:AF446" si="5159">IFERROR(IF(($R443-AE443)&gt;=0,0,IF(($S443-AD443)&lt;0,0,IF(AND(($S443-AE443)&gt;0,(AD443-$R443)&gt;0),$V443/365*(AE443-AD443+1),IF(AND(($S443-AE443)&lt;=0,(AD443-$R443)&gt;0),$V443/365*($S443-AD443+1),$V443/365*(AE443-$R443+1))))),0)</f>
        <v>0</v>
      </c>
      <c r="AG443" s="163">
        <f t="shared" ref="AG443:AG446" si="5160">AE443+1</f>
        <v>45748</v>
      </c>
      <c r="AH443" s="163">
        <f t="shared" ref="AH443:AH446" si="5161">AG443+29</f>
        <v>45777</v>
      </c>
      <c r="AI443" s="167">
        <f t="shared" ref="AI443:AI446" si="5162">IFERROR(IF(($R443-AH443)&gt;=0,0,IF(($S443-AG443)&lt;0,0,IF(AND(($S443-AH443)&gt;0,(AG443-$R443)&gt;0),$V443/365*(AH443-AG443+1),IF(AND(($S443-AH443)&lt;=0,(AG443-$R443)&gt;0),$V443/365*($S443-AG443+1),$V443/365*(AH443-$R443+1))))),0)</f>
        <v>0</v>
      </c>
      <c r="AJ443" s="163">
        <f t="shared" ref="AJ443:AJ446" si="5163">AH443+1</f>
        <v>45778</v>
      </c>
      <c r="AK443" s="163">
        <f t="shared" ref="AK443:AK446" si="5164">AJ443+30</f>
        <v>45808</v>
      </c>
      <c r="AL443" s="167">
        <f t="shared" ref="AL443:AL446" si="5165">IFERROR(IF(($R443-AK443)&gt;=0,0,IF(($S443-AJ443)&lt;0,0,IF(AND(($S443-AK443)&gt;0,(AJ443-$R443)&gt;0),$V443/365*(AK443-AJ443+1),IF(AND(($S443-AK443)&lt;=0,(AJ443-$R443)&gt;0),$V443/365*($S443-AJ443+1),$V443/365*(AK443-$R443+1))))),0)</f>
        <v>0</v>
      </c>
      <c r="AM443" s="163">
        <f t="shared" ref="AM443:AM446" si="5166">AK443+1</f>
        <v>45809</v>
      </c>
      <c r="AN443" s="163">
        <f t="shared" ref="AN443:AN446" si="5167">AM443+29</f>
        <v>45838</v>
      </c>
      <c r="AO443" s="167">
        <f t="shared" ref="AO443:AO446" si="5168">IFERROR(IF(($R443-AN443)&gt;=0,0,IF(($S443-AM443)&lt;0,0,IF(AND(($S443-AN443)&gt;0,(AM443-$R443)&gt;0),$V443/365*(AN443-AM443+1),IF(AND(($S443-AN443)&lt;=0,(AM443-$R443)&gt;0),$V443/365*($S443-AM443+1),$V443/365*(AN443-$R443+1))))),0)</f>
        <v>0</v>
      </c>
      <c r="AP443" s="163">
        <f t="shared" ref="AP443:AP446" si="5169">AN443+1</f>
        <v>45839</v>
      </c>
      <c r="AQ443" s="163">
        <f t="shared" ref="AQ443:AQ446" si="5170">AP443+30</f>
        <v>45869</v>
      </c>
      <c r="AR443" s="167">
        <f t="shared" ref="AR443:AR446" si="5171">IFERROR(IF(($R443-AQ443)&gt;=0,0,IF(($S443-AP443)&lt;0,0,IF(AND(($S443-AQ443)&gt;0,(AP443-$R443)&gt;0),$V443/365*(AQ443-AP443+1),IF(AND(($S443-AQ443)&lt;=0,(AP443-$R443)&gt;0),$V443/365*($S443-AP443+1),$V443/365*(AQ443-$R443+1))))),0)</f>
        <v>0</v>
      </c>
      <c r="AS443" s="163">
        <f t="shared" ref="AS443:AS446" si="5172">AQ443+1</f>
        <v>45870</v>
      </c>
      <c r="AT443" s="163">
        <f t="shared" ref="AT443:AT446" si="5173">AS443+30</f>
        <v>45900</v>
      </c>
      <c r="AU443" s="167">
        <f t="shared" ref="AU443:AU446" si="5174">IFERROR(IF(($R443-AT443)&gt;=0,0,IF(($S443-AS443)&lt;0,0,IF(AND(($S443-AT443)&gt;0,(AS443-$R443)&gt;0),$V443/365*(AT443-AS443+1),IF(AND(($S443-AT443)&lt;=0,(AS443-$R443)&gt;0),$V443/365*($S443-AS443+1),$V443/365*(AT443-$R443+1))))),0)</f>
        <v>0</v>
      </c>
      <c r="AV443" s="163">
        <f t="shared" ref="AV443:AV446" si="5175">AT443+1</f>
        <v>45901</v>
      </c>
      <c r="AW443" s="163">
        <f t="shared" ref="AW443:AW446" si="5176">AV443+29</f>
        <v>45930</v>
      </c>
      <c r="AX443" s="167">
        <f t="shared" ref="AX443:AX446" si="5177">IFERROR(IF(($R443-AW443)&gt;=0,0,IF(($S443-AV443)&lt;0,0,IF(AND(($S443-AW443)&gt;0,(AV443-$R443)&gt;0),$V443/365*(AW443-AV443+1),IF(AND(($S443-AW443)&lt;=0,(AV443-$R443)&gt;0),$V443/365*($S443-AV443+1),$V443/365*(AW443-$R443+1))))),0)</f>
        <v>0</v>
      </c>
      <c r="AY443" s="163">
        <f t="shared" ref="AY443:AY446" si="5178">AW443+1</f>
        <v>45931</v>
      </c>
      <c r="AZ443" s="163">
        <f t="shared" ref="AZ443:AZ446" si="5179">AY443+30</f>
        <v>45961</v>
      </c>
      <c r="BA443" s="167">
        <f t="shared" ref="BA443:BA446" si="5180">IFERROR(IF(($R443-AZ443)&gt;=0,0,IF(($S443-AY443)&lt;0,0,IF(AND(($S443-AZ443)&gt;0,(AY443-$R443)&gt;0),$V443/365*(AZ443-AY443+1),IF(AND(($S443-AZ443)&lt;=0,(AY443-$R443)&gt;0),$V443/365*($S443-AY443+1),$V443/365*(AZ443-$R443+1))))),0)</f>
        <v>0</v>
      </c>
      <c r="BB443" s="163">
        <f t="shared" ref="BB443:BB446" si="5181">AZ443+1</f>
        <v>45962</v>
      </c>
      <c r="BC443" s="163">
        <f t="shared" ref="BC443:BC446" si="5182">BB443+29</f>
        <v>45991</v>
      </c>
      <c r="BD443" s="167">
        <f t="shared" ref="BD443:BD446" si="5183">IFERROR(IF(($R443-BC443)&gt;=0,0,IF(($S443-BB443)&lt;0,0,IF(AND(($S443-BC443)&gt;0,(BB443-$R443)&gt;0),$V443/365*(BC443-BB443+1),IF(AND(($S443-BC443)&lt;=0,(BB443-$R443)&gt;0),$V443/365*($S443-BB443+1),$V443/365*(BC443-$R443+1))))),0)</f>
        <v>0</v>
      </c>
      <c r="BE443" s="163">
        <f t="shared" ref="BE443:BE446" si="5184">BC443+1</f>
        <v>45992</v>
      </c>
      <c r="BF443" s="163">
        <f t="shared" ref="BF443:BF446" si="5185">BE443+30</f>
        <v>46022</v>
      </c>
      <c r="BG443" s="167">
        <f t="shared" ref="BG443:BG446" si="5186">IFERROR(IF(($R443-BF443)&gt;=0,0,IF(($S443-BE443)&lt;0,0,IF(AND(($S443-BF443)&gt;0,(BE443-$R443)&gt;0),$V443/365*(BF443-BE443+1),IF(AND(($S443-BF443)&lt;=0,(BE443-$R443)&gt;0),$V443/365*($S443-BE443+1),$V443/365*(BF443-$R443+1))))),0)</f>
        <v>0</v>
      </c>
      <c r="BH443" s="163">
        <v>46023</v>
      </c>
      <c r="BI443" s="163">
        <f t="shared" ref="BI443:BI446" si="5187">BH443+30</f>
        <v>46053</v>
      </c>
      <c r="BJ443" s="167">
        <f t="shared" ref="BJ443:BJ446" si="5188">IFERROR(IF(($R443-BI443)&gt;=0,0,IF(($S443-BH443)&lt;0,0,IF(AND(($S443-BI443)&gt;0,(BH443-$R443)&gt;0),$V443/365*(BI443-BH443+1),IF(AND(($S443-BI443)&lt;=0,(BH443-$R443)&gt;0),$V443/365*($S443-BH443+1),$V443/365*(BI443-$R443+1))))),0)</f>
        <v>0</v>
      </c>
      <c r="BK443" s="163">
        <f t="shared" ref="BK443:BK446" si="5189">BI443+1</f>
        <v>46054</v>
      </c>
      <c r="BL443" s="163">
        <f t="shared" ref="BL443:BL446" si="5190">BK443+27</f>
        <v>46081</v>
      </c>
      <c r="BM443" s="167">
        <f t="shared" ref="BM443:BM446" si="5191">IFERROR(IF(($R443-BL443)&gt;=0,0,IF(($S443-BK443)&lt;0,0,IF(AND(($S443-BL443)&gt;0,(BK443-$R443)&gt;0),$V443/365*(BL443-BK443+1),IF(AND(($S443-BL443)&lt;=0,(BK443-$R443)&gt;0),$V443/365*($S443-BK443+1),$V443/365*(BL443-$R443+1))))),0)</f>
        <v>0</v>
      </c>
      <c r="BN443" s="163">
        <f t="shared" ref="BN443:BN446" si="5192">BL443+1</f>
        <v>46082</v>
      </c>
      <c r="BO443" s="163">
        <f t="shared" ref="BO443:BO446" si="5193">BN443+30</f>
        <v>46112</v>
      </c>
      <c r="BP443" s="167">
        <f t="shared" ref="BP443:BP446" si="5194">IFERROR(IF(($R443-BO443)&gt;=0,0,IF(($S443-BN443)&lt;0,0,IF(AND(($S443-BO443)&gt;0,(BN443-$R443)&gt;0),$V443/365*(BO443-BN443+1),IF(AND(($S443-BO443)&lt;=0,(BN443-$R443)&gt;0),$V443/365*($S443-BN443+1),$V443/365*(BO443-$R443+1))))),0)</f>
        <v>0</v>
      </c>
      <c r="BQ443" s="163">
        <f t="shared" ref="BQ443:BQ446" si="5195">BO443+1</f>
        <v>46113</v>
      </c>
      <c r="BR443" s="163">
        <f t="shared" ref="BR443:BR446" si="5196">BQ443+29</f>
        <v>46142</v>
      </c>
      <c r="BS443" s="167">
        <f t="shared" ref="BS443:BS446" si="5197">IFERROR(IF(($R443-BR443)&gt;=0,0,IF(($S443-BQ443)&lt;0,0,IF(AND(($S443-BR443)&gt;0,(BQ443-$R443)&gt;0),$V443/365*(BR443-BQ443+1),IF(AND(($S443-BR443)&lt;=0,(BQ443-$R443)&gt;0),$V443/365*($S443-BQ443+1),$V443/365*(BR443-$R443+1))))),0)</f>
        <v>0</v>
      </c>
      <c r="BT443" s="163">
        <f t="shared" ref="BT443:BT446" si="5198">BR443+1</f>
        <v>46143</v>
      </c>
      <c r="BU443" s="163">
        <f t="shared" ref="BU443:BU446" si="5199">BT443+30</f>
        <v>46173</v>
      </c>
      <c r="BV443" s="167">
        <f t="shared" ref="BV443:BV446" si="5200">IFERROR(IF(($R443-BU443)&gt;=0,0,IF(($S443-BT443)&lt;0,0,IF(AND(($S443-BU443)&gt;0,(BT443-$R443)&gt;0),$V443/365*(BU443-BT443+1),IF(AND(($S443-BU443)&lt;=0,(BT443-$R443)&gt;0),$V443/365*($S443-BT443+1),$V443/365*(BU443-$R443+1))))),0)</f>
        <v>0</v>
      </c>
      <c r="BW443" s="163">
        <f t="shared" ref="BW443:BW446" si="5201">BU443+1</f>
        <v>46174</v>
      </c>
      <c r="BX443" s="163">
        <f t="shared" ref="BX443:BX446" si="5202">BW443+29</f>
        <v>46203</v>
      </c>
      <c r="BY443" s="167">
        <f t="shared" ref="BY443:BY446" si="5203">IFERROR(IF(($R443-BX443)&gt;=0,0,IF(($S443-BW443)&lt;0,0,IF(AND(($S443-BX443)&gt;0,(BW443-$R443)&gt;0),$V443/365*(BX443-BW443+1),IF(AND(($S443-BX443)&lt;=0,(BW443-$R443)&gt;0),$V443/365*($S443-BW443+1),$V443/365*(BX443-$R443+1))))),0)</f>
        <v>0</v>
      </c>
      <c r="BZ443" s="163">
        <f t="shared" ref="BZ443:BZ446" si="5204">BX443+1</f>
        <v>46204</v>
      </c>
      <c r="CA443" s="163">
        <f t="shared" ref="CA443:CA446" si="5205">BZ443+30</f>
        <v>46234</v>
      </c>
      <c r="CB443" s="167">
        <f t="shared" ref="CB443:CB446" si="5206">IFERROR(IF(($R443-CA443)&gt;=0,0,IF(($S443-BZ443)&lt;0,0,IF(AND(($S443-CA443)&gt;0,(BZ443-$R443)&gt;0),$V443/365*(CA443-BZ443+1),IF(AND(($S443-CA443)&lt;=0,(BZ443-$R443)&gt;0),$V443/365*($S443-BZ443+1),$V443/365*(CA443-$R443+1))))),0)</f>
        <v>0</v>
      </c>
      <c r="CC443" s="163">
        <f t="shared" ref="CC443:CC446" si="5207">CA443+1</f>
        <v>46235</v>
      </c>
      <c r="CD443" s="163">
        <f t="shared" ref="CD443:CD446" si="5208">CC443+30</f>
        <v>46265</v>
      </c>
      <c r="CE443" s="167">
        <f t="shared" ref="CE443:CE446" si="5209">IFERROR(IF(($R443-CD443)&gt;=0,0,IF(($S443-CC443)&lt;0,0,IF(AND(($S443-CD443)&gt;0,(CC443-$R443)&gt;0),$V443/365*(CD443-CC443+1),IF(AND(($S443-CD443)&lt;=0,(CC443-$R443)&gt;0),$V443/365*($S443-CC443+1),$V443/365*(CD443-$R443+1))))),0)</f>
        <v>0</v>
      </c>
      <c r="CF443" s="163">
        <f t="shared" ref="CF443:CF446" si="5210">CD443+1</f>
        <v>46266</v>
      </c>
      <c r="CG443" s="163">
        <f t="shared" ref="CG443:CG446" si="5211">CF443+29</f>
        <v>46295</v>
      </c>
      <c r="CH443" s="167">
        <f t="shared" ref="CH443:CH446" si="5212">IFERROR(IF(($R443-CG443)&gt;=0,0,IF(($S443-CF443)&lt;0,0,IF(AND(($S443-CG443)&gt;0,(CF443-$R443)&gt;0),$V443/365*(CG443-CF443+1),IF(AND(($S443-CG443)&lt;=0,(CF443-$R443)&gt;0),$V443/365*($S443-CF443+1),$V443/365*(CG443-$R443+1))))),0)</f>
        <v>0</v>
      </c>
      <c r="CI443" s="163">
        <f t="shared" ref="CI443:CI446" si="5213">CG443+1</f>
        <v>46296</v>
      </c>
      <c r="CJ443" s="163">
        <f t="shared" ref="CJ443:CJ446" si="5214">CI443+30</f>
        <v>46326</v>
      </c>
      <c r="CK443" s="167">
        <f t="shared" ref="CK443:CK446" si="5215">IFERROR(IF(($R443-CJ443)&gt;=0,0,IF(($S443-CI443)&lt;0,0,IF(AND(($S443-CJ443)&gt;0,(CI443-$R443)&gt;0),$V443/365*(CJ443-CI443+1),IF(AND(($S443-CJ443)&lt;=0,(CI443-$R443)&gt;0),$V443/365*($S443-CI443+1),$V443/365*(CJ443-$R443+1))))),0)</f>
        <v>0</v>
      </c>
      <c r="CL443" s="163">
        <f t="shared" ref="CL443:CL446" si="5216">CJ443+1</f>
        <v>46327</v>
      </c>
      <c r="CM443" s="163">
        <f t="shared" ref="CM443:CM446" si="5217">CL443+29</f>
        <v>46356</v>
      </c>
      <c r="CN443" s="167">
        <f t="shared" ref="CN443:CN446" si="5218">IFERROR(IF(($R443-CM443)&gt;=0,0,IF(($S443-CL443)&lt;0,0,IF(AND(($S443-CM443)&gt;0,(CL443-$R443)&gt;0),$V443/365*(CM443-CL443+1),IF(AND(($S443-CM443)&lt;=0,(CL443-$R443)&gt;0),$V443/365*($S443-CL443+1),$V443/365*(CM443-$R443+1))))),0)</f>
        <v>0</v>
      </c>
      <c r="CO443" s="163">
        <f t="shared" ref="CO443:CO446" si="5219">CM443+1</f>
        <v>46357</v>
      </c>
      <c r="CP443" s="163">
        <f t="shared" ref="CP443:CP446" si="5220">CO443+30</f>
        <v>46387</v>
      </c>
      <c r="CQ443" s="167">
        <f t="shared" ref="CQ443:CQ446" si="5221">IFERROR(IF(($R443-CP443)&gt;=0,0,IF(($S443-CO443)&lt;0,0,IF(AND(($S443-CP443)&gt;0,(CO443-$R443)&gt;0),$V443/365*(CP443-CO443+1),IF(AND(($S443-CP443)&lt;=0,(CO443-$R443)&gt;0),$V443/365*($S443-CO443+1),$V443/365*(CP443-$R443+1))))),0)</f>
        <v>0</v>
      </c>
    </row>
    <row r="444" s="89" customFormat="1" ht="24" hidden="1" customHeight="1" outlineLevel="3" spans="1:95">
      <c r="A444" s="128"/>
      <c r="B444" s="129"/>
      <c r="C444" s="130"/>
      <c r="D444" s="128"/>
      <c r="E444" s="129"/>
      <c r="F444" s="129"/>
      <c r="G444" s="129"/>
      <c r="H444" s="131"/>
      <c r="I444" s="131"/>
      <c r="J444" s="131">
        <f>Z444+AC444+AF444+AI444+AL444+AO444+AR444+AU444+AX444+BA444+BD444+BG444</f>
        <v>0</v>
      </c>
      <c r="K444" s="131">
        <f t="shared" ref="K444:K446" si="5222">K443+1</f>
        <v>2</v>
      </c>
      <c r="L444" s="156"/>
      <c r="M444" s="157">
        <f>IFERROR(VLOOKUP($L444,'2-2 引出数据_合同数据仓库'!$B$5:$BP$200,3,FALSE),0)</f>
        <v>0</v>
      </c>
      <c r="N444" s="131"/>
      <c r="O444" s="157">
        <f>IFERROR(VLOOKUP((LEFT(VLOOKUP($L444,'2-2 引出数据_合同数据仓库'!$B$5:$BP$200,64,FALSE),15)&amp;(RIGHT(VLOOKUP($L444,'2-2 引出数据_合同数据仓库'!$B$5:$BP$200,64,FALSE),4)+1)),'2-2 引出数据_合同数据仓库'!$B$5:$BP$200,3,FALSE),0)</f>
        <v>0</v>
      </c>
      <c r="P444" s="131"/>
      <c r="Q444" s="131">
        <f>IFERROR(VLOOKUP($L444,'2-2 引出数据_合同数据仓库'!$B$5:$BP$200,28,FALSE),0)</f>
        <v>0</v>
      </c>
      <c r="R444" s="131">
        <f>IFERROR(VLOOKUP($L444,'2-2 引出数据_合同数据仓库'!$B$5:$BP$200,29,FALSE),0)</f>
        <v>0</v>
      </c>
      <c r="S444" s="131">
        <f>IFERROR(VLOOKUP($L444,'2-2 引出数据_合同数据仓库'!$B$5:$BP$200,4,FALSE),0)</f>
        <v>0</v>
      </c>
      <c r="T444" s="131"/>
      <c r="U444" s="131">
        <f>IFERROR(VLOOKUP($L444,'2-2 引出数据_合同数据仓库'!$B$5:$BP$200,15,FALSE),0)</f>
        <v>0</v>
      </c>
      <c r="V444" s="131">
        <f t="shared" si="5151"/>
        <v>0</v>
      </c>
      <c r="W444" s="131"/>
      <c r="X444" s="163">
        <v>45658</v>
      </c>
      <c r="Y444" s="163">
        <f t="shared" si="5152"/>
        <v>45688</v>
      </c>
      <c r="Z444" s="167">
        <f t="shared" si="5153"/>
        <v>0</v>
      </c>
      <c r="AA444" s="163">
        <f t="shared" si="5154"/>
        <v>45689</v>
      </c>
      <c r="AB444" s="163">
        <f t="shared" si="5155"/>
        <v>45716</v>
      </c>
      <c r="AC444" s="167">
        <f t="shared" si="5156"/>
        <v>0</v>
      </c>
      <c r="AD444" s="163">
        <f t="shared" si="5157"/>
        <v>45717</v>
      </c>
      <c r="AE444" s="163">
        <f t="shared" si="5158"/>
        <v>45747</v>
      </c>
      <c r="AF444" s="167">
        <f t="shared" si="5159"/>
        <v>0</v>
      </c>
      <c r="AG444" s="163">
        <f t="shared" si="5160"/>
        <v>45748</v>
      </c>
      <c r="AH444" s="163">
        <f t="shared" si="5161"/>
        <v>45777</v>
      </c>
      <c r="AI444" s="167">
        <f t="shared" si="5162"/>
        <v>0</v>
      </c>
      <c r="AJ444" s="163">
        <f t="shared" si="5163"/>
        <v>45778</v>
      </c>
      <c r="AK444" s="163">
        <f t="shared" si="5164"/>
        <v>45808</v>
      </c>
      <c r="AL444" s="167">
        <f t="shared" si="5165"/>
        <v>0</v>
      </c>
      <c r="AM444" s="163">
        <f t="shared" si="5166"/>
        <v>45809</v>
      </c>
      <c r="AN444" s="163">
        <f t="shared" si="5167"/>
        <v>45838</v>
      </c>
      <c r="AO444" s="167">
        <f t="shared" si="5168"/>
        <v>0</v>
      </c>
      <c r="AP444" s="163">
        <f t="shared" si="5169"/>
        <v>45839</v>
      </c>
      <c r="AQ444" s="163">
        <f t="shared" si="5170"/>
        <v>45869</v>
      </c>
      <c r="AR444" s="167">
        <f t="shared" si="5171"/>
        <v>0</v>
      </c>
      <c r="AS444" s="163">
        <f t="shared" si="5172"/>
        <v>45870</v>
      </c>
      <c r="AT444" s="163">
        <f t="shared" si="5173"/>
        <v>45900</v>
      </c>
      <c r="AU444" s="167">
        <f t="shared" si="5174"/>
        <v>0</v>
      </c>
      <c r="AV444" s="163">
        <f t="shared" si="5175"/>
        <v>45901</v>
      </c>
      <c r="AW444" s="163">
        <f t="shared" si="5176"/>
        <v>45930</v>
      </c>
      <c r="AX444" s="167">
        <f t="shared" si="5177"/>
        <v>0</v>
      </c>
      <c r="AY444" s="163">
        <f t="shared" si="5178"/>
        <v>45931</v>
      </c>
      <c r="AZ444" s="163">
        <f t="shared" si="5179"/>
        <v>45961</v>
      </c>
      <c r="BA444" s="167">
        <f t="shared" si="5180"/>
        <v>0</v>
      </c>
      <c r="BB444" s="163">
        <f t="shared" si="5181"/>
        <v>45962</v>
      </c>
      <c r="BC444" s="163">
        <f t="shared" si="5182"/>
        <v>45991</v>
      </c>
      <c r="BD444" s="167">
        <f t="shared" si="5183"/>
        <v>0</v>
      </c>
      <c r="BE444" s="163">
        <f t="shared" si="5184"/>
        <v>45992</v>
      </c>
      <c r="BF444" s="163">
        <f t="shared" si="5185"/>
        <v>46022</v>
      </c>
      <c r="BG444" s="167">
        <f t="shared" si="5186"/>
        <v>0</v>
      </c>
      <c r="BH444" s="163">
        <v>46023</v>
      </c>
      <c r="BI444" s="163">
        <f t="shared" si="5187"/>
        <v>46053</v>
      </c>
      <c r="BJ444" s="167">
        <f t="shared" si="5188"/>
        <v>0</v>
      </c>
      <c r="BK444" s="163">
        <f t="shared" si="5189"/>
        <v>46054</v>
      </c>
      <c r="BL444" s="163">
        <f t="shared" si="5190"/>
        <v>46081</v>
      </c>
      <c r="BM444" s="167">
        <f t="shared" si="5191"/>
        <v>0</v>
      </c>
      <c r="BN444" s="163">
        <f t="shared" si="5192"/>
        <v>46082</v>
      </c>
      <c r="BO444" s="163">
        <f t="shared" si="5193"/>
        <v>46112</v>
      </c>
      <c r="BP444" s="167">
        <f t="shared" si="5194"/>
        <v>0</v>
      </c>
      <c r="BQ444" s="163">
        <f t="shared" si="5195"/>
        <v>46113</v>
      </c>
      <c r="BR444" s="163">
        <f t="shared" si="5196"/>
        <v>46142</v>
      </c>
      <c r="BS444" s="167">
        <f t="shared" si="5197"/>
        <v>0</v>
      </c>
      <c r="BT444" s="163">
        <f t="shared" si="5198"/>
        <v>46143</v>
      </c>
      <c r="BU444" s="163">
        <f t="shared" si="5199"/>
        <v>46173</v>
      </c>
      <c r="BV444" s="167">
        <f t="shared" si="5200"/>
        <v>0</v>
      </c>
      <c r="BW444" s="163">
        <f t="shared" si="5201"/>
        <v>46174</v>
      </c>
      <c r="BX444" s="163">
        <f t="shared" si="5202"/>
        <v>46203</v>
      </c>
      <c r="BY444" s="167">
        <f t="shared" si="5203"/>
        <v>0</v>
      </c>
      <c r="BZ444" s="163">
        <f t="shared" si="5204"/>
        <v>46204</v>
      </c>
      <c r="CA444" s="163">
        <f t="shared" si="5205"/>
        <v>46234</v>
      </c>
      <c r="CB444" s="167">
        <f t="shared" si="5206"/>
        <v>0</v>
      </c>
      <c r="CC444" s="163">
        <f t="shared" si="5207"/>
        <v>46235</v>
      </c>
      <c r="CD444" s="163">
        <f t="shared" si="5208"/>
        <v>46265</v>
      </c>
      <c r="CE444" s="167">
        <f t="shared" si="5209"/>
        <v>0</v>
      </c>
      <c r="CF444" s="163">
        <f t="shared" si="5210"/>
        <v>46266</v>
      </c>
      <c r="CG444" s="163">
        <f t="shared" si="5211"/>
        <v>46295</v>
      </c>
      <c r="CH444" s="167">
        <f t="shared" si="5212"/>
        <v>0</v>
      </c>
      <c r="CI444" s="163">
        <f t="shared" si="5213"/>
        <v>46296</v>
      </c>
      <c r="CJ444" s="163">
        <f t="shared" si="5214"/>
        <v>46326</v>
      </c>
      <c r="CK444" s="167">
        <f t="shared" si="5215"/>
        <v>0</v>
      </c>
      <c r="CL444" s="163">
        <f t="shared" si="5216"/>
        <v>46327</v>
      </c>
      <c r="CM444" s="163">
        <f t="shared" si="5217"/>
        <v>46356</v>
      </c>
      <c r="CN444" s="167">
        <f t="shared" si="5218"/>
        <v>0</v>
      </c>
      <c r="CO444" s="163">
        <f t="shared" si="5219"/>
        <v>46357</v>
      </c>
      <c r="CP444" s="163">
        <f t="shared" si="5220"/>
        <v>46387</v>
      </c>
      <c r="CQ444" s="167">
        <f t="shared" si="5221"/>
        <v>0</v>
      </c>
    </row>
    <row r="445" s="89" customFormat="1" ht="24" hidden="1" customHeight="1" outlineLevel="3" spans="1:95">
      <c r="A445" s="128"/>
      <c r="B445" s="129"/>
      <c r="C445" s="130"/>
      <c r="D445" s="128"/>
      <c r="E445" s="129"/>
      <c r="F445" s="129"/>
      <c r="G445" s="129"/>
      <c r="H445" s="131"/>
      <c r="I445" s="131"/>
      <c r="J445" s="131">
        <f>Z445+AC445+AF445+AI445+AL445+AO445+AR445+AU445+AX445+BA445+BD445+BG445</f>
        <v>0</v>
      </c>
      <c r="K445" s="131">
        <f t="shared" si="5222"/>
        <v>3</v>
      </c>
      <c r="L445" s="156"/>
      <c r="M445" s="157">
        <f>IFERROR(VLOOKUP($L445,'2-2 引出数据_合同数据仓库'!$B$5:$BP$200,3,FALSE),0)</f>
        <v>0</v>
      </c>
      <c r="N445" s="131"/>
      <c r="O445" s="157">
        <f>IFERROR(VLOOKUP((LEFT(VLOOKUP($L445,'2-2 引出数据_合同数据仓库'!$B$5:$BP$200,64,FALSE),15)&amp;(RIGHT(VLOOKUP($L445,'2-2 引出数据_合同数据仓库'!$B$5:$BP$200,64,FALSE),4)+1)),'2-2 引出数据_合同数据仓库'!$B$5:$BP$200,3,FALSE),0)</f>
        <v>0</v>
      </c>
      <c r="P445" s="131"/>
      <c r="Q445" s="131">
        <f>IFERROR(VLOOKUP($L445,'2-2 引出数据_合同数据仓库'!$B$5:$BP$200,28,FALSE),0)</f>
        <v>0</v>
      </c>
      <c r="R445" s="131">
        <f>IFERROR(VLOOKUP($L445,'2-2 引出数据_合同数据仓库'!$B$5:$BP$200,29,FALSE),0)</f>
        <v>0</v>
      </c>
      <c r="S445" s="131">
        <f>IFERROR(VLOOKUP($L445,'2-2 引出数据_合同数据仓库'!$B$5:$BP$200,4,FALSE),0)</f>
        <v>0</v>
      </c>
      <c r="T445" s="131"/>
      <c r="U445" s="131">
        <f>IFERROR(VLOOKUP($L445,'2-2 引出数据_合同数据仓库'!$B$5:$BP$200,15,FALSE),0)</f>
        <v>0</v>
      </c>
      <c r="V445" s="131">
        <f t="shared" si="5151"/>
        <v>0</v>
      </c>
      <c r="W445" s="131"/>
      <c r="X445" s="163">
        <v>45658</v>
      </c>
      <c r="Y445" s="163">
        <f t="shared" si="5152"/>
        <v>45688</v>
      </c>
      <c r="Z445" s="167">
        <f t="shared" si="5153"/>
        <v>0</v>
      </c>
      <c r="AA445" s="163">
        <f t="shared" si="5154"/>
        <v>45689</v>
      </c>
      <c r="AB445" s="163">
        <f t="shared" si="5155"/>
        <v>45716</v>
      </c>
      <c r="AC445" s="167">
        <f t="shared" si="5156"/>
        <v>0</v>
      </c>
      <c r="AD445" s="163">
        <f t="shared" si="5157"/>
        <v>45717</v>
      </c>
      <c r="AE445" s="163">
        <f t="shared" si="5158"/>
        <v>45747</v>
      </c>
      <c r="AF445" s="167">
        <f t="shared" si="5159"/>
        <v>0</v>
      </c>
      <c r="AG445" s="163">
        <f t="shared" si="5160"/>
        <v>45748</v>
      </c>
      <c r="AH445" s="163">
        <f t="shared" si="5161"/>
        <v>45777</v>
      </c>
      <c r="AI445" s="167">
        <f t="shared" si="5162"/>
        <v>0</v>
      </c>
      <c r="AJ445" s="163">
        <f t="shared" si="5163"/>
        <v>45778</v>
      </c>
      <c r="AK445" s="163">
        <f t="shared" si="5164"/>
        <v>45808</v>
      </c>
      <c r="AL445" s="167">
        <f t="shared" si="5165"/>
        <v>0</v>
      </c>
      <c r="AM445" s="163">
        <f t="shared" si="5166"/>
        <v>45809</v>
      </c>
      <c r="AN445" s="163">
        <f t="shared" si="5167"/>
        <v>45838</v>
      </c>
      <c r="AO445" s="167">
        <f t="shared" si="5168"/>
        <v>0</v>
      </c>
      <c r="AP445" s="163">
        <f t="shared" si="5169"/>
        <v>45839</v>
      </c>
      <c r="AQ445" s="163">
        <f t="shared" si="5170"/>
        <v>45869</v>
      </c>
      <c r="AR445" s="167">
        <f t="shared" si="5171"/>
        <v>0</v>
      </c>
      <c r="AS445" s="163">
        <f t="shared" si="5172"/>
        <v>45870</v>
      </c>
      <c r="AT445" s="163">
        <f t="shared" si="5173"/>
        <v>45900</v>
      </c>
      <c r="AU445" s="167">
        <f t="shared" si="5174"/>
        <v>0</v>
      </c>
      <c r="AV445" s="163">
        <f t="shared" si="5175"/>
        <v>45901</v>
      </c>
      <c r="AW445" s="163">
        <f t="shared" si="5176"/>
        <v>45930</v>
      </c>
      <c r="AX445" s="167">
        <f t="shared" si="5177"/>
        <v>0</v>
      </c>
      <c r="AY445" s="163">
        <f t="shared" si="5178"/>
        <v>45931</v>
      </c>
      <c r="AZ445" s="163">
        <f t="shared" si="5179"/>
        <v>45961</v>
      </c>
      <c r="BA445" s="167">
        <f t="shared" si="5180"/>
        <v>0</v>
      </c>
      <c r="BB445" s="163">
        <f t="shared" si="5181"/>
        <v>45962</v>
      </c>
      <c r="BC445" s="163">
        <f t="shared" si="5182"/>
        <v>45991</v>
      </c>
      <c r="BD445" s="167">
        <f t="shared" si="5183"/>
        <v>0</v>
      </c>
      <c r="BE445" s="163">
        <f t="shared" si="5184"/>
        <v>45992</v>
      </c>
      <c r="BF445" s="163">
        <f t="shared" si="5185"/>
        <v>46022</v>
      </c>
      <c r="BG445" s="167">
        <f t="shared" si="5186"/>
        <v>0</v>
      </c>
      <c r="BH445" s="163">
        <v>46023</v>
      </c>
      <c r="BI445" s="163">
        <f t="shared" si="5187"/>
        <v>46053</v>
      </c>
      <c r="BJ445" s="167">
        <f t="shared" si="5188"/>
        <v>0</v>
      </c>
      <c r="BK445" s="163">
        <f t="shared" si="5189"/>
        <v>46054</v>
      </c>
      <c r="BL445" s="163">
        <f t="shared" si="5190"/>
        <v>46081</v>
      </c>
      <c r="BM445" s="167">
        <f t="shared" si="5191"/>
        <v>0</v>
      </c>
      <c r="BN445" s="163">
        <f t="shared" si="5192"/>
        <v>46082</v>
      </c>
      <c r="BO445" s="163">
        <f t="shared" si="5193"/>
        <v>46112</v>
      </c>
      <c r="BP445" s="167">
        <f t="shared" si="5194"/>
        <v>0</v>
      </c>
      <c r="BQ445" s="163">
        <f t="shared" si="5195"/>
        <v>46113</v>
      </c>
      <c r="BR445" s="163">
        <f t="shared" si="5196"/>
        <v>46142</v>
      </c>
      <c r="BS445" s="167">
        <f t="shared" si="5197"/>
        <v>0</v>
      </c>
      <c r="BT445" s="163">
        <f t="shared" si="5198"/>
        <v>46143</v>
      </c>
      <c r="BU445" s="163">
        <f t="shared" si="5199"/>
        <v>46173</v>
      </c>
      <c r="BV445" s="167">
        <f t="shared" si="5200"/>
        <v>0</v>
      </c>
      <c r="BW445" s="163">
        <f t="shared" si="5201"/>
        <v>46174</v>
      </c>
      <c r="BX445" s="163">
        <f t="shared" si="5202"/>
        <v>46203</v>
      </c>
      <c r="BY445" s="167">
        <f t="shared" si="5203"/>
        <v>0</v>
      </c>
      <c r="BZ445" s="163">
        <f t="shared" si="5204"/>
        <v>46204</v>
      </c>
      <c r="CA445" s="163">
        <f t="shared" si="5205"/>
        <v>46234</v>
      </c>
      <c r="CB445" s="167">
        <f t="shared" si="5206"/>
        <v>0</v>
      </c>
      <c r="CC445" s="163">
        <f t="shared" si="5207"/>
        <v>46235</v>
      </c>
      <c r="CD445" s="163">
        <f t="shared" si="5208"/>
        <v>46265</v>
      </c>
      <c r="CE445" s="167">
        <f t="shared" si="5209"/>
        <v>0</v>
      </c>
      <c r="CF445" s="163">
        <f t="shared" si="5210"/>
        <v>46266</v>
      </c>
      <c r="CG445" s="163">
        <f t="shared" si="5211"/>
        <v>46295</v>
      </c>
      <c r="CH445" s="167">
        <f t="shared" si="5212"/>
        <v>0</v>
      </c>
      <c r="CI445" s="163">
        <f t="shared" si="5213"/>
        <v>46296</v>
      </c>
      <c r="CJ445" s="163">
        <f t="shared" si="5214"/>
        <v>46326</v>
      </c>
      <c r="CK445" s="167">
        <f t="shared" si="5215"/>
        <v>0</v>
      </c>
      <c r="CL445" s="163">
        <f t="shared" si="5216"/>
        <v>46327</v>
      </c>
      <c r="CM445" s="163">
        <f t="shared" si="5217"/>
        <v>46356</v>
      </c>
      <c r="CN445" s="167">
        <f t="shared" si="5218"/>
        <v>0</v>
      </c>
      <c r="CO445" s="163">
        <f t="shared" si="5219"/>
        <v>46357</v>
      </c>
      <c r="CP445" s="163">
        <f t="shared" si="5220"/>
        <v>46387</v>
      </c>
      <c r="CQ445" s="167">
        <f t="shared" si="5221"/>
        <v>0</v>
      </c>
    </row>
    <row r="446" s="89" customFormat="1" ht="24" hidden="1" customHeight="1" outlineLevel="3" collapsed="1" spans="1:95">
      <c r="A446" s="128"/>
      <c r="B446" s="129"/>
      <c r="C446" s="130"/>
      <c r="D446" s="128"/>
      <c r="E446" s="129"/>
      <c r="F446" s="129"/>
      <c r="G446" s="129"/>
      <c r="H446" s="131"/>
      <c r="I446" s="131"/>
      <c r="J446" s="131">
        <f>Z446+AC446+AF446+AI446+AL446+AO446+AR446+AU446+AX446+BA446+BD446+BG446</f>
        <v>0</v>
      </c>
      <c r="K446" s="131">
        <f t="shared" si="5222"/>
        <v>4</v>
      </c>
      <c r="L446" s="156"/>
      <c r="M446" s="157">
        <f>IFERROR(VLOOKUP($L446,'2-2 引出数据_合同数据仓库'!$B$5:$BP$200,3,FALSE),0)</f>
        <v>0</v>
      </c>
      <c r="N446" s="131"/>
      <c r="O446" s="157">
        <f>IFERROR(VLOOKUP((LEFT(VLOOKUP($L446,'2-2 引出数据_合同数据仓库'!$B$5:$BP$200,64,FALSE),15)&amp;(RIGHT(VLOOKUP($L446,'2-2 引出数据_合同数据仓库'!$B$5:$BP$200,64,FALSE),4)+1)),'2-2 引出数据_合同数据仓库'!$B$5:$BP$200,3,FALSE),0)</f>
        <v>0</v>
      </c>
      <c r="P446" s="131"/>
      <c r="Q446" s="131">
        <f>IFERROR(VLOOKUP($L446,'2-2 引出数据_合同数据仓库'!$B$5:$BP$200,28,FALSE),0)</f>
        <v>0</v>
      </c>
      <c r="R446" s="131">
        <f>IFERROR(VLOOKUP($L446,'2-2 引出数据_合同数据仓库'!$B$5:$BP$200,29,FALSE),0)</f>
        <v>0</v>
      </c>
      <c r="S446" s="131">
        <f>IFERROR(VLOOKUP($L446,'2-2 引出数据_合同数据仓库'!$B$5:$BP$200,4,FALSE),0)</f>
        <v>0</v>
      </c>
      <c r="T446" s="131"/>
      <c r="U446" s="131">
        <f>IFERROR(VLOOKUP($L446,'2-2 引出数据_合同数据仓库'!$B$5:$BP$200,15,FALSE),0)</f>
        <v>0</v>
      </c>
      <c r="V446" s="131">
        <f t="shared" si="5151"/>
        <v>0</v>
      </c>
      <c r="W446" s="131"/>
      <c r="X446" s="163">
        <v>45658</v>
      </c>
      <c r="Y446" s="163">
        <f t="shared" si="5152"/>
        <v>45688</v>
      </c>
      <c r="Z446" s="167">
        <f t="shared" si="5153"/>
        <v>0</v>
      </c>
      <c r="AA446" s="163">
        <f t="shared" si="5154"/>
        <v>45689</v>
      </c>
      <c r="AB446" s="163">
        <f t="shared" si="5155"/>
        <v>45716</v>
      </c>
      <c r="AC446" s="167">
        <f t="shared" si="5156"/>
        <v>0</v>
      </c>
      <c r="AD446" s="163">
        <f t="shared" si="5157"/>
        <v>45717</v>
      </c>
      <c r="AE446" s="163">
        <f t="shared" si="5158"/>
        <v>45747</v>
      </c>
      <c r="AF446" s="167">
        <f t="shared" si="5159"/>
        <v>0</v>
      </c>
      <c r="AG446" s="163">
        <f t="shared" si="5160"/>
        <v>45748</v>
      </c>
      <c r="AH446" s="163">
        <f t="shared" si="5161"/>
        <v>45777</v>
      </c>
      <c r="AI446" s="167">
        <f t="shared" si="5162"/>
        <v>0</v>
      </c>
      <c r="AJ446" s="163">
        <f t="shared" si="5163"/>
        <v>45778</v>
      </c>
      <c r="AK446" s="163">
        <f t="shared" si="5164"/>
        <v>45808</v>
      </c>
      <c r="AL446" s="167">
        <f t="shared" si="5165"/>
        <v>0</v>
      </c>
      <c r="AM446" s="163">
        <f t="shared" si="5166"/>
        <v>45809</v>
      </c>
      <c r="AN446" s="163">
        <f t="shared" si="5167"/>
        <v>45838</v>
      </c>
      <c r="AO446" s="167">
        <f t="shared" si="5168"/>
        <v>0</v>
      </c>
      <c r="AP446" s="163">
        <f t="shared" si="5169"/>
        <v>45839</v>
      </c>
      <c r="AQ446" s="163">
        <f t="shared" si="5170"/>
        <v>45869</v>
      </c>
      <c r="AR446" s="167">
        <f t="shared" si="5171"/>
        <v>0</v>
      </c>
      <c r="AS446" s="163">
        <f t="shared" si="5172"/>
        <v>45870</v>
      </c>
      <c r="AT446" s="163">
        <f t="shared" si="5173"/>
        <v>45900</v>
      </c>
      <c r="AU446" s="167">
        <f t="shared" si="5174"/>
        <v>0</v>
      </c>
      <c r="AV446" s="163">
        <f t="shared" si="5175"/>
        <v>45901</v>
      </c>
      <c r="AW446" s="163">
        <f t="shared" si="5176"/>
        <v>45930</v>
      </c>
      <c r="AX446" s="167">
        <f t="shared" si="5177"/>
        <v>0</v>
      </c>
      <c r="AY446" s="163">
        <f t="shared" si="5178"/>
        <v>45931</v>
      </c>
      <c r="AZ446" s="163">
        <f t="shared" si="5179"/>
        <v>45961</v>
      </c>
      <c r="BA446" s="167">
        <f t="shared" si="5180"/>
        <v>0</v>
      </c>
      <c r="BB446" s="163">
        <f t="shared" si="5181"/>
        <v>45962</v>
      </c>
      <c r="BC446" s="163">
        <f t="shared" si="5182"/>
        <v>45991</v>
      </c>
      <c r="BD446" s="167">
        <f t="shared" si="5183"/>
        <v>0</v>
      </c>
      <c r="BE446" s="163">
        <f t="shared" si="5184"/>
        <v>45992</v>
      </c>
      <c r="BF446" s="163">
        <f t="shared" si="5185"/>
        <v>46022</v>
      </c>
      <c r="BG446" s="167">
        <f t="shared" si="5186"/>
        <v>0</v>
      </c>
      <c r="BH446" s="163">
        <v>46023</v>
      </c>
      <c r="BI446" s="163">
        <f t="shared" si="5187"/>
        <v>46053</v>
      </c>
      <c r="BJ446" s="167">
        <f t="shared" si="5188"/>
        <v>0</v>
      </c>
      <c r="BK446" s="163">
        <f t="shared" si="5189"/>
        <v>46054</v>
      </c>
      <c r="BL446" s="163">
        <f t="shared" si="5190"/>
        <v>46081</v>
      </c>
      <c r="BM446" s="167">
        <f t="shared" si="5191"/>
        <v>0</v>
      </c>
      <c r="BN446" s="163">
        <f t="shared" si="5192"/>
        <v>46082</v>
      </c>
      <c r="BO446" s="163">
        <f t="shared" si="5193"/>
        <v>46112</v>
      </c>
      <c r="BP446" s="167">
        <f t="shared" si="5194"/>
        <v>0</v>
      </c>
      <c r="BQ446" s="163">
        <f t="shared" si="5195"/>
        <v>46113</v>
      </c>
      <c r="BR446" s="163">
        <f t="shared" si="5196"/>
        <v>46142</v>
      </c>
      <c r="BS446" s="167">
        <f t="shared" si="5197"/>
        <v>0</v>
      </c>
      <c r="BT446" s="163">
        <f t="shared" si="5198"/>
        <v>46143</v>
      </c>
      <c r="BU446" s="163">
        <f t="shared" si="5199"/>
        <v>46173</v>
      </c>
      <c r="BV446" s="167">
        <f t="shared" si="5200"/>
        <v>0</v>
      </c>
      <c r="BW446" s="163">
        <f t="shared" si="5201"/>
        <v>46174</v>
      </c>
      <c r="BX446" s="163">
        <f t="shared" si="5202"/>
        <v>46203</v>
      </c>
      <c r="BY446" s="167">
        <f t="shared" si="5203"/>
        <v>0</v>
      </c>
      <c r="BZ446" s="163">
        <f t="shared" si="5204"/>
        <v>46204</v>
      </c>
      <c r="CA446" s="163">
        <f t="shared" si="5205"/>
        <v>46234</v>
      </c>
      <c r="CB446" s="167">
        <f t="shared" si="5206"/>
        <v>0</v>
      </c>
      <c r="CC446" s="163">
        <f t="shared" si="5207"/>
        <v>46235</v>
      </c>
      <c r="CD446" s="163">
        <f t="shared" si="5208"/>
        <v>46265</v>
      </c>
      <c r="CE446" s="167">
        <f t="shared" si="5209"/>
        <v>0</v>
      </c>
      <c r="CF446" s="163">
        <f t="shared" si="5210"/>
        <v>46266</v>
      </c>
      <c r="CG446" s="163">
        <f t="shared" si="5211"/>
        <v>46295</v>
      </c>
      <c r="CH446" s="167">
        <f t="shared" si="5212"/>
        <v>0</v>
      </c>
      <c r="CI446" s="163">
        <f t="shared" si="5213"/>
        <v>46296</v>
      </c>
      <c r="CJ446" s="163">
        <f t="shared" si="5214"/>
        <v>46326</v>
      </c>
      <c r="CK446" s="167">
        <f t="shared" si="5215"/>
        <v>0</v>
      </c>
      <c r="CL446" s="163">
        <f t="shared" si="5216"/>
        <v>46327</v>
      </c>
      <c r="CM446" s="163">
        <f t="shared" si="5217"/>
        <v>46356</v>
      </c>
      <c r="CN446" s="167">
        <f t="shared" si="5218"/>
        <v>0</v>
      </c>
      <c r="CO446" s="163">
        <f t="shared" si="5219"/>
        <v>46357</v>
      </c>
      <c r="CP446" s="163">
        <f t="shared" si="5220"/>
        <v>46387</v>
      </c>
      <c r="CQ446" s="167">
        <f t="shared" si="5221"/>
        <v>0</v>
      </c>
    </row>
    <row r="447" s="89" customFormat="1" ht="24" hidden="1" customHeight="1" outlineLevel="4" spans="1:95">
      <c r="A447" s="132" t="s">
        <v>2813</v>
      </c>
      <c r="B447" s="133"/>
      <c r="C447" s="133"/>
      <c r="D447" s="133"/>
      <c r="E447" s="133"/>
      <c r="F447" s="133"/>
      <c r="G447" s="134"/>
      <c r="H447" s="135"/>
      <c r="I447" s="135"/>
      <c r="J447" s="135"/>
      <c r="K447" s="135"/>
      <c r="L447" s="158"/>
      <c r="M447" s="158"/>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c r="CL447" s="135"/>
      <c r="CM447" s="135"/>
      <c r="CN447" s="135"/>
      <c r="CO447" s="135"/>
      <c r="CP447" s="135"/>
      <c r="CQ447" s="135"/>
    </row>
    <row r="448" ht="24" customHeight="1" outlineLevel="2" collapsed="1" spans="1:95">
      <c r="A448" s="43"/>
      <c r="B448" s="121" t="s">
        <v>792</v>
      </c>
      <c r="C448" s="122" t="s">
        <v>1491</v>
      </c>
      <c r="D448" s="43" t="s">
        <v>1492</v>
      </c>
      <c r="E448" s="121"/>
      <c r="F448" s="121"/>
      <c r="G448" s="121"/>
      <c r="H448" s="123">
        <f>X448+AA448+AD448+AG448+AJ448+AM448+AP448+AS448+AV448+AY448+BB448+BE448</f>
        <v>0</v>
      </c>
      <c r="I448" s="123">
        <f>Y448+AB448+AE448+AH448+AK448+AN448+AQ448+AT448+AW448+AZ448+BC448+BF448</f>
        <v>-144266.055958702</v>
      </c>
      <c r="J448" s="123">
        <f>Z448+AC448+AF448+AI448+AL448+AO448+AR448+AU448+AX448+BA448+BD448+BG448</f>
        <v>144266.055958702</v>
      </c>
      <c r="K448" s="123"/>
      <c r="L448" s="154"/>
      <c r="M448" s="154"/>
      <c r="N448" s="123"/>
      <c r="O448" s="123"/>
      <c r="P448" s="123"/>
      <c r="Q448" s="123"/>
      <c r="R448" s="123"/>
      <c r="S448" s="123"/>
      <c r="T448" s="123"/>
      <c r="U448" s="123"/>
      <c r="V448" s="123"/>
      <c r="W448" s="123"/>
      <c r="X448" s="123">
        <f>VLOOKUP($C448,'1 预算编制表单'!$C:$BJ,27,FALSE)</f>
        <v>0</v>
      </c>
      <c r="Y448" s="123">
        <f>X448-Z448</f>
        <v>0</v>
      </c>
      <c r="Z448" s="123">
        <f>SUM(Z449:Z453)</f>
        <v>0</v>
      </c>
      <c r="AA448" s="123">
        <f>VLOOKUP($C448,'1 预算编制表单'!$C:$BJ,30,FALSE)</f>
        <v>0</v>
      </c>
      <c r="AB448" s="123">
        <f>AA448-AC448</f>
        <v>0</v>
      </c>
      <c r="AC448" s="123">
        <f>SUM(AC449:AC453)</f>
        <v>0</v>
      </c>
      <c r="AD448" s="123">
        <f>VLOOKUP($C448,'1 预算编制表单'!$C:$BJ,33,FALSE)</f>
        <v>0</v>
      </c>
      <c r="AE448" s="123">
        <f>AD448-AF448</f>
        <v>0</v>
      </c>
      <c r="AF448" s="123">
        <f>SUM(AF449:AF453)</f>
        <v>0</v>
      </c>
      <c r="AG448" s="123">
        <f>VLOOKUP($C448,'1 预算编制表单'!$C:$BJ,36,FALSE)</f>
        <v>0</v>
      </c>
      <c r="AH448" s="123">
        <f>AG448-AI448</f>
        <v>-4878.42635658915</v>
      </c>
      <c r="AI448" s="123">
        <f>SUM(AI449:AI453)</f>
        <v>4878.42635658915</v>
      </c>
      <c r="AJ448" s="123">
        <f>VLOOKUP($C448,'1 预算编制表单'!$C:$BJ,39,FALSE)</f>
        <v>0</v>
      </c>
      <c r="AK448" s="123">
        <f>AJ448-AL448</f>
        <v>-14929.8252087757</v>
      </c>
      <c r="AL448" s="123">
        <f>SUM(AL449:AL453)</f>
        <v>14929.8252087757</v>
      </c>
      <c r="AM448" s="123">
        <f>VLOOKUP($C448,'1 预算编制表单'!$C:$BJ,42,FALSE)</f>
        <v>0</v>
      </c>
      <c r="AN448" s="123">
        <f>AM448-AO448</f>
        <v>-17447.3557560753</v>
      </c>
      <c r="AO448" s="123">
        <f>SUM(AO449:AO453)</f>
        <v>17447.3557560753</v>
      </c>
      <c r="AP448" s="123">
        <f>VLOOKUP($C448,'1 预算编制表单'!$C:$BJ,45,FALSE)</f>
        <v>0</v>
      </c>
      <c r="AQ448" s="123">
        <f>AP448-AR448</f>
        <v>-18028.9342812778</v>
      </c>
      <c r="AR448" s="123">
        <f>SUM(AR449:AR453)</f>
        <v>18028.9342812778</v>
      </c>
      <c r="AS448" s="123">
        <f>VLOOKUP($C448,'1 预算编制表单'!$C:$BJ,48,FALSE)</f>
        <v>0</v>
      </c>
      <c r="AT448" s="123">
        <f>AS448-AU448</f>
        <v>-18028.9342812778</v>
      </c>
      <c r="AU448" s="123">
        <f>SUM(AU449:AU453)</f>
        <v>18028.9342812778</v>
      </c>
      <c r="AV448" s="123">
        <f>VLOOKUP($C448,'1 预算编制表单'!$C:$BJ,51,FALSE)</f>
        <v>0</v>
      </c>
      <c r="AW448" s="123">
        <f>AV448-AX448</f>
        <v>-17447.3557560753</v>
      </c>
      <c r="AX448" s="123">
        <f>SUM(AX449:AX453)</f>
        <v>17447.3557560753</v>
      </c>
      <c r="AY448" s="123">
        <f>VLOOKUP($C448,'1 预算编制表单'!$C:$BJ,54,FALSE)</f>
        <v>0</v>
      </c>
      <c r="AZ448" s="123">
        <f>AY448-BA448</f>
        <v>-18028.9342812778</v>
      </c>
      <c r="BA448" s="123">
        <f>SUM(BA449:BA453)</f>
        <v>18028.9342812778</v>
      </c>
      <c r="BB448" s="123">
        <f>VLOOKUP($C448,'1 预算编制表单'!$C:$BJ,57,FALSE)</f>
        <v>0</v>
      </c>
      <c r="BC448" s="123">
        <f>BB448-BD448</f>
        <v>-17447.3557560753</v>
      </c>
      <c r="BD448" s="123">
        <f>SUM(BD449:BD453)</f>
        <v>17447.3557560753</v>
      </c>
      <c r="BE448" s="123">
        <f>VLOOKUP($C448,'1 预算编制表单'!$C:$BJ,60,FALSE)</f>
        <v>0</v>
      </c>
      <c r="BF448" s="123">
        <f>BE448-BG448</f>
        <v>-18028.9342812778</v>
      </c>
      <c r="BG448" s="123">
        <f>SUM(BG449:BG453)</f>
        <v>18028.9342812778</v>
      </c>
      <c r="BH448" s="123">
        <f>VLOOKUP($C448,'1 预算编制表单'!$C:$BJ,27,FALSE)</f>
        <v>0</v>
      </c>
      <c r="BI448" s="123">
        <f>BH448-BJ448</f>
        <v>-2352.29536954345</v>
      </c>
      <c r="BJ448" s="123">
        <f>SUM(BJ449:BJ453)</f>
        <v>2352.29536954345</v>
      </c>
      <c r="BK448" s="123">
        <f>VLOOKUP($C448,'1 预算编制表单'!$C:$BJ,30,FALSE)</f>
        <v>0</v>
      </c>
      <c r="BL448" s="123">
        <f>BK448-BM448</f>
        <v>-2124.65388216828</v>
      </c>
      <c r="BM448" s="123">
        <f>SUM(BM449:BM453)</f>
        <v>2124.65388216828</v>
      </c>
      <c r="BN448" s="123">
        <f>VLOOKUP($C448,'1 预算编制表单'!$C:$BJ,33,FALSE)</f>
        <v>0</v>
      </c>
      <c r="BO448" s="123">
        <f>BN448-BP448</f>
        <v>-2352.29536954345</v>
      </c>
      <c r="BP448" s="123">
        <f>SUM(BP449:BP453)</f>
        <v>2352.29536954345</v>
      </c>
      <c r="BQ448" s="123">
        <f>VLOOKUP($C448,'1 预算编制表单'!$C:$BJ,36,FALSE)</f>
        <v>0</v>
      </c>
      <c r="BR448" s="123">
        <f>BQ448-BS448</f>
        <v>-1441.72942004276</v>
      </c>
      <c r="BS448" s="123">
        <f>SUM(BS449:BS453)</f>
        <v>1441.72942004276</v>
      </c>
      <c r="BT448" s="123">
        <f>VLOOKUP($C448,'1 预算编制表单'!$C:$BJ,39,FALSE)</f>
        <v>0</v>
      </c>
      <c r="BU448" s="123">
        <f>BT448-BV448</f>
        <v>0</v>
      </c>
      <c r="BV448" s="123">
        <f>SUM(BV449:BV453)</f>
        <v>0</v>
      </c>
      <c r="BW448" s="123">
        <f>VLOOKUP($C448,'1 预算编制表单'!$C:$BJ,42,FALSE)</f>
        <v>0</v>
      </c>
      <c r="BX448" s="123">
        <f>BW448-BY448</f>
        <v>0</v>
      </c>
      <c r="BY448" s="123">
        <f>SUM(BY449:BY453)</f>
        <v>0</v>
      </c>
      <c r="BZ448" s="123">
        <f>VLOOKUP($C448,'1 预算编制表单'!$C:$BJ,45,FALSE)</f>
        <v>0</v>
      </c>
      <c r="CA448" s="123">
        <f>BZ448-CB448</f>
        <v>0</v>
      </c>
      <c r="CB448" s="123">
        <f>SUM(CB449:CB453)</f>
        <v>0</v>
      </c>
      <c r="CC448" s="123">
        <f>VLOOKUP($C448,'1 预算编制表单'!$C:$BJ,48,FALSE)</f>
        <v>0</v>
      </c>
      <c r="CD448" s="123">
        <f>CC448-CE448</f>
        <v>0</v>
      </c>
      <c r="CE448" s="123">
        <f>SUM(CE449:CE453)</f>
        <v>0</v>
      </c>
      <c r="CF448" s="123">
        <f>VLOOKUP($C448,'1 预算编制表单'!$C:$BJ,51,FALSE)</f>
        <v>0</v>
      </c>
      <c r="CG448" s="123">
        <f>CF448-CH448</f>
        <v>0</v>
      </c>
      <c r="CH448" s="123">
        <f>SUM(CH449:CH453)</f>
        <v>0</v>
      </c>
      <c r="CI448" s="123">
        <f>VLOOKUP($C448,'1 预算编制表单'!$C:$BJ,54,FALSE)</f>
        <v>0</v>
      </c>
      <c r="CJ448" s="123">
        <f>CI448-CK448</f>
        <v>0</v>
      </c>
      <c r="CK448" s="123">
        <f>SUM(CK449:CK453)</f>
        <v>0</v>
      </c>
      <c r="CL448" s="123">
        <f>VLOOKUP($C448,'1 预算编制表单'!$C:$BJ,57,FALSE)</f>
        <v>0</v>
      </c>
      <c r="CM448" s="123">
        <f>CL448-CN448</f>
        <v>0</v>
      </c>
      <c r="CN448" s="123">
        <f>SUM(CN449:CN453)</f>
        <v>0</v>
      </c>
      <c r="CO448" s="123">
        <f>VLOOKUP($C448,'1 预算编制表单'!$C:$BJ,60,FALSE)</f>
        <v>0</v>
      </c>
      <c r="CP448" s="123">
        <f>CO448-CQ448</f>
        <v>0</v>
      </c>
      <c r="CQ448" s="123">
        <f>SUM(CQ449:CQ453)</f>
        <v>0</v>
      </c>
    </row>
    <row r="449" s="89" customFormat="1" ht="24" hidden="1" customHeight="1" outlineLevel="3" spans="1:95">
      <c r="A449" s="128"/>
      <c r="B449" s="129"/>
      <c r="C449" s="130"/>
      <c r="D449" s="128"/>
      <c r="E449" s="129"/>
      <c r="F449" s="129"/>
      <c r="G449" s="129"/>
      <c r="H449" s="131"/>
      <c r="I449" s="131"/>
      <c r="J449" s="131">
        <f>Z449+AC449+AF449+AI449+AL449+AO449+AR449+AU449+AX449+BA449+BD449+BG449</f>
        <v>7188.33333333333</v>
      </c>
      <c r="K449" s="131">
        <v>1</v>
      </c>
      <c r="L449" s="156" t="s">
        <v>2853</v>
      </c>
      <c r="M449" s="157" t="str">
        <f>IFERROR(VLOOKUP($L449,'2-2 引出数据_合同数据仓库'!$B$5:$BP$200,3,FALSE),0)</f>
        <v>深圳非住二片区中海油大厦工程及综合品类物资采购补充协议(一)</v>
      </c>
      <c r="N449" s="131"/>
      <c r="O449" s="157">
        <f>IFERROR(VLOOKUP((LEFT(VLOOKUP($L449,'2-2 引出数据_合同数据仓库'!$B$5:$BP$200,64,FALSE),15)&amp;(RIGHT(VLOOKUP($L449,'2-2 引出数据_合同数据仓库'!$B$5:$BP$200,64,FALSE),4)+1)),'2-2 引出数据_合同数据仓库'!$B$5:$BP$200,3,FALSE),0)</f>
        <v>0</v>
      </c>
      <c r="P449" s="131"/>
      <c r="Q449" s="131" t="str">
        <f>IFERROR(VLOOKUP($L449,'2-2 引出数据_合同数据仓库'!$B$5:$BP$200,28,FALSE),0)</f>
        <v>2025-05-28</v>
      </c>
      <c r="R449" s="131" t="str">
        <f>IFERROR(VLOOKUP($L449,'2-2 引出数据_合同数据仓库'!$B$5:$BP$200,29,FALSE),0)</f>
        <v>2025-05-28</v>
      </c>
      <c r="S449" s="131" t="str">
        <f>IFERROR(VLOOKUP($L449,'2-2 引出数据_合同数据仓库'!$B$5:$BP$200,4,FALSE),0)</f>
        <v>2026-04-19</v>
      </c>
      <c r="T449" s="131"/>
      <c r="U449" s="131">
        <f>IFERROR(VLOOKUP($L449,'2-2 引出数据_合同数据仓库'!$B$5:$BP$200,15,FALSE),0)</f>
        <v>10782.5</v>
      </c>
      <c r="V449" s="131">
        <f t="shared" ref="V449:V452" si="5223">U449/(S449-R449+1)*365</f>
        <v>12035.5122324159</v>
      </c>
      <c r="W449" s="131"/>
      <c r="X449" s="163">
        <v>45658</v>
      </c>
      <c r="Y449" s="163">
        <f t="shared" ref="Y449:Y452" si="5224">X449+30</f>
        <v>45688</v>
      </c>
      <c r="Z449" s="167">
        <f t="shared" ref="Z449:Z452" si="5225">IFERROR(IF(($R449-Y449)&gt;=0,0,IF(($S449-X449)&lt;0,0,IF(AND(($S449-Y449)&gt;0,(X449-$R449)&gt;0),$V449/365*(Y449-X449+1),IF(AND(($S449-Y449)&lt;=0,(X449-$R449)&gt;0),$V449/365*($S449-X449+1),$V449/365*(Y449-$R449+1))))),0)</f>
        <v>0</v>
      </c>
      <c r="AA449" s="163">
        <f t="shared" ref="AA449:AA452" si="5226">Y449+1</f>
        <v>45689</v>
      </c>
      <c r="AB449" s="163">
        <f t="shared" ref="AB449:AB452" si="5227">AA449+27</f>
        <v>45716</v>
      </c>
      <c r="AC449" s="167">
        <f t="shared" ref="AC449:AC452" si="5228">IFERROR(IF(($R449-AB449)&gt;=0,0,IF(($S449-AA449)&lt;0,0,IF(AND(($S449-AB449)&gt;0,(AA449-$R449)&gt;0),$V449/365*(AB449-AA449+1),IF(AND(($S449-AB449)&lt;=0,(AA449-$R449)&gt;0),$V449/365*($S449-AA449+1),$V449/365*(AB449-$R449+1))))),0)</f>
        <v>0</v>
      </c>
      <c r="AD449" s="163">
        <f t="shared" ref="AD449:AD452" si="5229">AB449+1</f>
        <v>45717</v>
      </c>
      <c r="AE449" s="163">
        <f t="shared" ref="AE449:AE452" si="5230">AD449+30</f>
        <v>45747</v>
      </c>
      <c r="AF449" s="167">
        <f t="shared" ref="AF449:AF452" si="5231">IFERROR(IF(($R449-AE449)&gt;=0,0,IF(($S449-AD449)&lt;0,0,IF(AND(($S449-AE449)&gt;0,(AD449-$R449)&gt;0),$V449/365*(AE449-AD449+1),IF(AND(($S449-AE449)&lt;=0,(AD449-$R449)&gt;0),$V449/365*($S449-AD449+1),$V449/365*(AE449-$R449+1))))),0)</f>
        <v>0</v>
      </c>
      <c r="AG449" s="163">
        <f t="shared" ref="AG449:AG452" si="5232">AE449+1</f>
        <v>45748</v>
      </c>
      <c r="AH449" s="163">
        <f t="shared" ref="AH449:AH452" si="5233">AG449+29</f>
        <v>45777</v>
      </c>
      <c r="AI449" s="167">
        <f t="shared" ref="AI449:AI452" si="5234">IFERROR(IF(($R449-AH449)&gt;=0,0,IF(($S449-AG449)&lt;0,0,IF(AND(($S449-AH449)&gt;0,(AG449-$R449)&gt;0),$V449/365*(AH449-AG449+1),IF(AND(($S449-AH449)&lt;=0,(AG449-$R449)&gt;0),$V449/365*($S449-AG449+1),$V449/365*(AH449-$R449+1))))),0)</f>
        <v>0</v>
      </c>
      <c r="AJ449" s="163">
        <f t="shared" ref="AJ449:AJ452" si="5235">AH449+1</f>
        <v>45778</v>
      </c>
      <c r="AK449" s="163">
        <f t="shared" ref="AK449:AK452" si="5236">AJ449+30</f>
        <v>45808</v>
      </c>
      <c r="AL449" s="167">
        <f t="shared" ref="AL449:AL452" si="5237">IFERROR(IF(($R449-AK449)&gt;=0,0,IF(($S449-AJ449)&lt;0,0,IF(AND(($S449-AK449)&gt;0,(AJ449-$R449)&gt;0),$V449/365*(AK449-AJ449+1),IF(AND(($S449-AK449)&lt;=0,(AJ449-$R449)&gt;0),$V449/365*($S449-AJ449+1),$V449/365*(AK449-$R449+1))))),0)</f>
        <v>131.896024464832</v>
      </c>
      <c r="AM449" s="163">
        <f t="shared" ref="AM449:AM452" si="5238">AK449+1</f>
        <v>45809</v>
      </c>
      <c r="AN449" s="163">
        <f t="shared" ref="AN449:AN452" si="5239">AM449+29</f>
        <v>45838</v>
      </c>
      <c r="AO449" s="167">
        <f t="shared" ref="AO449:AO452" si="5240">IFERROR(IF(($R449-AN449)&gt;=0,0,IF(($S449-AM449)&lt;0,0,IF(AND(($S449-AN449)&gt;0,(AM449-$R449)&gt;0),$V449/365*(AN449-AM449+1),IF(AND(($S449-AN449)&lt;=0,(AM449-$R449)&gt;0),$V449/365*($S449-AM449+1),$V449/365*(AN449-$R449+1))))),0)</f>
        <v>989.220183486239</v>
      </c>
      <c r="AP449" s="163">
        <f t="shared" ref="AP449:AP452" si="5241">AN449+1</f>
        <v>45839</v>
      </c>
      <c r="AQ449" s="163">
        <f t="shared" ref="AQ449:AQ452" si="5242">AP449+30</f>
        <v>45869</v>
      </c>
      <c r="AR449" s="167">
        <f t="shared" ref="AR449:AR452" si="5243">IFERROR(IF(($R449-AQ449)&gt;=0,0,IF(($S449-AP449)&lt;0,0,IF(AND(($S449-AQ449)&gt;0,(AP449-$R449)&gt;0),$V449/365*(AQ449-AP449+1),IF(AND(($S449-AQ449)&lt;=0,(AP449-$R449)&gt;0),$V449/365*($S449-AP449+1),$V449/365*(AQ449-$R449+1))))),0)</f>
        <v>1022.19418960245</v>
      </c>
      <c r="AS449" s="163">
        <f t="shared" ref="AS449:AS452" si="5244">AQ449+1</f>
        <v>45870</v>
      </c>
      <c r="AT449" s="163">
        <f t="shared" ref="AT449:AT452" si="5245">AS449+30</f>
        <v>45900</v>
      </c>
      <c r="AU449" s="167">
        <f t="shared" ref="AU449:AU452" si="5246">IFERROR(IF(($R449-AT449)&gt;=0,0,IF(($S449-AS449)&lt;0,0,IF(AND(($S449-AT449)&gt;0,(AS449-$R449)&gt;0),$V449/365*(AT449-AS449+1),IF(AND(($S449-AT449)&lt;=0,(AS449-$R449)&gt;0),$V449/365*($S449-AS449+1),$V449/365*(AT449-$R449+1))))),0)</f>
        <v>1022.19418960245</v>
      </c>
      <c r="AV449" s="163">
        <f t="shared" ref="AV449:AV452" si="5247">AT449+1</f>
        <v>45901</v>
      </c>
      <c r="AW449" s="163">
        <f t="shared" ref="AW449:AW452" si="5248">AV449+29</f>
        <v>45930</v>
      </c>
      <c r="AX449" s="167">
        <f t="shared" ref="AX449:AX452" si="5249">IFERROR(IF(($R449-AW449)&gt;=0,0,IF(($S449-AV449)&lt;0,0,IF(AND(($S449-AW449)&gt;0,(AV449-$R449)&gt;0),$V449/365*(AW449-AV449+1),IF(AND(($S449-AW449)&lt;=0,(AV449-$R449)&gt;0),$V449/365*($S449-AV449+1),$V449/365*(AW449-$R449+1))))),0)</f>
        <v>989.220183486239</v>
      </c>
      <c r="AY449" s="163">
        <f t="shared" ref="AY449:AY452" si="5250">AW449+1</f>
        <v>45931</v>
      </c>
      <c r="AZ449" s="163">
        <f t="shared" ref="AZ449:AZ452" si="5251">AY449+30</f>
        <v>45961</v>
      </c>
      <c r="BA449" s="167">
        <f t="shared" ref="BA449:BA452" si="5252">IFERROR(IF(($R449-AZ449)&gt;=0,0,IF(($S449-AY449)&lt;0,0,IF(AND(($S449-AZ449)&gt;0,(AY449-$R449)&gt;0),$V449/365*(AZ449-AY449+1),IF(AND(($S449-AZ449)&lt;=0,(AY449-$R449)&gt;0),$V449/365*($S449-AY449+1),$V449/365*(AZ449-$R449+1))))),0)</f>
        <v>1022.19418960245</v>
      </c>
      <c r="BB449" s="163">
        <f t="shared" ref="BB449:BB452" si="5253">AZ449+1</f>
        <v>45962</v>
      </c>
      <c r="BC449" s="163">
        <f t="shared" ref="BC449:BC452" si="5254">BB449+29</f>
        <v>45991</v>
      </c>
      <c r="BD449" s="167">
        <f t="shared" ref="BD449:BD452" si="5255">IFERROR(IF(($R449-BC449)&gt;=0,0,IF(($S449-BB449)&lt;0,0,IF(AND(($S449-BC449)&gt;0,(BB449-$R449)&gt;0),$V449/365*(BC449-BB449+1),IF(AND(($S449-BC449)&lt;=0,(BB449-$R449)&gt;0),$V449/365*($S449-BB449+1),$V449/365*(BC449-$R449+1))))),0)</f>
        <v>989.220183486239</v>
      </c>
      <c r="BE449" s="163">
        <f t="shared" ref="BE449:BE452" si="5256">BC449+1</f>
        <v>45992</v>
      </c>
      <c r="BF449" s="163">
        <f t="shared" ref="BF449:BF452" si="5257">BE449+30</f>
        <v>46022</v>
      </c>
      <c r="BG449" s="167">
        <f t="shared" ref="BG449:BG452" si="5258">IFERROR(IF(($R449-BF449)&gt;=0,0,IF(($S449-BE449)&lt;0,0,IF(AND(($S449-BF449)&gt;0,(BE449-$R449)&gt;0),$V449/365*(BF449-BE449+1),IF(AND(($S449-BF449)&lt;=0,(BE449-$R449)&gt;0),$V449/365*($S449-BE449+1),$V449/365*(BF449-$R449+1))))),0)</f>
        <v>1022.19418960245</v>
      </c>
      <c r="BH449" s="163">
        <v>46023</v>
      </c>
      <c r="BI449" s="163">
        <f t="shared" ref="BI449:BI452" si="5259">BH449+30</f>
        <v>46053</v>
      </c>
      <c r="BJ449" s="167">
        <f t="shared" ref="BJ449:BJ452" si="5260">IFERROR(IF(($R449-BI449)&gt;=0,0,IF(($S449-BH449)&lt;0,0,IF(AND(($S449-BI449)&gt;0,(BH449-$R449)&gt;0),$V449/365*(BI449-BH449+1),IF(AND(($S449-BI449)&lt;=0,(BH449-$R449)&gt;0),$V449/365*($S449-BH449+1),$V449/365*(BI449-$R449+1))))),0)</f>
        <v>1022.19418960245</v>
      </c>
      <c r="BK449" s="163">
        <f t="shared" ref="BK449:BK452" si="5261">BI449+1</f>
        <v>46054</v>
      </c>
      <c r="BL449" s="163">
        <f t="shared" ref="BL449:BL452" si="5262">BK449+27</f>
        <v>46081</v>
      </c>
      <c r="BM449" s="167">
        <f t="shared" ref="BM449:BM452" si="5263">IFERROR(IF(($R449-BL449)&gt;=0,0,IF(($S449-BK449)&lt;0,0,IF(AND(($S449-BL449)&gt;0,(BK449-$R449)&gt;0),$V449/365*(BL449-BK449+1),IF(AND(($S449-BL449)&lt;=0,(BK449-$R449)&gt;0),$V449/365*($S449-BK449+1),$V449/365*(BL449-$R449+1))))),0)</f>
        <v>923.272171253823</v>
      </c>
      <c r="BN449" s="163">
        <f t="shared" ref="BN449:BN452" si="5264">BL449+1</f>
        <v>46082</v>
      </c>
      <c r="BO449" s="163">
        <f t="shared" ref="BO449:BO452" si="5265">BN449+30</f>
        <v>46112</v>
      </c>
      <c r="BP449" s="167">
        <f t="shared" ref="BP449:BP452" si="5266">IFERROR(IF(($R449-BO449)&gt;=0,0,IF(($S449-BN449)&lt;0,0,IF(AND(($S449-BO449)&gt;0,(BN449-$R449)&gt;0),$V449/365*(BO449-BN449+1),IF(AND(($S449-BO449)&lt;=0,(BN449-$R449)&gt;0),$V449/365*($S449-BN449+1),$V449/365*(BO449-$R449+1))))),0)</f>
        <v>1022.19418960245</v>
      </c>
      <c r="BQ449" s="163">
        <f t="shared" ref="BQ449:BQ452" si="5267">BO449+1</f>
        <v>46113</v>
      </c>
      <c r="BR449" s="163">
        <f t="shared" ref="BR449:BR452" si="5268">BQ449+29</f>
        <v>46142</v>
      </c>
      <c r="BS449" s="167">
        <f t="shared" ref="BS449:BS452" si="5269">IFERROR(IF(($R449-BR449)&gt;=0,0,IF(($S449-BQ449)&lt;0,0,IF(AND(($S449-BR449)&gt;0,(BQ449-$R449)&gt;0),$V449/365*(BR449-BQ449+1),IF(AND(($S449-BR449)&lt;=0,(BQ449-$R449)&gt;0),$V449/365*($S449-BQ449+1),$V449/365*(BR449-$R449+1))))),0)</f>
        <v>626.506116207951</v>
      </c>
      <c r="BT449" s="163">
        <f t="shared" ref="BT449:BT452" si="5270">BR449+1</f>
        <v>46143</v>
      </c>
      <c r="BU449" s="163">
        <f t="shared" ref="BU449:BU452" si="5271">BT449+30</f>
        <v>46173</v>
      </c>
      <c r="BV449" s="167">
        <f t="shared" ref="BV449:BV452" si="5272">IFERROR(IF(($R449-BU449)&gt;=0,0,IF(($S449-BT449)&lt;0,0,IF(AND(($S449-BU449)&gt;0,(BT449-$R449)&gt;0),$V449/365*(BU449-BT449+1),IF(AND(($S449-BU449)&lt;=0,(BT449-$R449)&gt;0),$V449/365*($S449-BT449+1),$V449/365*(BU449-$R449+1))))),0)</f>
        <v>0</v>
      </c>
      <c r="BW449" s="163">
        <f t="shared" ref="BW449:BW452" si="5273">BU449+1</f>
        <v>46174</v>
      </c>
      <c r="BX449" s="163">
        <f t="shared" ref="BX449:BX452" si="5274">BW449+29</f>
        <v>46203</v>
      </c>
      <c r="BY449" s="167">
        <f t="shared" ref="BY449:BY452" si="5275">IFERROR(IF(($R449-BX449)&gt;=0,0,IF(($S449-BW449)&lt;0,0,IF(AND(($S449-BX449)&gt;0,(BW449-$R449)&gt;0),$V449/365*(BX449-BW449+1),IF(AND(($S449-BX449)&lt;=0,(BW449-$R449)&gt;0),$V449/365*($S449-BW449+1),$V449/365*(BX449-$R449+1))))),0)</f>
        <v>0</v>
      </c>
      <c r="BZ449" s="163">
        <f t="shared" ref="BZ449:BZ452" si="5276">BX449+1</f>
        <v>46204</v>
      </c>
      <c r="CA449" s="163">
        <f t="shared" ref="CA449:CA452" si="5277">BZ449+30</f>
        <v>46234</v>
      </c>
      <c r="CB449" s="167">
        <f t="shared" ref="CB449:CB452" si="5278">IFERROR(IF(($R449-CA449)&gt;=0,0,IF(($S449-BZ449)&lt;0,0,IF(AND(($S449-CA449)&gt;0,(BZ449-$R449)&gt;0),$V449/365*(CA449-BZ449+1),IF(AND(($S449-CA449)&lt;=0,(BZ449-$R449)&gt;0),$V449/365*($S449-BZ449+1),$V449/365*(CA449-$R449+1))))),0)</f>
        <v>0</v>
      </c>
      <c r="CC449" s="163">
        <f t="shared" ref="CC449:CC452" si="5279">CA449+1</f>
        <v>46235</v>
      </c>
      <c r="CD449" s="163">
        <f t="shared" ref="CD449:CD452" si="5280">CC449+30</f>
        <v>46265</v>
      </c>
      <c r="CE449" s="167">
        <f t="shared" ref="CE449:CE452" si="5281">IFERROR(IF(($R449-CD449)&gt;=0,0,IF(($S449-CC449)&lt;0,0,IF(AND(($S449-CD449)&gt;0,(CC449-$R449)&gt;0),$V449/365*(CD449-CC449+1),IF(AND(($S449-CD449)&lt;=0,(CC449-$R449)&gt;0),$V449/365*($S449-CC449+1),$V449/365*(CD449-$R449+1))))),0)</f>
        <v>0</v>
      </c>
      <c r="CF449" s="163">
        <f t="shared" ref="CF449:CF452" si="5282">CD449+1</f>
        <v>46266</v>
      </c>
      <c r="CG449" s="163">
        <f t="shared" ref="CG449:CG452" si="5283">CF449+29</f>
        <v>46295</v>
      </c>
      <c r="CH449" s="167">
        <f t="shared" ref="CH449:CH452" si="5284">IFERROR(IF(($R449-CG449)&gt;=0,0,IF(($S449-CF449)&lt;0,0,IF(AND(($S449-CG449)&gt;0,(CF449-$R449)&gt;0),$V449/365*(CG449-CF449+1),IF(AND(($S449-CG449)&lt;=0,(CF449-$R449)&gt;0),$V449/365*($S449-CF449+1),$V449/365*(CG449-$R449+1))))),0)</f>
        <v>0</v>
      </c>
      <c r="CI449" s="163">
        <f t="shared" ref="CI449:CI452" si="5285">CG449+1</f>
        <v>46296</v>
      </c>
      <c r="CJ449" s="163">
        <f t="shared" ref="CJ449:CJ452" si="5286">CI449+30</f>
        <v>46326</v>
      </c>
      <c r="CK449" s="167">
        <f t="shared" ref="CK449:CK452" si="5287">IFERROR(IF(($R449-CJ449)&gt;=0,0,IF(($S449-CI449)&lt;0,0,IF(AND(($S449-CJ449)&gt;0,(CI449-$R449)&gt;0),$V449/365*(CJ449-CI449+1),IF(AND(($S449-CJ449)&lt;=0,(CI449-$R449)&gt;0),$V449/365*($S449-CI449+1),$V449/365*(CJ449-$R449+1))))),0)</f>
        <v>0</v>
      </c>
      <c r="CL449" s="163">
        <f t="shared" ref="CL449:CL452" si="5288">CJ449+1</f>
        <v>46327</v>
      </c>
      <c r="CM449" s="163">
        <f t="shared" ref="CM449:CM452" si="5289">CL449+29</f>
        <v>46356</v>
      </c>
      <c r="CN449" s="167">
        <f t="shared" ref="CN449:CN452" si="5290">IFERROR(IF(($R449-CM449)&gt;=0,0,IF(($S449-CL449)&lt;0,0,IF(AND(($S449-CM449)&gt;0,(CL449-$R449)&gt;0),$V449/365*(CM449-CL449+1),IF(AND(($S449-CM449)&lt;=0,(CL449-$R449)&gt;0),$V449/365*($S449-CL449+1),$V449/365*(CM449-$R449+1))))),0)</f>
        <v>0</v>
      </c>
      <c r="CO449" s="163">
        <f t="shared" ref="CO449:CO452" si="5291">CM449+1</f>
        <v>46357</v>
      </c>
      <c r="CP449" s="163">
        <f t="shared" ref="CP449:CP452" si="5292">CO449+30</f>
        <v>46387</v>
      </c>
      <c r="CQ449" s="167">
        <f t="shared" ref="CQ449:CQ452" si="5293">IFERROR(IF(($R449-CP449)&gt;=0,0,IF(($S449-CO449)&lt;0,0,IF(AND(($S449-CP449)&gt;0,(CO449-$R449)&gt;0),$V449/365*(CP449-CO449+1),IF(AND(($S449-CP449)&lt;=0,(CO449-$R449)&gt;0),$V449/365*($S449-CO449+1),$V449/365*(CP449-$R449+1))))),0)</f>
        <v>0</v>
      </c>
    </row>
    <row r="450" s="89" customFormat="1" ht="24" hidden="1" customHeight="1" outlineLevel="3" spans="1:95">
      <c r="A450" s="128"/>
      <c r="B450" s="129"/>
      <c r="C450" s="130"/>
      <c r="D450" s="128"/>
      <c r="E450" s="129"/>
      <c r="F450" s="129"/>
      <c r="G450" s="129"/>
      <c r="H450" s="131"/>
      <c r="I450" s="131"/>
      <c r="J450" s="131">
        <f>Z450+AC450+AF450+AI450+AL450+AO450+AR450+AU450+AX450+BA450+BD450+BG450</f>
        <v>9868.49262536873</v>
      </c>
      <c r="K450" s="131">
        <f t="shared" ref="K450:K452" si="5294">K449+1</f>
        <v>2</v>
      </c>
      <c r="L450" s="156" t="s">
        <v>2854</v>
      </c>
      <c r="M450" s="157" t="str">
        <f>IFERROR(VLOOKUP($L450,'2-2 引出数据_合同数据仓库'!$B$5:$BP$200,3,FALSE),0)</f>
        <v>深圳非住二片区中海油大厦工程及综合品类物资采购协议（弘佳诚）</v>
      </c>
      <c r="N450" s="131"/>
      <c r="O450" s="157">
        <f>IFERROR(VLOOKUP((LEFT(VLOOKUP($L450,'2-2 引出数据_合同数据仓库'!$B$5:$BP$200,64,FALSE),15)&amp;(RIGHT(VLOOKUP($L450,'2-2 引出数据_合同数据仓库'!$B$5:$BP$200,64,FALSE),4)+1)),'2-2 引出数据_合同数据仓库'!$B$5:$BP$200,3,FALSE),0)</f>
        <v>0</v>
      </c>
      <c r="P450" s="131"/>
      <c r="Q450" s="131" t="str">
        <f>IFERROR(VLOOKUP($L450,'2-2 引出数据_合同数据仓库'!$B$5:$BP$200,28,FALSE),0)</f>
        <v>2025-05-16</v>
      </c>
      <c r="R450" s="131" t="str">
        <f>IFERROR(VLOOKUP($L450,'2-2 引出数据_合同数据仓库'!$B$5:$BP$200,29,FALSE),0)</f>
        <v>2025-05-16</v>
      </c>
      <c r="S450" s="131" t="str">
        <f>IFERROR(VLOOKUP($L450,'2-2 引出数据_合同数据仓库'!$B$5:$BP$200,4,FALSE),0)</f>
        <v>2026-04-19</v>
      </c>
      <c r="T450" s="131"/>
      <c r="U450" s="131">
        <f>IFERROR(VLOOKUP($L450,'2-2 引出数据_合同数据仓库'!$B$5:$BP$200,15,FALSE),0)</f>
        <v>14545.3</v>
      </c>
      <c r="V450" s="131">
        <f t="shared" si="5223"/>
        <v>15660.8687315634</v>
      </c>
      <c r="W450" s="131"/>
      <c r="X450" s="163">
        <v>45658</v>
      </c>
      <c r="Y450" s="163">
        <f t="shared" si="5224"/>
        <v>45688</v>
      </c>
      <c r="Z450" s="167">
        <f t="shared" si="5225"/>
        <v>0</v>
      </c>
      <c r="AA450" s="163">
        <f t="shared" si="5226"/>
        <v>45689</v>
      </c>
      <c r="AB450" s="163">
        <f t="shared" si="5227"/>
        <v>45716</v>
      </c>
      <c r="AC450" s="167">
        <f t="shared" si="5228"/>
        <v>0</v>
      </c>
      <c r="AD450" s="163">
        <f t="shared" si="5229"/>
        <v>45717</v>
      </c>
      <c r="AE450" s="163">
        <f t="shared" si="5230"/>
        <v>45747</v>
      </c>
      <c r="AF450" s="167">
        <f t="shared" si="5231"/>
        <v>0</v>
      </c>
      <c r="AG450" s="163">
        <f t="shared" si="5232"/>
        <v>45748</v>
      </c>
      <c r="AH450" s="163">
        <f t="shared" si="5233"/>
        <v>45777</v>
      </c>
      <c r="AI450" s="167">
        <f t="shared" si="5234"/>
        <v>0</v>
      </c>
      <c r="AJ450" s="163">
        <f t="shared" si="5235"/>
        <v>45778</v>
      </c>
      <c r="AK450" s="163">
        <f t="shared" si="5236"/>
        <v>45808</v>
      </c>
      <c r="AL450" s="167">
        <f t="shared" si="5237"/>
        <v>686.50383480826</v>
      </c>
      <c r="AM450" s="163">
        <f t="shared" si="5238"/>
        <v>45809</v>
      </c>
      <c r="AN450" s="163">
        <f t="shared" si="5239"/>
        <v>45838</v>
      </c>
      <c r="AO450" s="167">
        <f t="shared" si="5240"/>
        <v>1287.19469026549</v>
      </c>
      <c r="AP450" s="163">
        <f t="shared" si="5241"/>
        <v>45839</v>
      </c>
      <c r="AQ450" s="163">
        <f t="shared" si="5242"/>
        <v>45869</v>
      </c>
      <c r="AR450" s="167">
        <f t="shared" si="5243"/>
        <v>1330.101179941</v>
      </c>
      <c r="AS450" s="163">
        <f t="shared" si="5244"/>
        <v>45870</v>
      </c>
      <c r="AT450" s="163">
        <f t="shared" si="5245"/>
        <v>45900</v>
      </c>
      <c r="AU450" s="167">
        <f t="shared" si="5246"/>
        <v>1330.101179941</v>
      </c>
      <c r="AV450" s="163">
        <f t="shared" si="5247"/>
        <v>45901</v>
      </c>
      <c r="AW450" s="163">
        <f t="shared" si="5248"/>
        <v>45930</v>
      </c>
      <c r="AX450" s="167">
        <f t="shared" si="5249"/>
        <v>1287.19469026549</v>
      </c>
      <c r="AY450" s="163">
        <f t="shared" si="5250"/>
        <v>45931</v>
      </c>
      <c r="AZ450" s="163">
        <f t="shared" si="5251"/>
        <v>45961</v>
      </c>
      <c r="BA450" s="167">
        <f t="shared" si="5252"/>
        <v>1330.101179941</v>
      </c>
      <c r="BB450" s="163">
        <f t="shared" si="5253"/>
        <v>45962</v>
      </c>
      <c r="BC450" s="163">
        <f t="shared" si="5254"/>
        <v>45991</v>
      </c>
      <c r="BD450" s="167">
        <f t="shared" si="5255"/>
        <v>1287.19469026549</v>
      </c>
      <c r="BE450" s="163">
        <f t="shared" si="5256"/>
        <v>45992</v>
      </c>
      <c r="BF450" s="163">
        <f t="shared" si="5257"/>
        <v>46022</v>
      </c>
      <c r="BG450" s="167">
        <f t="shared" si="5258"/>
        <v>1330.101179941</v>
      </c>
      <c r="BH450" s="163">
        <v>46023</v>
      </c>
      <c r="BI450" s="163">
        <f t="shared" si="5259"/>
        <v>46053</v>
      </c>
      <c r="BJ450" s="167">
        <f t="shared" si="5260"/>
        <v>1330.101179941</v>
      </c>
      <c r="BK450" s="163">
        <f t="shared" si="5261"/>
        <v>46054</v>
      </c>
      <c r="BL450" s="163">
        <f t="shared" si="5262"/>
        <v>46081</v>
      </c>
      <c r="BM450" s="167">
        <f t="shared" si="5263"/>
        <v>1201.38171091445</v>
      </c>
      <c r="BN450" s="163">
        <f t="shared" si="5264"/>
        <v>46082</v>
      </c>
      <c r="BO450" s="163">
        <f t="shared" si="5265"/>
        <v>46112</v>
      </c>
      <c r="BP450" s="167">
        <f t="shared" si="5266"/>
        <v>1330.101179941</v>
      </c>
      <c r="BQ450" s="163">
        <f t="shared" si="5267"/>
        <v>46113</v>
      </c>
      <c r="BR450" s="163">
        <f t="shared" si="5268"/>
        <v>46142</v>
      </c>
      <c r="BS450" s="167">
        <f t="shared" si="5269"/>
        <v>815.223303834808</v>
      </c>
      <c r="BT450" s="163">
        <f t="shared" si="5270"/>
        <v>46143</v>
      </c>
      <c r="BU450" s="163">
        <f t="shared" si="5271"/>
        <v>46173</v>
      </c>
      <c r="BV450" s="167">
        <f t="shared" si="5272"/>
        <v>0</v>
      </c>
      <c r="BW450" s="163">
        <f t="shared" si="5273"/>
        <v>46174</v>
      </c>
      <c r="BX450" s="163">
        <f t="shared" si="5274"/>
        <v>46203</v>
      </c>
      <c r="BY450" s="167">
        <f t="shared" si="5275"/>
        <v>0</v>
      </c>
      <c r="BZ450" s="163">
        <f t="shared" si="5276"/>
        <v>46204</v>
      </c>
      <c r="CA450" s="163">
        <f t="shared" si="5277"/>
        <v>46234</v>
      </c>
      <c r="CB450" s="167">
        <f t="shared" si="5278"/>
        <v>0</v>
      </c>
      <c r="CC450" s="163">
        <f t="shared" si="5279"/>
        <v>46235</v>
      </c>
      <c r="CD450" s="163">
        <f t="shared" si="5280"/>
        <v>46265</v>
      </c>
      <c r="CE450" s="167">
        <f t="shared" si="5281"/>
        <v>0</v>
      </c>
      <c r="CF450" s="163">
        <f t="shared" si="5282"/>
        <v>46266</v>
      </c>
      <c r="CG450" s="163">
        <f t="shared" si="5283"/>
        <v>46295</v>
      </c>
      <c r="CH450" s="167">
        <f t="shared" si="5284"/>
        <v>0</v>
      </c>
      <c r="CI450" s="163">
        <f t="shared" si="5285"/>
        <v>46296</v>
      </c>
      <c r="CJ450" s="163">
        <f t="shared" si="5286"/>
        <v>46326</v>
      </c>
      <c r="CK450" s="167">
        <f t="shared" si="5287"/>
        <v>0</v>
      </c>
      <c r="CL450" s="163">
        <f t="shared" si="5288"/>
        <v>46327</v>
      </c>
      <c r="CM450" s="163">
        <f t="shared" si="5289"/>
        <v>46356</v>
      </c>
      <c r="CN450" s="167">
        <f t="shared" si="5290"/>
        <v>0</v>
      </c>
      <c r="CO450" s="163">
        <f t="shared" si="5291"/>
        <v>46357</v>
      </c>
      <c r="CP450" s="163">
        <f t="shared" si="5292"/>
        <v>46387</v>
      </c>
      <c r="CQ450" s="167">
        <f t="shared" si="5293"/>
        <v>0</v>
      </c>
    </row>
    <row r="451" s="89" customFormat="1" ht="24" hidden="1" customHeight="1" outlineLevel="3" spans="1:95">
      <c r="A451" s="128"/>
      <c r="B451" s="129"/>
      <c r="C451" s="130"/>
      <c r="D451" s="128"/>
      <c r="E451" s="129"/>
      <c r="F451" s="129"/>
      <c r="G451" s="129"/>
      <c r="H451" s="131"/>
      <c r="I451" s="131"/>
      <c r="J451" s="131">
        <f>Z451+AC451+AF451+AI451+AL451+AO451+AR451+AU451+AX451+BA451+BD451+BG451</f>
        <v>30391.23</v>
      </c>
      <c r="K451" s="131">
        <f t="shared" si="5294"/>
        <v>3</v>
      </c>
      <c r="L451" s="156" t="s">
        <v>2855</v>
      </c>
      <c r="M451" s="157" t="str">
        <f>IFERROR(VLOOKUP($L451,'2-2 引出数据_合同数据仓库'!$B$5:$BP$200,3,FALSE),0)</f>
        <v>深圳非住二片区中海油大厦五金综合品类物资采购补充协议（一）</v>
      </c>
      <c r="N451" s="131"/>
      <c r="O451" s="157">
        <f>IFERROR(VLOOKUP((LEFT(VLOOKUP($L451,'2-2 引出数据_合同数据仓库'!$B$5:$BP$200,64,FALSE),15)&amp;(RIGHT(VLOOKUP($L451,'2-2 引出数据_合同数据仓库'!$B$5:$BP$200,64,FALSE),4)+1)),'2-2 引出数据_合同数据仓库'!$B$5:$BP$200,3,FALSE),0)</f>
        <v>0</v>
      </c>
      <c r="P451" s="131"/>
      <c r="Q451" s="131" t="str">
        <f>IFERROR(VLOOKUP($L451,'2-2 引出数据_合同数据仓库'!$B$5:$BP$200,28,FALSE),0)</f>
        <v>2025-05-13</v>
      </c>
      <c r="R451" s="131" t="str">
        <f>IFERROR(VLOOKUP($L451,'2-2 引出数据_合同数据仓库'!$B$5:$BP$200,29,FALSE),0)</f>
        <v>2025-05-13</v>
      </c>
      <c r="S451" s="131" t="str">
        <f>IFERROR(VLOOKUP($L451,'2-2 引出数据_合同数据仓库'!$B$5:$BP$200,4,FALSE),0)</f>
        <v>2025-12-31</v>
      </c>
      <c r="T451" s="131"/>
      <c r="U451" s="131">
        <f>IFERROR(VLOOKUP($L451,'2-2 引出数据_合同数据仓库'!$B$5:$BP$200,15,FALSE),0)</f>
        <v>30391.23</v>
      </c>
      <c r="V451" s="131">
        <f t="shared" si="5223"/>
        <v>47608.5791845494</v>
      </c>
      <c r="W451" s="131"/>
      <c r="X451" s="163">
        <v>45658</v>
      </c>
      <c r="Y451" s="163">
        <f t="shared" si="5224"/>
        <v>45688</v>
      </c>
      <c r="Z451" s="167">
        <f t="shared" si="5225"/>
        <v>0</v>
      </c>
      <c r="AA451" s="163">
        <f t="shared" si="5226"/>
        <v>45689</v>
      </c>
      <c r="AB451" s="163">
        <f t="shared" si="5227"/>
        <v>45716</v>
      </c>
      <c r="AC451" s="167">
        <f t="shared" si="5228"/>
        <v>0</v>
      </c>
      <c r="AD451" s="163">
        <f t="shared" si="5229"/>
        <v>45717</v>
      </c>
      <c r="AE451" s="163">
        <f t="shared" si="5230"/>
        <v>45747</v>
      </c>
      <c r="AF451" s="167">
        <f t="shared" si="5231"/>
        <v>0</v>
      </c>
      <c r="AG451" s="163">
        <f t="shared" si="5232"/>
        <v>45748</v>
      </c>
      <c r="AH451" s="163">
        <f t="shared" si="5233"/>
        <v>45777</v>
      </c>
      <c r="AI451" s="167">
        <f t="shared" si="5234"/>
        <v>0</v>
      </c>
      <c r="AJ451" s="163">
        <f t="shared" si="5235"/>
        <v>45778</v>
      </c>
      <c r="AK451" s="163">
        <f t="shared" si="5236"/>
        <v>45808</v>
      </c>
      <c r="AL451" s="167">
        <f t="shared" si="5237"/>
        <v>2478.25480686695</v>
      </c>
      <c r="AM451" s="163">
        <f t="shared" si="5238"/>
        <v>45809</v>
      </c>
      <c r="AN451" s="163">
        <f t="shared" si="5239"/>
        <v>45838</v>
      </c>
      <c r="AO451" s="167">
        <f t="shared" si="5240"/>
        <v>3913.0339055794</v>
      </c>
      <c r="AP451" s="163">
        <f t="shared" si="5241"/>
        <v>45839</v>
      </c>
      <c r="AQ451" s="163">
        <f t="shared" si="5242"/>
        <v>45869</v>
      </c>
      <c r="AR451" s="167">
        <f t="shared" si="5243"/>
        <v>4043.46836909871</v>
      </c>
      <c r="AS451" s="163">
        <f t="shared" si="5244"/>
        <v>45870</v>
      </c>
      <c r="AT451" s="163">
        <f t="shared" si="5245"/>
        <v>45900</v>
      </c>
      <c r="AU451" s="167">
        <f t="shared" si="5246"/>
        <v>4043.46836909871</v>
      </c>
      <c r="AV451" s="163">
        <f t="shared" si="5247"/>
        <v>45901</v>
      </c>
      <c r="AW451" s="163">
        <f t="shared" si="5248"/>
        <v>45930</v>
      </c>
      <c r="AX451" s="167">
        <f t="shared" si="5249"/>
        <v>3913.0339055794</v>
      </c>
      <c r="AY451" s="163">
        <f t="shared" si="5250"/>
        <v>45931</v>
      </c>
      <c r="AZ451" s="163">
        <f t="shared" si="5251"/>
        <v>45961</v>
      </c>
      <c r="BA451" s="167">
        <f t="shared" si="5252"/>
        <v>4043.46836909871</v>
      </c>
      <c r="BB451" s="163">
        <f t="shared" si="5253"/>
        <v>45962</v>
      </c>
      <c r="BC451" s="163">
        <f t="shared" si="5254"/>
        <v>45991</v>
      </c>
      <c r="BD451" s="167">
        <f t="shared" si="5255"/>
        <v>3913.0339055794</v>
      </c>
      <c r="BE451" s="163">
        <f t="shared" si="5256"/>
        <v>45992</v>
      </c>
      <c r="BF451" s="163">
        <f t="shared" si="5257"/>
        <v>46022</v>
      </c>
      <c r="BG451" s="167">
        <f t="shared" si="5258"/>
        <v>4043.46836909871</v>
      </c>
      <c r="BH451" s="163">
        <v>46023</v>
      </c>
      <c r="BI451" s="163">
        <f t="shared" si="5259"/>
        <v>46053</v>
      </c>
      <c r="BJ451" s="167">
        <f t="shared" si="5260"/>
        <v>0</v>
      </c>
      <c r="BK451" s="163">
        <f t="shared" si="5261"/>
        <v>46054</v>
      </c>
      <c r="BL451" s="163">
        <f t="shared" si="5262"/>
        <v>46081</v>
      </c>
      <c r="BM451" s="167">
        <f t="shared" si="5263"/>
        <v>0</v>
      </c>
      <c r="BN451" s="163">
        <f t="shared" si="5264"/>
        <v>46082</v>
      </c>
      <c r="BO451" s="163">
        <f t="shared" si="5265"/>
        <v>46112</v>
      </c>
      <c r="BP451" s="167">
        <f t="shared" si="5266"/>
        <v>0</v>
      </c>
      <c r="BQ451" s="163">
        <f t="shared" si="5267"/>
        <v>46113</v>
      </c>
      <c r="BR451" s="163">
        <f t="shared" si="5268"/>
        <v>46142</v>
      </c>
      <c r="BS451" s="167">
        <f t="shared" si="5269"/>
        <v>0</v>
      </c>
      <c r="BT451" s="163">
        <f t="shared" si="5270"/>
        <v>46143</v>
      </c>
      <c r="BU451" s="163">
        <f t="shared" si="5271"/>
        <v>46173</v>
      </c>
      <c r="BV451" s="167">
        <f t="shared" si="5272"/>
        <v>0</v>
      </c>
      <c r="BW451" s="163">
        <f t="shared" si="5273"/>
        <v>46174</v>
      </c>
      <c r="BX451" s="163">
        <f t="shared" si="5274"/>
        <v>46203</v>
      </c>
      <c r="BY451" s="167">
        <f t="shared" si="5275"/>
        <v>0</v>
      </c>
      <c r="BZ451" s="163">
        <f t="shared" si="5276"/>
        <v>46204</v>
      </c>
      <c r="CA451" s="163">
        <f t="shared" si="5277"/>
        <v>46234</v>
      </c>
      <c r="CB451" s="167">
        <f t="shared" si="5278"/>
        <v>0</v>
      </c>
      <c r="CC451" s="163">
        <f t="shared" si="5279"/>
        <v>46235</v>
      </c>
      <c r="CD451" s="163">
        <f t="shared" si="5280"/>
        <v>46265</v>
      </c>
      <c r="CE451" s="167">
        <f t="shared" si="5281"/>
        <v>0</v>
      </c>
      <c r="CF451" s="163">
        <f t="shared" si="5282"/>
        <v>46266</v>
      </c>
      <c r="CG451" s="163">
        <f t="shared" si="5283"/>
        <v>46295</v>
      </c>
      <c r="CH451" s="167">
        <f t="shared" si="5284"/>
        <v>0</v>
      </c>
      <c r="CI451" s="163">
        <f t="shared" si="5285"/>
        <v>46296</v>
      </c>
      <c r="CJ451" s="163">
        <f t="shared" si="5286"/>
        <v>46326</v>
      </c>
      <c r="CK451" s="167">
        <f t="shared" si="5287"/>
        <v>0</v>
      </c>
      <c r="CL451" s="163">
        <f t="shared" si="5288"/>
        <v>46327</v>
      </c>
      <c r="CM451" s="163">
        <f t="shared" si="5289"/>
        <v>46356</v>
      </c>
      <c r="CN451" s="167">
        <f t="shared" si="5290"/>
        <v>0</v>
      </c>
      <c r="CO451" s="163">
        <f t="shared" si="5291"/>
        <v>46357</v>
      </c>
      <c r="CP451" s="163">
        <f t="shared" si="5292"/>
        <v>46387</v>
      </c>
      <c r="CQ451" s="167">
        <f t="shared" si="5293"/>
        <v>0</v>
      </c>
    </row>
    <row r="452" s="89" customFormat="1" ht="24" hidden="1" customHeight="1" outlineLevel="3" collapsed="1" spans="1:95">
      <c r="A452" s="128"/>
      <c r="B452" s="129"/>
      <c r="C452" s="130"/>
      <c r="D452" s="128"/>
      <c r="E452" s="129"/>
      <c r="F452" s="129"/>
      <c r="G452" s="129"/>
      <c r="H452" s="131"/>
      <c r="I452" s="131"/>
      <c r="J452" s="131">
        <f>Z452+AC452+AF452+AI452+AL452+AO452+AR452+AU452+AX452+BA452+BD452+BG452</f>
        <v>96818</v>
      </c>
      <c r="K452" s="131">
        <f t="shared" si="5294"/>
        <v>4</v>
      </c>
      <c r="L452" s="156" t="s">
        <v>2856</v>
      </c>
      <c r="M452" s="157" t="str">
        <f>IFERROR(VLOOKUP($L452,'2-2 引出数据_合同数据仓库'!$B$5:$BP$200,3,FALSE),0)</f>
        <v>深圳非住二片区中海油大厦人脸识别零星工程合同</v>
      </c>
      <c r="N452" s="131"/>
      <c r="O452" s="157">
        <f>IFERROR(VLOOKUP((LEFT(VLOOKUP($L452,'2-2 引出数据_合同数据仓库'!$B$5:$BP$200,64,FALSE),15)&amp;(RIGHT(VLOOKUP($L452,'2-2 引出数据_合同数据仓库'!$B$5:$BP$200,64,FALSE),4)+1)),'2-2 引出数据_合同数据仓库'!$B$5:$BP$200,3,FALSE),0)</f>
        <v>0</v>
      </c>
      <c r="P452" s="131"/>
      <c r="Q452" s="131" t="str">
        <f>IFERROR(VLOOKUP($L452,'2-2 引出数据_合同数据仓库'!$B$5:$BP$200,28,FALSE),0)</f>
        <v>2025-04-18</v>
      </c>
      <c r="R452" s="131" t="str">
        <f>IFERROR(VLOOKUP($L452,'2-2 引出数据_合同数据仓库'!$B$5:$BP$200,29,FALSE),0)</f>
        <v>2025-04-18</v>
      </c>
      <c r="S452" s="131" t="str">
        <f>IFERROR(VLOOKUP($L452,'2-2 引出数据_合同数据仓库'!$B$5:$BP$200,4,FALSE),0)</f>
        <v>2025-12-31</v>
      </c>
      <c r="T452" s="131"/>
      <c r="U452" s="131">
        <f>IFERROR(VLOOKUP($L452,'2-2 引出数据_合同数据仓库'!$B$5:$BP$200,15,FALSE),0)</f>
        <v>96818</v>
      </c>
      <c r="V452" s="131">
        <f t="shared" si="5223"/>
        <v>136971.201550388</v>
      </c>
      <c r="W452" s="131"/>
      <c r="X452" s="163">
        <v>45658</v>
      </c>
      <c r="Y452" s="163">
        <f t="shared" si="5224"/>
        <v>45688</v>
      </c>
      <c r="Z452" s="167">
        <f t="shared" si="5225"/>
        <v>0</v>
      </c>
      <c r="AA452" s="163">
        <f t="shared" si="5226"/>
        <v>45689</v>
      </c>
      <c r="AB452" s="163">
        <f t="shared" si="5227"/>
        <v>45716</v>
      </c>
      <c r="AC452" s="167">
        <f t="shared" si="5228"/>
        <v>0</v>
      </c>
      <c r="AD452" s="163">
        <f t="shared" si="5229"/>
        <v>45717</v>
      </c>
      <c r="AE452" s="163">
        <f t="shared" si="5230"/>
        <v>45747</v>
      </c>
      <c r="AF452" s="167">
        <f t="shared" si="5231"/>
        <v>0</v>
      </c>
      <c r="AG452" s="163">
        <f t="shared" si="5232"/>
        <v>45748</v>
      </c>
      <c r="AH452" s="163">
        <f t="shared" si="5233"/>
        <v>45777</v>
      </c>
      <c r="AI452" s="167">
        <f t="shared" si="5234"/>
        <v>4878.42635658915</v>
      </c>
      <c r="AJ452" s="163">
        <f t="shared" si="5235"/>
        <v>45778</v>
      </c>
      <c r="AK452" s="163">
        <f t="shared" si="5236"/>
        <v>45808</v>
      </c>
      <c r="AL452" s="167">
        <f t="shared" si="5237"/>
        <v>11633.1705426357</v>
      </c>
      <c r="AM452" s="163">
        <f t="shared" si="5238"/>
        <v>45809</v>
      </c>
      <c r="AN452" s="163">
        <f t="shared" si="5239"/>
        <v>45838</v>
      </c>
      <c r="AO452" s="167">
        <f t="shared" si="5240"/>
        <v>11257.9069767442</v>
      </c>
      <c r="AP452" s="163">
        <f t="shared" si="5241"/>
        <v>45839</v>
      </c>
      <c r="AQ452" s="163">
        <f t="shared" si="5242"/>
        <v>45869</v>
      </c>
      <c r="AR452" s="167">
        <f t="shared" si="5243"/>
        <v>11633.1705426357</v>
      </c>
      <c r="AS452" s="163">
        <f t="shared" si="5244"/>
        <v>45870</v>
      </c>
      <c r="AT452" s="163">
        <f t="shared" si="5245"/>
        <v>45900</v>
      </c>
      <c r="AU452" s="167">
        <f t="shared" si="5246"/>
        <v>11633.1705426357</v>
      </c>
      <c r="AV452" s="163">
        <f t="shared" si="5247"/>
        <v>45901</v>
      </c>
      <c r="AW452" s="163">
        <f t="shared" si="5248"/>
        <v>45930</v>
      </c>
      <c r="AX452" s="167">
        <f t="shared" si="5249"/>
        <v>11257.9069767442</v>
      </c>
      <c r="AY452" s="163">
        <f t="shared" si="5250"/>
        <v>45931</v>
      </c>
      <c r="AZ452" s="163">
        <f t="shared" si="5251"/>
        <v>45961</v>
      </c>
      <c r="BA452" s="167">
        <f t="shared" si="5252"/>
        <v>11633.1705426357</v>
      </c>
      <c r="BB452" s="163">
        <f t="shared" si="5253"/>
        <v>45962</v>
      </c>
      <c r="BC452" s="163">
        <f t="shared" si="5254"/>
        <v>45991</v>
      </c>
      <c r="BD452" s="167">
        <f t="shared" si="5255"/>
        <v>11257.9069767442</v>
      </c>
      <c r="BE452" s="163">
        <f t="shared" si="5256"/>
        <v>45992</v>
      </c>
      <c r="BF452" s="163">
        <f t="shared" si="5257"/>
        <v>46022</v>
      </c>
      <c r="BG452" s="167">
        <f t="shared" si="5258"/>
        <v>11633.1705426357</v>
      </c>
      <c r="BH452" s="163">
        <v>46023</v>
      </c>
      <c r="BI452" s="163">
        <f t="shared" si="5259"/>
        <v>46053</v>
      </c>
      <c r="BJ452" s="167">
        <f t="shared" si="5260"/>
        <v>0</v>
      </c>
      <c r="BK452" s="163">
        <f t="shared" si="5261"/>
        <v>46054</v>
      </c>
      <c r="BL452" s="163">
        <f t="shared" si="5262"/>
        <v>46081</v>
      </c>
      <c r="BM452" s="167">
        <f t="shared" si="5263"/>
        <v>0</v>
      </c>
      <c r="BN452" s="163">
        <f t="shared" si="5264"/>
        <v>46082</v>
      </c>
      <c r="BO452" s="163">
        <f t="shared" si="5265"/>
        <v>46112</v>
      </c>
      <c r="BP452" s="167">
        <f t="shared" si="5266"/>
        <v>0</v>
      </c>
      <c r="BQ452" s="163">
        <f t="shared" si="5267"/>
        <v>46113</v>
      </c>
      <c r="BR452" s="163">
        <f t="shared" si="5268"/>
        <v>46142</v>
      </c>
      <c r="BS452" s="167">
        <f t="shared" si="5269"/>
        <v>0</v>
      </c>
      <c r="BT452" s="163">
        <f t="shared" si="5270"/>
        <v>46143</v>
      </c>
      <c r="BU452" s="163">
        <f t="shared" si="5271"/>
        <v>46173</v>
      </c>
      <c r="BV452" s="167">
        <f t="shared" si="5272"/>
        <v>0</v>
      </c>
      <c r="BW452" s="163">
        <f t="shared" si="5273"/>
        <v>46174</v>
      </c>
      <c r="BX452" s="163">
        <f t="shared" si="5274"/>
        <v>46203</v>
      </c>
      <c r="BY452" s="167">
        <f t="shared" si="5275"/>
        <v>0</v>
      </c>
      <c r="BZ452" s="163">
        <f t="shared" si="5276"/>
        <v>46204</v>
      </c>
      <c r="CA452" s="163">
        <f t="shared" si="5277"/>
        <v>46234</v>
      </c>
      <c r="CB452" s="167">
        <f t="shared" si="5278"/>
        <v>0</v>
      </c>
      <c r="CC452" s="163">
        <f t="shared" si="5279"/>
        <v>46235</v>
      </c>
      <c r="CD452" s="163">
        <f t="shared" si="5280"/>
        <v>46265</v>
      </c>
      <c r="CE452" s="167">
        <f t="shared" si="5281"/>
        <v>0</v>
      </c>
      <c r="CF452" s="163">
        <f t="shared" si="5282"/>
        <v>46266</v>
      </c>
      <c r="CG452" s="163">
        <f t="shared" si="5283"/>
        <v>46295</v>
      </c>
      <c r="CH452" s="167">
        <f t="shared" si="5284"/>
        <v>0</v>
      </c>
      <c r="CI452" s="163">
        <f t="shared" si="5285"/>
        <v>46296</v>
      </c>
      <c r="CJ452" s="163">
        <f t="shared" si="5286"/>
        <v>46326</v>
      </c>
      <c r="CK452" s="167">
        <f t="shared" si="5287"/>
        <v>0</v>
      </c>
      <c r="CL452" s="163">
        <f t="shared" si="5288"/>
        <v>46327</v>
      </c>
      <c r="CM452" s="163">
        <f t="shared" si="5289"/>
        <v>46356</v>
      </c>
      <c r="CN452" s="167">
        <f t="shared" si="5290"/>
        <v>0</v>
      </c>
      <c r="CO452" s="163">
        <f t="shared" si="5291"/>
        <v>46357</v>
      </c>
      <c r="CP452" s="163">
        <f t="shared" si="5292"/>
        <v>46387</v>
      </c>
      <c r="CQ452" s="167">
        <f t="shared" si="5293"/>
        <v>0</v>
      </c>
    </row>
    <row r="453" s="89" customFormat="1" ht="24" hidden="1" customHeight="1" outlineLevel="4" spans="1:95">
      <c r="A453" s="132" t="s">
        <v>2813</v>
      </c>
      <c r="B453" s="133"/>
      <c r="C453" s="133"/>
      <c r="D453" s="133"/>
      <c r="E453" s="133"/>
      <c r="F453" s="133"/>
      <c r="G453" s="134"/>
      <c r="H453" s="135"/>
      <c r="I453" s="135"/>
      <c r="J453" s="135"/>
      <c r="K453" s="135"/>
      <c r="L453" s="158"/>
      <c r="M453" s="158"/>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c r="CL453" s="135"/>
      <c r="CM453" s="135"/>
      <c r="CN453" s="135"/>
      <c r="CO453" s="135"/>
      <c r="CP453" s="135"/>
      <c r="CQ453" s="135"/>
    </row>
    <row r="454" ht="24" customHeight="1" outlineLevel="2" collapsed="1" spans="1:95">
      <c r="A454" s="43"/>
      <c r="B454" s="121" t="s">
        <v>792</v>
      </c>
      <c r="C454" s="122" t="s">
        <v>1547</v>
      </c>
      <c r="D454" s="43" t="s">
        <v>1548</v>
      </c>
      <c r="E454" s="121"/>
      <c r="F454" s="121"/>
      <c r="G454" s="121"/>
      <c r="H454" s="123">
        <f>X454+AA454+AD454+AG454+AJ454+AM454+AP454+AS454+AV454+AY454+BB454+BE454</f>
        <v>0</v>
      </c>
      <c r="I454" s="123">
        <f>Y454+AB454+AE454+AH454+AK454+AN454+AQ454+AT454+AW454+AZ454+BC454+BF454</f>
        <v>0</v>
      </c>
      <c r="J454" s="123">
        <f>Z454+AC454+AF454+AI454+AL454+AO454+AR454+AU454+AX454+BA454+BD454+BG454</f>
        <v>0</v>
      </c>
      <c r="K454" s="123"/>
      <c r="L454" s="154"/>
      <c r="M454" s="154"/>
      <c r="N454" s="123"/>
      <c r="O454" s="123"/>
      <c r="P454" s="123"/>
      <c r="Q454" s="123"/>
      <c r="R454" s="123"/>
      <c r="S454" s="123"/>
      <c r="T454" s="123"/>
      <c r="U454" s="123"/>
      <c r="V454" s="123"/>
      <c r="W454" s="123"/>
      <c r="X454" s="123">
        <f>VLOOKUP($C454,'1 预算编制表单'!$C:$BJ,27,FALSE)</f>
        <v>0</v>
      </c>
      <c r="Y454" s="123">
        <f>X454-Z454</f>
        <v>0</v>
      </c>
      <c r="Z454" s="123">
        <f>SUM(Z455:Z459)</f>
        <v>0</v>
      </c>
      <c r="AA454" s="123">
        <f>VLOOKUP($C454,'1 预算编制表单'!$C:$BJ,30,FALSE)</f>
        <v>0</v>
      </c>
      <c r="AB454" s="123">
        <f>AA454-AC454</f>
        <v>0</v>
      </c>
      <c r="AC454" s="123">
        <f>SUM(AC455:AC459)</f>
        <v>0</v>
      </c>
      <c r="AD454" s="123">
        <f>VLOOKUP($C454,'1 预算编制表单'!$C:$BJ,33,FALSE)</f>
        <v>0</v>
      </c>
      <c r="AE454" s="123">
        <f>AD454-AF454</f>
        <v>0</v>
      </c>
      <c r="AF454" s="123">
        <f>SUM(AF455:AF459)</f>
        <v>0</v>
      </c>
      <c r="AG454" s="123">
        <f>VLOOKUP($C454,'1 预算编制表单'!$C:$BJ,36,FALSE)</f>
        <v>0</v>
      </c>
      <c r="AH454" s="123">
        <f>AG454-AI454</f>
        <v>0</v>
      </c>
      <c r="AI454" s="123">
        <f>SUM(AI455:AI459)</f>
        <v>0</v>
      </c>
      <c r="AJ454" s="123">
        <f>VLOOKUP($C454,'1 预算编制表单'!$C:$BJ,39,FALSE)</f>
        <v>0</v>
      </c>
      <c r="AK454" s="123">
        <f>AJ454-AL454</f>
        <v>0</v>
      </c>
      <c r="AL454" s="123">
        <f>SUM(AL455:AL459)</f>
        <v>0</v>
      </c>
      <c r="AM454" s="123">
        <f>VLOOKUP($C454,'1 预算编制表单'!$C:$BJ,42,FALSE)</f>
        <v>0</v>
      </c>
      <c r="AN454" s="123">
        <f>AM454-AO454</f>
        <v>0</v>
      </c>
      <c r="AO454" s="123">
        <f>SUM(AO455:AO459)</f>
        <v>0</v>
      </c>
      <c r="AP454" s="123">
        <f>VLOOKUP($C454,'1 预算编制表单'!$C:$BJ,45,FALSE)</f>
        <v>0</v>
      </c>
      <c r="AQ454" s="123">
        <f>AP454-AR454</f>
        <v>0</v>
      </c>
      <c r="AR454" s="123">
        <f>SUM(AR455:AR459)</f>
        <v>0</v>
      </c>
      <c r="AS454" s="123">
        <f>VLOOKUP($C454,'1 预算编制表单'!$C:$BJ,48,FALSE)</f>
        <v>0</v>
      </c>
      <c r="AT454" s="123">
        <f>AS454-AU454</f>
        <v>0</v>
      </c>
      <c r="AU454" s="123">
        <f>SUM(AU455:AU459)</f>
        <v>0</v>
      </c>
      <c r="AV454" s="123">
        <f>VLOOKUP($C454,'1 预算编制表单'!$C:$BJ,51,FALSE)</f>
        <v>0</v>
      </c>
      <c r="AW454" s="123">
        <f>AV454-AX454</f>
        <v>0</v>
      </c>
      <c r="AX454" s="123">
        <f>SUM(AX455:AX459)</f>
        <v>0</v>
      </c>
      <c r="AY454" s="123">
        <f>VLOOKUP($C454,'1 预算编制表单'!$C:$BJ,54,FALSE)</f>
        <v>0</v>
      </c>
      <c r="AZ454" s="123">
        <f>AY454-BA454</f>
        <v>0</v>
      </c>
      <c r="BA454" s="123">
        <f>SUM(BA455:BA459)</f>
        <v>0</v>
      </c>
      <c r="BB454" s="123">
        <f>VLOOKUP($C454,'1 预算编制表单'!$C:$BJ,57,FALSE)</f>
        <v>0</v>
      </c>
      <c r="BC454" s="123">
        <f>BB454-BD454</f>
        <v>0</v>
      </c>
      <c r="BD454" s="123">
        <f>SUM(BD455:BD459)</f>
        <v>0</v>
      </c>
      <c r="BE454" s="123">
        <f>VLOOKUP($C454,'1 预算编制表单'!$C:$BJ,60,FALSE)</f>
        <v>0</v>
      </c>
      <c r="BF454" s="123">
        <f>BE454-BG454</f>
        <v>0</v>
      </c>
      <c r="BG454" s="123">
        <f>SUM(BG455:BG459)</f>
        <v>0</v>
      </c>
      <c r="BH454" s="123">
        <f>VLOOKUP($C454,'1 预算编制表单'!$C:$BJ,27,FALSE)</f>
        <v>0</v>
      </c>
      <c r="BI454" s="123">
        <f>BH454-BJ454</f>
        <v>0</v>
      </c>
      <c r="BJ454" s="123">
        <f>SUM(BJ455:BJ459)</f>
        <v>0</v>
      </c>
      <c r="BK454" s="123">
        <f>VLOOKUP($C454,'1 预算编制表单'!$C:$BJ,30,FALSE)</f>
        <v>0</v>
      </c>
      <c r="BL454" s="123">
        <f>BK454-BM454</f>
        <v>0</v>
      </c>
      <c r="BM454" s="123">
        <f>SUM(BM455:BM459)</f>
        <v>0</v>
      </c>
      <c r="BN454" s="123">
        <f>VLOOKUP($C454,'1 预算编制表单'!$C:$BJ,33,FALSE)</f>
        <v>0</v>
      </c>
      <c r="BO454" s="123">
        <f>BN454-BP454</f>
        <v>0</v>
      </c>
      <c r="BP454" s="123">
        <f>SUM(BP455:BP459)</f>
        <v>0</v>
      </c>
      <c r="BQ454" s="123">
        <f>VLOOKUP($C454,'1 预算编制表单'!$C:$BJ,36,FALSE)</f>
        <v>0</v>
      </c>
      <c r="BR454" s="123">
        <f>BQ454-BS454</f>
        <v>0</v>
      </c>
      <c r="BS454" s="123">
        <f>SUM(BS455:BS459)</f>
        <v>0</v>
      </c>
      <c r="BT454" s="123">
        <f>VLOOKUP($C454,'1 预算编制表单'!$C:$BJ,39,FALSE)</f>
        <v>0</v>
      </c>
      <c r="BU454" s="123">
        <f>BT454-BV454</f>
        <v>0</v>
      </c>
      <c r="BV454" s="123">
        <f>SUM(BV455:BV459)</f>
        <v>0</v>
      </c>
      <c r="BW454" s="123">
        <f>VLOOKUP($C454,'1 预算编制表单'!$C:$BJ,42,FALSE)</f>
        <v>0</v>
      </c>
      <c r="BX454" s="123">
        <f>BW454-BY454</f>
        <v>0</v>
      </c>
      <c r="BY454" s="123">
        <f>SUM(BY455:BY459)</f>
        <v>0</v>
      </c>
      <c r="BZ454" s="123">
        <f>VLOOKUP($C454,'1 预算编制表单'!$C:$BJ,45,FALSE)</f>
        <v>0</v>
      </c>
      <c r="CA454" s="123">
        <f>BZ454-CB454</f>
        <v>0</v>
      </c>
      <c r="CB454" s="123">
        <f>SUM(CB455:CB459)</f>
        <v>0</v>
      </c>
      <c r="CC454" s="123">
        <f>VLOOKUP($C454,'1 预算编制表单'!$C:$BJ,48,FALSE)</f>
        <v>0</v>
      </c>
      <c r="CD454" s="123">
        <f>CC454-CE454</f>
        <v>0</v>
      </c>
      <c r="CE454" s="123">
        <f>SUM(CE455:CE459)</f>
        <v>0</v>
      </c>
      <c r="CF454" s="123">
        <f>VLOOKUP($C454,'1 预算编制表单'!$C:$BJ,51,FALSE)</f>
        <v>0</v>
      </c>
      <c r="CG454" s="123">
        <f>CF454-CH454</f>
        <v>0</v>
      </c>
      <c r="CH454" s="123">
        <f>SUM(CH455:CH459)</f>
        <v>0</v>
      </c>
      <c r="CI454" s="123">
        <f>VLOOKUP($C454,'1 预算编制表单'!$C:$BJ,54,FALSE)</f>
        <v>0</v>
      </c>
      <c r="CJ454" s="123">
        <f>CI454-CK454</f>
        <v>0</v>
      </c>
      <c r="CK454" s="123">
        <f>SUM(CK455:CK459)</f>
        <v>0</v>
      </c>
      <c r="CL454" s="123">
        <f>VLOOKUP($C454,'1 预算编制表单'!$C:$BJ,57,FALSE)</f>
        <v>0</v>
      </c>
      <c r="CM454" s="123">
        <f>CL454-CN454</f>
        <v>0</v>
      </c>
      <c r="CN454" s="123">
        <f>SUM(CN455:CN459)</f>
        <v>0</v>
      </c>
      <c r="CO454" s="123">
        <f>VLOOKUP($C454,'1 预算编制表单'!$C:$BJ,60,FALSE)</f>
        <v>0</v>
      </c>
      <c r="CP454" s="123">
        <f>CO454-CQ454</f>
        <v>0</v>
      </c>
      <c r="CQ454" s="123">
        <f>SUM(CQ455:CQ459)</f>
        <v>0</v>
      </c>
    </row>
    <row r="455" s="89" customFormat="1" ht="24" hidden="1" customHeight="1" outlineLevel="3" spans="1:95">
      <c r="A455" s="128"/>
      <c r="B455" s="129"/>
      <c r="C455" s="130"/>
      <c r="D455" s="128"/>
      <c r="E455" s="129"/>
      <c r="F455" s="129"/>
      <c r="G455" s="129"/>
      <c r="H455" s="131"/>
      <c r="I455" s="131"/>
      <c r="J455" s="131">
        <f>Z455+AC455+AF455+AI455+AL455+AO455+AR455+AU455+AX455+BA455+BD455+BG455</f>
        <v>0</v>
      </c>
      <c r="K455" s="131">
        <v>1</v>
      </c>
      <c r="L455" s="156"/>
      <c r="M455" s="157">
        <f>IFERROR(VLOOKUP($L455,'2-2 引出数据_合同数据仓库'!$B$5:$BP$200,3,FALSE),0)</f>
        <v>0</v>
      </c>
      <c r="N455" s="131"/>
      <c r="O455" s="157">
        <f>IFERROR(VLOOKUP((LEFT(VLOOKUP($L455,'2-2 引出数据_合同数据仓库'!$B$5:$BP$200,64,FALSE),15)&amp;(RIGHT(VLOOKUP($L455,'2-2 引出数据_合同数据仓库'!$B$5:$BP$200,64,FALSE),4)+1)),'2-2 引出数据_合同数据仓库'!$B$5:$BP$200,3,FALSE),0)</f>
        <v>0</v>
      </c>
      <c r="P455" s="131"/>
      <c r="Q455" s="131">
        <f>IFERROR(VLOOKUP($L455,'2-2 引出数据_合同数据仓库'!$B$5:$BP$200,28,FALSE),0)</f>
        <v>0</v>
      </c>
      <c r="R455" s="131">
        <f>IFERROR(VLOOKUP($L455,'2-2 引出数据_合同数据仓库'!$B$5:$BP$200,29,FALSE),0)</f>
        <v>0</v>
      </c>
      <c r="S455" s="131">
        <f>IFERROR(VLOOKUP($L455,'2-2 引出数据_合同数据仓库'!$B$5:$BP$200,4,FALSE),0)</f>
        <v>0</v>
      </c>
      <c r="T455" s="131"/>
      <c r="U455" s="131">
        <f>IFERROR(VLOOKUP($L455,'2-2 引出数据_合同数据仓库'!$B$5:$BP$200,15,FALSE),0)</f>
        <v>0</v>
      </c>
      <c r="V455" s="131">
        <f t="shared" ref="V455:V458" si="5295">U455/(S455-R455+1)*365</f>
        <v>0</v>
      </c>
      <c r="W455" s="131"/>
      <c r="X455" s="163">
        <v>45658</v>
      </c>
      <c r="Y455" s="163">
        <f t="shared" ref="Y455:Y458" si="5296">X455+30</f>
        <v>45688</v>
      </c>
      <c r="Z455" s="167">
        <f t="shared" ref="Z455:Z458" si="5297">IFERROR(IF(($R455-Y455)&gt;=0,0,IF(($S455-X455)&lt;0,0,IF(AND(($S455-Y455)&gt;0,(X455-$R455)&gt;0),$V455/365*(Y455-X455+1),IF(AND(($S455-Y455)&lt;=0,(X455-$R455)&gt;0),$V455/365*($S455-X455+1),$V455/365*(Y455-$R455+1))))),0)</f>
        <v>0</v>
      </c>
      <c r="AA455" s="163">
        <f t="shared" ref="AA455:AA458" si="5298">Y455+1</f>
        <v>45689</v>
      </c>
      <c r="AB455" s="163">
        <f t="shared" ref="AB455:AB458" si="5299">AA455+27</f>
        <v>45716</v>
      </c>
      <c r="AC455" s="167">
        <f t="shared" ref="AC455:AC458" si="5300">IFERROR(IF(($R455-AB455)&gt;=0,0,IF(($S455-AA455)&lt;0,0,IF(AND(($S455-AB455)&gt;0,(AA455-$R455)&gt;0),$V455/365*(AB455-AA455+1),IF(AND(($S455-AB455)&lt;=0,(AA455-$R455)&gt;0),$V455/365*($S455-AA455+1),$V455/365*(AB455-$R455+1))))),0)</f>
        <v>0</v>
      </c>
      <c r="AD455" s="163">
        <f t="shared" ref="AD455:AD458" si="5301">AB455+1</f>
        <v>45717</v>
      </c>
      <c r="AE455" s="163">
        <f t="shared" ref="AE455:AE458" si="5302">AD455+30</f>
        <v>45747</v>
      </c>
      <c r="AF455" s="167">
        <f t="shared" ref="AF455:AF458" si="5303">IFERROR(IF(($R455-AE455)&gt;=0,0,IF(($S455-AD455)&lt;0,0,IF(AND(($S455-AE455)&gt;0,(AD455-$R455)&gt;0),$V455/365*(AE455-AD455+1),IF(AND(($S455-AE455)&lt;=0,(AD455-$R455)&gt;0),$V455/365*($S455-AD455+1),$V455/365*(AE455-$R455+1))))),0)</f>
        <v>0</v>
      </c>
      <c r="AG455" s="163">
        <f t="shared" ref="AG455:AG458" si="5304">AE455+1</f>
        <v>45748</v>
      </c>
      <c r="AH455" s="163">
        <f t="shared" ref="AH455:AH458" si="5305">AG455+29</f>
        <v>45777</v>
      </c>
      <c r="AI455" s="167">
        <f t="shared" ref="AI455:AI458" si="5306">IFERROR(IF(($R455-AH455)&gt;=0,0,IF(($S455-AG455)&lt;0,0,IF(AND(($S455-AH455)&gt;0,(AG455-$R455)&gt;0),$V455/365*(AH455-AG455+1),IF(AND(($S455-AH455)&lt;=0,(AG455-$R455)&gt;0),$V455/365*($S455-AG455+1),$V455/365*(AH455-$R455+1))))),0)</f>
        <v>0</v>
      </c>
      <c r="AJ455" s="163">
        <f t="shared" ref="AJ455:AJ458" si="5307">AH455+1</f>
        <v>45778</v>
      </c>
      <c r="AK455" s="163">
        <f t="shared" ref="AK455:AK458" si="5308">AJ455+30</f>
        <v>45808</v>
      </c>
      <c r="AL455" s="167">
        <f t="shared" ref="AL455:AL458" si="5309">IFERROR(IF(($R455-AK455)&gt;=0,0,IF(($S455-AJ455)&lt;0,0,IF(AND(($S455-AK455)&gt;0,(AJ455-$R455)&gt;0),$V455/365*(AK455-AJ455+1),IF(AND(($S455-AK455)&lt;=0,(AJ455-$R455)&gt;0),$V455/365*($S455-AJ455+1),$V455/365*(AK455-$R455+1))))),0)</f>
        <v>0</v>
      </c>
      <c r="AM455" s="163">
        <f t="shared" ref="AM455:AM458" si="5310">AK455+1</f>
        <v>45809</v>
      </c>
      <c r="AN455" s="163">
        <f t="shared" ref="AN455:AN458" si="5311">AM455+29</f>
        <v>45838</v>
      </c>
      <c r="AO455" s="167">
        <f t="shared" ref="AO455:AO458" si="5312">IFERROR(IF(($R455-AN455)&gt;=0,0,IF(($S455-AM455)&lt;0,0,IF(AND(($S455-AN455)&gt;0,(AM455-$R455)&gt;0),$V455/365*(AN455-AM455+1),IF(AND(($S455-AN455)&lt;=0,(AM455-$R455)&gt;0),$V455/365*($S455-AM455+1),$V455/365*(AN455-$R455+1))))),0)</f>
        <v>0</v>
      </c>
      <c r="AP455" s="163">
        <f t="shared" ref="AP455:AP458" si="5313">AN455+1</f>
        <v>45839</v>
      </c>
      <c r="AQ455" s="163">
        <f t="shared" ref="AQ455:AQ458" si="5314">AP455+30</f>
        <v>45869</v>
      </c>
      <c r="AR455" s="167">
        <f t="shared" ref="AR455:AR458" si="5315">IFERROR(IF(($R455-AQ455)&gt;=0,0,IF(($S455-AP455)&lt;0,0,IF(AND(($S455-AQ455)&gt;0,(AP455-$R455)&gt;0),$V455/365*(AQ455-AP455+1),IF(AND(($S455-AQ455)&lt;=0,(AP455-$R455)&gt;0),$V455/365*($S455-AP455+1),$V455/365*(AQ455-$R455+1))))),0)</f>
        <v>0</v>
      </c>
      <c r="AS455" s="163">
        <f t="shared" ref="AS455:AS458" si="5316">AQ455+1</f>
        <v>45870</v>
      </c>
      <c r="AT455" s="163">
        <f t="shared" ref="AT455:AT458" si="5317">AS455+30</f>
        <v>45900</v>
      </c>
      <c r="AU455" s="167">
        <f t="shared" ref="AU455:AU458" si="5318">IFERROR(IF(($R455-AT455)&gt;=0,0,IF(($S455-AS455)&lt;0,0,IF(AND(($S455-AT455)&gt;0,(AS455-$R455)&gt;0),$V455/365*(AT455-AS455+1),IF(AND(($S455-AT455)&lt;=0,(AS455-$R455)&gt;0),$V455/365*($S455-AS455+1),$V455/365*(AT455-$R455+1))))),0)</f>
        <v>0</v>
      </c>
      <c r="AV455" s="163">
        <f t="shared" ref="AV455:AV458" si="5319">AT455+1</f>
        <v>45901</v>
      </c>
      <c r="AW455" s="163">
        <f t="shared" ref="AW455:AW458" si="5320">AV455+29</f>
        <v>45930</v>
      </c>
      <c r="AX455" s="167">
        <f t="shared" ref="AX455:AX458" si="5321">IFERROR(IF(($R455-AW455)&gt;=0,0,IF(($S455-AV455)&lt;0,0,IF(AND(($S455-AW455)&gt;0,(AV455-$R455)&gt;0),$V455/365*(AW455-AV455+1),IF(AND(($S455-AW455)&lt;=0,(AV455-$R455)&gt;0),$V455/365*($S455-AV455+1),$V455/365*(AW455-$R455+1))))),0)</f>
        <v>0</v>
      </c>
      <c r="AY455" s="163">
        <f t="shared" ref="AY455:AY458" si="5322">AW455+1</f>
        <v>45931</v>
      </c>
      <c r="AZ455" s="163">
        <f t="shared" ref="AZ455:AZ458" si="5323">AY455+30</f>
        <v>45961</v>
      </c>
      <c r="BA455" s="167">
        <f t="shared" ref="BA455:BA458" si="5324">IFERROR(IF(($R455-AZ455)&gt;=0,0,IF(($S455-AY455)&lt;0,0,IF(AND(($S455-AZ455)&gt;0,(AY455-$R455)&gt;0),$V455/365*(AZ455-AY455+1),IF(AND(($S455-AZ455)&lt;=0,(AY455-$R455)&gt;0),$V455/365*($S455-AY455+1),$V455/365*(AZ455-$R455+1))))),0)</f>
        <v>0</v>
      </c>
      <c r="BB455" s="163">
        <f t="shared" ref="BB455:BB458" si="5325">AZ455+1</f>
        <v>45962</v>
      </c>
      <c r="BC455" s="163">
        <f t="shared" ref="BC455:BC458" si="5326">BB455+29</f>
        <v>45991</v>
      </c>
      <c r="BD455" s="167">
        <f t="shared" ref="BD455:BD458" si="5327">IFERROR(IF(($R455-BC455)&gt;=0,0,IF(($S455-BB455)&lt;0,0,IF(AND(($S455-BC455)&gt;0,(BB455-$R455)&gt;0),$V455/365*(BC455-BB455+1),IF(AND(($S455-BC455)&lt;=0,(BB455-$R455)&gt;0),$V455/365*($S455-BB455+1),$V455/365*(BC455-$R455+1))))),0)</f>
        <v>0</v>
      </c>
      <c r="BE455" s="163">
        <f t="shared" ref="BE455:BE458" si="5328">BC455+1</f>
        <v>45992</v>
      </c>
      <c r="BF455" s="163">
        <f t="shared" ref="BF455:BF458" si="5329">BE455+30</f>
        <v>46022</v>
      </c>
      <c r="BG455" s="167">
        <f t="shared" ref="BG455:BG458" si="5330">IFERROR(IF(($R455-BF455)&gt;=0,0,IF(($S455-BE455)&lt;0,0,IF(AND(($S455-BF455)&gt;0,(BE455-$R455)&gt;0),$V455/365*(BF455-BE455+1),IF(AND(($S455-BF455)&lt;=0,(BE455-$R455)&gt;0),$V455/365*($S455-BE455+1),$V455/365*(BF455-$R455+1))))),0)</f>
        <v>0</v>
      </c>
      <c r="BH455" s="163">
        <v>46023</v>
      </c>
      <c r="BI455" s="163">
        <f t="shared" ref="BI455:BI458" si="5331">BH455+30</f>
        <v>46053</v>
      </c>
      <c r="BJ455" s="167">
        <f t="shared" ref="BJ455:BJ458" si="5332">IFERROR(IF(($R455-BI455)&gt;=0,0,IF(($S455-BH455)&lt;0,0,IF(AND(($S455-BI455)&gt;0,(BH455-$R455)&gt;0),$V455/365*(BI455-BH455+1),IF(AND(($S455-BI455)&lt;=0,(BH455-$R455)&gt;0),$V455/365*($S455-BH455+1),$V455/365*(BI455-$R455+1))))),0)</f>
        <v>0</v>
      </c>
      <c r="BK455" s="163">
        <f t="shared" ref="BK455:BK458" si="5333">BI455+1</f>
        <v>46054</v>
      </c>
      <c r="BL455" s="163">
        <f t="shared" ref="BL455:BL458" si="5334">BK455+27</f>
        <v>46081</v>
      </c>
      <c r="BM455" s="167">
        <f t="shared" ref="BM455:BM458" si="5335">IFERROR(IF(($R455-BL455)&gt;=0,0,IF(($S455-BK455)&lt;0,0,IF(AND(($S455-BL455)&gt;0,(BK455-$R455)&gt;0),$V455/365*(BL455-BK455+1),IF(AND(($S455-BL455)&lt;=0,(BK455-$R455)&gt;0),$V455/365*($S455-BK455+1),$V455/365*(BL455-$R455+1))))),0)</f>
        <v>0</v>
      </c>
      <c r="BN455" s="163">
        <f t="shared" ref="BN455:BN458" si="5336">BL455+1</f>
        <v>46082</v>
      </c>
      <c r="BO455" s="163">
        <f t="shared" ref="BO455:BO458" si="5337">BN455+30</f>
        <v>46112</v>
      </c>
      <c r="BP455" s="167">
        <f t="shared" ref="BP455:BP458" si="5338">IFERROR(IF(($R455-BO455)&gt;=0,0,IF(($S455-BN455)&lt;0,0,IF(AND(($S455-BO455)&gt;0,(BN455-$R455)&gt;0),$V455/365*(BO455-BN455+1),IF(AND(($S455-BO455)&lt;=0,(BN455-$R455)&gt;0),$V455/365*($S455-BN455+1),$V455/365*(BO455-$R455+1))))),0)</f>
        <v>0</v>
      </c>
      <c r="BQ455" s="163">
        <f t="shared" ref="BQ455:BQ458" si="5339">BO455+1</f>
        <v>46113</v>
      </c>
      <c r="BR455" s="163">
        <f t="shared" ref="BR455:BR458" si="5340">BQ455+29</f>
        <v>46142</v>
      </c>
      <c r="BS455" s="167">
        <f t="shared" ref="BS455:BS458" si="5341">IFERROR(IF(($R455-BR455)&gt;=0,0,IF(($S455-BQ455)&lt;0,0,IF(AND(($S455-BR455)&gt;0,(BQ455-$R455)&gt;0),$V455/365*(BR455-BQ455+1),IF(AND(($S455-BR455)&lt;=0,(BQ455-$R455)&gt;0),$V455/365*($S455-BQ455+1),$V455/365*(BR455-$R455+1))))),0)</f>
        <v>0</v>
      </c>
      <c r="BT455" s="163">
        <f t="shared" ref="BT455:BT458" si="5342">BR455+1</f>
        <v>46143</v>
      </c>
      <c r="BU455" s="163">
        <f t="shared" ref="BU455:BU458" si="5343">BT455+30</f>
        <v>46173</v>
      </c>
      <c r="BV455" s="167">
        <f t="shared" ref="BV455:BV458" si="5344">IFERROR(IF(($R455-BU455)&gt;=0,0,IF(($S455-BT455)&lt;0,0,IF(AND(($S455-BU455)&gt;0,(BT455-$R455)&gt;0),$V455/365*(BU455-BT455+1),IF(AND(($S455-BU455)&lt;=0,(BT455-$R455)&gt;0),$V455/365*($S455-BT455+1),$V455/365*(BU455-$R455+1))))),0)</f>
        <v>0</v>
      </c>
      <c r="BW455" s="163">
        <f t="shared" ref="BW455:BW458" si="5345">BU455+1</f>
        <v>46174</v>
      </c>
      <c r="BX455" s="163">
        <f t="shared" ref="BX455:BX458" si="5346">BW455+29</f>
        <v>46203</v>
      </c>
      <c r="BY455" s="167">
        <f t="shared" ref="BY455:BY458" si="5347">IFERROR(IF(($R455-BX455)&gt;=0,0,IF(($S455-BW455)&lt;0,0,IF(AND(($S455-BX455)&gt;0,(BW455-$R455)&gt;0),$V455/365*(BX455-BW455+1),IF(AND(($S455-BX455)&lt;=0,(BW455-$R455)&gt;0),$V455/365*($S455-BW455+1),$V455/365*(BX455-$R455+1))))),0)</f>
        <v>0</v>
      </c>
      <c r="BZ455" s="163">
        <f t="shared" ref="BZ455:BZ458" si="5348">BX455+1</f>
        <v>46204</v>
      </c>
      <c r="CA455" s="163">
        <f t="shared" ref="CA455:CA458" si="5349">BZ455+30</f>
        <v>46234</v>
      </c>
      <c r="CB455" s="167">
        <f t="shared" ref="CB455:CB458" si="5350">IFERROR(IF(($R455-CA455)&gt;=0,0,IF(($S455-BZ455)&lt;0,0,IF(AND(($S455-CA455)&gt;0,(BZ455-$R455)&gt;0),$V455/365*(CA455-BZ455+1),IF(AND(($S455-CA455)&lt;=0,(BZ455-$R455)&gt;0),$V455/365*($S455-BZ455+1),$V455/365*(CA455-$R455+1))))),0)</f>
        <v>0</v>
      </c>
      <c r="CC455" s="163">
        <f t="shared" ref="CC455:CC458" si="5351">CA455+1</f>
        <v>46235</v>
      </c>
      <c r="CD455" s="163">
        <f t="shared" ref="CD455:CD458" si="5352">CC455+30</f>
        <v>46265</v>
      </c>
      <c r="CE455" s="167">
        <f t="shared" ref="CE455:CE458" si="5353">IFERROR(IF(($R455-CD455)&gt;=0,0,IF(($S455-CC455)&lt;0,0,IF(AND(($S455-CD455)&gt;0,(CC455-$R455)&gt;0),$V455/365*(CD455-CC455+1),IF(AND(($S455-CD455)&lt;=0,(CC455-$R455)&gt;0),$V455/365*($S455-CC455+1),$V455/365*(CD455-$R455+1))))),0)</f>
        <v>0</v>
      </c>
      <c r="CF455" s="163">
        <f t="shared" ref="CF455:CF458" si="5354">CD455+1</f>
        <v>46266</v>
      </c>
      <c r="CG455" s="163">
        <f t="shared" ref="CG455:CG458" si="5355">CF455+29</f>
        <v>46295</v>
      </c>
      <c r="CH455" s="167">
        <f t="shared" ref="CH455:CH458" si="5356">IFERROR(IF(($R455-CG455)&gt;=0,0,IF(($S455-CF455)&lt;0,0,IF(AND(($S455-CG455)&gt;0,(CF455-$R455)&gt;0),$V455/365*(CG455-CF455+1),IF(AND(($S455-CG455)&lt;=0,(CF455-$R455)&gt;0),$V455/365*($S455-CF455+1),$V455/365*(CG455-$R455+1))))),0)</f>
        <v>0</v>
      </c>
      <c r="CI455" s="163">
        <f t="shared" ref="CI455:CI458" si="5357">CG455+1</f>
        <v>46296</v>
      </c>
      <c r="CJ455" s="163">
        <f t="shared" ref="CJ455:CJ458" si="5358">CI455+30</f>
        <v>46326</v>
      </c>
      <c r="CK455" s="167">
        <f t="shared" ref="CK455:CK458" si="5359">IFERROR(IF(($R455-CJ455)&gt;=0,0,IF(($S455-CI455)&lt;0,0,IF(AND(($S455-CJ455)&gt;0,(CI455-$R455)&gt;0),$V455/365*(CJ455-CI455+1),IF(AND(($S455-CJ455)&lt;=0,(CI455-$R455)&gt;0),$V455/365*($S455-CI455+1),$V455/365*(CJ455-$R455+1))))),0)</f>
        <v>0</v>
      </c>
      <c r="CL455" s="163">
        <f t="shared" ref="CL455:CL458" si="5360">CJ455+1</f>
        <v>46327</v>
      </c>
      <c r="CM455" s="163">
        <f t="shared" ref="CM455:CM458" si="5361">CL455+29</f>
        <v>46356</v>
      </c>
      <c r="CN455" s="167">
        <f t="shared" ref="CN455:CN458" si="5362">IFERROR(IF(($R455-CM455)&gt;=0,0,IF(($S455-CL455)&lt;0,0,IF(AND(($S455-CM455)&gt;0,(CL455-$R455)&gt;0),$V455/365*(CM455-CL455+1),IF(AND(($S455-CM455)&lt;=0,(CL455-$R455)&gt;0),$V455/365*($S455-CL455+1),$V455/365*(CM455-$R455+1))))),0)</f>
        <v>0</v>
      </c>
      <c r="CO455" s="163">
        <f t="shared" ref="CO455:CO458" si="5363">CM455+1</f>
        <v>46357</v>
      </c>
      <c r="CP455" s="163">
        <f t="shared" ref="CP455:CP458" si="5364">CO455+30</f>
        <v>46387</v>
      </c>
      <c r="CQ455" s="167">
        <f t="shared" ref="CQ455:CQ458" si="5365">IFERROR(IF(($R455-CP455)&gt;=0,0,IF(($S455-CO455)&lt;0,0,IF(AND(($S455-CP455)&gt;0,(CO455-$R455)&gt;0),$V455/365*(CP455-CO455+1),IF(AND(($S455-CP455)&lt;=0,(CO455-$R455)&gt;0),$V455/365*($S455-CO455+1),$V455/365*(CP455-$R455+1))))),0)</f>
        <v>0</v>
      </c>
    </row>
    <row r="456" s="89" customFormat="1" ht="24" hidden="1" customHeight="1" outlineLevel="3" spans="1:95">
      <c r="A456" s="128"/>
      <c r="B456" s="129"/>
      <c r="C456" s="130"/>
      <c r="D456" s="128"/>
      <c r="E456" s="129"/>
      <c r="F456" s="129"/>
      <c r="G456" s="129"/>
      <c r="H456" s="131"/>
      <c r="I456" s="131"/>
      <c r="J456" s="131">
        <f>Z456+AC456+AF456+AI456+AL456+AO456+AR456+AU456+AX456+BA456+BD456+BG456</f>
        <v>0</v>
      </c>
      <c r="K456" s="131">
        <f t="shared" ref="K456:K458" si="5366">K455+1</f>
        <v>2</v>
      </c>
      <c r="L456" s="156"/>
      <c r="M456" s="157">
        <f>IFERROR(VLOOKUP($L456,'2-2 引出数据_合同数据仓库'!$B$5:$BP$200,3,FALSE),0)</f>
        <v>0</v>
      </c>
      <c r="N456" s="131"/>
      <c r="O456" s="157">
        <f>IFERROR(VLOOKUP((LEFT(VLOOKUP($L456,'2-2 引出数据_合同数据仓库'!$B$5:$BP$200,64,FALSE),15)&amp;(RIGHT(VLOOKUP($L456,'2-2 引出数据_合同数据仓库'!$B$5:$BP$200,64,FALSE),4)+1)),'2-2 引出数据_合同数据仓库'!$B$5:$BP$200,3,FALSE),0)</f>
        <v>0</v>
      </c>
      <c r="P456" s="131"/>
      <c r="Q456" s="131">
        <f>IFERROR(VLOOKUP($L456,'2-2 引出数据_合同数据仓库'!$B$5:$BP$200,28,FALSE),0)</f>
        <v>0</v>
      </c>
      <c r="R456" s="131">
        <f>IFERROR(VLOOKUP($L456,'2-2 引出数据_合同数据仓库'!$B$5:$BP$200,29,FALSE),0)</f>
        <v>0</v>
      </c>
      <c r="S456" s="131">
        <f>IFERROR(VLOOKUP($L456,'2-2 引出数据_合同数据仓库'!$B$5:$BP$200,4,FALSE),0)</f>
        <v>0</v>
      </c>
      <c r="T456" s="131"/>
      <c r="U456" s="131">
        <f>IFERROR(VLOOKUP($L456,'2-2 引出数据_合同数据仓库'!$B$5:$BP$200,15,FALSE),0)</f>
        <v>0</v>
      </c>
      <c r="V456" s="131">
        <f t="shared" si="5295"/>
        <v>0</v>
      </c>
      <c r="W456" s="131"/>
      <c r="X456" s="163">
        <v>45658</v>
      </c>
      <c r="Y456" s="163">
        <f t="shared" si="5296"/>
        <v>45688</v>
      </c>
      <c r="Z456" s="167">
        <f t="shared" si="5297"/>
        <v>0</v>
      </c>
      <c r="AA456" s="163">
        <f t="shared" si="5298"/>
        <v>45689</v>
      </c>
      <c r="AB456" s="163">
        <f t="shared" si="5299"/>
        <v>45716</v>
      </c>
      <c r="AC456" s="167">
        <f t="shared" si="5300"/>
        <v>0</v>
      </c>
      <c r="AD456" s="163">
        <f t="shared" si="5301"/>
        <v>45717</v>
      </c>
      <c r="AE456" s="163">
        <f t="shared" si="5302"/>
        <v>45747</v>
      </c>
      <c r="AF456" s="167">
        <f t="shared" si="5303"/>
        <v>0</v>
      </c>
      <c r="AG456" s="163">
        <f t="shared" si="5304"/>
        <v>45748</v>
      </c>
      <c r="AH456" s="163">
        <f t="shared" si="5305"/>
        <v>45777</v>
      </c>
      <c r="AI456" s="167">
        <f t="shared" si="5306"/>
        <v>0</v>
      </c>
      <c r="AJ456" s="163">
        <f t="shared" si="5307"/>
        <v>45778</v>
      </c>
      <c r="AK456" s="163">
        <f t="shared" si="5308"/>
        <v>45808</v>
      </c>
      <c r="AL456" s="167">
        <f t="shared" si="5309"/>
        <v>0</v>
      </c>
      <c r="AM456" s="163">
        <f t="shared" si="5310"/>
        <v>45809</v>
      </c>
      <c r="AN456" s="163">
        <f t="shared" si="5311"/>
        <v>45838</v>
      </c>
      <c r="AO456" s="167">
        <f t="shared" si="5312"/>
        <v>0</v>
      </c>
      <c r="AP456" s="163">
        <f t="shared" si="5313"/>
        <v>45839</v>
      </c>
      <c r="AQ456" s="163">
        <f t="shared" si="5314"/>
        <v>45869</v>
      </c>
      <c r="AR456" s="167">
        <f t="shared" si="5315"/>
        <v>0</v>
      </c>
      <c r="AS456" s="163">
        <f t="shared" si="5316"/>
        <v>45870</v>
      </c>
      <c r="AT456" s="163">
        <f t="shared" si="5317"/>
        <v>45900</v>
      </c>
      <c r="AU456" s="167">
        <f t="shared" si="5318"/>
        <v>0</v>
      </c>
      <c r="AV456" s="163">
        <f t="shared" si="5319"/>
        <v>45901</v>
      </c>
      <c r="AW456" s="163">
        <f t="shared" si="5320"/>
        <v>45930</v>
      </c>
      <c r="AX456" s="167">
        <f t="shared" si="5321"/>
        <v>0</v>
      </c>
      <c r="AY456" s="163">
        <f t="shared" si="5322"/>
        <v>45931</v>
      </c>
      <c r="AZ456" s="163">
        <f t="shared" si="5323"/>
        <v>45961</v>
      </c>
      <c r="BA456" s="167">
        <f t="shared" si="5324"/>
        <v>0</v>
      </c>
      <c r="BB456" s="163">
        <f t="shared" si="5325"/>
        <v>45962</v>
      </c>
      <c r="BC456" s="163">
        <f t="shared" si="5326"/>
        <v>45991</v>
      </c>
      <c r="BD456" s="167">
        <f t="shared" si="5327"/>
        <v>0</v>
      </c>
      <c r="BE456" s="163">
        <f t="shared" si="5328"/>
        <v>45992</v>
      </c>
      <c r="BF456" s="163">
        <f t="shared" si="5329"/>
        <v>46022</v>
      </c>
      <c r="BG456" s="167">
        <f t="shared" si="5330"/>
        <v>0</v>
      </c>
      <c r="BH456" s="163">
        <v>46023</v>
      </c>
      <c r="BI456" s="163">
        <f t="shared" si="5331"/>
        <v>46053</v>
      </c>
      <c r="BJ456" s="167">
        <f t="shared" si="5332"/>
        <v>0</v>
      </c>
      <c r="BK456" s="163">
        <f t="shared" si="5333"/>
        <v>46054</v>
      </c>
      <c r="BL456" s="163">
        <f t="shared" si="5334"/>
        <v>46081</v>
      </c>
      <c r="BM456" s="167">
        <f t="shared" si="5335"/>
        <v>0</v>
      </c>
      <c r="BN456" s="163">
        <f t="shared" si="5336"/>
        <v>46082</v>
      </c>
      <c r="BO456" s="163">
        <f t="shared" si="5337"/>
        <v>46112</v>
      </c>
      <c r="BP456" s="167">
        <f t="shared" si="5338"/>
        <v>0</v>
      </c>
      <c r="BQ456" s="163">
        <f t="shared" si="5339"/>
        <v>46113</v>
      </c>
      <c r="BR456" s="163">
        <f t="shared" si="5340"/>
        <v>46142</v>
      </c>
      <c r="BS456" s="167">
        <f t="shared" si="5341"/>
        <v>0</v>
      </c>
      <c r="BT456" s="163">
        <f t="shared" si="5342"/>
        <v>46143</v>
      </c>
      <c r="BU456" s="163">
        <f t="shared" si="5343"/>
        <v>46173</v>
      </c>
      <c r="BV456" s="167">
        <f t="shared" si="5344"/>
        <v>0</v>
      </c>
      <c r="BW456" s="163">
        <f t="shared" si="5345"/>
        <v>46174</v>
      </c>
      <c r="BX456" s="163">
        <f t="shared" si="5346"/>
        <v>46203</v>
      </c>
      <c r="BY456" s="167">
        <f t="shared" si="5347"/>
        <v>0</v>
      </c>
      <c r="BZ456" s="163">
        <f t="shared" si="5348"/>
        <v>46204</v>
      </c>
      <c r="CA456" s="163">
        <f t="shared" si="5349"/>
        <v>46234</v>
      </c>
      <c r="CB456" s="167">
        <f t="shared" si="5350"/>
        <v>0</v>
      </c>
      <c r="CC456" s="163">
        <f t="shared" si="5351"/>
        <v>46235</v>
      </c>
      <c r="CD456" s="163">
        <f t="shared" si="5352"/>
        <v>46265</v>
      </c>
      <c r="CE456" s="167">
        <f t="shared" si="5353"/>
        <v>0</v>
      </c>
      <c r="CF456" s="163">
        <f t="shared" si="5354"/>
        <v>46266</v>
      </c>
      <c r="CG456" s="163">
        <f t="shared" si="5355"/>
        <v>46295</v>
      </c>
      <c r="CH456" s="167">
        <f t="shared" si="5356"/>
        <v>0</v>
      </c>
      <c r="CI456" s="163">
        <f t="shared" si="5357"/>
        <v>46296</v>
      </c>
      <c r="CJ456" s="163">
        <f t="shared" si="5358"/>
        <v>46326</v>
      </c>
      <c r="CK456" s="167">
        <f t="shared" si="5359"/>
        <v>0</v>
      </c>
      <c r="CL456" s="163">
        <f t="shared" si="5360"/>
        <v>46327</v>
      </c>
      <c r="CM456" s="163">
        <f t="shared" si="5361"/>
        <v>46356</v>
      </c>
      <c r="CN456" s="167">
        <f t="shared" si="5362"/>
        <v>0</v>
      </c>
      <c r="CO456" s="163">
        <f t="shared" si="5363"/>
        <v>46357</v>
      </c>
      <c r="CP456" s="163">
        <f t="shared" si="5364"/>
        <v>46387</v>
      </c>
      <c r="CQ456" s="167">
        <f t="shared" si="5365"/>
        <v>0</v>
      </c>
    </row>
    <row r="457" s="89" customFormat="1" ht="24" hidden="1" customHeight="1" outlineLevel="3" spans="1:95">
      <c r="A457" s="128"/>
      <c r="B457" s="129"/>
      <c r="C457" s="130"/>
      <c r="D457" s="128"/>
      <c r="E457" s="129"/>
      <c r="F457" s="129"/>
      <c r="G457" s="129"/>
      <c r="H457" s="131"/>
      <c r="I457" s="131"/>
      <c r="J457" s="131">
        <f t="shared" ref="J457:J522" si="5367">Z457+AC457+AF457+AI457+AL457+AO457+AR457+AU457+AX457+BA457+BD457+BG457</f>
        <v>0</v>
      </c>
      <c r="K457" s="131">
        <f t="shared" si="5366"/>
        <v>3</v>
      </c>
      <c r="L457" s="156"/>
      <c r="M457" s="157">
        <f>IFERROR(VLOOKUP($L457,'2-2 引出数据_合同数据仓库'!$B$5:$BP$200,3,FALSE),0)</f>
        <v>0</v>
      </c>
      <c r="N457" s="131"/>
      <c r="O457" s="157">
        <f>IFERROR(VLOOKUP((LEFT(VLOOKUP($L457,'2-2 引出数据_合同数据仓库'!$B$5:$BP$200,64,FALSE),15)&amp;(RIGHT(VLOOKUP($L457,'2-2 引出数据_合同数据仓库'!$B$5:$BP$200,64,FALSE),4)+1)),'2-2 引出数据_合同数据仓库'!$B$5:$BP$200,3,FALSE),0)</f>
        <v>0</v>
      </c>
      <c r="P457" s="131"/>
      <c r="Q457" s="131">
        <f>IFERROR(VLOOKUP($L457,'2-2 引出数据_合同数据仓库'!$B$5:$BP$200,28,FALSE),0)</f>
        <v>0</v>
      </c>
      <c r="R457" s="131">
        <f>IFERROR(VLOOKUP($L457,'2-2 引出数据_合同数据仓库'!$B$5:$BP$200,29,FALSE),0)</f>
        <v>0</v>
      </c>
      <c r="S457" s="131">
        <f>IFERROR(VLOOKUP($L457,'2-2 引出数据_合同数据仓库'!$B$5:$BP$200,4,FALSE),0)</f>
        <v>0</v>
      </c>
      <c r="T457" s="131"/>
      <c r="U457" s="131">
        <f>IFERROR(VLOOKUP($L457,'2-2 引出数据_合同数据仓库'!$B$5:$BP$200,15,FALSE),0)</f>
        <v>0</v>
      </c>
      <c r="V457" s="131">
        <f t="shared" si="5295"/>
        <v>0</v>
      </c>
      <c r="W457" s="131"/>
      <c r="X457" s="163">
        <v>45658</v>
      </c>
      <c r="Y457" s="163">
        <f t="shared" si="5296"/>
        <v>45688</v>
      </c>
      <c r="Z457" s="167">
        <f t="shared" si="5297"/>
        <v>0</v>
      </c>
      <c r="AA457" s="163">
        <f t="shared" si="5298"/>
        <v>45689</v>
      </c>
      <c r="AB457" s="163">
        <f t="shared" si="5299"/>
        <v>45716</v>
      </c>
      <c r="AC457" s="167">
        <f t="shared" si="5300"/>
        <v>0</v>
      </c>
      <c r="AD457" s="163">
        <f t="shared" si="5301"/>
        <v>45717</v>
      </c>
      <c r="AE457" s="163">
        <f t="shared" si="5302"/>
        <v>45747</v>
      </c>
      <c r="AF457" s="167">
        <f t="shared" si="5303"/>
        <v>0</v>
      </c>
      <c r="AG457" s="163">
        <f t="shared" si="5304"/>
        <v>45748</v>
      </c>
      <c r="AH457" s="163">
        <f t="shared" si="5305"/>
        <v>45777</v>
      </c>
      <c r="AI457" s="167">
        <f t="shared" si="5306"/>
        <v>0</v>
      </c>
      <c r="AJ457" s="163">
        <f t="shared" si="5307"/>
        <v>45778</v>
      </c>
      <c r="AK457" s="163">
        <f t="shared" si="5308"/>
        <v>45808</v>
      </c>
      <c r="AL457" s="167">
        <f t="shared" si="5309"/>
        <v>0</v>
      </c>
      <c r="AM457" s="163">
        <f t="shared" si="5310"/>
        <v>45809</v>
      </c>
      <c r="AN457" s="163">
        <f t="shared" si="5311"/>
        <v>45838</v>
      </c>
      <c r="AO457" s="167">
        <f t="shared" si="5312"/>
        <v>0</v>
      </c>
      <c r="AP457" s="163">
        <f t="shared" si="5313"/>
        <v>45839</v>
      </c>
      <c r="AQ457" s="163">
        <f t="shared" si="5314"/>
        <v>45869</v>
      </c>
      <c r="AR457" s="167">
        <f t="shared" si="5315"/>
        <v>0</v>
      </c>
      <c r="AS457" s="163">
        <f t="shared" si="5316"/>
        <v>45870</v>
      </c>
      <c r="AT457" s="163">
        <f t="shared" si="5317"/>
        <v>45900</v>
      </c>
      <c r="AU457" s="167">
        <f t="shared" si="5318"/>
        <v>0</v>
      </c>
      <c r="AV457" s="163">
        <f t="shared" si="5319"/>
        <v>45901</v>
      </c>
      <c r="AW457" s="163">
        <f t="shared" si="5320"/>
        <v>45930</v>
      </c>
      <c r="AX457" s="167">
        <f t="shared" si="5321"/>
        <v>0</v>
      </c>
      <c r="AY457" s="163">
        <f t="shared" si="5322"/>
        <v>45931</v>
      </c>
      <c r="AZ457" s="163">
        <f t="shared" si="5323"/>
        <v>45961</v>
      </c>
      <c r="BA457" s="167">
        <f t="shared" si="5324"/>
        <v>0</v>
      </c>
      <c r="BB457" s="163">
        <f t="shared" si="5325"/>
        <v>45962</v>
      </c>
      <c r="BC457" s="163">
        <f t="shared" si="5326"/>
        <v>45991</v>
      </c>
      <c r="BD457" s="167">
        <f t="shared" si="5327"/>
        <v>0</v>
      </c>
      <c r="BE457" s="163">
        <f t="shared" si="5328"/>
        <v>45992</v>
      </c>
      <c r="BF457" s="163">
        <f t="shared" si="5329"/>
        <v>46022</v>
      </c>
      <c r="BG457" s="167">
        <f t="shared" si="5330"/>
        <v>0</v>
      </c>
      <c r="BH457" s="163">
        <v>46023</v>
      </c>
      <c r="BI457" s="163">
        <f t="shared" si="5331"/>
        <v>46053</v>
      </c>
      <c r="BJ457" s="167">
        <f t="shared" si="5332"/>
        <v>0</v>
      </c>
      <c r="BK457" s="163">
        <f t="shared" si="5333"/>
        <v>46054</v>
      </c>
      <c r="BL457" s="163">
        <f t="shared" si="5334"/>
        <v>46081</v>
      </c>
      <c r="BM457" s="167">
        <f t="shared" si="5335"/>
        <v>0</v>
      </c>
      <c r="BN457" s="163">
        <f t="shared" si="5336"/>
        <v>46082</v>
      </c>
      <c r="BO457" s="163">
        <f t="shared" si="5337"/>
        <v>46112</v>
      </c>
      <c r="BP457" s="167">
        <f t="shared" si="5338"/>
        <v>0</v>
      </c>
      <c r="BQ457" s="163">
        <f t="shared" si="5339"/>
        <v>46113</v>
      </c>
      <c r="BR457" s="163">
        <f t="shared" si="5340"/>
        <v>46142</v>
      </c>
      <c r="BS457" s="167">
        <f t="shared" si="5341"/>
        <v>0</v>
      </c>
      <c r="BT457" s="163">
        <f t="shared" si="5342"/>
        <v>46143</v>
      </c>
      <c r="BU457" s="163">
        <f t="shared" si="5343"/>
        <v>46173</v>
      </c>
      <c r="BV457" s="167">
        <f t="shared" si="5344"/>
        <v>0</v>
      </c>
      <c r="BW457" s="163">
        <f t="shared" si="5345"/>
        <v>46174</v>
      </c>
      <c r="BX457" s="163">
        <f t="shared" si="5346"/>
        <v>46203</v>
      </c>
      <c r="BY457" s="167">
        <f t="shared" si="5347"/>
        <v>0</v>
      </c>
      <c r="BZ457" s="163">
        <f t="shared" si="5348"/>
        <v>46204</v>
      </c>
      <c r="CA457" s="163">
        <f t="shared" si="5349"/>
        <v>46234</v>
      </c>
      <c r="CB457" s="167">
        <f t="shared" si="5350"/>
        <v>0</v>
      </c>
      <c r="CC457" s="163">
        <f t="shared" si="5351"/>
        <v>46235</v>
      </c>
      <c r="CD457" s="163">
        <f t="shared" si="5352"/>
        <v>46265</v>
      </c>
      <c r="CE457" s="167">
        <f t="shared" si="5353"/>
        <v>0</v>
      </c>
      <c r="CF457" s="163">
        <f t="shared" si="5354"/>
        <v>46266</v>
      </c>
      <c r="CG457" s="163">
        <f t="shared" si="5355"/>
        <v>46295</v>
      </c>
      <c r="CH457" s="167">
        <f t="shared" si="5356"/>
        <v>0</v>
      </c>
      <c r="CI457" s="163">
        <f t="shared" si="5357"/>
        <v>46296</v>
      </c>
      <c r="CJ457" s="163">
        <f t="shared" si="5358"/>
        <v>46326</v>
      </c>
      <c r="CK457" s="167">
        <f t="shared" si="5359"/>
        <v>0</v>
      </c>
      <c r="CL457" s="163">
        <f t="shared" si="5360"/>
        <v>46327</v>
      </c>
      <c r="CM457" s="163">
        <f t="shared" si="5361"/>
        <v>46356</v>
      </c>
      <c r="CN457" s="167">
        <f t="shared" si="5362"/>
        <v>0</v>
      </c>
      <c r="CO457" s="163">
        <f t="shared" si="5363"/>
        <v>46357</v>
      </c>
      <c r="CP457" s="163">
        <f t="shared" si="5364"/>
        <v>46387</v>
      </c>
      <c r="CQ457" s="167">
        <f t="shared" si="5365"/>
        <v>0</v>
      </c>
    </row>
    <row r="458" s="89" customFormat="1" ht="24" hidden="1" customHeight="1" outlineLevel="3" collapsed="1" spans="1:95">
      <c r="A458" s="128"/>
      <c r="B458" s="129"/>
      <c r="C458" s="130"/>
      <c r="D458" s="128"/>
      <c r="E458" s="129"/>
      <c r="F458" s="129"/>
      <c r="G458" s="129"/>
      <c r="H458" s="131"/>
      <c r="I458" s="131"/>
      <c r="J458" s="131">
        <f t="shared" si="5367"/>
        <v>0</v>
      </c>
      <c r="K458" s="131">
        <f t="shared" si="5366"/>
        <v>4</v>
      </c>
      <c r="L458" s="156"/>
      <c r="M458" s="157">
        <f>IFERROR(VLOOKUP($L458,'2-2 引出数据_合同数据仓库'!$B$5:$BP$200,3,FALSE),0)</f>
        <v>0</v>
      </c>
      <c r="N458" s="131"/>
      <c r="O458" s="157">
        <f>IFERROR(VLOOKUP((LEFT(VLOOKUP($L458,'2-2 引出数据_合同数据仓库'!$B$5:$BP$200,64,FALSE),15)&amp;(RIGHT(VLOOKUP($L458,'2-2 引出数据_合同数据仓库'!$B$5:$BP$200,64,FALSE),4)+1)),'2-2 引出数据_合同数据仓库'!$B$5:$BP$200,3,FALSE),0)</f>
        <v>0</v>
      </c>
      <c r="P458" s="131"/>
      <c r="Q458" s="131">
        <f>IFERROR(VLOOKUP($L458,'2-2 引出数据_合同数据仓库'!$B$5:$BP$200,28,FALSE),0)</f>
        <v>0</v>
      </c>
      <c r="R458" s="131">
        <f>IFERROR(VLOOKUP($L458,'2-2 引出数据_合同数据仓库'!$B$5:$BP$200,29,FALSE),0)</f>
        <v>0</v>
      </c>
      <c r="S458" s="131">
        <f>IFERROR(VLOOKUP($L458,'2-2 引出数据_合同数据仓库'!$B$5:$BP$200,4,FALSE),0)</f>
        <v>0</v>
      </c>
      <c r="T458" s="131"/>
      <c r="U458" s="131">
        <f>IFERROR(VLOOKUP($L458,'2-2 引出数据_合同数据仓库'!$B$5:$BP$200,15,FALSE),0)</f>
        <v>0</v>
      </c>
      <c r="V458" s="131">
        <f t="shared" si="5295"/>
        <v>0</v>
      </c>
      <c r="W458" s="131"/>
      <c r="X458" s="163">
        <v>45658</v>
      </c>
      <c r="Y458" s="163">
        <f t="shared" si="5296"/>
        <v>45688</v>
      </c>
      <c r="Z458" s="167">
        <f t="shared" si="5297"/>
        <v>0</v>
      </c>
      <c r="AA458" s="163">
        <f t="shared" si="5298"/>
        <v>45689</v>
      </c>
      <c r="AB458" s="163">
        <f t="shared" si="5299"/>
        <v>45716</v>
      </c>
      <c r="AC458" s="167">
        <f t="shared" si="5300"/>
        <v>0</v>
      </c>
      <c r="AD458" s="163">
        <f t="shared" si="5301"/>
        <v>45717</v>
      </c>
      <c r="AE458" s="163">
        <f t="shared" si="5302"/>
        <v>45747</v>
      </c>
      <c r="AF458" s="167">
        <f t="shared" si="5303"/>
        <v>0</v>
      </c>
      <c r="AG458" s="163">
        <f t="shared" si="5304"/>
        <v>45748</v>
      </c>
      <c r="AH458" s="163">
        <f t="shared" si="5305"/>
        <v>45777</v>
      </c>
      <c r="AI458" s="167">
        <f t="shared" si="5306"/>
        <v>0</v>
      </c>
      <c r="AJ458" s="163">
        <f t="shared" si="5307"/>
        <v>45778</v>
      </c>
      <c r="AK458" s="163">
        <f t="shared" si="5308"/>
        <v>45808</v>
      </c>
      <c r="AL458" s="167">
        <f t="shared" si="5309"/>
        <v>0</v>
      </c>
      <c r="AM458" s="163">
        <f t="shared" si="5310"/>
        <v>45809</v>
      </c>
      <c r="AN458" s="163">
        <f t="shared" si="5311"/>
        <v>45838</v>
      </c>
      <c r="AO458" s="167">
        <f t="shared" si="5312"/>
        <v>0</v>
      </c>
      <c r="AP458" s="163">
        <f t="shared" si="5313"/>
        <v>45839</v>
      </c>
      <c r="AQ458" s="163">
        <f t="shared" si="5314"/>
        <v>45869</v>
      </c>
      <c r="AR458" s="167">
        <f t="shared" si="5315"/>
        <v>0</v>
      </c>
      <c r="AS458" s="163">
        <f t="shared" si="5316"/>
        <v>45870</v>
      </c>
      <c r="AT458" s="163">
        <f t="shared" si="5317"/>
        <v>45900</v>
      </c>
      <c r="AU458" s="167">
        <f t="shared" si="5318"/>
        <v>0</v>
      </c>
      <c r="AV458" s="163">
        <f t="shared" si="5319"/>
        <v>45901</v>
      </c>
      <c r="AW458" s="163">
        <f t="shared" si="5320"/>
        <v>45930</v>
      </c>
      <c r="AX458" s="167">
        <f t="shared" si="5321"/>
        <v>0</v>
      </c>
      <c r="AY458" s="163">
        <f t="shared" si="5322"/>
        <v>45931</v>
      </c>
      <c r="AZ458" s="163">
        <f t="shared" si="5323"/>
        <v>45961</v>
      </c>
      <c r="BA458" s="167">
        <f t="shared" si="5324"/>
        <v>0</v>
      </c>
      <c r="BB458" s="163">
        <f t="shared" si="5325"/>
        <v>45962</v>
      </c>
      <c r="BC458" s="163">
        <f t="shared" si="5326"/>
        <v>45991</v>
      </c>
      <c r="BD458" s="167">
        <f t="shared" si="5327"/>
        <v>0</v>
      </c>
      <c r="BE458" s="163">
        <f t="shared" si="5328"/>
        <v>45992</v>
      </c>
      <c r="BF458" s="163">
        <f t="shared" si="5329"/>
        <v>46022</v>
      </c>
      <c r="BG458" s="167">
        <f t="shared" si="5330"/>
        <v>0</v>
      </c>
      <c r="BH458" s="163">
        <v>46023</v>
      </c>
      <c r="BI458" s="163">
        <f t="shared" si="5331"/>
        <v>46053</v>
      </c>
      <c r="BJ458" s="167">
        <f t="shared" si="5332"/>
        <v>0</v>
      </c>
      <c r="BK458" s="163">
        <f t="shared" si="5333"/>
        <v>46054</v>
      </c>
      <c r="BL458" s="163">
        <f t="shared" si="5334"/>
        <v>46081</v>
      </c>
      <c r="BM458" s="167">
        <f t="shared" si="5335"/>
        <v>0</v>
      </c>
      <c r="BN458" s="163">
        <f t="shared" si="5336"/>
        <v>46082</v>
      </c>
      <c r="BO458" s="163">
        <f t="shared" si="5337"/>
        <v>46112</v>
      </c>
      <c r="BP458" s="167">
        <f t="shared" si="5338"/>
        <v>0</v>
      </c>
      <c r="BQ458" s="163">
        <f t="shared" si="5339"/>
        <v>46113</v>
      </c>
      <c r="BR458" s="163">
        <f t="shared" si="5340"/>
        <v>46142</v>
      </c>
      <c r="BS458" s="167">
        <f t="shared" si="5341"/>
        <v>0</v>
      </c>
      <c r="BT458" s="163">
        <f t="shared" si="5342"/>
        <v>46143</v>
      </c>
      <c r="BU458" s="163">
        <f t="shared" si="5343"/>
        <v>46173</v>
      </c>
      <c r="BV458" s="167">
        <f t="shared" si="5344"/>
        <v>0</v>
      </c>
      <c r="BW458" s="163">
        <f t="shared" si="5345"/>
        <v>46174</v>
      </c>
      <c r="BX458" s="163">
        <f t="shared" si="5346"/>
        <v>46203</v>
      </c>
      <c r="BY458" s="167">
        <f t="shared" si="5347"/>
        <v>0</v>
      </c>
      <c r="BZ458" s="163">
        <f t="shared" si="5348"/>
        <v>46204</v>
      </c>
      <c r="CA458" s="163">
        <f t="shared" si="5349"/>
        <v>46234</v>
      </c>
      <c r="CB458" s="167">
        <f t="shared" si="5350"/>
        <v>0</v>
      </c>
      <c r="CC458" s="163">
        <f t="shared" si="5351"/>
        <v>46235</v>
      </c>
      <c r="CD458" s="163">
        <f t="shared" si="5352"/>
        <v>46265</v>
      </c>
      <c r="CE458" s="167">
        <f t="shared" si="5353"/>
        <v>0</v>
      </c>
      <c r="CF458" s="163">
        <f t="shared" si="5354"/>
        <v>46266</v>
      </c>
      <c r="CG458" s="163">
        <f t="shared" si="5355"/>
        <v>46295</v>
      </c>
      <c r="CH458" s="167">
        <f t="shared" si="5356"/>
        <v>0</v>
      </c>
      <c r="CI458" s="163">
        <f t="shared" si="5357"/>
        <v>46296</v>
      </c>
      <c r="CJ458" s="163">
        <f t="shared" si="5358"/>
        <v>46326</v>
      </c>
      <c r="CK458" s="167">
        <f t="shared" si="5359"/>
        <v>0</v>
      </c>
      <c r="CL458" s="163">
        <f t="shared" si="5360"/>
        <v>46327</v>
      </c>
      <c r="CM458" s="163">
        <f t="shared" si="5361"/>
        <v>46356</v>
      </c>
      <c r="CN458" s="167">
        <f t="shared" si="5362"/>
        <v>0</v>
      </c>
      <c r="CO458" s="163">
        <f t="shared" si="5363"/>
        <v>46357</v>
      </c>
      <c r="CP458" s="163">
        <f t="shared" si="5364"/>
        <v>46387</v>
      </c>
      <c r="CQ458" s="167">
        <f t="shared" si="5365"/>
        <v>0</v>
      </c>
    </row>
    <row r="459" s="89" customFormat="1" ht="24" hidden="1" customHeight="1" outlineLevel="4" spans="1:95">
      <c r="A459" s="132" t="s">
        <v>2813</v>
      </c>
      <c r="B459" s="133"/>
      <c r="C459" s="133"/>
      <c r="D459" s="133"/>
      <c r="E459" s="133"/>
      <c r="F459" s="133"/>
      <c r="G459" s="134"/>
      <c r="H459" s="135"/>
      <c r="I459" s="135"/>
      <c r="J459" s="135"/>
      <c r="K459" s="135"/>
      <c r="L459" s="158"/>
      <c r="M459" s="158"/>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c r="CL459" s="135"/>
      <c r="CM459" s="135"/>
      <c r="CN459" s="135"/>
      <c r="CO459" s="135"/>
      <c r="CP459" s="135"/>
      <c r="CQ459" s="135"/>
    </row>
    <row r="460" ht="24" customHeight="1" outlineLevel="2" collapsed="1" spans="1:95">
      <c r="A460" s="43"/>
      <c r="B460" s="121" t="s">
        <v>792</v>
      </c>
      <c r="C460" s="122" t="s">
        <v>1562</v>
      </c>
      <c r="D460" s="43" t="s">
        <v>1563</v>
      </c>
      <c r="E460" s="121" t="s">
        <v>1564</v>
      </c>
      <c r="F460" s="121"/>
      <c r="G460" s="121" t="s">
        <v>936</v>
      </c>
      <c r="H460" s="123">
        <f>X460+AA460+AD460+AG460+AJ460+AM460+AP460+AS460+AV460+AY460+BB460+BE460</f>
        <v>0</v>
      </c>
      <c r="I460" s="123">
        <f>Y460+AB460+AE460+AH460+AK460+AN460+AQ460+AT460+AW460+AZ460+BC460+BF460</f>
        <v>0</v>
      </c>
      <c r="J460" s="123">
        <f t="shared" si="5367"/>
        <v>0</v>
      </c>
      <c r="K460" s="123"/>
      <c r="L460" s="154"/>
      <c r="M460" s="154"/>
      <c r="N460" s="123"/>
      <c r="O460" s="123"/>
      <c r="P460" s="123"/>
      <c r="Q460" s="123"/>
      <c r="R460" s="123"/>
      <c r="S460" s="123"/>
      <c r="T460" s="123"/>
      <c r="U460" s="123"/>
      <c r="V460" s="123"/>
      <c r="W460" s="123"/>
      <c r="X460" s="123">
        <f>VLOOKUP($C460,'1 预算编制表单'!$C:$BJ,27,FALSE)</f>
        <v>0</v>
      </c>
      <c r="Y460" s="123">
        <f>X460-Z460</f>
        <v>0</v>
      </c>
      <c r="Z460" s="123">
        <f>SUM(Z461:Z465)</f>
        <v>0</v>
      </c>
      <c r="AA460" s="123">
        <f>VLOOKUP($C460,'1 预算编制表单'!$C:$BJ,30,FALSE)</f>
        <v>0</v>
      </c>
      <c r="AB460" s="123">
        <f>AA460-AC460</f>
        <v>0</v>
      </c>
      <c r="AC460" s="123">
        <f>SUM(AC461:AC465)</f>
        <v>0</v>
      </c>
      <c r="AD460" s="123">
        <f>VLOOKUP($C460,'1 预算编制表单'!$C:$BJ,33,FALSE)</f>
        <v>0</v>
      </c>
      <c r="AE460" s="123">
        <f>AD460-AF460</f>
        <v>0</v>
      </c>
      <c r="AF460" s="123">
        <f>SUM(AF461:AF465)</f>
        <v>0</v>
      </c>
      <c r="AG460" s="123">
        <f>VLOOKUP($C460,'1 预算编制表单'!$C:$BJ,36,FALSE)</f>
        <v>0</v>
      </c>
      <c r="AH460" s="123">
        <f>AG460-AI460</f>
        <v>0</v>
      </c>
      <c r="AI460" s="123">
        <f>SUM(AI461:AI465)</f>
        <v>0</v>
      </c>
      <c r="AJ460" s="123">
        <f>VLOOKUP($C460,'1 预算编制表单'!$C:$BJ,39,FALSE)</f>
        <v>0</v>
      </c>
      <c r="AK460" s="123">
        <f>AJ460-AL460</f>
        <v>0</v>
      </c>
      <c r="AL460" s="123">
        <f>SUM(AL461:AL465)</f>
        <v>0</v>
      </c>
      <c r="AM460" s="123">
        <f>VLOOKUP($C460,'1 预算编制表单'!$C:$BJ,42,FALSE)</f>
        <v>0</v>
      </c>
      <c r="AN460" s="123">
        <f>AM460-AO460</f>
        <v>0</v>
      </c>
      <c r="AO460" s="123">
        <f>SUM(AO461:AO465)</f>
        <v>0</v>
      </c>
      <c r="AP460" s="123">
        <f>VLOOKUP($C460,'1 预算编制表单'!$C:$BJ,45,FALSE)</f>
        <v>0</v>
      </c>
      <c r="AQ460" s="123">
        <f>AP460-AR460</f>
        <v>0</v>
      </c>
      <c r="AR460" s="123">
        <f>SUM(AR461:AR465)</f>
        <v>0</v>
      </c>
      <c r="AS460" s="123">
        <f>VLOOKUP($C460,'1 预算编制表单'!$C:$BJ,48,FALSE)</f>
        <v>0</v>
      </c>
      <c r="AT460" s="123">
        <f>AS460-AU460</f>
        <v>0</v>
      </c>
      <c r="AU460" s="123">
        <f>SUM(AU461:AU465)</f>
        <v>0</v>
      </c>
      <c r="AV460" s="123">
        <f>VLOOKUP($C460,'1 预算编制表单'!$C:$BJ,51,FALSE)</f>
        <v>0</v>
      </c>
      <c r="AW460" s="123">
        <f>AV460-AX460</f>
        <v>0</v>
      </c>
      <c r="AX460" s="123">
        <f>SUM(AX461:AX465)</f>
        <v>0</v>
      </c>
      <c r="AY460" s="123">
        <f>VLOOKUP($C460,'1 预算编制表单'!$C:$BJ,54,FALSE)</f>
        <v>0</v>
      </c>
      <c r="AZ460" s="123">
        <f>AY460-BA460</f>
        <v>0</v>
      </c>
      <c r="BA460" s="123">
        <f>SUM(BA461:BA465)</f>
        <v>0</v>
      </c>
      <c r="BB460" s="123">
        <f>VLOOKUP($C460,'1 预算编制表单'!$C:$BJ,57,FALSE)</f>
        <v>0</v>
      </c>
      <c r="BC460" s="123">
        <f>BB460-BD460</f>
        <v>0</v>
      </c>
      <c r="BD460" s="123">
        <f>SUM(BD461:BD465)</f>
        <v>0</v>
      </c>
      <c r="BE460" s="123">
        <f>VLOOKUP($C460,'1 预算编制表单'!$C:$BJ,60,FALSE)</f>
        <v>0</v>
      </c>
      <c r="BF460" s="123">
        <f>BE460-BG460</f>
        <v>0</v>
      </c>
      <c r="BG460" s="123">
        <f>SUM(BG461:BG465)</f>
        <v>0</v>
      </c>
      <c r="BH460" s="123">
        <f>VLOOKUP($C460,'1 预算编制表单'!$C:$BJ,27,FALSE)</f>
        <v>0</v>
      </c>
      <c r="BI460" s="123">
        <f>BH460-BJ460</f>
        <v>0</v>
      </c>
      <c r="BJ460" s="123">
        <f>SUM(BJ461:BJ465)</f>
        <v>0</v>
      </c>
      <c r="BK460" s="123">
        <f>VLOOKUP($C460,'1 预算编制表单'!$C:$BJ,30,FALSE)</f>
        <v>0</v>
      </c>
      <c r="BL460" s="123">
        <f>BK460-BM460</f>
        <v>0</v>
      </c>
      <c r="BM460" s="123">
        <f>SUM(BM461:BM465)</f>
        <v>0</v>
      </c>
      <c r="BN460" s="123">
        <f>VLOOKUP($C460,'1 预算编制表单'!$C:$BJ,33,FALSE)</f>
        <v>0</v>
      </c>
      <c r="BO460" s="123">
        <f>BN460-BP460</f>
        <v>0</v>
      </c>
      <c r="BP460" s="123">
        <f>SUM(BP461:BP465)</f>
        <v>0</v>
      </c>
      <c r="BQ460" s="123">
        <f>VLOOKUP($C460,'1 预算编制表单'!$C:$BJ,36,FALSE)</f>
        <v>0</v>
      </c>
      <c r="BR460" s="123">
        <f>BQ460-BS460</f>
        <v>0</v>
      </c>
      <c r="BS460" s="123">
        <f>SUM(BS461:BS465)</f>
        <v>0</v>
      </c>
      <c r="BT460" s="123">
        <f>VLOOKUP($C460,'1 预算编制表单'!$C:$BJ,39,FALSE)</f>
        <v>0</v>
      </c>
      <c r="BU460" s="123">
        <f>BT460-BV460</f>
        <v>0</v>
      </c>
      <c r="BV460" s="123">
        <f>SUM(BV461:BV465)</f>
        <v>0</v>
      </c>
      <c r="BW460" s="123">
        <f>VLOOKUP($C460,'1 预算编制表单'!$C:$BJ,42,FALSE)</f>
        <v>0</v>
      </c>
      <c r="BX460" s="123">
        <f>BW460-BY460</f>
        <v>0</v>
      </c>
      <c r="BY460" s="123">
        <f>SUM(BY461:BY465)</f>
        <v>0</v>
      </c>
      <c r="BZ460" s="123">
        <f>VLOOKUP($C460,'1 预算编制表单'!$C:$BJ,45,FALSE)</f>
        <v>0</v>
      </c>
      <c r="CA460" s="123">
        <f>BZ460-CB460</f>
        <v>0</v>
      </c>
      <c r="CB460" s="123">
        <f>SUM(CB461:CB465)</f>
        <v>0</v>
      </c>
      <c r="CC460" s="123">
        <f>VLOOKUP($C460,'1 预算编制表单'!$C:$BJ,48,FALSE)</f>
        <v>0</v>
      </c>
      <c r="CD460" s="123">
        <f>CC460-CE460</f>
        <v>0</v>
      </c>
      <c r="CE460" s="123">
        <f>SUM(CE461:CE465)</f>
        <v>0</v>
      </c>
      <c r="CF460" s="123">
        <f>VLOOKUP($C460,'1 预算编制表单'!$C:$BJ,51,FALSE)</f>
        <v>0</v>
      </c>
      <c r="CG460" s="123">
        <f>CF460-CH460</f>
        <v>0</v>
      </c>
      <c r="CH460" s="123">
        <f>SUM(CH461:CH465)</f>
        <v>0</v>
      </c>
      <c r="CI460" s="123">
        <f>VLOOKUP($C460,'1 预算编制表单'!$C:$BJ,54,FALSE)</f>
        <v>0</v>
      </c>
      <c r="CJ460" s="123">
        <f>CI460-CK460</f>
        <v>0</v>
      </c>
      <c r="CK460" s="123">
        <f>SUM(CK461:CK465)</f>
        <v>0</v>
      </c>
      <c r="CL460" s="123">
        <f>VLOOKUP($C460,'1 预算编制表单'!$C:$BJ,57,FALSE)</f>
        <v>0</v>
      </c>
      <c r="CM460" s="123">
        <f>CL460-CN460</f>
        <v>0</v>
      </c>
      <c r="CN460" s="123">
        <f>SUM(CN461:CN465)</f>
        <v>0</v>
      </c>
      <c r="CO460" s="123">
        <f>VLOOKUP($C460,'1 预算编制表单'!$C:$BJ,60,FALSE)</f>
        <v>0</v>
      </c>
      <c r="CP460" s="123">
        <f>CO460-CQ460</f>
        <v>0</v>
      </c>
      <c r="CQ460" s="123">
        <f>SUM(CQ461:CQ465)</f>
        <v>0</v>
      </c>
    </row>
    <row r="461" s="89" customFormat="1" ht="24" hidden="1" customHeight="1" outlineLevel="3" spans="1:95">
      <c r="A461" s="128"/>
      <c r="B461" s="129"/>
      <c r="C461" s="130"/>
      <c r="D461" s="128"/>
      <c r="E461" s="129"/>
      <c r="F461" s="129"/>
      <c r="G461" s="129"/>
      <c r="H461" s="131"/>
      <c r="I461" s="131"/>
      <c r="J461" s="131">
        <f t="shared" si="5367"/>
        <v>0</v>
      </c>
      <c r="K461" s="131">
        <v>1</v>
      </c>
      <c r="L461" s="156"/>
      <c r="M461" s="157">
        <f>IFERROR(VLOOKUP($L461,'2-2 引出数据_合同数据仓库'!$B$5:$BP$200,3,FALSE),0)</f>
        <v>0</v>
      </c>
      <c r="N461" s="131"/>
      <c r="O461" s="157">
        <f>IFERROR(VLOOKUP((LEFT(VLOOKUP($L461,'2-2 引出数据_合同数据仓库'!$B$5:$BP$200,64,FALSE),15)&amp;(RIGHT(VLOOKUP($L461,'2-2 引出数据_合同数据仓库'!$B$5:$BP$200,64,FALSE),4)+1)),'2-2 引出数据_合同数据仓库'!$B$5:$BP$200,3,FALSE),0)</f>
        <v>0</v>
      </c>
      <c r="P461" s="131"/>
      <c r="Q461" s="131">
        <f>IFERROR(VLOOKUP($L461,'2-2 引出数据_合同数据仓库'!$B$5:$BP$200,28,FALSE),0)</f>
        <v>0</v>
      </c>
      <c r="R461" s="131">
        <f>IFERROR(VLOOKUP($L461,'2-2 引出数据_合同数据仓库'!$B$5:$BP$200,29,FALSE),0)</f>
        <v>0</v>
      </c>
      <c r="S461" s="131">
        <f>IFERROR(VLOOKUP($L461,'2-2 引出数据_合同数据仓库'!$B$5:$BP$200,4,FALSE),0)</f>
        <v>0</v>
      </c>
      <c r="T461" s="131"/>
      <c r="U461" s="131">
        <f>IFERROR(VLOOKUP($L461,'2-2 引出数据_合同数据仓库'!$B$5:$BP$200,15,FALSE),0)</f>
        <v>0</v>
      </c>
      <c r="V461" s="131">
        <f t="shared" ref="V461:V464" si="5368">U461/(S461-R461+1)*365</f>
        <v>0</v>
      </c>
      <c r="W461" s="131"/>
      <c r="X461" s="163">
        <v>45658</v>
      </c>
      <c r="Y461" s="163">
        <f t="shared" ref="Y461:Y464" si="5369">X461+30</f>
        <v>45688</v>
      </c>
      <c r="Z461" s="167">
        <f t="shared" ref="Z461:Z464" si="5370">IFERROR(IF(($R461-Y461)&gt;=0,0,IF(($S461-X461)&lt;0,0,IF(AND(($S461-Y461)&gt;0,(X461-$R461)&gt;0),$V461/365*(Y461-X461+1),IF(AND(($S461-Y461)&lt;=0,(X461-$R461)&gt;0),$V461/365*($S461-X461+1),$V461/365*(Y461-$R461+1))))),0)</f>
        <v>0</v>
      </c>
      <c r="AA461" s="163">
        <f t="shared" ref="AA461:AA464" si="5371">Y461+1</f>
        <v>45689</v>
      </c>
      <c r="AB461" s="163">
        <f t="shared" ref="AB461:AB464" si="5372">AA461+27</f>
        <v>45716</v>
      </c>
      <c r="AC461" s="167">
        <f t="shared" ref="AC461:AC464" si="5373">IFERROR(IF(($R461-AB461)&gt;=0,0,IF(($S461-AA461)&lt;0,0,IF(AND(($S461-AB461)&gt;0,(AA461-$R461)&gt;0),$V461/365*(AB461-AA461+1),IF(AND(($S461-AB461)&lt;=0,(AA461-$R461)&gt;0),$V461/365*($S461-AA461+1),$V461/365*(AB461-$R461+1))))),0)</f>
        <v>0</v>
      </c>
      <c r="AD461" s="163">
        <f t="shared" ref="AD461:AD464" si="5374">AB461+1</f>
        <v>45717</v>
      </c>
      <c r="AE461" s="163">
        <f t="shared" ref="AE461:AE464" si="5375">AD461+30</f>
        <v>45747</v>
      </c>
      <c r="AF461" s="167">
        <f t="shared" ref="AF461:AF464" si="5376">IFERROR(IF(($R461-AE461)&gt;=0,0,IF(($S461-AD461)&lt;0,0,IF(AND(($S461-AE461)&gt;0,(AD461-$R461)&gt;0),$V461/365*(AE461-AD461+1),IF(AND(($S461-AE461)&lt;=0,(AD461-$R461)&gt;0),$V461/365*($S461-AD461+1),$V461/365*(AE461-$R461+1))))),0)</f>
        <v>0</v>
      </c>
      <c r="AG461" s="163">
        <f t="shared" ref="AG461:AG464" si="5377">AE461+1</f>
        <v>45748</v>
      </c>
      <c r="AH461" s="163">
        <f t="shared" ref="AH461:AH464" si="5378">AG461+29</f>
        <v>45777</v>
      </c>
      <c r="AI461" s="167">
        <f t="shared" ref="AI461:AI464" si="5379">IFERROR(IF(($R461-AH461)&gt;=0,0,IF(($S461-AG461)&lt;0,0,IF(AND(($S461-AH461)&gt;0,(AG461-$R461)&gt;0),$V461/365*(AH461-AG461+1),IF(AND(($S461-AH461)&lt;=0,(AG461-$R461)&gt;0),$V461/365*($S461-AG461+1),$V461/365*(AH461-$R461+1))))),0)</f>
        <v>0</v>
      </c>
      <c r="AJ461" s="163">
        <f t="shared" ref="AJ461:AJ464" si="5380">AH461+1</f>
        <v>45778</v>
      </c>
      <c r="AK461" s="163">
        <f t="shared" ref="AK461:AK464" si="5381">AJ461+30</f>
        <v>45808</v>
      </c>
      <c r="AL461" s="167">
        <f t="shared" ref="AL461:AL464" si="5382">IFERROR(IF(($R461-AK461)&gt;=0,0,IF(($S461-AJ461)&lt;0,0,IF(AND(($S461-AK461)&gt;0,(AJ461-$R461)&gt;0),$V461/365*(AK461-AJ461+1),IF(AND(($S461-AK461)&lt;=0,(AJ461-$R461)&gt;0),$V461/365*($S461-AJ461+1),$V461/365*(AK461-$R461+1))))),0)</f>
        <v>0</v>
      </c>
      <c r="AM461" s="163">
        <f t="shared" ref="AM461:AM464" si="5383">AK461+1</f>
        <v>45809</v>
      </c>
      <c r="AN461" s="163">
        <f t="shared" ref="AN461:AN464" si="5384">AM461+29</f>
        <v>45838</v>
      </c>
      <c r="AO461" s="167">
        <f t="shared" ref="AO461:AO464" si="5385">IFERROR(IF(($R461-AN461)&gt;=0,0,IF(($S461-AM461)&lt;0,0,IF(AND(($S461-AN461)&gt;0,(AM461-$R461)&gt;0),$V461/365*(AN461-AM461+1),IF(AND(($S461-AN461)&lt;=0,(AM461-$R461)&gt;0),$V461/365*($S461-AM461+1),$V461/365*(AN461-$R461+1))))),0)</f>
        <v>0</v>
      </c>
      <c r="AP461" s="163">
        <f t="shared" ref="AP461:AP464" si="5386">AN461+1</f>
        <v>45839</v>
      </c>
      <c r="AQ461" s="163">
        <f t="shared" ref="AQ461:AQ464" si="5387">AP461+30</f>
        <v>45869</v>
      </c>
      <c r="AR461" s="167">
        <f t="shared" ref="AR461:AR464" si="5388">IFERROR(IF(($R461-AQ461)&gt;=0,0,IF(($S461-AP461)&lt;0,0,IF(AND(($S461-AQ461)&gt;0,(AP461-$R461)&gt;0),$V461/365*(AQ461-AP461+1),IF(AND(($S461-AQ461)&lt;=0,(AP461-$R461)&gt;0),$V461/365*($S461-AP461+1),$V461/365*(AQ461-$R461+1))))),0)</f>
        <v>0</v>
      </c>
      <c r="AS461" s="163">
        <f t="shared" ref="AS461:AS464" si="5389">AQ461+1</f>
        <v>45870</v>
      </c>
      <c r="AT461" s="163">
        <f t="shared" ref="AT461:AT464" si="5390">AS461+30</f>
        <v>45900</v>
      </c>
      <c r="AU461" s="167">
        <f t="shared" ref="AU461:AU464" si="5391">IFERROR(IF(($R461-AT461)&gt;=0,0,IF(($S461-AS461)&lt;0,0,IF(AND(($S461-AT461)&gt;0,(AS461-$R461)&gt;0),$V461/365*(AT461-AS461+1),IF(AND(($S461-AT461)&lt;=0,(AS461-$R461)&gt;0),$V461/365*($S461-AS461+1),$V461/365*(AT461-$R461+1))))),0)</f>
        <v>0</v>
      </c>
      <c r="AV461" s="163">
        <f t="shared" ref="AV461:AV464" si="5392">AT461+1</f>
        <v>45901</v>
      </c>
      <c r="AW461" s="163">
        <f t="shared" ref="AW461:AW464" si="5393">AV461+29</f>
        <v>45930</v>
      </c>
      <c r="AX461" s="167">
        <f t="shared" ref="AX461:AX464" si="5394">IFERROR(IF(($R461-AW461)&gt;=0,0,IF(($S461-AV461)&lt;0,0,IF(AND(($S461-AW461)&gt;0,(AV461-$R461)&gt;0),$V461/365*(AW461-AV461+1),IF(AND(($S461-AW461)&lt;=0,(AV461-$R461)&gt;0),$V461/365*($S461-AV461+1),$V461/365*(AW461-$R461+1))))),0)</f>
        <v>0</v>
      </c>
      <c r="AY461" s="163">
        <f t="shared" ref="AY461:AY464" si="5395">AW461+1</f>
        <v>45931</v>
      </c>
      <c r="AZ461" s="163">
        <f t="shared" ref="AZ461:AZ464" si="5396">AY461+30</f>
        <v>45961</v>
      </c>
      <c r="BA461" s="167">
        <f t="shared" ref="BA461:BA464" si="5397">IFERROR(IF(($R461-AZ461)&gt;=0,0,IF(($S461-AY461)&lt;0,0,IF(AND(($S461-AZ461)&gt;0,(AY461-$R461)&gt;0),$V461/365*(AZ461-AY461+1),IF(AND(($S461-AZ461)&lt;=0,(AY461-$R461)&gt;0),$V461/365*($S461-AY461+1),$V461/365*(AZ461-$R461+1))))),0)</f>
        <v>0</v>
      </c>
      <c r="BB461" s="163">
        <f t="shared" ref="BB461:BB464" si="5398">AZ461+1</f>
        <v>45962</v>
      </c>
      <c r="BC461" s="163">
        <f t="shared" ref="BC461:BC464" si="5399">BB461+29</f>
        <v>45991</v>
      </c>
      <c r="BD461" s="167">
        <f t="shared" ref="BD461:BD464" si="5400">IFERROR(IF(($R461-BC461)&gt;=0,0,IF(($S461-BB461)&lt;0,0,IF(AND(($S461-BC461)&gt;0,(BB461-$R461)&gt;0),$V461/365*(BC461-BB461+1),IF(AND(($S461-BC461)&lt;=0,(BB461-$R461)&gt;0),$V461/365*($S461-BB461+1),$V461/365*(BC461-$R461+1))))),0)</f>
        <v>0</v>
      </c>
      <c r="BE461" s="163">
        <f t="shared" ref="BE461:BE464" si="5401">BC461+1</f>
        <v>45992</v>
      </c>
      <c r="BF461" s="163">
        <f t="shared" ref="BF461:BF464" si="5402">BE461+30</f>
        <v>46022</v>
      </c>
      <c r="BG461" s="167">
        <f t="shared" ref="BG461:BG464" si="5403">IFERROR(IF(($R461-BF461)&gt;=0,0,IF(($S461-BE461)&lt;0,0,IF(AND(($S461-BF461)&gt;0,(BE461-$R461)&gt;0),$V461/365*(BF461-BE461+1),IF(AND(($S461-BF461)&lt;=0,(BE461-$R461)&gt;0),$V461/365*($S461-BE461+1),$V461/365*(BF461-$R461+1))))),0)</f>
        <v>0</v>
      </c>
      <c r="BH461" s="163">
        <v>46023</v>
      </c>
      <c r="BI461" s="163">
        <f t="shared" ref="BI461:BI464" si="5404">BH461+30</f>
        <v>46053</v>
      </c>
      <c r="BJ461" s="167">
        <f t="shared" ref="BJ461:BJ464" si="5405">IFERROR(IF(($R461-BI461)&gt;=0,0,IF(($S461-BH461)&lt;0,0,IF(AND(($S461-BI461)&gt;0,(BH461-$R461)&gt;0),$V461/365*(BI461-BH461+1),IF(AND(($S461-BI461)&lt;=0,(BH461-$R461)&gt;0),$V461/365*($S461-BH461+1),$V461/365*(BI461-$R461+1))))),0)</f>
        <v>0</v>
      </c>
      <c r="BK461" s="163">
        <f t="shared" ref="BK461:BK464" si="5406">BI461+1</f>
        <v>46054</v>
      </c>
      <c r="BL461" s="163">
        <f t="shared" ref="BL461:BL464" si="5407">BK461+27</f>
        <v>46081</v>
      </c>
      <c r="BM461" s="167">
        <f t="shared" ref="BM461:BM464" si="5408">IFERROR(IF(($R461-BL461)&gt;=0,0,IF(($S461-BK461)&lt;0,0,IF(AND(($S461-BL461)&gt;0,(BK461-$R461)&gt;0),$V461/365*(BL461-BK461+1),IF(AND(($S461-BL461)&lt;=0,(BK461-$R461)&gt;0),$V461/365*($S461-BK461+1),$V461/365*(BL461-$R461+1))))),0)</f>
        <v>0</v>
      </c>
      <c r="BN461" s="163">
        <f t="shared" ref="BN461:BN464" si="5409">BL461+1</f>
        <v>46082</v>
      </c>
      <c r="BO461" s="163">
        <f t="shared" ref="BO461:BO464" si="5410">BN461+30</f>
        <v>46112</v>
      </c>
      <c r="BP461" s="167">
        <f t="shared" ref="BP461:BP464" si="5411">IFERROR(IF(($R461-BO461)&gt;=0,0,IF(($S461-BN461)&lt;0,0,IF(AND(($S461-BO461)&gt;0,(BN461-$R461)&gt;0),$V461/365*(BO461-BN461+1),IF(AND(($S461-BO461)&lt;=0,(BN461-$R461)&gt;0),$V461/365*($S461-BN461+1),$V461/365*(BO461-$R461+1))))),0)</f>
        <v>0</v>
      </c>
      <c r="BQ461" s="163">
        <f t="shared" ref="BQ461:BQ464" si="5412">BO461+1</f>
        <v>46113</v>
      </c>
      <c r="BR461" s="163">
        <f t="shared" ref="BR461:BR464" si="5413">BQ461+29</f>
        <v>46142</v>
      </c>
      <c r="BS461" s="167">
        <f t="shared" ref="BS461:BS464" si="5414">IFERROR(IF(($R461-BR461)&gt;=0,0,IF(($S461-BQ461)&lt;0,0,IF(AND(($S461-BR461)&gt;0,(BQ461-$R461)&gt;0),$V461/365*(BR461-BQ461+1),IF(AND(($S461-BR461)&lt;=0,(BQ461-$R461)&gt;0),$V461/365*($S461-BQ461+1),$V461/365*(BR461-$R461+1))))),0)</f>
        <v>0</v>
      </c>
      <c r="BT461" s="163">
        <f t="shared" ref="BT461:BT464" si="5415">BR461+1</f>
        <v>46143</v>
      </c>
      <c r="BU461" s="163">
        <f t="shared" ref="BU461:BU464" si="5416">BT461+30</f>
        <v>46173</v>
      </c>
      <c r="BV461" s="167">
        <f t="shared" ref="BV461:BV464" si="5417">IFERROR(IF(($R461-BU461)&gt;=0,0,IF(($S461-BT461)&lt;0,0,IF(AND(($S461-BU461)&gt;0,(BT461-$R461)&gt;0),$V461/365*(BU461-BT461+1),IF(AND(($S461-BU461)&lt;=0,(BT461-$R461)&gt;0),$V461/365*($S461-BT461+1),$V461/365*(BU461-$R461+1))))),0)</f>
        <v>0</v>
      </c>
      <c r="BW461" s="163">
        <f t="shared" ref="BW461:BW464" si="5418">BU461+1</f>
        <v>46174</v>
      </c>
      <c r="BX461" s="163">
        <f t="shared" ref="BX461:BX464" si="5419">BW461+29</f>
        <v>46203</v>
      </c>
      <c r="BY461" s="167">
        <f t="shared" ref="BY461:BY464" si="5420">IFERROR(IF(($R461-BX461)&gt;=0,0,IF(($S461-BW461)&lt;0,0,IF(AND(($S461-BX461)&gt;0,(BW461-$R461)&gt;0),$V461/365*(BX461-BW461+1),IF(AND(($S461-BX461)&lt;=0,(BW461-$R461)&gt;0),$V461/365*($S461-BW461+1),$V461/365*(BX461-$R461+1))))),0)</f>
        <v>0</v>
      </c>
      <c r="BZ461" s="163">
        <f t="shared" ref="BZ461:BZ464" si="5421">BX461+1</f>
        <v>46204</v>
      </c>
      <c r="CA461" s="163">
        <f t="shared" ref="CA461:CA464" si="5422">BZ461+30</f>
        <v>46234</v>
      </c>
      <c r="CB461" s="167">
        <f t="shared" ref="CB461:CB464" si="5423">IFERROR(IF(($R461-CA461)&gt;=0,0,IF(($S461-BZ461)&lt;0,0,IF(AND(($S461-CA461)&gt;0,(BZ461-$R461)&gt;0),$V461/365*(CA461-BZ461+1),IF(AND(($S461-CA461)&lt;=0,(BZ461-$R461)&gt;0),$V461/365*($S461-BZ461+1),$V461/365*(CA461-$R461+1))))),0)</f>
        <v>0</v>
      </c>
      <c r="CC461" s="163">
        <f t="shared" ref="CC461:CC464" si="5424">CA461+1</f>
        <v>46235</v>
      </c>
      <c r="CD461" s="163">
        <f t="shared" ref="CD461:CD464" si="5425">CC461+30</f>
        <v>46265</v>
      </c>
      <c r="CE461" s="167">
        <f t="shared" ref="CE461:CE464" si="5426">IFERROR(IF(($R461-CD461)&gt;=0,0,IF(($S461-CC461)&lt;0,0,IF(AND(($S461-CD461)&gt;0,(CC461-$R461)&gt;0),$V461/365*(CD461-CC461+1),IF(AND(($S461-CD461)&lt;=0,(CC461-$R461)&gt;0),$V461/365*($S461-CC461+1),$V461/365*(CD461-$R461+1))))),0)</f>
        <v>0</v>
      </c>
      <c r="CF461" s="163">
        <f t="shared" ref="CF461:CF464" si="5427">CD461+1</f>
        <v>46266</v>
      </c>
      <c r="CG461" s="163">
        <f t="shared" ref="CG461:CG464" si="5428">CF461+29</f>
        <v>46295</v>
      </c>
      <c r="CH461" s="167">
        <f t="shared" ref="CH461:CH464" si="5429">IFERROR(IF(($R461-CG461)&gt;=0,0,IF(($S461-CF461)&lt;0,0,IF(AND(($S461-CG461)&gt;0,(CF461-$R461)&gt;0),$V461/365*(CG461-CF461+1),IF(AND(($S461-CG461)&lt;=0,(CF461-$R461)&gt;0),$V461/365*($S461-CF461+1),$V461/365*(CG461-$R461+1))))),0)</f>
        <v>0</v>
      </c>
      <c r="CI461" s="163">
        <f t="shared" ref="CI461:CI464" si="5430">CG461+1</f>
        <v>46296</v>
      </c>
      <c r="CJ461" s="163">
        <f t="shared" ref="CJ461:CJ464" si="5431">CI461+30</f>
        <v>46326</v>
      </c>
      <c r="CK461" s="167">
        <f t="shared" ref="CK461:CK464" si="5432">IFERROR(IF(($R461-CJ461)&gt;=0,0,IF(($S461-CI461)&lt;0,0,IF(AND(($S461-CJ461)&gt;0,(CI461-$R461)&gt;0),$V461/365*(CJ461-CI461+1),IF(AND(($S461-CJ461)&lt;=0,(CI461-$R461)&gt;0),$V461/365*($S461-CI461+1),$V461/365*(CJ461-$R461+1))))),0)</f>
        <v>0</v>
      </c>
      <c r="CL461" s="163">
        <f t="shared" ref="CL461:CL464" si="5433">CJ461+1</f>
        <v>46327</v>
      </c>
      <c r="CM461" s="163">
        <f t="shared" ref="CM461:CM464" si="5434">CL461+29</f>
        <v>46356</v>
      </c>
      <c r="CN461" s="167">
        <f t="shared" ref="CN461:CN464" si="5435">IFERROR(IF(($R461-CM461)&gt;=0,0,IF(($S461-CL461)&lt;0,0,IF(AND(($S461-CM461)&gt;0,(CL461-$R461)&gt;0),$V461/365*(CM461-CL461+1),IF(AND(($S461-CM461)&lt;=0,(CL461-$R461)&gt;0),$V461/365*($S461-CL461+1),$V461/365*(CM461-$R461+1))))),0)</f>
        <v>0</v>
      </c>
      <c r="CO461" s="163">
        <f t="shared" ref="CO461:CO464" si="5436">CM461+1</f>
        <v>46357</v>
      </c>
      <c r="CP461" s="163">
        <f t="shared" ref="CP461:CP464" si="5437">CO461+30</f>
        <v>46387</v>
      </c>
      <c r="CQ461" s="167">
        <f t="shared" ref="CQ461:CQ464" si="5438">IFERROR(IF(($R461-CP461)&gt;=0,0,IF(($S461-CO461)&lt;0,0,IF(AND(($S461-CP461)&gt;0,(CO461-$R461)&gt;0),$V461/365*(CP461-CO461+1),IF(AND(($S461-CP461)&lt;=0,(CO461-$R461)&gt;0),$V461/365*($S461-CO461+1),$V461/365*(CP461-$R461+1))))),0)</f>
        <v>0</v>
      </c>
    </row>
    <row r="462" s="89" customFormat="1" ht="24" hidden="1" customHeight="1" outlineLevel="3" spans="1:95">
      <c r="A462" s="128"/>
      <c r="B462" s="129"/>
      <c r="C462" s="130"/>
      <c r="D462" s="128"/>
      <c r="E462" s="129"/>
      <c r="F462" s="129"/>
      <c r="G462" s="129"/>
      <c r="H462" s="131"/>
      <c r="I462" s="131"/>
      <c r="J462" s="131">
        <f t="shared" si="5367"/>
        <v>0</v>
      </c>
      <c r="K462" s="131">
        <f t="shared" ref="K462:K464" si="5439">K461+1</f>
        <v>2</v>
      </c>
      <c r="L462" s="156"/>
      <c r="M462" s="157">
        <f>IFERROR(VLOOKUP($L462,'2-2 引出数据_合同数据仓库'!$B$5:$BP$200,3,FALSE),0)</f>
        <v>0</v>
      </c>
      <c r="N462" s="131"/>
      <c r="O462" s="157">
        <f>IFERROR(VLOOKUP((LEFT(VLOOKUP($L462,'2-2 引出数据_合同数据仓库'!$B$5:$BP$200,64,FALSE),15)&amp;(RIGHT(VLOOKUP($L462,'2-2 引出数据_合同数据仓库'!$B$5:$BP$200,64,FALSE),4)+1)),'2-2 引出数据_合同数据仓库'!$B$5:$BP$200,3,FALSE),0)</f>
        <v>0</v>
      </c>
      <c r="P462" s="131"/>
      <c r="Q462" s="131">
        <f>IFERROR(VLOOKUP($L462,'2-2 引出数据_合同数据仓库'!$B$5:$BP$200,28,FALSE),0)</f>
        <v>0</v>
      </c>
      <c r="R462" s="131">
        <f>IFERROR(VLOOKUP($L462,'2-2 引出数据_合同数据仓库'!$B$5:$BP$200,29,FALSE),0)</f>
        <v>0</v>
      </c>
      <c r="S462" s="131">
        <f>IFERROR(VLOOKUP($L462,'2-2 引出数据_合同数据仓库'!$B$5:$BP$200,4,FALSE),0)</f>
        <v>0</v>
      </c>
      <c r="T462" s="131"/>
      <c r="U462" s="131">
        <f>IFERROR(VLOOKUP($L462,'2-2 引出数据_合同数据仓库'!$B$5:$BP$200,15,FALSE),0)</f>
        <v>0</v>
      </c>
      <c r="V462" s="131">
        <f t="shared" si="5368"/>
        <v>0</v>
      </c>
      <c r="W462" s="131"/>
      <c r="X462" s="163">
        <v>45658</v>
      </c>
      <c r="Y462" s="163">
        <f t="shared" si="5369"/>
        <v>45688</v>
      </c>
      <c r="Z462" s="167">
        <f t="shared" si="5370"/>
        <v>0</v>
      </c>
      <c r="AA462" s="163">
        <f t="shared" si="5371"/>
        <v>45689</v>
      </c>
      <c r="AB462" s="163">
        <f t="shared" si="5372"/>
        <v>45716</v>
      </c>
      <c r="AC462" s="167">
        <f t="shared" si="5373"/>
        <v>0</v>
      </c>
      <c r="AD462" s="163">
        <f t="shared" si="5374"/>
        <v>45717</v>
      </c>
      <c r="AE462" s="163">
        <f t="shared" si="5375"/>
        <v>45747</v>
      </c>
      <c r="AF462" s="167">
        <f t="shared" si="5376"/>
        <v>0</v>
      </c>
      <c r="AG462" s="163">
        <f t="shared" si="5377"/>
        <v>45748</v>
      </c>
      <c r="AH462" s="163">
        <f t="shared" si="5378"/>
        <v>45777</v>
      </c>
      <c r="AI462" s="167">
        <f t="shared" si="5379"/>
        <v>0</v>
      </c>
      <c r="AJ462" s="163">
        <f t="shared" si="5380"/>
        <v>45778</v>
      </c>
      <c r="AK462" s="163">
        <f t="shared" si="5381"/>
        <v>45808</v>
      </c>
      <c r="AL462" s="167">
        <f t="shared" si="5382"/>
        <v>0</v>
      </c>
      <c r="AM462" s="163">
        <f t="shared" si="5383"/>
        <v>45809</v>
      </c>
      <c r="AN462" s="163">
        <f t="shared" si="5384"/>
        <v>45838</v>
      </c>
      <c r="AO462" s="167">
        <f t="shared" si="5385"/>
        <v>0</v>
      </c>
      <c r="AP462" s="163">
        <f t="shared" si="5386"/>
        <v>45839</v>
      </c>
      <c r="AQ462" s="163">
        <f t="shared" si="5387"/>
        <v>45869</v>
      </c>
      <c r="AR462" s="167">
        <f t="shared" si="5388"/>
        <v>0</v>
      </c>
      <c r="AS462" s="163">
        <f t="shared" si="5389"/>
        <v>45870</v>
      </c>
      <c r="AT462" s="163">
        <f t="shared" si="5390"/>
        <v>45900</v>
      </c>
      <c r="AU462" s="167">
        <f t="shared" si="5391"/>
        <v>0</v>
      </c>
      <c r="AV462" s="163">
        <f t="shared" si="5392"/>
        <v>45901</v>
      </c>
      <c r="AW462" s="163">
        <f t="shared" si="5393"/>
        <v>45930</v>
      </c>
      <c r="AX462" s="167">
        <f t="shared" si="5394"/>
        <v>0</v>
      </c>
      <c r="AY462" s="163">
        <f t="shared" si="5395"/>
        <v>45931</v>
      </c>
      <c r="AZ462" s="163">
        <f t="shared" si="5396"/>
        <v>45961</v>
      </c>
      <c r="BA462" s="167">
        <f t="shared" si="5397"/>
        <v>0</v>
      </c>
      <c r="BB462" s="163">
        <f t="shared" si="5398"/>
        <v>45962</v>
      </c>
      <c r="BC462" s="163">
        <f t="shared" si="5399"/>
        <v>45991</v>
      </c>
      <c r="BD462" s="167">
        <f t="shared" si="5400"/>
        <v>0</v>
      </c>
      <c r="BE462" s="163">
        <f t="shared" si="5401"/>
        <v>45992</v>
      </c>
      <c r="BF462" s="163">
        <f t="shared" si="5402"/>
        <v>46022</v>
      </c>
      <c r="BG462" s="167">
        <f t="shared" si="5403"/>
        <v>0</v>
      </c>
      <c r="BH462" s="163">
        <v>46023</v>
      </c>
      <c r="BI462" s="163">
        <f t="shared" si="5404"/>
        <v>46053</v>
      </c>
      <c r="BJ462" s="167">
        <f t="shared" si="5405"/>
        <v>0</v>
      </c>
      <c r="BK462" s="163">
        <f t="shared" si="5406"/>
        <v>46054</v>
      </c>
      <c r="BL462" s="163">
        <f t="shared" si="5407"/>
        <v>46081</v>
      </c>
      <c r="BM462" s="167">
        <f t="shared" si="5408"/>
        <v>0</v>
      </c>
      <c r="BN462" s="163">
        <f t="shared" si="5409"/>
        <v>46082</v>
      </c>
      <c r="BO462" s="163">
        <f t="shared" si="5410"/>
        <v>46112</v>
      </c>
      <c r="BP462" s="167">
        <f t="shared" si="5411"/>
        <v>0</v>
      </c>
      <c r="BQ462" s="163">
        <f t="shared" si="5412"/>
        <v>46113</v>
      </c>
      <c r="BR462" s="163">
        <f t="shared" si="5413"/>
        <v>46142</v>
      </c>
      <c r="BS462" s="167">
        <f t="shared" si="5414"/>
        <v>0</v>
      </c>
      <c r="BT462" s="163">
        <f t="shared" si="5415"/>
        <v>46143</v>
      </c>
      <c r="BU462" s="163">
        <f t="shared" si="5416"/>
        <v>46173</v>
      </c>
      <c r="BV462" s="167">
        <f t="shared" si="5417"/>
        <v>0</v>
      </c>
      <c r="BW462" s="163">
        <f t="shared" si="5418"/>
        <v>46174</v>
      </c>
      <c r="BX462" s="163">
        <f t="shared" si="5419"/>
        <v>46203</v>
      </c>
      <c r="BY462" s="167">
        <f t="shared" si="5420"/>
        <v>0</v>
      </c>
      <c r="BZ462" s="163">
        <f t="shared" si="5421"/>
        <v>46204</v>
      </c>
      <c r="CA462" s="163">
        <f t="shared" si="5422"/>
        <v>46234</v>
      </c>
      <c r="CB462" s="167">
        <f t="shared" si="5423"/>
        <v>0</v>
      </c>
      <c r="CC462" s="163">
        <f t="shared" si="5424"/>
        <v>46235</v>
      </c>
      <c r="CD462" s="163">
        <f t="shared" si="5425"/>
        <v>46265</v>
      </c>
      <c r="CE462" s="167">
        <f t="shared" si="5426"/>
        <v>0</v>
      </c>
      <c r="CF462" s="163">
        <f t="shared" si="5427"/>
        <v>46266</v>
      </c>
      <c r="CG462" s="163">
        <f t="shared" si="5428"/>
        <v>46295</v>
      </c>
      <c r="CH462" s="167">
        <f t="shared" si="5429"/>
        <v>0</v>
      </c>
      <c r="CI462" s="163">
        <f t="shared" si="5430"/>
        <v>46296</v>
      </c>
      <c r="CJ462" s="163">
        <f t="shared" si="5431"/>
        <v>46326</v>
      </c>
      <c r="CK462" s="167">
        <f t="shared" si="5432"/>
        <v>0</v>
      </c>
      <c r="CL462" s="163">
        <f t="shared" si="5433"/>
        <v>46327</v>
      </c>
      <c r="CM462" s="163">
        <f t="shared" si="5434"/>
        <v>46356</v>
      </c>
      <c r="CN462" s="167">
        <f t="shared" si="5435"/>
        <v>0</v>
      </c>
      <c r="CO462" s="163">
        <f t="shared" si="5436"/>
        <v>46357</v>
      </c>
      <c r="CP462" s="163">
        <f t="shared" si="5437"/>
        <v>46387</v>
      </c>
      <c r="CQ462" s="167">
        <f t="shared" si="5438"/>
        <v>0</v>
      </c>
    </row>
    <row r="463" s="89" customFormat="1" ht="24" hidden="1" customHeight="1" outlineLevel="3" spans="1:95">
      <c r="A463" s="128"/>
      <c r="B463" s="129"/>
      <c r="C463" s="130"/>
      <c r="D463" s="128"/>
      <c r="E463" s="129"/>
      <c r="F463" s="129"/>
      <c r="G463" s="129"/>
      <c r="H463" s="131"/>
      <c r="I463" s="131"/>
      <c r="J463" s="131">
        <f t="shared" si="5367"/>
        <v>0</v>
      </c>
      <c r="K463" s="131">
        <f t="shared" si="5439"/>
        <v>3</v>
      </c>
      <c r="L463" s="156"/>
      <c r="M463" s="157">
        <f>IFERROR(VLOOKUP($L463,'2-2 引出数据_合同数据仓库'!$B$5:$BP$200,3,FALSE),0)</f>
        <v>0</v>
      </c>
      <c r="N463" s="131"/>
      <c r="O463" s="157">
        <f>IFERROR(VLOOKUP((LEFT(VLOOKUP($L463,'2-2 引出数据_合同数据仓库'!$B$5:$BP$200,64,FALSE),15)&amp;(RIGHT(VLOOKUP($L463,'2-2 引出数据_合同数据仓库'!$B$5:$BP$200,64,FALSE),4)+1)),'2-2 引出数据_合同数据仓库'!$B$5:$BP$200,3,FALSE),0)</f>
        <v>0</v>
      </c>
      <c r="P463" s="131"/>
      <c r="Q463" s="131">
        <f>IFERROR(VLOOKUP($L463,'2-2 引出数据_合同数据仓库'!$B$5:$BP$200,28,FALSE),0)</f>
        <v>0</v>
      </c>
      <c r="R463" s="131">
        <f>IFERROR(VLOOKUP($L463,'2-2 引出数据_合同数据仓库'!$B$5:$BP$200,29,FALSE),0)</f>
        <v>0</v>
      </c>
      <c r="S463" s="131">
        <f>IFERROR(VLOOKUP($L463,'2-2 引出数据_合同数据仓库'!$B$5:$BP$200,4,FALSE),0)</f>
        <v>0</v>
      </c>
      <c r="T463" s="131"/>
      <c r="U463" s="131">
        <f>IFERROR(VLOOKUP($L463,'2-2 引出数据_合同数据仓库'!$B$5:$BP$200,15,FALSE),0)</f>
        <v>0</v>
      </c>
      <c r="V463" s="131">
        <f t="shared" si="5368"/>
        <v>0</v>
      </c>
      <c r="W463" s="131"/>
      <c r="X463" s="163">
        <v>45658</v>
      </c>
      <c r="Y463" s="163">
        <f t="shared" si="5369"/>
        <v>45688</v>
      </c>
      <c r="Z463" s="167">
        <f t="shared" si="5370"/>
        <v>0</v>
      </c>
      <c r="AA463" s="163">
        <f t="shared" si="5371"/>
        <v>45689</v>
      </c>
      <c r="AB463" s="163">
        <f t="shared" si="5372"/>
        <v>45716</v>
      </c>
      <c r="AC463" s="167">
        <f t="shared" si="5373"/>
        <v>0</v>
      </c>
      <c r="AD463" s="163">
        <f t="shared" si="5374"/>
        <v>45717</v>
      </c>
      <c r="AE463" s="163">
        <f t="shared" si="5375"/>
        <v>45747</v>
      </c>
      <c r="AF463" s="167">
        <f t="shared" si="5376"/>
        <v>0</v>
      </c>
      <c r="AG463" s="163">
        <f t="shared" si="5377"/>
        <v>45748</v>
      </c>
      <c r="AH463" s="163">
        <f t="shared" si="5378"/>
        <v>45777</v>
      </c>
      <c r="AI463" s="167">
        <f t="shared" si="5379"/>
        <v>0</v>
      </c>
      <c r="AJ463" s="163">
        <f t="shared" si="5380"/>
        <v>45778</v>
      </c>
      <c r="AK463" s="163">
        <f t="shared" si="5381"/>
        <v>45808</v>
      </c>
      <c r="AL463" s="167">
        <f t="shared" si="5382"/>
        <v>0</v>
      </c>
      <c r="AM463" s="163">
        <f t="shared" si="5383"/>
        <v>45809</v>
      </c>
      <c r="AN463" s="163">
        <f t="shared" si="5384"/>
        <v>45838</v>
      </c>
      <c r="AO463" s="167">
        <f t="shared" si="5385"/>
        <v>0</v>
      </c>
      <c r="AP463" s="163">
        <f t="shared" si="5386"/>
        <v>45839</v>
      </c>
      <c r="AQ463" s="163">
        <f t="shared" si="5387"/>
        <v>45869</v>
      </c>
      <c r="AR463" s="167">
        <f t="shared" si="5388"/>
        <v>0</v>
      </c>
      <c r="AS463" s="163">
        <f t="shared" si="5389"/>
        <v>45870</v>
      </c>
      <c r="AT463" s="163">
        <f t="shared" si="5390"/>
        <v>45900</v>
      </c>
      <c r="AU463" s="167">
        <f t="shared" si="5391"/>
        <v>0</v>
      </c>
      <c r="AV463" s="163">
        <f t="shared" si="5392"/>
        <v>45901</v>
      </c>
      <c r="AW463" s="163">
        <f t="shared" si="5393"/>
        <v>45930</v>
      </c>
      <c r="AX463" s="167">
        <f t="shared" si="5394"/>
        <v>0</v>
      </c>
      <c r="AY463" s="163">
        <f t="shared" si="5395"/>
        <v>45931</v>
      </c>
      <c r="AZ463" s="163">
        <f t="shared" si="5396"/>
        <v>45961</v>
      </c>
      <c r="BA463" s="167">
        <f t="shared" si="5397"/>
        <v>0</v>
      </c>
      <c r="BB463" s="163">
        <f t="shared" si="5398"/>
        <v>45962</v>
      </c>
      <c r="BC463" s="163">
        <f t="shared" si="5399"/>
        <v>45991</v>
      </c>
      <c r="BD463" s="167">
        <f t="shared" si="5400"/>
        <v>0</v>
      </c>
      <c r="BE463" s="163">
        <f t="shared" si="5401"/>
        <v>45992</v>
      </c>
      <c r="BF463" s="163">
        <f t="shared" si="5402"/>
        <v>46022</v>
      </c>
      <c r="BG463" s="167">
        <f t="shared" si="5403"/>
        <v>0</v>
      </c>
      <c r="BH463" s="163">
        <v>46023</v>
      </c>
      <c r="BI463" s="163">
        <f t="shared" si="5404"/>
        <v>46053</v>
      </c>
      <c r="BJ463" s="167">
        <f t="shared" si="5405"/>
        <v>0</v>
      </c>
      <c r="BK463" s="163">
        <f t="shared" si="5406"/>
        <v>46054</v>
      </c>
      <c r="BL463" s="163">
        <f t="shared" si="5407"/>
        <v>46081</v>
      </c>
      <c r="BM463" s="167">
        <f t="shared" si="5408"/>
        <v>0</v>
      </c>
      <c r="BN463" s="163">
        <f t="shared" si="5409"/>
        <v>46082</v>
      </c>
      <c r="BO463" s="163">
        <f t="shared" si="5410"/>
        <v>46112</v>
      </c>
      <c r="BP463" s="167">
        <f t="shared" si="5411"/>
        <v>0</v>
      </c>
      <c r="BQ463" s="163">
        <f t="shared" si="5412"/>
        <v>46113</v>
      </c>
      <c r="BR463" s="163">
        <f t="shared" si="5413"/>
        <v>46142</v>
      </c>
      <c r="BS463" s="167">
        <f t="shared" si="5414"/>
        <v>0</v>
      </c>
      <c r="BT463" s="163">
        <f t="shared" si="5415"/>
        <v>46143</v>
      </c>
      <c r="BU463" s="163">
        <f t="shared" si="5416"/>
        <v>46173</v>
      </c>
      <c r="BV463" s="167">
        <f t="shared" si="5417"/>
        <v>0</v>
      </c>
      <c r="BW463" s="163">
        <f t="shared" si="5418"/>
        <v>46174</v>
      </c>
      <c r="BX463" s="163">
        <f t="shared" si="5419"/>
        <v>46203</v>
      </c>
      <c r="BY463" s="167">
        <f t="shared" si="5420"/>
        <v>0</v>
      </c>
      <c r="BZ463" s="163">
        <f t="shared" si="5421"/>
        <v>46204</v>
      </c>
      <c r="CA463" s="163">
        <f t="shared" si="5422"/>
        <v>46234</v>
      </c>
      <c r="CB463" s="167">
        <f t="shared" si="5423"/>
        <v>0</v>
      </c>
      <c r="CC463" s="163">
        <f t="shared" si="5424"/>
        <v>46235</v>
      </c>
      <c r="CD463" s="163">
        <f t="shared" si="5425"/>
        <v>46265</v>
      </c>
      <c r="CE463" s="167">
        <f t="shared" si="5426"/>
        <v>0</v>
      </c>
      <c r="CF463" s="163">
        <f t="shared" si="5427"/>
        <v>46266</v>
      </c>
      <c r="CG463" s="163">
        <f t="shared" si="5428"/>
        <v>46295</v>
      </c>
      <c r="CH463" s="167">
        <f t="shared" si="5429"/>
        <v>0</v>
      </c>
      <c r="CI463" s="163">
        <f t="shared" si="5430"/>
        <v>46296</v>
      </c>
      <c r="CJ463" s="163">
        <f t="shared" si="5431"/>
        <v>46326</v>
      </c>
      <c r="CK463" s="167">
        <f t="shared" si="5432"/>
        <v>0</v>
      </c>
      <c r="CL463" s="163">
        <f t="shared" si="5433"/>
        <v>46327</v>
      </c>
      <c r="CM463" s="163">
        <f t="shared" si="5434"/>
        <v>46356</v>
      </c>
      <c r="CN463" s="167">
        <f t="shared" si="5435"/>
        <v>0</v>
      </c>
      <c r="CO463" s="163">
        <f t="shared" si="5436"/>
        <v>46357</v>
      </c>
      <c r="CP463" s="163">
        <f t="shared" si="5437"/>
        <v>46387</v>
      </c>
      <c r="CQ463" s="167">
        <f t="shared" si="5438"/>
        <v>0</v>
      </c>
    </row>
    <row r="464" s="89" customFormat="1" ht="24" hidden="1" customHeight="1" outlineLevel="3" collapsed="1" spans="1:95">
      <c r="A464" s="128"/>
      <c r="B464" s="129"/>
      <c r="C464" s="130"/>
      <c r="D464" s="128"/>
      <c r="E464" s="129"/>
      <c r="F464" s="129"/>
      <c r="G464" s="129"/>
      <c r="H464" s="131"/>
      <c r="I464" s="131"/>
      <c r="J464" s="131">
        <f t="shared" si="5367"/>
        <v>0</v>
      </c>
      <c r="K464" s="131">
        <f t="shared" si="5439"/>
        <v>4</v>
      </c>
      <c r="L464" s="156"/>
      <c r="M464" s="157">
        <f>IFERROR(VLOOKUP($L464,'2-2 引出数据_合同数据仓库'!$B$5:$BP$200,3,FALSE),0)</f>
        <v>0</v>
      </c>
      <c r="N464" s="131"/>
      <c r="O464" s="157">
        <f>IFERROR(VLOOKUP((LEFT(VLOOKUP($L464,'2-2 引出数据_合同数据仓库'!$B$5:$BP$200,64,FALSE),15)&amp;(RIGHT(VLOOKUP($L464,'2-2 引出数据_合同数据仓库'!$B$5:$BP$200,64,FALSE),4)+1)),'2-2 引出数据_合同数据仓库'!$B$5:$BP$200,3,FALSE),0)</f>
        <v>0</v>
      </c>
      <c r="P464" s="131"/>
      <c r="Q464" s="131">
        <f>IFERROR(VLOOKUP($L464,'2-2 引出数据_合同数据仓库'!$B$5:$BP$200,28,FALSE),0)</f>
        <v>0</v>
      </c>
      <c r="R464" s="131">
        <f>IFERROR(VLOOKUP($L464,'2-2 引出数据_合同数据仓库'!$B$5:$BP$200,29,FALSE),0)</f>
        <v>0</v>
      </c>
      <c r="S464" s="131">
        <f>IFERROR(VLOOKUP($L464,'2-2 引出数据_合同数据仓库'!$B$5:$BP$200,4,FALSE),0)</f>
        <v>0</v>
      </c>
      <c r="T464" s="131"/>
      <c r="U464" s="131">
        <f>IFERROR(VLOOKUP($L464,'2-2 引出数据_合同数据仓库'!$B$5:$BP$200,15,FALSE),0)</f>
        <v>0</v>
      </c>
      <c r="V464" s="131">
        <f t="shared" si="5368"/>
        <v>0</v>
      </c>
      <c r="W464" s="131"/>
      <c r="X464" s="163">
        <v>45658</v>
      </c>
      <c r="Y464" s="163">
        <f t="shared" si="5369"/>
        <v>45688</v>
      </c>
      <c r="Z464" s="167">
        <f t="shared" si="5370"/>
        <v>0</v>
      </c>
      <c r="AA464" s="163">
        <f t="shared" si="5371"/>
        <v>45689</v>
      </c>
      <c r="AB464" s="163">
        <f t="shared" si="5372"/>
        <v>45716</v>
      </c>
      <c r="AC464" s="167">
        <f t="shared" si="5373"/>
        <v>0</v>
      </c>
      <c r="AD464" s="163">
        <f t="shared" si="5374"/>
        <v>45717</v>
      </c>
      <c r="AE464" s="163">
        <f t="shared" si="5375"/>
        <v>45747</v>
      </c>
      <c r="AF464" s="167">
        <f t="shared" si="5376"/>
        <v>0</v>
      </c>
      <c r="AG464" s="163">
        <f t="shared" si="5377"/>
        <v>45748</v>
      </c>
      <c r="AH464" s="163">
        <f t="shared" si="5378"/>
        <v>45777</v>
      </c>
      <c r="AI464" s="167">
        <f t="shared" si="5379"/>
        <v>0</v>
      </c>
      <c r="AJ464" s="163">
        <f t="shared" si="5380"/>
        <v>45778</v>
      </c>
      <c r="AK464" s="163">
        <f t="shared" si="5381"/>
        <v>45808</v>
      </c>
      <c r="AL464" s="167">
        <f t="shared" si="5382"/>
        <v>0</v>
      </c>
      <c r="AM464" s="163">
        <f t="shared" si="5383"/>
        <v>45809</v>
      </c>
      <c r="AN464" s="163">
        <f t="shared" si="5384"/>
        <v>45838</v>
      </c>
      <c r="AO464" s="167">
        <f t="shared" si="5385"/>
        <v>0</v>
      </c>
      <c r="AP464" s="163">
        <f t="shared" si="5386"/>
        <v>45839</v>
      </c>
      <c r="AQ464" s="163">
        <f t="shared" si="5387"/>
        <v>45869</v>
      </c>
      <c r="AR464" s="167">
        <f t="shared" si="5388"/>
        <v>0</v>
      </c>
      <c r="AS464" s="163">
        <f t="shared" si="5389"/>
        <v>45870</v>
      </c>
      <c r="AT464" s="163">
        <f t="shared" si="5390"/>
        <v>45900</v>
      </c>
      <c r="AU464" s="167">
        <f t="shared" si="5391"/>
        <v>0</v>
      </c>
      <c r="AV464" s="163">
        <f t="shared" si="5392"/>
        <v>45901</v>
      </c>
      <c r="AW464" s="163">
        <f t="shared" si="5393"/>
        <v>45930</v>
      </c>
      <c r="AX464" s="167">
        <f t="shared" si="5394"/>
        <v>0</v>
      </c>
      <c r="AY464" s="163">
        <f t="shared" si="5395"/>
        <v>45931</v>
      </c>
      <c r="AZ464" s="163">
        <f t="shared" si="5396"/>
        <v>45961</v>
      </c>
      <c r="BA464" s="167">
        <f t="shared" si="5397"/>
        <v>0</v>
      </c>
      <c r="BB464" s="163">
        <f t="shared" si="5398"/>
        <v>45962</v>
      </c>
      <c r="BC464" s="163">
        <f t="shared" si="5399"/>
        <v>45991</v>
      </c>
      <c r="BD464" s="167">
        <f t="shared" si="5400"/>
        <v>0</v>
      </c>
      <c r="BE464" s="163">
        <f t="shared" si="5401"/>
        <v>45992</v>
      </c>
      <c r="BF464" s="163">
        <f t="shared" si="5402"/>
        <v>46022</v>
      </c>
      <c r="BG464" s="167">
        <f t="shared" si="5403"/>
        <v>0</v>
      </c>
      <c r="BH464" s="163">
        <v>46023</v>
      </c>
      <c r="BI464" s="163">
        <f t="shared" si="5404"/>
        <v>46053</v>
      </c>
      <c r="BJ464" s="167">
        <f t="shared" si="5405"/>
        <v>0</v>
      </c>
      <c r="BK464" s="163">
        <f t="shared" si="5406"/>
        <v>46054</v>
      </c>
      <c r="BL464" s="163">
        <f t="shared" si="5407"/>
        <v>46081</v>
      </c>
      <c r="BM464" s="167">
        <f t="shared" si="5408"/>
        <v>0</v>
      </c>
      <c r="BN464" s="163">
        <f t="shared" si="5409"/>
        <v>46082</v>
      </c>
      <c r="BO464" s="163">
        <f t="shared" si="5410"/>
        <v>46112</v>
      </c>
      <c r="BP464" s="167">
        <f t="shared" si="5411"/>
        <v>0</v>
      </c>
      <c r="BQ464" s="163">
        <f t="shared" si="5412"/>
        <v>46113</v>
      </c>
      <c r="BR464" s="163">
        <f t="shared" si="5413"/>
        <v>46142</v>
      </c>
      <c r="BS464" s="167">
        <f t="shared" si="5414"/>
        <v>0</v>
      </c>
      <c r="BT464" s="163">
        <f t="shared" si="5415"/>
        <v>46143</v>
      </c>
      <c r="BU464" s="163">
        <f t="shared" si="5416"/>
        <v>46173</v>
      </c>
      <c r="BV464" s="167">
        <f t="shared" si="5417"/>
        <v>0</v>
      </c>
      <c r="BW464" s="163">
        <f t="shared" si="5418"/>
        <v>46174</v>
      </c>
      <c r="BX464" s="163">
        <f t="shared" si="5419"/>
        <v>46203</v>
      </c>
      <c r="BY464" s="167">
        <f t="shared" si="5420"/>
        <v>0</v>
      </c>
      <c r="BZ464" s="163">
        <f t="shared" si="5421"/>
        <v>46204</v>
      </c>
      <c r="CA464" s="163">
        <f t="shared" si="5422"/>
        <v>46234</v>
      </c>
      <c r="CB464" s="167">
        <f t="shared" si="5423"/>
        <v>0</v>
      </c>
      <c r="CC464" s="163">
        <f t="shared" si="5424"/>
        <v>46235</v>
      </c>
      <c r="CD464" s="163">
        <f t="shared" si="5425"/>
        <v>46265</v>
      </c>
      <c r="CE464" s="167">
        <f t="shared" si="5426"/>
        <v>0</v>
      </c>
      <c r="CF464" s="163">
        <f t="shared" si="5427"/>
        <v>46266</v>
      </c>
      <c r="CG464" s="163">
        <f t="shared" si="5428"/>
        <v>46295</v>
      </c>
      <c r="CH464" s="167">
        <f t="shared" si="5429"/>
        <v>0</v>
      </c>
      <c r="CI464" s="163">
        <f t="shared" si="5430"/>
        <v>46296</v>
      </c>
      <c r="CJ464" s="163">
        <f t="shared" si="5431"/>
        <v>46326</v>
      </c>
      <c r="CK464" s="167">
        <f t="shared" si="5432"/>
        <v>0</v>
      </c>
      <c r="CL464" s="163">
        <f t="shared" si="5433"/>
        <v>46327</v>
      </c>
      <c r="CM464" s="163">
        <f t="shared" si="5434"/>
        <v>46356</v>
      </c>
      <c r="CN464" s="167">
        <f t="shared" si="5435"/>
        <v>0</v>
      </c>
      <c r="CO464" s="163">
        <f t="shared" si="5436"/>
        <v>46357</v>
      </c>
      <c r="CP464" s="163">
        <f t="shared" si="5437"/>
        <v>46387</v>
      </c>
      <c r="CQ464" s="167">
        <f t="shared" si="5438"/>
        <v>0</v>
      </c>
    </row>
    <row r="465" s="89" customFormat="1" ht="24" hidden="1" customHeight="1" outlineLevel="4" spans="1:95">
      <c r="A465" s="132" t="s">
        <v>2813</v>
      </c>
      <c r="B465" s="133"/>
      <c r="C465" s="133"/>
      <c r="D465" s="133"/>
      <c r="E465" s="133"/>
      <c r="F465" s="133"/>
      <c r="G465" s="134"/>
      <c r="H465" s="135"/>
      <c r="I465" s="135"/>
      <c r="J465" s="135"/>
      <c r="K465" s="135"/>
      <c r="L465" s="158"/>
      <c r="M465" s="158"/>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c r="CL465" s="135"/>
      <c r="CM465" s="135"/>
      <c r="CN465" s="135"/>
      <c r="CO465" s="135"/>
      <c r="CP465" s="135"/>
      <c r="CQ465" s="135"/>
    </row>
    <row r="466" ht="24" customHeight="1" outlineLevel="2" collapsed="1" spans="1:95">
      <c r="A466" s="43"/>
      <c r="B466" s="121" t="s">
        <v>792</v>
      </c>
      <c r="C466" s="122" t="s">
        <v>1565</v>
      </c>
      <c r="D466" s="43" t="s">
        <v>1566</v>
      </c>
      <c r="E466" s="121" t="s">
        <v>1567</v>
      </c>
      <c r="F466" s="121"/>
      <c r="G466" s="121" t="s">
        <v>936</v>
      </c>
      <c r="H466" s="123">
        <f>X466+AA466+AD466+AG466+AJ466+AM466+AP466+AS466+AV466+AY466+BB466+BE466</f>
        <v>0</v>
      </c>
      <c r="I466" s="123">
        <f>Y466+AB466+AE466+AH466+AK466+AN466+AQ466+AT466+AW466+AZ466+BC466+BF466</f>
        <v>0</v>
      </c>
      <c r="J466" s="123">
        <f t="shared" si="5367"/>
        <v>0</v>
      </c>
      <c r="K466" s="123"/>
      <c r="L466" s="154"/>
      <c r="M466" s="154"/>
      <c r="N466" s="123"/>
      <c r="O466" s="123"/>
      <c r="P466" s="123"/>
      <c r="Q466" s="123"/>
      <c r="R466" s="123"/>
      <c r="S466" s="123"/>
      <c r="T466" s="123"/>
      <c r="U466" s="123"/>
      <c r="V466" s="123"/>
      <c r="W466" s="123"/>
      <c r="X466" s="123">
        <f>VLOOKUP($C466,'1 预算编制表单'!$C:$BJ,27,FALSE)</f>
        <v>0</v>
      </c>
      <c r="Y466" s="123">
        <f>X466-Z466</f>
        <v>0</v>
      </c>
      <c r="Z466" s="123">
        <f>SUM(Z467:Z471)</f>
        <v>0</v>
      </c>
      <c r="AA466" s="123">
        <f>VLOOKUP($C466,'1 预算编制表单'!$C:$BJ,30,FALSE)</f>
        <v>0</v>
      </c>
      <c r="AB466" s="123">
        <f>AA466-AC466</f>
        <v>0</v>
      </c>
      <c r="AC466" s="123">
        <f>SUM(AC467:AC471)</f>
        <v>0</v>
      </c>
      <c r="AD466" s="123">
        <f>VLOOKUP($C466,'1 预算编制表单'!$C:$BJ,33,FALSE)</f>
        <v>0</v>
      </c>
      <c r="AE466" s="123">
        <f>AD466-AF466</f>
        <v>0</v>
      </c>
      <c r="AF466" s="123">
        <f>SUM(AF467:AF471)</f>
        <v>0</v>
      </c>
      <c r="AG466" s="123">
        <f>VLOOKUP($C466,'1 预算编制表单'!$C:$BJ,36,FALSE)</f>
        <v>0</v>
      </c>
      <c r="AH466" s="123">
        <f>AG466-AI466</f>
        <v>0</v>
      </c>
      <c r="AI466" s="123">
        <f>SUM(AI467:AI471)</f>
        <v>0</v>
      </c>
      <c r="AJ466" s="123">
        <f>VLOOKUP($C466,'1 预算编制表单'!$C:$BJ,39,FALSE)</f>
        <v>0</v>
      </c>
      <c r="AK466" s="123">
        <f>AJ466-AL466</f>
        <v>0</v>
      </c>
      <c r="AL466" s="123">
        <f>SUM(AL467:AL471)</f>
        <v>0</v>
      </c>
      <c r="AM466" s="123">
        <f>VLOOKUP($C466,'1 预算编制表单'!$C:$BJ,42,FALSE)</f>
        <v>0</v>
      </c>
      <c r="AN466" s="123">
        <f>AM466-AO466</f>
        <v>0</v>
      </c>
      <c r="AO466" s="123">
        <f>SUM(AO467:AO471)</f>
        <v>0</v>
      </c>
      <c r="AP466" s="123">
        <f>VLOOKUP($C466,'1 预算编制表单'!$C:$BJ,45,FALSE)</f>
        <v>0</v>
      </c>
      <c r="AQ466" s="123">
        <f>AP466-AR466</f>
        <v>0</v>
      </c>
      <c r="AR466" s="123">
        <f>SUM(AR467:AR471)</f>
        <v>0</v>
      </c>
      <c r="AS466" s="123">
        <f>VLOOKUP($C466,'1 预算编制表单'!$C:$BJ,48,FALSE)</f>
        <v>0</v>
      </c>
      <c r="AT466" s="123">
        <f>AS466-AU466</f>
        <v>0</v>
      </c>
      <c r="AU466" s="123">
        <f>SUM(AU467:AU471)</f>
        <v>0</v>
      </c>
      <c r="AV466" s="123">
        <f>VLOOKUP($C466,'1 预算编制表单'!$C:$BJ,51,FALSE)</f>
        <v>0</v>
      </c>
      <c r="AW466" s="123">
        <f>AV466-AX466</f>
        <v>0</v>
      </c>
      <c r="AX466" s="123">
        <f>SUM(AX467:AX471)</f>
        <v>0</v>
      </c>
      <c r="AY466" s="123">
        <f>VLOOKUP($C466,'1 预算编制表单'!$C:$BJ,54,FALSE)</f>
        <v>0</v>
      </c>
      <c r="AZ466" s="123">
        <f>AY466-BA466</f>
        <v>0</v>
      </c>
      <c r="BA466" s="123">
        <f>SUM(BA467:BA471)</f>
        <v>0</v>
      </c>
      <c r="BB466" s="123">
        <f>VLOOKUP($C466,'1 预算编制表单'!$C:$BJ,57,FALSE)</f>
        <v>0</v>
      </c>
      <c r="BC466" s="123">
        <f>BB466-BD466</f>
        <v>0</v>
      </c>
      <c r="BD466" s="123">
        <f>SUM(BD467:BD471)</f>
        <v>0</v>
      </c>
      <c r="BE466" s="123">
        <f>VLOOKUP($C466,'1 预算编制表单'!$C:$BJ,60,FALSE)</f>
        <v>0</v>
      </c>
      <c r="BF466" s="123">
        <f>BE466-BG466</f>
        <v>0</v>
      </c>
      <c r="BG466" s="123">
        <f>SUM(BG467:BG471)</f>
        <v>0</v>
      </c>
      <c r="BH466" s="123">
        <f>VLOOKUP($C466,'1 预算编制表单'!$C:$BJ,27,FALSE)</f>
        <v>0</v>
      </c>
      <c r="BI466" s="123">
        <f>BH466-BJ466</f>
        <v>0</v>
      </c>
      <c r="BJ466" s="123">
        <f>SUM(BJ467:BJ471)</f>
        <v>0</v>
      </c>
      <c r="BK466" s="123">
        <f>VLOOKUP($C466,'1 预算编制表单'!$C:$BJ,30,FALSE)</f>
        <v>0</v>
      </c>
      <c r="BL466" s="123">
        <f>BK466-BM466</f>
        <v>0</v>
      </c>
      <c r="BM466" s="123">
        <f>SUM(BM467:BM471)</f>
        <v>0</v>
      </c>
      <c r="BN466" s="123">
        <f>VLOOKUP($C466,'1 预算编制表单'!$C:$BJ,33,FALSE)</f>
        <v>0</v>
      </c>
      <c r="BO466" s="123">
        <f>BN466-BP466</f>
        <v>0</v>
      </c>
      <c r="BP466" s="123">
        <f>SUM(BP467:BP471)</f>
        <v>0</v>
      </c>
      <c r="BQ466" s="123">
        <f>VLOOKUP($C466,'1 预算编制表单'!$C:$BJ,36,FALSE)</f>
        <v>0</v>
      </c>
      <c r="BR466" s="123">
        <f>BQ466-BS466</f>
        <v>0</v>
      </c>
      <c r="BS466" s="123">
        <f>SUM(BS467:BS471)</f>
        <v>0</v>
      </c>
      <c r="BT466" s="123">
        <f>VLOOKUP($C466,'1 预算编制表单'!$C:$BJ,39,FALSE)</f>
        <v>0</v>
      </c>
      <c r="BU466" s="123">
        <f>BT466-BV466</f>
        <v>0</v>
      </c>
      <c r="BV466" s="123">
        <f>SUM(BV467:BV471)</f>
        <v>0</v>
      </c>
      <c r="BW466" s="123">
        <f>VLOOKUP($C466,'1 预算编制表单'!$C:$BJ,42,FALSE)</f>
        <v>0</v>
      </c>
      <c r="BX466" s="123">
        <f>BW466-BY466</f>
        <v>0</v>
      </c>
      <c r="BY466" s="123">
        <f>SUM(BY467:BY471)</f>
        <v>0</v>
      </c>
      <c r="BZ466" s="123">
        <f>VLOOKUP($C466,'1 预算编制表单'!$C:$BJ,45,FALSE)</f>
        <v>0</v>
      </c>
      <c r="CA466" s="123">
        <f>BZ466-CB466</f>
        <v>0</v>
      </c>
      <c r="CB466" s="123">
        <f>SUM(CB467:CB471)</f>
        <v>0</v>
      </c>
      <c r="CC466" s="123">
        <f>VLOOKUP($C466,'1 预算编制表单'!$C:$BJ,48,FALSE)</f>
        <v>0</v>
      </c>
      <c r="CD466" s="123">
        <f>CC466-CE466</f>
        <v>0</v>
      </c>
      <c r="CE466" s="123">
        <f>SUM(CE467:CE471)</f>
        <v>0</v>
      </c>
      <c r="CF466" s="123">
        <f>VLOOKUP($C466,'1 预算编制表单'!$C:$BJ,51,FALSE)</f>
        <v>0</v>
      </c>
      <c r="CG466" s="123">
        <f>CF466-CH466</f>
        <v>0</v>
      </c>
      <c r="CH466" s="123">
        <f>SUM(CH467:CH471)</f>
        <v>0</v>
      </c>
      <c r="CI466" s="123">
        <f>VLOOKUP($C466,'1 预算编制表单'!$C:$BJ,54,FALSE)</f>
        <v>0</v>
      </c>
      <c r="CJ466" s="123">
        <f>CI466-CK466</f>
        <v>0</v>
      </c>
      <c r="CK466" s="123">
        <f>SUM(CK467:CK471)</f>
        <v>0</v>
      </c>
      <c r="CL466" s="123">
        <f>VLOOKUP($C466,'1 预算编制表单'!$C:$BJ,57,FALSE)</f>
        <v>0</v>
      </c>
      <c r="CM466" s="123">
        <f>CL466-CN466</f>
        <v>0</v>
      </c>
      <c r="CN466" s="123">
        <f>SUM(CN467:CN471)</f>
        <v>0</v>
      </c>
      <c r="CO466" s="123">
        <f>VLOOKUP($C466,'1 预算编制表单'!$C:$BJ,60,FALSE)</f>
        <v>0</v>
      </c>
      <c r="CP466" s="123">
        <f>CO466-CQ466</f>
        <v>0</v>
      </c>
      <c r="CQ466" s="123">
        <f>SUM(CQ467:CQ471)</f>
        <v>0</v>
      </c>
    </row>
    <row r="467" s="89" customFormat="1" ht="24" hidden="1" customHeight="1" outlineLevel="3" spans="1:95">
      <c r="A467" s="128"/>
      <c r="B467" s="129"/>
      <c r="C467" s="130"/>
      <c r="D467" s="128"/>
      <c r="E467" s="129"/>
      <c r="F467" s="129"/>
      <c r="G467" s="129"/>
      <c r="H467" s="131"/>
      <c r="I467" s="131"/>
      <c r="J467" s="131">
        <f t="shared" si="5367"/>
        <v>0</v>
      </c>
      <c r="K467" s="131">
        <v>1</v>
      </c>
      <c r="L467" s="156"/>
      <c r="M467" s="157">
        <f>IFERROR(VLOOKUP($L467,'2-2 引出数据_合同数据仓库'!$B$5:$BP$200,3,FALSE),0)</f>
        <v>0</v>
      </c>
      <c r="N467" s="131"/>
      <c r="O467" s="157">
        <f>IFERROR(VLOOKUP((LEFT(VLOOKUP($L467,'2-2 引出数据_合同数据仓库'!$B$5:$BP$200,64,FALSE),15)&amp;(RIGHT(VLOOKUP($L467,'2-2 引出数据_合同数据仓库'!$B$5:$BP$200,64,FALSE),4)+1)),'2-2 引出数据_合同数据仓库'!$B$5:$BP$200,3,FALSE),0)</f>
        <v>0</v>
      </c>
      <c r="P467" s="131"/>
      <c r="Q467" s="131">
        <f>IFERROR(VLOOKUP($L467,'2-2 引出数据_合同数据仓库'!$B$5:$BP$200,28,FALSE),0)</f>
        <v>0</v>
      </c>
      <c r="R467" s="131">
        <f>IFERROR(VLOOKUP($L467,'2-2 引出数据_合同数据仓库'!$B$5:$BP$200,29,FALSE),0)</f>
        <v>0</v>
      </c>
      <c r="S467" s="131">
        <f>IFERROR(VLOOKUP($L467,'2-2 引出数据_合同数据仓库'!$B$5:$BP$200,4,FALSE),0)</f>
        <v>0</v>
      </c>
      <c r="T467" s="131"/>
      <c r="U467" s="131">
        <f>IFERROR(VLOOKUP($L467,'2-2 引出数据_合同数据仓库'!$B$5:$BP$200,15,FALSE),0)</f>
        <v>0</v>
      </c>
      <c r="V467" s="131">
        <f t="shared" ref="V467:V470" si="5440">U467/(S467-R467+1)*365</f>
        <v>0</v>
      </c>
      <c r="W467" s="131"/>
      <c r="X467" s="163">
        <v>45658</v>
      </c>
      <c r="Y467" s="163">
        <f t="shared" ref="Y467:Y470" si="5441">X467+30</f>
        <v>45688</v>
      </c>
      <c r="Z467" s="167">
        <f t="shared" ref="Z467:Z470" si="5442">IFERROR(IF(($R467-Y467)&gt;=0,0,IF(($S467-X467)&lt;0,0,IF(AND(($S467-Y467)&gt;0,(X467-$R467)&gt;0),$V467/365*(Y467-X467+1),IF(AND(($S467-Y467)&lt;=0,(X467-$R467)&gt;0),$V467/365*($S467-X467+1),$V467/365*(Y467-$R467+1))))),0)</f>
        <v>0</v>
      </c>
      <c r="AA467" s="163">
        <f t="shared" ref="AA467:AA470" si="5443">Y467+1</f>
        <v>45689</v>
      </c>
      <c r="AB467" s="163">
        <f t="shared" ref="AB467:AB470" si="5444">AA467+27</f>
        <v>45716</v>
      </c>
      <c r="AC467" s="167">
        <f t="shared" ref="AC467:AC470" si="5445">IFERROR(IF(($R467-AB467)&gt;=0,0,IF(($S467-AA467)&lt;0,0,IF(AND(($S467-AB467)&gt;0,(AA467-$R467)&gt;0),$V467/365*(AB467-AA467+1),IF(AND(($S467-AB467)&lt;=0,(AA467-$R467)&gt;0),$V467/365*($S467-AA467+1),$V467/365*(AB467-$R467+1))))),0)</f>
        <v>0</v>
      </c>
      <c r="AD467" s="163">
        <f t="shared" ref="AD467:AD470" si="5446">AB467+1</f>
        <v>45717</v>
      </c>
      <c r="AE467" s="163">
        <f t="shared" ref="AE467:AE470" si="5447">AD467+30</f>
        <v>45747</v>
      </c>
      <c r="AF467" s="167">
        <f t="shared" ref="AF467:AF470" si="5448">IFERROR(IF(($R467-AE467)&gt;=0,0,IF(($S467-AD467)&lt;0,0,IF(AND(($S467-AE467)&gt;0,(AD467-$R467)&gt;0),$V467/365*(AE467-AD467+1),IF(AND(($S467-AE467)&lt;=0,(AD467-$R467)&gt;0),$V467/365*($S467-AD467+1),$V467/365*(AE467-$R467+1))))),0)</f>
        <v>0</v>
      </c>
      <c r="AG467" s="163">
        <f t="shared" ref="AG467:AG470" si="5449">AE467+1</f>
        <v>45748</v>
      </c>
      <c r="AH467" s="163">
        <f t="shared" ref="AH467:AH470" si="5450">AG467+29</f>
        <v>45777</v>
      </c>
      <c r="AI467" s="167">
        <f t="shared" ref="AI467:AI470" si="5451">IFERROR(IF(($R467-AH467)&gt;=0,0,IF(($S467-AG467)&lt;0,0,IF(AND(($S467-AH467)&gt;0,(AG467-$R467)&gt;0),$V467/365*(AH467-AG467+1),IF(AND(($S467-AH467)&lt;=0,(AG467-$R467)&gt;0),$V467/365*($S467-AG467+1),$V467/365*(AH467-$R467+1))))),0)</f>
        <v>0</v>
      </c>
      <c r="AJ467" s="163">
        <f t="shared" ref="AJ467:AJ470" si="5452">AH467+1</f>
        <v>45778</v>
      </c>
      <c r="AK467" s="163">
        <f t="shared" ref="AK467:AK470" si="5453">AJ467+30</f>
        <v>45808</v>
      </c>
      <c r="AL467" s="167">
        <f t="shared" ref="AL467:AL470" si="5454">IFERROR(IF(($R467-AK467)&gt;=0,0,IF(($S467-AJ467)&lt;0,0,IF(AND(($S467-AK467)&gt;0,(AJ467-$R467)&gt;0),$V467/365*(AK467-AJ467+1),IF(AND(($S467-AK467)&lt;=0,(AJ467-$R467)&gt;0),$V467/365*($S467-AJ467+1),$V467/365*(AK467-$R467+1))))),0)</f>
        <v>0</v>
      </c>
      <c r="AM467" s="163">
        <f t="shared" ref="AM467:AM470" si="5455">AK467+1</f>
        <v>45809</v>
      </c>
      <c r="AN467" s="163">
        <f t="shared" ref="AN467:AN470" si="5456">AM467+29</f>
        <v>45838</v>
      </c>
      <c r="AO467" s="167">
        <f t="shared" ref="AO467:AO470" si="5457">IFERROR(IF(($R467-AN467)&gt;=0,0,IF(($S467-AM467)&lt;0,0,IF(AND(($S467-AN467)&gt;0,(AM467-$R467)&gt;0),$V467/365*(AN467-AM467+1),IF(AND(($S467-AN467)&lt;=0,(AM467-$R467)&gt;0),$V467/365*($S467-AM467+1),$V467/365*(AN467-$R467+1))))),0)</f>
        <v>0</v>
      </c>
      <c r="AP467" s="163">
        <f t="shared" ref="AP467:AP470" si="5458">AN467+1</f>
        <v>45839</v>
      </c>
      <c r="AQ467" s="163">
        <f t="shared" ref="AQ467:AQ470" si="5459">AP467+30</f>
        <v>45869</v>
      </c>
      <c r="AR467" s="167">
        <f t="shared" ref="AR467:AR470" si="5460">IFERROR(IF(($R467-AQ467)&gt;=0,0,IF(($S467-AP467)&lt;0,0,IF(AND(($S467-AQ467)&gt;0,(AP467-$R467)&gt;0),$V467/365*(AQ467-AP467+1),IF(AND(($S467-AQ467)&lt;=0,(AP467-$R467)&gt;0),$V467/365*($S467-AP467+1),$V467/365*(AQ467-$R467+1))))),0)</f>
        <v>0</v>
      </c>
      <c r="AS467" s="163">
        <f t="shared" ref="AS467:AS470" si="5461">AQ467+1</f>
        <v>45870</v>
      </c>
      <c r="AT467" s="163">
        <f t="shared" ref="AT467:AT470" si="5462">AS467+30</f>
        <v>45900</v>
      </c>
      <c r="AU467" s="167">
        <f t="shared" ref="AU467:AU470" si="5463">IFERROR(IF(($R467-AT467)&gt;=0,0,IF(($S467-AS467)&lt;0,0,IF(AND(($S467-AT467)&gt;0,(AS467-$R467)&gt;0),$V467/365*(AT467-AS467+1),IF(AND(($S467-AT467)&lt;=0,(AS467-$R467)&gt;0),$V467/365*($S467-AS467+1),$V467/365*(AT467-$R467+1))))),0)</f>
        <v>0</v>
      </c>
      <c r="AV467" s="163">
        <f t="shared" ref="AV467:AV470" si="5464">AT467+1</f>
        <v>45901</v>
      </c>
      <c r="AW467" s="163">
        <f t="shared" ref="AW467:AW470" si="5465">AV467+29</f>
        <v>45930</v>
      </c>
      <c r="AX467" s="167">
        <f t="shared" ref="AX467:AX470" si="5466">IFERROR(IF(($R467-AW467)&gt;=0,0,IF(($S467-AV467)&lt;0,0,IF(AND(($S467-AW467)&gt;0,(AV467-$R467)&gt;0),$V467/365*(AW467-AV467+1),IF(AND(($S467-AW467)&lt;=0,(AV467-$R467)&gt;0),$V467/365*($S467-AV467+1),$V467/365*(AW467-$R467+1))))),0)</f>
        <v>0</v>
      </c>
      <c r="AY467" s="163">
        <f t="shared" ref="AY467:AY470" si="5467">AW467+1</f>
        <v>45931</v>
      </c>
      <c r="AZ467" s="163">
        <f t="shared" ref="AZ467:AZ470" si="5468">AY467+30</f>
        <v>45961</v>
      </c>
      <c r="BA467" s="167">
        <f t="shared" ref="BA467:BA470" si="5469">IFERROR(IF(($R467-AZ467)&gt;=0,0,IF(($S467-AY467)&lt;0,0,IF(AND(($S467-AZ467)&gt;0,(AY467-$R467)&gt;0),$V467/365*(AZ467-AY467+1),IF(AND(($S467-AZ467)&lt;=0,(AY467-$R467)&gt;0),$V467/365*($S467-AY467+1),$V467/365*(AZ467-$R467+1))))),0)</f>
        <v>0</v>
      </c>
      <c r="BB467" s="163">
        <f t="shared" ref="BB467:BB470" si="5470">AZ467+1</f>
        <v>45962</v>
      </c>
      <c r="BC467" s="163">
        <f t="shared" ref="BC467:BC470" si="5471">BB467+29</f>
        <v>45991</v>
      </c>
      <c r="BD467" s="167">
        <f t="shared" ref="BD467:BD470" si="5472">IFERROR(IF(($R467-BC467)&gt;=0,0,IF(($S467-BB467)&lt;0,0,IF(AND(($S467-BC467)&gt;0,(BB467-$R467)&gt;0),$V467/365*(BC467-BB467+1),IF(AND(($S467-BC467)&lt;=0,(BB467-$R467)&gt;0),$V467/365*($S467-BB467+1),$V467/365*(BC467-$R467+1))))),0)</f>
        <v>0</v>
      </c>
      <c r="BE467" s="163">
        <f t="shared" ref="BE467:BE470" si="5473">BC467+1</f>
        <v>45992</v>
      </c>
      <c r="BF467" s="163">
        <f t="shared" ref="BF467:BF470" si="5474">BE467+30</f>
        <v>46022</v>
      </c>
      <c r="BG467" s="167">
        <f t="shared" ref="BG467:BG470" si="5475">IFERROR(IF(($R467-BF467)&gt;=0,0,IF(($S467-BE467)&lt;0,0,IF(AND(($S467-BF467)&gt;0,(BE467-$R467)&gt;0),$V467/365*(BF467-BE467+1),IF(AND(($S467-BF467)&lt;=0,(BE467-$R467)&gt;0),$V467/365*($S467-BE467+1),$V467/365*(BF467-$R467+1))))),0)</f>
        <v>0</v>
      </c>
      <c r="BH467" s="163">
        <v>46023</v>
      </c>
      <c r="BI467" s="163">
        <f t="shared" ref="BI467:BI470" si="5476">BH467+30</f>
        <v>46053</v>
      </c>
      <c r="BJ467" s="167">
        <f t="shared" ref="BJ467:BJ470" si="5477">IFERROR(IF(($R467-BI467)&gt;=0,0,IF(($S467-BH467)&lt;0,0,IF(AND(($S467-BI467)&gt;0,(BH467-$R467)&gt;0),$V467/365*(BI467-BH467+1),IF(AND(($S467-BI467)&lt;=0,(BH467-$R467)&gt;0),$V467/365*($S467-BH467+1),$V467/365*(BI467-$R467+1))))),0)</f>
        <v>0</v>
      </c>
      <c r="BK467" s="163">
        <f t="shared" ref="BK467:BK470" si="5478">BI467+1</f>
        <v>46054</v>
      </c>
      <c r="BL467" s="163">
        <f t="shared" ref="BL467:BL470" si="5479">BK467+27</f>
        <v>46081</v>
      </c>
      <c r="BM467" s="167">
        <f t="shared" ref="BM467:BM470" si="5480">IFERROR(IF(($R467-BL467)&gt;=0,0,IF(($S467-BK467)&lt;0,0,IF(AND(($S467-BL467)&gt;0,(BK467-$R467)&gt;0),$V467/365*(BL467-BK467+1),IF(AND(($S467-BL467)&lt;=0,(BK467-$R467)&gt;0),$V467/365*($S467-BK467+1),$V467/365*(BL467-$R467+1))))),0)</f>
        <v>0</v>
      </c>
      <c r="BN467" s="163">
        <f t="shared" ref="BN467:BN470" si="5481">BL467+1</f>
        <v>46082</v>
      </c>
      <c r="BO467" s="163">
        <f t="shared" ref="BO467:BO470" si="5482">BN467+30</f>
        <v>46112</v>
      </c>
      <c r="BP467" s="167">
        <f t="shared" ref="BP467:BP470" si="5483">IFERROR(IF(($R467-BO467)&gt;=0,0,IF(($S467-BN467)&lt;0,0,IF(AND(($S467-BO467)&gt;0,(BN467-$R467)&gt;0),$V467/365*(BO467-BN467+1),IF(AND(($S467-BO467)&lt;=0,(BN467-$R467)&gt;0),$V467/365*($S467-BN467+1),$V467/365*(BO467-$R467+1))))),0)</f>
        <v>0</v>
      </c>
      <c r="BQ467" s="163">
        <f t="shared" ref="BQ467:BQ470" si="5484">BO467+1</f>
        <v>46113</v>
      </c>
      <c r="BR467" s="163">
        <f t="shared" ref="BR467:BR470" si="5485">BQ467+29</f>
        <v>46142</v>
      </c>
      <c r="BS467" s="167">
        <f t="shared" ref="BS467:BS470" si="5486">IFERROR(IF(($R467-BR467)&gt;=0,0,IF(($S467-BQ467)&lt;0,0,IF(AND(($S467-BR467)&gt;0,(BQ467-$R467)&gt;0),$V467/365*(BR467-BQ467+1),IF(AND(($S467-BR467)&lt;=0,(BQ467-$R467)&gt;0),$V467/365*($S467-BQ467+1),$V467/365*(BR467-$R467+1))))),0)</f>
        <v>0</v>
      </c>
      <c r="BT467" s="163">
        <f t="shared" ref="BT467:BT470" si="5487">BR467+1</f>
        <v>46143</v>
      </c>
      <c r="BU467" s="163">
        <f t="shared" ref="BU467:BU470" si="5488">BT467+30</f>
        <v>46173</v>
      </c>
      <c r="BV467" s="167">
        <f t="shared" ref="BV467:BV470" si="5489">IFERROR(IF(($R467-BU467)&gt;=0,0,IF(($S467-BT467)&lt;0,0,IF(AND(($S467-BU467)&gt;0,(BT467-$R467)&gt;0),$V467/365*(BU467-BT467+1),IF(AND(($S467-BU467)&lt;=0,(BT467-$R467)&gt;0),$V467/365*($S467-BT467+1),$V467/365*(BU467-$R467+1))))),0)</f>
        <v>0</v>
      </c>
      <c r="BW467" s="163">
        <f t="shared" ref="BW467:BW470" si="5490">BU467+1</f>
        <v>46174</v>
      </c>
      <c r="BX467" s="163">
        <f t="shared" ref="BX467:BX470" si="5491">BW467+29</f>
        <v>46203</v>
      </c>
      <c r="BY467" s="167">
        <f t="shared" ref="BY467:BY470" si="5492">IFERROR(IF(($R467-BX467)&gt;=0,0,IF(($S467-BW467)&lt;0,0,IF(AND(($S467-BX467)&gt;0,(BW467-$R467)&gt;0),$V467/365*(BX467-BW467+1),IF(AND(($S467-BX467)&lt;=0,(BW467-$R467)&gt;0),$V467/365*($S467-BW467+1),$V467/365*(BX467-$R467+1))))),0)</f>
        <v>0</v>
      </c>
      <c r="BZ467" s="163">
        <f t="shared" ref="BZ467:BZ470" si="5493">BX467+1</f>
        <v>46204</v>
      </c>
      <c r="CA467" s="163">
        <f t="shared" ref="CA467:CA470" si="5494">BZ467+30</f>
        <v>46234</v>
      </c>
      <c r="CB467" s="167">
        <f t="shared" ref="CB467:CB470" si="5495">IFERROR(IF(($R467-CA467)&gt;=0,0,IF(($S467-BZ467)&lt;0,0,IF(AND(($S467-CA467)&gt;0,(BZ467-$R467)&gt;0),$V467/365*(CA467-BZ467+1),IF(AND(($S467-CA467)&lt;=0,(BZ467-$R467)&gt;0),$V467/365*($S467-BZ467+1),$V467/365*(CA467-$R467+1))))),0)</f>
        <v>0</v>
      </c>
      <c r="CC467" s="163">
        <f t="shared" ref="CC467:CC470" si="5496">CA467+1</f>
        <v>46235</v>
      </c>
      <c r="CD467" s="163">
        <f t="shared" ref="CD467:CD470" si="5497">CC467+30</f>
        <v>46265</v>
      </c>
      <c r="CE467" s="167">
        <f t="shared" ref="CE467:CE470" si="5498">IFERROR(IF(($R467-CD467)&gt;=0,0,IF(($S467-CC467)&lt;0,0,IF(AND(($S467-CD467)&gt;0,(CC467-$R467)&gt;0),$V467/365*(CD467-CC467+1),IF(AND(($S467-CD467)&lt;=0,(CC467-$R467)&gt;0),$V467/365*($S467-CC467+1),$V467/365*(CD467-$R467+1))))),0)</f>
        <v>0</v>
      </c>
      <c r="CF467" s="163">
        <f t="shared" ref="CF467:CF470" si="5499">CD467+1</f>
        <v>46266</v>
      </c>
      <c r="CG467" s="163">
        <f t="shared" ref="CG467:CG470" si="5500">CF467+29</f>
        <v>46295</v>
      </c>
      <c r="CH467" s="167">
        <f t="shared" ref="CH467:CH470" si="5501">IFERROR(IF(($R467-CG467)&gt;=0,0,IF(($S467-CF467)&lt;0,0,IF(AND(($S467-CG467)&gt;0,(CF467-$R467)&gt;0),$V467/365*(CG467-CF467+1),IF(AND(($S467-CG467)&lt;=0,(CF467-$R467)&gt;0),$V467/365*($S467-CF467+1),$V467/365*(CG467-$R467+1))))),0)</f>
        <v>0</v>
      </c>
      <c r="CI467" s="163">
        <f t="shared" ref="CI467:CI470" si="5502">CG467+1</f>
        <v>46296</v>
      </c>
      <c r="CJ467" s="163">
        <f t="shared" ref="CJ467:CJ470" si="5503">CI467+30</f>
        <v>46326</v>
      </c>
      <c r="CK467" s="167">
        <f t="shared" ref="CK467:CK470" si="5504">IFERROR(IF(($R467-CJ467)&gt;=0,0,IF(($S467-CI467)&lt;0,0,IF(AND(($S467-CJ467)&gt;0,(CI467-$R467)&gt;0),$V467/365*(CJ467-CI467+1),IF(AND(($S467-CJ467)&lt;=0,(CI467-$R467)&gt;0),$V467/365*($S467-CI467+1),$V467/365*(CJ467-$R467+1))))),0)</f>
        <v>0</v>
      </c>
      <c r="CL467" s="163">
        <f t="shared" ref="CL467:CL470" si="5505">CJ467+1</f>
        <v>46327</v>
      </c>
      <c r="CM467" s="163">
        <f t="shared" ref="CM467:CM470" si="5506">CL467+29</f>
        <v>46356</v>
      </c>
      <c r="CN467" s="167">
        <f t="shared" ref="CN467:CN470" si="5507">IFERROR(IF(($R467-CM467)&gt;=0,0,IF(($S467-CL467)&lt;0,0,IF(AND(($S467-CM467)&gt;0,(CL467-$R467)&gt;0),$V467/365*(CM467-CL467+1),IF(AND(($S467-CM467)&lt;=0,(CL467-$R467)&gt;0),$V467/365*($S467-CL467+1),$V467/365*(CM467-$R467+1))))),0)</f>
        <v>0</v>
      </c>
      <c r="CO467" s="163">
        <f t="shared" ref="CO467:CO470" si="5508">CM467+1</f>
        <v>46357</v>
      </c>
      <c r="CP467" s="163">
        <f t="shared" ref="CP467:CP470" si="5509">CO467+30</f>
        <v>46387</v>
      </c>
      <c r="CQ467" s="167">
        <f t="shared" ref="CQ467:CQ470" si="5510">IFERROR(IF(($R467-CP467)&gt;=0,0,IF(($S467-CO467)&lt;0,0,IF(AND(($S467-CP467)&gt;0,(CO467-$R467)&gt;0),$V467/365*(CP467-CO467+1),IF(AND(($S467-CP467)&lt;=0,(CO467-$R467)&gt;0),$V467/365*($S467-CO467+1),$V467/365*(CP467-$R467+1))))),0)</f>
        <v>0</v>
      </c>
    </row>
    <row r="468" s="89" customFormat="1" ht="24" hidden="1" customHeight="1" outlineLevel="3" spans="1:95">
      <c r="A468" s="128"/>
      <c r="B468" s="129"/>
      <c r="C468" s="130"/>
      <c r="D468" s="128"/>
      <c r="E468" s="129"/>
      <c r="F468" s="129"/>
      <c r="G468" s="129"/>
      <c r="H468" s="131"/>
      <c r="I468" s="131"/>
      <c r="J468" s="131">
        <f t="shared" si="5367"/>
        <v>0</v>
      </c>
      <c r="K468" s="131">
        <f t="shared" ref="K468:K470" si="5511">K467+1</f>
        <v>2</v>
      </c>
      <c r="L468" s="156"/>
      <c r="M468" s="157">
        <f>IFERROR(VLOOKUP($L468,'2-2 引出数据_合同数据仓库'!$B$5:$BP$200,3,FALSE),0)</f>
        <v>0</v>
      </c>
      <c r="N468" s="131"/>
      <c r="O468" s="157">
        <f>IFERROR(VLOOKUP((LEFT(VLOOKUP($L468,'2-2 引出数据_合同数据仓库'!$B$5:$BP$200,64,FALSE),15)&amp;(RIGHT(VLOOKUP($L468,'2-2 引出数据_合同数据仓库'!$B$5:$BP$200,64,FALSE),4)+1)),'2-2 引出数据_合同数据仓库'!$B$5:$BP$200,3,FALSE),0)</f>
        <v>0</v>
      </c>
      <c r="P468" s="131"/>
      <c r="Q468" s="131">
        <f>IFERROR(VLOOKUP($L468,'2-2 引出数据_合同数据仓库'!$B$5:$BP$200,28,FALSE),0)</f>
        <v>0</v>
      </c>
      <c r="R468" s="131">
        <f>IFERROR(VLOOKUP($L468,'2-2 引出数据_合同数据仓库'!$B$5:$BP$200,29,FALSE),0)</f>
        <v>0</v>
      </c>
      <c r="S468" s="131">
        <f>IFERROR(VLOOKUP($L468,'2-2 引出数据_合同数据仓库'!$B$5:$BP$200,4,FALSE),0)</f>
        <v>0</v>
      </c>
      <c r="T468" s="131"/>
      <c r="U468" s="131">
        <f>IFERROR(VLOOKUP($L468,'2-2 引出数据_合同数据仓库'!$B$5:$BP$200,15,FALSE),0)</f>
        <v>0</v>
      </c>
      <c r="V468" s="131">
        <f t="shared" si="5440"/>
        <v>0</v>
      </c>
      <c r="W468" s="131"/>
      <c r="X468" s="163">
        <v>45658</v>
      </c>
      <c r="Y468" s="163">
        <f t="shared" si="5441"/>
        <v>45688</v>
      </c>
      <c r="Z468" s="167">
        <f t="shared" si="5442"/>
        <v>0</v>
      </c>
      <c r="AA468" s="163">
        <f t="shared" si="5443"/>
        <v>45689</v>
      </c>
      <c r="AB468" s="163">
        <f t="shared" si="5444"/>
        <v>45716</v>
      </c>
      <c r="AC468" s="167">
        <f t="shared" si="5445"/>
        <v>0</v>
      </c>
      <c r="AD468" s="163">
        <f t="shared" si="5446"/>
        <v>45717</v>
      </c>
      <c r="AE468" s="163">
        <f t="shared" si="5447"/>
        <v>45747</v>
      </c>
      <c r="AF468" s="167">
        <f t="shared" si="5448"/>
        <v>0</v>
      </c>
      <c r="AG468" s="163">
        <f t="shared" si="5449"/>
        <v>45748</v>
      </c>
      <c r="AH468" s="163">
        <f t="shared" si="5450"/>
        <v>45777</v>
      </c>
      <c r="AI468" s="167">
        <f t="shared" si="5451"/>
        <v>0</v>
      </c>
      <c r="AJ468" s="163">
        <f t="shared" si="5452"/>
        <v>45778</v>
      </c>
      <c r="AK468" s="163">
        <f t="shared" si="5453"/>
        <v>45808</v>
      </c>
      <c r="AL468" s="167">
        <f t="shared" si="5454"/>
        <v>0</v>
      </c>
      <c r="AM468" s="163">
        <f t="shared" si="5455"/>
        <v>45809</v>
      </c>
      <c r="AN468" s="163">
        <f t="shared" si="5456"/>
        <v>45838</v>
      </c>
      <c r="AO468" s="167">
        <f t="shared" si="5457"/>
        <v>0</v>
      </c>
      <c r="AP468" s="163">
        <f t="shared" si="5458"/>
        <v>45839</v>
      </c>
      <c r="AQ468" s="163">
        <f t="shared" si="5459"/>
        <v>45869</v>
      </c>
      <c r="AR468" s="167">
        <f t="shared" si="5460"/>
        <v>0</v>
      </c>
      <c r="AS468" s="163">
        <f t="shared" si="5461"/>
        <v>45870</v>
      </c>
      <c r="AT468" s="163">
        <f t="shared" si="5462"/>
        <v>45900</v>
      </c>
      <c r="AU468" s="167">
        <f t="shared" si="5463"/>
        <v>0</v>
      </c>
      <c r="AV468" s="163">
        <f t="shared" si="5464"/>
        <v>45901</v>
      </c>
      <c r="AW468" s="163">
        <f t="shared" si="5465"/>
        <v>45930</v>
      </c>
      <c r="AX468" s="167">
        <f t="shared" si="5466"/>
        <v>0</v>
      </c>
      <c r="AY468" s="163">
        <f t="shared" si="5467"/>
        <v>45931</v>
      </c>
      <c r="AZ468" s="163">
        <f t="shared" si="5468"/>
        <v>45961</v>
      </c>
      <c r="BA468" s="167">
        <f t="shared" si="5469"/>
        <v>0</v>
      </c>
      <c r="BB468" s="163">
        <f t="shared" si="5470"/>
        <v>45962</v>
      </c>
      <c r="BC468" s="163">
        <f t="shared" si="5471"/>
        <v>45991</v>
      </c>
      <c r="BD468" s="167">
        <f t="shared" si="5472"/>
        <v>0</v>
      </c>
      <c r="BE468" s="163">
        <f t="shared" si="5473"/>
        <v>45992</v>
      </c>
      <c r="BF468" s="163">
        <f t="shared" si="5474"/>
        <v>46022</v>
      </c>
      <c r="BG468" s="167">
        <f t="shared" si="5475"/>
        <v>0</v>
      </c>
      <c r="BH468" s="163">
        <v>46023</v>
      </c>
      <c r="BI468" s="163">
        <f t="shared" si="5476"/>
        <v>46053</v>
      </c>
      <c r="BJ468" s="167">
        <f t="shared" si="5477"/>
        <v>0</v>
      </c>
      <c r="BK468" s="163">
        <f t="shared" si="5478"/>
        <v>46054</v>
      </c>
      <c r="BL468" s="163">
        <f t="shared" si="5479"/>
        <v>46081</v>
      </c>
      <c r="BM468" s="167">
        <f t="shared" si="5480"/>
        <v>0</v>
      </c>
      <c r="BN468" s="163">
        <f t="shared" si="5481"/>
        <v>46082</v>
      </c>
      <c r="BO468" s="163">
        <f t="shared" si="5482"/>
        <v>46112</v>
      </c>
      <c r="BP468" s="167">
        <f t="shared" si="5483"/>
        <v>0</v>
      </c>
      <c r="BQ468" s="163">
        <f t="shared" si="5484"/>
        <v>46113</v>
      </c>
      <c r="BR468" s="163">
        <f t="shared" si="5485"/>
        <v>46142</v>
      </c>
      <c r="BS468" s="167">
        <f t="shared" si="5486"/>
        <v>0</v>
      </c>
      <c r="BT468" s="163">
        <f t="shared" si="5487"/>
        <v>46143</v>
      </c>
      <c r="BU468" s="163">
        <f t="shared" si="5488"/>
        <v>46173</v>
      </c>
      <c r="BV468" s="167">
        <f t="shared" si="5489"/>
        <v>0</v>
      </c>
      <c r="BW468" s="163">
        <f t="shared" si="5490"/>
        <v>46174</v>
      </c>
      <c r="BX468" s="163">
        <f t="shared" si="5491"/>
        <v>46203</v>
      </c>
      <c r="BY468" s="167">
        <f t="shared" si="5492"/>
        <v>0</v>
      </c>
      <c r="BZ468" s="163">
        <f t="shared" si="5493"/>
        <v>46204</v>
      </c>
      <c r="CA468" s="163">
        <f t="shared" si="5494"/>
        <v>46234</v>
      </c>
      <c r="CB468" s="167">
        <f t="shared" si="5495"/>
        <v>0</v>
      </c>
      <c r="CC468" s="163">
        <f t="shared" si="5496"/>
        <v>46235</v>
      </c>
      <c r="CD468" s="163">
        <f t="shared" si="5497"/>
        <v>46265</v>
      </c>
      <c r="CE468" s="167">
        <f t="shared" si="5498"/>
        <v>0</v>
      </c>
      <c r="CF468" s="163">
        <f t="shared" si="5499"/>
        <v>46266</v>
      </c>
      <c r="CG468" s="163">
        <f t="shared" si="5500"/>
        <v>46295</v>
      </c>
      <c r="CH468" s="167">
        <f t="shared" si="5501"/>
        <v>0</v>
      </c>
      <c r="CI468" s="163">
        <f t="shared" si="5502"/>
        <v>46296</v>
      </c>
      <c r="CJ468" s="163">
        <f t="shared" si="5503"/>
        <v>46326</v>
      </c>
      <c r="CK468" s="167">
        <f t="shared" si="5504"/>
        <v>0</v>
      </c>
      <c r="CL468" s="163">
        <f t="shared" si="5505"/>
        <v>46327</v>
      </c>
      <c r="CM468" s="163">
        <f t="shared" si="5506"/>
        <v>46356</v>
      </c>
      <c r="CN468" s="167">
        <f t="shared" si="5507"/>
        <v>0</v>
      </c>
      <c r="CO468" s="163">
        <f t="shared" si="5508"/>
        <v>46357</v>
      </c>
      <c r="CP468" s="163">
        <f t="shared" si="5509"/>
        <v>46387</v>
      </c>
      <c r="CQ468" s="167">
        <f t="shared" si="5510"/>
        <v>0</v>
      </c>
    </row>
    <row r="469" s="89" customFormat="1" ht="24" hidden="1" customHeight="1" outlineLevel="3" spans="1:95">
      <c r="A469" s="128"/>
      <c r="B469" s="129"/>
      <c r="C469" s="130"/>
      <c r="D469" s="128"/>
      <c r="E469" s="129"/>
      <c r="F469" s="129"/>
      <c r="G469" s="129"/>
      <c r="H469" s="131"/>
      <c r="I469" s="131"/>
      <c r="J469" s="131">
        <f t="shared" si="5367"/>
        <v>0</v>
      </c>
      <c r="K469" s="131">
        <f t="shared" si="5511"/>
        <v>3</v>
      </c>
      <c r="L469" s="156"/>
      <c r="M469" s="157">
        <f>IFERROR(VLOOKUP($L469,'2-2 引出数据_合同数据仓库'!$B$5:$BP$200,3,FALSE),0)</f>
        <v>0</v>
      </c>
      <c r="N469" s="131"/>
      <c r="O469" s="157">
        <f>IFERROR(VLOOKUP((LEFT(VLOOKUP($L469,'2-2 引出数据_合同数据仓库'!$B$5:$BP$200,64,FALSE),15)&amp;(RIGHT(VLOOKUP($L469,'2-2 引出数据_合同数据仓库'!$B$5:$BP$200,64,FALSE),4)+1)),'2-2 引出数据_合同数据仓库'!$B$5:$BP$200,3,FALSE),0)</f>
        <v>0</v>
      </c>
      <c r="P469" s="131"/>
      <c r="Q469" s="131">
        <f>IFERROR(VLOOKUP($L469,'2-2 引出数据_合同数据仓库'!$B$5:$BP$200,28,FALSE),0)</f>
        <v>0</v>
      </c>
      <c r="R469" s="131">
        <f>IFERROR(VLOOKUP($L469,'2-2 引出数据_合同数据仓库'!$B$5:$BP$200,29,FALSE),0)</f>
        <v>0</v>
      </c>
      <c r="S469" s="131">
        <f>IFERROR(VLOOKUP($L469,'2-2 引出数据_合同数据仓库'!$B$5:$BP$200,4,FALSE),0)</f>
        <v>0</v>
      </c>
      <c r="T469" s="131"/>
      <c r="U469" s="131">
        <f>IFERROR(VLOOKUP($L469,'2-2 引出数据_合同数据仓库'!$B$5:$BP$200,15,FALSE),0)</f>
        <v>0</v>
      </c>
      <c r="V469" s="131">
        <f t="shared" si="5440"/>
        <v>0</v>
      </c>
      <c r="W469" s="131"/>
      <c r="X469" s="163">
        <v>45658</v>
      </c>
      <c r="Y469" s="163">
        <f t="shared" si="5441"/>
        <v>45688</v>
      </c>
      <c r="Z469" s="167">
        <f t="shared" si="5442"/>
        <v>0</v>
      </c>
      <c r="AA469" s="163">
        <f t="shared" si="5443"/>
        <v>45689</v>
      </c>
      <c r="AB469" s="163">
        <f t="shared" si="5444"/>
        <v>45716</v>
      </c>
      <c r="AC469" s="167">
        <f t="shared" si="5445"/>
        <v>0</v>
      </c>
      <c r="AD469" s="163">
        <f t="shared" si="5446"/>
        <v>45717</v>
      </c>
      <c r="AE469" s="163">
        <f t="shared" si="5447"/>
        <v>45747</v>
      </c>
      <c r="AF469" s="167">
        <f t="shared" si="5448"/>
        <v>0</v>
      </c>
      <c r="AG469" s="163">
        <f t="shared" si="5449"/>
        <v>45748</v>
      </c>
      <c r="AH469" s="163">
        <f t="shared" si="5450"/>
        <v>45777</v>
      </c>
      <c r="AI469" s="167">
        <f t="shared" si="5451"/>
        <v>0</v>
      </c>
      <c r="AJ469" s="163">
        <f t="shared" si="5452"/>
        <v>45778</v>
      </c>
      <c r="AK469" s="163">
        <f t="shared" si="5453"/>
        <v>45808</v>
      </c>
      <c r="AL469" s="167">
        <f t="shared" si="5454"/>
        <v>0</v>
      </c>
      <c r="AM469" s="163">
        <f t="shared" si="5455"/>
        <v>45809</v>
      </c>
      <c r="AN469" s="163">
        <f t="shared" si="5456"/>
        <v>45838</v>
      </c>
      <c r="AO469" s="167">
        <f t="shared" si="5457"/>
        <v>0</v>
      </c>
      <c r="AP469" s="163">
        <f t="shared" si="5458"/>
        <v>45839</v>
      </c>
      <c r="AQ469" s="163">
        <f t="shared" si="5459"/>
        <v>45869</v>
      </c>
      <c r="AR469" s="167">
        <f t="shared" si="5460"/>
        <v>0</v>
      </c>
      <c r="AS469" s="163">
        <f t="shared" si="5461"/>
        <v>45870</v>
      </c>
      <c r="AT469" s="163">
        <f t="shared" si="5462"/>
        <v>45900</v>
      </c>
      <c r="AU469" s="167">
        <f t="shared" si="5463"/>
        <v>0</v>
      </c>
      <c r="AV469" s="163">
        <f t="shared" si="5464"/>
        <v>45901</v>
      </c>
      <c r="AW469" s="163">
        <f t="shared" si="5465"/>
        <v>45930</v>
      </c>
      <c r="AX469" s="167">
        <f t="shared" si="5466"/>
        <v>0</v>
      </c>
      <c r="AY469" s="163">
        <f t="shared" si="5467"/>
        <v>45931</v>
      </c>
      <c r="AZ469" s="163">
        <f t="shared" si="5468"/>
        <v>45961</v>
      </c>
      <c r="BA469" s="167">
        <f t="shared" si="5469"/>
        <v>0</v>
      </c>
      <c r="BB469" s="163">
        <f t="shared" si="5470"/>
        <v>45962</v>
      </c>
      <c r="BC469" s="163">
        <f t="shared" si="5471"/>
        <v>45991</v>
      </c>
      <c r="BD469" s="167">
        <f t="shared" si="5472"/>
        <v>0</v>
      </c>
      <c r="BE469" s="163">
        <f t="shared" si="5473"/>
        <v>45992</v>
      </c>
      <c r="BF469" s="163">
        <f t="shared" si="5474"/>
        <v>46022</v>
      </c>
      <c r="BG469" s="167">
        <f t="shared" si="5475"/>
        <v>0</v>
      </c>
      <c r="BH469" s="163">
        <v>46023</v>
      </c>
      <c r="BI469" s="163">
        <f t="shared" si="5476"/>
        <v>46053</v>
      </c>
      <c r="BJ469" s="167">
        <f t="shared" si="5477"/>
        <v>0</v>
      </c>
      <c r="BK469" s="163">
        <f t="shared" si="5478"/>
        <v>46054</v>
      </c>
      <c r="BL469" s="163">
        <f t="shared" si="5479"/>
        <v>46081</v>
      </c>
      <c r="BM469" s="167">
        <f t="shared" si="5480"/>
        <v>0</v>
      </c>
      <c r="BN469" s="163">
        <f t="shared" si="5481"/>
        <v>46082</v>
      </c>
      <c r="BO469" s="163">
        <f t="shared" si="5482"/>
        <v>46112</v>
      </c>
      <c r="BP469" s="167">
        <f t="shared" si="5483"/>
        <v>0</v>
      </c>
      <c r="BQ469" s="163">
        <f t="shared" si="5484"/>
        <v>46113</v>
      </c>
      <c r="BR469" s="163">
        <f t="shared" si="5485"/>
        <v>46142</v>
      </c>
      <c r="BS469" s="167">
        <f t="shared" si="5486"/>
        <v>0</v>
      </c>
      <c r="BT469" s="163">
        <f t="shared" si="5487"/>
        <v>46143</v>
      </c>
      <c r="BU469" s="163">
        <f t="shared" si="5488"/>
        <v>46173</v>
      </c>
      <c r="BV469" s="167">
        <f t="shared" si="5489"/>
        <v>0</v>
      </c>
      <c r="BW469" s="163">
        <f t="shared" si="5490"/>
        <v>46174</v>
      </c>
      <c r="BX469" s="163">
        <f t="shared" si="5491"/>
        <v>46203</v>
      </c>
      <c r="BY469" s="167">
        <f t="shared" si="5492"/>
        <v>0</v>
      </c>
      <c r="BZ469" s="163">
        <f t="shared" si="5493"/>
        <v>46204</v>
      </c>
      <c r="CA469" s="163">
        <f t="shared" si="5494"/>
        <v>46234</v>
      </c>
      <c r="CB469" s="167">
        <f t="shared" si="5495"/>
        <v>0</v>
      </c>
      <c r="CC469" s="163">
        <f t="shared" si="5496"/>
        <v>46235</v>
      </c>
      <c r="CD469" s="163">
        <f t="shared" si="5497"/>
        <v>46265</v>
      </c>
      <c r="CE469" s="167">
        <f t="shared" si="5498"/>
        <v>0</v>
      </c>
      <c r="CF469" s="163">
        <f t="shared" si="5499"/>
        <v>46266</v>
      </c>
      <c r="CG469" s="163">
        <f t="shared" si="5500"/>
        <v>46295</v>
      </c>
      <c r="CH469" s="167">
        <f t="shared" si="5501"/>
        <v>0</v>
      </c>
      <c r="CI469" s="163">
        <f t="shared" si="5502"/>
        <v>46296</v>
      </c>
      <c r="CJ469" s="163">
        <f t="shared" si="5503"/>
        <v>46326</v>
      </c>
      <c r="CK469" s="167">
        <f t="shared" si="5504"/>
        <v>0</v>
      </c>
      <c r="CL469" s="163">
        <f t="shared" si="5505"/>
        <v>46327</v>
      </c>
      <c r="CM469" s="163">
        <f t="shared" si="5506"/>
        <v>46356</v>
      </c>
      <c r="CN469" s="167">
        <f t="shared" si="5507"/>
        <v>0</v>
      </c>
      <c r="CO469" s="163">
        <f t="shared" si="5508"/>
        <v>46357</v>
      </c>
      <c r="CP469" s="163">
        <f t="shared" si="5509"/>
        <v>46387</v>
      </c>
      <c r="CQ469" s="167">
        <f t="shared" si="5510"/>
        <v>0</v>
      </c>
    </row>
    <row r="470" s="89" customFormat="1" ht="24" hidden="1" customHeight="1" outlineLevel="3" collapsed="1" spans="1:95">
      <c r="A470" s="128"/>
      <c r="B470" s="129"/>
      <c r="C470" s="130"/>
      <c r="D470" s="128"/>
      <c r="E470" s="129"/>
      <c r="F470" s="129"/>
      <c r="G470" s="129"/>
      <c r="H470" s="131"/>
      <c r="I470" s="131"/>
      <c r="J470" s="131">
        <f t="shared" si="5367"/>
        <v>0</v>
      </c>
      <c r="K470" s="131">
        <f t="shared" si="5511"/>
        <v>4</v>
      </c>
      <c r="L470" s="156"/>
      <c r="M470" s="157">
        <f>IFERROR(VLOOKUP($L470,'2-2 引出数据_合同数据仓库'!$B$5:$BP$200,3,FALSE),0)</f>
        <v>0</v>
      </c>
      <c r="N470" s="131"/>
      <c r="O470" s="157">
        <f>IFERROR(VLOOKUP((LEFT(VLOOKUP($L470,'2-2 引出数据_合同数据仓库'!$B$5:$BP$200,64,FALSE),15)&amp;(RIGHT(VLOOKUP($L470,'2-2 引出数据_合同数据仓库'!$B$5:$BP$200,64,FALSE),4)+1)),'2-2 引出数据_合同数据仓库'!$B$5:$BP$200,3,FALSE),0)</f>
        <v>0</v>
      </c>
      <c r="P470" s="131"/>
      <c r="Q470" s="131">
        <f>IFERROR(VLOOKUP($L470,'2-2 引出数据_合同数据仓库'!$B$5:$BP$200,28,FALSE),0)</f>
        <v>0</v>
      </c>
      <c r="R470" s="131">
        <f>IFERROR(VLOOKUP($L470,'2-2 引出数据_合同数据仓库'!$B$5:$BP$200,29,FALSE),0)</f>
        <v>0</v>
      </c>
      <c r="S470" s="131">
        <f>IFERROR(VLOOKUP($L470,'2-2 引出数据_合同数据仓库'!$B$5:$BP$200,4,FALSE),0)</f>
        <v>0</v>
      </c>
      <c r="T470" s="131"/>
      <c r="U470" s="131">
        <f>IFERROR(VLOOKUP($L470,'2-2 引出数据_合同数据仓库'!$B$5:$BP$200,15,FALSE),0)</f>
        <v>0</v>
      </c>
      <c r="V470" s="131">
        <f t="shared" si="5440"/>
        <v>0</v>
      </c>
      <c r="W470" s="131"/>
      <c r="X470" s="163">
        <v>45658</v>
      </c>
      <c r="Y470" s="163">
        <f t="shared" si="5441"/>
        <v>45688</v>
      </c>
      <c r="Z470" s="167">
        <f t="shared" si="5442"/>
        <v>0</v>
      </c>
      <c r="AA470" s="163">
        <f t="shared" si="5443"/>
        <v>45689</v>
      </c>
      <c r="AB470" s="163">
        <f t="shared" si="5444"/>
        <v>45716</v>
      </c>
      <c r="AC470" s="167">
        <f t="shared" si="5445"/>
        <v>0</v>
      </c>
      <c r="AD470" s="163">
        <f t="shared" si="5446"/>
        <v>45717</v>
      </c>
      <c r="AE470" s="163">
        <f t="shared" si="5447"/>
        <v>45747</v>
      </c>
      <c r="AF470" s="167">
        <f t="shared" si="5448"/>
        <v>0</v>
      </c>
      <c r="AG470" s="163">
        <f t="shared" si="5449"/>
        <v>45748</v>
      </c>
      <c r="AH470" s="163">
        <f t="shared" si="5450"/>
        <v>45777</v>
      </c>
      <c r="AI470" s="167">
        <f t="shared" si="5451"/>
        <v>0</v>
      </c>
      <c r="AJ470" s="163">
        <f t="shared" si="5452"/>
        <v>45778</v>
      </c>
      <c r="AK470" s="163">
        <f t="shared" si="5453"/>
        <v>45808</v>
      </c>
      <c r="AL470" s="167">
        <f t="shared" si="5454"/>
        <v>0</v>
      </c>
      <c r="AM470" s="163">
        <f t="shared" si="5455"/>
        <v>45809</v>
      </c>
      <c r="AN470" s="163">
        <f t="shared" si="5456"/>
        <v>45838</v>
      </c>
      <c r="AO470" s="167">
        <f t="shared" si="5457"/>
        <v>0</v>
      </c>
      <c r="AP470" s="163">
        <f t="shared" si="5458"/>
        <v>45839</v>
      </c>
      <c r="AQ470" s="163">
        <f t="shared" si="5459"/>
        <v>45869</v>
      </c>
      <c r="AR470" s="167">
        <f t="shared" si="5460"/>
        <v>0</v>
      </c>
      <c r="AS470" s="163">
        <f t="shared" si="5461"/>
        <v>45870</v>
      </c>
      <c r="AT470" s="163">
        <f t="shared" si="5462"/>
        <v>45900</v>
      </c>
      <c r="AU470" s="167">
        <f t="shared" si="5463"/>
        <v>0</v>
      </c>
      <c r="AV470" s="163">
        <f t="shared" si="5464"/>
        <v>45901</v>
      </c>
      <c r="AW470" s="163">
        <f t="shared" si="5465"/>
        <v>45930</v>
      </c>
      <c r="AX470" s="167">
        <f t="shared" si="5466"/>
        <v>0</v>
      </c>
      <c r="AY470" s="163">
        <f t="shared" si="5467"/>
        <v>45931</v>
      </c>
      <c r="AZ470" s="163">
        <f t="shared" si="5468"/>
        <v>45961</v>
      </c>
      <c r="BA470" s="167">
        <f t="shared" si="5469"/>
        <v>0</v>
      </c>
      <c r="BB470" s="163">
        <f t="shared" si="5470"/>
        <v>45962</v>
      </c>
      <c r="BC470" s="163">
        <f t="shared" si="5471"/>
        <v>45991</v>
      </c>
      <c r="BD470" s="167">
        <f t="shared" si="5472"/>
        <v>0</v>
      </c>
      <c r="BE470" s="163">
        <f t="shared" si="5473"/>
        <v>45992</v>
      </c>
      <c r="BF470" s="163">
        <f t="shared" si="5474"/>
        <v>46022</v>
      </c>
      <c r="BG470" s="167">
        <f t="shared" si="5475"/>
        <v>0</v>
      </c>
      <c r="BH470" s="163">
        <v>46023</v>
      </c>
      <c r="BI470" s="163">
        <f t="shared" si="5476"/>
        <v>46053</v>
      </c>
      <c r="BJ470" s="167">
        <f t="shared" si="5477"/>
        <v>0</v>
      </c>
      <c r="BK470" s="163">
        <f t="shared" si="5478"/>
        <v>46054</v>
      </c>
      <c r="BL470" s="163">
        <f t="shared" si="5479"/>
        <v>46081</v>
      </c>
      <c r="BM470" s="167">
        <f t="shared" si="5480"/>
        <v>0</v>
      </c>
      <c r="BN470" s="163">
        <f t="shared" si="5481"/>
        <v>46082</v>
      </c>
      <c r="BO470" s="163">
        <f t="shared" si="5482"/>
        <v>46112</v>
      </c>
      <c r="BP470" s="167">
        <f t="shared" si="5483"/>
        <v>0</v>
      </c>
      <c r="BQ470" s="163">
        <f t="shared" si="5484"/>
        <v>46113</v>
      </c>
      <c r="BR470" s="163">
        <f t="shared" si="5485"/>
        <v>46142</v>
      </c>
      <c r="BS470" s="167">
        <f t="shared" si="5486"/>
        <v>0</v>
      </c>
      <c r="BT470" s="163">
        <f t="shared" si="5487"/>
        <v>46143</v>
      </c>
      <c r="BU470" s="163">
        <f t="shared" si="5488"/>
        <v>46173</v>
      </c>
      <c r="BV470" s="167">
        <f t="shared" si="5489"/>
        <v>0</v>
      </c>
      <c r="BW470" s="163">
        <f t="shared" si="5490"/>
        <v>46174</v>
      </c>
      <c r="BX470" s="163">
        <f t="shared" si="5491"/>
        <v>46203</v>
      </c>
      <c r="BY470" s="167">
        <f t="shared" si="5492"/>
        <v>0</v>
      </c>
      <c r="BZ470" s="163">
        <f t="shared" si="5493"/>
        <v>46204</v>
      </c>
      <c r="CA470" s="163">
        <f t="shared" si="5494"/>
        <v>46234</v>
      </c>
      <c r="CB470" s="167">
        <f t="shared" si="5495"/>
        <v>0</v>
      </c>
      <c r="CC470" s="163">
        <f t="shared" si="5496"/>
        <v>46235</v>
      </c>
      <c r="CD470" s="163">
        <f t="shared" si="5497"/>
        <v>46265</v>
      </c>
      <c r="CE470" s="167">
        <f t="shared" si="5498"/>
        <v>0</v>
      </c>
      <c r="CF470" s="163">
        <f t="shared" si="5499"/>
        <v>46266</v>
      </c>
      <c r="CG470" s="163">
        <f t="shared" si="5500"/>
        <v>46295</v>
      </c>
      <c r="CH470" s="167">
        <f t="shared" si="5501"/>
        <v>0</v>
      </c>
      <c r="CI470" s="163">
        <f t="shared" si="5502"/>
        <v>46296</v>
      </c>
      <c r="CJ470" s="163">
        <f t="shared" si="5503"/>
        <v>46326</v>
      </c>
      <c r="CK470" s="167">
        <f t="shared" si="5504"/>
        <v>0</v>
      </c>
      <c r="CL470" s="163">
        <f t="shared" si="5505"/>
        <v>46327</v>
      </c>
      <c r="CM470" s="163">
        <f t="shared" si="5506"/>
        <v>46356</v>
      </c>
      <c r="CN470" s="167">
        <f t="shared" si="5507"/>
        <v>0</v>
      </c>
      <c r="CO470" s="163">
        <f t="shared" si="5508"/>
        <v>46357</v>
      </c>
      <c r="CP470" s="163">
        <f t="shared" si="5509"/>
        <v>46387</v>
      </c>
      <c r="CQ470" s="167">
        <f t="shared" si="5510"/>
        <v>0</v>
      </c>
    </row>
    <row r="471" s="89" customFormat="1" ht="24" hidden="1" customHeight="1" outlineLevel="4" spans="1:95">
      <c r="A471" s="132" t="s">
        <v>2813</v>
      </c>
      <c r="B471" s="133"/>
      <c r="C471" s="133"/>
      <c r="D471" s="133"/>
      <c r="E471" s="133"/>
      <c r="F471" s="133"/>
      <c r="G471" s="134"/>
      <c r="H471" s="135"/>
      <c r="I471" s="135"/>
      <c r="J471" s="135"/>
      <c r="K471" s="135"/>
      <c r="L471" s="158"/>
      <c r="M471" s="158"/>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c r="CL471" s="135"/>
      <c r="CM471" s="135"/>
      <c r="CN471" s="135"/>
      <c r="CO471" s="135"/>
      <c r="CP471" s="135"/>
      <c r="CQ471" s="135"/>
    </row>
    <row r="472" ht="24" customHeight="1" outlineLevel="2" collapsed="1" spans="1:95">
      <c r="A472" s="43"/>
      <c r="B472" s="121" t="s">
        <v>792</v>
      </c>
      <c r="C472" s="122" t="s">
        <v>1568</v>
      </c>
      <c r="D472" s="43" t="s">
        <v>1569</v>
      </c>
      <c r="E472" s="121" t="s">
        <v>1570</v>
      </c>
      <c r="F472" s="121"/>
      <c r="G472" s="121" t="s">
        <v>936</v>
      </c>
      <c r="H472" s="123">
        <f>X472+AA472+AD472+AG472+AJ472+AM472+AP472+AS472+AV472+AY472+BB472+BE472</f>
        <v>0</v>
      </c>
      <c r="I472" s="123">
        <f>Y472+AB472+AE472+AH472+AK472+AN472+AQ472+AT472+AW472+AZ472+BC472+BF472</f>
        <v>0</v>
      </c>
      <c r="J472" s="123">
        <f t="shared" si="5367"/>
        <v>0</v>
      </c>
      <c r="K472" s="123"/>
      <c r="L472" s="154"/>
      <c r="M472" s="154"/>
      <c r="N472" s="123"/>
      <c r="O472" s="123"/>
      <c r="P472" s="123"/>
      <c r="Q472" s="123"/>
      <c r="R472" s="123"/>
      <c r="S472" s="123"/>
      <c r="T472" s="123"/>
      <c r="U472" s="123"/>
      <c r="V472" s="123"/>
      <c r="W472" s="123"/>
      <c r="X472" s="123">
        <f>VLOOKUP($C472,'1 预算编制表单'!$C:$BJ,27,FALSE)</f>
        <v>0</v>
      </c>
      <c r="Y472" s="123">
        <f>X472-Z472</f>
        <v>0</v>
      </c>
      <c r="Z472" s="123">
        <f>SUM(Z473:Z477)</f>
        <v>0</v>
      </c>
      <c r="AA472" s="123">
        <f>VLOOKUP($C472,'1 预算编制表单'!$C:$BJ,30,FALSE)</f>
        <v>0</v>
      </c>
      <c r="AB472" s="123">
        <f>AA472-AC472</f>
        <v>0</v>
      </c>
      <c r="AC472" s="123">
        <f>SUM(AC473:AC477)</f>
        <v>0</v>
      </c>
      <c r="AD472" s="123">
        <f>VLOOKUP($C472,'1 预算编制表单'!$C:$BJ,33,FALSE)</f>
        <v>0</v>
      </c>
      <c r="AE472" s="123">
        <f>AD472-AF472</f>
        <v>0</v>
      </c>
      <c r="AF472" s="123">
        <f>SUM(AF473:AF477)</f>
        <v>0</v>
      </c>
      <c r="AG472" s="123">
        <f>VLOOKUP($C472,'1 预算编制表单'!$C:$BJ,36,FALSE)</f>
        <v>0</v>
      </c>
      <c r="AH472" s="123">
        <f>AG472-AI472</f>
        <v>0</v>
      </c>
      <c r="AI472" s="123">
        <f>SUM(AI473:AI477)</f>
        <v>0</v>
      </c>
      <c r="AJ472" s="123">
        <f>VLOOKUP($C472,'1 预算编制表单'!$C:$BJ,39,FALSE)</f>
        <v>0</v>
      </c>
      <c r="AK472" s="123">
        <f>AJ472-AL472</f>
        <v>0</v>
      </c>
      <c r="AL472" s="123">
        <f>SUM(AL473:AL477)</f>
        <v>0</v>
      </c>
      <c r="AM472" s="123">
        <f>VLOOKUP($C472,'1 预算编制表单'!$C:$BJ,42,FALSE)</f>
        <v>0</v>
      </c>
      <c r="AN472" s="123">
        <f>AM472-AO472</f>
        <v>0</v>
      </c>
      <c r="AO472" s="123">
        <f>SUM(AO473:AO477)</f>
        <v>0</v>
      </c>
      <c r="AP472" s="123">
        <f>VLOOKUP($C472,'1 预算编制表单'!$C:$BJ,45,FALSE)</f>
        <v>0</v>
      </c>
      <c r="AQ472" s="123">
        <f>AP472-AR472</f>
        <v>0</v>
      </c>
      <c r="AR472" s="123">
        <f>SUM(AR473:AR477)</f>
        <v>0</v>
      </c>
      <c r="AS472" s="123">
        <f>VLOOKUP($C472,'1 预算编制表单'!$C:$BJ,48,FALSE)</f>
        <v>0</v>
      </c>
      <c r="AT472" s="123">
        <f>AS472-AU472</f>
        <v>0</v>
      </c>
      <c r="AU472" s="123">
        <f>SUM(AU473:AU477)</f>
        <v>0</v>
      </c>
      <c r="AV472" s="123">
        <f>VLOOKUP($C472,'1 预算编制表单'!$C:$BJ,51,FALSE)</f>
        <v>0</v>
      </c>
      <c r="AW472" s="123">
        <f>AV472-AX472</f>
        <v>0</v>
      </c>
      <c r="AX472" s="123">
        <f>SUM(AX473:AX477)</f>
        <v>0</v>
      </c>
      <c r="AY472" s="123">
        <f>VLOOKUP($C472,'1 预算编制表单'!$C:$BJ,54,FALSE)</f>
        <v>0</v>
      </c>
      <c r="AZ472" s="123">
        <f>AY472-BA472</f>
        <v>0</v>
      </c>
      <c r="BA472" s="123">
        <f>SUM(BA473:BA477)</f>
        <v>0</v>
      </c>
      <c r="BB472" s="123">
        <f>VLOOKUP($C472,'1 预算编制表单'!$C:$BJ,57,FALSE)</f>
        <v>0</v>
      </c>
      <c r="BC472" s="123">
        <f>BB472-BD472</f>
        <v>0</v>
      </c>
      <c r="BD472" s="123">
        <f>SUM(BD473:BD477)</f>
        <v>0</v>
      </c>
      <c r="BE472" s="123">
        <f>VLOOKUP($C472,'1 预算编制表单'!$C:$BJ,60,FALSE)</f>
        <v>0</v>
      </c>
      <c r="BF472" s="123">
        <f>BE472-BG472</f>
        <v>0</v>
      </c>
      <c r="BG472" s="123">
        <f>SUM(BG473:BG477)</f>
        <v>0</v>
      </c>
      <c r="BH472" s="123">
        <f>VLOOKUP($C472,'1 预算编制表单'!$C:$BJ,27,FALSE)</f>
        <v>0</v>
      </c>
      <c r="BI472" s="123">
        <f>BH472-BJ472</f>
        <v>0</v>
      </c>
      <c r="BJ472" s="123">
        <f>SUM(BJ473:BJ477)</f>
        <v>0</v>
      </c>
      <c r="BK472" s="123">
        <f>VLOOKUP($C472,'1 预算编制表单'!$C:$BJ,30,FALSE)</f>
        <v>0</v>
      </c>
      <c r="BL472" s="123">
        <f>BK472-BM472</f>
        <v>0</v>
      </c>
      <c r="BM472" s="123">
        <f>SUM(BM473:BM477)</f>
        <v>0</v>
      </c>
      <c r="BN472" s="123">
        <f>VLOOKUP($C472,'1 预算编制表单'!$C:$BJ,33,FALSE)</f>
        <v>0</v>
      </c>
      <c r="BO472" s="123">
        <f>BN472-BP472</f>
        <v>0</v>
      </c>
      <c r="BP472" s="123">
        <f>SUM(BP473:BP477)</f>
        <v>0</v>
      </c>
      <c r="BQ472" s="123">
        <f>VLOOKUP($C472,'1 预算编制表单'!$C:$BJ,36,FALSE)</f>
        <v>0</v>
      </c>
      <c r="BR472" s="123">
        <f>BQ472-BS472</f>
        <v>0</v>
      </c>
      <c r="BS472" s="123">
        <f>SUM(BS473:BS477)</f>
        <v>0</v>
      </c>
      <c r="BT472" s="123">
        <f>VLOOKUP($C472,'1 预算编制表单'!$C:$BJ,39,FALSE)</f>
        <v>0</v>
      </c>
      <c r="BU472" s="123">
        <f>BT472-BV472</f>
        <v>0</v>
      </c>
      <c r="BV472" s="123">
        <f>SUM(BV473:BV477)</f>
        <v>0</v>
      </c>
      <c r="BW472" s="123">
        <f>VLOOKUP($C472,'1 预算编制表单'!$C:$BJ,42,FALSE)</f>
        <v>0</v>
      </c>
      <c r="BX472" s="123">
        <f>BW472-BY472</f>
        <v>0</v>
      </c>
      <c r="BY472" s="123">
        <f>SUM(BY473:BY477)</f>
        <v>0</v>
      </c>
      <c r="BZ472" s="123">
        <f>VLOOKUP($C472,'1 预算编制表单'!$C:$BJ,45,FALSE)</f>
        <v>0</v>
      </c>
      <c r="CA472" s="123">
        <f>BZ472-CB472</f>
        <v>0</v>
      </c>
      <c r="CB472" s="123">
        <f>SUM(CB473:CB477)</f>
        <v>0</v>
      </c>
      <c r="CC472" s="123">
        <f>VLOOKUP($C472,'1 预算编制表单'!$C:$BJ,48,FALSE)</f>
        <v>0</v>
      </c>
      <c r="CD472" s="123">
        <f>CC472-CE472</f>
        <v>0</v>
      </c>
      <c r="CE472" s="123">
        <f>SUM(CE473:CE477)</f>
        <v>0</v>
      </c>
      <c r="CF472" s="123">
        <f>VLOOKUP($C472,'1 预算编制表单'!$C:$BJ,51,FALSE)</f>
        <v>0</v>
      </c>
      <c r="CG472" s="123">
        <f>CF472-CH472</f>
        <v>0</v>
      </c>
      <c r="CH472" s="123">
        <f>SUM(CH473:CH477)</f>
        <v>0</v>
      </c>
      <c r="CI472" s="123">
        <f>VLOOKUP($C472,'1 预算编制表单'!$C:$BJ,54,FALSE)</f>
        <v>0</v>
      </c>
      <c r="CJ472" s="123">
        <f>CI472-CK472</f>
        <v>0</v>
      </c>
      <c r="CK472" s="123">
        <f>SUM(CK473:CK477)</f>
        <v>0</v>
      </c>
      <c r="CL472" s="123">
        <f>VLOOKUP($C472,'1 预算编制表单'!$C:$BJ,57,FALSE)</f>
        <v>0</v>
      </c>
      <c r="CM472" s="123">
        <f>CL472-CN472</f>
        <v>0</v>
      </c>
      <c r="CN472" s="123">
        <f>SUM(CN473:CN477)</f>
        <v>0</v>
      </c>
      <c r="CO472" s="123">
        <f>VLOOKUP($C472,'1 预算编制表单'!$C:$BJ,60,FALSE)</f>
        <v>0</v>
      </c>
      <c r="CP472" s="123">
        <f>CO472-CQ472</f>
        <v>0</v>
      </c>
      <c r="CQ472" s="123">
        <f>SUM(CQ473:CQ477)</f>
        <v>0</v>
      </c>
    </row>
    <row r="473" s="89" customFormat="1" ht="24" hidden="1" customHeight="1" outlineLevel="3" spans="1:95">
      <c r="A473" s="128"/>
      <c r="B473" s="129"/>
      <c r="C473" s="130"/>
      <c r="D473" s="128"/>
      <c r="E473" s="129"/>
      <c r="F473" s="129"/>
      <c r="G473" s="129"/>
      <c r="H473" s="131"/>
      <c r="I473" s="131"/>
      <c r="J473" s="131">
        <f t="shared" si="5367"/>
        <v>0</v>
      </c>
      <c r="K473" s="131">
        <v>1</v>
      </c>
      <c r="L473" s="156"/>
      <c r="M473" s="157">
        <f>IFERROR(VLOOKUP($L473,'2-2 引出数据_合同数据仓库'!$B$5:$BP$200,3,FALSE),0)</f>
        <v>0</v>
      </c>
      <c r="N473" s="131"/>
      <c r="O473" s="157">
        <f>IFERROR(VLOOKUP((LEFT(VLOOKUP($L473,'2-2 引出数据_合同数据仓库'!$B$5:$BP$200,64,FALSE),15)&amp;(RIGHT(VLOOKUP($L473,'2-2 引出数据_合同数据仓库'!$B$5:$BP$200,64,FALSE),4)+1)),'2-2 引出数据_合同数据仓库'!$B$5:$BP$200,3,FALSE),0)</f>
        <v>0</v>
      </c>
      <c r="P473" s="131"/>
      <c r="Q473" s="131">
        <f>IFERROR(VLOOKUP($L473,'2-2 引出数据_合同数据仓库'!$B$5:$BP$200,28,FALSE),0)</f>
        <v>0</v>
      </c>
      <c r="R473" s="131">
        <f>IFERROR(VLOOKUP($L473,'2-2 引出数据_合同数据仓库'!$B$5:$BP$200,29,FALSE),0)</f>
        <v>0</v>
      </c>
      <c r="S473" s="131">
        <f>IFERROR(VLOOKUP($L473,'2-2 引出数据_合同数据仓库'!$B$5:$BP$200,4,FALSE),0)</f>
        <v>0</v>
      </c>
      <c r="T473" s="131"/>
      <c r="U473" s="131">
        <f>IFERROR(VLOOKUP($L473,'2-2 引出数据_合同数据仓库'!$B$5:$BP$200,15,FALSE),0)</f>
        <v>0</v>
      </c>
      <c r="V473" s="131">
        <f t="shared" ref="V473:V476" si="5512">U473/(S473-R473+1)*365</f>
        <v>0</v>
      </c>
      <c r="W473" s="131"/>
      <c r="X473" s="163">
        <v>45658</v>
      </c>
      <c r="Y473" s="163">
        <f t="shared" ref="Y473:Y476" si="5513">X473+30</f>
        <v>45688</v>
      </c>
      <c r="Z473" s="167">
        <f t="shared" ref="Z473:Z476" si="5514">IFERROR(IF(($R473-Y473)&gt;=0,0,IF(($S473-X473)&lt;0,0,IF(AND(($S473-Y473)&gt;0,(X473-$R473)&gt;0),$V473/365*(Y473-X473+1),IF(AND(($S473-Y473)&lt;=0,(X473-$R473)&gt;0),$V473/365*($S473-X473+1),$V473/365*(Y473-$R473+1))))),0)</f>
        <v>0</v>
      </c>
      <c r="AA473" s="163">
        <f t="shared" ref="AA473:AA476" si="5515">Y473+1</f>
        <v>45689</v>
      </c>
      <c r="AB473" s="163">
        <f t="shared" ref="AB473:AB476" si="5516">AA473+27</f>
        <v>45716</v>
      </c>
      <c r="AC473" s="167">
        <f t="shared" ref="AC473:AC476" si="5517">IFERROR(IF(($R473-AB473)&gt;=0,0,IF(($S473-AA473)&lt;0,0,IF(AND(($S473-AB473)&gt;0,(AA473-$R473)&gt;0),$V473/365*(AB473-AA473+1),IF(AND(($S473-AB473)&lt;=0,(AA473-$R473)&gt;0),$V473/365*($S473-AA473+1),$V473/365*(AB473-$R473+1))))),0)</f>
        <v>0</v>
      </c>
      <c r="AD473" s="163">
        <f t="shared" ref="AD473:AD476" si="5518">AB473+1</f>
        <v>45717</v>
      </c>
      <c r="AE473" s="163">
        <f t="shared" ref="AE473:AE476" si="5519">AD473+30</f>
        <v>45747</v>
      </c>
      <c r="AF473" s="167">
        <f t="shared" ref="AF473:AF476" si="5520">IFERROR(IF(($R473-AE473)&gt;=0,0,IF(($S473-AD473)&lt;0,0,IF(AND(($S473-AE473)&gt;0,(AD473-$R473)&gt;0),$V473/365*(AE473-AD473+1),IF(AND(($S473-AE473)&lt;=0,(AD473-$R473)&gt;0),$V473/365*($S473-AD473+1),$V473/365*(AE473-$R473+1))))),0)</f>
        <v>0</v>
      </c>
      <c r="AG473" s="163">
        <f t="shared" ref="AG473:AG476" si="5521">AE473+1</f>
        <v>45748</v>
      </c>
      <c r="AH473" s="163">
        <f t="shared" ref="AH473:AH476" si="5522">AG473+29</f>
        <v>45777</v>
      </c>
      <c r="AI473" s="167">
        <f t="shared" ref="AI473:AI476" si="5523">IFERROR(IF(($R473-AH473)&gt;=0,0,IF(($S473-AG473)&lt;0,0,IF(AND(($S473-AH473)&gt;0,(AG473-$R473)&gt;0),$V473/365*(AH473-AG473+1),IF(AND(($S473-AH473)&lt;=0,(AG473-$R473)&gt;0),$V473/365*($S473-AG473+1),$V473/365*(AH473-$R473+1))))),0)</f>
        <v>0</v>
      </c>
      <c r="AJ473" s="163">
        <f t="shared" ref="AJ473:AJ476" si="5524">AH473+1</f>
        <v>45778</v>
      </c>
      <c r="AK473" s="163">
        <f t="shared" ref="AK473:AK476" si="5525">AJ473+30</f>
        <v>45808</v>
      </c>
      <c r="AL473" s="167">
        <f t="shared" ref="AL473:AL476" si="5526">IFERROR(IF(($R473-AK473)&gt;=0,0,IF(($S473-AJ473)&lt;0,0,IF(AND(($S473-AK473)&gt;0,(AJ473-$R473)&gt;0),$V473/365*(AK473-AJ473+1),IF(AND(($S473-AK473)&lt;=0,(AJ473-$R473)&gt;0),$V473/365*($S473-AJ473+1),$V473/365*(AK473-$R473+1))))),0)</f>
        <v>0</v>
      </c>
      <c r="AM473" s="163">
        <f t="shared" ref="AM473:AM476" si="5527">AK473+1</f>
        <v>45809</v>
      </c>
      <c r="AN473" s="163">
        <f t="shared" ref="AN473:AN476" si="5528">AM473+29</f>
        <v>45838</v>
      </c>
      <c r="AO473" s="167">
        <f t="shared" ref="AO473:AO476" si="5529">IFERROR(IF(($R473-AN473)&gt;=0,0,IF(($S473-AM473)&lt;0,0,IF(AND(($S473-AN473)&gt;0,(AM473-$R473)&gt;0),$V473/365*(AN473-AM473+1),IF(AND(($S473-AN473)&lt;=0,(AM473-$R473)&gt;0),$V473/365*($S473-AM473+1),$V473/365*(AN473-$R473+1))))),0)</f>
        <v>0</v>
      </c>
      <c r="AP473" s="163">
        <f t="shared" ref="AP473:AP476" si="5530">AN473+1</f>
        <v>45839</v>
      </c>
      <c r="AQ473" s="163">
        <f t="shared" ref="AQ473:AQ476" si="5531">AP473+30</f>
        <v>45869</v>
      </c>
      <c r="AR473" s="167">
        <f t="shared" ref="AR473:AR476" si="5532">IFERROR(IF(($R473-AQ473)&gt;=0,0,IF(($S473-AP473)&lt;0,0,IF(AND(($S473-AQ473)&gt;0,(AP473-$R473)&gt;0),$V473/365*(AQ473-AP473+1),IF(AND(($S473-AQ473)&lt;=0,(AP473-$R473)&gt;0),$V473/365*($S473-AP473+1),$V473/365*(AQ473-$R473+1))))),0)</f>
        <v>0</v>
      </c>
      <c r="AS473" s="163">
        <f t="shared" ref="AS473:AS476" si="5533">AQ473+1</f>
        <v>45870</v>
      </c>
      <c r="AT473" s="163">
        <f t="shared" ref="AT473:AT476" si="5534">AS473+30</f>
        <v>45900</v>
      </c>
      <c r="AU473" s="167">
        <f t="shared" ref="AU473:AU476" si="5535">IFERROR(IF(($R473-AT473)&gt;=0,0,IF(($S473-AS473)&lt;0,0,IF(AND(($S473-AT473)&gt;0,(AS473-$R473)&gt;0),$V473/365*(AT473-AS473+1),IF(AND(($S473-AT473)&lt;=0,(AS473-$R473)&gt;0),$V473/365*($S473-AS473+1),$V473/365*(AT473-$R473+1))))),0)</f>
        <v>0</v>
      </c>
      <c r="AV473" s="163">
        <f t="shared" ref="AV473:AV476" si="5536">AT473+1</f>
        <v>45901</v>
      </c>
      <c r="AW473" s="163">
        <f t="shared" ref="AW473:AW476" si="5537">AV473+29</f>
        <v>45930</v>
      </c>
      <c r="AX473" s="167">
        <f t="shared" ref="AX473:AX476" si="5538">IFERROR(IF(($R473-AW473)&gt;=0,0,IF(($S473-AV473)&lt;0,0,IF(AND(($S473-AW473)&gt;0,(AV473-$R473)&gt;0),$V473/365*(AW473-AV473+1),IF(AND(($S473-AW473)&lt;=0,(AV473-$R473)&gt;0),$V473/365*($S473-AV473+1),$V473/365*(AW473-$R473+1))))),0)</f>
        <v>0</v>
      </c>
      <c r="AY473" s="163">
        <f t="shared" ref="AY473:AY476" si="5539">AW473+1</f>
        <v>45931</v>
      </c>
      <c r="AZ473" s="163">
        <f t="shared" ref="AZ473:AZ476" si="5540">AY473+30</f>
        <v>45961</v>
      </c>
      <c r="BA473" s="167">
        <f t="shared" ref="BA473:BA476" si="5541">IFERROR(IF(($R473-AZ473)&gt;=0,0,IF(($S473-AY473)&lt;0,0,IF(AND(($S473-AZ473)&gt;0,(AY473-$R473)&gt;0),$V473/365*(AZ473-AY473+1),IF(AND(($S473-AZ473)&lt;=0,(AY473-$R473)&gt;0),$V473/365*($S473-AY473+1),$V473/365*(AZ473-$R473+1))))),0)</f>
        <v>0</v>
      </c>
      <c r="BB473" s="163">
        <f t="shared" ref="BB473:BB476" si="5542">AZ473+1</f>
        <v>45962</v>
      </c>
      <c r="BC473" s="163">
        <f t="shared" ref="BC473:BC476" si="5543">BB473+29</f>
        <v>45991</v>
      </c>
      <c r="BD473" s="167">
        <f t="shared" ref="BD473:BD476" si="5544">IFERROR(IF(($R473-BC473)&gt;=0,0,IF(($S473-BB473)&lt;0,0,IF(AND(($S473-BC473)&gt;0,(BB473-$R473)&gt;0),$V473/365*(BC473-BB473+1),IF(AND(($S473-BC473)&lt;=0,(BB473-$R473)&gt;0),$V473/365*($S473-BB473+1),$V473/365*(BC473-$R473+1))))),0)</f>
        <v>0</v>
      </c>
      <c r="BE473" s="163">
        <f t="shared" ref="BE473:BE476" si="5545">BC473+1</f>
        <v>45992</v>
      </c>
      <c r="BF473" s="163">
        <f t="shared" ref="BF473:BF476" si="5546">BE473+30</f>
        <v>46022</v>
      </c>
      <c r="BG473" s="167">
        <f t="shared" ref="BG473:BG476" si="5547">IFERROR(IF(($R473-BF473)&gt;=0,0,IF(($S473-BE473)&lt;0,0,IF(AND(($S473-BF473)&gt;0,(BE473-$R473)&gt;0),$V473/365*(BF473-BE473+1),IF(AND(($S473-BF473)&lt;=0,(BE473-$R473)&gt;0),$V473/365*($S473-BE473+1),$V473/365*(BF473-$R473+1))))),0)</f>
        <v>0</v>
      </c>
      <c r="BH473" s="163">
        <v>46023</v>
      </c>
      <c r="BI473" s="163">
        <f t="shared" ref="BI473:BI476" si="5548">BH473+30</f>
        <v>46053</v>
      </c>
      <c r="BJ473" s="167">
        <f t="shared" ref="BJ473:BJ476" si="5549">IFERROR(IF(($R473-BI473)&gt;=0,0,IF(($S473-BH473)&lt;0,0,IF(AND(($S473-BI473)&gt;0,(BH473-$R473)&gt;0),$V473/365*(BI473-BH473+1),IF(AND(($S473-BI473)&lt;=0,(BH473-$R473)&gt;0),$V473/365*($S473-BH473+1),$V473/365*(BI473-$R473+1))))),0)</f>
        <v>0</v>
      </c>
      <c r="BK473" s="163">
        <f t="shared" ref="BK473:BK476" si="5550">BI473+1</f>
        <v>46054</v>
      </c>
      <c r="BL473" s="163">
        <f t="shared" ref="BL473:BL476" si="5551">BK473+27</f>
        <v>46081</v>
      </c>
      <c r="BM473" s="167">
        <f t="shared" ref="BM473:BM476" si="5552">IFERROR(IF(($R473-BL473)&gt;=0,0,IF(($S473-BK473)&lt;0,0,IF(AND(($S473-BL473)&gt;0,(BK473-$R473)&gt;0),$V473/365*(BL473-BK473+1),IF(AND(($S473-BL473)&lt;=0,(BK473-$R473)&gt;0),$V473/365*($S473-BK473+1),$V473/365*(BL473-$R473+1))))),0)</f>
        <v>0</v>
      </c>
      <c r="BN473" s="163">
        <f t="shared" ref="BN473:BN476" si="5553">BL473+1</f>
        <v>46082</v>
      </c>
      <c r="BO473" s="163">
        <f t="shared" ref="BO473:BO476" si="5554">BN473+30</f>
        <v>46112</v>
      </c>
      <c r="BP473" s="167">
        <f t="shared" ref="BP473:BP476" si="5555">IFERROR(IF(($R473-BO473)&gt;=0,0,IF(($S473-BN473)&lt;0,0,IF(AND(($S473-BO473)&gt;0,(BN473-$R473)&gt;0),$V473/365*(BO473-BN473+1),IF(AND(($S473-BO473)&lt;=0,(BN473-$R473)&gt;0),$V473/365*($S473-BN473+1),$V473/365*(BO473-$R473+1))))),0)</f>
        <v>0</v>
      </c>
      <c r="BQ473" s="163">
        <f t="shared" ref="BQ473:BQ476" si="5556">BO473+1</f>
        <v>46113</v>
      </c>
      <c r="BR473" s="163">
        <f t="shared" ref="BR473:BR476" si="5557">BQ473+29</f>
        <v>46142</v>
      </c>
      <c r="BS473" s="167">
        <f t="shared" ref="BS473:BS476" si="5558">IFERROR(IF(($R473-BR473)&gt;=0,0,IF(($S473-BQ473)&lt;0,0,IF(AND(($S473-BR473)&gt;0,(BQ473-$R473)&gt;0),$V473/365*(BR473-BQ473+1),IF(AND(($S473-BR473)&lt;=0,(BQ473-$R473)&gt;0),$V473/365*($S473-BQ473+1),$V473/365*(BR473-$R473+1))))),0)</f>
        <v>0</v>
      </c>
      <c r="BT473" s="163">
        <f t="shared" ref="BT473:BT476" si="5559">BR473+1</f>
        <v>46143</v>
      </c>
      <c r="BU473" s="163">
        <f t="shared" ref="BU473:BU476" si="5560">BT473+30</f>
        <v>46173</v>
      </c>
      <c r="BV473" s="167">
        <f t="shared" ref="BV473:BV476" si="5561">IFERROR(IF(($R473-BU473)&gt;=0,0,IF(($S473-BT473)&lt;0,0,IF(AND(($S473-BU473)&gt;0,(BT473-$R473)&gt;0),$V473/365*(BU473-BT473+1),IF(AND(($S473-BU473)&lt;=0,(BT473-$R473)&gt;0),$V473/365*($S473-BT473+1),$V473/365*(BU473-$R473+1))))),0)</f>
        <v>0</v>
      </c>
      <c r="BW473" s="163">
        <f t="shared" ref="BW473:BW476" si="5562">BU473+1</f>
        <v>46174</v>
      </c>
      <c r="BX473" s="163">
        <f t="shared" ref="BX473:BX476" si="5563">BW473+29</f>
        <v>46203</v>
      </c>
      <c r="BY473" s="167">
        <f t="shared" ref="BY473:BY476" si="5564">IFERROR(IF(($R473-BX473)&gt;=0,0,IF(($S473-BW473)&lt;0,0,IF(AND(($S473-BX473)&gt;0,(BW473-$R473)&gt;0),$V473/365*(BX473-BW473+1),IF(AND(($S473-BX473)&lt;=0,(BW473-$R473)&gt;0),$V473/365*($S473-BW473+1),$V473/365*(BX473-$R473+1))))),0)</f>
        <v>0</v>
      </c>
      <c r="BZ473" s="163">
        <f t="shared" ref="BZ473:BZ476" si="5565">BX473+1</f>
        <v>46204</v>
      </c>
      <c r="CA473" s="163">
        <f t="shared" ref="CA473:CA476" si="5566">BZ473+30</f>
        <v>46234</v>
      </c>
      <c r="CB473" s="167">
        <f t="shared" ref="CB473:CB476" si="5567">IFERROR(IF(($R473-CA473)&gt;=0,0,IF(($S473-BZ473)&lt;0,0,IF(AND(($S473-CA473)&gt;0,(BZ473-$R473)&gt;0),$V473/365*(CA473-BZ473+1),IF(AND(($S473-CA473)&lt;=0,(BZ473-$R473)&gt;0),$V473/365*($S473-BZ473+1),$V473/365*(CA473-$R473+1))))),0)</f>
        <v>0</v>
      </c>
      <c r="CC473" s="163">
        <f t="shared" ref="CC473:CC476" si="5568">CA473+1</f>
        <v>46235</v>
      </c>
      <c r="CD473" s="163">
        <f t="shared" ref="CD473:CD476" si="5569">CC473+30</f>
        <v>46265</v>
      </c>
      <c r="CE473" s="167">
        <f t="shared" ref="CE473:CE476" si="5570">IFERROR(IF(($R473-CD473)&gt;=0,0,IF(($S473-CC473)&lt;0,0,IF(AND(($S473-CD473)&gt;0,(CC473-$R473)&gt;0),$V473/365*(CD473-CC473+1),IF(AND(($S473-CD473)&lt;=0,(CC473-$R473)&gt;0),$V473/365*($S473-CC473+1),$V473/365*(CD473-$R473+1))))),0)</f>
        <v>0</v>
      </c>
      <c r="CF473" s="163">
        <f t="shared" ref="CF473:CF476" si="5571">CD473+1</f>
        <v>46266</v>
      </c>
      <c r="CG473" s="163">
        <f t="shared" ref="CG473:CG476" si="5572">CF473+29</f>
        <v>46295</v>
      </c>
      <c r="CH473" s="167">
        <f t="shared" ref="CH473:CH476" si="5573">IFERROR(IF(($R473-CG473)&gt;=0,0,IF(($S473-CF473)&lt;0,0,IF(AND(($S473-CG473)&gt;0,(CF473-$R473)&gt;0),$V473/365*(CG473-CF473+1),IF(AND(($S473-CG473)&lt;=0,(CF473-$R473)&gt;0),$V473/365*($S473-CF473+1),$V473/365*(CG473-$R473+1))))),0)</f>
        <v>0</v>
      </c>
      <c r="CI473" s="163">
        <f t="shared" ref="CI473:CI476" si="5574">CG473+1</f>
        <v>46296</v>
      </c>
      <c r="CJ473" s="163">
        <f t="shared" ref="CJ473:CJ476" si="5575">CI473+30</f>
        <v>46326</v>
      </c>
      <c r="CK473" s="167">
        <f t="shared" ref="CK473:CK476" si="5576">IFERROR(IF(($R473-CJ473)&gt;=0,0,IF(($S473-CI473)&lt;0,0,IF(AND(($S473-CJ473)&gt;0,(CI473-$R473)&gt;0),$V473/365*(CJ473-CI473+1),IF(AND(($S473-CJ473)&lt;=0,(CI473-$R473)&gt;0),$V473/365*($S473-CI473+1),$V473/365*(CJ473-$R473+1))))),0)</f>
        <v>0</v>
      </c>
      <c r="CL473" s="163">
        <f t="shared" ref="CL473:CL476" si="5577">CJ473+1</f>
        <v>46327</v>
      </c>
      <c r="CM473" s="163">
        <f t="shared" ref="CM473:CM476" si="5578">CL473+29</f>
        <v>46356</v>
      </c>
      <c r="CN473" s="167">
        <f t="shared" ref="CN473:CN476" si="5579">IFERROR(IF(($R473-CM473)&gt;=0,0,IF(($S473-CL473)&lt;0,0,IF(AND(($S473-CM473)&gt;0,(CL473-$R473)&gt;0),$V473/365*(CM473-CL473+1),IF(AND(($S473-CM473)&lt;=0,(CL473-$R473)&gt;0),$V473/365*($S473-CL473+1),$V473/365*(CM473-$R473+1))))),0)</f>
        <v>0</v>
      </c>
      <c r="CO473" s="163">
        <f t="shared" ref="CO473:CO476" si="5580">CM473+1</f>
        <v>46357</v>
      </c>
      <c r="CP473" s="163">
        <f t="shared" ref="CP473:CP476" si="5581">CO473+30</f>
        <v>46387</v>
      </c>
      <c r="CQ473" s="167">
        <f t="shared" ref="CQ473:CQ476" si="5582">IFERROR(IF(($R473-CP473)&gt;=0,0,IF(($S473-CO473)&lt;0,0,IF(AND(($S473-CP473)&gt;0,(CO473-$R473)&gt;0),$V473/365*(CP473-CO473+1),IF(AND(($S473-CP473)&lt;=0,(CO473-$R473)&gt;0),$V473/365*($S473-CO473+1),$V473/365*(CP473-$R473+1))))),0)</f>
        <v>0</v>
      </c>
    </row>
    <row r="474" s="89" customFormat="1" ht="24" hidden="1" customHeight="1" outlineLevel="3" spans="1:95">
      <c r="A474" s="128"/>
      <c r="B474" s="129"/>
      <c r="C474" s="130"/>
      <c r="D474" s="128"/>
      <c r="E474" s="129"/>
      <c r="F474" s="129"/>
      <c r="G474" s="129"/>
      <c r="H474" s="131"/>
      <c r="I474" s="131"/>
      <c r="J474" s="131">
        <f t="shared" si="5367"/>
        <v>0</v>
      </c>
      <c r="K474" s="131">
        <f t="shared" ref="K474:K476" si="5583">K473+1</f>
        <v>2</v>
      </c>
      <c r="L474" s="156"/>
      <c r="M474" s="157">
        <f>IFERROR(VLOOKUP($L474,'2-2 引出数据_合同数据仓库'!$B$5:$BP$200,3,FALSE),0)</f>
        <v>0</v>
      </c>
      <c r="N474" s="131"/>
      <c r="O474" s="157">
        <f>IFERROR(VLOOKUP((LEFT(VLOOKUP($L474,'2-2 引出数据_合同数据仓库'!$B$5:$BP$200,64,FALSE),15)&amp;(RIGHT(VLOOKUP($L474,'2-2 引出数据_合同数据仓库'!$B$5:$BP$200,64,FALSE),4)+1)),'2-2 引出数据_合同数据仓库'!$B$5:$BP$200,3,FALSE),0)</f>
        <v>0</v>
      </c>
      <c r="P474" s="131"/>
      <c r="Q474" s="131">
        <f>IFERROR(VLOOKUP($L474,'2-2 引出数据_合同数据仓库'!$B$5:$BP$200,28,FALSE),0)</f>
        <v>0</v>
      </c>
      <c r="R474" s="131">
        <f>IFERROR(VLOOKUP($L474,'2-2 引出数据_合同数据仓库'!$B$5:$BP$200,29,FALSE),0)</f>
        <v>0</v>
      </c>
      <c r="S474" s="131">
        <f>IFERROR(VLOOKUP($L474,'2-2 引出数据_合同数据仓库'!$B$5:$BP$200,4,FALSE),0)</f>
        <v>0</v>
      </c>
      <c r="T474" s="131"/>
      <c r="U474" s="131">
        <f>IFERROR(VLOOKUP($L474,'2-2 引出数据_合同数据仓库'!$B$5:$BP$200,15,FALSE),0)</f>
        <v>0</v>
      </c>
      <c r="V474" s="131">
        <f t="shared" si="5512"/>
        <v>0</v>
      </c>
      <c r="W474" s="131"/>
      <c r="X474" s="163">
        <v>45658</v>
      </c>
      <c r="Y474" s="163">
        <f t="shared" si="5513"/>
        <v>45688</v>
      </c>
      <c r="Z474" s="167">
        <f t="shared" si="5514"/>
        <v>0</v>
      </c>
      <c r="AA474" s="163">
        <f t="shared" si="5515"/>
        <v>45689</v>
      </c>
      <c r="AB474" s="163">
        <f t="shared" si="5516"/>
        <v>45716</v>
      </c>
      <c r="AC474" s="167">
        <f t="shared" si="5517"/>
        <v>0</v>
      </c>
      <c r="AD474" s="163">
        <f t="shared" si="5518"/>
        <v>45717</v>
      </c>
      <c r="AE474" s="163">
        <f t="shared" si="5519"/>
        <v>45747</v>
      </c>
      <c r="AF474" s="167">
        <f t="shared" si="5520"/>
        <v>0</v>
      </c>
      <c r="AG474" s="163">
        <f t="shared" si="5521"/>
        <v>45748</v>
      </c>
      <c r="AH474" s="163">
        <f t="shared" si="5522"/>
        <v>45777</v>
      </c>
      <c r="AI474" s="167">
        <f t="shared" si="5523"/>
        <v>0</v>
      </c>
      <c r="AJ474" s="163">
        <f t="shared" si="5524"/>
        <v>45778</v>
      </c>
      <c r="AK474" s="163">
        <f t="shared" si="5525"/>
        <v>45808</v>
      </c>
      <c r="AL474" s="167">
        <f t="shared" si="5526"/>
        <v>0</v>
      </c>
      <c r="AM474" s="163">
        <f t="shared" si="5527"/>
        <v>45809</v>
      </c>
      <c r="AN474" s="163">
        <f t="shared" si="5528"/>
        <v>45838</v>
      </c>
      <c r="AO474" s="167">
        <f t="shared" si="5529"/>
        <v>0</v>
      </c>
      <c r="AP474" s="163">
        <f t="shared" si="5530"/>
        <v>45839</v>
      </c>
      <c r="AQ474" s="163">
        <f t="shared" si="5531"/>
        <v>45869</v>
      </c>
      <c r="AR474" s="167">
        <f t="shared" si="5532"/>
        <v>0</v>
      </c>
      <c r="AS474" s="163">
        <f t="shared" si="5533"/>
        <v>45870</v>
      </c>
      <c r="AT474" s="163">
        <f t="shared" si="5534"/>
        <v>45900</v>
      </c>
      <c r="AU474" s="167">
        <f t="shared" si="5535"/>
        <v>0</v>
      </c>
      <c r="AV474" s="163">
        <f t="shared" si="5536"/>
        <v>45901</v>
      </c>
      <c r="AW474" s="163">
        <f t="shared" si="5537"/>
        <v>45930</v>
      </c>
      <c r="AX474" s="167">
        <f t="shared" si="5538"/>
        <v>0</v>
      </c>
      <c r="AY474" s="163">
        <f t="shared" si="5539"/>
        <v>45931</v>
      </c>
      <c r="AZ474" s="163">
        <f t="shared" si="5540"/>
        <v>45961</v>
      </c>
      <c r="BA474" s="167">
        <f t="shared" si="5541"/>
        <v>0</v>
      </c>
      <c r="BB474" s="163">
        <f t="shared" si="5542"/>
        <v>45962</v>
      </c>
      <c r="BC474" s="163">
        <f t="shared" si="5543"/>
        <v>45991</v>
      </c>
      <c r="BD474" s="167">
        <f t="shared" si="5544"/>
        <v>0</v>
      </c>
      <c r="BE474" s="163">
        <f t="shared" si="5545"/>
        <v>45992</v>
      </c>
      <c r="BF474" s="163">
        <f t="shared" si="5546"/>
        <v>46022</v>
      </c>
      <c r="BG474" s="167">
        <f t="shared" si="5547"/>
        <v>0</v>
      </c>
      <c r="BH474" s="163">
        <v>46023</v>
      </c>
      <c r="BI474" s="163">
        <f t="shared" si="5548"/>
        <v>46053</v>
      </c>
      <c r="BJ474" s="167">
        <f t="shared" si="5549"/>
        <v>0</v>
      </c>
      <c r="BK474" s="163">
        <f t="shared" si="5550"/>
        <v>46054</v>
      </c>
      <c r="BL474" s="163">
        <f t="shared" si="5551"/>
        <v>46081</v>
      </c>
      <c r="BM474" s="167">
        <f t="shared" si="5552"/>
        <v>0</v>
      </c>
      <c r="BN474" s="163">
        <f t="shared" si="5553"/>
        <v>46082</v>
      </c>
      <c r="BO474" s="163">
        <f t="shared" si="5554"/>
        <v>46112</v>
      </c>
      <c r="BP474" s="167">
        <f t="shared" si="5555"/>
        <v>0</v>
      </c>
      <c r="BQ474" s="163">
        <f t="shared" si="5556"/>
        <v>46113</v>
      </c>
      <c r="BR474" s="163">
        <f t="shared" si="5557"/>
        <v>46142</v>
      </c>
      <c r="BS474" s="167">
        <f t="shared" si="5558"/>
        <v>0</v>
      </c>
      <c r="BT474" s="163">
        <f t="shared" si="5559"/>
        <v>46143</v>
      </c>
      <c r="BU474" s="163">
        <f t="shared" si="5560"/>
        <v>46173</v>
      </c>
      <c r="BV474" s="167">
        <f t="shared" si="5561"/>
        <v>0</v>
      </c>
      <c r="BW474" s="163">
        <f t="shared" si="5562"/>
        <v>46174</v>
      </c>
      <c r="BX474" s="163">
        <f t="shared" si="5563"/>
        <v>46203</v>
      </c>
      <c r="BY474" s="167">
        <f t="shared" si="5564"/>
        <v>0</v>
      </c>
      <c r="BZ474" s="163">
        <f t="shared" si="5565"/>
        <v>46204</v>
      </c>
      <c r="CA474" s="163">
        <f t="shared" si="5566"/>
        <v>46234</v>
      </c>
      <c r="CB474" s="167">
        <f t="shared" si="5567"/>
        <v>0</v>
      </c>
      <c r="CC474" s="163">
        <f t="shared" si="5568"/>
        <v>46235</v>
      </c>
      <c r="CD474" s="163">
        <f t="shared" si="5569"/>
        <v>46265</v>
      </c>
      <c r="CE474" s="167">
        <f t="shared" si="5570"/>
        <v>0</v>
      </c>
      <c r="CF474" s="163">
        <f t="shared" si="5571"/>
        <v>46266</v>
      </c>
      <c r="CG474" s="163">
        <f t="shared" si="5572"/>
        <v>46295</v>
      </c>
      <c r="CH474" s="167">
        <f t="shared" si="5573"/>
        <v>0</v>
      </c>
      <c r="CI474" s="163">
        <f t="shared" si="5574"/>
        <v>46296</v>
      </c>
      <c r="CJ474" s="163">
        <f t="shared" si="5575"/>
        <v>46326</v>
      </c>
      <c r="CK474" s="167">
        <f t="shared" si="5576"/>
        <v>0</v>
      </c>
      <c r="CL474" s="163">
        <f t="shared" si="5577"/>
        <v>46327</v>
      </c>
      <c r="CM474" s="163">
        <f t="shared" si="5578"/>
        <v>46356</v>
      </c>
      <c r="CN474" s="167">
        <f t="shared" si="5579"/>
        <v>0</v>
      </c>
      <c r="CO474" s="163">
        <f t="shared" si="5580"/>
        <v>46357</v>
      </c>
      <c r="CP474" s="163">
        <f t="shared" si="5581"/>
        <v>46387</v>
      </c>
      <c r="CQ474" s="167">
        <f t="shared" si="5582"/>
        <v>0</v>
      </c>
    </row>
    <row r="475" s="89" customFormat="1" ht="24" hidden="1" customHeight="1" outlineLevel="3" spans="1:95">
      <c r="A475" s="128"/>
      <c r="B475" s="129"/>
      <c r="C475" s="130"/>
      <c r="D475" s="128"/>
      <c r="E475" s="129"/>
      <c r="F475" s="129"/>
      <c r="G475" s="129"/>
      <c r="H475" s="131"/>
      <c r="I475" s="131"/>
      <c r="J475" s="131">
        <f t="shared" si="5367"/>
        <v>0</v>
      </c>
      <c r="K475" s="131">
        <f t="shared" si="5583"/>
        <v>3</v>
      </c>
      <c r="L475" s="156"/>
      <c r="M475" s="157">
        <f>IFERROR(VLOOKUP($L475,'2-2 引出数据_合同数据仓库'!$B$5:$BP$200,3,FALSE),0)</f>
        <v>0</v>
      </c>
      <c r="N475" s="131"/>
      <c r="O475" s="157">
        <f>IFERROR(VLOOKUP((LEFT(VLOOKUP($L475,'2-2 引出数据_合同数据仓库'!$B$5:$BP$200,64,FALSE),15)&amp;(RIGHT(VLOOKUP($L475,'2-2 引出数据_合同数据仓库'!$B$5:$BP$200,64,FALSE),4)+1)),'2-2 引出数据_合同数据仓库'!$B$5:$BP$200,3,FALSE),0)</f>
        <v>0</v>
      </c>
      <c r="P475" s="131"/>
      <c r="Q475" s="131">
        <f>IFERROR(VLOOKUP($L475,'2-2 引出数据_合同数据仓库'!$B$5:$BP$200,28,FALSE),0)</f>
        <v>0</v>
      </c>
      <c r="R475" s="131">
        <f>IFERROR(VLOOKUP($L475,'2-2 引出数据_合同数据仓库'!$B$5:$BP$200,29,FALSE),0)</f>
        <v>0</v>
      </c>
      <c r="S475" s="131">
        <f>IFERROR(VLOOKUP($L475,'2-2 引出数据_合同数据仓库'!$B$5:$BP$200,4,FALSE),0)</f>
        <v>0</v>
      </c>
      <c r="T475" s="131"/>
      <c r="U475" s="131">
        <f>IFERROR(VLOOKUP($L475,'2-2 引出数据_合同数据仓库'!$B$5:$BP$200,15,FALSE),0)</f>
        <v>0</v>
      </c>
      <c r="V475" s="131">
        <f t="shared" si="5512"/>
        <v>0</v>
      </c>
      <c r="W475" s="131"/>
      <c r="X475" s="163">
        <v>45658</v>
      </c>
      <c r="Y475" s="163">
        <f t="shared" si="5513"/>
        <v>45688</v>
      </c>
      <c r="Z475" s="167">
        <f t="shared" si="5514"/>
        <v>0</v>
      </c>
      <c r="AA475" s="163">
        <f t="shared" si="5515"/>
        <v>45689</v>
      </c>
      <c r="AB475" s="163">
        <f t="shared" si="5516"/>
        <v>45716</v>
      </c>
      <c r="AC475" s="167">
        <f t="shared" si="5517"/>
        <v>0</v>
      </c>
      <c r="AD475" s="163">
        <f t="shared" si="5518"/>
        <v>45717</v>
      </c>
      <c r="AE475" s="163">
        <f t="shared" si="5519"/>
        <v>45747</v>
      </c>
      <c r="AF475" s="167">
        <f t="shared" si="5520"/>
        <v>0</v>
      </c>
      <c r="AG475" s="163">
        <f t="shared" si="5521"/>
        <v>45748</v>
      </c>
      <c r="AH475" s="163">
        <f t="shared" si="5522"/>
        <v>45777</v>
      </c>
      <c r="AI475" s="167">
        <f t="shared" si="5523"/>
        <v>0</v>
      </c>
      <c r="AJ475" s="163">
        <f t="shared" si="5524"/>
        <v>45778</v>
      </c>
      <c r="AK475" s="163">
        <f t="shared" si="5525"/>
        <v>45808</v>
      </c>
      <c r="AL475" s="167">
        <f t="shared" si="5526"/>
        <v>0</v>
      </c>
      <c r="AM475" s="163">
        <f t="shared" si="5527"/>
        <v>45809</v>
      </c>
      <c r="AN475" s="163">
        <f t="shared" si="5528"/>
        <v>45838</v>
      </c>
      <c r="AO475" s="167">
        <f t="shared" si="5529"/>
        <v>0</v>
      </c>
      <c r="AP475" s="163">
        <f t="shared" si="5530"/>
        <v>45839</v>
      </c>
      <c r="AQ475" s="163">
        <f t="shared" si="5531"/>
        <v>45869</v>
      </c>
      <c r="AR475" s="167">
        <f t="shared" si="5532"/>
        <v>0</v>
      </c>
      <c r="AS475" s="163">
        <f t="shared" si="5533"/>
        <v>45870</v>
      </c>
      <c r="AT475" s="163">
        <f t="shared" si="5534"/>
        <v>45900</v>
      </c>
      <c r="AU475" s="167">
        <f t="shared" si="5535"/>
        <v>0</v>
      </c>
      <c r="AV475" s="163">
        <f t="shared" si="5536"/>
        <v>45901</v>
      </c>
      <c r="AW475" s="163">
        <f t="shared" si="5537"/>
        <v>45930</v>
      </c>
      <c r="AX475" s="167">
        <f t="shared" si="5538"/>
        <v>0</v>
      </c>
      <c r="AY475" s="163">
        <f t="shared" si="5539"/>
        <v>45931</v>
      </c>
      <c r="AZ475" s="163">
        <f t="shared" si="5540"/>
        <v>45961</v>
      </c>
      <c r="BA475" s="167">
        <f t="shared" si="5541"/>
        <v>0</v>
      </c>
      <c r="BB475" s="163">
        <f t="shared" si="5542"/>
        <v>45962</v>
      </c>
      <c r="BC475" s="163">
        <f t="shared" si="5543"/>
        <v>45991</v>
      </c>
      <c r="BD475" s="167">
        <f t="shared" si="5544"/>
        <v>0</v>
      </c>
      <c r="BE475" s="163">
        <f t="shared" si="5545"/>
        <v>45992</v>
      </c>
      <c r="BF475" s="163">
        <f t="shared" si="5546"/>
        <v>46022</v>
      </c>
      <c r="BG475" s="167">
        <f t="shared" si="5547"/>
        <v>0</v>
      </c>
      <c r="BH475" s="163">
        <v>46023</v>
      </c>
      <c r="BI475" s="163">
        <f t="shared" si="5548"/>
        <v>46053</v>
      </c>
      <c r="BJ475" s="167">
        <f t="shared" si="5549"/>
        <v>0</v>
      </c>
      <c r="BK475" s="163">
        <f t="shared" si="5550"/>
        <v>46054</v>
      </c>
      <c r="BL475" s="163">
        <f t="shared" si="5551"/>
        <v>46081</v>
      </c>
      <c r="BM475" s="167">
        <f t="shared" si="5552"/>
        <v>0</v>
      </c>
      <c r="BN475" s="163">
        <f t="shared" si="5553"/>
        <v>46082</v>
      </c>
      <c r="BO475" s="163">
        <f t="shared" si="5554"/>
        <v>46112</v>
      </c>
      <c r="BP475" s="167">
        <f t="shared" si="5555"/>
        <v>0</v>
      </c>
      <c r="BQ475" s="163">
        <f t="shared" si="5556"/>
        <v>46113</v>
      </c>
      <c r="BR475" s="163">
        <f t="shared" si="5557"/>
        <v>46142</v>
      </c>
      <c r="BS475" s="167">
        <f t="shared" si="5558"/>
        <v>0</v>
      </c>
      <c r="BT475" s="163">
        <f t="shared" si="5559"/>
        <v>46143</v>
      </c>
      <c r="BU475" s="163">
        <f t="shared" si="5560"/>
        <v>46173</v>
      </c>
      <c r="BV475" s="167">
        <f t="shared" si="5561"/>
        <v>0</v>
      </c>
      <c r="BW475" s="163">
        <f t="shared" si="5562"/>
        <v>46174</v>
      </c>
      <c r="BX475" s="163">
        <f t="shared" si="5563"/>
        <v>46203</v>
      </c>
      <c r="BY475" s="167">
        <f t="shared" si="5564"/>
        <v>0</v>
      </c>
      <c r="BZ475" s="163">
        <f t="shared" si="5565"/>
        <v>46204</v>
      </c>
      <c r="CA475" s="163">
        <f t="shared" si="5566"/>
        <v>46234</v>
      </c>
      <c r="CB475" s="167">
        <f t="shared" si="5567"/>
        <v>0</v>
      </c>
      <c r="CC475" s="163">
        <f t="shared" si="5568"/>
        <v>46235</v>
      </c>
      <c r="CD475" s="163">
        <f t="shared" si="5569"/>
        <v>46265</v>
      </c>
      <c r="CE475" s="167">
        <f t="shared" si="5570"/>
        <v>0</v>
      </c>
      <c r="CF475" s="163">
        <f t="shared" si="5571"/>
        <v>46266</v>
      </c>
      <c r="CG475" s="163">
        <f t="shared" si="5572"/>
        <v>46295</v>
      </c>
      <c r="CH475" s="167">
        <f t="shared" si="5573"/>
        <v>0</v>
      </c>
      <c r="CI475" s="163">
        <f t="shared" si="5574"/>
        <v>46296</v>
      </c>
      <c r="CJ475" s="163">
        <f t="shared" si="5575"/>
        <v>46326</v>
      </c>
      <c r="CK475" s="167">
        <f t="shared" si="5576"/>
        <v>0</v>
      </c>
      <c r="CL475" s="163">
        <f t="shared" si="5577"/>
        <v>46327</v>
      </c>
      <c r="CM475" s="163">
        <f t="shared" si="5578"/>
        <v>46356</v>
      </c>
      <c r="CN475" s="167">
        <f t="shared" si="5579"/>
        <v>0</v>
      </c>
      <c r="CO475" s="163">
        <f t="shared" si="5580"/>
        <v>46357</v>
      </c>
      <c r="CP475" s="163">
        <f t="shared" si="5581"/>
        <v>46387</v>
      </c>
      <c r="CQ475" s="167">
        <f t="shared" si="5582"/>
        <v>0</v>
      </c>
    </row>
    <row r="476" s="89" customFormat="1" ht="24" hidden="1" customHeight="1" outlineLevel="3" collapsed="1" spans="1:95">
      <c r="A476" s="128"/>
      <c r="B476" s="129"/>
      <c r="C476" s="130"/>
      <c r="D476" s="128"/>
      <c r="E476" s="129"/>
      <c r="F476" s="129"/>
      <c r="G476" s="129"/>
      <c r="H476" s="131"/>
      <c r="I476" s="131"/>
      <c r="J476" s="131">
        <f t="shared" si="5367"/>
        <v>0</v>
      </c>
      <c r="K476" s="131">
        <f t="shared" si="5583"/>
        <v>4</v>
      </c>
      <c r="L476" s="156"/>
      <c r="M476" s="157">
        <f>IFERROR(VLOOKUP($L476,'2-2 引出数据_合同数据仓库'!$B$5:$BP$200,3,FALSE),0)</f>
        <v>0</v>
      </c>
      <c r="N476" s="131"/>
      <c r="O476" s="157">
        <f>IFERROR(VLOOKUP((LEFT(VLOOKUP($L476,'2-2 引出数据_合同数据仓库'!$B$5:$BP$200,64,FALSE),15)&amp;(RIGHT(VLOOKUP($L476,'2-2 引出数据_合同数据仓库'!$B$5:$BP$200,64,FALSE),4)+1)),'2-2 引出数据_合同数据仓库'!$B$5:$BP$200,3,FALSE),0)</f>
        <v>0</v>
      </c>
      <c r="P476" s="131"/>
      <c r="Q476" s="131">
        <f>IFERROR(VLOOKUP($L476,'2-2 引出数据_合同数据仓库'!$B$5:$BP$200,28,FALSE),0)</f>
        <v>0</v>
      </c>
      <c r="R476" s="131">
        <f>IFERROR(VLOOKUP($L476,'2-2 引出数据_合同数据仓库'!$B$5:$BP$200,29,FALSE),0)</f>
        <v>0</v>
      </c>
      <c r="S476" s="131">
        <f>IFERROR(VLOOKUP($L476,'2-2 引出数据_合同数据仓库'!$B$5:$BP$200,4,FALSE),0)</f>
        <v>0</v>
      </c>
      <c r="T476" s="131"/>
      <c r="U476" s="131">
        <f>IFERROR(VLOOKUP($L476,'2-2 引出数据_合同数据仓库'!$B$5:$BP$200,15,FALSE),0)</f>
        <v>0</v>
      </c>
      <c r="V476" s="131">
        <f t="shared" si="5512"/>
        <v>0</v>
      </c>
      <c r="W476" s="131"/>
      <c r="X476" s="163">
        <v>45658</v>
      </c>
      <c r="Y476" s="163">
        <f t="shared" si="5513"/>
        <v>45688</v>
      </c>
      <c r="Z476" s="167">
        <f t="shared" si="5514"/>
        <v>0</v>
      </c>
      <c r="AA476" s="163">
        <f t="shared" si="5515"/>
        <v>45689</v>
      </c>
      <c r="AB476" s="163">
        <f t="shared" si="5516"/>
        <v>45716</v>
      </c>
      <c r="AC476" s="167">
        <f t="shared" si="5517"/>
        <v>0</v>
      </c>
      <c r="AD476" s="163">
        <f t="shared" si="5518"/>
        <v>45717</v>
      </c>
      <c r="AE476" s="163">
        <f t="shared" si="5519"/>
        <v>45747</v>
      </c>
      <c r="AF476" s="167">
        <f t="shared" si="5520"/>
        <v>0</v>
      </c>
      <c r="AG476" s="163">
        <f t="shared" si="5521"/>
        <v>45748</v>
      </c>
      <c r="AH476" s="163">
        <f t="shared" si="5522"/>
        <v>45777</v>
      </c>
      <c r="AI476" s="167">
        <f t="shared" si="5523"/>
        <v>0</v>
      </c>
      <c r="AJ476" s="163">
        <f t="shared" si="5524"/>
        <v>45778</v>
      </c>
      <c r="AK476" s="163">
        <f t="shared" si="5525"/>
        <v>45808</v>
      </c>
      <c r="AL476" s="167">
        <f t="shared" si="5526"/>
        <v>0</v>
      </c>
      <c r="AM476" s="163">
        <f t="shared" si="5527"/>
        <v>45809</v>
      </c>
      <c r="AN476" s="163">
        <f t="shared" si="5528"/>
        <v>45838</v>
      </c>
      <c r="AO476" s="167">
        <f t="shared" si="5529"/>
        <v>0</v>
      </c>
      <c r="AP476" s="163">
        <f t="shared" si="5530"/>
        <v>45839</v>
      </c>
      <c r="AQ476" s="163">
        <f t="shared" si="5531"/>
        <v>45869</v>
      </c>
      <c r="AR476" s="167">
        <f t="shared" si="5532"/>
        <v>0</v>
      </c>
      <c r="AS476" s="163">
        <f t="shared" si="5533"/>
        <v>45870</v>
      </c>
      <c r="AT476" s="163">
        <f t="shared" si="5534"/>
        <v>45900</v>
      </c>
      <c r="AU476" s="167">
        <f t="shared" si="5535"/>
        <v>0</v>
      </c>
      <c r="AV476" s="163">
        <f t="shared" si="5536"/>
        <v>45901</v>
      </c>
      <c r="AW476" s="163">
        <f t="shared" si="5537"/>
        <v>45930</v>
      </c>
      <c r="AX476" s="167">
        <f t="shared" si="5538"/>
        <v>0</v>
      </c>
      <c r="AY476" s="163">
        <f t="shared" si="5539"/>
        <v>45931</v>
      </c>
      <c r="AZ476" s="163">
        <f t="shared" si="5540"/>
        <v>45961</v>
      </c>
      <c r="BA476" s="167">
        <f t="shared" si="5541"/>
        <v>0</v>
      </c>
      <c r="BB476" s="163">
        <f t="shared" si="5542"/>
        <v>45962</v>
      </c>
      <c r="BC476" s="163">
        <f t="shared" si="5543"/>
        <v>45991</v>
      </c>
      <c r="BD476" s="167">
        <f t="shared" si="5544"/>
        <v>0</v>
      </c>
      <c r="BE476" s="163">
        <f t="shared" si="5545"/>
        <v>45992</v>
      </c>
      <c r="BF476" s="163">
        <f t="shared" si="5546"/>
        <v>46022</v>
      </c>
      <c r="BG476" s="167">
        <f t="shared" si="5547"/>
        <v>0</v>
      </c>
      <c r="BH476" s="163">
        <v>46023</v>
      </c>
      <c r="BI476" s="163">
        <f t="shared" si="5548"/>
        <v>46053</v>
      </c>
      <c r="BJ476" s="167">
        <f t="shared" si="5549"/>
        <v>0</v>
      </c>
      <c r="BK476" s="163">
        <f t="shared" si="5550"/>
        <v>46054</v>
      </c>
      <c r="BL476" s="163">
        <f t="shared" si="5551"/>
        <v>46081</v>
      </c>
      <c r="BM476" s="167">
        <f t="shared" si="5552"/>
        <v>0</v>
      </c>
      <c r="BN476" s="163">
        <f t="shared" si="5553"/>
        <v>46082</v>
      </c>
      <c r="BO476" s="163">
        <f t="shared" si="5554"/>
        <v>46112</v>
      </c>
      <c r="BP476" s="167">
        <f t="shared" si="5555"/>
        <v>0</v>
      </c>
      <c r="BQ476" s="163">
        <f t="shared" si="5556"/>
        <v>46113</v>
      </c>
      <c r="BR476" s="163">
        <f t="shared" si="5557"/>
        <v>46142</v>
      </c>
      <c r="BS476" s="167">
        <f t="shared" si="5558"/>
        <v>0</v>
      </c>
      <c r="BT476" s="163">
        <f t="shared" si="5559"/>
        <v>46143</v>
      </c>
      <c r="BU476" s="163">
        <f t="shared" si="5560"/>
        <v>46173</v>
      </c>
      <c r="BV476" s="167">
        <f t="shared" si="5561"/>
        <v>0</v>
      </c>
      <c r="BW476" s="163">
        <f t="shared" si="5562"/>
        <v>46174</v>
      </c>
      <c r="BX476" s="163">
        <f t="shared" si="5563"/>
        <v>46203</v>
      </c>
      <c r="BY476" s="167">
        <f t="shared" si="5564"/>
        <v>0</v>
      </c>
      <c r="BZ476" s="163">
        <f t="shared" si="5565"/>
        <v>46204</v>
      </c>
      <c r="CA476" s="163">
        <f t="shared" si="5566"/>
        <v>46234</v>
      </c>
      <c r="CB476" s="167">
        <f t="shared" si="5567"/>
        <v>0</v>
      </c>
      <c r="CC476" s="163">
        <f t="shared" si="5568"/>
        <v>46235</v>
      </c>
      <c r="CD476" s="163">
        <f t="shared" si="5569"/>
        <v>46265</v>
      </c>
      <c r="CE476" s="167">
        <f t="shared" si="5570"/>
        <v>0</v>
      </c>
      <c r="CF476" s="163">
        <f t="shared" si="5571"/>
        <v>46266</v>
      </c>
      <c r="CG476" s="163">
        <f t="shared" si="5572"/>
        <v>46295</v>
      </c>
      <c r="CH476" s="167">
        <f t="shared" si="5573"/>
        <v>0</v>
      </c>
      <c r="CI476" s="163">
        <f t="shared" si="5574"/>
        <v>46296</v>
      </c>
      <c r="CJ476" s="163">
        <f t="shared" si="5575"/>
        <v>46326</v>
      </c>
      <c r="CK476" s="167">
        <f t="shared" si="5576"/>
        <v>0</v>
      </c>
      <c r="CL476" s="163">
        <f t="shared" si="5577"/>
        <v>46327</v>
      </c>
      <c r="CM476" s="163">
        <f t="shared" si="5578"/>
        <v>46356</v>
      </c>
      <c r="CN476" s="167">
        <f t="shared" si="5579"/>
        <v>0</v>
      </c>
      <c r="CO476" s="163">
        <f t="shared" si="5580"/>
        <v>46357</v>
      </c>
      <c r="CP476" s="163">
        <f t="shared" si="5581"/>
        <v>46387</v>
      </c>
      <c r="CQ476" s="167">
        <f t="shared" si="5582"/>
        <v>0</v>
      </c>
    </row>
    <row r="477" s="89" customFormat="1" ht="24" hidden="1" customHeight="1" outlineLevel="4" spans="1:95">
      <c r="A477" s="132" t="s">
        <v>2813</v>
      </c>
      <c r="B477" s="133"/>
      <c r="C477" s="133"/>
      <c r="D477" s="133"/>
      <c r="E477" s="133"/>
      <c r="F477" s="133"/>
      <c r="G477" s="134"/>
      <c r="H477" s="135"/>
      <c r="I477" s="135"/>
      <c r="J477" s="135"/>
      <c r="K477" s="135"/>
      <c r="L477" s="158"/>
      <c r="M477" s="158"/>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c r="CL477" s="135"/>
      <c r="CM477" s="135"/>
      <c r="CN477" s="135"/>
      <c r="CO477" s="135"/>
      <c r="CP477" s="135"/>
      <c r="CQ477" s="135"/>
    </row>
    <row r="478" ht="24" customHeight="1" outlineLevel="2" collapsed="1" spans="1:95">
      <c r="A478" s="43"/>
      <c r="B478" s="121" t="s">
        <v>792</v>
      </c>
      <c r="C478" s="122" t="s">
        <v>1571</v>
      </c>
      <c r="D478" s="43" t="s">
        <v>1572</v>
      </c>
      <c r="E478" s="121"/>
      <c r="F478" s="121"/>
      <c r="G478" s="121" t="s">
        <v>936</v>
      </c>
      <c r="H478" s="123">
        <f>X478+AA478+AD478+AG478+AJ478+AM478+AP478+AS478+AV478+AY478+BB478+BE478</f>
        <v>0</v>
      </c>
      <c r="I478" s="123">
        <f>Y478+AB478+AE478+AH478+AK478+AN478+AQ478+AT478+AW478+AZ478+BC478+BF478</f>
        <v>-96248.6195093794</v>
      </c>
      <c r="J478" s="123">
        <f t="shared" si="5367"/>
        <v>96248.6195093794</v>
      </c>
      <c r="K478" s="123"/>
      <c r="L478" s="154"/>
      <c r="M478" s="154"/>
      <c r="N478" s="123"/>
      <c r="O478" s="123"/>
      <c r="P478" s="123"/>
      <c r="Q478" s="123"/>
      <c r="R478" s="123"/>
      <c r="S478" s="123"/>
      <c r="T478" s="123"/>
      <c r="U478" s="123"/>
      <c r="V478" s="123"/>
      <c r="W478" s="123"/>
      <c r="X478" s="123">
        <f>VLOOKUP($C478,'1 预算编制表单'!$C:$BJ,27,FALSE)</f>
        <v>0</v>
      </c>
      <c r="Y478" s="123">
        <f>X478-Z478</f>
        <v>-45239.4333564213</v>
      </c>
      <c r="Z478" s="123">
        <f>SUM(Z479:Z483)</f>
        <v>45239.4333564213</v>
      </c>
      <c r="AA478" s="123">
        <f>VLOOKUP($C478,'1 预算编制表单'!$C:$BJ,30,FALSE)</f>
        <v>0</v>
      </c>
      <c r="AB478" s="123">
        <f>AA478-AC478</f>
        <v>-40861.4236767676</v>
      </c>
      <c r="AC478" s="123">
        <f>SUM(AC479:AC483)</f>
        <v>40861.4236767676</v>
      </c>
      <c r="AD478" s="123">
        <f>VLOOKUP($C478,'1 预算编制表单'!$C:$BJ,33,FALSE)</f>
        <v>0</v>
      </c>
      <c r="AE478" s="123">
        <f>AD478-AF478</f>
        <v>-5157.05961904762</v>
      </c>
      <c r="AF478" s="123">
        <f>SUM(AF479:AF483)</f>
        <v>5157.05961904762</v>
      </c>
      <c r="AG478" s="123">
        <f>VLOOKUP($C478,'1 预算编制表单'!$C:$BJ,36,FALSE)</f>
        <v>0</v>
      </c>
      <c r="AH478" s="123">
        <f>AG478-AI478</f>
        <v>-4990.70285714286</v>
      </c>
      <c r="AI478" s="123">
        <f>SUM(AI479:AI483)</f>
        <v>4990.70285714286</v>
      </c>
      <c r="AJ478" s="123">
        <f>VLOOKUP($C478,'1 预算编制表单'!$C:$BJ,39,FALSE)</f>
        <v>0</v>
      </c>
      <c r="AK478" s="123">
        <f>AJ478-AL478</f>
        <v>0</v>
      </c>
      <c r="AL478" s="123">
        <f>SUM(AL479:AL483)</f>
        <v>0</v>
      </c>
      <c r="AM478" s="123">
        <f>VLOOKUP($C478,'1 预算编制表单'!$C:$BJ,42,FALSE)</f>
        <v>0</v>
      </c>
      <c r="AN478" s="123">
        <f>AM478-AO478</f>
        <v>0</v>
      </c>
      <c r="AO478" s="123">
        <f>SUM(AO479:AO483)</f>
        <v>0</v>
      </c>
      <c r="AP478" s="123">
        <f>VLOOKUP($C478,'1 预算编制表单'!$C:$BJ,45,FALSE)</f>
        <v>0</v>
      </c>
      <c r="AQ478" s="123">
        <f>AP478-AR478</f>
        <v>0</v>
      </c>
      <c r="AR478" s="123">
        <f>SUM(AR479:AR483)</f>
        <v>0</v>
      </c>
      <c r="AS478" s="123">
        <f>VLOOKUP($C478,'1 预算编制表单'!$C:$BJ,48,FALSE)</f>
        <v>0</v>
      </c>
      <c r="AT478" s="123">
        <f>AS478-AU478</f>
        <v>0</v>
      </c>
      <c r="AU478" s="123">
        <f>SUM(AU479:AU483)</f>
        <v>0</v>
      </c>
      <c r="AV478" s="123">
        <f>VLOOKUP($C478,'1 预算编制表单'!$C:$BJ,51,FALSE)</f>
        <v>0</v>
      </c>
      <c r="AW478" s="123">
        <f>AV478-AX478</f>
        <v>0</v>
      </c>
      <c r="AX478" s="123">
        <f>SUM(AX479:AX483)</f>
        <v>0</v>
      </c>
      <c r="AY478" s="123">
        <f>VLOOKUP($C478,'1 预算编制表单'!$C:$BJ,54,FALSE)</f>
        <v>0</v>
      </c>
      <c r="AZ478" s="123">
        <f>AY478-BA478</f>
        <v>0</v>
      </c>
      <c r="BA478" s="123">
        <f>SUM(BA479:BA483)</f>
        <v>0</v>
      </c>
      <c r="BB478" s="123">
        <f>VLOOKUP($C478,'1 预算编制表单'!$C:$BJ,57,FALSE)</f>
        <v>0</v>
      </c>
      <c r="BC478" s="123">
        <f>BB478-BD478</f>
        <v>0</v>
      </c>
      <c r="BD478" s="123">
        <f>SUM(BD479:BD483)</f>
        <v>0</v>
      </c>
      <c r="BE478" s="123">
        <f>VLOOKUP($C478,'1 预算编制表单'!$C:$BJ,60,FALSE)</f>
        <v>0</v>
      </c>
      <c r="BF478" s="123">
        <f>BE478-BG478</f>
        <v>0</v>
      </c>
      <c r="BG478" s="123">
        <f>SUM(BG479:BG483)</f>
        <v>0</v>
      </c>
      <c r="BH478" s="123">
        <f>VLOOKUP($C478,'1 预算编制表单'!$C:$BJ,27,FALSE)</f>
        <v>0</v>
      </c>
      <c r="BI478" s="123">
        <f>BH478-BJ478</f>
        <v>0</v>
      </c>
      <c r="BJ478" s="123">
        <f>SUM(BJ479:BJ483)</f>
        <v>0</v>
      </c>
      <c r="BK478" s="123">
        <f>VLOOKUP($C478,'1 预算编制表单'!$C:$BJ,30,FALSE)</f>
        <v>0</v>
      </c>
      <c r="BL478" s="123">
        <f>BK478-BM478</f>
        <v>0</v>
      </c>
      <c r="BM478" s="123">
        <f>SUM(BM479:BM483)</f>
        <v>0</v>
      </c>
      <c r="BN478" s="123">
        <f>VLOOKUP($C478,'1 预算编制表单'!$C:$BJ,33,FALSE)</f>
        <v>0</v>
      </c>
      <c r="BO478" s="123">
        <f>BN478-BP478</f>
        <v>0</v>
      </c>
      <c r="BP478" s="123">
        <f>SUM(BP479:BP483)</f>
        <v>0</v>
      </c>
      <c r="BQ478" s="123">
        <f>VLOOKUP($C478,'1 预算编制表单'!$C:$BJ,36,FALSE)</f>
        <v>0</v>
      </c>
      <c r="BR478" s="123">
        <f>BQ478-BS478</f>
        <v>0</v>
      </c>
      <c r="BS478" s="123">
        <f>SUM(BS479:BS483)</f>
        <v>0</v>
      </c>
      <c r="BT478" s="123">
        <f>VLOOKUP($C478,'1 预算编制表单'!$C:$BJ,39,FALSE)</f>
        <v>0</v>
      </c>
      <c r="BU478" s="123">
        <f>BT478-BV478</f>
        <v>0</v>
      </c>
      <c r="BV478" s="123">
        <f>SUM(BV479:BV483)</f>
        <v>0</v>
      </c>
      <c r="BW478" s="123">
        <f>VLOOKUP($C478,'1 预算编制表单'!$C:$BJ,42,FALSE)</f>
        <v>0</v>
      </c>
      <c r="BX478" s="123">
        <f>BW478-BY478</f>
        <v>0</v>
      </c>
      <c r="BY478" s="123">
        <f>SUM(BY479:BY483)</f>
        <v>0</v>
      </c>
      <c r="BZ478" s="123">
        <f>VLOOKUP($C478,'1 预算编制表单'!$C:$BJ,45,FALSE)</f>
        <v>0</v>
      </c>
      <c r="CA478" s="123">
        <f>BZ478-CB478</f>
        <v>0</v>
      </c>
      <c r="CB478" s="123">
        <f>SUM(CB479:CB483)</f>
        <v>0</v>
      </c>
      <c r="CC478" s="123">
        <f>VLOOKUP($C478,'1 预算编制表单'!$C:$BJ,48,FALSE)</f>
        <v>0</v>
      </c>
      <c r="CD478" s="123">
        <f>CC478-CE478</f>
        <v>0</v>
      </c>
      <c r="CE478" s="123">
        <f>SUM(CE479:CE483)</f>
        <v>0</v>
      </c>
      <c r="CF478" s="123">
        <f>VLOOKUP($C478,'1 预算编制表单'!$C:$BJ,51,FALSE)</f>
        <v>0</v>
      </c>
      <c r="CG478" s="123">
        <f>CF478-CH478</f>
        <v>0</v>
      </c>
      <c r="CH478" s="123">
        <f>SUM(CH479:CH483)</f>
        <v>0</v>
      </c>
      <c r="CI478" s="123">
        <f>VLOOKUP($C478,'1 预算编制表单'!$C:$BJ,54,FALSE)</f>
        <v>0</v>
      </c>
      <c r="CJ478" s="123">
        <f>CI478-CK478</f>
        <v>0</v>
      </c>
      <c r="CK478" s="123">
        <f>SUM(CK479:CK483)</f>
        <v>0</v>
      </c>
      <c r="CL478" s="123">
        <f>VLOOKUP($C478,'1 预算编制表单'!$C:$BJ,57,FALSE)</f>
        <v>0</v>
      </c>
      <c r="CM478" s="123">
        <f>CL478-CN478</f>
        <v>0</v>
      </c>
      <c r="CN478" s="123">
        <f>SUM(CN479:CN483)</f>
        <v>0</v>
      </c>
      <c r="CO478" s="123">
        <f>VLOOKUP($C478,'1 预算编制表单'!$C:$BJ,60,FALSE)</f>
        <v>0</v>
      </c>
      <c r="CP478" s="123">
        <f>CO478-CQ478</f>
        <v>0</v>
      </c>
      <c r="CQ478" s="123">
        <f>SUM(CQ479:CQ483)</f>
        <v>0</v>
      </c>
    </row>
    <row r="479" s="89" customFormat="1" ht="24" hidden="1" customHeight="1" outlineLevel="3" spans="1:95">
      <c r="A479" s="128"/>
      <c r="B479" s="129"/>
      <c r="C479" s="130" t="s">
        <v>1573</v>
      </c>
      <c r="D479" s="128" t="s">
        <v>2857</v>
      </c>
      <c r="E479" s="129"/>
      <c r="F479" s="129"/>
      <c r="G479" s="129"/>
      <c r="H479" s="131"/>
      <c r="I479" s="131"/>
      <c r="J479" s="131">
        <f t="shared" si="5367"/>
        <v>0</v>
      </c>
      <c r="K479" s="159"/>
      <c r="L479" s="156" t="s">
        <v>2858</v>
      </c>
      <c r="M479" s="160"/>
      <c r="N479" s="159"/>
      <c r="O479" s="160"/>
      <c r="P479" s="159"/>
      <c r="Q479" s="159"/>
      <c r="R479" s="159"/>
      <c r="S479" s="159"/>
      <c r="T479" s="159"/>
      <c r="U479" s="159"/>
      <c r="V479" s="159"/>
      <c r="W479" s="131"/>
      <c r="X479" s="163"/>
      <c r="Y479" s="163"/>
      <c r="Z479" s="159">
        <f>报销单计算表!B19</f>
        <v>0</v>
      </c>
      <c r="AA479" s="168"/>
      <c r="AB479" s="168"/>
      <c r="AC479" s="159">
        <f>报销单计算表!C19</f>
        <v>0</v>
      </c>
      <c r="AD479" s="168"/>
      <c r="AE479" s="168"/>
      <c r="AF479" s="159">
        <f>报销单计算表!D19</f>
        <v>0</v>
      </c>
      <c r="AG479" s="163"/>
      <c r="AH479" s="163"/>
      <c r="AI479" s="159">
        <f>报销单计算表!E19</f>
        <v>0</v>
      </c>
      <c r="AJ479" s="168"/>
      <c r="AK479" s="168"/>
      <c r="AL479" s="159">
        <f>报销单计算表!F19</f>
        <v>0</v>
      </c>
      <c r="AM479" s="168"/>
      <c r="AN479" s="168"/>
      <c r="AO479" s="159">
        <f>报销单计算表!G19</f>
        <v>0</v>
      </c>
      <c r="AP479" s="163"/>
      <c r="AQ479" s="163"/>
      <c r="AR479" s="159">
        <f>报销单计算表!H19</f>
        <v>0</v>
      </c>
      <c r="AS479" s="168"/>
      <c r="AT479" s="168"/>
      <c r="AU479" s="159">
        <f>报销单计算表!I19</f>
        <v>0</v>
      </c>
      <c r="AV479" s="168"/>
      <c r="AW479" s="168"/>
      <c r="AX479" s="159">
        <f>报销单计算表!J19</f>
        <v>0</v>
      </c>
      <c r="AY479" s="163"/>
      <c r="AZ479" s="168"/>
      <c r="BA479" s="159">
        <f>报销单计算表!K19</f>
        <v>0</v>
      </c>
      <c r="BB479" s="168"/>
      <c r="BC479" s="168"/>
      <c r="BD479" s="159">
        <f>报销单计算表!L19</f>
        <v>0</v>
      </c>
      <c r="BE479" s="168"/>
      <c r="BF479" s="168"/>
      <c r="BG479" s="159">
        <f>报销单计算表!M19</f>
        <v>0</v>
      </c>
      <c r="BH479" s="168">
        <v>46023</v>
      </c>
      <c r="BI479" s="168">
        <f t="shared" ref="BI479" si="5584">BH479+30</f>
        <v>46053</v>
      </c>
      <c r="BJ479" s="159">
        <f t="shared" ref="BJ479" si="5585">IFERROR(IF(($R479-BI479)&gt;=0,0,IF(($S479-BH479)&lt;0,0,IF(AND(($S479-BI479)&gt;0,(BH479-$R479)&gt;0),$V479/365*(BI479-BH479+1),IF(AND(($S479-BI479)&lt;=0,(BH479-$R479)&gt;0),$V479/365*($S479-BH479+1),$V479/365*(BI479-$R479+1))))),0)</f>
        <v>0</v>
      </c>
      <c r="BK479" s="163">
        <f t="shared" ref="BK479" si="5586">BI479+1</f>
        <v>46054</v>
      </c>
      <c r="BL479" s="163">
        <f t="shared" ref="BL479" si="5587">BK479+27</f>
        <v>46081</v>
      </c>
      <c r="BM479" s="172">
        <f t="shared" ref="BM479" si="5588">IFERROR(IF(($R479-BL479)&gt;=0,0,IF(($S479-BK479)&lt;0,0,IF(AND(($S479-BL479)&gt;0,(BK479-$R479)&gt;0),$V479/365*(BL479-BK479+1),IF(AND(($S479-BL479)&lt;=0,(BK479-$R479)&gt;0),$V479/365*($S479-BK479+1),$V479/365*(BL479-$R479+1))))),0)</f>
        <v>0</v>
      </c>
      <c r="BN479" s="163">
        <f t="shared" ref="BN479" si="5589">BL479+1</f>
        <v>46082</v>
      </c>
      <c r="BO479" s="163">
        <f t="shared" ref="BO479" si="5590">BN479+30</f>
        <v>46112</v>
      </c>
      <c r="BP479" s="172">
        <f t="shared" ref="BP479" si="5591">IFERROR(IF(($R479-BO479)&gt;=0,0,IF(($S479-BN479)&lt;0,0,IF(AND(($S479-BO479)&gt;0,(BN479-$R479)&gt;0),$V479/365*(BO479-BN479+1),IF(AND(($S479-BO479)&lt;=0,(BN479-$R479)&gt;0),$V479/365*($S479-BN479+1),$V479/365*(BO479-$R479+1))))),0)</f>
        <v>0</v>
      </c>
      <c r="BQ479" s="163">
        <f t="shared" ref="BQ479" si="5592">BO479+1</f>
        <v>46113</v>
      </c>
      <c r="BR479" s="163">
        <f t="shared" ref="BR479" si="5593">BQ479+29</f>
        <v>46142</v>
      </c>
      <c r="BS479" s="172">
        <f t="shared" ref="BS479" si="5594">IFERROR(IF(($R479-BR479)&gt;=0,0,IF(($S479-BQ479)&lt;0,0,IF(AND(($S479-BR479)&gt;0,(BQ479-$R479)&gt;0),$V479/365*(BR479-BQ479+1),IF(AND(($S479-BR479)&lt;=0,(BQ479-$R479)&gt;0),$V479/365*($S479-BQ479+1),$V479/365*(BR479-$R479+1))))),0)</f>
        <v>0</v>
      </c>
      <c r="BT479" s="163">
        <f t="shared" ref="BT479" si="5595">BR479+1</f>
        <v>46143</v>
      </c>
      <c r="BU479" s="163">
        <f t="shared" ref="BU479" si="5596">BT479+30</f>
        <v>46173</v>
      </c>
      <c r="BV479" s="172">
        <f t="shared" ref="BV479" si="5597">IFERROR(IF(($R479-BU479)&gt;=0,0,IF(($S479-BT479)&lt;0,0,IF(AND(($S479-BU479)&gt;0,(BT479-$R479)&gt;0),$V479/365*(BU479-BT479+1),IF(AND(($S479-BU479)&lt;=0,(BT479-$R479)&gt;0),$V479/365*($S479-BT479+1),$V479/365*(BU479-$R479+1))))),0)</f>
        <v>0</v>
      </c>
      <c r="BW479" s="163">
        <f t="shared" ref="BW479" si="5598">BU479+1</f>
        <v>46174</v>
      </c>
      <c r="BX479" s="163">
        <f t="shared" ref="BX479" si="5599">BW479+29</f>
        <v>46203</v>
      </c>
      <c r="BY479" s="172">
        <f t="shared" ref="BY479" si="5600">IFERROR(IF(($R479-BX479)&gt;=0,0,IF(($S479-BW479)&lt;0,0,IF(AND(($S479-BX479)&gt;0,(BW479-$R479)&gt;0),$V479/365*(BX479-BW479+1),IF(AND(($S479-BX479)&lt;=0,(BW479-$R479)&gt;0),$V479/365*($S479-BW479+1),$V479/365*(BX479-$R479+1))))),0)</f>
        <v>0</v>
      </c>
      <c r="BZ479" s="163">
        <f t="shared" ref="BZ479" si="5601">BX479+1</f>
        <v>46204</v>
      </c>
      <c r="CA479" s="163">
        <f t="shared" ref="CA479" si="5602">BZ479+30</f>
        <v>46234</v>
      </c>
      <c r="CB479" s="172">
        <f t="shared" ref="CB479" si="5603">IFERROR(IF(($R479-CA479)&gt;=0,0,IF(($S479-BZ479)&lt;0,0,IF(AND(($S479-CA479)&gt;0,(BZ479-$R479)&gt;0),$V479/365*(CA479-BZ479+1),IF(AND(($S479-CA479)&lt;=0,(BZ479-$R479)&gt;0),$V479/365*($S479-BZ479+1),$V479/365*(CA479-$R479+1))))),0)</f>
        <v>0</v>
      </c>
      <c r="CC479" s="163">
        <f t="shared" ref="CC479" si="5604">CA479+1</f>
        <v>46235</v>
      </c>
      <c r="CD479" s="163">
        <f t="shared" ref="CD479" si="5605">CC479+30</f>
        <v>46265</v>
      </c>
      <c r="CE479" s="172">
        <f t="shared" ref="CE479" si="5606">IFERROR(IF(($R479-CD479)&gt;=0,0,IF(($S479-CC479)&lt;0,0,IF(AND(($S479-CD479)&gt;0,(CC479-$R479)&gt;0),$V479/365*(CD479-CC479+1),IF(AND(($S479-CD479)&lt;=0,(CC479-$R479)&gt;0),$V479/365*($S479-CC479+1),$V479/365*(CD479-$R479+1))))),0)</f>
        <v>0</v>
      </c>
      <c r="CF479" s="163">
        <f t="shared" ref="CF479" si="5607">CD479+1</f>
        <v>46266</v>
      </c>
      <c r="CG479" s="163">
        <f t="shared" ref="CG479" si="5608">CF479+29</f>
        <v>46295</v>
      </c>
      <c r="CH479" s="172">
        <f t="shared" ref="CH479" si="5609">IFERROR(IF(($R479-CG479)&gt;=0,0,IF(($S479-CF479)&lt;0,0,IF(AND(($S479-CG479)&gt;0,(CF479-$R479)&gt;0),$V479/365*(CG479-CF479+1),IF(AND(($S479-CG479)&lt;=0,(CF479-$R479)&gt;0),$V479/365*($S479-CF479+1),$V479/365*(CG479-$R479+1))))),0)</f>
        <v>0</v>
      </c>
      <c r="CI479" s="163">
        <f t="shared" ref="CI479" si="5610">CG479+1</f>
        <v>46296</v>
      </c>
      <c r="CJ479" s="163">
        <f t="shared" ref="CJ479" si="5611">CI479+30</f>
        <v>46326</v>
      </c>
      <c r="CK479" s="172">
        <f t="shared" ref="CK479" si="5612">IFERROR(IF(($R479-CJ479)&gt;=0,0,IF(($S479-CI479)&lt;0,0,IF(AND(($S479-CJ479)&gt;0,(CI479-$R479)&gt;0),$V479/365*(CJ479-CI479+1),IF(AND(($S479-CJ479)&lt;=0,(CI479-$R479)&gt;0),$V479/365*($S479-CI479+1),$V479/365*(CJ479-$R479+1))))),0)</f>
        <v>0</v>
      </c>
      <c r="CL479" s="163">
        <f t="shared" ref="CL479" si="5613">CJ479+1</f>
        <v>46327</v>
      </c>
      <c r="CM479" s="163">
        <f t="shared" ref="CM479" si="5614">CL479+29</f>
        <v>46356</v>
      </c>
      <c r="CN479" s="172">
        <f t="shared" ref="CN479" si="5615">IFERROR(IF(($R479-CM479)&gt;=0,0,IF(($S479-CL479)&lt;0,0,IF(AND(($S479-CM479)&gt;0,(CL479-$R479)&gt;0),$V479/365*(CM479-CL479+1),IF(AND(($S479-CM479)&lt;=0,(CL479-$R479)&gt;0),$V479/365*($S479-CL479+1),$V479/365*(CM479-$R479+1))))),0)</f>
        <v>0</v>
      </c>
      <c r="CO479" s="163">
        <f t="shared" ref="CO479" si="5616">CM479+1</f>
        <v>46357</v>
      </c>
      <c r="CP479" s="163">
        <f t="shared" ref="CP479" si="5617">CO479+30</f>
        <v>46387</v>
      </c>
      <c r="CQ479" s="172">
        <f t="shared" ref="CQ479" si="5618">IFERROR(IF(($R479-CP479)&gt;=0,0,IF(($S479-CO479)&lt;0,0,IF(AND(($S479-CP479)&gt;0,(CO479-$R479)&gt;0),$V479/365*(CP479-CO479+1),IF(AND(($S479-CP479)&lt;=0,(CO479-$R479)&gt;0),$V479/365*($S479-CO479+1),$V479/365*(CP479-$R479+1))))),0)</f>
        <v>0</v>
      </c>
    </row>
    <row r="480" s="89" customFormat="1" ht="24" hidden="1" customHeight="1" outlineLevel="3" spans="1:95">
      <c r="A480" s="128"/>
      <c r="B480" s="129"/>
      <c r="C480" s="130"/>
      <c r="D480" s="128"/>
      <c r="E480" s="129"/>
      <c r="F480" s="129"/>
      <c r="G480" s="129"/>
      <c r="H480" s="131"/>
      <c r="I480" s="131"/>
      <c r="J480" s="131">
        <f t="shared" si="5367"/>
        <v>76285.8080808081</v>
      </c>
      <c r="K480" s="131">
        <f t="shared" ref="K480:K482" si="5619">K479+1</f>
        <v>1</v>
      </c>
      <c r="L480" s="156" t="s">
        <v>2859</v>
      </c>
      <c r="M480" s="157" t="str">
        <f>IFERROR(VLOOKUP($L480,'2-2 引出数据_合同数据仓库'!$B$5:$BP$200,3,FALSE),0)</f>
        <v>深圳中海油大厦B座42楼办公室工程改造合同评审的申请</v>
      </c>
      <c r="N480" s="131"/>
      <c r="O480" s="157">
        <f>IFERROR(VLOOKUP((LEFT(VLOOKUP($L480,'2-2 引出数据_合同数据仓库'!$B$5:$BP$200,64,FALSE),15)&amp;(RIGHT(VLOOKUP($L480,'2-2 引出数据_合同数据仓库'!$B$5:$BP$200,64,FALSE),4)+1)),'2-2 引出数据_合同数据仓库'!$B$5:$BP$200,3,FALSE),0)</f>
        <v>0</v>
      </c>
      <c r="P480" s="131"/>
      <c r="Q480" s="131" t="str">
        <f>IFERROR(VLOOKUP($L480,'2-2 引出数据_合同数据仓库'!$B$5:$BP$200,28,FALSE),0)</f>
        <v>2024-11-22</v>
      </c>
      <c r="R480" s="131" t="str">
        <f>IFERROR(VLOOKUP($L480,'2-2 引出数据_合同数据仓库'!$B$5:$BP$200,29,FALSE),0)</f>
        <v>2024-11-22</v>
      </c>
      <c r="S480" s="131" t="str">
        <f>IFERROR(VLOOKUP($L480,'2-2 引出数据_合同数据仓库'!$B$5:$BP$200,4,FALSE),0)</f>
        <v>2025-02-28</v>
      </c>
      <c r="T480" s="131"/>
      <c r="U480" s="131">
        <f>IFERROR(VLOOKUP($L480,'2-2 引出数据_合同数据仓库'!$B$5:$BP$200,15,FALSE),0)</f>
        <v>128005</v>
      </c>
      <c r="V480" s="131">
        <f t="shared" ref="V480:V482" si="5620">U480/(S480-R480+1)*365</f>
        <v>471937.626262626</v>
      </c>
      <c r="W480" s="131"/>
      <c r="X480" s="163">
        <v>45658</v>
      </c>
      <c r="Y480" s="163">
        <f t="shared" ref="Y480:Y482" si="5621">X480+30</f>
        <v>45688</v>
      </c>
      <c r="Z480" s="167">
        <f t="shared" ref="Z480:Z482" si="5622">IFERROR(IF(($R480-Y480)&gt;=0,0,IF(($S480-X480)&lt;0,0,IF(AND(($S480-Y480)&gt;0,(X480-$R480)&gt;0),$V480/365*(Y480-X480+1),IF(AND(($S480-Y480)&lt;=0,(X480-$R480)&gt;0),$V480/365*($S480-X480+1),$V480/365*(Y480-$R480+1))))),0)</f>
        <v>40082.3737373737</v>
      </c>
      <c r="AA480" s="163">
        <f t="shared" ref="AA480:AA482" si="5623">Y480+1</f>
        <v>45689</v>
      </c>
      <c r="AB480" s="163">
        <f t="shared" ref="AB480:AB482" si="5624">AA480+27</f>
        <v>45716</v>
      </c>
      <c r="AC480" s="167">
        <f t="shared" ref="AC480:AC482" si="5625">IFERROR(IF(($R480-AB480)&gt;=0,0,IF(($S480-AA480)&lt;0,0,IF(AND(($S480-AB480)&gt;0,(AA480-$R480)&gt;0),$V480/365*(AB480-AA480+1),IF(AND(($S480-AB480)&lt;=0,(AA480-$R480)&gt;0),$V480/365*($S480-AA480+1),$V480/365*(AB480-$R480+1))))),0)</f>
        <v>36203.4343434343</v>
      </c>
      <c r="AD480" s="163">
        <f t="shared" ref="AD480:AD482" si="5626">AB480+1</f>
        <v>45717</v>
      </c>
      <c r="AE480" s="163">
        <f t="shared" ref="AE480:AE482" si="5627">AD480+30</f>
        <v>45747</v>
      </c>
      <c r="AF480" s="167">
        <f t="shared" ref="AF480:AF482" si="5628">IFERROR(IF(($R480-AE480)&gt;=0,0,IF(($S480-AD480)&lt;0,0,IF(AND(($S480-AE480)&gt;0,(AD480-$R480)&gt;0),$V480/365*(AE480-AD480+1),IF(AND(($S480-AE480)&lt;=0,(AD480-$R480)&gt;0),$V480/365*($S480-AD480+1),$V480/365*(AE480-$R480+1))))),0)</f>
        <v>0</v>
      </c>
      <c r="AG480" s="163">
        <f t="shared" ref="AG480:AG482" si="5629">AE480+1</f>
        <v>45748</v>
      </c>
      <c r="AH480" s="163">
        <f t="shared" ref="AH480:AH482" si="5630">AG480+29</f>
        <v>45777</v>
      </c>
      <c r="AI480" s="167">
        <f t="shared" ref="AI480:AI482" si="5631">IFERROR(IF(($R480-AH480)&gt;=0,0,IF(($S480-AG480)&lt;0,0,IF(AND(($S480-AH480)&gt;0,(AG480-$R480)&gt;0),$V480/365*(AH480-AG480+1),IF(AND(($S480-AH480)&lt;=0,(AG480-$R480)&gt;0),$V480/365*($S480-AG480+1),$V480/365*(AH480-$R480+1))))),0)</f>
        <v>0</v>
      </c>
      <c r="AJ480" s="163">
        <f t="shared" ref="AJ480:AJ482" si="5632">AH480+1</f>
        <v>45778</v>
      </c>
      <c r="AK480" s="163">
        <f t="shared" ref="AK480:AK482" si="5633">AJ480+30</f>
        <v>45808</v>
      </c>
      <c r="AL480" s="167">
        <f t="shared" ref="AL480:AL482" si="5634">IFERROR(IF(($R480-AK480)&gt;=0,0,IF(($S480-AJ480)&lt;0,0,IF(AND(($S480-AK480)&gt;0,(AJ480-$R480)&gt;0),$V480/365*(AK480-AJ480+1),IF(AND(($S480-AK480)&lt;=0,(AJ480-$R480)&gt;0),$V480/365*($S480-AJ480+1),$V480/365*(AK480-$R480+1))))),0)</f>
        <v>0</v>
      </c>
      <c r="AM480" s="163">
        <f t="shared" ref="AM480:AM482" si="5635">AK480+1</f>
        <v>45809</v>
      </c>
      <c r="AN480" s="163">
        <f t="shared" ref="AN480:AN482" si="5636">AM480+29</f>
        <v>45838</v>
      </c>
      <c r="AO480" s="167">
        <f t="shared" ref="AO480:AO482" si="5637">IFERROR(IF(($R480-AN480)&gt;=0,0,IF(($S480-AM480)&lt;0,0,IF(AND(($S480-AN480)&gt;0,(AM480-$R480)&gt;0),$V480/365*(AN480-AM480+1),IF(AND(($S480-AN480)&lt;=0,(AM480-$R480)&gt;0),$V480/365*($S480-AM480+1),$V480/365*(AN480-$R480+1))))),0)</f>
        <v>0</v>
      </c>
      <c r="AP480" s="163">
        <f t="shared" ref="AP480:AP482" si="5638">AN480+1</f>
        <v>45839</v>
      </c>
      <c r="AQ480" s="163">
        <f t="shared" ref="AQ480:AQ482" si="5639">AP480+30</f>
        <v>45869</v>
      </c>
      <c r="AR480" s="167">
        <f t="shared" ref="AR480:AR482" si="5640">IFERROR(IF(($R480-AQ480)&gt;=0,0,IF(($S480-AP480)&lt;0,0,IF(AND(($S480-AQ480)&gt;0,(AP480-$R480)&gt;0),$V480/365*(AQ480-AP480+1),IF(AND(($S480-AQ480)&lt;=0,(AP480-$R480)&gt;0),$V480/365*($S480-AP480+1),$V480/365*(AQ480-$R480+1))))),0)</f>
        <v>0</v>
      </c>
      <c r="AS480" s="163">
        <f t="shared" ref="AS480:AS482" si="5641">AQ480+1</f>
        <v>45870</v>
      </c>
      <c r="AT480" s="163">
        <f t="shared" ref="AT480:AT482" si="5642">AS480+30</f>
        <v>45900</v>
      </c>
      <c r="AU480" s="167">
        <f t="shared" ref="AU480:AU482" si="5643">IFERROR(IF(($R480-AT480)&gt;=0,0,IF(($S480-AS480)&lt;0,0,IF(AND(($S480-AT480)&gt;0,(AS480-$R480)&gt;0),$V480/365*(AT480-AS480+1),IF(AND(($S480-AT480)&lt;=0,(AS480-$R480)&gt;0),$V480/365*($S480-AS480+1),$V480/365*(AT480-$R480+1))))),0)</f>
        <v>0</v>
      </c>
      <c r="AV480" s="163">
        <f t="shared" ref="AV480:AV482" si="5644">AT480+1</f>
        <v>45901</v>
      </c>
      <c r="AW480" s="163">
        <f t="shared" ref="AW480:AW482" si="5645">AV480+29</f>
        <v>45930</v>
      </c>
      <c r="AX480" s="167">
        <f t="shared" ref="AX480:AX482" si="5646">IFERROR(IF(($R480-AW480)&gt;=0,0,IF(($S480-AV480)&lt;0,0,IF(AND(($S480-AW480)&gt;0,(AV480-$R480)&gt;0),$V480/365*(AW480-AV480+1),IF(AND(($S480-AW480)&lt;=0,(AV480-$R480)&gt;0),$V480/365*($S480-AV480+1),$V480/365*(AW480-$R480+1))))),0)</f>
        <v>0</v>
      </c>
      <c r="AY480" s="163">
        <f t="shared" ref="AY480:AY482" si="5647">AW480+1</f>
        <v>45931</v>
      </c>
      <c r="AZ480" s="163">
        <f t="shared" ref="AZ480:AZ482" si="5648">AY480+30</f>
        <v>45961</v>
      </c>
      <c r="BA480" s="167">
        <f t="shared" ref="BA480:BA482" si="5649">IFERROR(IF(($R480-AZ480)&gt;=0,0,IF(($S480-AY480)&lt;0,0,IF(AND(($S480-AZ480)&gt;0,(AY480-$R480)&gt;0),$V480/365*(AZ480-AY480+1),IF(AND(($S480-AZ480)&lt;=0,(AY480-$R480)&gt;0),$V480/365*($S480-AY480+1),$V480/365*(AZ480-$R480+1))))),0)</f>
        <v>0</v>
      </c>
      <c r="BB480" s="163">
        <f t="shared" ref="BB480:BB482" si="5650">AZ480+1</f>
        <v>45962</v>
      </c>
      <c r="BC480" s="163">
        <f t="shared" ref="BC480:BC482" si="5651">BB480+29</f>
        <v>45991</v>
      </c>
      <c r="BD480" s="167">
        <f t="shared" ref="BD480:BD482" si="5652">IFERROR(IF(($R480-BC480)&gt;=0,0,IF(($S480-BB480)&lt;0,0,IF(AND(($S480-BC480)&gt;0,(BB480-$R480)&gt;0),$V480/365*(BC480-BB480+1),IF(AND(($S480-BC480)&lt;=0,(BB480-$R480)&gt;0),$V480/365*($S480-BB480+1),$V480/365*(BC480-$R480+1))))),0)</f>
        <v>0</v>
      </c>
      <c r="BE480" s="163">
        <f t="shared" ref="BE480:BE482" si="5653">BC480+1</f>
        <v>45992</v>
      </c>
      <c r="BF480" s="163">
        <f t="shared" ref="BF480:BF482" si="5654">BE480+30</f>
        <v>46022</v>
      </c>
      <c r="BG480" s="167">
        <f t="shared" ref="BG480:BG482" si="5655">IFERROR(IF(($R480-BF480)&gt;=0,0,IF(($S480-BE480)&lt;0,0,IF(AND(($S480-BF480)&gt;0,(BE480-$R480)&gt;0),$V480/365*(BF480-BE480+1),IF(AND(($S480-BF480)&lt;=0,(BE480-$R480)&gt;0),$V480/365*($S480-BE480+1),$V480/365*(BF480-$R480+1))))),0)</f>
        <v>0</v>
      </c>
      <c r="BH480" s="163">
        <v>46023</v>
      </c>
      <c r="BI480" s="163">
        <f t="shared" ref="BI480:BI482" si="5656">BH480+30</f>
        <v>46053</v>
      </c>
      <c r="BJ480" s="167">
        <f t="shared" ref="BJ480:BJ482" si="5657">IFERROR(IF(($R480-BI480)&gt;=0,0,IF(($S480-BH480)&lt;0,0,IF(AND(($S480-BI480)&gt;0,(BH480-$R480)&gt;0),$V480/365*(BI480-BH480+1),IF(AND(($S480-BI480)&lt;=0,(BH480-$R480)&gt;0),$V480/365*($S480-BH480+1),$V480/365*(BI480-$R480+1))))),0)</f>
        <v>0</v>
      </c>
      <c r="BK480" s="163">
        <f t="shared" ref="BK480:BK482" si="5658">BI480+1</f>
        <v>46054</v>
      </c>
      <c r="BL480" s="163">
        <f t="shared" ref="BL480:BL482" si="5659">BK480+27</f>
        <v>46081</v>
      </c>
      <c r="BM480" s="167">
        <f t="shared" ref="BM480:BM482" si="5660">IFERROR(IF(($R480-BL480)&gt;=0,0,IF(($S480-BK480)&lt;0,0,IF(AND(($S480-BL480)&gt;0,(BK480-$R480)&gt;0),$V480/365*(BL480-BK480+1),IF(AND(($S480-BL480)&lt;=0,(BK480-$R480)&gt;0),$V480/365*($S480-BK480+1),$V480/365*(BL480-$R480+1))))),0)</f>
        <v>0</v>
      </c>
      <c r="BN480" s="163">
        <f t="shared" ref="BN480:BN482" si="5661">BL480+1</f>
        <v>46082</v>
      </c>
      <c r="BO480" s="163">
        <f t="shared" ref="BO480:BO482" si="5662">BN480+30</f>
        <v>46112</v>
      </c>
      <c r="BP480" s="167">
        <f t="shared" ref="BP480:BP482" si="5663">IFERROR(IF(($R480-BO480)&gt;=0,0,IF(($S480-BN480)&lt;0,0,IF(AND(($S480-BO480)&gt;0,(BN480-$R480)&gt;0),$V480/365*(BO480-BN480+1),IF(AND(($S480-BO480)&lt;=0,(BN480-$R480)&gt;0),$V480/365*($S480-BN480+1),$V480/365*(BO480-$R480+1))))),0)</f>
        <v>0</v>
      </c>
      <c r="BQ480" s="163">
        <f t="shared" ref="BQ480:BQ482" si="5664">BO480+1</f>
        <v>46113</v>
      </c>
      <c r="BR480" s="163">
        <f t="shared" ref="BR480:BR482" si="5665">BQ480+29</f>
        <v>46142</v>
      </c>
      <c r="BS480" s="167">
        <f t="shared" ref="BS480:BS482" si="5666">IFERROR(IF(($R480-BR480)&gt;=0,0,IF(($S480-BQ480)&lt;0,0,IF(AND(($S480-BR480)&gt;0,(BQ480-$R480)&gt;0),$V480/365*(BR480-BQ480+1),IF(AND(($S480-BR480)&lt;=0,(BQ480-$R480)&gt;0),$V480/365*($S480-BQ480+1),$V480/365*(BR480-$R480+1))))),0)</f>
        <v>0</v>
      </c>
      <c r="BT480" s="163">
        <f t="shared" ref="BT480:BT482" si="5667">BR480+1</f>
        <v>46143</v>
      </c>
      <c r="BU480" s="163">
        <f t="shared" ref="BU480:BU482" si="5668">BT480+30</f>
        <v>46173</v>
      </c>
      <c r="BV480" s="167">
        <f t="shared" ref="BV480:BV482" si="5669">IFERROR(IF(($R480-BU480)&gt;=0,0,IF(($S480-BT480)&lt;0,0,IF(AND(($S480-BU480)&gt;0,(BT480-$R480)&gt;0),$V480/365*(BU480-BT480+1),IF(AND(($S480-BU480)&lt;=0,(BT480-$R480)&gt;0),$V480/365*($S480-BT480+1),$V480/365*(BU480-$R480+1))))),0)</f>
        <v>0</v>
      </c>
      <c r="BW480" s="163">
        <f t="shared" ref="BW480:BW482" si="5670">BU480+1</f>
        <v>46174</v>
      </c>
      <c r="BX480" s="163">
        <f t="shared" ref="BX480:BX482" si="5671">BW480+29</f>
        <v>46203</v>
      </c>
      <c r="BY480" s="167">
        <f t="shared" ref="BY480:BY482" si="5672">IFERROR(IF(($R480-BX480)&gt;=0,0,IF(($S480-BW480)&lt;0,0,IF(AND(($S480-BX480)&gt;0,(BW480-$R480)&gt;0),$V480/365*(BX480-BW480+1),IF(AND(($S480-BX480)&lt;=0,(BW480-$R480)&gt;0),$V480/365*($S480-BW480+1),$V480/365*(BX480-$R480+1))))),0)</f>
        <v>0</v>
      </c>
      <c r="BZ480" s="163">
        <f t="shared" ref="BZ480:BZ482" si="5673">BX480+1</f>
        <v>46204</v>
      </c>
      <c r="CA480" s="163">
        <f t="shared" ref="CA480:CA482" si="5674">BZ480+30</f>
        <v>46234</v>
      </c>
      <c r="CB480" s="167">
        <f t="shared" ref="CB480:CB482" si="5675">IFERROR(IF(($R480-CA480)&gt;=0,0,IF(($S480-BZ480)&lt;0,0,IF(AND(($S480-CA480)&gt;0,(BZ480-$R480)&gt;0),$V480/365*(CA480-BZ480+1),IF(AND(($S480-CA480)&lt;=0,(BZ480-$R480)&gt;0),$V480/365*($S480-BZ480+1),$V480/365*(CA480-$R480+1))))),0)</f>
        <v>0</v>
      </c>
      <c r="CC480" s="163">
        <f t="shared" ref="CC480:CC482" si="5676">CA480+1</f>
        <v>46235</v>
      </c>
      <c r="CD480" s="163">
        <f t="shared" ref="CD480:CD482" si="5677">CC480+30</f>
        <v>46265</v>
      </c>
      <c r="CE480" s="167">
        <f t="shared" ref="CE480:CE482" si="5678">IFERROR(IF(($R480-CD480)&gt;=0,0,IF(($S480-CC480)&lt;0,0,IF(AND(($S480-CD480)&gt;0,(CC480-$R480)&gt;0),$V480/365*(CD480-CC480+1),IF(AND(($S480-CD480)&lt;=0,(CC480-$R480)&gt;0),$V480/365*($S480-CC480+1),$V480/365*(CD480-$R480+1))))),0)</f>
        <v>0</v>
      </c>
      <c r="CF480" s="163">
        <f t="shared" ref="CF480:CF482" si="5679">CD480+1</f>
        <v>46266</v>
      </c>
      <c r="CG480" s="163">
        <f t="shared" ref="CG480:CG482" si="5680">CF480+29</f>
        <v>46295</v>
      </c>
      <c r="CH480" s="167">
        <f t="shared" ref="CH480:CH482" si="5681">IFERROR(IF(($R480-CG480)&gt;=0,0,IF(($S480-CF480)&lt;0,0,IF(AND(($S480-CG480)&gt;0,(CF480-$R480)&gt;0),$V480/365*(CG480-CF480+1),IF(AND(($S480-CG480)&lt;=0,(CF480-$R480)&gt;0),$V480/365*($S480-CF480+1),$V480/365*(CG480-$R480+1))))),0)</f>
        <v>0</v>
      </c>
      <c r="CI480" s="163">
        <f t="shared" ref="CI480:CI482" si="5682">CG480+1</f>
        <v>46296</v>
      </c>
      <c r="CJ480" s="163">
        <f t="shared" ref="CJ480:CJ482" si="5683">CI480+30</f>
        <v>46326</v>
      </c>
      <c r="CK480" s="167">
        <f t="shared" ref="CK480:CK482" si="5684">IFERROR(IF(($R480-CJ480)&gt;=0,0,IF(($S480-CI480)&lt;0,0,IF(AND(($S480-CJ480)&gt;0,(CI480-$R480)&gt;0),$V480/365*(CJ480-CI480+1),IF(AND(($S480-CJ480)&lt;=0,(CI480-$R480)&gt;0),$V480/365*($S480-CI480+1),$V480/365*(CJ480-$R480+1))))),0)</f>
        <v>0</v>
      </c>
      <c r="CL480" s="163">
        <f t="shared" ref="CL480:CL482" si="5685">CJ480+1</f>
        <v>46327</v>
      </c>
      <c r="CM480" s="163">
        <f t="shared" ref="CM480:CM482" si="5686">CL480+29</f>
        <v>46356</v>
      </c>
      <c r="CN480" s="167">
        <f t="shared" ref="CN480:CN482" si="5687">IFERROR(IF(($R480-CM480)&gt;=0,0,IF(($S480-CL480)&lt;0,0,IF(AND(($S480-CM480)&gt;0,(CL480-$R480)&gt;0),$V480/365*(CM480-CL480+1),IF(AND(($S480-CM480)&lt;=0,(CL480-$R480)&gt;0),$V480/365*($S480-CL480+1),$V480/365*(CM480-$R480+1))))),0)</f>
        <v>0</v>
      </c>
      <c r="CO480" s="163">
        <f t="shared" ref="CO480:CO482" si="5688">CM480+1</f>
        <v>46357</v>
      </c>
      <c r="CP480" s="163">
        <f t="shared" ref="CP480:CP482" si="5689">CO480+30</f>
        <v>46387</v>
      </c>
      <c r="CQ480" s="167">
        <f t="shared" ref="CQ480:CQ482" si="5690">IFERROR(IF(($R480-CP480)&gt;=0,0,IF(($S480-CO480)&lt;0,0,IF(AND(($S480-CP480)&gt;0,(CO480-$R480)&gt;0),$V480/365*(CP480-CO480+1),IF(AND(($S480-CP480)&lt;=0,(CO480-$R480)&gt;0),$V480/365*($S480-CO480+1),$V480/365*(CP480-$R480+1))))),0)</f>
        <v>0</v>
      </c>
    </row>
    <row r="481" s="89" customFormat="1" ht="24" hidden="1" customHeight="1" outlineLevel="3" spans="1:95">
      <c r="A481" s="128"/>
      <c r="B481" s="129"/>
      <c r="C481" s="130"/>
      <c r="D481" s="128"/>
      <c r="E481" s="129"/>
      <c r="F481" s="129"/>
      <c r="G481" s="129"/>
      <c r="H481" s="131"/>
      <c r="I481" s="131"/>
      <c r="J481" s="131">
        <f t="shared" si="5367"/>
        <v>19962.8114285714</v>
      </c>
      <c r="K481" s="131">
        <f t="shared" si="5619"/>
        <v>2</v>
      </c>
      <c r="L481" s="156" t="s">
        <v>2860</v>
      </c>
      <c r="M481" s="157" t="str">
        <f>IFERROR(VLOOKUP($L481,'2-2 引出数据_合同数据仓库'!$B$5:$BP$200,3,FALSE),0)</f>
        <v>深圳中海油大厦人脸识别机维修费率合同</v>
      </c>
      <c r="N481" s="131"/>
      <c r="O481" s="157">
        <f>IFERROR(VLOOKUP((LEFT(VLOOKUP($L481,'2-2 引出数据_合同数据仓库'!$B$5:$BP$200,64,FALSE),15)&amp;(RIGHT(VLOOKUP($L481,'2-2 引出数据_合同数据仓库'!$B$5:$BP$200,64,FALSE),4)+1)),'2-2 引出数据_合同数据仓库'!$B$5:$BP$200,3,FALSE),0)</f>
        <v>0</v>
      </c>
      <c r="P481" s="131"/>
      <c r="Q481" s="131" t="str">
        <f>IFERROR(VLOOKUP($L481,'2-2 引出数据_合同数据仓库'!$B$5:$BP$200,28,FALSE),0)</f>
        <v>2023-08-10</v>
      </c>
      <c r="R481" s="131" t="str">
        <f>IFERROR(VLOOKUP($L481,'2-2 引出数据_合同数据仓库'!$B$5:$BP$200,29,FALSE),0)</f>
        <v>2023-08-10</v>
      </c>
      <c r="S481" s="131" t="str">
        <f>IFERROR(VLOOKUP($L481,'2-2 引出数据_合同数据仓库'!$B$5:$BP$200,4,FALSE),0)</f>
        <v>2025-04-30</v>
      </c>
      <c r="T481" s="131"/>
      <c r="U481" s="131">
        <f>IFERROR(VLOOKUP($L481,'2-2 引出数据_合同数据仓库'!$B$5:$BP$200,15,FALSE),0)</f>
        <v>104804.76</v>
      </c>
      <c r="V481" s="131">
        <f t="shared" si="5620"/>
        <v>60720.2180952381</v>
      </c>
      <c r="W481" s="131"/>
      <c r="X481" s="163">
        <v>45658</v>
      </c>
      <c r="Y481" s="163">
        <f t="shared" si="5621"/>
        <v>45688</v>
      </c>
      <c r="Z481" s="167">
        <f t="shared" si="5622"/>
        <v>5157.05961904762</v>
      </c>
      <c r="AA481" s="163">
        <f t="shared" si="5623"/>
        <v>45689</v>
      </c>
      <c r="AB481" s="163">
        <f t="shared" si="5624"/>
        <v>45716</v>
      </c>
      <c r="AC481" s="167">
        <f t="shared" si="5625"/>
        <v>4657.98933333333</v>
      </c>
      <c r="AD481" s="163">
        <f t="shared" si="5626"/>
        <v>45717</v>
      </c>
      <c r="AE481" s="163">
        <f t="shared" si="5627"/>
        <v>45747</v>
      </c>
      <c r="AF481" s="167">
        <f t="shared" si="5628"/>
        <v>5157.05961904762</v>
      </c>
      <c r="AG481" s="163">
        <f t="shared" si="5629"/>
        <v>45748</v>
      </c>
      <c r="AH481" s="163">
        <f t="shared" si="5630"/>
        <v>45777</v>
      </c>
      <c r="AI481" s="167">
        <f t="shared" si="5631"/>
        <v>4990.70285714286</v>
      </c>
      <c r="AJ481" s="163">
        <f t="shared" si="5632"/>
        <v>45778</v>
      </c>
      <c r="AK481" s="163">
        <f t="shared" si="5633"/>
        <v>45808</v>
      </c>
      <c r="AL481" s="167">
        <f t="shared" si="5634"/>
        <v>0</v>
      </c>
      <c r="AM481" s="163">
        <f t="shared" si="5635"/>
        <v>45809</v>
      </c>
      <c r="AN481" s="163">
        <f t="shared" si="5636"/>
        <v>45838</v>
      </c>
      <c r="AO481" s="167">
        <f t="shared" si="5637"/>
        <v>0</v>
      </c>
      <c r="AP481" s="163">
        <f t="shared" si="5638"/>
        <v>45839</v>
      </c>
      <c r="AQ481" s="163">
        <f t="shared" si="5639"/>
        <v>45869</v>
      </c>
      <c r="AR481" s="167">
        <f t="shared" si="5640"/>
        <v>0</v>
      </c>
      <c r="AS481" s="163">
        <f t="shared" si="5641"/>
        <v>45870</v>
      </c>
      <c r="AT481" s="163">
        <f t="shared" si="5642"/>
        <v>45900</v>
      </c>
      <c r="AU481" s="167">
        <f t="shared" si="5643"/>
        <v>0</v>
      </c>
      <c r="AV481" s="163">
        <f t="shared" si="5644"/>
        <v>45901</v>
      </c>
      <c r="AW481" s="163">
        <f t="shared" si="5645"/>
        <v>45930</v>
      </c>
      <c r="AX481" s="167">
        <f t="shared" si="5646"/>
        <v>0</v>
      </c>
      <c r="AY481" s="163">
        <f t="shared" si="5647"/>
        <v>45931</v>
      </c>
      <c r="AZ481" s="163">
        <f t="shared" si="5648"/>
        <v>45961</v>
      </c>
      <c r="BA481" s="167">
        <f t="shared" si="5649"/>
        <v>0</v>
      </c>
      <c r="BB481" s="163">
        <f t="shared" si="5650"/>
        <v>45962</v>
      </c>
      <c r="BC481" s="163">
        <f t="shared" si="5651"/>
        <v>45991</v>
      </c>
      <c r="BD481" s="167">
        <f t="shared" si="5652"/>
        <v>0</v>
      </c>
      <c r="BE481" s="163">
        <f t="shared" si="5653"/>
        <v>45992</v>
      </c>
      <c r="BF481" s="163">
        <f t="shared" si="5654"/>
        <v>46022</v>
      </c>
      <c r="BG481" s="167">
        <f t="shared" si="5655"/>
        <v>0</v>
      </c>
      <c r="BH481" s="163">
        <v>46023</v>
      </c>
      <c r="BI481" s="163">
        <f t="shared" si="5656"/>
        <v>46053</v>
      </c>
      <c r="BJ481" s="167">
        <f t="shared" si="5657"/>
        <v>0</v>
      </c>
      <c r="BK481" s="163">
        <f t="shared" si="5658"/>
        <v>46054</v>
      </c>
      <c r="BL481" s="163">
        <f t="shared" si="5659"/>
        <v>46081</v>
      </c>
      <c r="BM481" s="167">
        <f t="shared" si="5660"/>
        <v>0</v>
      </c>
      <c r="BN481" s="163">
        <f t="shared" si="5661"/>
        <v>46082</v>
      </c>
      <c r="BO481" s="163">
        <f t="shared" si="5662"/>
        <v>46112</v>
      </c>
      <c r="BP481" s="167">
        <f t="shared" si="5663"/>
        <v>0</v>
      </c>
      <c r="BQ481" s="163">
        <f t="shared" si="5664"/>
        <v>46113</v>
      </c>
      <c r="BR481" s="163">
        <f t="shared" si="5665"/>
        <v>46142</v>
      </c>
      <c r="BS481" s="167">
        <f t="shared" si="5666"/>
        <v>0</v>
      </c>
      <c r="BT481" s="163">
        <f t="shared" si="5667"/>
        <v>46143</v>
      </c>
      <c r="BU481" s="163">
        <f t="shared" si="5668"/>
        <v>46173</v>
      </c>
      <c r="BV481" s="167">
        <f t="shared" si="5669"/>
        <v>0</v>
      </c>
      <c r="BW481" s="163">
        <f t="shared" si="5670"/>
        <v>46174</v>
      </c>
      <c r="BX481" s="163">
        <f t="shared" si="5671"/>
        <v>46203</v>
      </c>
      <c r="BY481" s="167">
        <f t="shared" si="5672"/>
        <v>0</v>
      </c>
      <c r="BZ481" s="163">
        <f t="shared" si="5673"/>
        <v>46204</v>
      </c>
      <c r="CA481" s="163">
        <f t="shared" si="5674"/>
        <v>46234</v>
      </c>
      <c r="CB481" s="167">
        <f t="shared" si="5675"/>
        <v>0</v>
      </c>
      <c r="CC481" s="163">
        <f t="shared" si="5676"/>
        <v>46235</v>
      </c>
      <c r="CD481" s="163">
        <f t="shared" si="5677"/>
        <v>46265</v>
      </c>
      <c r="CE481" s="167">
        <f t="shared" si="5678"/>
        <v>0</v>
      </c>
      <c r="CF481" s="163">
        <f t="shared" si="5679"/>
        <v>46266</v>
      </c>
      <c r="CG481" s="163">
        <f t="shared" si="5680"/>
        <v>46295</v>
      </c>
      <c r="CH481" s="167">
        <f t="shared" si="5681"/>
        <v>0</v>
      </c>
      <c r="CI481" s="163">
        <f t="shared" si="5682"/>
        <v>46296</v>
      </c>
      <c r="CJ481" s="163">
        <f t="shared" si="5683"/>
        <v>46326</v>
      </c>
      <c r="CK481" s="167">
        <f t="shared" si="5684"/>
        <v>0</v>
      </c>
      <c r="CL481" s="163">
        <f t="shared" si="5685"/>
        <v>46327</v>
      </c>
      <c r="CM481" s="163">
        <f t="shared" si="5686"/>
        <v>46356</v>
      </c>
      <c r="CN481" s="167">
        <f t="shared" si="5687"/>
        <v>0</v>
      </c>
      <c r="CO481" s="163">
        <f t="shared" si="5688"/>
        <v>46357</v>
      </c>
      <c r="CP481" s="163">
        <f t="shared" si="5689"/>
        <v>46387</v>
      </c>
      <c r="CQ481" s="167">
        <f t="shared" si="5690"/>
        <v>0</v>
      </c>
    </row>
    <row r="482" s="89" customFormat="1" ht="24" hidden="1" customHeight="1" outlineLevel="3" collapsed="1" spans="1:95">
      <c r="A482" s="128"/>
      <c r="B482" s="129"/>
      <c r="C482" s="130"/>
      <c r="D482" s="128"/>
      <c r="E482" s="129"/>
      <c r="F482" s="129"/>
      <c r="G482" s="129"/>
      <c r="H482" s="131"/>
      <c r="I482" s="131"/>
      <c r="J482" s="131">
        <f t="shared" si="5367"/>
        <v>0</v>
      </c>
      <c r="K482" s="131">
        <f t="shared" si="5619"/>
        <v>3</v>
      </c>
      <c r="L482" s="156"/>
      <c r="M482" s="157">
        <f>IFERROR(VLOOKUP($L482,'2-2 引出数据_合同数据仓库'!$B$5:$BP$200,3,FALSE),0)</f>
        <v>0</v>
      </c>
      <c r="N482" s="131"/>
      <c r="O482" s="157">
        <f>IFERROR(VLOOKUP((LEFT(VLOOKUP($L482,'2-2 引出数据_合同数据仓库'!$B$5:$BP$200,64,FALSE),15)&amp;(RIGHT(VLOOKUP($L482,'2-2 引出数据_合同数据仓库'!$B$5:$BP$200,64,FALSE),4)+1)),'2-2 引出数据_合同数据仓库'!$B$5:$BP$200,3,FALSE),0)</f>
        <v>0</v>
      </c>
      <c r="P482" s="131"/>
      <c r="Q482" s="131">
        <f>IFERROR(VLOOKUP($L482,'2-2 引出数据_合同数据仓库'!$B$5:$BP$200,28,FALSE),0)</f>
        <v>0</v>
      </c>
      <c r="R482" s="131">
        <f>IFERROR(VLOOKUP($L482,'2-2 引出数据_合同数据仓库'!$B$5:$BP$200,29,FALSE),0)</f>
        <v>0</v>
      </c>
      <c r="S482" s="131">
        <f>IFERROR(VLOOKUP($L482,'2-2 引出数据_合同数据仓库'!$B$5:$BP$200,4,FALSE),0)</f>
        <v>0</v>
      </c>
      <c r="T482" s="131"/>
      <c r="U482" s="131">
        <f>IFERROR(VLOOKUP($L482,'2-2 引出数据_合同数据仓库'!$B$5:$BP$200,15,FALSE),0)</f>
        <v>0</v>
      </c>
      <c r="V482" s="131">
        <f t="shared" si="5620"/>
        <v>0</v>
      </c>
      <c r="W482" s="131"/>
      <c r="X482" s="163">
        <v>45658</v>
      </c>
      <c r="Y482" s="163">
        <f t="shared" si="5621"/>
        <v>45688</v>
      </c>
      <c r="Z482" s="167">
        <f t="shared" si="5622"/>
        <v>0</v>
      </c>
      <c r="AA482" s="163">
        <f t="shared" si="5623"/>
        <v>45689</v>
      </c>
      <c r="AB482" s="163">
        <f t="shared" si="5624"/>
        <v>45716</v>
      </c>
      <c r="AC482" s="167">
        <f t="shared" si="5625"/>
        <v>0</v>
      </c>
      <c r="AD482" s="163">
        <f t="shared" si="5626"/>
        <v>45717</v>
      </c>
      <c r="AE482" s="163">
        <f t="shared" si="5627"/>
        <v>45747</v>
      </c>
      <c r="AF482" s="167">
        <f t="shared" si="5628"/>
        <v>0</v>
      </c>
      <c r="AG482" s="163">
        <f t="shared" si="5629"/>
        <v>45748</v>
      </c>
      <c r="AH482" s="163">
        <f t="shared" si="5630"/>
        <v>45777</v>
      </c>
      <c r="AI482" s="167">
        <f t="shared" si="5631"/>
        <v>0</v>
      </c>
      <c r="AJ482" s="163">
        <f t="shared" si="5632"/>
        <v>45778</v>
      </c>
      <c r="AK482" s="163">
        <f t="shared" si="5633"/>
        <v>45808</v>
      </c>
      <c r="AL482" s="167">
        <f t="shared" si="5634"/>
        <v>0</v>
      </c>
      <c r="AM482" s="163">
        <f t="shared" si="5635"/>
        <v>45809</v>
      </c>
      <c r="AN482" s="163">
        <f t="shared" si="5636"/>
        <v>45838</v>
      </c>
      <c r="AO482" s="167">
        <f t="shared" si="5637"/>
        <v>0</v>
      </c>
      <c r="AP482" s="163">
        <f t="shared" si="5638"/>
        <v>45839</v>
      </c>
      <c r="AQ482" s="163">
        <f t="shared" si="5639"/>
        <v>45869</v>
      </c>
      <c r="AR482" s="167">
        <f t="shared" si="5640"/>
        <v>0</v>
      </c>
      <c r="AS482" s="163">
        <f t="shared" si="5641"/>
        <v>45870</v>
      </c>
      <c r="AT482" s="163">
        <f t="shared" si="5642"/>
        <v>45900</v>
      </c>
      <c r="AU482" s="167">
        <f t="shared" si="5643"/>
        <v>0</v>
      </c>
      <c r="AV482" s="163">
        <f t="shared" si="5644"/>
        <v>45901</v>
      </c>
      <c r="AW482" s="163">
        <f t="shared" si="5645"/>
        <v>45930</v>
      </c>
      <c r="AX482" s="167">
        <f t="shared" si="5646"/>
        <v>0</v>
      </c>
      <c r="AY482" s="163">
        <f t="shared" si="5647"/>
        <v>45931</v>
      </c>
      <c r="AZ482" s="163">
        <f t="shared" si="5648"/>
        <v>45961</v>
      </c>
      <c r="BA482" s="167">
        <f t="shared" si="5649"/>
        <v>0</v>
      </c>
      <c r="BB482" s="163">
        <f t="shared" si="5650"/>
        <v>45962</v>
      </c>
      <c r="BC482" s="163">
        <f t="shared" si="5651"/>
        <v>45991</v>
      </c>
      <c r="BD482" s="167">
        <f t="shared" si="5652"/>
        <v>0</v>
      </c>
      <c r="BE482" s="163">
        <f t="shared" si="5653"/>
        <v>45992</v>
      </c>
      <c r="BF482" s="163">
        <f t="shared" si="5654"/>
        <v>46022</v>
      </c>
      <c r="BG482" s="167">
        <f t="shared" si="5655"/>
        <v>0</v>
      </c>
      <c r="BH482" s="163">
        <v>46023</v>
      </c>
      <c r="BI482" s="163">
        <f t="shared" si="5656"/>
        <v>46053</v>
      </c>
      <c r="BJ482" s="167">
        <f t="shared" si="5657"/>
        <v>0</v>
      </c>
      <c r="BK482" s="163">
        <f t="shared" si="5658"/>
        <v>46054</v>
      </c>
      <c r="BL482" s="163">
        <f t="shared" si="5659"/>
        <v>46081</v>
      </c>
      <c r="BM482" s="167">
        <f t="shared" si="5660"/>
        <v>0</v>
      </c>
      <c r="BN482" s="163">
        <f t="shared" si="5661"/>
        <v>46082</v>
      </c>
      <c r="BO482" s="163">
        <f t="shared" si="5662"/>
        <v>46112</v>
      </c>
      <c r="BP482" s="167">
        <f t="shared" si="5663"/>
        <v>0</v>
      </c>
      <c r="BQ482" s="163">
        <f t="shared" si="5664"/>
        <v>46113</v>
      </c>
      <c r="BR482" s="163">
        <f t="shared" si="5665"/>
        <v>46142</v>
      </c>
      <c r="BS482" s="167">
        <f t="shared" si="5666"/>
        <v>0</v>
      </c>
      <c r="BT482" s="163">
        <f t="shared" si="5667"/>
        <v>46143</v>
      </c>
      <c r="BU482" s="163">
        <f t="shared" si="5668"/>
        <v>46173</v>
      </c>
      <c r="BV482" s="167">
        <f t="shared" si="5669"/>
        <v>0</v>
      </c>
      <c r="BW482" s="163">
        <f t="shared" si="5670"/>
        <v>46174</v>
      </c>
      <c r="BX482" s="163">
        <f t="shared" si="5671"/>
        <v>46203</v>
      </c>
      <c r="BY482" s="167">
        <f t="shared" si="5672"/>
        <v>0</v>
      </c>
      <c r="BZ482" s="163">
        <f t="shared" si="5673"/>
        <v>46204</v>
      </c>
      <c r="CA482" s="163">
        <f t="shared" si="5674"/>
        <v>46234</v>
      </c>
      <c r="CB482" s="167">
        <f t="shared" si="5675"/>
        <v>0</v>
      </c>
      <c r="CC482" s="163">
        <f t="shared" si="5676"/>
        <v>46235</v>
      </c>
      <c r="CD482" s="163">
        <f t="shared" si="5677"/>
        <v>46265</v>
      </c>
      <c r="CE482" s="167">
        <f t="shared" si="5678"/>
        <v>0</v>
      </c>
      <c r="CF482" s="163">
        <f t="shared" si="5679"/>
        <v>46266</v>
      </c>
      <c r="CG482" s="163">
        <f t="shared" si="5680"/>
        <v>46295</v>
      </c>
      <c r="CH482" s="167">
        <f t="shared" si="5681"/>
        <v>0</v>
      </c>
      <c r="CI482" s="163">
        <f t="shared" si="5682"/>
        <v>46296</v>
      </c>
      <c r="CJ482" s="163">
        <f t="shared" si="5683"/>
        <v>46326</v>
      </c>
      <c r="CK482" s="167">
        <f t="shared" si="5684"/>
        <v>0</v>
      </c>
      <c r="CL482" s="163">
        <f t="shared" si="5685"/>
        <v>46327</v>
      </c>
      <c r="CM482" s="163">
        <f t="shared" si="5686"/>
        <v>46356</v>
      </c>
      <c r="CN482" s="167">
        <f t="shared" si="5687"/>
        <v>0</v>
      </c>
      <c r="CO482" s="163">
        <f t="shared" si="5688"/>
        <v>46357</v>
      </c>
      <c r="CP482" s="163">
        <f t="shared" si="5689"/>
        <v>46387</v>
      </c>
      <c r="CQ482" s="167">
        <f t="shared" si="5690"/>
        <v>0</v>
      </c>
    </row>
    <row r="483" s="89" customFormat="1" ht="24" hidden="1" customHeight="1" outlineLevel="4" spans="1:95">
      <c r="A483" s="132" t="s">
        <v>2813</v>
      </c>
      <c r="B483" s="133"/>
      <c r="C483" s="133"/>
      <c r="D483" s="133"/>
      <c r="E483" s="133"/>
      <c r="F483" s="133"/>
      <c r="G483" s="134"/>
      <c r="H483" s="135"/>
      <c r="I483" s="135"/>
      <c r="J483" s="135"/>
      <c r="K483" s="135"/>
      <c r="L483" s="158"/>
      <c r="M483" s="158"/>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c r="CL483" s="135"/>
      <c r="CM483" s="135"/>
      <c r="CN483" s="135"/>
      <c r="CO483" s="135"/>
      <c r="CP483" s="135"/>
      <c r="CQ483" s="135"/>
    </row>
    <row r="484" ht="24" customHeight="1" outlineLevel="2" collapsed="1" spans="1:95">
      <c r="A484" s="43"/>
      <c r="B484" s="121" t="s">
        <v>792</v>
      </c>
      <c r="C484" s="122" t="s">
        <v>1589</v>
      </c>
      <c r="D484" s="43" t="s">
        <v>1590</v>
      </c>
      <c r="E484" s="121" t="s">
        <v>1591</v>
      </c>
      <c r="F484" s="121"/>
      <c r="G484" s="121" t="s">
        <v>936</v>
      </c>
      <c r="H484" s="123">
        <f>X484+AA484+AD484+AG484+AJ484+AM484+AP484+AS484+AV484+AY484+BB484+BE484</f>
        <v>0</v>
      </c>
      <c r="I484" s="123">
        <f>Y484+AB484+AE484+AH484+AK484+AN484+AQ484+AT484+AW484+AZ484+BC484+BF484</f>
        <v>-3680985.95322581</v>
      </c>
      <c r="J484" s="123">
        <f t="shared" si="5367"/>
        <v>3680985.95322581</v>
      </c>
      <c r="K484" s="123"/>
      <c r="L484" s="154"/>
      <c r="M484" s="154"/>
      <c r="N484" s="123"/>
      <c r="O484" s="123"/>
      <c r="P484" s="123"/>
      <c r="Q484" s="123"/>
      <c r="R484" s="123"/>
      <c r="S484" s="123"/>
      <c r="T484" s="123"/>
      <c r="U484" s="123"/>
      <c r="V484" s="123"/>
      <c r="W484" s="123"/>
      <c r="X484" s="123">
        <f>VLOOKUP($C484,'1 预算编制表单'!$C:$BJ,27,FALSE)</f>
        <v>0</v>
      </c>
      <c r="Y484" s="123">
        <f>X484-Z484</f>
        <v>-5536.2401516612</v>
      </c>
      <c r="Z484" s="123">
        <f>SUM(Z485:Z489)</f>
        <v>5536.2401516612</v>
      </c>
      <c r="AA484" s="123">
        <f>VLOOKUP($C484,'1 预算编制表单'!$C:$BJ,30,FALSE)</f>
        <v>0</v>
      </c>
      <c r="AB484" s="123">
        <f>AA484-AC484</f>
        <v>-308121.532832563</v>
      </c>
      <c r="AC484" s="123">
        <f>SUM(AC485:AC489)</f>
        <v>308121.532832563</v>
      </c>
      <c r="AD484" s="123">
        <f>VLOOKUP($C484,'1 预算编制表单'!$C:$BJ,33,FALSE)</f>
        <v>0</v>
      </c>
      <c r="AE484" s="123">
        <f>AD484-AF484</f>
        <v>-341134.554207481</v>
      </c>
      <c r="AF484" s="123">
        <f>SUM(AF485:AF489)</f>
        <v>341134.554207481</v>
      </c>
      <c r="AG484" s="123">
        <f>VLOOKUP($C484,'1 预算编制表单'!$C:$BJ,36,FALSE)</f>
        <v>0</v>
      </c>
      <c r="AH484" s="123">
        <f>AG484-AI484</f>
        <v>-330130.213749175</v>
      </c>
      <c r="AI484" s="123">
        <f>SUM(AI485:AI489)</f>
        <v>330130.213749175</v>
      </c>
      <c r="AJ484" s="123">
        <f>VLOOKUP($C484,'1 预算编制表单'!$C:$BJ,39,FALSE)</f>
        <v>0</v>
      </c>
      <c r="AK484" s="123">
        <f>AJ484-AL484</f>
        <v>-341134.554207481</v>
      </c>
      <c r="AL484" s="123">
        <f>SUM(AL485:AL489)</f>
        <v>341134.554207481</v>
      </c>
      <c r="AM484" s="123">
        <f>VLOOKUP($C484,'1 预算编制表单'!$C:$BJ,42,FALSE)</f>
        <v>0</v>
      </c>
      <c r="AN484" s="123">
        <f>AM484-AO484</f>
        <v>-330130.213749175</v>
      </c>
      <c r="AO484" s="123">
        <f>SUM(AO485:AO489)</f>
        <v>330130.213749175</v>
      </c>
      <c r="AP484" s="123">
        <f>VLOOKUP($C484,'1 预算编制表单'!$C:$BJ,45,FALSE)</f>
        <v>0</v>
      </c>
      <c r="AQ484" s="123">
        <f>AP484-AR484</f>
        <v>-341134.554207481</v>
      </c>
      <c r="AR484" s="123">
        <f>SUM(AR485:AR489)</f>
        <v>341134.554207481</v>
      </c>
      <c r="AS484" s="123">
        <f>VLOOKUP($C484,'1 预算编制表单'!$C:$BJ,48,FALSE)</f>
        <v>0</v>
      </c>
      <c r="AT484" s="123">
        <f>AS484-AU484</f>
        <v>-341134.554207481</v>
      </c>
      <c r="AU484" s="123">
        <f>SUM(AU485:AU489)</f>
        <v>341134.554207481</v>
      </c>
      <c r="AV484" s="123">
        <f>VLOOKUP($C484,'1 预算编制表单'!$C:$BJ,51,FALSE)</f>
        <v>0</v>
      </c>
      <c r="AW484" s="123">
        <f>AV484-AX484</f>
        <v>-330130.213749175</v>
      </c>
      <c r="AX484" s="123">
        <f>SUM(AX485:AX489)</f>
        <v>330130.213749175</v>
      </c>
      <c r="AY484" s="123">
        <f>VLOOKUP($C484,'1 预算编制表单'!$C:$BJ,54,FALSE)</f>
        <v>0</v>
      </c>
      <c r="AZ484" s="123">
        <f>AY484-BA484</f>
        <v>-341134.554207481</v>
      </c>
      <c r="BA484" s="123">
        <f>SUM(BA485:BA489)</f>
        <v>341134.554207481</v>
      </c>
      <c r="BB484" s="123">
        <f>VLOOKUP($C484,'1 预算编制表单'!$C:$BJ,57,FALSE)</f>
        <v>0</v>
      </c>
      <c r="BC484" s="123">
        <f>BB484-BD484</f>
        <v>-330130.213749175</v>
      </c>
      <c r="BD484" s="123">
        <f>SUM(BD485:BD489)</f>
        <v>330130.213749175</v>
      </c>
      <c r="BE484" s="123">
        <f>VLOOKUP($C484,'1 预算编制表单'!$C:$BJ,60,FALSE)</f>
        <v>0</v>
      </c>
      <c r="BF484" s="123">
        <f>BE484-BG484</f>
        <v>-341134.554207481</v>
      </c>
      <c r="BG484" s="123">
        <f>SUM(BG485:BG489)</f>
        <v>341134.554207481</v>
      </c>
      <c r="BH484" s="123">
        <f>VLOOKUP($C484,'1 预算编制表单'!$C:$BJ,27,FALSE)</f>
        <v>0</v>
      </c>
      <c r="BI484" s="123">
        <f>BH484-BJ484</f>
        <v>0</v>
      </c>
      <c r="BJ484" s="123">
        <f>SUM(BJ485:BJ489)</f>
        <v>0</v>
      </c>
      <c r="BK484" s="123">
        <f>VLOOKUP($C484,'1 预算编制表单'!$C:$BJ,30,FALSE)</f>
        <v>0</v>
      </c>
      <c r="BL484" s="123">
        <f>BK484-BM484</f>
        <v>0</v>
      </c>
      <c r="BM484" s="123">
        <f>SUM(BM485:BM489)</f>
        <v>0</v>
      </c>
      <c r="BN484" s="123">
        <f>VLOOKUP($C484,'1 预算编制表单'!$C:$BJ,33,FALSE)</f>
        <v>0</v>
      </c>
      <c r="BO484" s="123">
        <f>BN484-BP484</f>
        <v>0</v>
      </c>
      <c r="BP484" s="123">
        <f>SUM(BP485:BP489)</f>
        <v>0</v>
      </c>
      <c r="BQ484" s="123">
        <f>VLOOKUP($C484,'1 预算编制表单'!$C:$BJ,36,FALSE)</f>
        <v>0</v>
      </c>
      <c r="BR484" s="123">
        <f>BQ484-BS484</f>
        <v>0</v>
      </c>
      <c r="BS484" s="123">
        <f>SUM(BS485:BS489)</f>
        <v>0</v>
      </c>
      <c r="BT484" s="123">
        <f>VLOOKUP($C484,'1 预算编制表单'!$C:$BJ,39,FALSE)</f>
        <v>0</v>
      </c>
      <c r="BU484" s="123">
        <f>BT484-BV484</f>
        <v>0</v>
      </c>
      <c r="BV484" s="123">
        <f>SUM(BV485:BV489)</f>
        <v>0</v>
      </c>
      <c r="BW484" s="123">
        <f>VLOOKUP($C484,'1 预算编制表单'!$C:$BJ,42,FALSE)</f>
        <v>0</v>
      </c>
      <c r="BX484" s="123">
        <f>BW484-BY484</f>
        <v>0</v>
      </c>
      <c r="BY484" s="123">
        <f>SUM(BY485:BY489)</f>
        <v>0</v>
      </c>
      <c r="BZ484" s="123">
        <f>VLOOKUP($C484,'1 预算编制表单'!$C:$BJ,45,FALSE)</f>
        <v>0</v>
      </c>
      <c r="CA484" s="123">
        <f>BZ484-CB484</f>
        <v>0</v>
      </c>
      <c r="CB484" s="123">
        <f>SUM(CB485:CB489)</f>
        <v>0</v>
      </c>
      <c r="CC484" s="123">
        <f>VLOOKUP($C484,'1 预算编制表单'!$C:$BJ,48,FALSE)</f>
        <v>0</v>
      </c>
      <c r="CD484" s="123">
        <f>CC484-CE484</f>
        <v>0</v>
      </c>
      <c r="CE484" s="123">
        <f>SUM(CE485:CE489)</f>
        <v>0</v>
      </c>
      <c r="CF484" s="123">
        <f>VLOOKUP($C484,'1 预算编制表单'!$C:$BJ,51,FALSE)</f>
        <v>0</v>
      </c>
      <c r="CG484" s="123">
        <f>CF484-CH484</f>
        <v>0</v>
      </c>
      <c r="CH484" s="123">
        <f>SUM(CH485:CH489)</f>
        <v>0</v>
      </c>
      <c r="CI484" s="123">
        <f>VLOOKUP($C484,'1 预算编制表单'!$C:$BJ,54,FALSE)</f>
        <v>0</v>
      </c>
      <c r="CJ484" s="123">
        <f>CI484-CK484</f>
        <v>0</v>
      </c>
      <c r="CK484" s="123">
        <f>SUM(CK485:CK489)</f>
        <v>0</v>
      </c>
      <c r="CL484" s="123">
        <f>VLOOKUP($C484,'1 预算编制表单'!$C:$BJ,57,FALSE)</f>
        <v>0</v>
      </c>
      <c r="CM484" s="123">
        <f>CL484-CN484</f>
        <v>0</v>
      </c>
      <c r="CN484" s="123">
        <f>SUM(CN485:CN489)</f>
        <v>0</v>
      </c>
      <c r="CO484" s="123">
        <f>VLOOKUP($C484,'1 预算编制表单'!$C:$BJ,60,FALSE)</f>
        <v>0</v>
      </c>
      <c r="CP484" s="123">
        <f>CO484-CQ484</f>
        <v>0</v>
      </c>
      <c r="CQ484" s="123">
        <f>SUM(CQ485:CQ489)</f>
        <v>0</v>
      </c>
    </row>
    <row r="485" s="89" customFormat="1" ht="24" hidden="1" customHeight="1" outlineLevel="3" spans="1:95">
      <c r="A485" s="128"/>
      <c r="B485" s="129"/>
      <c r="C485" s="130"/>
      <c r="D485" s="128"/>
      <c r="E485" s="129"/>
      <c r="F485" s="129"/>
      <c r="G485" s="129"/>
      <c r="H485" s="131"/>
      <c r="I485" s="131"/>
      <c r="J485" s="131">
        <f t="shared" si="5367"/>
        <v>6800</v>
      </c>
      <c r="K485" s="131">
        <v>1</v>
      </c>
      <c r="L485" s="156" t="s">
        <v>2861</v>
      </c>
      <c r="M485" s="157" t="str">
        <f>IFERROR(VLOOKUP($L485,'2-2 引出数据_合同数据仓库'!$B$5:$BP$200,3,FALSE),0)</f>
        <v>关于深圳中海油大厦打印机设备租赁合同评审的申请</v>
      </c>
      <c r="N485" s="131"/>
      <c r="O485" s="157">
        <f>IFERROR(VLOOKUP((LEFT(VLOOKUP($L485,'2-2 引出数据_合同数据仓库'!$B$5:$BP$200,64,FALSE),15)&amp;(RIGHT(VLOOKUP($L485,'2-2 引出数据_合同数据仓库'!$B$5:$BP$200,64,FALSE),4)+1)),'2-2 引出数据_合同数据仓库'!$B$5:$BP$200,3,FALSE),0)</f>
        <v>0</v>
      </c>
      <c r="P485" s="131"/>
      <c r="Q485" s="131" t="str">
        <f>IFERROR(VLOOKUP($L485,'2-2 引出数据_合同数据仓库'!$B$5:$BP$200,28,FALSE),0)</f>
        <v>2025-01-24</v>
      </c>
      <c r="R485" s="131" t="str">
        <f>IFERROR(VLOOKUP($L485,'2-2 引出数据_合同数据仓库'!$B$5:$BP$200,29,FALSE),0)</f>
        <v>2025-01-24</v>
      </c>
      <c r="S485" s="131" t="str">
        <f>IFERROR(VLOOKUP($L485,'2-2 引出数据_合同数据仓库'!$B$5:$BP$200,4,FALSE),0)</f>
        <v>2025-12-31</v>
      </c>
      <c r="T485" s="131"/>
      <c r="U485" s="131">
        <f>IFERROR(VLOOKUP($L485,'2-2 引出数据_合同数据仓库'!$B$5:$BP$200,15,FALSE),0)</f>
        <v>6800</v>
      </c>
      <c r="V485" s="131">
        <f t="shared" ref="V485:V488" si="5691">U485/(S485-R485+1)*365</f>
        <v>7257.30994152047</v>
      </c>
      <c r="W485" s="131"/>
      <c r="X485" s="163">
        <v>45658</v>
      </c>
      <c r="Y485" s="163">
        <f t="shared" ref="Y485:Y488" si="5692">X485+30</f>
        <v>45688</v>
      </c>
      <c r="Z485" s="167">
        <f t="shared" ref="Z485:Z488" si="5693">IFERROR(IF(($R485-Y485)&gt;=0,0,IF(($S485-X485)&lt;0,0,IF(AND(($S485-Y485)&gt;0,(X485-$R485)&gt;0),$V485/365*(Y485-X485+1),IF(AND(($S485-Y485)&lt;=0,(X485-$R485)&gt;0),$V485/365*($S485-X485+1),$V485/365*(Y485-$R485+1))))),0)</f>
        <v>159.06432748538</v>
      </c>
      <c r="AA485" s="163">
        <f t="shared" ref="AA485:AA488" si="5694">Y485+1</f>
        <v>45689</v>
      </c>
      <c r="AB485" s="163">
        <f t="shared" ref="AB485:AB488" si="5695">AA485+27</f>
        <v>45716</v>
      </c>
      <c r="AC485" s="167">
        <f t="shared" ref="AC485:AC488" si="5696">IFERROR(IF(($R485-AB485)&gt;=0,0,IF(($S485-AA485)&lt;0,0,IF(AND(($S485-AB485)&gt;0,(AA485-$R485)&gt;0),$V485/365*(AB485-AA485+1),IF(AND(($S485-AB485)&lt;=0,(AA485-$R485)&gt;0),$V485/365*($S485-AA485+1),$V485/365*(AB485-$R485+1))))),0)</f>
        <v>556.72514619883</v>
      </c>
      <c r="AD485" s="163">
        <f t="shared" ref="AD485:AD488" si="5697">AB485+1</f>
        <v>45717</v>
      </c>
      <c r="AE485" s="163">
        <f t="shared" ref="AE485:AE488" si="5698">AD485+30</f>
        <v>45747</v>
      </c>
      <c r="AF485" s="167">
        <f t="shared" ref="AF485:AF488" si="5699">IFERROR(IF(($R485-AE485)&gt;=0,0,IF(($S485-AD485)&lt;0,0,IF(AND(($S485-AE485)&gt;0,(AD485-$R485)&gt;0),$V485/365*(AE485-AD485+1),IF(AND(($S485-AE485)&lt;=0,(AD485-$R485)&gt;0),$V485/365*($S485-AD485+1),$V485/365*(AE485-$R485+1))))),0)</f>
        <v>616.374269005848</v>
      </c>
      <c r="AG485" s="163">
        <f t="shared" ref="AG485:AG488" si="5700">AE485+1</f>
        <v>45748</v>
      </c>
      <c r="AH485" s="163">
        <f t="shared" ref="AH485:AH488" si="5701">AG485+29</f>
        <v>45777</v>
      </c>
      <c r="AI485" s="167">
        <f t="shared" ref="AI485:AI488" si="5702">IFERROR(IF(($R485-AH485)&gt;=0,0,IF(($S485-AG485)&lt;0,0,IF(AND(($S485-AH485)&gt;0,(AG485-$R485)&gt;0),$V485/365*(AH485-AG485+1),IF(AND(($S485-AH485)&lt;=0,(AG485-$R485)&gt;0),$V485/365*($S485-AG485+1),$V485/365*(AH485-$R485+1))))),0)</f>
        <v>596.491228070175</v>
      </c>
      <c r="AJ485" s="163">
        <f t="shared" ref="AJ485:AJ488" si="5703">AH485+1</f>
        <v>45778</v>
      </c>
      <c r="AK485" s="163">
        <f t="shared" ref="AK485:AK488" si="5704">AJ485+30</f>
        <v>45808</v>
      </c>
      <c r="AL485" s="167">
        <f t="shared" ref="AL485:AL488" si="5705">IFERROR(IF(($R485-AK485)&gt;=0,0,IF(($S485-AJ485)&lt;0,0,IF(AND(($S485-AK485)&gt;0,(AJ485-$R485)&gt;0),$V485/365*(AK485-AJ485+1),IF(AND(($S485-AK485)&lt;=0,(AJ485-$R485)&gt;0),$V485/365*($S485-AJ485+1),$V485/365*(AK485-$R485+1))))),0)</f>
        <v>616.374269005848</v>
      </c>
      <c r="AM485" s="163">
        <f t="shared" ref="AM485:AM488" si="5706">AK485+1</f>
        <v>45809</v>
      </c>
      <c r="AN485" s="163">
        <f t="shared" ref="AN485:AN488" si="5707">AM485+29</f>
        <v>45838</v>
      </c>
      <c r="AO485" s="167">
        <f t="shared" ref="AO485:AO488" si="5708">IFERROR(IF(($R485-AN485)&gt;=0,0,IF(($S485-AM485)&lt;0,0,IF(AND(($S485-AN485)&gt;0,(AM485-$R485)&gt;0),$V485/365*(AN485-AM485+1),IF(AND(($S485-AN485)&lt;=0,(AM485-$R485)&gt;0),$V485/365*($S485-AM485+1),$V485/365*(AN485-$R485+1))))),0)</f>
        <v>596.491228070175</v>
      </c>
      <c r="AP485" s="163">
        <f t="shared" ref="AP485:AP488" si="5709">AN485+1</f>
        <v>45839</v>
      </c>
      <c r="AQ485" s="163">
        <f t="shared" ref="AQ485:AQ488" si="5710">AP485+30</f>
        <v>45869</v>
      </c>
      <c r="AR485" s="167">
        <f t="shared" ref="AR485:AR488" si="5711">IFERROR(IF(($R485-AQ485)&gt;=0,0,IF(($S485-AP485)&lt;0,0,IF(AND(($S485-AQ485)&gt;0,(AP485-$R485)&gt;0),$V485/365*(AQ485-AP485+1),IF(AND(($S485-AQ485)&lt;=0,(AP485-$R485)&gt;0),$V485/365*($S485-AP485+1),$V485/365*(AQ485-$R485+1))))),0)</f>
        <v>616.374269005848</v>
      </c>
      <c r="AS485" s="163">
        <f t="shared" ref="AS485:AS488" si="5712">AQ485+1</f>
        <v>45870</v>
      </c>
      <c r="AT485" s="163">
        <f t="shared" ref="AT485:AT488" si="5713">AS485+30</f>
        <v>45900</v>
      </c>
      <c r="AU485" s="167">
        <f t="shared" ref="AU485:AU488" si="5714">IFERROR(IF(($R485-AT485)&gt;=0,0,IF(($S485-AS485)&lt;0,0,IF(AND(($S485-AT485)&gt;0,(AS485-$R485)&gt;0),$V485/365*(AT485-AS485+1),IF(AND(($S485-AT485)&lt;=0,(AS485-$R485)&gt;0),$V485/365*($S485-AS485+1),$V485/365*(AT485-$R485+1))))),0)</f>
        <v>616.374269005848</v>
      </c>
      <c r="AV485" s="163">
        <f t="shared" ref="AV485:AV488" si="5715">AT485+1</f>
        <v>45901</v>
      </c>
      <c r="AW485" s="163">
        <f t="shared" ref="AW485:AW488" si="5716">AV485+29</f>
        <v>45930</v>
      </c>
      <c r="AX485" s="167">
        <f t="shared" ref="AX485:AX488" si="5717">IFERROR(IF(($R485-AW485)&gt;=0,0,IF(($S485-AV485)&lt;0,0,IF(AND(($S485-AW485)&gt;0,(AV485-$R485)&gt;0),$V485/365*(AW485-AV485+1),IF(AND(($S485-AW485)&lt;=0,(AV485-$R485)&gt;0),$V485/365*($S485-AV485+1),$V485/365*(AW485-$R485+1))))),0)</f>
        <v>596.491228070175</v>
      </c>
      <c r="AY485" s="163">
        <f t="shared" ref="AY485:AY488" si="5718">AW485+1</f>
        <v>45931</v>
      </c>
      <c r="AZ485" s="163">
        <f t="shared" ref="AZ485:AZ488" si="5719">AY485+30</f>
        <v>45961</v>
      </c>
      <c r="BA485" s="167">
        <f t="shared" ref="BA485:BA488" si="5720">IFERROR(IF(($R485-AZ485)&gt;=0,0,IF(($S485-AY485)&lt;0,0,IF(AND(($S485-AZ485)&gt;0,(AY485-$R485)&gt;0),$V485/365*(AZ485-AY485+1),IF(AND(($S485-AZ485)&lt;=0,(AY485-$R485)&gt;0),$V485/365*($S485-AY485+1),$V485/365*(AZ485-$R485+1))))),0)</f>
        <v>616.374269005848</v>
      </c>
      <c r="BB485" s="163">
        <f t="shared" ref="BB485:BB488" si="5721">AZ485+1</f>
        <v>45962</v>
      </c>
      <c r="BC485" s="163">
        <f t="shared" ref="BC485:BC488" si="5722">BB485+29</f>
        <v>45991</v>
      </c>
      <c r="BD485" s="167">
        <f t="shared" ref="BD485:BD488" si="5723">IFERROR(IF(($R485-BC485)&gt;=0,0,IF(($S485-BB485)&lt;0,0,IF(AND(($S485-BC485)&gt;0,(BB485-$R485)&gt;0),$V485/365*(BC485-BB485+1),IF(AND(($S485-BC485)&lt;=0,(BB485-$R485)&gt;0),$V485/365*($S485-BB485+1),$V485/365*(BC485-$R485+1))))),0)</f>
        <v>596.491228070175</v>
      </c>
      <c r="BE485" s="163">
        <f t="shared" ref="BE485:BE488" si="5724">BC485+1</f>
        <v>45992</v>
      </c>
      <c r="BF485" s="163">
        <f t="shared" ref="BF485:BF488" si="5725">BE485+30</f>
        <v>46022</v>
      </c>
      <c r="BG485" s="167">
        <f t="shared" ref="BG485:BG488" si="5726">IFERROR(IF(($R485-BF485)&gt;=0,0,IF(($S485-BE485)&lt;0,0,IF(AND(($S485-BF485)&gt;0,(BE485-$R485)&gt;0),$V485/365*(BF485-BE485+1),IF(AND(($S485-BF485)&lt;=0,(BE485-$R485)&gt;0),$V485/365*($S485-BE485+1),$V485/365*(BF485-$R485+1))))),0)</f>
        <v>616.374269005848</v>
      </c>
      <c r="BH485" s="163">
        <v>46023</v>
      </c>
      <c r="BI485" s="163">
        <f t="shared" ref="BI485:BI488" si="5727">BH485+30</f>
        <v>46053</v>
      </c>
      <c r="BJ485" s="167">
        <f t="shared" ref="BJ485:BJ488" si="5728">IFERROR(IF(($R485-BI485)&gt;=0,0,IF(($S485-BH485)&lt;0,0,IF(AND(($S485-BI485)&gt;0,(BH485-$R485)&gt;0),$V485/365*(BI485-BH485+1),IF(AND(($S485-BI485)&lt;=0,(BH485-$R485)&gt;0),$V485/365*($S485-BH485+1),$V485/365*(BI485-$R485+1))))),0)</f>
        <v>0</v>
      </c>
      <c r="BK485" s="163">
        <f t="shared" ref="BK485:BK488" si="5729">BI485+1</f>
        <v>46054</v>
      </c>
      <c r="BL485" s="163">
        <f t="shared" ref="BL485:BL488" si="5730">BK485+27</f>
        <v>46081</v>
      </c>
      <c r="BM485" s="167">
        <f t="shared" ref="BM485:BM488" si="5731">IFERROR(IF(($R485-BL485)&gt;=0,0,IF(($S485-BK485)&lt;0,0,IF(AND(($S485-BL485)&gt;0,(BK485-$R485)&gt;0),$V485/365*(BL485-BK485+1),IF(AND(($S485-BL485)&lt;=0,(BK485-$R485)&gt;0),$V485/365*($S485-BK485+1),$V485/365*(BL485-$R485+1))))),0)</f>
        <v>0</v>
      </c>
      <c r="BN485" s="163">
        <f t="shared" ref="BN485:BN488" si="5732">BL485+1</f>
        <v>46082</v>
      </c>
      <c r="BO485" s="163">
        <f t="shared" ref="BO485:BO488" si="5733">BN485+30</f>
        <v>46112</v>
      </c>
      <c r="BP485" s="167">
        <f t="shared" ref="BP485:BP488" si="5734">IFERROR(IF(($R485-BO485)&gt;=0,0,IF(($S485-BN485)&lt;0,0,IF(AND(($S485-BO485)&gt;0,(BN485-$R485)&gt;0),$V485/365*(BO485-BN485+1),IF(AND(($S485-BO485)&lt;=0,(BN485-$R485)&gt;0),$V485/365*($S485-BN485+1),$V485/365*(BO485-$R485+1))))),0)</f>
        <v>0</v>
      </c>
      <c r="BQ485" s="163">
        <f t="shared" ref="BQ485:BQ488" si="5735">BO485+1</f>
        <v>46113</v>
      </c>
      <c r="BR485" s="163">
        <f t="shared" ref="BR485:BR488" si="5736">BQ485+29</f>
        <v>46142</v>
      </c>
      <c r="BS485" s="167">
        <f t="shared" ref="BS485:BS488" si="5737">IFERROR(IF(($R485-BR485)&gt;=0,0,IF(($S485-BQ485)&lt;0,0,IF(AND(($S485-BR485)&gt;0,(BQ485-$R485)&gt;0),$V485/365*(BR485-BQ485+1),IF(AND(($S485-BR485)&lt;=0,(BQ485-$R485)&gt;0),$V485/365*($S485-BQ485+1),$V485/365*(BR485-$R485+1))))),0)</f>
        <v>0</v>
      </c>
      <c r="BT485" s="163">
        <f t="shared" ref="BT485:BT488" si="5738">BR485+1</f>
        <v>46143</v>
      </c>
      <c r="BU485" s="163">
        <f t="shared" ref="BU485:BU488" si="5739">BT485+30</f>
        <v>46173</v>
      </c>
      <c r="BV485" s="167">
        <f t="shared" ref="BV485:BV488" si="5740">IFERROR(IF(($R485-BU485)&gt;=0,0,IF(($S485-BT485)&lt;0,0,IF(AND(($S485-BU485)&gt;0,(BT485-$R485)&gt;0),$V485/365*(BU485-BT485+1),IF(AND(($S485-BU485)&lt;=0,(BT485-$R485)&gt;0),$V485/365*($S485-BT485+1),$V485/365*(BU485-$R485+1))))),0)</f>
        <v>0</v>
      </c>
      <c r="BW485" s="163">
        <f t="shared" ref="BW485:BW488" si="5741">BU485+1</f>
        <v>46174</v>
      </c>
      <c r="BX485" s="163">
        <f t="shared" ref="BX485:BX488" si="5742">BW485+29</f>
        <v>46203</v>
      </c>
      <c r="BY485" s="167">
        <f t="shared" ref="BY485:BY488" si="5743">IFERROR(IF(($R485-BX485)&gt;=0,0,IF(($S485-BW485)&lt;0,0,IF(AND(($S485-BX485)&gt;0,(BW485-$R485)&gt;0),$V485/365*(BX485-BW485+1),IF(AND(($S485-BX485)&lt;=0,(BW485-$R485)&gt;0),$V485/365*($S485-BW485+1),$V485/365*(BX485-$R485+1))))),0)</f>
        <v>0</v>
      </c>
      <c r="BZ485" s="163">
        <f t="shared" ref="BZ485:BZ488" si="5744">BX485+1</f>
        <v>46204</v>
      </c>
      <c r="CA485" s="163">
        <f t="shared" ref="CA485:CA488" si="5745">BZ485+30</f>
        <v>46234</v>
      </c>
      <c r="CB485" s="167">
        <f t="shared" ref="CB485:CB488" si="5746">IFERROR(IF(($R485-CA485)&gt;=0,0,IF(($S485-BZ485)&lt;0,0,IF(AND(($S485-CA485)&gt;0,(BZ485-$R485)&gt;0),$V485/365*(CA485-BZ485+1),IF(AND(($S485-CA485)&lt;=0,(BZ485-$R485)&gt;0),$V485/365*($S485-BZ485+1),$V485/365*(CA485-$R485+1))))),0)</f>
        <v>0</v>
      </c>
      <c r="CC485" s="163">
        <f t="shared" ref="CC485:CC488" si="5747">CA485+1</f>
        <v>46235</v>
      </c>
      <c r="CD485" s="163">
        <f t="shared" ref="CD485:CD488" si="5748">CC485+30</f>
        <v>46265</v>
      </c>
      <c r="CE485" s="167">
        <f t="shared" ref="CE485:CE488" si="5749">IFERROR(IF(($R485-CD485)&gt;=0,0,IF(($S485-CC485)&lt;0,0,IF(AND(($S485-CD485)&gt;0,(CC485-$R485)&gt;0),$V485/365*(CD485-CC485+1),IF(AND(($S485-CD485)&lt;=0,(CC485-$R485)&gt;0),$V485/365*($S485-CC485+1),$V485/365*(CD485-$R485+1))))),0)</f>
        <v>0</v>
      </c>
      <c r="CF485" s="163">
        <f t="shared" ref="CF485:CF488" si="5750">CD485+1</f>
        <v>46266</v>
      </c>
      <c r="CG485" s="163">
        <f t="shared" ref="CG485:CG488" si="5751">CF485+29</f>
        <v>46295</v>
      </c>
      <c r="CH485" s="167">
        <f t="shared" ref="CH485:CH488" si="5752">IFERROR(IF(($R485-CG485)&gt;=0,0,IF(($S485-CF485)&lt;0,0,IF(AND(($S485-CG485)&gt;0,(CF485-$R485)&gt;0),$V485/365*(CG485-CF485+1),IF(AND(($S485-CG485)&lt;=0,(CF485-$R485)&gt;0),$V485/365*($S485-CF485+1),$V485/365*(CG485-$R485+1))))),0)</f>
        <v>0</v>
      </c>
      <c r="CI485" s="163">
        <f t="shared" ref="CI485:CI488" si="5753">CG485+1</f>
        <v>46296</v>
      </c>
      <c r="CJ485" s="163">
        <f t="shared" ref="CJ485:CJ488" si="5754">CI485+30</f>
        <v>46326</v>
      </c>
      <c r="CK485" s="167">
        <f t="shared" ref="CK485:CK488" si="5755">IFERROR(IF(($R485-CJ485)&gt;=0,0,IF(($S485-CI485)&lt;0,0,IF(AND(($S485-CJ485)&gt;0,(CI485-$R485)&gt;0),$V485/365*(CJ485-CI485+1),IF(AND(($S485-CJ485)&lt;=0,(CI485-$R485)&gt;0),$V485/365*($S485-CI485+1),$V485/365*(CJ485-$R485+1))))),0)</f>
        <v>0</v>
      </c>
      <c r="CL485" s="163">
        <f t="shared" ref="CL485:CL488" si="5756">CJ485+1</f>
        <v>46327</v>
      </c>
      <c r="CM485" s="163">
        <f t="shared" ref="CM485:CM488" si="5757">CL485+29</f>
        <v>46356</v>
      </c>
      <c r="CN485" s="167">
        <f t="shared" ref="CN485:CN488" si="5758">IFERROR(IF(($R485-CM485)&gt;=0,0,IF(($S485-CL485)&lt;0,0,IF(AND(($S485-CM485)&gt;0,(CL485-$R485)&gt;0),$V485/365*(CM485-CL485+1),IF(AND(($S485-CM485)&lt;=0,(CL485-$R485)&gt;0),$V485/365*($S485-CL485+1),$V485/365*(CM485-$R485+1))))),0)</f>
        <v>0</v>
      </c>
      <c r="CO485" s="163">
        <f t="shared" ref="CO485:CO488" si="5759">CM485+1</f>
        <v>46357</v>
      </c>
      <c r="CP485" s="163">
        <f t="shared" ref="CP485:CP488" si="5760">CO485+30</f>
        <v>46387</v>
      </c>
      <c r="CQ485" s="167">
        <f t="shared" ref="CQ485:CQ488" si="5761">IFERROR(IF(($R485-CP485)&gt;=0,0,IF(($S485-CO485)&lt;0,0,IF(AND(($S485-CP485)&gt;0,(CO485-$R485)&gt;0),$V485/365*(CP485-CO485+1),IF(AND(($S485-CP485)&lt;=0,(CO485-$R485)&gt;0),$V485/365*($S485-CO485+1),$V485/365*(CP485-$R485+1))))),0)</f>
        <v>0</v>
      </c>
    </row>
    <row r="486" s="89" customFormat="1" ht="24" hidden="1" customHeight="1" outlineLevel="3" spans="1:95">
      <c r="A486" s="128"/>
      <c r="B486" s="129"/>
      <c r="C486" s="130"/>
      <c r="D486" s="128"/>
      <c r="E486" s="129"/>
      <c r="F486" s="129"/>
      <c r="G486" s="129"/>
      <c r="H486" s="131"/>
      <c r="I486" s="131"/>
      <c r="J486" s="131">
        <f t="shared" si="5367"/>
        <v>3610411.05</v>
      </c>
      <c r="K486" s="131">
        <f t="shared" ref="K486:K488" si="5762">K485+1</f>
        <v>2</v>
      </c>
      <c r="L486" s="156" t="s">
        <v>2862</v>
      </c>
      <c r="M486" s="157" t="str">
        <f>IFERROR(VLOOKUP($L486,'2-2 引出数据_合同数据仓库'!$B$5:$BP$200,3,FALSE),0)</f>
        <v>关于深圳中海油大厦零星工程维修合同评审的申请</v>
      </c>
      <c r="N486" s="131"/>
      <c r="O486" s="157">
        <f>IFERROR(VLOOKUP((LEFT(VLOOKUP($L486,'2-2 引出数据_合同数据仓库'!$B$5:$BP$200,64,FALSE),15)&amp;(RIGHT(VLOOKUP($L486,'2-2 引出数据_合同数据仓库'!$B$5:$BP$200,64,FALSE),4)+1)),'2-2 引出数据_合同数据仓库'!$B$5:$BP$200,3,FALSE),0)</f>
        <v>0</v>
      </c>
      <c r="P486" s="131"/>
      <c r="Q486" s="131" t="str">
        <f>IFERROR(VLOOKUP($L486,'2-2 引出数据_合同数据仓库'!$B$5:$BP$200,28,FALSE),0)</f>
        <v>2025-01-20</v>
      </c>
      <c r="R486" s="131" t="str">
        <f>IFERROR(VLOOKUP($L486,'2-2 引出数据_合同数据仓库'!$B$5:$BP$200,29,FALSE),0)</f>
        <v>2025-02-01</v>
      </c>
      <c r="S486" s="131" t="str">
        <f>IFERROR(VLOOKUP($L486,'2-2 引出数据_合同数据仓库'!$B$5:$BP$200,4,FALSE),0)</f>
        <v>2025-12-31</v>
      </c>
      <c r="T486" s="131"/>
      <c r="U486" s="131">
        <f>IFERROR(VLOOKUP($L486,'2-2 引出数据_合同数据仓库'!$B$5:$BP$200,15,FALSE),0)</f>
        <v>3610411.05</v>
      </c>
      <c r="V486" s="131">
        <f t="shared" si="5691"/>
        <v>3945509.08158683</v>
      </c>
      <c r="W486" s="131"/>
      <c r="X486" s="163">
        <v>45658</v>
      </c>
      <c r="Y486" s="163">
        <f t="shared" si="5692"/>
        <v>45688</v>
      </c>
      <c r="Z486" s="167">
        <f t="shared" si="5693"/>
        <v>0</v>
      </c>
      <c r="AA486" s="163">
        <f t="shared" si="5694"/>
        <v>45689</v>
      </c>
      <c r="AB486" s="163">
        <f t="shared" si="5695"/>
        <v>45716</v>
      </c>
      <c r="AC486" s="167">
        <f t="shared" si="5696"/>
        <v>302669.189820359</v>
      </c>
      <c r="AD486" s="163">
        <f t="shared" si="5697"/>
        <v>45717</v>
      </c>
      <c r="AE486" s="163">
        <f t="shared" si="5698"/>
        <v>45747</v>
      </c>
      <c r="AF486" s="167">
        <f t="shared" si="5699"/>
        <v>335098.031586826</v>
      </c>
      <c r="AG486" s="163">
        <f t="shared" si="5700"/>
        <v>45748</v>
      </c>
      <c r="AH486" s="163">
        <f t="shared" si="5701"/>
        <v>45777</v>
      </c>
      <c r="AI486" s="167">
        <f t="shared" si="5702"/>
        <v>324288.417664671</v>
      </c>
      <c r="AJ486" s="163">
        <f t="shared" si="5703"/>
        <v>45778</v>
      </c>
      <c r="AK486" s="163">
        <f t="shared" si="5704"/>
        <v>45808</v>
      </c>
      <c r="AL486" s="167">
        <f t="shared" si="5705"/>
        <v>335098.031586826</v>
      </c>
      <c r="AM486" s="163">
        <f t="shared" si="5706"/>
        <v>45809</v>
      </c>
      <c r="AN486" s="163">
        <f t="shared" si="5707"/>
        <v>45838</v>
      </c>
      <c r="AO486" s="167">
        <f t="shared" si="5708"/>
        <v>324288.417664671</v>
      </c>
      <c r="AP486" s="163">
        <f t="shared" si="5709"/>
        <v>45839</v>
      </c>
      <c r="AQ486" s="163">
        <f t="shared" si="5710"/>
        <v>45869</v>
      </c>
      <c r="AR486" s="167">
        <f t="shared" si="5711"/>
        <v>335098.031586826</v>
      </c>
      <c r="AS486" s="163">
        <f t="shared" si="5712"/>
        <v>45870</v>
      </c>
      <c r="AT486" s="163">
        <f t="shared" si="5713"/>
        <v>45900</v>
      </c>
      <c r="AU486" s="167">
        <f t="shared" si="5714"/>
        <v>335098.031586826</v>
      </c>
      <c r="AV486" s="163">
        <f t="shared" si="5715"/>
        <v>45901</v>
      </c>
      <c r="AW486" s="163">
        <f t="shared" si="5716"/>
        <v>45930</v>
      </c>
      <c r="AX486" s="167">
        <f t="shared" si="5717"/>
        <v>324288.417664671</v>
      </c>
      <c r="AY486" s="163">
        <f t="shared" si="5718"/>
        <v>45931</v>
      </c>
      <c r="AZ486" s="163">
        <f t="shared" si="5719"/>
        <v>45961</v>
      </c>
      <c r="BA486" s="167">
        <f t="shared" si="5720"/>
        <v>335098.031586826</v>
      </c>
      <c r="BB486" s="163">
        <f t="shared" si="5721"/>
        <v>45962</v>
      </c>
      <c r="BC486" s="163">
        <f t="shared" si="5722"/>
        <v>45991</v>
      </c>
      <c r="BD486" s="167">
        <f t="shared" si="5723"/>
        <v>324288.417664671</v>
      </c>
      <c r="BE486" s="163">
        <f t="shared" si="5724"/>
        <v>45992</v>
      </c>
      <c r="BF486" s="163">
        <f t="shared" si="5725"/>
        <v>46022</v>
      </c>
      <c r="BG486" s="167">
        <f t="shared" si="5726"/>
        <v>335098.031586826</v>
      </c>
      <c r="BH486" s="163">
        <v>46023</v>
      </c>
      <c r="BI486" s="163">
        <f t="shared" si="5727"/>
        <v>46053</v>
      </c>
      <c r="BJ486" s="167">
        <f t="shared" si="5728"/>
        <v>0</v>
      </c>
      <c r="BK486" s="163">
        <f t="shared" si="5729"/>
        <v>46054</v>
      </c>
      <c r="BL486" s="163">
        <f t="shared" si="5730"/>
        <v>46081</v>
      </c>
      <c r="BM486" s="167">
        <f t="shared" si="5731"/>
        <v>0</v>
      </c>
      <c r="BN486" s="163">
        <f t="shared" si="5732"/>
        <v>46082</v>
      </c>
      <c r="BO486" s="163">
        <f t="shared" si="5733"/>
        <v>46112</v>
      </c>
      <c r="BP486" s="167">
        <f t="shared" si="5734"/>
        <v>0</v>
      </c>
      <c r="BQ486" s="163">
        <f t="shared" si="5735"/>
        <v>46113</v>
      </c>
      <c r="BR486" s="163">
        <f t="shared" si="5736"/>
        <v>46142</v>
      </c>
      <c r="BS486" s="167">
        <f t="shared" si="5737"/>
        <v>0</v>
      </c>
      <c r="BT486" s="163">
        <f t="shared" si="5738"/>
        <v>46143</v>
      </c>
      <c r="BU486" s="163">
        <f t="shared" si="5739"/>
        <v>46173</v>
      </c>
      <c r="BV486" s="167">
        <f t="shared" si="5740"/>
        <v>0</v>
      </c>
      <c r="BW486" s="163">
        <f t="shared" si="5741"/>
        <v>46174</v>
      </c>
      <c r="BX486" s="163">
        <f t="shared" si="5742"/>
        <v>46203</v>
      </c>
      <c r="BY486" s="167">
        <f t="shared" si="5743"/>
        <v>0</v>
      </c>
      <c r="BZ486" s="163">
        <f t="shared" si="5744"/>
        <v>46204</v>
      </c>
      <c r="CA486" s="163">
        <f t="shared" si="5745"/>
        <v>46234</v>
      </c>
      <c r="CB486" s="167">
        <f t="shared" si="5746"/>
        <v>0</v>
      </c>
      <c r="CC486" s="163">
        <f t="shared" si="5747"/>
        <v>46235</v>
      </c>
      <c r="CD486" s="163">
        <f t="shared" si="5748"/>
        <v>46265</v>
      </c>
      <c r="CE486" s="167">
        <f t="shared" si="5749"/>
        <v>0</v>
      </c>
      <c r="CF486" s="163">
        <f t="shared" si="5750"/>
        <v>46266</v>
      </c>
      <c r="CG486" s="163">
        <f t="shared" si="5751"/>
        <v>46295</v>
      </c>
      <c r="CH486" s="167">
        <f t="shared" si="5752"/>
        <v>0</v>
      </c>
      <c r="CI486" s="163">
        <f t="shared" si="5753"/>
        <v>46296</v>
      </c>
      <c r="CJ486" s="163">
        <f t="shared" si="5754"/>
        <v>46326</v>
      </c>
      <c r="CK486" s="167">
        <f t="shared" si="5755"/>
        <v>0</v>
      </c>
      <c r="CL486" s="163">
        <f t="shared" si="5756"/>
        <v>46327</v>
      </c>
      <c r="CM486" s="163">
        <f t="shared" si="5757"/>
        <v>46356</v>
      </c>
      <c r="CN486" s="167">
        <f t="shared" si="5758"/>
        <v>0</v>
      </c>
      <c r="CO486" s="163">
        <f t="shared" si="5759"/>
        <v>46357</v>
      </c>
      <c r="CP486" s="163">
        <f t="shared" si="5760"/>
        <v>46387</v>
      </c>
      <c r="CQ486" s="167">
        <f t="shared" si="5761"/>
        <v>0</v>
      </c>
    </row>
    <row r="487" s="89" customFormat="1" ht="24" hidden="1" customHeight="1" outlineLevel="3" spans="1:95">
      <c r="A487" s="128"/>
      <c r="B487" s="129"/>
      <c r="C487" s="130"/>
      <c r="D487" s="128"/>
      <c r="E487" s="129"/>
      <c r="F487" s="129"/>
      <c r="G487" s="129"/>
      <c r="H487" s="131"/>
      <c r="I487" s="131"/>
      <c r="J487" s="131">
        <f t="shared" si="5367"/>
        <v>15642</v>
      </c>
      <c r="K487" s="131">
        <f t="shared" si="5762"/>
        <v>3</v>
      </c>
      <c r="L487" s="156" t="s">
        <v>2863</v>
      </c>
      <c r="M487" s="157" t="str">
        <f>IFERROR(VLOOKUP($L487,'2-2 引出数据_合同数据仓库'!$B$5:$BP$200,3,FALSE),0)</f>
        <v>深圳中海油大厦B座35楼红外报警系统安装工程合同评审的申请</v>
      </c>
      <c r="N487" s="131"/>
      <c r="O487" s="157">
        <f>IFERROR(VLOOKUP((LEFT(VLOOKUP($L487,'2-2 引出数据_合同数据仓库'!$B$5:$BP$200,64,FALSE),15)&amp;(RIGHT(VLOOKUP($L487,'2-2 引出数据_合同数据仓库'!$B$5:$BP$200,64,FALSE),4)+1)),'2-2 引出数据_合同数据仓库'!$B$5:$BP$200,3,FALSE),0)</f>
        <v>0</v>
      </c>
      <c r="P487" s="131"/>
      <c r="Q487" s="131" t="str">
        <f>IFERROR(VLOOKUP($L487,'2-2 引出数据_合同数据仓库'!$B$5:$BP$200,28,FALSE),0)</f>
        <v>2025-01-02</v>
      </c>
      <c r="R487" s="131" t="str">
        <f>IFERROR(VLOOKUP($L487,'2-2 引出数据_合同数据仓库'!$B$5:$BP$200,29,FALSE),0)</f>
        <v>2025-01-02</v>
      </c>
      <c r="S487" s="131" t="str">
        <f>IFERROR(VLOOKUP($L487,'2-2 引出数据_合同数据仓库'!$B$5:$BP$200,4,FALSE),0)</f>
        <v>2025-12-31</v>
      </c>
      <c r="T487" s="131"/>
      <c r="U487" s="131">
        <f>IFERROR(VLOOKUP($L487,'2-2 引出数据_合同数据仓库'!$B$5:$BP$200,15,FALSE),0)</f>
        <v>15642</v>
      </c>
      <c r="V487" s="131">
        <f t="shared" si="5691"/>
        <v>15684.9725274725</v>
      </c>
      <c r="W487" s="131"/>
      <c r="X487" s="163">
        <v>45658</v>
      </c>
      <c r="Y487" s="163">
        <f t="shared" si="5692"/>
        <v>45688</v>
      </c>
      <c r="Z487" s="167">
        <f t="shared" si="5693"/>
        <v>1289.17582417582</v>
      </c>
      <c r="AA487" s="163">
        <f t="shared" si="5694"/>
        <v>45689</v>
      </c>
      <c r="AB487" s="163">
        <f t="shared" si="5695"/>
        <v>45716</v>
      </c>
      <c r="AC487" s="167">
        <f t="shared" si="5696"/>
        <v>1203.23076923077</v>
      </c>
      <c r="AD487" s="163">
        <f t="shared" si="5697"/>
        <v>45717</v>
      </c>
      <c r="AE487" s="163">
        <f t="shared" si="5698"/>
        <v>45747</v>
      </c>
      <c r="AF487" s="167">
        <f t="shared" si="5699"/>
        <v>1332.14835164835</v>
      </c>
      <c r="AG487" s="163">
        <f t="shared" si="5700"/>
        <v>45748</v>
      </c>
      <c r="AH487" s="163">
        <f t="shared" si="5701"/>
        <v>45777</v>
      </c>
      <c r="AI487" s="167">
        <f t="shared" si="5702"/>
        <v>1289.17582417582</v>
      </c>
      <c r="AJ487" s="163">
        <f t="shared" si="5703"/>
        <v>45778</v>
      </c>
      <c r="AK487" s="163">
        <f t="shared" si="5704"/>
        <v>45808</v>
      </c>
      <c r="AL487" s="167">
        <f t="shared" si="5705"/>
        <v>1332.14835164835</v>
      </c>
      <c r="AM487" s="163">
        <f t="shared" si="5706"/>
        <v>45809</v>
      </c>
      <c r="AN487" s="163">
        <f t="shared" si="5707"/>
        <v>45838</v>
      </c>
      <c r="AO487" s="167">
        <f t="shared" si="5708"/>
        <v>1289.17582417582</v>
      </c>
      <c r="AP487" s="163">
        <f t="shared" si="5709"/>
        <v>45839</v>
      </c>
      <c r="AQ487" s="163">
        <f t="shared" si="5710"/>
        <v>45869</v>
      </c>
      <c r="AR487" s="167">
        <f t="shared" si="5711"/>
        <v>1332.14835164835</v>
      </c>
      <c r="AS487" s="163">
        <f t="shared" si="5712"/>
        <v>45870</v>
      </c>
      <c r="AT487" s="163">
        <f t="shared" si="5713"/>
        <v>45900</v>
      </c>
      <c r="AU487" s="167">
        <f t="shared" si="5714"/>
        <v>1332.14835164835</v>
      </c>
      <c r="AV487" s="163">
        <f t="shared" si="5715"/>
        <v>45901</v>
      </c>
      <c r="AW487" s="163">
        <f t="shared" si="5716"/>
        <v>45930</v>
      </c>
      <c r="AX487" s="167">
        <f t="shared" si="5717"/>
        <v>1289.17582417582</v>
      </c>
      <c r="AY487" s="163">
        <f t="shared" si="5718"/>
        <v>45931</v>
      </c>
      <c r="AZ487" s="163">
        <f t="shared" si="5719"/>
        <v>45961</v>
      </c>
      <c r="BA487" s="167">
        <f t="shared" si="5720"/>
        <v>1332.14835164835</v>
      </c>
      <c r="BB487" s="163">
        <f t="shared" si="5721"/>
        <v>45962</v>
      </c>
      <c r="BC487" s="163">
        <f t="shared" si="5722"/>
        <v>45991</v>
      </c>
      <c r="BD487" s="167">
        <f t="shared" si="5723"/>
        <v>1289.17582417582</v>
      </c>
      <c r="BE487" s="163">
        <f t="shared" si="5724"/>
        <v>45992</v>
      </c>
      <c r="BF487" s="163">
        <f t="shared" si="5725"/>
        <v>46022</v>
      </c>
      <c r="BG487" s="167">
        <f t="shared" si="5726"/>
        <v>1332.14835164835</v>
      </c>
      <c r="BH487" s="163">
        <v>46023</v>
      </c>
      <c r="BI487" s="163">
        <f t="shared" si="5727"/>
        <v>46053</v>
      </c>
      <c r="BJ487" s="167">
        <f t="shared" si="5728"/>
        <v>0</v>
      </c>
      <c r="BK487" s="163">
        <f t="shared" si="5729"/>
        <v>46054</v>
      </c>
      <c r="BL487" s="163">
        <f t="shared" si="5730"/>
        <v>46081</v>
      </c>
      <c r="BM487" s="167">
        <f t="shared" si="5731"/>
        <v>0</v>
      </c>
      <c r="BN487" s="163">
        <f t="shared" si="5732"/>
        <v>46082</v>
      </c>
      <c r="BO487" s="163">
        <f t="shared" si="5733"/>
        <v>46112</v>
      </c>
      <c r="BP487" s="167">
        <f t="shared" si="5734"/>
        <v>0</v>
      </c>
      <c r="BQ487" s="163">
        <f t="shared" si="5735"/>
        <v>46113</v>
      </c>
      <c r="BR487" s="163">
        <f t="shared" si="5736"/>
        <v>46142</v>
      </c>
      <c r="BS487" s="167">
        <f t="shared" si="5737"/>
        <v>0</v>
      </c>
      <c r="BT487" s="163">
        <f t="shared" si="5738"/>
        <v>46143</v>
      </c>
      <c r="BU487" s="163">
        <f t="shared" si="5739"/>
        <v>46173</v>
      </c>
      <c r="BV487" s="167">
        <f t="shared" si="5740"/>
        <v>0</v>
      </c>
      <c r="BW487" s="163">
        <f t="shared" si="5741"/>
        <v>46174</v>
      </c>
      <c r="BX487" s="163">
        <f t="shared" si="5742"/>
        <v>46203</v>
      </c>
      <c r="BY487" s="167">
        <f t="shared" si="5743"/>
        <v>0</v>
      </c>
      <c r="BZ487" s="163">
        <f t="shared" si="5744"/>
        <v>46204</v>
      </c>
      <c r="CA487" s="163">
        <f t="shared" si="5745"/>
        <v>46234</v>
      </c>
      <c r="CB487" s="167">
        <f t="shared" si="5746"/>
        <v>0</v>
      </c>
      <c r="CC487" s="163">
        <f t="shared" si="5747"/>
        <v>46235</v>
      </c>
      <c r="CD487" s="163">
        <f t="shared" si="5748"/>
        <v>46265</v>
      </c>
      <c r="CE487" s="167">
        <f t="shared" si="5749"/>
        <v>0</v>
      </c>
      <c r="CF487" s="163">
        <f t="shared" si="5750"/>
        <v>46266</v>
      </c>
      <c r="CG487" s="163">
        <f t="shared" si="5751"/>
        <v>46295</v>
      </c>
      <c r="CH487" s="167">
        <f t="shared" si="5752"/>
        <v>0</v>
      </c>
      <c r="CI487" s="163">
        <f t="shared" si="5753"/>
        <v>46296</v>
      </c>
      <c r="CJ487" s="163">
        <f t="shared" si="5754"/>
        <v>46326</v>
      </c>
      <c r="CK487" s="167">
        <f t="shared" si="5755"/>
        <v>0</v>
      </c>
      <c r="CL487" s="163">
        <f t="shared" si="5756"/>
        <v>46327</v>
      </c>
      <c r="CM487" s="163">
        <f t="shared" si="5757"/>
        <v>46356</v>
      </c>
      <c r="CN487" s="167">
        <f t="shared" si="5758"/>
        <v>0</v>
      </c>
      <c r="CO487" s="163">
        <f t="shared" si="5759"/>
        <v>46357</v>
      </c>
      <c r="CP487" s="163">
        <f t="shared" si="5760"/>
        <v>46387</v>
      </c>
      <c r="CQ487" s="167">
        <f t="shared" si="5761"/>
        <v>0</v>
      </c>
    </row>
    <row r="488" s="89" customFormat="1" ht="24" hidden="1" customHeight="1" outlineLevel="3" collapsed="1" spans="1:95">
      <c r="A488" s="128"/>
      <c r="B488" s="129"/>
      <c r="C488" s="130"/>
      <c r="D488" s="128"/>
      <c r="E488" s="129"/>
      <c r="F488" s="129"/>
      <c r="G488" s="129"/>
      <c r="H488" s="131"/>
      <c r="I488" s="131"/>
      <c r="J488" s="131">
        <f t="shared" si="5367"/>
        <v>48132.9032258065</v>
      </c>
      <c r="K488" s="131">
        <f t="shared" si="5762"/>
        <v>4</v>
      </c>
      <c r="L488" s="156" t="s">
        <v>2864</v>
      </c>
      <c r="M488" s="157" t="str">
        <f>IFERROR(VLOOKUP($L488,'2-2 引出数据_合同数据仓库'!$B$5:$BP$200,3,FALSE),0)</f>
        <v>深圳中海油大厦优地机器人租赁协议评审的申请</v>
      </c>
      <c r="N488" s="131"/>
      <c r="O488" s="157">
        <f>IFERROR(VLOOKUP((LEFT(VLOOKUP($L488,'2-2 引出数据_合同数据仓库'!$B$5:$BP$200,64,FALSE),15)&amp;(RIGHT(VLOOKUP($L488,'2-2 引出数据_合同数据仓库'!$B$5:$BP$200,64,FALSE),4)+1)),'2-2 引出数据_合同数据仓库'!$B$5:$BP$200,3,FALSE),0)</f>
        <v>0</v>
      </c>
      <c r="P488" s="131"/>
      <c r="Q488" s="131" t="str">
        <f>IFERROR(VLOOKUP($L488,'2-2 引出数据_合同数据仓库'!$B$5:$BP$200,28,FALSE),0)</f>
        <v>2024-12-25</v>
      </c>
      <c r="R488" s="131" t="str">
        <f>IFERROR(VLOOKUP($L488,'2-2 引出数据_合同数据仓库'!$B$5:$BP$200,29,FALSE),0)</f>
        <v>2024-12-25</v>
      </c>
      <c r="S488" s="131" t="str">
        <f>IFERROR(VLOOKUP($L488,'2-2 引出数据_合同数据仓库'!$B$5:$BP$200,4,FALSE),0)</f>
        <v>2025-12-31</v>
      </c>
      <c r="T488" s="131"/>
      <c r="U488" s="131">
        <f>IFERROR(VLOOKUP($L488,'2-2 引出数据_合同数据仓库'!$B$5:$BP$200,15,FALSE),0)</f>
        <v>49056</v>
      </c>
      <c r="V488" s="131">
        <f t="shared" si="5691"/>
        <v>48132.9032258065</v>
      </c>
      <c r="W488" s="131"/>
      <c r="X488" s="163">
        <v>45658</v>
      </c>
      <c r="Y488" s="163">
        <f t="shared" si="5692"/>
        <v>45688</v>
      </c>
      <c r="Z488" s="167">
        <f t="shared" si="5693"/>
        <v>4088</v>
      </c>
      <c r="AA488" s="163">
        <f t="shared" si="5694"/>
        <v>45689</v>
      </c>
      <c r="AB488" s="163">
        <f t="shared" si="5695"/>
        <v>45716</v>
      </c>
      <c r="AC488" s="167">
        <f t="shared" si="5696"/>
        <v>3692.38709677419</v>
      </c>
      <c r="AD488" s="163">
        <f t="shared" si="5697"/>
        <v>45717</v>
      </c>
      <c r="AE488" s="163">
        <f t="shared" si="5698"/>
        <v>45747</v>
      </c>
      <c r="AF488" s="167">
        <f t="shared" si="5699"/>
        <v>4088</v>
      </c>
      <c r="AG488" s="163">
        <f t="shared" si="5700"/>
        <v>45748</v>
      </c>
      <c r="AH488" s="163">
        <f t="shared" si="5701"/>
        <v>45777</v>
      </c>
      <c r="AI488" s="167">
        <f t="shared" si="5702"/>
        <v>3956.12903225806</v>
      </c>
      <c r="AJ488" s="163">
        <f t="shared" si="5703"/>
        <v>45778</v>
      </c>
      <c r="AK488" s="163">
        <f t="shared" si="5704"/>
        <v>45808</v>
      </c>
      <c r="AL488" s="167">
        <f t="shared" si="5705"/>
        <v>4088</v>
      </c>
      <c r="AM488" s="163">
        <f t="shared" si="5706"/>
        <v>45809</v>
      </c>
      <c r="AN488" s="163">
        <f t="shared" si="5707"/>
        <v>45838</v>
      </c>
      <c r="AO488" s="167">
        <f t="shared" si="5708"/>
        <v>3956.12903225806</v>
      </c>
      <c r="AP488" s="163">
        <f t="shared" si="5709"/>
        <v>45839</v>
      </c>
      <c r="AQ488" s="163">
        <f t="shared" si="5710"/>
        <v>45869</v>
      </c>
      <c r="AR488" s="167">
        <f t="shared" si="5711"/>
        <v>4088</v>
      </c>
      <c r="AS488" s="163">
        <f t="shared" si="5712"/>
        <v>45870</v>
      </c>
      <c r="AT488" s="163">
        <f t="shared" si="5713"/>
        <v>45900</v>
      </c>
      <c r="AU488" s="167">
        <f t="shared" si="5714"/>
        <v>4088</v>
      </c>
      <c r="AV488" s="163">
        <f t="shared" si="5715"/>
        <v>45901</v>
      </c>
      <c r="AW488" s="163">
        <f t="shared" si="5716"/>
        <v>45930</v>
      </c>
      <c r="AX488" s="167">
        <f t="shared" si="5717"/>
        <v>3956.12903225806</v>
      </c>
      <c r="AY488" s="163">
        <f t="shared" si="5718"/>
        <v>45931</v>
      </c>
      <c r="AZ488" s="163">
        <f t="shared" si="5719"/>
        <v>45961</v>
      </c>
      <c r="BA488" s="167">
        <f t="shared" si="5720"/>
        <v>4088</v>
      </c>
      <c r="BB488" s="163">
        <f t="shared" si="5721"/>
        <v>45962</v>
      </c>
      <c r="BC488" s="163">
        <f t="shared" si="5722"/>
        <v>45991</v>
      </c>
      <c r="BD488" s="167">
        <f t="shared" si="5723"/>
        <v>3956.12903225806</v>
      </c>
      <c r="BE488" s="163">
        <f t="shared" si="5724"/>
        <v>45992</v>
      </c>
      <c r="BF488" s="163">
        <f t="shared" si="5725"/>
        <v>46022</v>
      </c>
      <c r="BG488" s="167">
        <f t="shared" si="5726"/>
        <v>4088</v>
      </c>
      <c r="BH488" s="163">
        <v>46023</v>
      </c>
      <c r="BI488" s="163">
        <f t="shared" si="5727"/>
        <v>46053</v>
      </c>
      <c r="BJ488" s="167">
        <f t="shared" si="5728"/>
        <v>0</v>
      </c>
      <c r="BK488" s="163">
        <f t="shared" si="5729"/>
        <v>46054</v>
      </c>
      <c r="BL488" s="163">
        <f t="shared" si="5730"/>
        <v>46081</v>
      </c>
      <c r="BM488" s="167">
        <f t="shared" si="5731"/>
        <v>0</v>
      </c>
      <c r="BN488" s="163">
        <f t="shared" si="5732"/>
        <v>46082</v>
      </c>
      <c r="BO488" s="163">
        <f t="shared" si="5733"/>
        <v>46112</v>
      </c>
      <c r="BP488" s="167">
        <f t="shared" si="5734"/>
        <v>0</v>
      </c>
      <c r="BQ488" s="163">
        <f t="shared" si="5735"/>
        <v>46113</v>
      </c>
      <c r="BR488" s="163">
        <f t="shared" si="5736"/>
        <v>46142</v>
      </c>
      <c r="BS488" s="167">
        <f t="shared" si="5737"/>
        <v>0</v>
      </c>
      <c r="BT488" s="163">
        <f t="shared" si="5738"/>
        <v>46143</v>
      </c>
      <c r="BU488" s="163">
        <f t="shared" si="5739"/>
        <v>46173</v>
      </c>
      <c r="BV488" s="167">
        <f t="shared" si="5740"/>
        <v>0</v>
      </c>
      <c r="BW488" s="163">
        <f t="shared" si="5741"/>
        <v>46174</v>
      </c>
      <c r="BX488" s="163">
        <f t="shared" si="5742"/>
        <v>46203</v>
      </c>
      <c r="BY488" s="167">
        <f t="shared" si="5743"/>
        <v>0</v>
      </c>
      <c r="BZ488" s="163">
        <f t="shared" si="5744"/>
        <v>46204</v>
      </c>
      <c r="CA488" s="163">
        <f t="shared" si="5745"/>
        <v>46234</v>
      </c>
      <c r="CB488" s="167">
        <f t="shared" si="5746"/>
        <v>0</v>
      </c>
      <c r="CC488" s="163">
        <f t="shared" si="5747"/>
        <v>46235</v>
      </c>
      <c r="CD488" s="163">
        <f t="shared" si="5748"/>
        <v>46265</v>
      </c>
      <c r="CE488" s="167">
        <f t="shared" si="5749"/>
        <v>0</v>
      </c>
      <c r="CF488" s="163">
        <f t="shared" si="5750"/>
        <v>46266</v>
      </c>
      <c r="CG488" s="163">
        <f t="shared" si="5751"/>
        <v>46295</v>
      </c>
      <c r="CH488" s="167">
        <f t="shared" si="5752"/>
        <v>0</v>
      </c>
      <c r="CI488" s="163">
        <f t="shared" si="5753"/>
        <v>46296</v>
      </c>
      <c r="CJ488" s="163">
        <f t="shared" si="5754"/>
        <v>46326</v>
      </c>
      <c r="CK488" s="167">
        <f t="shared" si="5755"/>
        <v>0</v>
      </c>
      <c r="CL488" s="163">
        <f t="shared" si="5756"/>
        <v>46327</v>
      </c>
      <c r="CM488" s="163">
        <f t="shared" si="5757"/>
        <v>46356</v>
      </c>
      <c r="CN488" s="167">
        <f t="shared" si="5758"/>
        <v>0</v>
      </c>
      <c r="CO488" s="163">
        <f t="shared" si="5759"/>
        <v>46357</v>
      </c>
      <c r="CP488" s="163">
        <f t="shared" si="5760"/>
        <v>46387</v>
      </c>
      <c r="CQ488" s="167">
        <f t="shared" si="5761"/>
        <v>0</v>
      </c>
    </row>
    <row r="489" s="89" customFormat="1" ht="24" hidden="1" customHeight="1" outlineLevel="4" spans="1:95">
      <c r="A489" s="132" t="s">
        <v>2813</v>
      </c>
      <c r="B489" s="133"/>
      <c r="C489" s="133"/>
      <c r="D489" s="133"/>
      <c r="E489" s="133"/>
      <c r="F489" s="133"/>
      <c r="G489" s="134"/>
      <c r="H489" s="135"/>
      <c r="I489" s="135"/>
      <c r="J489" s="135"/>
      <c r="K489" s="135"/>
      <c r="L489" s="158"/>
      <c r="M489" s="158"/>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c r="CL489" s="135"/>
      <c r="CM489" s="135"/>
      <c r="CN489" s="135"/>
      <c r="CO489" s="135"/>
      <c r="CP489" s="135"/>
      <c r="CQ489" s="135"/>
    </row>
    <row r="490" ht="24" customHeight="1" outlineLevel="2" collapsed="1" spans="1:95">
      <c r="A490" s="43"/>
      <c r="B490" s="121" t="s">
        <v>792</v>
      </c>
      <c r="C490" s="122" t="s">
        <v>1592</v>
      </c>
      <c r="D490" s="43" t="s">
        <v>1593</v>
      </c>
      <c r="E490" s="121" t="s">
        <v>1594</v>
      </c>
      <c r="F490" s="121"/>
      <c r="G490" s="121" t="s">
        <v>936</v>
      </c>
      <c r="H490" s="123">
        <f>X490+AA490+AD490+AG490+AJ490+AM490+AP490+AS490+AV490+AY490+BB490+BE490</f>
        <v>0</v>
      </c>
      <c r="I490" s="123">
        <f>Y490+AB490+AE490+AH490+AK490+AN490+AQ490+AT490+AW490+AZ490+BC490+BF490</f>
        <v>-1064668.59790717</v>
      </c>
      <c r="J490" s="123">
        <f t="shared" si="5367"/>
        <v>1064668.59790717</v>
      </c>
      <c r="K490" s="123"/>
      <c r="L490" s="154"/>
      <c r="M490" s="154"/>
      <c r="N490" s="123"/>
      <c r="O490" s="123"/>
      <c r="P490" s="123"/>
      <c r="Q490" s="123"/>
      <c r="R490" s="123"/>
      <c r="S490" s="123"/>
      <c r="T490" s="123"/>
      <c r="U490" s="123"/>
      <c r="V490" s="123"/>
      <c r="W490" s="123"/>
      <c r="X490" s="123">
        <f>VLOOKUP($C490,'1 预算编制表单'!$C:$BJ,27,FALSE)</f>
        <v>0</v>
      </c>
      <c r="Y490" s="123">
        <f>X490-Z490</f>
        <v>0</v>
      </c>
      <c r="Z490" s="123">
        <f>SUM(Z491:Z495)</f>
        <v>0</v>
      </c>
      <c r="AA490" s="123">
        <f>VLOOKUP($C490,'1 预算编制表单'!$C:$BJ,30,FALSE)</f>
        <v>0</v>
      </c>
      <c r="AB490" s="123">
        <f>AA490-AC490</f>
        <v>0</v>
      </c>
      <c r="AC490" s="123">
        <f>SUM(AC491:AC495)</f>
        <v>0</v>
      </c>
      <c r="AD490" s="123">
        <f>VLOOKUP($C490,'1 预算编制表单'!$C:$BJ,33,FALSE)</f>
        <v>0</v>
      </c>
      <c r="AE490" s="123">
        <f>AD490-AF490</f>
        <v>-105688.44237785</v>
      </c>
      <c r="AF490" s="123">
        <f>SUM(AF491:AF495)</f>
        <v>105688.44237785</v>
      </c>
      <c r="AG490" s="123">
        <f>VLOOKUP($C490,'1 预算编制表单'!$C:$BJ,36,FALSE)</f>
        <v>0</v>
      </c>
      <c r="AH490" s="123">
        <f>AG490-AI490</f>
        <v>-104616.016966834</v>
      </c>
      <c r="AI490" s="123">
        <f>SUM(AI491:AI495)</f>
        <v>104616.016966834</v>
      </c>
      <c r="AJ490" s="123">
        <f>VLOOKUP($C490,'1 预算编制表单'!$C:$BJ,39,FALSE)</f>
        <v>0</v>
      </c>
      <c r="AK490" s="123">
        <f>AJ490-AL490</f>
        <v>-108103.217532396</v>
      </c>
      <c r="AL490" s="123">
        <f>SUM(AL491:AL495)</f>
        <v>108103.217532396</v>
      </c>
      <c r="AM490" s="123">
        <f>VLOOKUP($C490,'1 预算编制表单'!$C:$BJ,42,FALSE)</f>
        <v>0</v>
      </c>
      <c r="AN490" s="123">
        <f>AM490-AO490</f>
        <v>-104616.016966834</v>
      </c>
      <c r="AO490" s="123">
        <f>SUM(AO491:AO495)</f>
        <v>104616.016966834</v>
      </c>
      <c r="AP490" s="123">
        <f>VLOOKUP($C490,'1 预算编制表单'!$C:$BJ,45,FALSE)</f>
        <v>0</v>
      </c>
      <c r="AQ490" s="123">
        <f>AP490-AR490</f>
        <v>-108103.217532396</v>
      </c>
      <c r="AR490" s="123">
        <f>SUM(AR491:AR495)</f>
        <v>108103.217532396</v>
      </c>
      <c r="AS490" s="123">
        <f>VLOOKUP($C490,'1 预算编制表单'!$C:$BJ,48,FALSE)</f>
        <v>0</v>
      </c>
      <c r="AT490" s="123">
        <f>AS490-AU490</f>
        <v>-108103.217532396</v>
      </c>
      <c r="AU490" s="123">
        <f>SUM(AU491:AU495)</f>
        <v>108103.217532396</v>
      </c>
      <c r="AV490" s="123">
        <f>VLOOKUP($C490,'1 预算编制表单'!$C:$BJ,51,FALSE)</f>
        <v>0</v>
      </c>
      <c r="AW490" s="123">
        <f>AV490-AX490</f>
        <v>-104616.016966834</v>
      </c>
      <c r="AX490" s="123">
        <f>SUM(AX491:AX495)</f>
        <v>104616.016966834</v>
      </c>
      <c r="AY490" s="123">
        <f>VLOOKUP($C490,'1 预算编制表单'!$C:$BJ,54,FALSE)</f>
        <v>0</v>
      </c>
      <c r="AZ490" s="123">
        <f>AY490-BA490</f>
        <v>-108103.217532396</v>
      </c>
      <c r="BA490" s="123">
        <f>SUM(BA491:BA495)</f>
        <v>108103.217532396</v>
      </c>
      <c r="BB490" s="123">
        <f>VLOOKUP($C490,'1 预算编制表单'!$C:$BJ,57,FALSE)</f>
        <v>0</v>
      </c>
      <c r="BC490" s="123">
        <f>BB490-BD490</f>
        <v>-104616.016966834</v>
      </c>
      <c r="BD490" s="123">
        <f>SUM(BD491:BD495)</f>
        <v>104616.016966834</v>
      </c>
      <c r="BE490" s="123">
        <f>VLOOKUP($C490,'1 预算编制表单'!$C:$BJ,60,FALSE)</f>
        <v>0</v>
      </c>
      <c r="BF490" s="123">
        <f>BE490-BG490</f>
        <v>-108103.217532396</v>
      </c>
      <c r="BG490" s="123">
        <f>SUM(BG491:BG495)</f>
        <v>108103.217532396</v>
      </c>
      <c r="BH490" s="123">
        <f>VLOOKUP($C490,'1 预算编制表单'!$C:$BJ,27,FALSE)</f>
        <v>0</v>
      </c>
      <c r="BI490" s="123">
        <f>BH490-BJ490</f>
        <v>0</v>
      </c>
      <c r="BJ490" s="123">
        <f>SUM(BJ491:BJ495)</f>
        <v>0</v>
      </c>
      <c r="BK490" s="123">
        <f>VLOOKUP($C490,'1 预算编制表单'!$C:$BJ,30,FALSE)</f>
        <v>0</v>
      </c>
      <c r="BL490" s="123">
        <f>BK490-BM490</f>
        <v>0</v>
      </c>
      <c r="BM490" s="123">
        <f>SUM(BM491:BM495)</f>
        <v>0</v>
      </c>
      <c r="BN490" s="123">
        <f>VLOOKUP($C490,'1 预算编制表单'!$C:$BJ,33,FALSE)</f>
        <v>0</v>
      </c>
      <c r="BO490" s="123">
        <f>BN490-BP490</f>
        <v>0</v>
      </c>
      <c r="BP490" s="123">
        <f>SUM(BP491:BP495)</f>
        <v>0</v>
      </c>
      <c r="BQ490" s="123">
        <f>VLOOKUP($C490,'1 预算编制表单'!$C:$BJ,36,FALSE)</f>
        <v>0</v>
      </c>
      <c r="BR490" s="123">
        <f>BQ490-BS490</f>
        <v>0</v>
      </c>
      <c r="BS490" s="123">
        <f>SUM(BS491:BS495)</f>
        <v>0</v>
      </c>
      <c r="BT490" s="123">
        <f>VLOOKUP($C490,'1 预算编制表单'!$C:$BJ,39,FALSE)</f>
        <v>0</v>
      </c>
      <c r="BU490" s="123">
        <f>BT490-BV490</f>
        <v>0</v>
      </c>
      <c r="BV490" s="123">
        <f>SUM(BV491:BV495)</f>
        <v>0</v>
      </c>
      <c r="BW490" s="123">
        <f>VLOOKUP($C490,'1 预算编制表单'!$C:$BJ,42,FALSE)</f>
        <v>0</v>
      </c>
      <c r="BX490" s="123">
        <f>BW490-BY490</f>
        <v>0</v>
      </c>
      <c r="BY490" s="123">
        <f>SUM(BY491:BY495)</f>
        <v>0</v>
      </c>
      <c r="BZ490" s="123">
        <f>VLOOKUP($C490,'1 预算编制表单'!$C:$BJ,45,FALSE)</f>
        <v>0</v>
      </c>
      <c r="CA490" s="123">
        <f>BZ490-CB490</f>
        <v>0</v>
      </c>
      <c r="CB490" s="123">
        <f>SUM(CB491:CB495)</f>
        <v>0</v>
      </c>
      <c r="CC490" s="123">
        <f>VLOOKUP($C490,'1 预算编制表单'!$C:$BJ,48,FALSE)</f>
        <v>0</v>
      </c>
      <c r="CD490" s="123">
        <f>CC490-CE490</f>
        <v>0</v>
      </c>
      <c r="CE490" s="123">
        <f>SUM(CE491:CE495)</f>
        <v>0</v>
      </c>
      <c r="CF490" s="123">
        <f>VLOOKUP($C490,'1 预算编制表单'!$C:$BJ,51,FALSE)</f>
        <v>0</v>
      </c>
      <c r="CG490" s="123">
        <f>CF490-CH490</f>
        <v>0</v>
      </c>
      <c r="CH490" s="123">
        <f>SUM(CH491:CH495)</f>
        <v>0</v>
      </c>
      <c r="CI490" s="123">
        <f>VLOOKUP($C490,'1 预算编制表单'!$C:$BJ,54,FALSE)</f>
        <v>0</v>
      </c>
      <c r="CJ490" s="123">
        <f>CI490-CK490</f>
        <v>0</v>
      </c>
      <c r="CK490" s="123">
        <f>SUM(CK491:CK495)</f>
        <v>0</v>
      </c>
      <c r="CL490" s="123">
        <f>VLOOKUP($C490,'1 预算编制表单'!$C:$BJ,57,FALSE)</f>
        <v>0</v>
      </c>
      <c r="CM490" s="123">
        <f>CL490-CN490</f>
        <v>0</v>
      </c>
      <c r="CN490" s="123">
        <f>SUM(CN491:CN495)</f>
        <v>0</v>
      </c>
      <c r="CO490" s="123">
        <f>VLOOKUP($C490,'1 预算编制表单'!$C:$BJ,60,FALSE)</f>
        <v>0</v>
      </c>
      <c r="CP490" s="123">
        <f>CO490-CQ490</f>
        <v>0</v>
      </c>
      <c r="CQ490" s="123">
        <f>SUM(CQ491:CQ495)</f>
        <v>0</v>
      </c>
    </row>
    <row r="491" s="89" customFormat="1" ht="24" hidden="1" customHeight="1" outlineLevel="3" spans="1:95">
      <c r="A491" s="128"/>
      <c r="B491" s="129"/>
      <c r="C491" s="130"/>
      <c r="D491" s="128"/>
      <c r="E491" s="129"/>
      <c r="F491" s="129"/>
      <c r="G491" s="129"/>
      <c r="H491" s="131"/>
      <c r="I491" s="131"/>
      <c r="J491" s="131">
        <f t="shared" si="5367"/>
        <v>8906.83</v>
      </c>
      <c r="K491" s="131">
        <v>1</v>
      </c>
      <c r="L491" s="156" t="s">
        <v>2865</v>
      </c>
      <c r="M491" s="157" t="str">
        <f>IFERROR(VLOOKUP($L491,'2-2 引出数据_合同数据仓库'!$B$5:$BP$200,3,FALSE),0)</f>
        <v>深圳非住二片区中海油项目防雷检测合同</v>
      </c>
      <c r="N491" s="131"/>
      <c r="O491" s="157">
        <f>IFERROR(VLOOKUP((LEFT(VLOOKUP($L491,'2-2 引出数据_合同数据仓库'!$B$5:$BP$200,64,FALSE),15)&amp;(RIGHT(VLOOKUP($L491,'2-2 引出数据_合同数据仓库'!$B$5:$BP$200,64,FALSE),4)+1)),'2-2 引出数据_合同数据仓库'!$B$5:$BP$200,3,FALSE),0)</f>
        <v>0</v>
      </c>
      <c r="P491" s="131"/>
      <c r="Q491" s="131" t="str">
        <f>IFERROR(VLOOKUP($L491,'2-2 引出数据_合同数据仓库'!$B$5:$BP$200,28,FALSE),0)</f>
        <v>2025-04-01</v>
      </c>
      <c r="R491" s="131" t="str">
        <f>IFERROR(VLOOKUP($L491,'2-2 引出数据_合同数据仓库'!$B$5:$BP$200,29,FALSE),0)</f>
        <v>2025-04-01</v>
      </c>
      <c r="S491" s="131" t="str">
        <f>IFERROR(VLOOKUP($L491,'2-2 引出数据_合同数据仓库'!$B$5:$BP$200,4,FALSE),0)</f>
        <v>2025-12-31</v>
      </c>
      <c r="T491" s="131"/>
      <c r="U491" s="131">
        <f>IFERROR(VLOOKUP($L491,'2-2 引出数据_合同数据仓库'!$B$5:$BP$200,15,FALSE),0)</f>
        <v>8906.83</v>
      </c>
      <c r="V491" s="131">
        <f t="shared" ref="V491:V494" si="5763">U491/(S491-R491+1)*365</f>
        <v>11821.7925454545</v>
      </c>
      <c r="W491" s="131"/>
      <c r="X491" s="163">
        <v>45658</v>
      </c>
      <c r="Y491" s="163">
        <f t="shared" ref="Y491:Y494" si="5764">X491+30</f>
        <v>45688</v>
      </c>
      <c r="Z491" s="167">
        <f t="shared" ref="Z491:Z494" si="5765">IFERROR(IF(($R491-Y491)&gt;=0,0,IF(($S491-X491)&lt;0,0,IF(AND(($S491-Y491)&gt;0,(X491-$R491)&gt;0),$V491/365*(Y491-X491+1),IF(AND(($S491-Y491)&lt;=0,(X491-$R491)&gt;0),$V491/365*($S491-X491+1),$V491/365*(Y491-$R491+1))))),0)</f>
        <v>0</v>
      </c>
      <c r="AA491" s="163">
        <f t="shared" ref="AA491:AA494" si="5766">Y491+1</f>
        <v>45689</v>
      </c>
      <c r="AB491" s="163">
        <f t="shared" ref="AB491:AB494" si="5767">AA491+27</f>
        <v>45716</v>
      </c>
      <c r="AC491" s="167">
        <f t="shared" ref="AC491:AC494" si="5768">IFERROR(IF(($R491-AB491)&gt;=0,0,IF(($S491-AA491)&lt;0,0,IF(AND(($S491-AB491)&gt;0,(AA491-$R491)&gt;0),$V491/365*(AB491-AA491+1),IF(AND(($S491-AB491)&lt;=0,(AA491-$R491)&gt;0),$V491/365*($S491-AA491+1),$V491/365*(AB491-$R491+1))))),0)</f>
        <v>0</v>
      </c>
      <c r="AD491" s="163">
        <f t="shared" ref="AD491:AD494" si="5769">AB491+1</f>
        <v>45717</v>
      </c>
      <c r="AE491" s="163">
        <f t="shared" ref="AE491:AE494" si="5770">AD491+30</f>
        <v>45747</v>
      </c>
      <c r="AF491" s="167">
        <f t="shared" ref="AF491:AF494" si="5771">IFERROR(IF(($R491-AE491)&gt;=0,0,IF(($S491-AD491)&lt;0,0,IF(AND(($S491-AE491)&gt;0,(AD491-$R491)&gt;0),$V491/365*(AE491-AD491+1),IF(AND(($S491-AE491)&lt;=0,(AD491-$R491)&gt;0),$V491/365*($S491-AD491+1),$V491/365*(AE491-$R491+1))))),0)</f>
        <v>0</v>
      </c>
      <c r="AG491" s="163">
        <f t="shared" ref="AG491:AG494" si="5772">AE491+1</f>
        <v>45748</v>
      </c>
      <c r="AH491" s="163">
        <f t="shared" ref="AH491:AH494" si="5773">AG491+29</f>
        <v>45777</v>
      </c>
      <c r="AI491" s="167">
        <f t="shared" ref="AI491:AI494" si="5774">IFERROR(IF(($R491-AH491)&gt;=0,0,IF(($S491-AG491)&lt;0,0,IF(AND(($S491-AH491)&gt;0,(AG491-$R491)&gt;0),$V491/365*(AH491-AG491+1),IF(AND(($S491-AH491)&lt;=0,(AG491-$R491)&gt;0),$V491/365*($S491-AG491+1),$V491/365*(AH491-$R491+1))))),0)</f>
        <v>971.654181818182</v>
      </c>
      <c r="AJ491" s="163">
        <f t="shared" ref="AJ491:AJ494" si="5775">AH491+1</f>
        <v>45778</v>
      </c>
      <c r="AK491" s="163">
        <f t="shared" ref="AK491:AK494" si="5776">AJ491+30</f>
        <v>45808</v>
      </c>
      <c r="AL491" s="167">
        <f t="shared" ref="AL491:AL494" si="5777">IFERROR(IF(($R491-AK491)&gt;=0,0,IF(($S491-AJ491)&lt;0,0,IF(AND(($S491-AK491)&gt;0,(AJ491-$R491)&gt;0),$V491/365*(AK491-AJ491+1),IF(AND(($S491-AK491)&lt;=0,(AJ491-$R491)&gt;0),$V491/365*($S491-AJ491+1),$V491/365*(AK491-$R491+1))))),0)</f>
        <v>1004.04265454545</v>
      </c>
      <c r="AM491" s="163">
        <f t="shared" ref="AM491:AM494" si="5778">AK491+1</f>
        <v>45809</v>
      </c>
      <c r="AN491" s="163">
        <f t="shared" ref="AN491:AN494" si="5779">AM491+29</f>
        <v>45838</v>
      </c>
      <c r="AO491" s="167">
        <f t="shared" ref="AO491:AO494" si="5780">IFERROR(IF(($R491-AN491)&gt;=0,0,IF(($S491-AM491)&lt;0,0,IF(AND(($S491-AN491)&gt;0,(AM491-$R491)&gt;0),$V491/365*(AN491-AM491+1),IF(AND(($S491-AN491)&lt;=0,(AM491-$R491)&gt;0),$V491/365*($S491-AM491+1),$V491/365*(AN491-$R491+1))))),0)</f>
        <v>971.654181818182</v>
      </c>
      <c r="AP491" s="163">
        <f t="shared" ref="AP491:AP494" si="5781">AN491+1</f>
        <v>45839</v>
      </c>
      <c r="AQ491" s="163">
        <f t="shared" ref="AQ491:AQ494" si="5782">AP491+30</f>
        <v>45869</v>
      </c>
      <c r="AR491" s="167">
        <f t="shared" ref="AR491:AR494" si="5783">IFERROR(IF(($R491-AQ491)&gt;=0,0,IF(($S491-AP491)&lt;0,0,IF(AND(($S491-AQ491)&gt;0,(AP491-$R491)&gt;0),$V491/365*(AQ491-AP491+1),IF(AND(($S491-AQ491)&lt;=0,(AP491-$R491)&gt;0),$V491/365*($S491-AP491+1),$V491/365*(AQ491-$R491+1))))),0)</f>
        <v>1004.04265454545</v>
      </c>
      <c r="AS491" s="163">
        <f t="shared" ref="AS491:AS494" si="5784">AQ491+1</f>
        <v>45870</v>
      </c>
      <c r="AT491" s="163">
        <f t="shared" ref="AT491:AT494" si="5785">AS491+30</f>
        <v>45900</v>
      </c>
      <c r="AU491" s="167">
        <f t="shared" ref="AU491:AU494" si="5786">IFERROR(IF(($R491-AT491)&gt;=0,0,IF(($S491-AS491)&lt;0,0,IF(AND(($S491-AT491)&gt;0,(AS491-$R491)&gt;0),$V491/365*(AT491-AS491+1),IF(AND(($S491-AT491)&lt;=0,(AS491-$R491)&gt;0),$V491/365*($S491-AS491+1),$V491/365*(AT491-$R491+1))))),0)</f>
        <v>1004.04265454545</v>
      </c>
      <c r="AV491" s="163">
        <f t="shared" ref="AV491:AV494" si="5787">AT491+1</f>
        <v>45901</v>
      </c>
      <c r="AW491" s="163">
        <f t="shared" ref="AW491:AW494" si="5788">AV491+29</f>
        <v>45930</v>
      </c>
      <c r="AX491" s="167">
        <f t="shared" ref="AX491:AX494" si="5789">IFERROR(IF(($R491-AW491)&gt;=0,0,IF(($S491-AV491)&lt;0,0,IF(AND(($S491-AW491)&gt;0,(AV491-$R491)&gt;0),$V491/365*(AW491-AV491+1),IF(AND(($S491-AW491)&lt;=0,(AV491-$R491)&gt;0),$V491/365*($S491-AV491+1),$V491/365*(AW491-$R491+1))))),0)</f>
        <v>971.654181818182</v>
      </c>
      <c r="AY491" s="163">
        <f t="shared" ref="AY491:AY494" si="5790">AW491+1</f>
        <v>45931</v>
      </c>
      <c r="AZ491" s="163">
        <f t="shared" ref="AZ491:AZ494" si="5791">AY491+30</f>
        <v>45961</v>
      </c>
      <c r="BA491" s="167">
        <f t="shared" ref="BA491:BA494" si="5792">IFERROR(IF(($R491-AZ491)&gt;=0,0,IF(($S491-AY491)&lt;0,0,IF(AND(($S491-AZ491)&gt;0,(AY491-$R491)&gt;0),$V491/365*(AZ491-AY491+1),IF(AND(($S491-AZ491)&lt;=0,(AY491-$R491)&gt;0),$V491/365*($S491-AY491+1),$V491/365*(AZ491-$R491+1))))),0)</f>
        <v>1004.04265454545</v>
      </c>
      <c r="BB491" s="163">
        <f t="shared" ref="BB491:BB494" si="5793">AZ491+1</f>
        <v>45962</v>
      </c>
      <c r="BC491" s="163">
        <f t="shared" ref="BC491:BC494" si="5794">BB491+29</f>
        <v>45991</v>
      </c>
      <c r="BD491" s="167">
        <f t="shared" ref="BD491:BD494" si="5795">IFERROR(IF(($R491-BC491)&gt;=0,0,IF(($S491-BB491)&lt;0,0,IF(AND(($S491-BC491)&gt;0,(BB491-$R491)&gt;0),$V491/365*(BC491-BB491+1),IF(AND(($S491-BC491)&lt;=0,(BB491-$R491)&gt;0),$V491/365*($S491-BB491+1),$V491/365*(BC491-$R491+1))))),0)</f>
        <v>971.654181818182</v>
      </c>
      <c r="BE491" s="163">
        <f t="shared" ref="BE491:BE494" si="5796">BC491+1</f>
        <v>45992</v>
      </c>
      <c r="BF491" s="163">
        <f t="shared" ref="BF491:BF494" si="5797">BE491+30</f>
        <v>46022</v>
      </c>
      <c r="BG491" s="167">
        <f t="shared" ref="BG491:BG494" si="5798">IFERROR(IF(($R491-BF491)&gt;=0,0,IF(($S491-BE491)&lt;0,0,IF(AND(($S491-BF491)&gt;0,(BE491-$R491)&gt;0),$V491/365*(BF491-BE491+1),IF(AND(($S491-BF491)&lt;=0,(BE491-$R491)&gt;0),$V491/365*($S491-BE491+1),$V491/365*(BF491-$R491+1))))),0)</f>
        <v>1004.04265454545</v>
      </c>
      <c r="BH491" s="163">
        <v>46023</v>
      </c>
      <c r="BI491" s="163">
        <f t="shared" ref="BI491:BI494" si="5799">BH491+30</f>
        <v>46053</v>
      </c>
      <c r="BJ491" s="167">
        <f t="shared" ref="BJ491:BJ494" si="5800">IFERROR(IF(($R491-BI491)&gt;=0,0,IF(($S491-BH491)&lt;0,0,IF(AND(($S491-BI491)&gt;0,(BH491-$R491)&gt;0),$V491/365*(BI491-BH491+1),IF(AND(($S491-BI491)&lt;=0,(BH491-$R491)&gt;0),$V491/365*($S491-BH491+1),$V491/365*(BI491-$R491+1))))),0)</f>
        <v>0</v>
      </c>
      <c r="BK491" s="163">
        <f t="shared" ref="BK491:BK494" si="5801">BI491+1</f>
        <v>46054</v>
      </c>
      <c r="BL491" s="163">
        <f t="shared" ref="BL491:BL494" si="5802">BK491+27</f>
        <v>46081</v>
      </c>
      <c r="BM491" s="167">
        <f t="shared" ref="BM491:BM494" si="5803">IFERROR(IF(($R491-BL491)&gt;=0,0,IF(($S491-BK491)&lt;0,0,IF(AND(($S491-BL491)&gt;0,(BK491-$R491)&gt;0),$V491/365*(BL491-BK491+1),IF(AND(($S491-BL491)&lt;=0,(BK491-$R491)&gt;0),$V491/365*($S491-BK491+1),$V491/365*(BL491-$R491+1))))),0)</f>
        <v>0</v>
      </c>
      <c r="BN491" s="163">
        <f t="shared" ref="BN491:BN494" si="5804">BL491+1</f>
        <v>46082</v>
      </c>
      <c r="BO491" s="163">
        <f t="shared" ref="BO491:BO494" si="5805">BN491+30</f>
        <v>46112</v>
      </c>
      <c r="BP491" s="167">
        <f t="shared" ref="BP491:BP494" si="5806">IFERROR(IF(($R491-BO491)&gt;=0,0,IF(($S491-BN491)&lt;0,0,IF(AND(($S491-BO491)&gt;0,(BN491-$R491)&gt;0),$V491/365*(BO491-BN491+1),IF(AND(($S491-BO491)&lt;=0,(BN491-$R491)&gt;0),$V491/365*($S491-BN491+1),$V491/365*(BO491-$R491+1))))),0)</f>
        <v>0</v>
      </c>
      <c r="BQ491" s="163">
        <f t="shared" ref="BQ491:BQ494" si="5807">BO491+1</f>
        <v>46113</v>
      </c>
      <c r="BR491" s="163">
        <f t="shared" ref="BR491:BR494" si="5808">BQ491+29</f>
        <v>46142</v>
      </c>
      <c r="BS491" s="167">
        <f t="shared" ref="BS491:BS494" si="5809">IFERROR(IF(($R491-BR491)&gt;=0,0,IF(($S491-BQ491)&lt;0,0,IF(AND(($S491-BR491)&gt;0,(BQ491-$R491)&gt;0),$V491/365*(BR491-BQ491+1),IF(AND(($S491-BR491)&lt;=0,(BQ491-$R491)&gt;0),$V491/365*($S491-BQ491+1),$V491/365*(BR491-$R491+1))))),0)</f>
        <v>0</v>
      </c>
      <c r="BT491" s="163">
        <f t="shared" ref="BT491:BT494" si="5810">BR491+1</f>
        <v>46143</v>
      </c>
      <c r="BU491" s="163">
        <f t="shared" ref="BU491:BU494" si="5811">BT491+30</f>
        <v>46173</v>
      </c>
      <c r="BV491" s="167">
        <f t="shared" ref="BV491:BV494" si="5812">IFERROR(IF(($R491-BU491)&gt;=0,0,IF(($S491-BT491)&lt;0,0,IF(AND(($S491-BU491)&gt;0,(BT491-$R491)&gt;0),$V491/365*(BU491-BT491+1),IF(AND(($S491-BU491)&lt;=0,(BT491-$R491)&gt;0),$V491/365*($S491-BT491+1),$V491/365*(BU491-$R491+1))))),0)</f>
        <v>0</v>
      </c>
      <c r="BW491" s="163">
        <f t="shared" ref="BW491:BW494" si="5813">BU491+1</f>
        <v>46174</v>
      </c>
      <c r="BX491" s="163">
        <f t="shared" ref="BX491:BX494" si="5814">BW491+29</f>
        <v>46203</v>
      </c>
      <c r="BY491" s="167">
        <f t="shared" ref="BY491:BY494" si="5815">IFERROR(IF(($R491-BX491)&gt;=0,0,IF(($S491-BW491)&lt;0,0,IF(AND(($S491-BX491)&gt;0,(BW491-$R491)&gt;0),$V491/365*(BX491-BW491+1),IF(AND(($S491-BX491)&lt;=0,(BW491-$R491)&gt;0),$V491/365*($S491-BW491+1),$V491/365*(BX491-$R491+1))))),0)</f>
        <v>0</v>
      </c>
      <c r="BZ491" s="163">
        <f t="shared" ref="BZ491:BZ494" si="5816">BX491+1</f>
        <v>46204</v>
      </c>
      <c r="CA491" s="163">
        <f t="shared" ref="CA491:CA494" si="5817">BZ491+30</f>
        <v>46234</v>
      </c>
      <c r="CB491" s="167">
        <f t="shared" ref="CB491:CB494" si="5818">IFERROR(IF(($R491-CA491)&gt;=0,0,IF(($S491-BZ491)&lt;0,0,IF(AND(($S491-CA491)&gt;0,(BZ491-$R491)&gt;0),$V491/365*(CA491-BZ491+1),IF(AND(($S491-CA491)&lt;=0,(BZ491-$R491)&gt;0),$V491/365*($S491-BZ491+1),$V491/365*(CA491-$R491+1))))),0)</f>
        <v>0</v>
      </c>
      <c r="CC491" s="163">
        <f t="shared" ref="CC491:CC494" si="5819">CA491+1</f>
        <v>46235</v>
      </c>
      <c r="CD491" s="163">
        <f t="shared" ref="CD491:CD494" si="5820">CC491+30</f>
        <v>46265</v>
      </c>
      <c r="CE491" s="167">
        <f t="shared" ref="CE491:CE494" si="5821">IFERROR(IF(($R491-CD491)&gt;=0,0,IF(($S491-CC491)&lt;0,0,IF(AND(($S491-CD491)&gt;0,(CC491-$R491)&gt;0),$V491/365*(CD491-CC491+1),IF(AND(($S491-CD491)&lt;=0,(CC491-$R491)&gt;0),$V491/365*($S491-CC491+1),$V491/365*(CD491-$R491+1))))),0)</f>
        <v>0</v>
      </c>
      <c r="CF491" s="163">
        <f t="shared" ref="CF491:CF494" si="5822">CD491+1</f>
        <v>46266</v>
      </c>
      <c r="CG491" s="163">
        <f t="shared" ref="CG491:CG494" si="5823">CF491+29</f>
        <v>46295</v>
      </c>
      <c r="CH491" s="167">
        <f t="shared" ref="CH491:CH494" si="5824">IFERROR(IF(($R491-CG491)&gt;=0,0,IF(($S491-CF491)&lt;0,0,IF(AND(($S491-CG491)&gt;0,(CF491-$R491)&gt;0),$V491/365*(CG491-CF491+1),IF(AND(($S491-CG491)&lt;=0,(CF491-$R491)&gt;0),$V491/365*($S491-CF491+1),$V491/365*(CG491-$R491+1))))),0)</f>
        <v>0</v>
      </c>
      <c r="CI491" s="163">
        <f t="shared" ref="CI491:CI494" si="5825">CG491+1</f>
        <v>46296</v>
      </c>
      <c r="CJ491" s="163">
        <f t="shared" ref="CJ491:CJ494" si="5826">CI491+30</f>
        <v>46326</v>
      </c>
      <c r="CK491" s="167">
        <f t="shared" ref="CK491:CK494" si="5827">IFERROR(IF(($R491-CJ491)&gt;=0,0,IF(($S491-CI491)&lt;0,0,IF(AND(($S491-CJ491)&gt;0,(CI491-$R491)&gt;0),$V491/365*(CJ491-CI491+1),IF(AND(($S491-CJ491)&lt;=0,(CI491-$R491)&gt;0),$V491/365*($S491-CI491+1),$V491/365*(CJ491-$R491+1))))),0)</f>
        <v>0</v>
      </c>
      <c r="CL491" s="163">
        <f t="shared" ref="CL491:CL494" si="5828">CJ491+1</f>
        <v>46327</v>
      </c>
      <c r="CM491" s="163">
        <f t="shared" ref="CM491:CM494" si="5829">CL491+29</f>
        <v>46356</v>
      </c>
      <c r="CN491" s="167">
        <f t="shared" ref="CN491:CN494" si="5830">IFERROR(IF(($R491-CM491)&gt;=0,0,IF(($S491-CL491)&lt;0,0,IF(AND(($S491-CM491)&gt;0,(CL491-$R491)&gt;0),$V491/365*(CM491-CL491+1),IF(AND(($S491-CM491)&lt;=0,(CL491-$R491)&gt;0),$V491/365*($S491-CL491+1),$V491/365*(CM491-$R491+1))))),0)</f>
        <v>0</v>
      </c>
      <c r="CO491" s="163">
        <f t="shared" ref="CO491:CO494" si="5831">CM491+1</f>
        <v>46357</v>
      </c>
      <c r="CP491" s="163">
        <f t="shared" ref="CP491:CP494" si="5832">CO491+30</f>
        <v>46387</v>
      </c>
      <c r="CQ491" s="167">
        <f t="shared" ref="CQ491:CQ494" si="5833">IFERROR(IF(($R491-CP491)&gt;=0,0,IF(($S491-CO491)&lt;0,0,IF(AND(($S491-CP491)&gt;0,(CO491-$R491)&gt;0),$V491/365*(CP491-CO491+1),IF(AND(($S491-CP491)&lt;=0,(CO491-$R491)&gt;0),$V491/365*($S491-CO491+1),$V491/365*(CP491-$R491+1))))),0)</f>
        <v>0</v>
      </c>
    </row>
    <row r="492" s="89" customFormat="1" ht="24" hidden="1" customHeight="1" outlineLevel="3" spans="1:95">
      <c r="A492" s="128"/>
      <c r="B492" s="129"/>
      <c r="C492" s="130"/>
      <c r="D492" s="128"/>
      <c r="E492" s="129"/>
      <c r="F492" s="129"/>
      <c r="G492" s="129"/>
      <c r="H492" s="131"/>
      <c r="I492" s="131"/>
      <c r="J492" s="131">
        <f t="shared" si="5367"/>
        <v>12514.5625</v>
      </c>
      <c r="K492" s="131">
        <f t="shared" ref="K492:K494" si="5834">K491+1</f>
        <v>2</v>
      </c>
      <c r="L492" s="156" t="s">
        <v>2866</v>
      </c>
      <c r="M492" s="157" t="str">
        <f>IFERROR(VLOOKUP($L492,'2-2 引出数据_合同数据仓库'!$B$5:$BP$200,3,FALSE),0)</f>
        <v>深圳非住二片区中海油大厦A座15楼立式多级水泵更换工程合同</v>
      </c>
      <c r="N492" s="131"/>
      <c r="O492" s="157">
        <f>IFERROR(VLOOKUP((LEFT(VLOOKUP($L492,'2-2 引出数据_合同数据仓库'!$B$5:$BP$200,64,FALSE),15)&amp;(RIGHT(VLOOKUP($L492,'2-2 引出数据_合同数据仓库'!$B$5:$BP$200,64,FALSE),4)+1)),'2-2 引出数据_合同数据仓库'!$B$5:$BP$200,3,FALSE),0)</f>
        <v>0</v>
      </c>
      <c r="P492" s="131"/>
      <c r="Q492" s="131" t="str">
        <f>IFERROR(VLOOKUP($L492,'2-2 引出数据_合同数据仓库'!$B$5:$BP$200,28,FALSE),0)</f>
        <v>2025-03-31</v>
      </c>
      <c r="R492" s="131" t="str">
        <f>IFERROR(VLOOKUP($L492,'2-2 引出数据_合同数据仓库'!$B$5:$BP$200,29,FALSE),0)</f>
        <v>2025-03-31</v>
      </c>
      <c r="S492" s="131" t="str">
        <f>IFERROR(VLOOKUP($L492,'2-2 引出数据_合同数据仓库'!$B$5:$BP$200,4,FALSE),0)</f>
        <v>2025-12-31</v>
      </c>
      <c r="T492" s="131"/>
      <c r="U492" s="131">
        <f>IFERROR(VLOOKUP($L492,'2-2 引出数据_合同数据仓库'!$B$5:$BP$200,15,FALSE),0)</f>
        <v>12560.07</v>
      </c>
      <c r="V492" s="131">
        <f t="shared" si="5763"/>
        <v>16610.2375</v>
      </c>
      <c r="W492" s="131"/>
      <c r="X492" s="163">
        <v>45658</v>
      </c>
      <c r="Y492" s="163">
        <f t="shared" si="5764"/>
        <v>45688</v>
      </c>
      <c r="Z492" s="167">
        <f t="shared" si="5765"/>
        <v>0</v>
      </c>
      <c r="AA492" s="163">
        <f t="shared" si="5766"/>
        <v>45689</v>
      </c>
      <c r="AB492" s="163">
        <f t="shared" si="5767"/>
        <v>45716</v>
      </c>
      <c r="AC492" s="167">
        <f t="shared" si="5768"/>
        <v>0</v>
      </c>
      <c r="AD492" s="163">
        <f t="shared" si="5769"/>
        <v>45717</v>
      </c>
      <c r="AE492" s="163">
        <f t="shared" si="5770"/>
        <v>45747</v>
      </c>
      <c r="AF492" s="167">
        <f t="shared" si="5771"/>
        <v>0</v>
      </c>
      <c r="AG492" s="163">
        <f t="shared" si="5772"/>
        <v>45748</v>
      </c>
      <c r="AH492" s="163">
        <f t="shared" si="5773"/>
        <v>45777</v>
      </c>
      <c r="AI492" s="167">
        <f t="shared" si="5774"/>
        <v>1365.225</v>
      </c>
      <c r="AJ492" s="163">
        <f t="shared" si="5775"/>
        <v>45778</v>
      </c>
      <c r="AK492" s="163">
        <f t="shared" si="5776"/>
        <v>45808</v>
      </c>
      <c r="AL492" s="167">
        <f t="shared" si="5777"/>
        <v>1410.7325</v>
      </c>
      <c r="AM492" s="163">
        <f t="shared" si="5778"/>
        <v>45809</v>
      </c>
      <c r="AN492" s="163">
        <f t="shared" si="5779"/>
        <v>45838</v>
      </c>
      <c r="AO492" s="167">
        <f t="shared" si="5780"/>
        <v>1365.225</v>
      </c>
      <c r="AP492" s="163">
        <f t="shared" si="5781"/>
        <v>45839</v>
      </c>
      <c r="AQ492" s="163">
        <f t="shared" si="5782"/>
        <v>45869</v>
      </c>
      <c r="AR492" s="167">
        <f t="shared" si="5783"/>
        <v>1410.7325</v>
      </c>
      <c r="AS492" s="163">
        <f t="shared" si="5784"/>
        <v>45870</v>
      </c>
      <c r="AT492" s="163">
        <f t="shared" si="5785"/>
        <v>45900</v>
      </c>
      <c r="AU492" s="167">
        <f t="shared" si="5786"/>
        <v>1410.7325</v>
      </c>
      <c r="AV492" s="163">
        <f t="shared" si="5787"/>
        <v>45901</v>
      </c>
      <c r="AW492" s="163">
        <f t="shared" si="5788"/>
        <v>45930</v>
      </c>
      <c r="AX492" s="167">
        <f t="shared" si="5789"/>
        <v>1365.225</v>
      </c>
      <c r="AY492" s="163">
        <f t="shared" si="5790"/>
        <v>45931</v>
      </c>
      <c r="AZ492" s="163">
        <f t="shared" si="5791"/>
        <v>45961</v>
      </c>
      <c r="BA492" s="167">
        <f t="shared" si="5792"/>
        <v>1410.7325</v>
      </c>
      <c r="BB492" s="163">
        <f t="shared" si="5793"/>
        <v>45962</v>
      </c>
      <c r="BC492" s="163">
        <f t="shared" si="5794"/>
        <v>45991</v>
      </c>
      <c r="BD492" s="167">
        <f t="shared" si="5795"/>
        <v>1365.225</v>
      </c>
      <c r="BE492" s="163">
        <f t="shared" si="5796"/>
        <v>45992</v>
      </c>
      <c r="BF492" s="163">
        <f t="shared" si="5797"/>
        <v>46022</v>
      </c>
      <c r="BG492" s="167">
        <f t="shared" si="5798"/>
        <v>1410.7325</v>
      </c>
      <c r="BH492" s="163">
        <v>46023</v>
      </c>
      <c r="BI492" s="163">
        <f t="shared" si="5799"/>
        <v>46053</v>
      </c>
      <c r="BJ492" s="167">
        <f t="shared" si="5800"/>
        <v>0</v>
      </c>
      <c r="BK492" s="163">
        <f t="shared" si="5801"/>
        <v>46054</v>
      </c>
      <c r="BL492" s="163">
        <f t="shared" si="5802"/>
        <v>46081</v>
      </c>
      <c r="BM492" s="167">
        <f t="shared" si="5803"/>
        <v>0</v>
      </c>
      <c r="BN492" s="163">
        <f t="shared" si="5804"/>
        <v>46082</v>
      </c>
      <c r="BO492" s="163">
        <f t="shared" si="5805"/>
        <v>46112</v>
      </c>
      <c r="BP492" s="167">
        <f t="shared" si="5806"/>
        <v>0</v>
      </c>
      <c r="BQ492" s="163">
        <f t="shared" si="5807"/>
        <v>46113</v>
      </c>
      <c r="BR492" s="163">
        <f t="shared" si="5808"/>
        <v>46142</v>
      </c>
      <c r="BS492" s="167">
        <f t="shared" si="5809"/>
        <v>0</v>
      </c>
      <c r="BT492" s="163">
        <f t="shared" si="5810"/>
        <v>46143</v>
      </c>
      <c r="BU492" s="163">
        <f t="shared" si="5811"/>
        <v>46173</v>
      </c>
      <c r="BV492" s="167">
        <f t="shared" si="5812"/>
        <v>0</v>
      </c>
      <c r="BW492" s="163">
        <f t="shared" si="5813"/>
        <v>46174</v>
      </c>
      <c r="BX492" s="163">
        <f t="shared" si="5814"/>
        <v>46203</v>
      </c>
      <c r="BY492" s="167">
        <f t="shared" si="5815"/>
        <v>0</v>
      </c>
      <c r="BZ492" s="163">
        <f t="shared" si="5816"/>
        <v>46204</v>
      </c>
      <c r="CA492" s="163">
        <f t="shared" si="5817"/>
        <v>46234</v>
      </c>
      <c r="CB492" s="167">
        <f t="shared" si="5818"/>
        <v>0</v>
      </c>
      <c r="CC492" s="163">
        <f t="shared" si="5819"/>
        <v>46235</v>
      </c>
      <c r="CD492" s="163">
        <f t="shared" si="5820"/>
        <v>46265</v>
      </c>
      <c r="CE492" s="167">
        <f t="shared" si="5821"/>
        <v>0</v>
      </c>
      <c r="CF492" s="163">
        <f t="shared" si="5822"/>
        <v>46266</v>
      </c>
      <c r="CG492" s="163">
        <f t="shared" si="5823"/>
        <v>46295</v>
      </c>
      <c r="CH492" s="167">
        <f t="shared" si="5824"/>
        <v>0</v>
      </c>
      <c r="CI492" s="163">
        <f t="shared" si="5825"/>
        <v>46296</v>
      </c>
      <c r="CJ492" s="163">
        <f t="shared" si="5826"/>
        <v>46326</v>
      </c>
      <c r="CK492" s="167">
        <f t="shared" si="5827"/>
        <v>0</v>
      </c>
      <c r="CL492" s="163">
        <f t="shared" si="5828"/>
        <v>46327</v>
      </c>
      <c r="CM492" s="163">
        <f t="shared" si="5829"/>
        <v>46356</v>
      </c>
      <c r="CN492" s="167">
        <f t="shared" si="5830"/>
        <v>0</v>
      </c>
      <c r="CO492" s="163">
        <f t="shared" si="5831"/>
        <v>46357</v>
      </c>
      <c r="CP492" s="163">
        <f t="shared" si="5832"/>
        <v>46387</v>
      </c>
      <c r="CQ492" s="167">
        <f t="shared" si="5833"/>
        <v>0</v>
      </c>
    </row>
    <row r="493" s="89" customFormat="1" ht="24" hidden="1" customHeight="1" outlineLevel="3" spans="1:95">
      <c r="A493" s="128"/>
      <c r="B493" s="129"/>
      <c r="C493" s="130"/>
      <c r="D493" s="128"/>
      <c r="E493" s="129"/>
      <c r="F493" s="129"/>
      <c r="G493" s="129"/>
      <c r="H493" s="131"/>
      <c r="I493" s="131"/>
      <c r="J493" s="131">
        <f t="shared" si="5367"/>
        <v>197963.061889251</v>
      </c>
      <c r="K493" s="131">
        <f t="shared" si="5834"/>
        <v>3</v>
      </c>
      <c r="L493" s="156" t="s">
        <v>2867</v>
      </c>
      <c r="M493" s="157" t="str">
        <f>IFERROR(VLOOKUP($L493,'2-2 引出数据_合同数据仓库'!$B$5:$BP$200,3,FALSE),0)</f>
        <v>深圳非住二片区中海油物资搬运费率合同</v>
      </c>
      <c r="N493" s="131"/>
      <c r="O493" s="157">
        <f>IFERROR(VLOOKUP((LEFT(VLOOKUP($L493,'2-2 引出数据_合同数据仓库'!$B$5:$BP$200,64,FALSE),15)&amp;(RIGHT(VLOOKUP($L493,'2-2 引出数据_合同数据仓库'!$B$5:$BP$200,64,FALSE),4)+1)),'2-2 引出数据_合同数据仓库'!$B$5:$BP$200,3,FALSE),0)</f>
        <v>0</v>
      </c>
      <c r="P493" s="131"/>
      <c r="Q493" s="131" t="str">
        <f>IFERROR(VLOOKUP($L493,'2-2 引出数据_合同数据仓库'!$B$5:$BP$200,28,FALSE),0)</f>
        <v>2025-02-28</v>
      </c>
      <c r="R493" s="131" t="str">
        <f>IFERROR(VLOOKUP($L493,'2-2 引出数据_合同数据仓库'!$B$5:$BP$200,29,FALSE),0)</f>
        <v>2025-02-28</v>
      </c>
      <c r="S493" s="131" t="str">
        <f>IFERROR(VLOOKUP($L493,'2-2 引出数据_合同数据仓库'!$B$5:$BP$200,4,FALSE),0)</f>
        <v>2025-12-31</v>
      </c>
      <c r="T493" s="131"/>
      <c r="U493" s="131">
        <f>IFERROR(VLOOKUP($L493,'2-2 引出数据_合同数据仓库'!$B$5:$BP$200,15,FALSE),0)</f>
        <v>198610</v>
      </c>
      <c r="V493" s="131">
        <f t="shared" si="5763"/>
        <v>236132.410423453</v>
      </c>
      <c r="W493" s="131"/>
      <c r="X493" s="163">
        <v>45658</v>
      </c>
      <c r="Y493" s="163">
        <f t="shared" si="5764"/>
        <v>45688</v>
      </c>
      <c r="Z493" s="167">
        <f t="shared" si="5765"/>
        <v>0</v>
      </c>
      <c r="AA493" s="163">
        <f t="shared" si="5766"/>
        <v>45689</v>
      </c>
      <c r="AB493" s="163">
        <f t="shared" si="5767"/>
        <v>45716</v>
      </c>
      <c r="AC493" s="167">
        <f t="shared" si="5768"/>
        <v>0</v>
      </c>
      <c r="AD493" s="163">
        <f t="shared" si="5769"/>
        <v>45717</v>
      </c>
      <c r="AE493" s="163">
        <f t="shared" si="5770"/>
        <v>45747</v>
      </c>
      <c r="AF493" s="167">
        <f t="shared" si="5771"/>
        <v>20055.0814332248</v>
      </c>
      <c r="AG493" s="163">
        <f t="shared" si="5772"/>
        <v>45748</v>
      </c>
      <c r="AH493" s="163">
        <f t="shared" si="5773"/>
        <v>45777</v>
      </c>
      <c r="AI493" s="167">
        <f t="shared" si="5774"/>
        <v>19408.1433224756</v>
      </c>
      <c r="AJ493" s="163">
        <f t="shared" si="5775"/>
        <v>45778</v>
      </c>
      <c r="AK493" s="163">
        <f t="shared" si="5776"/>
        <v>45808</v>
      </c>
      <c r="AL493" s="167">
        <f t="shared" si="5777"/>
        <v>20055.0814332248</v>
      </c>
      <c r="AM493" s="163">
        <f t="shared" si="5778"/>
        <v>45809</v>
      </c>
      <c r="AN493" s="163">
        <f t="shared" si="5779"/>
        <v>45838</v>
      </c>
      <c r="AO493" s="167">
        <f t="shared" si="5780"/>
        <v>19408.1433224756</v>
      </c>
      <c r="AP493" s="163">
        <f t="shared" si="5781"/>
        <v>45839</v>
      </c>
      <c r="AQ493" s="163">
        <f t="shared" si="5782"/>
        <v>45869</v>
      </c>
      <c r="AR493" s="167">
        <f t="shared" si="5783"/>
        <v>20055.0814332248</v>
      </c>
      <c r="AS493" s="163">
        <f t="shared" si="5784"/>
        <v>45870</v>
      </c>
      <c r="AT493" s="163">
        <f t="shared" si="5785"/>
        <v>45900</v>
      </c>
      <c r="AU493" s="167">
        <f t="shared" si="5786"/>
        <v>20055.0814332248</v>
      </c>
      <c r="AV493" s="163">
        <f t="shared" si="5787"/>
        <v>45901</v>
      </c>
      <c r="AW493" s="163">
        <f t="shared" si="5788"/>
        <v>45930</v>
      </c>
      <c r="AX493" s="167">
        <f t="shared" si="5789"/>
        <v>19408.1433224756</v>
      </c>
      <c r="AY493" s="163">
        <f t="shared" si="5790"/>
        <v>45931</v>
      </c>
      <c r="AZ493" s="163">
        <f t="shared" si="5791"/>
        <v>45961</v>
      </c>
      <c r="BA493" s="167">
        <f t="shared" si="5792"/>
        <v>20055.0814332248</v>
      </c>
      <c r="BB493" s="163">
        <f t="shared" si="5793"/>
        <v>45962</v>
      </c>
      <c r="BC493" s="163">
        <f t="shared" si="5794"/>
        <v>45991</v>
      </c>
      <c r="BD493" s="167">
        <f t="shared" si="5795"/>
        <v>19408.1433224756</v>
      </c>
      <c r="BE493" s="163">
        <f t="shared" si="5796"/>
        <v>45992</v>
      </c>
      <c r="BF493" s="163">
        <f t="shared" si="5797"/>
        <v>46022</v>
      </c>
      <c r="BG493" s="167">
        <f t="shared" si="5798"/>
        <v>20055.0814332248</v>
      </c>
      <c r="BH493" s="163">
        <v>46023</v>
      </c>
      <c r="BI493" s="163">
        <f t="shared" si="5799"/>
        <v>46053</v>
      </c>
      <c r="BJ493" s="167">
        <f t="shared" si="5800"/>
        <v>0</v>
      </c>
      <c r="BK493" s="163">
        <f t="shared" si="5801"/>
        <v>46054</v>
      </c>
      <c r="BL493" s="163">
        <f t="shared" si="5802"/>
        <v>46081</v>
      </c>
      <c r="BM493" s="167">
        <f t="shared" si="5803"/>
        <v>0</v>
      </c>
      <c r="BN493" s="163">
        <f t="shared" si="5804"/>
        <v>46082</v>
      </c>
      <c r="BO493" s="163">
        <f t="shared" si="5805"/>
        <v>46112</v>
      </c>
      <c r="BP493" s="167">
        <f t="shared" si="5806"/>
        <v>0</v>
      </c>
      <c r="BQ493" s="163">
        <f t="shared" si="5807"/>
        <v>46113</v>
      </c>
      <c r="BR493" s="163">
        <f t="shared" si="5808"/>
        <v>46142</v>
      </c>
      <c r="BS493" s="167">
        <f t="shared" si="5809"/>
        <v>0</v>
      </c>
      <c r="BT493" s="163">
        <f t="shared" si="5810"/>
        <v>46143</v>
      </c>
      <c r="BU493" s="163">
        <f t="shared" si="5811"/>
        <v>46173</v>
      </c>
      <c r="BV493" s="167">
        <f t="shared" si="5812"/>
        <v>0</v>
      </c>
      <c r="BW493" s="163">
        <f t="shared" si="5813"/>
        <v>46174</v>
      </c>
      <c r="BX493" s="163">
        <f t="shared" si="5814"/>
        <v>46203</v>
      </c>
      <c r="BY493" s="167">
        <f t="shared" si="5815"/>
        <v>0</v>
      </c>
      <c r="BZ493" s="163">
        <f t="shared" si="5816"/>
        <v>46204</v>
      </c>
      <c r="CA493" s="163">
        <f t="shared" si="5817"/>
        <v>46234</v>
      </c>
      <c r="CB493" s="167">
        <f t="shared" si="5818"/>
        <v>0</v>
      </c>
      <c r="CC493" s="163">
        <f t="shared" si="5819"/>
        <v>46235</v>
      </c>
      <c r="CD493" s="163">
        <f t="shared" si="5820"/>
        <v>46265</v>
      </c>
      <c r="CE493" s="167">
        <f t="shared" si="5821"/>
        <v>0</v>
      </c>
      <c r="CF493" s="163">
        <f t="shared" si="5822"/>
        <v>46266</v>
      </c>
      <c r="CG493" s="163">
        <f t="shared" si="5823"/>
        <v>46295</v>
      </c>
      <c r="CH493" s="167">
        <f t="shared" si="5824"/>
        <v>0</v>
      </c>
      <c r="CI493" s="163">
        <f t="shared" si="5825"/>
        <v>46296</v>
      </c>
      <c r="CJ493" s="163">
        <f t="shared" si="5826"/>
        <v>46326</v>
      </c>
      <c r="CK493" s="167">
        <f t="shared" si="5827"/>
        <v>0</v>
      </c>
      <c r="CL493" s="163">
        <f t="shared" si="5828"/>
        <v>46327</v>
      </c>
      <c r="CM493" s="163">
        <f t="shared" si="5829"/>
        <v>46356</v>
      </c>
      <c r="CN493" s="167">
        <f t="shared" si="5830"/>
        <v>0</v>
      </c>
      <c r="CO493" s="163">
        <f t="shared" si="5831"/>
        <v>46357</v>
      </c>
      <c r="CP493" s="163">
        <f t="shared" si="5832"/>
        <v>46387</v>
      </c>
      <c r="CQ493" s="167">
        <f t="shared" si="5833"/>
        <v>0</v>
      </c>
    </row>
    <row r="494" s="89" customFormat="1" ht="24" hidden="1" customHeight="1" outlineLevel="3" collapsed="1" spans="1:95">
      <c r="A494" s="128"/>
      <c r="B494" s="129"/>
      <c r="C494" s="130"/>
      <c r="D494" s="128"/>
      <c r="E494" s="129"/>
      <c r="F494" s="129"/>
      <c r="G494" s="129"/>
      <c r="H494" s="131"/>
      <c r="I494" s="131"/>
      <c r="J494" s="131">
        <f t="shared" si="5367"/>
        <v>845284.143517915</v>
      </c>
      <c r="K494" s="131">
        <f t="shared" si="5834"/>
        <v>4</v>
      </c>
      <c r="L494" s="156" t="s">
        <v>2868</v>
      </c>
      <c r="M494" s="157" t="str">
        <f>IFERROR(VLOOKUP($L494,'2-2 引出数据_合同数据仓库'!$B$5:$BP$200,3,FALSE),0)</f>
        <v>深圳非住二片区中海油大厦零星工程维修合同</v>
      </c>
      <c r="N494" s="131"/>
      <c r="O494" s="157">
        <f>IFERROR(VLOOKUP((LEFT(VLOOKUP($L494,'2-2 引出数据_合同数据仓库'!$B$5:$BP$200,64,FALSE),15)&amp;(RIGHT(VLOOKUP($L494,'2-2 引出数据_合同数据仓库'!$B$5:$BP$200,64,FALSE),4)+1)),'2-2 引出数据_合同数据仓库'!$B$5:$BP$200,3,FALSE),0)</f>
        <v>0</v>
      </c>
      <c r="P494" s="131"/>
      <c r="Q494" s="131" t="str">
        <f>IFERROR(VLOOKUP($L494,'2-2 引出数据_合同数据仓库'!$B$5:$BP$200,28,FALSE),0)</f>
        <v>2025-02-28</v>
      </c>
      <c r="R494" s="131" t="str">
        <f>IFERROR(VLOOKUP($L494,'2-2 引出数据_合同数据仓库'!$B$5:$BP$200,29,FALSE),0)</f>
        <v>2025-02-28</v>
      </c>
      <c r="S494" s="131" t="str">
        <f>IFERROR(VLOOKUP($L494,'2-2 引出数据_合同数据仓库'!$B$5:$BP$200,4,FALSE),0)</f>
        <v>2025-12-31</v>
      </c>
      <c r="T494" s="131"/>
      <c r="U494" s="131">
        <f>IFERROR(VLOOKUP($L494,'2-2 引出数据_合同数据仓库'!$B$5:$BP$200,15,FALSE),0)</f>
        <v>848046.51</v>
      </c>
      <c r="V494" s="131">
        <f t="shared" si="5763"/>
        <v>1008263.76596091</v>
      </c>
      <c r="W494" s="131"/>
      <c r="X494" s="163">
        <v>45658</v>
      </c>
      <c r="Y494" s="163">
        <f t="shared" si="5764"/>
        <v>45688</v>
      </c>
      <c r="Z494" s="167">
        <f t="shared" si="5765"/>
        <v>0</v>
      </c>
      <c r="AA494" s="163">
        <f t="shared" si="5766"/>
        <v>45689</v>
      </c>
      <c r="AB494" s="163">
        <f t="shared" si="5767"/>
        <v>45716</v>
      </c>
      <c r="AC494" s="167">
        <f t="shared" si="5768"/>
        <v>0</v>
      </c>
      <c r="AD494" s="163">
        <f t="shared" si="5769"/>
        <v>45717</v>
      </c>
      <c r="AE494" s="163">
        <f t="shared" si="5770"/>
        <v>45747</v>
      </c>
      <c r="AF494" s="167">
        <f t="shared" si="5771"/>
        <v>85633.3609446254</v>
      </c>
      <c r="AG494" s="163">
        <f t="shared" si="5772"/>
        <v>45748</v>
      </c>
      <c r="AH494" s="163">
        <f t="shared" si="5773"/>
        <v>45777</v>
      </c>
      <c r="AI494" s="167">
        <f t="shared" si="5774"/>
        <v>82870.9944625407</v>
      </c>
      <c r="AJ494" s="163">
        <f t="shared" si="5775"/>
        <v>45778</v>
      </c>
      <c r="AK494" s="163">
        <f t="shared" si="5776"/>
        <v>45808</v>
      </c>
      <c r="AL494" s="167">
        <f t="shared" si="5777"/>
        <v>85633.3609446254</v>
      </c>
      <c r="AM494" s="163">
        <f t="shared" si="5778"/>
        <v>45809</v>
      </c>
      <c r="AN494" s="163">
        <f t="shared" si="5779"/>
        <v>45838</v>
      </c>
      <c r="AO494" s="167">
        <f t="shared" si="5780"/>
        <v>82870.9944625407</v>
      </c>
      <c r="AP494" s="163">
        <f t="shared" si="5781"/>
        <v>45839</v>
      </c>
      <c r="AQ494" s="163">
        <f t="shared" si="5782"/>
        <v>45869</v>
      </c>
      <c r="AR494" s="167">
        <f t="shared" si="5783"/>
        <v>85633.3609446254</v>
      </c>
      <c r="AS494" s="163">
        <f t="shared" si="5784"/>
        <v>45870</v>
      </c>
      <c r="AT494" s="163">
        <f t="shared" si="5785"/>
        <v>45900</v>
      </c>
      <c r="AU494" s="167">
        <f t="shared" si="5786"/>
        <v>85633.3609446254</v>
      </c>
      <c r="AV494" s="163">
        <f t="shared" si="5787"/>
        <v>45901</v>
      </c>
      <c r="AW494" s="163">
        <f t="shared" si="5788"/>
        <v>45930</v>
      </c>
      <c r="AX494" s="167">
        <f t="shared" si="5789"/>
        <v>82870.9944625407</v>
      </c>
      <c r="AY494" s="163">
        <f t="shared" si="5790"/>
        <v>45931</v>
      </c>
      <c r="AZ494" s="163">
        <f t="shared" si="5791"/>
        <v>45961</v>
      </c>
      <c r="BA494" s="167">
        <f t="shared" si="5792"/>
        <v>85633.3609446254</v>
      </c>
      <c r="BB494" s="163">
        <f t="shared" si="5793"/>
        <v>45962</v>
      </c>
      <c r="BC494" s="163">
        <f t="shared" si="5794"/>
        <v>45991</v>
      </c>
      <c r="BD494" s="167">
        <f t="shared" si="5795"/>
        <v>82870.9944625407</v>
      </c>
      <c r="BE494" s="163">
        <f t="shared" si="5796"/>
        <v>45992</v>
      </c>
      <c r="BF494" s="163">
        <f t="shared" si="5797"/>
        <v>46022</v>
      </c>
      <c r="BG494" s="167">
        <f t="shared" si="5798"/>
        <v>85633.3609446254</v>
      </c>
      <c r="BH494" s="163">
        <v>46023</v>
      </c>
      <c r="BI494" s="163">
        <f t="shared" si="5799"/>
        <v>46053</v>
      </c>
      <c r="BJ494" s="167">
        <f t="shared" si="5800"/>
        <v>0</v>
      </c>
      <c r="BK494" s="163">
        <f t="shared" si="5801"/>
        <v>46054</v>
      </c>
      <c r="BL494" s="163">
        <f t="shared" si="5802"/>
        <v>46081</v>
      </c>
      <c r="BM494" s="167">
        <f t="shared" si="5803"/>
        <v>0</v>
      </c>
      <c r="BN494" s="163">
        <f t="shared" si="5804"/>
        <v>46082</v>
      </c>
      <c r="BO494" s="163">
        <f t="shared" si="5805"/>
        <v>46112</v>
      </c>
      <c r="BP494" s="167">
        <f t="shared" si="5806"/>
        <v>0</v>
      </c>
      <c r="BQ494" s="163">
        <f t="shared" si="5807"/>
        <v>46113</v>
      </c>
      <c r="BR494" s="163">
        <f t="shared" si="5808"/>
        <v>46142</v>
      </c>
      <c r="BS494" s="167">
        <f t="shared" si="5809"/>
        <v>0</v>
      </c>
      <c r="BT494" s="163">
        <f t="shared" si="5810"/>
        <v>46143</v>
      </c>
      <c r="BU494" s="163">
        <f t="shared" si="5811"/>
        <v>46173</v>
      </c>
      <c r="BV494" s="167">
        <f t="shared" si="5812"/>
        <v>0</v>
      </c>
      <c r="BW494" s="163">
        <f t="shared" si="5813"/>
        <v>46174</v>
      </c>
      <c r="BX494" s="163">
        <f t="shared" si="5814"/>
        <v>46203</v>
      </c>
      <c r="BY494" s="167">
        <f t="shared" si="5815"/>
        <v>0</v>
      </c>
      <c r="BZ494" s="163">
        <f t="shared" si="5816"/>
        <v>46204</v>
      </c>
      <c r="CA494" s="163">
        <f t="shared" si="5817"/>
        <v>46234</v>
      </c>
      <c r="CB494" s="167">
        <f t="shared" si="5818"/>
        <v>0</v>
      </c>
      <c r="CC494" s="163">
        <f t="shared" si="5819"/>
        <v>46235</v>
      </c>
      <c r="CD494" s="163">
        <f t="shared" si="5820"/>
        <v>46265</v>
      </c>
      <c r="CE494" s="167">
        <f t="shared" si="5821"/>
        <v>0</v>
      </c>
      <c r="CF494" s="163">
        <f t="shared" si="5822"/>
        <v>46266</v>
      </c>
      <c r="CG494" s="163">
        <f t="shared" si="5823"/>
        <v>46295</v>
      </c>
      <c r="CH494" s="167">
        <f t="shared" si="5824"/>
        <v>0</v>
      </c>
      <c r="CI494" s="163">
        <f t="shared" si="5825"/>
        <v>46296</v>
      </c>
      <c r="CJ494" s="163">
        <f t="shared" si="5826"/>
        <v>46326</v>
      </c>
      <c r="CK494" s="167">
        <f t="shared" si="5827"/>
        <v>0</v>
      </c>
      <c r="CL494" s="163">
        <f t="shared" si="5828"/>
        <v>46327</v>
      </c>
      <c r="CM494" s="163">
        <f t="shared" si="5829"/>
        <v>46356</v>
      </c>
      <c r="CN494" s="167">
        <f t="shared" si="5830"/>
        <v>0</v>
      </c>
      <c r="CO494" s="163">
        <f t="shared" si="5831"/>
        <v>46357</v>
      </c>
      <c r="CP494" s="163">
        <f t="shared" si="5832"/>
        <v>46387</v>
      </c>
      <c r="CQ494" s="167">
        <f t="shared" si="5833"/>
        <v>0</v>
      </c>
    </row>
    <row r="495" s="89" customFormat="1" ht="24" hidden="1" customHeight="1" outlineLevel="4" spans="1:95">
      <c r="A495" s="132" t="s">
        <v>2813</v>
      </c>
      <c r="B495" s="133"/>
      <c r="C495" s="133"/>
      <c r="D495" s="133"/>
      <c r="E495" s="133"/>
      <c r="F495" s="133"/>
      <c r="G495" s="134"/>
      <c r="H495" s="135"/>
      <c r="I495" s="135"/>
      <c r="J495" s="135"/>
      <c r="K495" s="135"/>
      <c r="L495" s="158"/>
      <c r="M495" s="158"/>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c r="CL495" s="135"/>
      <c r="CM495" s="135"/>
      <c r="CN495" s="135"/>
      <c r="CO495" s="135"/>
      <c r="CP495" s="135"/>
      <c r="CQ495" s="135"/>
    </row>
    <row r="496" ht="24" customHeight="1" outlineLevel="2" collapsed="1" spans="1:95">
      <c r="A496" s="43"/>
      <c r="B496" s="121" t="s">
        <v>792</v>
      </c>
      <c r="C496" s="122" t="s">
        <v>1595</v>
      </c>
      <c r="D496" s="43" t="s">
        <v>1596</v>
      </c>
      <c r="E496" s="121"/>
      <c r="F496" s="121"/>
      <c r="G496" s="121"/>
      <c r="H496" s="123">
        <f>X496+AA496+AD496+AG496+AJ496+AM496+AP496+AS496+AV496+AY496+BB496+BE496</f>
        <v>0</v>
      </c>
      <c r="I496" s="123">
        <f>Y496+AB496+AE496+AH496+AK496+AN496+AQ496+AT496+AW496+AZ496+BC496+BF496</f>
        <v>-271439.140876712</v>
      </c>
      <c r="J496" s="123">
        <f t="shared" si="5367"/>
        <v>271439.140876712</v>
      </c>
      <c r="K496" s="123"/>
      <c r="L496" s="154"/>
      <c r="M496" s="154"/>
      <c r="N496" s="123"/>
      <c r="O496" s="123"/>
      <c r="P496" s="123"/>
      <c r="Q496" s="123"/>
      <c r="R496" s="123"/>
      <c r="S496" s="123"/>
      <c r="T496" s="123"/>
      <c r="U496" s="123"/>
      <c r="V496" s="123"/>
      <c r="W496" s="123"/>
      <c r="X496" s="123">
        <f>VLOOKUP($C496,'1 预算编制表单'!$C:$BJ,27,FALSE)</f>
        <v>0</v>
      </c>
      <c r="Y496" s="123">
        <f>X496-Z496</f>
        <v>0</v>
      </c>
      <c r="Z496" s="123">
        <f>SUM(Z497:Z501)</f>
        <v>0</v>
      </c>
      <c r="AA496" s="123">
        <f>VLOOKUP($C496,'1 预算编制表单'!$C:$BJ,30,FALSE)</f>
        <v>0</v>
      </c>
      <c r="AB496" s="123">
        <f>AA496-AC496</f>
        <v>0</v>
      </c>
      <c r="AC496" s="123">
        <f>SUM(AC497:AC501)</f>
        <v>0</v>
      </c>
      <c r="AD496" s="123">
        <f>VLOOKUP($C496,'1 预算编制表单'!$C:$BJ,33,FALSE)</f>
        <v>0</v>
      </c>
      <c r="AE496" s="123">
        <f>AD496-AF496</f>
        <v>0</v>
      </c>
      <c r="AF496" s="123">
        <f>SUM(AF497:AF501)</f>
        <v>0</v>
      </c>
      <c r="AG496" s="123">
        <f>VLOOKUP($C496,'1 预算编制表单'!$C:$BJ,36,FALSE)</f>
        <v>0</v>
      </c>
      <c r="AH496" s="123">
        <f>AG496-AI496</f>
        <v>-39617.6649679996</v>
      </c>
      <c r="AI496" s="123">
        <f>SUM(AI497:AI501)</f>
        <v>39617.6649679996</v>
      </c>
      <c r="AJ496" s="123">
        <f>VLOOKUP($C496,'1 预算编制表单'!$C:$BJ,39,FALSE)</f>
        <v>0</v>
      </c>
      <c r="AK496" s="123">
        <f>AJ496-AL496</f>
        <v>-58483.219714666</v>
      </c>
      <c r="AL496" s="123">
        <f>SUM(AL497:AL501)</f>
        <v>58483.219714666</v>
      </c>
      <c r="AM496" s="123">
        <f>VLOOKUP($C496,'1 预算编制表单'!$C:$BJ,42,FALSE)</f>
        <v>0</v>
      </c>
      <c r="AN496" s="123">
        <f>AM496-AO496</f>
        <v>-56596.6642399994</v>
      </c>
      <c r="AO496" s="123">
        <f>SUM(AO497:AO501)</f>
        <v>56596.6642399994</v>
      </c>
      <c r="AP496" s="123">
        <f>VLOOKUP($C496,'1 预算编制表单'!$C:$BJ,45,FALSE)</f>
        <v>0</v>
      </c>
      <c r="AQ496" s="123">
        <f>AP496-AR496</f>
        <v>-29520.5823520287</v>
      </c>
      <c r="AR496" s="123">
        <f>SUM(AR497:AR501)</f>
        <v>29520.5823520287</v>
      </c>
      <c r="AS496" s="123">
        <f>VLOOKUP($C496,'1 预算编制表单'!$C:$BJ,48,FALSE)</f>
        <v>0</v>
      </c>
      <c r="AT496" s="123">
        <f>AS496-AU496</f>
        <v>-17672.230703677</v>
      </c>
      <c r="AU496" s="123">
        <f>SUM(AU497:AU501)</f>
        <v>17672.230703677</v>
      </c>
      <c r="AV496" s="123">
        <f>VLOOKUP($C496,'1 预算编制表单'!$C:$BJ,51,FALSE)</f>
        <v>0</v>
      </c>
      <c r="AW496" s="123">
        <f>AV496-AX496</f>
        <v>-17102.1587454939</v>
      </c>
      <c r="AX496" s="123">
        <f>SUM(AX497:AX501)</f>
        <v>17102.1587454939</v>
      </c>
      <c r="AY496" s="123">
        <f>VLOOKUP($C496,'1 预算编制表单'!$C:$BJ,54,FALSE)</f>
        <v>0</v>
      </c>
      <c r="AZ496" s="123">
        <f>AY496-BA496</f>
        <v>-17672.230703677</v>
      </c>
      <c r="BA496" s="123">
        <f>SUM(BA497:BA501)</f>
        <v>17672.230703677</v>
      </c>
      <c r="BB496" s="123">
        <f>VLOOKUP($C496,'1 预算编制表单'!$C:$BJ,57,FALSE)</f>
        <v>0</v>
      </c>
      <c r="BC496" s="123">
        <f>BB496-BD496</f>
        <v>-17102.1587454939</v>
      </c>
      <c r="BD496" s="123">
        <f>SUM(BD497:BD501)</f>
        <v>17102.1587454939</v>
      </c>
      <c r="BE496" s="123">
        <f>VLOOKUP($C496,'1 预算编制表单'!$C:$BJ,60,FALSE)</f>
        <v>0</v>
      </c>
      <c r="BF496" s="123">
        <f>BE496-BG496</f>
        <v>-17672.230703677</v>
      </c>
      <c r="BG496" s="123">
        <f>SUM(BG497:BG501)</f>
        <v>17672.230703677</v>
      </c>
      <c r="BH496" s="123">
        <f>VLOOKUP($C496,'1 预算编制表单'!$C:$BJ,27,FALSE)</f>
        <v>0</v>
      </c>
      <c r="BI496" s="123">
        <f>BH496-BJ496</f>
        <v>-7554.64649315068</v>
      </c>
      <c r="BJ496" s="123">
        <f>SUM(BJ497:BJ501)</f>
        <v>7554.64649315068</v>
      </c>
      <c r="BK496" s="123">
        <f>VLOOKUP($C496,'1 预算编制表单'!$C:$BJ,30,FALSE)</f>
        <v>0</v>
      </c>
      <c r="BL496" s="123">
        <f>BK496-BM496</f>
        <v>-6823.55167123288</v>
      </c>
      <c r="BM496" s="123">
        <f>SUM(BM497:BM501)</f>
        <v>6823.55167123288</v>
      </c>
      <c r="BN496" s="123">
        <f>VLOOKUP($C496,'1 预算编制表单'!$C:$BJ,33,FALSE)</f>
        <v>0</v>
      </c>
      <c r="BO496" s="123">
        <f>BN496-BP496</f>
        <v>-7554.64649315068</v>
      </c>
      <c r="BP496" s="123">
        <f>SUM(BP497:BP501)</f>
        <v>7554.64649315068</v>
      </c>
      <c r="BQ496" s="123">
        <f>VLOOKUP($C496,'1 预算编制表单'!$C:$BJ,36,FALSE)</f>
        <v>0</v>
      </c>
      <c r="BR496" s="123">
        <f>BQ496-BS496</f>
        <v>-2193.28446575342</v>
      </c>
      <c r="BS496" s="123">
        <f>SUM(BS497:BS501)</f>
        <v>2193.28446575342</v>
      </c>
      <c r="BT496" s="123">
        <f>VLOOKUP($C496,'1 预算编制表单'!$C:$BJ,39,FALSE)</f>
        <v>0</v>
      </c>
      <c r="BU496" s="123">
        <f>BT496-BV496</f>
        <v>0</v>
      </c>
      <c r="BV496" s="123">
        <f>SUM(BV497:BV501)</f>
        <v>0</v>
      </c>
      <c r="BW496" s="123">
        <f>VLOOKUP($C496,'1 预算编制表单'!$C:$BJ,42,FALSE)</f>
        <v>0</v>
      </c>
      <c r="BX496" s="123">
        <f>BW496-BY496</f>
        <v>0</v>
      </c>
      <c r="BY496" s="123">
        <f>SUM(BY497:BY501)</f>
        <v>0</v>
      </c>
      <c r="BZ496" s="123">
        <f>VLOOKUP($C496,'1 预算编制表单'!$C:$BJ,45,FALSE)</f>
        <v>0</v>
      </c>
      <c r="CA496" s="123">
        <f>BZ496-CB496</f>
        <v>0</v>
      </c>
      <c r="CB496" s="123">
        <f>SUM(CB497:CB501)</f>
        <v>0</v>
      </c>
      <c r="CC496" s="123">
        <f>VLOOKUP($C496,'1 预算编制表单'!$C:$BJ,48,FALSE)</f>
        <v>0</v>
      </c>
      <c r="CD496" s="123">
        <f>CC496-CE496</f>
        <v>0</v>
      </c>
      <c r="CE496" s="123">
        <f>SUM(CE497:CE501)</f>
        <v>0</v>
      </c>
      <c r="CF496" s="123">
        <f>VLOOKUP($C496,'1 预算编制表单'!$C:$BJ,51,FALSE)</f>
        <v>0</v>
      </c>
      <c r="CG496" s="123">
        <f>CF496-CH496</f>
        <v>0</v>
      </c>
      <c r="CH496" s="123">
        <f>SUM(CH497:CH501)</f>
        <v>0</v>
      </c>
      <c r="CI496" s="123">
        <f>VLOOKUP($C496,'1 预算编制表单'!$C:$BJ,54,FALSE)</f>
        <v>0</v>
      </c>
      <c r="CJ496" s="123">
        <f>CI496-CK496</f>
        <v>0</v>
      </c>
      <c r="CK496" s="123">
        <f>SUM(CK497:CK501)</f>
        <v>0</v>
      </c>
      <c r="CL496" s="123">
        <f>VLOOKUP($C496,'1 预算编制表单'!$C:$BJ,57,FALSE)</f>
        <v>0</v>
      </c>
      <c r="CM496" s="123">
        <f>CL496-CN496</f>
        <v>0</v>
      </c>
      <c r="CN496" s="123">
        <f>SUM(CN497:CN501)</f>
        <v>0</v>
      </c>
      <c r="CO496" s="123">
        <f>VLOOKUP($C496,'1 预算编制表单'!$C:$BJ,60,FALSE)</f>
        <v>0</v>
      </c>
      <c r="CP496" s="123">
        <f>CO496-CQ496</f>
        <v>0</v>
      </c>
      <c r="CQ496" s="123">
        <f>SUM(CQ497:CQ501)</f>
        <v>0</v>
      </c>
    </row>
    <row r="497" s="89" customFormat="1" ht="24" hidden="1" customHeight="1" outlineLevel="3" spans="1:95">
      <c r="A497" s="128"/>
      <c r="B497" s="129"/>
      <c r="C497" s="130"/>
      <c r="D497" s="128"/>
      <c r="E497" s="129"/>
      <c r="F497" s="129"/>
      <c r="G497" s="129"/>
      <c r="H497" s="131"/>
      <c r="I497" s="131"/>
      <c r="J497" s="131">
        <f t="shared" si="5367"/>
        <v>9736.4</v>
      </c>
      <c r="K497" s="131">
        <v>1</v>
      </c>
      <c r="L497" s="156" t="s">
        <v>2869</v>
      </c>
      <c r="M497" s="157" t="str">
        <f>IFERROR(VLOOKUP($L497,'2-2 引出数据_合同数据仓库'!$B$5:$BP$200,3,FALSE),0)</f>
        <v>深圳非住二片区中海油大厦绝缘工具检测及仪器仪表校准服务协议</v>
      </c>
      <c r="N497" s="131"/>
      <c r="O497" s="157">
        <f>IFERROR(VLOOKUP((LEFT(VLOOKUP($L497,'2-2 引出数据_合同数据仓库'!$B$5:$BP$200,64,FALSE),15)&amp;(RIGHT(VLOOKUP($L497,'2-2 引出数据_合同数据仓库'!$B$5:$BP$200,64,FALSE),4)+1)),'2-2 引出数据_合同数据仓库'!$B$5:$BP$200,3,FALSE),0)</f>
        <v>0</v>
      </c>
      <c r="P497" s="131"/>
      <c r="Q497" s="131" t="str">
        <f>IFERROR(VLOOKUP($L497,'2-2 引出数据_合同数据仓库'!$B$5:$BP$200,28,FALSE),0)</f>
        <v>2025-04-10</v>
      </c>
      <c r="R497" s="131" t="str">
        <f>IFERROR(VLOOKUP($L497,'2-2 引出数据_合同数据仓库'!$B$5:$BP$200,29,FALSE),0)</f>
        <v>2025-04-10</v>
      </c>
      <c r="S497" s="131" t="str">
        <f>IFERROR(VLOOKUP($L497,'2-2 引出数据_合同数据仓库'!$B$5:$BP$200,4,FALSE),0)</f>
        <v>2025-12-31</v>
      </c>
      <c r="T497" s="131"/>
      <c r="U497" s="131">
        <f>IFERROR(VLOOKUP($L497,'2-2 引出数据_合同数据仓库'!$B$5:$BP$200,15,FALSE),0)</f>
        <v>9736.4</v>
      </c>
      <c r="V497" s="131">
        <f t="shared" ref="V497:V500" si="5835">U497/(S497-R497+1)*365</f>
        <v>13360.0977443609</v>
      </c>
      <c r="W497" s="131"/>
      <c r="X497" s="163">
        <v>45658</v>
      </c>
      <c r="Y497" s="163">
        <f t="shared" ref="Y497:Y500" si="5836">X497+30</f>
        <v>45688</v>
      </c>
      <c r="Z497" s="167">
        <f t="shared" ref="Z497:Z500" si="5837">IFERROR(IF(($R497-Y497)&gt;=0,0,IF(($S497-X497)&lt;0,0,IF(AND(($S497-Y497)&gt;0,(X497-$R497)&gt;0),$V497/365*(Y497-X497+1),IF(AND(($S497-Y497)&lt;=0,(X497-$R497)&gt;0),$V497/365*($S497-X497+1),$V497/365*(Y497-$R497+1))))),0)</f>
        <v>0</v>
      </c>
      <c r="AA497" s="163">
        <f t="shared" ref="AA497:AA500" si="5838">Y497+1</f>
        <v>45689</v>
      </c>
      <c r="AB497" s="163">
        <f t="shared" ref="AB497:AB500" si="5839">AA497+27</f>
        <v>45716</v>
      </c>
      <c r="AC497" s="167">
        <f t="shared" ref="AC497:AC500" si="5840">IFERROR(IF(($R497-AB497)&gt;=0,0,IF(($S497-AA497)&lt;0,0,IF(AND(($S497-AB497)&gt;0,(AA497-$R497)&gt;0),$V497/365*(AB497-AA497+1),IF(AND(($S497-AB497)&lt;=0,(AA497-$R497)&gt;0),$V497/365*($S497-AA497+1),$V497/365*(AB497-$R497+1))))),0)</f>
        <v>0</v>
      </c>
      <c r="AD497" s="163">
        <f t="shared" ref="AD497:AD500" si="5841">AB497+1</f>
        <v>45717</v>
      </c>
      <c r="AE497" s="163">
        <f t="shared" ref="AE497:AE500" si="5842">AD497+30</f>
        <v>45747</v>
      </c>
      <c r="AF497" s="167">
        <f t="shared" ref="AF497:AF500" si="5843">IFERROR(IF(($R497-AE497)&gt;=0,0,IF(($S497-AD497)&lt;0,0,IF(AND(($S497-AE497)&gt;0,(AD497-$R497)&gt;0),$V497/365*(AE497-AD497+1),IF(AND(($S497-AE497)&lt;=0,(AD497-$R497)&gt;0),$V497/365*($S497-AD497+1),$V497/365*(AE497-$R497+1))))),0)</f>
        <v>0</v>
      </c>
      <c r="AG497" s="163">
        <f t="shared" ref="AG497:AG500" si="5844">AE497+1</f>
        <v>45748</v>
      </c>
      <c r="AH497" s="163">
        <f t="shared" ref="AH497:AH500" si="5845">AG497+29</f>
        <v>45777</v>
      </c>
      <c r="AI497" s="167">
        <f t="shared" ref="AI497:AI500" si="5846">IFERROR(IF(($R497-AH497)&gt;=0,0,IF(($S497-AG497)&lt;0,0,IF(AND(($S497-AH497)&gt;0,(AG497-$R497)&gt;0),$V497/365*(AH497-AG497+1),IF(AND(($S497-AH497)&lt;=0,(AG497-$R497)&gt;0),$V497/365*($S497-AG497+1),$V497/365*(AH497-$R497+1))))),0)</f>
        <v>768.663157894737</v>
      </c>
      <c r="AJ497" s="163">
        <f t="shared" ref="AJ497:AJ500" si="5847">AH497+1</f>
        <v>45778</v>
      </c>
      <c r="AK497" s="163">
        <f t="shared" ref="AK497:AK500" si="5848">AJ497+30</f>
        <v>45808</v>
      </c>
      <c r="AL497" s="167">
        <f t="shared" ref="AL497:AL500" si="5849">IFERROR(IF(($R497-AK497)&gt;=0,0,IF(($S497-AJ497)&lt;0,0,IF(AND(($S497-AK497)&gt;0,(AJ497-$R497)&gt;0),$V497/365*(AK497-AJ497+1),IF(AND(($S497-AK497)&lt;=0,(AJ497-$R497)&gt;0),$V497/365*($S497-AJ497+1),$V497/365*(AK497-$R497+1))))),0)</f>
        <v>1134.69323308271</v>
      </c>
      <c r="AM497" s="163">
        <f t="shared" ref="AM497:AM500" si="5850">AK497+1</f>
        <v>45809</v>
      </c>
      <c r="AN497" s="163">
        <f t="shared" ref="AN497:AN500" si="5851">AM497+29</f>
        <v>45838</v>
      </c>
      <c r="AO497" s="167">
        <f t="shared" ref="AO497:AO500" si="5852">IFERROR(IF(($R497-AN497)&gt;=0,0,IF(($S497-AM497)&lt;0,0,IF(AND(($S497-AN497)&gt;0,(AM497-$R497)&gt;0),$V497/365*(AN497-AM497+1),IF(AND(($S497-AN497)&lt;=0,(AM497-$R497)&gt;0),$V497/365*($S497-AM497+1),$V497/365*(AN497-$R497+1))))),0)</f>
        <v>1098.09022556391</v>
      </c>
      <c r="AP497" s="163">
        <f t="shared" ref="AP497:AP500" si="5853">AN497+1</f>
        <v>45839</v>
      </c>
      <c r="AQ497" s="163">
        <f t="shared" ref="AQ497:AQ500" si="5854">AP497+30</f>
        <v>45869</v>
      </c>
      <c r="AR497" s="167">
        <f t="shared" ref="AR497:AR500" si="5855">IFERROR(IF(($R497-AQ497)&gt;=0,0,IF(($S497-AP497)&lt;0,0,IF(AND(($S497-AQ497)&gt;0,(AP497-$R497)&gt;0),$V497/365*(AQ497-AP497+1),IF(AND(($S497-AQ497)&lt;=0,(AP497-$R497)&gt;0),$V497/365*($S497-AP497+1),$V497/365*(AQ497-$R497+1))))),0)</f>
        <v>1134.69323308271</v>
      </c>
      <c r="AS497" s="163">
        <f t="shared" ref="AS497:AS500" si="5856">AQ497+1</f>
        <v>45870</v>
      </c>
      <c r="AT497" s="163">
        <f t="shared" ref="AT497:AT500" si="5857">AS497+30</f>
        <v>45900</v>
      </c>
      <c r="AU497" s="167">
        <f t="shared" ref="AU497:AU500" si="5858">IFERROR(IF(($R497-AT497)&gt;=0,0,IF(($S497-AS497)&lt;0,0,IF(AND(($S497-AT497)&gt;0,(AS497-$R497)&gt;0),$V497/365*(AT497-AS497+1),IF(AND(($S497-AT497)&lt;=0,(AS497-$R497)&gt;0),$V497/365*($S497-AS497+1),$V497/365*(AT497-$R497+1))))),0)</f>
        <v>1134.69323308271</v>
      </c>
      <c r="AV497" s="163">
        <f t="shared" ref="AV497:AV500" si="5859">AT497+1</f>
        <v>45901</v>
      </c>
      <c r="AW497" s="163">
        <f t="shared" ref="AW497:AW500" si="5860">AV497+29</f>
        <v>45930</v>
      </c>
      <c r="AX497" s="167">
        <f t="shared" ref="AX497:AX500" si="5861">IFERROR(IF(($R497-AW497)&gt;=0,0,IF(($S497-AV497)&lt;0,0,IF(AND(($S497-AW497)&gt;0,(AV497-$R497)&gt;0),$V497/365*(AW497-AV497+1),IF(AND(($S497-AW497)&lt;=0,(AV497-$R497)&gt;0),$V497/365*($S497-AV497+1),$V497/365*(AW497-$R497+1))))),0)</f>
        <v>1098.09022556391</v>
      </c>
      <c r="AY497" s="163">
        <f t="shared" ref="AY497:AY500" si="5862">AW497+1</f>
        <v>45931</v>
      </c>
      <c r="AZ497" s="163">
        <f t="shared" ref="AZ497:AZ500" si="5863">AY497+30</f>
        <v>45961</v>
      </c>
      <c r="BA497" s="167">
        <f t="shared" ref="BA497:BA500" si="5864">IFERROR(IF(($R497-AZ497)&gt;=0,0,IF(($S497-AY497)&lt;0,0,IF(AND(($S497-AZ497)&gt;0,(AY497-$R497)&gt;0),$V497/365*(AZ497-AY497+1),IF(AND(($S497-AZ497)&lt;=0,(AY497-$R497)&gt;0),$V497/365*($S497-AY497+1),$V497/365*(AZ497-$R497+1))))),0)</f>
        <v>1134.69323308271</v>
      </c>
      <c r="BB497" s="163">
        <f t="shared" ref="BB497:BB500" si="5865">AZ497+1</f>
        <v>45962</v>
      </c>
      <c r="BC497" s="163">
        <f t="shared" ref="BC497:BC500" si="5866">BB497+29</f>
        <v>45991</v>
      </c>
      <c r="BD497" s="167">
        <f t="shared" ref="BD497:BD500" si="5867">IFERROR(IF(($R497-BC497)&gt;=0,0,IF(($S497-BB497)&lt;0,0,IF(AND(($S497-BC497)&gt;0,(BB497-$R497)&gt;0),$V497/365*(BC497-BB497+1),IF(AND(($S497-BC497)&lt;=0,(BB497-$R497)&gt;0),$V497/365*($S497-BB497+1),$V497/365*(BC497-$R497+1))))),0)</f>
        <v>1098.09022556391</v>
      </c>
      <c r="BE497" s="163">
        <f t="shared" ref="BE497:BE500" si="5868">BC497+1</f>
        <v>45992</v>
      </c>
      <c r="BF497" s="163">
        <f t="shared" ref="BF497:BF500" si="5869">BE497+30</f>
        <v>46022</v>
      </c>
      <c r="BG497" s="167">
        <f t="shared" ref="BG497:BG500" si="5870">IFERROR(IF(($R497-BF497)&gt;=0,0,IF(($S497-BE497)&lt;0,0,IF(AND(($S497-BF497)&gt;0,(BE497-$R497)&gt;0),$V497/365*(BF497-BE497+1),IF(AND(($S497-BF497)&lt;=0,(BE497-$R497)&gt;0),$V497/365*($S497-BE497+1),$V497/365*(BF497-$R497+1))))),0)</f>
        <v>1134.69323308271</v>
      </c>
      <c r="BH497" s="163">
        <v>46023</v>
      </c>
      <c r="BI497" s="163">
        <f t="shared" ref="BI497:BI500" si="5871">BH497+30</f>
        <v>46053</v>
      </c>
      <c r="BJ497" s="167">
        <f t="shared" ref="BJ497:BJ500" si="5872">IFERROR(IF(($R497-BI497)&gt;=0,0,IF(($S497-BH497)&lt;0,0,IF(AND(($S497-BI497)&gt;0,(BH497-$R497)&gt;0),$V497/365*(BI497-BH497+1),IF(AND(($S497-BI497)&lt;=0,(BH497-$R497)&gt;0),$V497/365*($S497-BH497+1),$V497/365*(BI497-$R497+1))))),0)</f>
        <v>0</v>
      </c>
      <c r="BK497" s="163">
        <f t="shared" ref="BK497:BK500" si="5873">BI497+1</f>
        <v>46054</v>
      </c>
      <c r="BL497" s="163">
        <f t="shared" ref="BL497:BL500" si="5874">BK497+27</f>
        <v>46081</v>
      </c>
      <c r="BM497" s="167">
        <f t="shared" ref="BM497:BM500" si="5875">IFERROR(IF(($R497-BL497)&gt;=0,0,IF(($S497-BK497)&lt;0,0,IF(AND(($S497-BL497)&gt;0,(BK497-$R497)&gt;0),$V497/365*(BL497-BK497+1),IF(AND(($S497-BL497)&lt;=0,(BK497-$R497)&gt;0),$V497/365*($S497-BK497+1),$V497/365*(BL497-$R497+1))))),0)</f>
        <v>0</v>
      </c>
      <c r="BN497" s="163">
        <f t="shared" ref="BN497:BN500" si="5876">BL497+1</f>
        <v>46082</v>
      </c>
      <c r="BO497" s="163">
        <f t="shared" ref="BO497:BO500" si="5877">BN497+30</f>
        <v>46112</v>
      </c>
      <c r="BP497" s="167">
        <f t="shared" ref="BP497:BP500" si="5878">IFERROR(IF(($R497-BO497)&gt;=0,0,IF(($S497-BN497)&lt;0,0,IF(AND(($S497-BO497)&gt;0,(BN497-$R497)&gt;0),$V497/365*(BO497-BN497+1),IF(AND(($S497-BO497)&lt;=0,(BN497-$R497)&gt;0),$V497/365*($S497-BN497+1),$V497/365*(BO497-$R497+1))))),0)</f>
        <v>0</v>
      </c>
      <c r="BQ497" s="163">
        <f t="shared" ref="BQ497:BQ500" si="5879">BO497+1</f>
        <v>46113</v>
      </c>
      <c r="BR497" s="163">
        <f t="shared" ref="BR497:BR500" si="5880">BQ497+29</f>
        <v>46142</v>
      </c>
      <c r="BS497" s="167">
        <f t="shared" ref="BS497:BS500" si="5881">IFERROR(IF(($R497-BR497)&gt;=0,0,IF(($S497-BQ497)&lt;0,0,IF(AND(($S497-BR497)&gt;0,(BQ497-$R497)&gt;0),$V497/365*(BR497-BQ497+1),IF(AND(($S497-BR497)&lt;=0,(BQ497-$R497)&gt;0),$V497/365*($S497-BQ497+1),$V497/365*(BR497-$R497+1))))),0)</f>
        <v>0</v>
      </c>
      <c r="BT497" s="163">
        <f t="shared" ref="BT497:BT500" si="5882">BR497+1</f>
        <v>46143</v>
      </c>
      <c r="BU497" s="163">
        <f t="shared" ref="BU497:BU500" si="5883">BT497+30</f>
        <v>46173</v>
      </c>
      <c r="BV497" s="167">
        <f t="shared" ref="BV497:BV500" si="5884">IFERROR(IF(($R497-BU497)&gt;=0,0,IF(($S497-BT497)&lt;0,0,IF(AND(($S497-BU497)&gt;0,(BT497-$R497)&gt;0),$V497/365*(BU497-BT497+1),IF(AND(($S497-BU497)&lt;=0,(BT497-$R497)&gt;0),$V497/365*($S497-BT497+1),$V497/365*(BU497-$R497+1))))),0)</f>
        <v>0</v>
      </c>
      <c r="BW497" s="163">
        <f t="shared" ref="BW497:BW500" si="5885">BU497+1</f>
        <v>46174</v>
      </c>
      <c r="BX497" s="163">
        <f t="shared" ref="BX497:BX500" si="5886">BW497+29</f>
        <v>46203</v>
      </c>
      <c r="BY497" s="167">
        <f t="shared" ref="BY497:BY500" si="5887">IFERROR(IF(($R497-BX497)&gt;=0,0,IF(($S497-BW497)&lt;0,0,IF(AND(($S497-BX497)&gt;0,(BW497-$R497)&gt;0),$V497/365*(BX497-BW497+1),IF(AND(($S497-BX497)&lt;=0,(BW497-$R497)&gt;0),$V497/365*($S497-BW497+1),$V497/365*(BX497-$R497+1))))),0)</f>
        <v>0</v>
      </c>
      <c r="BZ497" s="163">
        <f t="shared" ref="BZ497:BZ500" si="5888">BX497+1</f>
        <v>46204</v>
      </c>
      <c r="CA497" s="163">
        <f t="shared" ref="CA497:CA500" si="5889">BZ497+30</f>
        <v>46234</v>
      </c>
      <c r="CB497" s="167">
        <f t="shared" ref="CB497:CB500" si="5890">IFERROR(IF(($R497-CA497)&gt;=0,0,IF(($S497-BZ497)&lt;0,0,IF(AND(($S497-CA497)&gt;0,(BZ497-$R497)&gt;0),$V497/365*(CA497-BZ497+1),IF(AND(($S497-CA497)&lt;=0,(BZ497-$R497)&gt;0),$V497/365*($S497-BZ497+1),$V497/365*(CA497-$R497+1))))),0)</f>
        <v>0</v>
      </c>
      <c r="CC497" s="163">
        <f t="shared" ref="CC497:CC500" si="5891">CA497+1</f>
        <v>46235</v>
      </c>
      <c r="CD497" s="163">
        <f t="shared" ref="CD497:CD500" si="5892">CC497+30</f>
        <v>46265</v>
      </c>
      <c r="CE497" s="167">
        <f t="shared" ref="CE497:CE500" si="5893">IFERROR(IF(($R497-CD497)&gt;=0,0,IF(($S497-CC497)&lt;0,0,IF(AND(($S497-CD497)&gt;0,(CC497-$R497)&gt;0),$V497/365*(CD497-CC497+1),IF(AND(($S497-CD497)&lt;=0,(CC497-$R497)&gt;0),$V497/365*($S497-CC497+1),$V497/365*(CD497-$R497+1))))),0)</f>
        <v>0</v>
      </c>
      <c r="CF497" s="163">
        <f t="shared" ref="CF497:CF500" si="5894">CD497+1</f>
        <v>46266</v>
      </c>
      <c r="CG497" s="163">
        <f t="shared" ref="CG497:CG500" si="5895">CF497+29</f>
        <v>46295</v>
      </c>
      <c r="CH497" s="167">
        <f t="shared" ref="CH497:CH500" si="5896">IFERROR(IF(($R497-CG497)&gt;=0,0,IF(($S497-CF497)&lt;0,0,IF(AND(($S497-CG497)&gt;0,(CF497-$R497)&gt;0),$V497/365*(CG497-CF497+1),IF(AND(($S497-CG497)&lt;=0,(CF497-$R497)&gt;0),$V497/365*($S497-CF497+1),$V497/365*(CG497-$R497+1))))),0)</f>
        <v>0</v>
      </c>
      <c r="CI497" s="163">
        <f t="shared" ref="CI497:CI500" si="5897">CG497+1</f>
        <v>46296</v>
      </c>
      <c r="CJ497" s="163">
        <f t="shared" ref="CJ497:CJ500" si="5898">CI497+30</f>
        <v>46326</v>
      </c>
      <c r="CK497" s="167">
        <f t="shared" ref="CK497:CK500" si="5899">IFERROR(IF(($R497-CJ497)&gt;=0,0,IF(($S497-CI497)&lt;0,0,IF(AND(($S497-CJ497)&gt;0,(CI497-$R497)&gt;0),$V497/365*(CJ497-CI497+1),IF(AND(($S497-CJ497)&lt;=0,(CI497-$R497)&gt;0),$V497/365*($S497-CI497+1),$V497/365*(CJ497-$R497+1))))),0)</f>
        <v>0</v>
      </c>
      <c r="CL497" s="163">
        <f t="shared" ref="CL497:CL500" si="5900">CJ497+1</f>
        <v>46327</v>
      </c>
      <c r="CM497" s="163">
        <f t="shared" ref="CM497:CM500" si="5901">CL497+29</f>
        <v>46356</v>
      </c>
      <c r="CN497" s="167">
        <f t="shared" ref="CN497:CN500" si="5902">IFERROR(IF(($R497-CM497)&gt;=0,0,IF(($S497-CL497)&lt;0,0,IF(AND(($S497-CM497)&gt;0,(CL497-$R497)&gt;0),$V497/365*(CM497-CL497+1),IF(AND(($S497-CM497)&lt;=0,(CL497-$R497)&gt;0),$V497/365*($S497-CL497+1),$V497/365*(CM497-$R497+1))))),0)</f>
        <v>0</v>
      </c>
      <c r="CO497" s="163">
        <f t="shared" ref="CO497:CO500" si="5903">CM497+1</f>
        <v>46357</v>
      </c>
      <c r="CP497" s="163">
        <f t="shared" ref="CP497:CP500" si="5904">CO497+30</f>
        <v>46387</v>
      </c>
      <c r="CQ497" s="167">
        <f t="shared" ref="CQ497:CQ500" si="5905">IFERROR(IF(($R497-CP497)&gt;=0,0,IF(($S497-CO497)&lt;0,0,IF(AND(($S497-CP497)&gt;0,(CO497-$R497)&gt;0),$V497/365*(CP497-CO497+1),IF(AND(($S497-CP497)&lt;=0,(CO497-$R497)&gt;0),$V497/365*($S497-CO497+1),$V497/365*(CP497-$R497+1))))),0)</f>
        <v>0</v>
      </c>
    </row>
    <row r="498" s="89" customFormat="1" ht="24" hidden="1" customHeight="1" outlineLevel="3" spans="1:95">
      <c r="A498" s="128"/>
      <c r="B498" s="129"/>
      <c r="C498" s="130"/>
      <c r="D498" s="128"/>
      <c r="E498" s="129"/>
      <c r="F498" s="129"/>
      <c r="G498" s="129"/>
      <c r="H498" s="131"/>
      <c r="I498" s="131"/>
      <c r="J498" s="131">
        <f t="shared" si="5367"/>
        <v>77079</v>
      </c>
      <c r="K498" s="131">
        <f t="shared" ref="K498:K500" si="5906">K497+1</f>
        <v>2</v>
      </c>
      <c r="L498" s="156" t="s">
        <v>2870</v>
      </c>
      <c r="M498" s="157" t="str">
        <f>IFERROR(VLOOKUP($L498,'2-2 引出数据_合同数据仓库'!$B$5:$BP$200,3,FALSE),0)</f>
        <v>深圳非住二片区中海油大厦信息智能发布设备采购费率合同</v>
      </c>
      <c r="N498" s="131"/>
      <c r="O498" s="157">
        <f>IFERROR(VLOOKUP((LEFT(VLOOKUP($L498,'2-2 引出数据_合同数据仓库'!$B$5:$BP$200,64,FALSE),15)&amp;(RIGHT(VLOOKUP($L498,'2-2 引出数据_合同数据仓库'!$B$5:$BP$200,64,FALSE),4)+1)),'2-2 引出数据_合同数据仓库'!$B$5:$BP$200,3,FALSE),0)</f>
        <v>0</v>
      </c>
      <c r="P498" s="131"/>
      <c r="Q498" s="131" t="str">
        <f>IFERROR(VLOOKUP($L498,'2-2 引出数据_合同数据仓库'!$B$5:$BP$200,28,FALSE),0)</f>
        <v>2025-04-10</v>
      </c>
      <c r="R498" s="131" t="str">
        <f>IFERROR(VLOOKUP($L498,'2-2 引出数据_合同数据仓库'!$B$5:$BP$200,29,FALSE),0)</f>
        <v>2025-04-10</v>
      </c>
      <c r="S498" s="131" t="str">
        <f>IFERROR(VLOOKUP($L498,'2-2 引出数据_合同数据仓库'!$B$5:$BP$200,4,FALSE),0)</f>
        <v>2025-12-31</v>
      </c>
      <c r="T498" s="131"/>
      <c r="U498" s="131">
        <f>IFERROR(VLOOKUP($L498,'2-2 引出数据_合同数据仓库'!$B$5:$BP$200,15,FALSE),0)</f>
        <v>77079</v>
      </c>
      <c r="V498" s="131">
        <f t="shared" si="5835"/>
        <v>105766.296992481</v>
      </c>
      <c r="W498" s="131"/>
      <c r="X498" s="163">
        <v>45658</v>
      </c>
      <c r="Y498" s="163">
        <f t="shared" si="5836"/>
        <v>45688</v>
      </c>
      <c r="Z498" s="167">
        <f t="shared" si="5837"/>
        <v>0</v>
      </c>
      <c r="AA498" s="163">
        <f t="shared" si="5838"/>
        <v>45689</v>
      </c>
      <c r="AB498" s="163">
        <f t="shared" si="5839"/>
        <v>45716</v>
      </c>
      <c r="AC498" s="167">
        <f t="shared" si="5840"/>
        <v>0</v>
      </c>
      <c r="AD498" s="163">
        <f t="shared" si="5841"/>
        <v>45717</v>
      </c>
      <c r="AE498" s="163">
        <f t="shared" si="5842"/>
        <v>45747</v>
      </c>
      <c r="AF498" s="167">
        <f t="shared" si="5843"/>
        <v>0</v>
      </c>
      <c r="AG498" s="163">
        <f t="shared" si="5844"/>
        <v>45748</v>
      </c>
      <c r="AH498" s="163">
        <f t="shared" si="5845"/>
        <v>45777</v>
      </c>
      <c r="AI498" s="167">
        <f t="shared" si="5846"/>
        <v>6085.18421052632</v>
      </c>
      <c r="AJ498" s="163">
        <f t="shared" si="5847"/>
        <v>45778</v>
      </c>
      <c r="AK498" s="163">
        <f t="shared" si="5848"/>
        <v>45808</v>
      </c>
      <c r="AL498" s="167">
        <f t="shared" si="5849"/>
        <v>8982.89097744361</v>
      </c>
      <c r="AM498" s="163">
        <f t="shared" si="5850"/>
        <v>45809</v>
      </c>
      <c r="AN498" s="163">
        <f t="shared" si="5851"/>
        <v>45838</v>
      </c>
      <c r="AO498" s="167">
        <f t="shared" si="5852"/>
        <v>8693.12030075188</v>
      </c>
      <c r="AP498" s="163">
        <f t="shared" si="5853"/>
        <v>45839</v>
      </c>
      <c r="AQ498" s="163">
        <f t="shared" si="5854"/>
        <v>45869</v>
      </c>
      <c r="AR498" s="167">
        <f t="shared" si="5855"/>
        <v>8982.89097744361</v>
      </c>
      <c r="AS498" s="163">
        <f t="shared" si="5856"/>
        <v>45870</v>
      </c>
      <c r="AT498" s="163">
        <f t="shared" si="5857"/>
        <v>45900</v>
      </c>
      <c r="AU498" s="167">
        <f t="shared" si="5858"/>
        <v>8982.89097744361</v>
      </c>
      <c r="AV498" s="163">
        <f t="shared" si="5859"/>
        <v>45901</v>
      </c>
      <c r="AW498" s="163">
        <f t="shared" si="5860"/>
        <v>45930</v>
      </c>
      <c r="AX498" s="167">
        <f t="shared" si="5861"/>
        <v>8693.12030075188</v>
      </c>
      <c r="AY498" s="163">
        <f t="shared" si="5862"/>
        <v>45931</v>
      </c>
      <c r="AZ498" s="163">
        <f t="shared" si="5863"/>
        <v>45961</v>
      </c>
      <c r="BA498" s="167">
        <f t="shared" si="5864"/>
        <v>8982.89097744361</v>
      </c>
      <c r="BB498" s="163">
        <f t="shared" si="5865"/>
        <v>45962</v>
      </c>
      <c r="BC498" s="163">
        <f t="shared" si="5866"/>
        <v>45991</v>
      </c>
      <c r="BD498" s="167">
        <f t="shared" si="5867"/>
        <v>8693.12030075188</v>
      </c>
      <c r="BE498" s="163">
        <f t="shared" si="5868"/>
        <v>45992</v>
      </c>
      <c r="BF498" s="163">
        <f t="shared" si="5869"/>
        <v>46022</v>
      </c>
      <c r="BG498" s="167">
        <f t="shared" si="5870"/>
        <v>8982.89097744361</v>
      </c>
      <c r="BH498" s="163">
        <v>46023</v>
      </c>
      <c r="BI498" s="163">
        <f t="shared" si="5871"/>
        <v>46053</v>
      </c>
      <c r="BJ498" s="167">
        <f t="shared" si="5872"/>
        <v>0</v>
      </c>
      <c r="BK498" s="163">
        <f t="shared" si="5873"/>
        <v>46054</v>
      </c>
      <c r="BL498" s="163">
        <f t="shared" si="5874"/>
        <v>46081</v>
      </c>
      <c r="BM498" s="167">
        <f t="shared" si="5875"/>
        <v>0</v>
      </c>
      <c r="BN498" s="163">
        <f t="shared" si="5876"/>
        <v>46082</v>
      </c>
      <c r="BO498" s="163">
        <f t="shared" si="5877"/>
        <v>46112</v>
      </c>
      <c r="BP498" s="167">
        <f t="shared" si="5878"/>
        <v>0</v>
      </c>
      <c r="BQ498" s="163">
        <f t="shared" si="5879"/>
        <v>46113</v>
      </c>
      <c r="BR498" s="163">
        <f t="shared" si="5880"/>
        <v>46142</v>
      </c>
      <c r="BS498" s="167">
        <f t="shared" si="5881"/>
        <v>0</v>
      </c>
      <c r="BT498" s="163">
        <f t="shared" si="5882"/>
        <v>46143</v>
      </c>
      <c r="BU498" s="163">
        <f t="shared" si="5883"/>
        <v>46173</v>
      </c>
      <c r="BV498" s="167">
        <f t="shared" si="5884"/>
        <v>0</v>
      </c>
      <c r="BW498" s="163">
        <f t="shared" si="5885"/>
        <v>46174</v>
      </c>
      <c r="BX498" s="163">
        <f t="shared" si="5886"/>
        <v>46203</v>
      </c>
      <c r="BY498" s="167">
        <f t="shared" si="5887"/>
        <v>0</v>
      </c>
      <c r="BZ498" s="163">
        <f t="shared" si="5888"/>
        <v>46204</v>
      </c>
      <c r="CA498" s="163">
        <f t="shared" si="5889"/>
        <v>46234</v>
      </c>
      <c r="CB498" s="167">
        <f t="shared" si="5890"/>
        <v>0</v>
      </c>
      <c r="CC498" s="163">
        <f t="shared" si="5891"/>
        <v>46235</v>
      </c>
      <c r="CD498" s="163">
        <f t="shared" si="5892"/>
        <v>46265</v>
      </c>
      <c r="CE498" s="167">
        <f t="shared" si="5893"/>
        <v>0</v>
      </c>
      <c r="CF498" s="163">
        <f t="shared" si="5894"/>
        <v>46266</v>
      </c>
      <c r="CG498" s="163">
        <f t="shared" si="5895"/>
        <v>46295</v>
      </c>
      <c r="CH498" s="167">
        <f t="shared" si="5896"/>
        <v>0</v>
      </c>
      <c r="CI498" s="163">
        <f t="shared" si="5897"/>
        <v>46296</v>
      </c>
      <c r="CJ498" s="163">
        <f t="shared" si="5898"/>
        <v>46326</v>
      </c>
      <c r="CK498" s="167">
        <f t="shared" si="5899"/>
        <v>0</v>
      </c>
      <c r="CL498" s="163">
        <f t="shared" si="5900"/>
        <v>46327</v>
      </c>
      <c r="CM498" s="163">
        <f t="shared" si="5901"/>
        <v>46356</v>
      </c>
      <c r="CN498" s="167">
        <f t="shared" si="5902"/>
        <v>0</v>
      </c>
      <c r="CO498" s="163">
        <f t="shared" si="5903"/>
        <v>46357</v>
      </c>
      <c r="CP498" s="163">
        <f t="shared" si="5904"/>
        <v>46387</v>
      </c>
      <c r="CQ498" s="167">
        <f t="shared" si="5905"/>
        <v>0</v>
      </c>
    </row>
    <row r="499" s="89" customFormat="1" ht="24" hidden="1" customHeight="1" outlineLevel="3" spans="1:95">
      <c r="A499" s="128"/>
      <c r="B499" s="129"/>
      <c r="C499" s="130"/>
      <c r="D499" s="128"/>
      <c r="E499" s="129"/>
      <c r="F499" s="129"/>
      <c r="G499" s="129"/>
      <c r="H499" s="131"/>
      <c r="I499" s="131"/>
      <c r="J499" s="131">
        <f t="shared" si="5367"/>
        <v>64823.7408767123</v>
      </c>
      <c r="K499" s="131">
        <f t="shared" si="5906"/>
        <v>3</v>
      </c>
      <c r="L499" s="156" t="s">
        <v>2871</v>
      </c>
      <c r="M499" s="157" t="str">
        <f>IFERROR(VLOOKUP($L499,'2-2 引出数据_合同数据仓库'!$B$5:$BP$200,3,FALSE),0)</f>
        <v>深圳非住二片区中海油大厦楼层开窗器安装费率合同</v>
      </c>
      <c r="N499" s="131"/>
      <c r="O499" s="157">
        <f>IFERROR(VLOOKUP((LEFT(VLOOKUP($L499,'2-2 引出数据_合同数据仓库'!$B$5:$BP$200,64,FALSE),15)&amp;(RIGHT(VLOOKUP($L499,'2-2 引出数据_合同数据仓库'!$B$5:$BP$200,64,FALSE),4)+1)),'2-2 引出数据_合同数据仓库'!$B$5:$BP$200,3,FALSE),0)</f>
        <v>0</v>
      </c>
      <c r="P499" s="131"/>
      <c r="Q499" s="131" t="str">
        <f>IFERROR(VLOOKUP($L499,'2-2 引出数据_合同数据仓库'!$B$5:$BP$200,28,FALSE),0)</f>
        <v>2025-04-10</v>
      </c>
      <c r="R499" s="131" t="str">
        <f>IFERROR(VLOOKUP($L499,'2-2 引出数据_合同数据仓库'!$B$5:$BP$200,29,FALSE),0)</f>
        <v>2025-04-10</v>
      </c>
      <c r="S499" s="131" t="str">
        <f>IFERROR(VLOOKUP($L499,'2-2 引出数据_合同数据仓库'!$B$5:$BP$200,4,FALSE),0)</f>
        <v>2026-04-09</v>
      </c>
      <c r="T499" s="131"/>
      <c r="U499" s="131">
        <f>IFERROR(VLOOKUP($L499,'2-2 引出数据_合同数据仓库'!$B$5:$BP$200,15,FALSE),0)</f>
        <v>88949.87</v>
      </c>
      <c r="V499" s="131">
        <f t="shared" si="5835"/>
        <v>88949.87</v>
      </c>
      <c r="W499" s="131"/>
      <c r="X499" s="163">
        <v>45658</v>
      </c>
      <c r="Y499" s="163">
        <f t="shared" si="5836"/>
        <v>45688</v>
      </c>
      <c r="Z499" s="167">
        <f t="shared" si="5837"/>
        <v>0</v>
      </c>
      <c r="AA499" s="163">
        <f t="shared" si="5838"/>
        <v>45689</v>
      </c>
      <c r="AB499" s="163">
        <f t="shared" si="5839"/>
        <v>45716</v>
      </c>
      <c r="AC499" s="167">
        <f t="shared" si="5840"/>
        <v>0</v>
      </c>
      <c r="AD499" s="163">
        <f t="shared" si="5841"/>
        <v>45717</v>
      </c>
      <c r="AE499" s="163">
        <f t="shared" si="5842"/>
        <v>45747</v>
      </c>
      <c r="AF499" s="167">
        <f t="shared" si="5843"/>
        <v>0</v>
      </c>
      <c r="AG499" s="163">
        <f t="shared" si="5844"/>
        <v>45748</v>
      </c>
      <c r="AH499" s="163">
        <f t="shared" si="5845"/>
        <v>45777</v>
      </c>
      <c r="AI499" s="167">
        <f t="shared" si="5846"/>
        <v>5117.66375342466</v>
      </c>
      <c r="AJ499" s="163">
        <f t="shared" si="5847"/>
        <v>45778</v>
      </c>
      <c r="AK499" s="163">
        <f t="shared" si="5848"/>
        <v>45808</v>
      </c>
      <c r="AL499" s="167">
        <f t="shared" si="5849"/>
        <v>7554.64649315068</v>
      </c>
      <c r="AM499" s="163">
        <f t="shared" si="5850"/>
        <v>45809</v>
      </c>
      <c r="AN499" s="163">
        <f t="shared" si="5851"/>
        <v>45838</v>
      </c>
      <c r="AO499" s="167">
        <f t="shared" si="5852"/>
        <v>7310.94821917808</v>
      </c>
      <c r="AP499" s="163">
        <f t="shared" si="5853"/>
        <v>45839</v>
      </c>
      <c r="AQ499" s="163">
        <f t="shared" si="5854"/>
        <v>45869</v>
      </c>
      <c r="AR499" s="167">
        <f t="shared" si="5855"/>
        <v>7554.64649315068</v>
      </c>
      <c r="AS499" s="163">
        <f t="shared" si="5856"/>
        <v>45870</v>
      </c>
      <c r="AT499" s="163">
        <f t="shared" si="5857"/>
        <v>45900</v>
      </c>
      <c r="AU499" s="167">
        <f t="shared" si="5858"/>
        <v>7554.64649315068</v>
      </c>
      <c r="AV499" s="163">
        <f t="shared" si="5859"/>
        <v>45901</v>
      </c>
      <c r="AW499" s="163">
        <f t="shared" si="5860"/>
        <v>45930</v>
      </c>
      <c r="AX499" s="167">
        <f t="shared" si="5861"/>
        <v>7310.94821917808</v>
      </c>
      <c r="AY499" s="163">
        <f t="shared" si="5862"/>
        <v>45931</v>
      </c>
      <c r="AZ499" s="163">
        <f t="shared" si="5863"/>
        <v>45961</v>
      </c>
      <c r="BA499" s="167">
        <f t="shared" si="5864"/>
        <v>7554.64649315068</v>
      </c>
      <c r="BB499" s="163">
        <f t="shared" si="5865"/>
        <v>45962</v>
      </c>
      <c r="BC499" s="163">
        <f t="shared" si="5866"/>
        <v>45991</v>
      </c>
      <c r="BD499" s="167">
        <f t="shared" si="5867"/>
        <v>7310.94821917808</v>
      </c>
      <c r="BE499" s="163">
        <f t="shared" si="5868"/>
        <v>45992</v>
      </c>
      <c r="BF499" s="163">
        <f t="shared" si="5869"/>
        <v>46022</v>
      </c>
      <c r="BG499" s="167">
        <f t="shared" si="5870"/>
        <v>7554.64649315068</v>
      </c>
      <c r="BH499" s="163">
        <v>46023</v>
      </c>
      <c r="BI499" s="163">
        <f t="shared" si="5871"/>
        <v>46053</v>
      </c>
      <c r="BJ499" s="167">
        <f t="shared" si="5872"/>
        <v>7554.64649315068</v>
      </c>
      <c r="BK499" s="163">
        <f t="shared" si="5873"/>
        <v>46054</v>
      </c>
      <c r="BL499" s="163">
        <f t="shared" si="5874"/>
        <v>46081</v>
      </c>
      <c r="BM499" s="167">
        <f t="shared" si="5875"/>
        <v>6823.55167123288</v>
      </c>
      <c r="BN499" s="163">
        <f t="shared" si="5876"/>
        <v>46082</v>
      </c>
      <c r="BO499" s="163">
        <f t="shared" si="5877"/>
        <v>46112</v>
      </c>
      <c r="BP499" s="167">
        <f t="shared" si="5878"/>
        <v>7554.64649315068</v>
      </c>
      <c r="BQ499" s="163">
        <f t="shared" si="5879"/>
        <v>46113</v>
      </c>
      <c r="BR499" s="163">
        <f t="shared" si="5880"/>
        <v>46142</v>
      </c>
      <c r="BS499" s="167">
        <f t="shared" si="5881"/>
        <v>2193.28446575342</v>
      </c>
      <c r="BT499" s="163">
        <f t="shared" si="5882"/>
        <v>46143</v>
      </c>
      <c r="BU499" s="163">
        <f t="shared" si="5883"/>
        <v>46173</v>
      </c>
      <c r="BV499" s="167">
        <f t="shared" si="5884"/>
        <v>0</v>
      </c>
      <c r="BW499" s="163">
        <f t="shared" si="5885"/>
        <v>46174</v>
      </c>
      <c r="BX499" s="163">
        <f t="shared" si="5886"/>
        <v>46203</v>
      </c>
      <c r="BY499" s="167">
        <f t="shared" si="5887"/>
        <v>0</v>
      </c>
      <c r="BZ499" s="163">
        <f t="shared" si="5888"/>
        <v>46204</v>
      </c>
      <c r="CA499" s="163">
        <f t="shared" si="5889"/>
        <v>46234</v>
      </c>
      <c r="CB499" s="167">
        <f t="shared" si="5890"/>
        <v>0</v>
      </c>
      <c r="CC499" s="163">
        <f t="shared" si="5891"/>
        <v>46235</v>
      </c>
      <c r="CD499" s="163">
        <f t="shared" si="5892"/>
        <v>46265</v>
      </c>
      <c r="CE499" s="167">
        <f t="shared" si="5893"/>
        <v>0</v>
      </c>
      <c r="CF499" s="163">
        <f t="shared" si="5894"/>
        <v>46266</v>
      </c>
      <c r="CG499" s="163">
        <f t="shared" si="5895"/>
        <v>46295</v>
      </c>
      <c r="CH499" s="167">
        <f t="shared" si="5896"/>
        <v>0</v>
      </c>
      <c r="CI499" s="163">
        <f t="shared" si="5897"/>
        <v>46296</v>
      </c>
      <c r="CJ499" s="163">
        <f t="shared" si="5898"/>
        <v>46326</v>
      </c>
      <c r="CK499" s="167">
        <f t="shared" si="5899"/>
        <v>0</v>
      </c>
      <c r="CL499" s="163">
        <f t="shared" si="5900"/>
        <v>46327</v>
      </c>
      <c r="CM499" s="163">
        <f t="shared" si="5901"/>
        <v>46356</v>
      </c>
      <c r="CN499" s="167">
        <f t="shared" si="5902"/>
        <v>0</v>
      </c>
      <c r="CO499" s="163">
        <f t="shared" si="5903"/>
        <v>46357</v>
      </c>
      <c r="CP499" s="163">
        <f t="shared" si="5904"/>
        <v>46387</v>
      </c>
      <c r="CQ499" s="167">
        <f t="shared" si="5905"/>
        <v>0</v>
      </c>
    </row>
    <row r="500" s="89" customFormat="1" ht="24" hidden="1" customHeight="1" outlineLevel="3" collapsed="1" spans="1:95">
      <c r="A500" s="128"/>
      <c r="B500" s="129"/>
      <c r="C500" s="130"/>
      <c r="D500" s="128"/>
      <c r="E500" s="129"/>
      <c r="F500" s="129"/>
      <c r="G500" s="129"/>
      <c r="H500" s="131"/>
      <c r="I500" s="131"/>
      <c r="J500" s="131">
        <f t="shared" si="5367"/>
        <v>119800</v>
      </c>
      <c r="K500" s="131">
        <f t="shared" si="5906"/>
        <v>4</v>
      </c>
      <c r="L500" s="156" t="s">
        <v>2872</v>
      </c>
      <c r="M500" s="157" t="str">
        <f>IFERROR(VLOOKUP($L500,'2-2 引出数据_合同数据仓库'!$B$5:$BP$200,3,FALSE),0)</f>
        <v>深圳非住二片区深圳中海油大厦春节氛围场景及新春嘉年华装饰布置采购合同</v>
      </c>
      <c r="N500" s="131"/>
      <c r="O500" s="157">
        <f>IFERROR(VLOOKUP((LEFT(VLOOKUP($L500,'2-2 引出数据_合同数据仓库'!$B$5:$BP$200,64,FALSE),15)&amp;(RIGHT(VLOOKUP($L500,'2-2 引出数据_合同数据仓库'!$B$5:$BP$200,64,FALSE),4)+1)),'2-2 引出数据_合同数据仓库'!$B$5:$BP$200,3,FALSE),0)</f>
        <v>0</v>
      </c>
      <c r="P500" s="131"/>
      <c r="Q500" s="131" t="str">
        <f>IFERROR(VLOOKUP($L500,'2-2 引出数据_合同数据仓库'!$B$5:$BP$200,28,FALSE),0)</f>
        <v>2025-04-10</v>
      </c>
      <c r="R500" s="131" t="str">
        <f>IFERROR(VLOOKUP($L500,'2-2 引出数据_合同数据仓库'!$B$5:$BP$200,29,FALSE),0)</f>
        <v>2025-04-10</v>
      </c>
      <c r="S500" s="131" t="str">
        <f>IFERROR(VLOOKUP($L500,'2-2 引出数据_合同数据仓库'!$B$5:$BP$200,4,FALSE),0)</f>
        <v>2025-07-09</v>
      </c>
      <c r="T500" s="131"/>
      <c r="U500" s="131">
        <f>IFERROR(VLOOKUP($L500,'2-2 引出数据_合同数据仓库'!$B$5:$BP$200,15,FALSE),0)</f>
        <v>119800</v>
      </c>
      <c r="V500" s="131">
        <f t="shared" si="5835"/>
        <v>480516.483516484</v>
      </c>
      <c r="W500" s="131"/>
      <c r="X500" s="163">
        <v>45658</v>
      </c>
      <c r="Y500" s="163">
        <f t="shared" si="5836"/>
        <v>45688</v>
      </c>
      <c r="Z500" s="167">
        <f t="shared" si="5837"/>
        <v>0</v>
      </c>
      <c r="AA500" s="163">
        <f t="shared" si="5838"/>
        <v>45689</v>
      </c>
      <c r="AB500" s="163">
        <f t="shared" si="5839"/>
        <v>45716</v>
      </c>
      <c r="AC500" s="167">
        <f t="shared" si="5840"/>
        <v>0</v>
      </c>
      <c r="AD500" s="163">
        <f t="shared" si="5841"/>
        <v>45717</v>
      </c>
      <c r="AE500" s="163">
        <f t="shared" si="5842"/>
        <v>45747</v>
      </c>
      <c r="AF500" s="167">
        <f t="shared" si="5843"/>
        <v>0</v>
      </c>
      <c r="AG500" s="163">
        <f t="shared" si="5844"/>
        <v>45748</v>
      </c>
      <c r="AH500" s="163">
        <f t="shared" si="5845"/>
        <v>45777</v>
      </c>
      <c r="AI500" s="167">
        <f t="shared" si="5846"/>
        <v>27646.1538461538</v>
      </c>
      <c r="AJ500" s="163">
        <f t="shared" si="5847"/>
        <v>45778</v>
      </c>
      <c r="AK500" s="163">
        <f t="shared" si="5848"/>
        <v>45808</v>
      </c>
      <c r="AL500" s="167">
        <f t="shared" si="5849"/>
        <v>40810.989010989</v>
      </c>
      <c r="AM500" s="163">
        <f t="shared" si="5850"/>
        <v>45809</v>
      </c>
      <c r="AN500" s="163">
        <f t="shared" si="5851"/>
        <v>45838</v>
      </c>
      <c r="AO500" s="167">
        <f t="shared" si="5852"/>
        <v>39494.5054945055</v>
      </c>
      <c r="AP500" s="163">
        <f t="shared" si="5853"/>
        <v>45839</v>
      </c>
      <c r="AQ500" s="163">
        <f t="shared" si="5854"/>
        <v>45869</v>
      </c>
      <c r="AR500" s="167">
        <f t="shared" si="5855"/>
        <v>11848.3516483516</v>
      </c>
      <c r="AS500" s="163">
        <f t="shared" si="5856"/>
        <v>45870</v>
      </c>
      <c r="AT500" s="163">
        <f t="shared" si="5857"/>
        <v>45900</v>
      </c>
      <c r="AU500" s="167">
        <f t="shared" si="5858"/>
        <v>0</v>
      </c>
      <c r="AV500" s="163">
        <f t="shared" si="5859"/>
        <v>45901</v>
      </c>
      <c r="AW500" s="163">
        <f t="shared" si="5860"/>
        <v>45930</v>
      </c>
      <c r="AX500" s="167">
        <f t="shared" si="5861"/>
        <v>0</v>
      </c>
      <c r="AY500" s="163">
        <f t="shared" si="5862"/>
        <v>45931</v>
      </c>
      <c r="AZ500" s="163">
        <f t="shared" si="5863"/>
        <v>45961</v>
      </c>
      <c r="BA500" s="167">
        <f t="shared" si="5864"/>
        <v>0</v>
      </c>
      <c r="BB500" s="163">
        <f t="shared" si="5865"/>
        <v>45962</v>
      </c>
      <c r="BC500" s="163">
        <f t="shared" si="5866"/>
        <v>45991</v>
      </c>
      <c r="BD500" s="167">
        <f t="shared" si="5867"/>
        <v>0</v>
      </c>
      <c r="BE500" s="163">
        <f t="shared" si="5868"/>
        <v>45992</v>
      </c>
      <c r="BF500" s="163">
        <f t="shared" si="5869"/>
        <v>46022</v>
      </c>
      <c r="BG500" s="167">
        <f t="shared" si="5870"/>
        <v>0</v>
      </c>
      <c r="BH500" s="163">
        <v>46023</v>
      </c>
      <c r="BI500" s="163">
        <f t="shared" si="5871"/>
        <v>46053</v>
      </c>
      <c r="BJ500" s="167">
        <f t="shared" si="5872"/>
        <v>0</v>
      </c>
      <c r="BK500" s="163">
        <f t="shared" si="5873"/>
        <v>46054</v>
      </c>
      <c r="BL500" s="163">
        <f t="shared" si="5874"/>
        <v>46081</v>
      </c>
      <c r="BM500" s="167">
        <f t="shared" si="5875"/>
        <v>0</v>
      </c>
      <c r="BN500" s="163">
        <f t="shared" si="5876"/>
        <v>46082</v>
      </c>
      <c r="BO500" s="163">
        <f t="shared" si="5877"/>
        <v>46112</v>
      </c>
      <c r="BP500" s="167">
        <f t="shared" si="5878"/>
        <v>0</v>
      </c>
      <c r="BQ500" s="163">
        <f t="shared" si="5879"/>
        <v>46113</v>
      </c>
      <c r="BR500" s="163">
        <f t="shared" si="5880"/>
        <v>46142</v>
      </c>
      <c r="BS500" s="167">
        <f t="shared" si="5881"/>
        <v>0</v>
      </c>
      <c r="BT500" s="163">
        <f t="shared" si="5882"/>
        <v>46143</v>
      </c>
      <c r="BU500" s="163">
        <f t="shared" si="5883"/>
        <v>46173</v>
      </c>
      <c r="BV500" s="167">
        <f t="shared" si="5884"/>
        <v>0</v>
      </c>
      <c r="BW500" s="163">
        <f t="shared" si="5885"/>
        <v>46174</v>
      </c>
      <c r="BX500" s="163">
        <f t="shared" si="5886"/>
        <v>46203</v>
      </c>
      <c r="BY500" s="167">
        <f t="shared" si="5887"/>
        <v>0</v>
      </c>
      <c r="BZ500" s="163">
        <f t="shared" si="5888"/>
        <v>46204</v>
      </c>
      <c r="CA500" s="163">
        <f t="shared" si="5889"/>
        <v>46234</v>
      </c>
      <c r="CB500" s="167">
        <f t="shared" si="5890"/>
        <v>0</v>
      </c>
      <c r="CC500" s="163">
        <f t="shared" si="5891"/>
        <v>46235</v>
      </c>
      <c r="CD500" s="163">
        <f t="shared" si="5892"/>
        <v>46265</v>
      </c>
      <c r="CE500" s="167">
        <f t="shared" si="5893"/>
        <v>0</v>
      </c>
      <c r="CF500" s="163">
        <f t="shared" si="5894"/>
        <v>46266</v>
      </c>
      <c r="CG500" s="163">
        <f t="shared" si="5895"/>
        <v>46295</v>
      </c>
      <c r="CH500" s="167">
        <f t="shared" si="5896"/>
        <v>0</v>
      </c>
      <c r="CI500" s="163">
        <f t="shared" si="5897"/>
        <v>46296</v>
      </c>
      <c r="CJ500" s="163">
        <f t="shared" si="5898"/>
        <v>46326</v>
      </c>
      <c r="CK500" s="167">
        <f t="shared" si="5899"/>
        <v>0</v>
      </c>
      <c r="CL500" s="163">
        <f t="shared" si="5900"/>
        <v>46327</v>
      </c>
      <c r="CM500" s="163">
        <f t="shared" si="5901"/>
        <v>46356</v>
      </c>
      <c r="CN500" s="167">
        <f t="shared" si="5902"/>
        <v>0</v>
      </c>
      <c r="CO500" s="163">
        <f t="shared" si="5903"/>
        <v>46357</v>
      </c>
      <c r="CP500" s="163">
        <f t="shared" si="5904"/>
        <v>46387</v>
      </c>
      <c r="CQ500" s="167">
        <f t="shared" si="5905"/>
        <v>0</v>
      </c>
    </row>
    <row r="501" s="89" customFormat="1" ht="24" hidden="1" customHeight="1" outlineLevel="4" spans="1:95">
      <c r="A501" s="132" t="s">
        <v>2813</v>
      </c>
      <c r="B501" s="133"/>
      <c r="C501" s="133"/>
      <c r="D501" s="133"/>
      <c r="E501" s="133"/>
      <c r="F501" s="133"/>
      <c r="G501" s="134"/>
      <c r="H501" s="135"/>
      <c r="I501" s="135"/>
      <c r="J501" s="135"/>
      <c r="K501" s="135"/>
      <c r="L501" s="158"/>
      <c r="M501" s="158"/>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c r="CL501" s="135"/>
      <c r="CM501" s="135"/>
      <c r="CN501" s="135"/>
      <c r="CO501" s="135"/>
      <c r="CP501" s="135"/>
      <c r="CQ501" s="135"/>
    </row>
    <row r="502" ht="24" customHeight="1" outlineLevel="2" collapsed="1" spans="1:95">
      <c r="A502" s="43"/>
      <c r="B502" s="121" t="s">
        <v>792</v>
      </c>
      <c r="C502" s="122" t="s">
        <v>1615</v>
      </c>
      <c r="D502" s="43" t="s">
        <v>1616</v>
      </c>
      <c r="E502" s="121" t="s">
        <v>1617</v>
      </c>
      <c r="F502" s="121" t="s">
        <v>1618</v>
      </c>
      <c r="G502" s="121" t="s">
        <v>936</v>
      </c>
      <c r="H502" s="123">
        <f>X502+AA502+AD502+AG502+AJ502+AM502+AP502+AS502+AV502+AY502+BB502+BE502</f>
        <v>0</v>
      </c>
      <c r="I502" s="123">
        <f>Y502+AB502+AE502+AH502+AK502+AN502+AQ502+AT502+AW502+AZ502+BC502+BF502</f>
        <v>-195795.453252254</v>
      </c>
      <c r="J502" s="123">
        <f t="shared" si="5367"/>
        <v>195795.453252254</v>
      </c>
      <c r="K502" s="123"/>
      <c r="L502" s="154"/>
      <c r="M502" s="154"/>
      <c r="N502" s="123"/>
      <c r="O502" s="123"/>
      <c r="P502" s="123"/>
      <c r="Q502" s="123"/>
      <c r="R502" s="123"/>
      <c r="S502" s="123"/>
      <c r="T502" s="123"/>
      <c r="U502" s="123"/>
      <c r="V502" s="123"/>
      <c r="W502" s="123"/>
      <c r="X502" s="123">
        <f>VLOOKUP($C502,'1 预算编制表单'!$C:$BJ,27,FALSE)</f>
        <v>0</v>
      </c>
      <c r="Y502" s="123">
        <f>X502-Z502</f>
        <v>0</v>
      </c>
      <c r="Z502" s="123">
        <f>SUM(Z503:Z507)</f>
        <v>0</v>
      </c>
      <c r="AA502" s="123">
        <f>VLOOKUP($C502,'1 预算编制表单'!$C:$BJ,30,FALSE)</f>
        <v>0</v>
      </c>
      <c r="AB502" s="123">
        <f>AA502-AC502</f>
        <v>0</v>
      </c>
      <c r="AC502" s="123">
        <f>SUM(AC503:AC507)</f>
        <v>0</v>
      </c>
      <c r="AD502" s="123">
        <f>VLOOKUP($C502,'1 预算编制表单'!$C:$BJ,33,FALSE)</f>
        <v>0</v>
      </c>
      <c r="AE502" s="123">
        <f>AD502-AF502</f>
        <v>0</v>
      </c>
      <c r="AF502" s="123">
        <f>SUM(AF503:AF507)</f>
        <v>0</v>
      </c>
      <c r="AG502" s="123">
        <f>VLOOKUP($C502,'1 预算编制表单'!$C:$BJ,36,FALSE)</f>
        <v>0</v>
      </c>
      <c r="AH502" s="123">
        <f>AG502-AI502</f>
        <v>0</v>
      </c>
      <c r="AI502" s="123">
        <f>SUM(AI503:AI507)</f>
        <v>0</v>
      </c>
      <c r="AJ502" s="123">
        <f>VLOOKUP($C502,'1 预算编制表单'!$C:$BJ,39,FALSE)</f>
        <v>0</v>
      </c>
      <c r="AK502" s="123">
        <f>AJ502-AL502</f>
        <v>-13065.2205019917</v>
      </c>
      <c r="AL502" s="123">
        <f>SUM(AL503:AL507)</f>
        <v>13065.2205019917</v>
      </c>
      <c r="AM502" s="123">
        <f>VLOOKUP($C502,'1 预算编制表单'!$C:$BJ,42,FALSE)</f>
        <v>0</v>
      </c>
      <c r="AN502" s="123">
        <f>AM502-AO502</f>
        <v>-23758.9111332143</v>
      </c>
      <c r="AO502" s="123">
        <f>SUM(AO503:AO507)</f>
        <v>23758.9111332143</v>
      </c>
      <c r="AP502" s="123">
        <f>VLOOKUP($C502,'1 预算编制表单'!$C:$BJ,45,FALSE)</f>
        <v>0</v>
      </c>
      <c r="AQ502" s="123">
        <f>AP502-AR502</f>
        <v>-29015.5487506982</v>
      </c>
      <c r="AR502" s="123">
        <f>SUM(AR503:AR507)</f>
        <v>29015.5487506982</v>
      </c>
      <c r="AS502" s="123">
        <f>VLOOKUP($C502,'1 预算编制表单'!$C:$BJ,48,FALSE)</f>
        <v>0</v>
      </c>
      <c r="AT502" s="123">
        <f>AS502-AU502</f>
        <v>-29015.5487506982</v>
      </c>
      <c r="AU502" s="123">
        <f>SUM(AU503:AU507)</f>
        <v>29015.5487506982</v>
      </c>
      <c r="AV502" s="123">
        <f>VLOOKUP($C502,'1 预算编制表单'!$C:$BJ,51,FALSE)</f>
        <v>0</v>
      </c>
      <c r="AW502" s="123">
        <f>AV502-AX502</f>
        <v>-28079.5633071273</v>
      </c>
      <c r="AX502" s="123">
        <f>SUM(AX503:AX507)</f>
        <v>28079.5633071273</v>
      </c>
      <c r="AY502" s="123">
        <f>VLOOKUP($C502,'1 预算编制表单'!$C:$BJ,54,FALSE)</f>
        <v>0</v>
      </c>
      <c r="AZ502" s="123">
        <f>AY502-BA502</f>
        <v>-24550.8748376548</v>
      </c>
      <c r="BA502" s="123">
        <f>SUM(BA503:BA507)</f>
        <v>24550.8748376548</v>
      </c>
      <c r="BB502" s="123">
        <f>VLOOKUP($C502,'1 预算编制表单'!$C:$BJ,57,FALSE)</f>
        <v>0</v>
      </c>
      <c r="BC502" s="123">
        <f>BB502-BD502</f>
        <v>-23758.9111332143</v>
      </c>
      <c r="BD502" s="123">
        <f>SUM(BD503:BD507)</f>
        <v>23758.9111332143</v>
      </c>
      <c r="BE502" s="123">
        <f>VLOOKUP($C502,'1 预算编制表单'!$C:$BJ,60,FALSE)</f>
        <v>0</v>
      </c>
      <c r="BF502" s="123">
        <f>BE502-BG502</f>
        <v>-24550.8748376548</v>
      </c>
      <c r="BG502" s="123">
        <f>SUM(BG503:BG507)</f>
        <v>24550.8748376548</v>
      </c>
      <c r="BH502" s="123">
        <f>VLOOKUP($C502,'1 预算编制表单'!$C:$BJ,27,FALSE)</f>
        <v>0</v>
      </c>
      <c r="BI502" s="123">
        <f>BH502-BJ502</f>
        <v>-23896.7222952819</v>
      </c>
      <c r="BJ502" s="123">
        <f>SUM(BJ503:BJ507)</f>
        <v>23896.7222952819</v>
      </c>
      <c r="BK502" s="123">
        <f>VLOOKUP($C502,'1 预算编制表单'!$C:$BJ,30,FALSE)</f>
        <v>0</v>
      </c>
      <c r="BL502" s="123">
        <f>BK502-BM502</f>
        <v>-21584.1362667062</v>
      </c>
      <c r="BM502" s="123">
        <f>SUM(BM503:BM507)</f>
        <v>21584.1362667062</v>
      </c>
      <c r="BN502" s="123">
        <f>VLOOKUP($C502,'1 预算编制表单'!$C:$BJ,33,FALSE)</f>
        <v>0</v>
      </c>
      <c r="BO502" s="123">
        <f>BN502-BP502</f>
        <v>-23896.7222952819</v>
      </c>
      <c r="BP502" s="123">
        <f>SUM(BP503:BP507)</f>
        <v>23896.7222952819</v>
      </c>
      <c r="BQ502" s="123">
        <f>VLOOKUP($C502,'1 预算编制表单'!$C:$BJ,36,FALSE)</f>
        <v>0</v>
      </c>
      <c r="BR502" s="123">
        <f>BQ502-BS502</f>
        <v>-15013.7658904764</v>
      </c>
      <c r="BS502" s="123">
        <f>SUM(BS503:BS507)</f>
        <v>15013.7658904764</v>
      </c>
      <c r="BT502" s="123">
        <f>VLOOKUP($C502,'1 预算编制表单'!$C:$BJ,39,FALSE)</f>
        <v>0</v>
      </c>
      <c r="BU502" s="123">
        <f>BT502-BV502</f>
        <v>0</v>
      </c>
      <c r="BV502" s="123">
        <f>SUM(BV503:BV507)</f>
        <v>0</v>
      </c>
      <c r="BW502" s="123">
        <f>VLOOKUP($C502,'1 预算编制表单'!$C:$BJ,42,FALSE)</f>
        <v>0</v>
      </c>
      <c r="BX502" s="123">
        <f>BW502-BY502</f>
        <v>0</v>
      </c>
      <c r="BY502" s="123">
        <f>SUM(BY503:BY507)</f>
        <v>0</v>
      </c>
      <c r="BZ502" s="123">
        <f>VLOOKUP($C502,'1 预算编制表单'!$C:$BJ,45,FALSE)</f>
        <v>0</v>
      </c>
      <c r="CA502" s="123">
        <f>BZ502-CB502</f>
        <v>0</v>
      </c>
      <c r="CB502" s="123">
        <f>SUM(CB503:CB507)</f>
        <v>0</v>
      </c>
      <c r="CC502" s="123">
        <f>VLOOKUP($C502,'1 预算编制表单'!$C:$BJ,48,FALSE)</f>
        <v>0</v>
      </c>
      <c r="CD502" s="123">
        <f>CC502-CE502</f>
        <v>0</v>
      </c>
      <c r="CE502" s="123">
        <f>SUM(CE503:CE507)</f>
        <v>0</v>
      </c>
      <c r="CF502" s="123">
        <f>VLOOKUP($C502,'1 预算编制表单'!$C:$BJ,51,FALSE)</f>
        <v>0</v>
      </c>
      <c r="CG502" s="123">
        <f>CF502-CH502</f>
        <v>0</v>
      </c>
      <c r="CH502" s="123">
        <f>SUM(CH503:CH507)</f>
        <v>0</v>
      </c>
      <c r="CI502" s="123">
        <f>VLOOKUP($C502,'1 预算编制表单'!$C:$BJ,54,FALSE)</f>
        <v>0</v>
      </c>
      <c r="CJ502" s="123">
        <f>CI502-CK502</f>
        <v>0</v>
      </c>
      <c r="CK502" s="123">
        <f>SUM(CK503:CK507)</f>
        <v>0</v>
      </c>
      <c r="CL502" s="123">
        <f>VLOOKUP($C502,'1 预算编制表单'!$C:$BJ,57,FALSE)</f>
        <v>0</v>
      </c>
      <c r="CM502" s="123">
        <f>CL502-CN502</f>
        <v>0</v>
      </c>
      <c r="CN502" s="123">
        <f>SUM(CN503:CN507)</f>
        <v>0</v>
      </c>
      <c r="CO502" s="123">
        <f>VLOOKUP($C502,'1 预算编制表单'!$C:$BJ,60,FALSE)</f>
        <v>0</v>
      </c>
      <c r="CP502" s="123">
        <f>CO502-CQ502</f>
        <v>0</v>
      </c>
      <c r="CQ502" s="123">
        <f>SUM(CQ503:CQ507)</f>
        <v>0</v>
      </c>
    </row>
    <row r="503" s="89" customFormat="1" ht="24" hidden="1" customHeight="1" outlineLevel="3" spans="1:95">
      <c r="A503" s="128"/>
      <c r="B503" s="129"/>
      <c r="C503" s="130"/>
      <c r="D503" s="128"/>
      <c r="E503" s="129"/>
      <c r="F503" s="129"/>
      <c r="G503" s="129"/>
      <c r="H503" s="131"/>
      <c r="I503" s="131"/>
      <c r="J503" s="131">
        <f t="shared" si="5367"/>
        <v>13250</v>
      </c>
      <c r="K503" s="131">
        <v>1</v>
      </c>
      <c r="L503" s="156" t="s">
        <v>2873</v>
      </c>
      <c r="M503" s="157" t="str">
        <f>IFERROR(VLOOKUP($L503,'2-2 引出数据_合同数据仓库'!$B$5:$BP$200,3,FALSE),0)</f>
        <v>深圳非住二片区中海油大厦户外广告牌检测合同</v>
      </c>
      <c r="N503" s="131"/>
      <c r="O503" s="157">
        <f>IFERROR(VLOOKUP((LEFT(VLOOKUP($L503,'2-2 引出数据_合同数据仓库'!$B$5:$BP$200,64,FALSE),15)&amp;(RIGHT(VLOOKUP($L503,'2-2 引出数据_合同数据仓库'!$B$5:$BP$200,64,FALSE),4)+1)),'2-2 引出数据_合同数据仓库'!$B$5:$BP$200,3,FALSE),0)</f>
        <v>0</v>
      </c>
      <c r="P503" s="131"/>
      <c r="Q503" s="131" t="str">
        <f>IFERROR(VLOOKUP($L503,'2-2 引出数据_合同数据仓库'!$B$5:$BP$200,28,FALSE),0)</f>
        <v>2025-07-01</v>
      </c>
      <c r="R503" s="131" t="str">
        <f>IFERROR(VLOOKUP($L503,'2-2 引出数据_合同数据仓库'!$B$5:$BP$200,29,FALSE),0)</f>
        <v>2025-07-01</v>
      </c>
      <c r="S503" s="131" t="str">
        <f>IFERROR(VLOOKUP($L503,'2-2 引出数据_合同数据仓库'!$B$5:$BP$200,4,FALSE),0)</f>
        <v>2025-09-30</v>
      </c>
      <c r="T503" s="131"/>
      <c r="U503" s="131">
        <f>IFERROR(VLOOKUP($L503,'2-2 引出数据_合同数据仓库'!$B$5:$BP$200,15,FALSE),0)</f>
        <v>13250</v>
      </c>
      <c r="V503" s="131">
        <f t="shared" ref="V503:V506" si="5907">U503/(S503-R503+1)*365</f>
        <v>52567.9347826087</v>
      </c>
      <c r="W503" s="131"/>
      <c r="X503" s="163">
        <v>45658</v>
      </c>
      <c r="Y503" s="163">
        <f t="shared" ref="Y503:Y506" si="5908">X503+30</f>
        <v>45688</v>
      </c>
      <c r="Z503" s="167">
        <f t="shared" ref="Z503:Z506" si="5909">IFERROR(IF(($R503-Y503)&gt;=0,0,IF(($S503-X503)&lt;0,0,IF(AND(($S503-Y503)&gt;0,(X503-$R503)&gt;0),$V503/365*(Y503-X503+1),IF(AND(($S503-Y503)&lt;=0,(X503-$R503)&gt;0),$V503/365*($S503-X503+1),$V503/365*(Y503-$R503+1))))),0)</f>
        <v>0</v>
      </c>
      <c r="AA503" s="163">
        <f t="shared" ref="AA503:AA506" si="5910">Y503+1</f>
        <v>45689</v>
      </c>
      <c r="AB503" s="163">
        <f t="shared" ref="AB503:AB506" si="5911">AA503+27</f>
        <v>45716</v>
      </c>
      <c r="AC503" s="167">
        <f t="shared" ref="AC503:AC506" si="5912">IFERROR(IF(($R503-AB503)&gt;=0,0,IF(($S503-AA503)&lt;0,0,IF(AND(($S503-AB503)&gt;0,(AA503-$R503)&gt;0),$V503/365*(AB503-AA503+1),IF(AND(($S503-AB503)&lt;=0,(AA503-$R503)&gt;0),$V503/365*($S503-AA503+1),$V503/365*(AB503-$R503+1))))),0)</f>
        <v>0</v>
      </c>
      <c r="AD503" s="163">
        <f t="shared" ref="AD503:AD506" si="5913">AB503+1</f>
        <v>45717</v>
      </c>
      <c r="AE503" s="163">
        <f t="shared" ref="AE503:AE506" si="5914">AD503+30</f>
        <v>45747</v>
      </c>
      <c r="AF503" s="167">
        <f t="shared" ref="AF503:AF506" si="5915">IFERROR(IF(($R503-AE503)&gt;=0,0,IF(($S503-AD503)&lt;0,0,IF(AND(($S503-AE503)&gt;0,(AD503-$R503)&gt;0),$V503/365*(AE503-AD503+1),IF(AND(($S503-AE503)&lt;=0,(AD503-$R503)&gt;0),$V503/365*($S503-AD503+1),$V503/365*(AE503-$R503+1))))),0)</f>
        <v>0</v>
      </c>
      <c r="AG503" s="163">
        <f t="shared" ref="AG503:AG506" si="5916">AE503+1</f>
        <v>45748</v>
      </c>
      <c r="AH503" s="163">
        <f t="shared" ref="AH503:AH506" si="5917">AG503+29</f>
        <v>45777</v>
      </c>
      <c r="AI503" s="167">
        <f t="shared" ref="AI503:AI506" si="5918">IFERROR(IF(($R503-AH503)&gt;=0,0,IF(($S503-AG503)&lt;0,0,IF(AND(($S503-AH503)&gt;0,(AG503-$R503)&gt;0),$V503/365*(AH503-AG503+1),IF(AND(($S503-AH503)&lt;=0,(AG503-$R503)&gt;0),$V503/365*($S503-AG503+1),$V503/365*(AH503-$R503+1))))),0)</f>
        <v>0</v>
      </c>
      <c r="AJ503" s="163">
        <f t="shared" ref="AJ503:AJ506" si="5919">AH503+1</f>
        <v>45778</v>
      </c>
      <c r="AK503" s="163">
        <f t="shared" ref="AK503:AK506" si="5920">AJ503+30</f>
        <v>45808</v>
      </c>
      <c r="AL503" s="167">
        <f t="shared" ref="AL503:AL506" si="5921">IFERROR(IF(($R503-AK503)&gt;=0,0,IF(($S503-AJ503)&lt;0,0,IF(AND(($S503-AK503)&gt;0,(AJ503-$R503)&gt;0),$V503/365*(AK503-AJ503+1),IF(AND(($S503-AK503)&lt;=0,(AJ503-$R503)&gt;0),$V503/365*($S503-AJ503+1),$V503/365*(AK503-$R503+1))))),0)</f>
        <v>0</v>
      </c>
      <c r="AM503" s="163">
        <f t="shared" ref="AM503:AM506" si="5922">AK503+1</f>
        <v>45809</v>
      </c>
      <c r="AN503" s="163">
        <f t="shared" ref="AN503:AN506" si="5923">AM503+29</f>
        <v>45838</v>
      </c>
      <c r="AO503" s="167">
        <f t="shared" ref="AO503:AO506" si="5924">IFERROR(IF(($R503-AN503)&gt;=0,0,IF(($S503-AM503)&lt;0,0,IF(AND(($S503-AN503)&gt;0,(AM503-$R503)&gt;0),$V503/365*(AN503-AM503+1),IF(AND(($S503-AN503)&lt;=0,(AM503-$R503)&gt;0),$V503/365*($S503-AM503+1),$V503/365*(AN503-$R503+1))))),0)</f>
        <v>0</v>
      </c>
      <c r="AP503" s="163">
        <f t="shared" ref="AP503:AP506" si="5925">AN503+1</f>
        <v>45839</v>
      </c>
      <c r="AQ503" s="163">
        <f t="shared" ref="AQ503:AQ506" si="5926">AP503+30</f>
        <v>45869</v>
      </c>
      <c r="AR503" s="167">
        <f t="shared" ref="AR503:AR506" si="5927">IFERROR(IF(($R503-AQ503)&gt;=0,0,IF(($S503-AP503)&lt;0,0,IF(AND(($S503-AQ503)&gt;0,(AP503-$R503)&gt;0),$V503/365*(AQ503-AP503+1),IF(AND(($S503-AQ503)&lt;=0,(AP503-$R503)&gt;0),$V503/365*($S503-AP503+1),$V503/365*(AQ503-$R503+1))))),0)</f>
        <v>4464.67391304348</v>
      </c>
      <c r="AS503" s="163">
        <f t="shared" ref="AS503:AS506" si="5928">AQ503+1</f>
        <v>45870</v>
      </c>
      <c r="AT503" s="163">
        <f t="shared" ref="AT503:AT506" si="5929">AS503+30</f>
        <v>45900</v>
      </c>
      <c r="AU503" s="167">
        <f t="shared" ref="AU503:AU506" si="5930">IFERROR(IF(($R503-AT503)&gt;=0,0,IF(($S503-AS503)&lt;0,0,IF(AND(($S503-AT503)&gt;0,(AS503-$R503)&gt;0),$V503/365*(AT503-AS503+1),IF(AND(($S503-AT503)&lt;=0,(AS503-$R503)&gt;0),$V503/365*($S503-AS503+1),$V503/365*(AT503-$R503+1))))),0)</f>
        <v>4464.67391304348</v>
      </c>
      <c r="AV503" s="163">
        <f t="shared" ref="AV503:AV506" si="5931">AT503+1</f>
        <v>45901</v>
      </c>
      <c r="AW503" s="163">
        <f t="shared" ref="AW503:AW506" si="5932">AV503+29</f>
        <v>45930</v>
      </c>
      <c r="AX503" s="167">
        <f t="shared" ref="AX503:AX506" si="5933">IFERROR(IF(($R503-AW503)&gt;=0,0,IF(($S503-AV503)&lt;0,0,IF(AND(($S503-AW503)&gt;0,(AV503-$R503)&gt;0),$V503/365*(AW503-AV503+1),IF(AND(($S503-AW503)&lt;=0,(AV503-$R503)&gt;0),$V503/365*($S503-AV503+1),$V503/365*(AW503-$R503+1))))),0)</f>
        <v>4320.65217391304</v>
      </c>
      <c r="AY503" s="163">
        <f t="shared" ref="AY503:AY506" si="5934">AW503+1</f>
        <v>45931</v>
      </c>
      <c r="AZ503" s="163">
        <f t="shared" ref="AZ503:AZ506" si="5935">AY503+30</f>
        <v>45961</v>
      </c>
      <c r="BA503" s="167">
        <f t="shared" ref="BA503:BA506" si="5936">IFERROR(IF(($R503-AZ503)&gt;=0,0,IF(($S503-AY503)&lt;0,0,IF(AND(($S503-AZ503)&gt;0,(AY503-$R503)&gt;0),$V503/365*(AZ503-AY503+1),IF(AND(($S503-AZ503)&lt;=0,(AY503-$R503)&gt;0),$V503/365*($S503-AY503+1),$V503/365*(AZ503-$R503+1))))),0)</f>
        <v>0</v>
      </c>
      <c r="BB503" s="163">
        <f t="shared" ref="BB503:BB506" si="5937">AZ503+1</f>
        <v>45962</v>
      </c>
      <c r="BC503" s="163">
        <f t="shared" ref="BC503:BC506" si="5938">BB503+29</f>
        <v>45991</v>
      </c>
      <c r="BD503" s="167">
        <f t="shared" ref="BD503:BD506" si="5939">IFERROR(IF(($R503-BC503)&gt;=0,0,IF(($S503-BB503)&lt;0,0,IF(AND(($S503-BC503)&gt;0,(BB503-$R503)&gt;0),$V503/365*(BC503-BB503+1),IF(AND(($S503-BC503)&lt;=0,(BB503-$R503)&gt;0),$V503/365*($S503-BB503+1),$V503/365*(BC503-$R503+1))))),0)</f>
        <v>0</v>
      </c>
      <c r="BE503" s="163">
        <f t="shared" ref="BE503:BE506" si="5940">BC503+1</f>
        <v>45992</v>
      </c>
      <c r="BF503" s="163">
        <f t="shared" ref="BF503:BF506" si="5941">BE503+30</f>
        <v>46022</v>
      </c>
      <c r="BG503" s="167">
        <f t="shared" ref="BG503:BG506" si="5942">IFERROR(IF(($R503-BF503)&gt;=0,0,IF(($S503-BE503)&lt;0,0,IF(AND(($S503-BF503)&gt;0,(BE503-$R503)&gt;0),$V503/365*(BF503-BE503+1),IF(AND(($S503-BF503)&lt;=0,(BE503-$R503)&gt;0),$V503/365*($S503-BE503+1),$V503/365*(BF503-$R503+1))))),0)</f>
        <v>0</v>
      </c>
      <c r="BH503" s="163">
        <v>46023</v>
      </c>
      <c r="BI503" s="163">
        <f t="shared" ref="BI503:BI506" si="5943">BH503+30</f>
        <v>46053</v>
      </c>
      <c r="BJ503" s="167">
        <f t="shared" ref="BJ503:BJ506" si="5944">IFERROR(IF(($R503-BI503)&gt;=0,0,IF(($S503-BH503)&lt;0,0,IF(AND(($S503-BI503)&gt;0,(BH503-$R503)&gt;0),$V503/365*(BI503-BH503+1),IF(AND(($S503-BI503)&lt;=0,(BH503-$R503)&gt;0),$V503/365*($S503-BH503+1),$V503/365*(BI503-$R503+1))))),0)</f>
        <v>0</v>
      </c>
      <c r="BK503" s="163">
        <f t="shared" ref="BK503:BK506" si="5945">BI503+1</f>
        <v>46054</v>
      </c>
      <c r="BL503" s="163">
        <f t="shared" ref="BL503:BL506" si="5946">BK503+27</f>
        <v>46081</v>
      </c>
      <c r="BM503" s="167">
        <f t="shared" ref="BM503:BM506" si="5947">IFERROR(IF(($R503-BL503)&gt;=0,0,IF(($S503-BK503)&lt;0,0,IF(AND(($S503-BL503)&gt;0,(BK503-$R503)&gt;0),$V503/365*(BL503-BK503+1),IF(AND(($S503-BL503)&lt;=0,(BK503-$R503)&gt;0),$V503/365*($S503-BK503+1),$V503/365*(BL503-$R503+1))))),0)</f>
        <v>0</v>
      </c>
      <c r="BN503" s="163">
        <f t="shared" ref="BN503:BN506" si="5948">BL503+1</f>
        <v>46082</v>
      </c>
      <c r="BO503" s="163">
        <f t="shared" ref="BO503:BO506" si="5949">BN503+30</f>
        <v>46112</v>
      </c>
      <c r="BP503" s="167">
        <f t="shared" ref="BP503:BP506" si="5950">IFERROR(IF(($R503-BO503)&gt;=0,0,IF(($S503-BN503)&lt;0,0,IF(AND(($S503-BO503)&gt;0,(BN503-$R503)&gt;0),$V503/365*(BO503-BN503+1),IF(AND(($S503-BO503)&lt;=0,(BN503-$R503)&gt;0),$V503/365*($S503-BN503+1),$V503/365*(BO503-$R503+1))))),0)</f>
        <v>0</v>
      </c>
      <c r="BQ503" s="163">
        <f t="shared" ref="BQ503:BQ506" si="5951">BO503+1</f>
        <v>46113</v>
      </c>
      <c r="BR503" s="163">
        <f t="shared" ref="BR503:BR506" si="5952">BQ503+29</f>
        <v>46142</v>
      </c>
      <c r="BS503" s="167">
        <f t="shared" ref="BS503:BS506" si="5953">IFERROR(IF(($R503-BR503)&gt;=0,0,IF(($S503-BQ503)&lt;0,0,IF(AND(($S503-BR503)&gt;0,(BQ503-$R503)&gt;0),$V503/365*(BR503-BQ503+1),IF(AND(($S503-BR503)&lt;=0,(BQ503-$R503)&gt;0),$V503/365*($S503-BQ503+1),$V503/365*(BR503-$R503+1))))),0)</f>
        <v>0</v>
      </c>
      <c r="BT503" s="163">
        <f t="shared" ref="BT503:BT506" si="5954">BR503+1</f>
        <v>46143</v>
      </c>
      <c r="BU503" s="163">
        <f t="shared" ref="BU503:BU506" si="5955">BT503+30</f>
        <v>46173</v>
      </c>
      <c r="BV503" s="167">
        <f t="shared" ref="BV503:BV506" si="5956">IFERROR(IF(($R503-BU503)&gt;=0,0,IF(($S503-BT503)&lt;0,0,IF(AND(($S503-BU503)&gt;0,(BT503-$R503)&gt;0),$V503/365*(BU503-BT503+1),IF(AND(($S503-BU503)&lt;=0,(BT503-$R503)&gt;0),$V503/365*($S503-BT503+1),$V503/365*(BU503-$R503+1))))),0)</f>
        <v>0</v>
      </c>
      <c r="BW503" s="163">
        <f t="shared" ref="BW503:BW506" si="5957">BU503+1</f>
        <v>46174</v>
      </c>
      <c r="BX503" s="163">
        <f t="shared" ref="BX503:BX506" si="5958">BW503+29</f>
        <v>46203</v>
      </c>
      <c r="BY503" s="167">
        <f t="shared" ref="BY503:BY506" si="5959">IFERROR(IF(($R503-BX503)&gt;=0,0,IF(($S503-BW503)&lt;0,0,IF(AND(($S503-BX503)&gt;0,(BW503-$R503)&gt;0),$V503/365*(BX503-BW503+1),IF(AND(($S503-BX503)&lt;=0,(BW503-$R503)&gt;0),$V503/365*($S503-BW503+1),$V503/365*(BX503-$R503+1))))),0)</f>
        <v>0</v>
      </c>
      <c r="BZ503" s="163">
        <f t="shared" ref="BZ503:BZ506" si="5960">BX503+1</f>
        <v>46204</v>
      </c>
      <c r="CA503" s="163">
        <f t="shared" ref="CA503:CA506" si="5961">BZ503+30</f>
        <v>46234</v>
      </c>
      <c r="CB503" s="167">
        <f t="shared" ref="CB503:CB506" si="5962">IFERROR(IF(($R503-CA503)&gt;=0,0,IF(($S503-BZ503)&lt;0,0,IF(AND(($S503-CA503)&gt;0,(BZ503-$R503)&gt;0),$V503/365*(CA503-BZ503+1),IF(AND(($S503-CA503)&lt;=0,(BZ503-$R503)&gt;0),$V503/365*($S503-BZ503+1),$V503/365*(CA503-$R503+1))))),0)</f>
        <v>0</v>
      </c>
      <c r="CC503" s="163">
        <f t="shared" ref="CC503:CC506" si="5963">CA503+1</f>
        <v>46235</v>
      </c>
      <c r="CD503" s="163">
        <f t="shared" ref="CD503:CD506" si="5964">CC503+30</f>
        <v>46265</v>
      </c>
      <c r="CE503" s="167">
        <f t="shared" ref="CE503:CE506" si="5965">IFERROR(IF(($R503-CD503)&gt;=0,0,IF(($S503-CC503)&lt;0,0,IF(AND(($S503-CD503)&gt;0,(CC503-$R503)&gt;0),$V503/365*(CD503-CC503+1),IF(AND(($S503-CD503)&lt;=0,(CC503-$R503)&gt;0),$V503/365*($S503-CC503+1),$V503/365*(CD503-$R503+1))))),0)</f>
        <v>0</v>
      </c>
      <c r="CF503" s="163">
        <f t="shared" ref="CF503:CF506" si="5966">CD503+1</f>
        <v>46266</v>
      </c>
      <c r="CG503" s="163">
        <f t="shared" ref="CG503:CG506" si="5967">CF503+29</f>
        <v>46295</v>
      </c>
      <c r="CH503" s="167">
        <f t="shared" ref="CH503:CH506" si="5968">IFERROR(IF(($R503-CG503)&gt;=0,0,IF(($S503-CF503)&lt;0,0,IF(AND(($S503-CG503)&gt;0,(CF503-$R503)&gt;0),$V503/365*(CG503-CF503+1),IF(AND(($S503-CG503)&lt;=0,(CF503-$R503)&gt;0),$V503/365*($S503-CF503+1),$V503/365*(CG503-$R503+1))))),0)</f>
        <v>0</v>
      </c>
      <c r="CI503" s="163">
        <f t="shared" ref="CI503:CI506" si="5969">CG503+1</f>
        <v>46296</v>
      </c>
      <c r="CJ503" s="163">
        <f t="shared" ref="CJ503:CJ506" si="5970">CI503+30</f>
        <v>46326</v>
      </c>
      <c r="CK503" s="167">
        <f t="shared" ref="CK503:CK506" si="5971">IFERROR(IF(($R503-CJ503)&gt;=0,0,IF(($S503-CI503)&lt;0,0,IF(AND(($S503-CJ503)&gt;0,(CI503-$R503)&gt;0),$V503/365*(CJ503-CI503+1),IF(AND(($S503-CJ503)&lt;=0,(CI503-$R503)&gt;0),$V503/365*($S503-CI503+1),$V503/365*(CJ503-$R503+1))))),0)</f>
        <v>0</v>
      </c>
      <c r="CL503" s="163">
        <f t="shared" ref="CL503:CL506" si="5972">CJ503+1</f>
        <v>46327</v>
      </c>
      <c r="CM503" s="163">
        <f t="shared" ref="CM503:CM506" si="5973">CL503+29</f>
        <v>46356</v>
      </c>
      <c r="CN503" s="167">
        <f t="shared" ref="CN503:CN506" si="5974">IFERROR(IF(($R503-CM503)&gt;=0,0,IF(($S503-CL503)&lt;0,0,IF(AND(($S503-CM503)&gt;0,(CL503-$R503)&gt;0),$V503/365*(CM503-CL503+1),IF(AND(($S503-CM503)&lt;=0,(CL503-$R503)&gt;0),$V503/365*($S503-CL503+1),$V503/365*(CM503-$R503+1))))),0)</f>
        <v>0</v>
      </c>
      <c r="CO503" s="163">
        <f t="shared" ref="CO503:CO506" si="5975">CM503+1</f>
        <v>46357</v>
      </c>
      <c r="CP503" s="163">
        <f t="shared" ref="CP503:CP506" si="5976">CO503+30</f>
        <v>46387</v>
      </c>
      <c r="CQ503" s="167">
        <f t="shared" ref="CQ503:CQ506" si="5977">IFERROR(IF(($R503-CP503)&gt;=0,0,IF(($S503-CO503)&lt;0,0,IF(AND(($S503-CP503)&gt;0,(CO503-$R503)&gt;0),$V503/365*(CP503-CO503+1),IF(AND(($S503-CP503)&lt;=0,(CO503-$R503)&gt;0),$V503/365*($S503-CO503+1),$V503/365*(CP503-$R503+1))))),0)</f>
        <v>0</v>
      </c>
    </row>
    <row r="504" s="89" customFormat="1" ht="24" hidden="1" customHeight="1" outlineLevel="3" spans="1:95">
      <c r="A504" s="128"/>
      <c r="B504" s="129"/>
      <c r="C504" s="130"/>
      <c r="D504" s="128"/>
      <c r="E504" s="129"/>
      <c r="F504" s="129"/>
      <c r="G504" s="129"/>
      <c r="H504" s="131"/>
      <c r="I504" s="131"/>
      <c r="J504" s="131">
        <f t="shared" si="5367"/>
        <v>7948.93407821229</v>
      </c>
      <c r="K504" s="131">
        <f t="shared" ref="K504:K506" si="5978">K503+1</f>
        <v>2</v>
      </c>
      <c r="L504" s="156" t="s">
        <v>2874</v>
      </c>
      <c r="M504" s="157" t="str">
        <f>IFERROR(VLOOKUP($L504,'2-2 引出数据_合同数据仓库'!$B$5:$BP$200,3,FALSE),0)</f>
        <v/>
      </c>
      <c r="N504" s="131"/>
      <c r="O504" s="157">
        <f>IFERROR(VLOOKUP((LEFT(VLOOKUP($L504,'2-2 引出数据_合同数据仓库'!$B$5:$BP$200,64,FALSE),15)&amp;(RIGHT(VLOOKUP($L504,'2-2 引出数据_合同数据仓库'!$B$5:$BP$200,64,FALSE),4)+1)),'2-2 引出数据_合同数据仓库'!$B$5:$BP$200,3,FALSE),0)</f>
        <v>0</v>
      </c>
      <c r="P504" s="131"/>
      <c r="Q504" s="131">
        <f>IFERROR(VLOOKUP($L504,'2-2 引出数据_合同数据仓库'!$B$5:$BP$200,28,FALSE),0)</f>
        <v>0</v>
      </c>
      <c r="R504" s="131" t="str">
        <f>IFERROR(VLOOKUP($L504,'2-2 引出数据_合同数据仓库'!$B$5:$BP$200,29,FALSE),0)</f>
        <v>2025-05-08</v>
      </c>
      <c r="S504" s="131" t="str">
        <f>IFERROR(VLOOKUP($L504,'2-2 引出数据_合同数据仓库'!$B$5:$BP$200,4,FALSE),0)</f>
        <v>2026-04-30</v>
      </c>
      <c r="T504" s="131"/>
      <c r="U504" s="131">
        <f>IFERROR(VLOOKUP($L504,'2-2 引出数据_合同数据仓库'!$B$5:$BP$200,15,FALSE),0)</f>
        <v>11956.8</v>
      </c>
      <c r="V504" s="131">
        <f t="shared" si="5907"/>
        <v>12190.592178771</v>
      </c>
      <c r="W504" s="131"/>
      <c r="X504" s="163">
        <v>45658</v>
      </c>
      <c r="Y504" s="163">
        <f t="shared" si="5908"/>
        <v>45688</v>
      </c>
      <c r="Z504" s="167">
        <f t="shared" si="5909"/>
        <v>0</v>
      </c>
      <c r="AA504" s="163">
        <f t="shared" si="5910"/>
        <v>45689</v>
      </c>
      <c r="AB504" s="163">
        <f t="shared" si="5911"/>
        <v>45716</v>
      </c>
      <c r="AC504" s="167">
        <f t="shared" si="5912"/>
        <v>0</v>
      </c>
      <c r="AD504" s="163">
        <f t="shared" si="5913"/>
        <v>45717</v>
      </c>
      <c r="AE504" s="163">
        <f t="shared" si="5914"/>
        <v>45747</v>
      </c>
      <c r="AF504" s="167">
        <f t="shared" si="5915"/>
        <v>0</v>
      </c>
      <c r="AG504" s="163">
        <f t="shared" si="5916"/>
        <v>45748</v>
      </c>
      <c r="AH504" s="163">
        <f t="shared" si="5917"/>
        <v>45777</v>
      </c>
      <c r="AI504" s="167">
        <f t="shared" si="5918"/>
        <v>0</v>
      </c>
      <c r="AJ504" s="163">
        <f t="shared" si="5919"/>
        <v>45778</v>
      </c>
      <c r="AK504" s="163">
        <f t="shared" si="5920"/>
        <v>45808</v>
      </c>
      <c r="AL504" s="167">
        <f t="shared" si="5921"/>
        <v>801.573184357542</v>
      </c>
      <c r="AM504" s="163">
        <f t="shared" si="5922"/>
        <v>45809</v>
      </c>
      <c r="AN504" s="163">
        <f t="shared" si="5923"/>
        <v>45838</v>
      </c>
      <c r="AO504" s="167">
        <f t="shared" si="5924"/>
        <v>1001.96648044693</v>
      </c>
      <c r="AP504" s="163">
        <f t="shared" si="5925"/>
        <v>45839</v>
      </c>
      <c r="AQ504" s="163">
        <f t="shared" si="5926"/>
        <v>45869</v>
      </c>
      <c r="AR504" s="167">
        <f t="shared" si="5927"/>
        <v>1035.36536312849</v>
      </c>
      <c r="AS504" s="163">
        <f t="shared" si="5928"/>
        <v>45870</v>
      </c>
      <c r="AT504" s="163">
        <f t="shared" si="5929"/>
        <v>45900</v>
      </c>
      <c r="AU504" s="167">
        <f t="shared" si="5930"/>
        <v>1035.36536312849</v>
      </c>
      <c r="AV504" s="163">
        <f t="shared" si="5931"/>
        <v>45901</v>
      </c>
      <c r="AW504" s="163">
        <f t="shared" si="5932"/>
        <v>45930</v>
      </c>
      <c r="AX504" s="167">
        <f t="shared" si="5933"/>
        <v>1001.96648044693</v>
      </c>
      <c r="AY504" s="163">
        <f t="shared" si="5934"/>
        <v>45931</v>
      </c>
      <c r="AZ504" s="163">
        <f t="shared" si="5935"/>
        <v>45961</v>
      </c>
      <c r="BA504" s="167">
        <f t="shared" si="5936"/>
        <v>1035.36536312849</v>
      </c>
      <c r="BB504" s="163">
        <f t="shared" si="5937"/>
        <v>45962</v>
      </c>
      <c r="BC504" s="163">
        <f t="shared" si="5938"/>
        <v>45991</v>
      </c>
      <c r="BD504" s="167">
        <f t="shared" si="5939"/>
        <v>1001.96648044693</v>
      </c>
      <c r="BE504" s="163">
        <f t="shared" si="5940"/>
        <v>45992</v>
      </c>
      <c r="BF504" s="163">
        <f t="shared" si="5941"/>
        <v>46022</v>
      </c>
      <c r="BG504" s="167">
        <f t="shared" si="5942"/>
        <v>1035.36536312849</v>
      </c>
      <c r="BH504" s="163">
        <v>46023</v>
      </c>
      <c r="BI504" s="163">
        <f t="shared" si="5943"/>
        <v>46053</v>
      </c>
      <c r="BJ504" s="167">
        <f t="shared" si="5944"/>
        <v>1035.36536312849</v>
      </c>
      <c r="BK504" s="163">
        <f t="shared" si="5945"/>
        <v>46054</v>
      </c>
      <c r="BL504" s="163">
        <f t="shared" si="5946"/>
        <v>46081</v>
      </c>
      <c r="BM504" s="167">
        <f t="shared" si="5947"/>
        <v>935.168715083799</v>
      </c>
      <c r="BN504" s="163">
        <f t="shared" si="5948"/>
        <v>46082</v>
      </c>
      <c r="BO504" s="163">
        <f t="shared" si="5949"/>
        <v>46112</v>
      </c>
      <c r="BP504" s="167">
        <f t="shared" si="5950"/>
        <v>1035.36536312849</v>
      </c>
      <c r="BQ504" s="163">
        <f t="shared" si="5951"/>
        <v>46113</v>
      </c>
      <c r="BR504" s="163">
        <f t="shared" si="5952"/>
        <v>46142</v>
      </c>
      <c r="BS504" s="167">
        <f t="shared" si="5953"/>
        <v>1001.96648044693</v>
      </c>
      <c r="BT504" s="163">
        <f t="shared" si="5954"/>
        <v>46143</v>
      </c>
      <c r="BU504" s="163">
        <f t="shared" si="5955"/>
        <v>46173</v>
      </c>
      <c r="BV504" s="167">
        <f t="shared" si="5956"/>
        <v>0</v>
      </c>
      <c r="BW504" s="163">
        <f t="shared" si="5957"/>
        <v>46174</v>
      </c>
      <c r="BX504" s="163">
        <f t="shared" si="5958"/>
        <v>46203</v>
      </c>
      <c r="BY504" s="167">
        <f t="shared" si="5959"/>
        <v>0</v>
      </c>
      <c r="BZ504" s="163">
        <f t="shared" si="5960"/>
        <v>46204</v>
      </c>
      <c r="CA504" s="163">
        <f t="shared" si="5961"/>
        <v>46234</v>
      </c>
      <c r="CB504" s="167">
        <f t="shared" si="5962"/>
        <v>0</v>
      </c>
      <c r="CC504" s="163">
        <f t="shared" si="5963"/>
        <v>46235</v>
      </c>
      <c r="CD504" s="163">
        <f t="shared" si="5964"/>
        <v>46265</v>
      </c>
      <c r="CE504" s="167">
        <f t="shared" si="5965"/>
        <v>0</v>
      </c>
      <c r="CF504" s="163">
        <f t="shared" si="5966"/>
        <v>46266</v>
      </c>
      <c r="CG504" s="163">
        <f t="shared" si="5967"/>
        <v>46295</v>
      </c>
      <c r="CH504" s="167">
        <f t="shared" si="5968"/>
        <v>0</v>
      </c>
      <c r="CI504" s="163">
        <f t="shared" si="5969"/>
        <v>46296</v>
      </c>
      <c r="CJ504" s="163">
        <f t="shared" si="5970"/>
        <v>46326</v>
      </c>
      <c r="CK504" s="167">
        <f t="shared" si="5971"/>
        <v>0</v>
      </c>
      <c r="CL504" s="163">
        <f t="shared" si="5972"/>
        <v>46327</v>
      </c>
      <c r="CM504" s="163">
        <f t="shared" si="5973"/>
        <v>46356</v>
      </c>
      <c r="CN504" s="167">
        <f t="shared" si="5974"/>
        <v>0</v>
      </c>
      <c r="CO504" s="163">
        <f t="shared" si="5975"/>
        <v>46357</v>
      </c>
      <c r="CP504" s="163">
        <f t="shared" si="5976"/>
        <v>46387</v>
      </c>
      <c r="CQ504" s="167">
        <f t="shared" si="5977"/>
        <v>0</v>
      </c>
    </row>
    <row r="505" s="89" customFormat="1" ht="24" hidden="1" customHeight="1" outlineLevel="3" spans="1:95">
      <c r="A505" s="128"/>
      <c r="B505" s="129"/>
      <c r="C505" s="130"/>
      <c r="D505" s="128"/>
      <c r="E505" s="129"/>
      <c r="F505" s="129"/>
      <c r="G505" s="129"/>
      <c r="H505" s="131"/>
      <c r="I505" s="131"/>
      <c r="J505" s="131">
        <f t="shared" si="5367"/>
        <v>4980</v>
      </c>
      <c r="K505" s="131">
        <f t="shared" si="5978"/>
        <v>3</v>
      </c>
      <c r="L505" s="156" t="s">
        <v>2875</v>
      </c>
      <c r="M505" s="157" t="str">
        <f>IFERROR(VLOOKUP($L505,'2-2 引出数据_合同数据仓库'!$B$5:$BP$200,3,FALSE),0)</f>
        <v>深圳非住二片区中海油大厦智能照明系统维护合同</v>
      </c>
      <c r="N505" s="131"/>
      <c r="O505" s="157">
        <f>IFERROR(VLOOKUP((LEFT(VLOOKUP($L505,'2-2 引出数据_合同数据仓库'!$B$5:$BP$200,64,FALSE),15)&amp;(RIGHT(VLOOKUP($L505,'2-2 引出数据_合同数据仓库'!$B$5:$BP$200,64,FALSE),4)+1)),'2-2 引出数据_合同数据仓库'!$B$5:$BP$200,3,FALSE),0)</f>
        <v>0</v>
      </c>
      <c r="P505" s="131"/>
      <c r="Q505" s="131" t="str">
        <f>IFERROR(VLOOKUP($L505,'2-2 引出数据_合同数据仓库'!$B$5:$BP$200,28,FALSE),0)</f>
        <v>2025-05-10</v>
      </c>
      <c r="R505" s="131" t="str">
        <f>IFERROR(VLOOKUP($L505,'2-2 引出数据_合同数据仓库'!$B$5:$BP$200,29,FALSE),0)</f>
        <v>2025-05-10</v>
      </c>
      <c r="S505" s="131" t="str">
        <f>IFERROR(VLOOKUP($L505,'2-2 引出数据_合同数据仓库'!$B$5:$BP$200,4,FALSE),0)</f>
        <v>2025-12-31</v>
      </c>
      <c r="T505" s="131"/>
      <c r="U505" s="131">
        <f>IFERROR(VLOOKUP($L505,'2-2 引出数据_合同数据仓库'!$B$5:$BP$200,15,FALSE),0)</f>
        <v>4980</v>
      </c>
      <c r="V505" s="131">
        <f t="shared" si="5907"/>
        <v>7702.1186440678</v>
      </c>
      <c r="W505" s="131"/>
      <c r="X505" s="163">
        <v>45658</v>
      </c>
      <c r="Y505" s="163">
        <f t="shared" si="5908"/>
        <v>45688</v>
      </c>
      <c r="Z505" s="167">
        <f t="shared" si="5909"/>
        <v>0</v>
      </c>
      <c r="AA505" s="163">
        <f t="shared" si="5910"/>
        <v>45689</v>
      </c>
      <c r="AB505" s="163">
        <f t="shared" si="5911"/>
        <v>45716</v>
      </c>
      <c r="AC505" s="167">
        <f t="shared" si="5912"/>
        <v>0</v>
      </c>
      <c r="AD505" s="163">
        <f t="shared" si="5913"/>
        <v>45717</v>
      </c>
      <c r="AE505" s="163">
        <f t="shared" si="5914"/>
        <v>45747</v>
      </c>
      <c r="AF505" s="167">
        <f t="shared" si="5915"/>
        <v>0</v>
      </c>
      <c r="AG505" s="163">
        <f t="shared" si="5916"/>
        <v>45748</v>
      </c>
      <c r="AH505" s="163">
        <f t="shared" si="5917"/>
        <v>45777</v>
      </c>
      <c r="AI505" s="167">
        <f t="shared" si="5918"/>
        <v>0</v>
      </c>
      <c r="AJ505" s="163">
        <f t="shared" si="5919"/>
        <v>45778</v>
      </c>
      <c r="AK505" s="163">
        <f t="shared" si="5920"/>
        <v>45808</v>
      </c>
      <c r="AL505" s="167">
        <f t="shared" si="5921"/>
        <v>464.237288135593</v>
      </c>
      <c r="AM505" s="163">
        <f t="shared" si="5922"/>
        <v>45809</v>
      </c>
      <c r="AN505" s="163">
        <f t="shared" si="5923"/>
        <v>45838</v>
      </c>
      <c r="AO505" s="167">
        <f t="shared" si="5924"/>
        <v>633.050847457627</v>
      </c>
      <c r="AP505" s="163">
        <f t="shared" si="5925"/>
        <v>45839</v>
      </c>
      <c r="AQ505" s="163">
        <f t="shared" si="5926"/>
        <v>45869</v>
      </c>
      <c r="AR505" s="167">
        <f t="shared" si="5927"/>
        <v>654.152542372881</v>
      </c>
      <c r="AS505" s="163">
        <f t="shared" si="5928"/>
        <v>45870</v>
      </c>
      <c r="AT505" s="163">
        <f t="shared" si="5929"/>
        <v>45900</v>
      </c>
      <c r="AU505" s="167">
        <f t="shared" si="5930"/>
        <v>654.152542372881</v>
      </c>
      <c r="AV505" s="163">
        <f t="shared" si="5931"/>
        <v>45901</v>
      </c>
      <c r="AW505" s="163">
        <f t="shared" si="5932"/>
        <v>45930</v>
      </c>
      <c r="AX505" s="167">
        <f t="shared" si="5933"/>
        <v>633.050847457627</v>
      </c>
      <c r="AY505" s="163">
        <f t="shared" si="5934"/>
        <v>45931</v>
      </c>
      <c r="AZ505" s="163">
        <f t="shared" si="5935"/>
        <v>45961</v>
      </c>
      <c r="BA505" s="167">
        <f t="shared" si="5936"/>
        <v>654.152542372881</v>
      </c>
      <c r="BB505" s="163">
        <f t="shared" si="5937"/>
        <v>45962</v>
      </c>
      <c r="BC505" s="163">
        <f t="shared" si="5938"/>
        <v>45991</v>
      </c>
      <c r="BD505" s="167">
        <f t="shared" si="5939"/>
        <v>633.050847457627</v>
      </c>
      <c r="BE505" s="163">
        <f t="shared" si="5940"/>
        <v>45992</v>
      </c>
      <c r="BF505" s="163">
        <f t="shared" si="5941"/>
        <v>46022</v>
      </c>
      <c r="BG505" s="167">
        <f t="shared" si="5942"/>
        <v>654.152542372881</v>
      </c>
      <c r="BH505" s="163">
        <v>46023</v>
      </c>
      <c r="BI505" s="163">
        <f t="shared" si="5943"/>
        <v>46053</v>
      </c>
      <c r="BJ505" s="167">
        <f t="shared" si="5944"/>
        <v>0</v>
      </c>
      <c r="BK505" s="163">
        <f t="shared" si="5945"/>
        <v>46054</v>
      </c>
      <c r="BL505" s="163">
        <f t="shared" si="5946"/>
        <v>46081</v>
      </c>
      <c r="BM505" s="167">
        <f t="shared" si="5947"/>
        <v>0</v>
      </c>
      <c r="BN505" s="163">
        <f t="shared" si="5948"/>
        <v>46082</v>
      </c>
      <c r="BO505" s="163">
        <f t="shared" si="5949"/>
        <v>46112</v>
      </c>
      <c r="BP505" s="167">
        <f t="shared" si="5950"/>
        <v>0</v>
      </c>
      <c r="BQ505" s="163">
        <f t="shared" si="5951"/>
        <v>46113</v>
      </c>
      <c r="BR505" s="163">
        <f t="shared" si="5952"/>
        <v>46142</v>
      </c>
      <c r="BS505" s="167">
        <f t="shared" si="5953"/>
        <v>0</v>
      </c>
      <c r="BT505" s="163">
        <f t="shared" si="5954"/>
        <v>46143</v>
      </c>
      <c r="BU505" s="163">
        <f t="shared" si="5955"/>
        <v>46173</v>
      </c>
      <c r="BV505" s="167">
        <f t="shared" si="5956"/>
        <v>0</v>
      </c>
      <c r="BW505" s="163">
        <f t="shared" si="5957"/>
        <v>46174</v>
      </c>
      <c r="BX505" s="163">
        <f t="shared" si="5958"/>
        <v>46203</v>
      </c>
      <c r="BY505" s="167">
        <f t="shared" si="5959"/>
        <v>0</v>
      </c>
      <c r="BZ505" s="163">
        <f t="shared" si="5960"/>
        <v>46204</v>
      </c>
      <c r="CA505" s="163">
        <f t="shared" si="5961"/>
        <v>46234</v>
      </c>
      <c r="CB505" s="167">
        <f t="shared" si="5962"/>
        <v>0</v>
      </c>
      <c r="CC505" s="163">
        <f t="shared" si="5963"/>
        <v>46235</v>
      </c>
      <c r="CD505" s="163">
        <f t="shared" si="5964"/>
        <v>46265</v>
      </c>
      <c r="CE505" s="167">
        <f t="shared" si="5965"/>
        <v>0</v>
      </c>
      <c r="CF505" s="163">
        <f t="shared" si="5966"/>
        <v>46266</v>
      </c>
      <c r="CG505" s="163">
        <f t="shared" si="5967"/>
        <v>46295</v>
      </c>
      <c r="CH505" s="167">
        <f t="shared" si="5968"/>
        <v>0</v>
      </c>
      <c r="CI505" s="163">
        <f t="shared" si="5969"/>
        <v>46296</v>
      </c>
      <c r="CJ505" s="163">
        <f t="shared" si="5970"/>
        <v>46326</v>
      </c>
      <c r="CK505" s="167">
        <f t="shared" si="5971"/>
        <v>0</v>
      </c>
      <c r="CL505" s="163">
        <f t="shared" si="5972"/>
        <v>46327</v>
      </c>
      <c r="CM505" s="163">
        <f t="shared" si="5973"/>
        <v>46356</v>
      </c>
      <c r="CN505" s="167">
        <f t="shared" si="5974"/>
        <v>0</v>
      </c>
      <c r="CO505" s="163">
        <f t="shared" si="5975"/>
        <v>46357</v>
      </c>
      <c r="CP505" s="163">
        <f t="shared" si="5976"/>
        <v>46387</v>
      </c>
      <c r="CQ505" s="167">
        <f t="shared" si="5977"/>
        <v>0</v>
      </c>
    </row>
    <row r="506" s="89" customFormat="1" ht="24" hidden="1" customHeight="1" outlineLevel="3" collapsed="1" spans="1:95">
      <c r="A506" s="128"/>
      <c r="B506" s="129"/>
      <c r="C506" s="130"/>
      <c r="D506" s="128"/>
      <c r="E506" s="129"/>
      <c r="F506" s="129"/>
      <c r="G506" s="129"/>
      <c r="H506" s="131"/>
      <c r="I506" s="131"/>
      <c r="J506" s="131">
        <f t="shared" si="5367"/>
        <v>169616.519174041</v>
      </c>
      <c r="K506" s="131">
        <f t="shared" si="5978"/>
        <v>4</v>
      </c>
      <c r="L506" s="156" t="s">
        <v>2876</v>
      </c>
      <c r="M506" s="157" t="str">
        <f>IFERROR(VLOOKUP($L506,'2-2 引出数据_合同数据仓库'!$B$5:$BP$200,3,FALSE),0)</f>
        <v>深圳非住二片区中海油大厦室内精装设计服务合同（西勘院）</v>
      </c>
      <c r="N506" s="131"/>
      <c r="O506" s="157">
        <f>IFERROR(VLOOKUP((LEFT(VLOOKUP($L506,'2-2 引出数据_合同数据仓库'!$B$5:$BP$200,64,FALSE),15)&amp;(RIGHT(VLOOKUP($L506,'2-2 引出数据_合同数据仓库'!$B$5:$BP$200,64,FALSE),4)+1)),'2-2 引出数据_合同数据仓库'!$B$5:$BP$200,3,FALSE),0)</f>
        <v>0</v>
      </c>
      <c r="P506" s="131"/>
      <c r="Q506" s="131" t="str">
        <f>IFERROR(VLOOKUP($L506,'2-2 引出数据_合同数据仓库'!$B$5:$BP$200,28,FALSE),0)</f>
        <v>2025-05-16</v>
      </c>
      <c r="R506" s="131" t="str">
        <f>IFERROR(VLOOKUP($L506,'2-2 引出数据_合同数据仓库'!$B$5:$BP$200,29,FALSE),0)</f>
        <v>2025-05-16</v>
      </c>
      <c r="S506" s="131" t="str">
        <f>IFERROR(VLOOKUP($L506,'2-2 引出数据_合同数据仓库'!$B$5:$BP$200,4,FALSE),0)</f>
        <v>2026-04-19</v>
      </c>
      <c r="T506" s="131"/>
      <c r="U506" s="131">
        <f>IFERROR(VLOOKUP($L506,'2-2 引出数据_合同数据仓库'!$B$5:$BP$200,15,FALSE),0)</f>
        <v>250000</v>
      </c>
      <c r="V506" s="131">
        <f t="shared" si="5907"/>
        <v>269174.041297935</v>
      </c>
      <c r="W506" s="131"/>
      <c r="X506" s="163">
        <v>45658</v>
      </c>
      <c r="Y506" s="163">
        <f t="shared" si="5908"/>
        <v>45688</v>
      </c>
      <c r="Z506" s="167">
        <f t="shared" si="5909"/>
        <v>0</v>
      </c>
      <c r="AA506" s="163">
        <f t="shared" si="5910"/>
        <v>45689</v>
      </c>
      <c r="AB506" s="163">
        <f t="shared" si="5911"/>
        <v>45716</v>
      </c>
      <c r="AC506" s="167">
        <f t="shared" si="5912"/>
        <v>0</v>
      </c>
      <c r="AD506" s="163">
        <f t="shared" si="5913"/>
        <v>45717</v>
      </c>
      <c r="AE506" s="163">
        <f t="shared" si="5914"/>
        <v>45747</v>
      </c>
      <c r="AF506" s="167">
        <f t="shared" si="5915"/>
        <v>0</v>
      </c>
      <c r="AG506" s="163">
        <f t="shared" si="5916"/>
        <v>45748</v>
      </c>
      <c r="AH506" s="163">
        <f t="shared" si="5917"/>
        <v>45777</v>
      </c>
      <c r="AI506" s="167">
        <f t="shared" si="5918"/>
        <v>0</v>
      </c>
      <c r="AJ506" s="163">
        <f t="shared" si="5919"/>
        <v>45778</v>
      </c>
      <c r="AK506" s="163">
        <f t="shared" si="5920"/>
        <v>45808</v>
      </c>
      <c r="AL506" s="167">
        <f t="shared" si="5921"/>
        <v>11799.4100294985</v>
      </c>
      <c r="AM506" s="163">
        <f t="shared" si="5922"/>
        <v>45809</v>
      </c>
      <c r="AN506" s="163">
        <f t="shared" si="5923"/>
        <v>45838</v>
      </c>
      <c r="AO506" s="167">
        <f t="shared" si="5924"/>
        <v>22123.8938053097</v>
      </c>
      <c r="AP506" s="163">
        <f t="shared" si="5925"/>
        <v>45839</v>
      </c>
      <c r="AQ506" s="163">
        <f t="shared" si="5926"/>
        <v>45869</v>
      </c>
      <c r="AR506" s="167">
        <f t="shared" si="5927"/>
        <v>22861.3569321534</v>
      </c>
      <c r="AS506" s="163">
        <f t="shared" si="5928"/>
        <v>45870</v>
      </c>
      <c r="AT506" s="163">
        <f t="shared" si="5929"/>
        <v>45900</v>
      </c>
      <c r="AU506" s="167">
        <f t="shared" si="5930"/>
        <v>22861.3569321534</v>
      </c>
      <c r="AV506" s="163">
        <f t="shared" si="5931"/>
        <v>45901</v>
      </c>
      <c r="AW506" s="163">
        <f t="shared" si="5932"/>
        <v>45930</v>
      </c>
      <c r="AX506" s="167">
        <f t="shared" si="5933"/>
        <v>22123.8938053097</v>
      </c>
      <c r="AY506" s="163">
        <f t="shared" si="5934"/>
        <v>45931</v>
      </c>
      <c r="AZ506" s="163">
        <f t="shared" si="5935"/>
        <v>45961</v>
      </c>
      <c r="BA506" s="167">
        <f t="shared" si="5936"/>
        <v>22861.3569321534</v>
      </c>
      <c r="BB506" s="163">
        <f t="shared" si="5937"/>
        <v>45962</v>
      </c>
      <c r="BC506" s="163">
        <f t="shared" si="5938"/>
        <v>45991</v>
      </c>
      <c r="BD506" s="167">
        <f t="shared" si="5939"/>
        <v>22123.8938053097</v>
      </c>
      <c r="BE506" s="163">
        <f t="shared" si="5940"/>
        <v>45992</v>
      </c>
      <c r="BF506" s="163">
        <f t="shared" si="5941"/>
        <v>46022</v>
      </c>
      <c r="BG506" s="167">
        <f t="shared" si="5942"/>
        <v>22861.3569321534</v>
      </c>
      <c r="BH506" s="163">
        <v>46023</v>
      </c>
      <c r="BI506" s="163">
        <f t="shared" si="5943"/>
        <v>46053</v>
      </c>
      <c r="BJ506" s="167">
        <f t="shared" si="5944"/>
        <v>22861.3569321534</v>
      </c>
      <c r="BK506" s="163">
        <f t="shared" si="5945"/>
        <v>46054</v>
      </c>
      <c r="BL506" s="163">
        <f t="shared" si="5946"/>
        <v>46081</v>
      </c>
      <c r="BM506" s="167">
        <f t="shared" si="5947"/>
        <v>20648.9675516224</v>
      </c>
      <c r="BN506" s="163">
        <f t="shared" si="5948"/>
        <v>46082</v>
      </c>
      <c r="BO506" s="163">
        <f t="shared" si="5949"/>
        <v>46112</v>
      </c>
      <c r="BP506" s="167">
        <f t="shared" si="5950"/>
        <v>22861.3569321534</v>
      </c>
      <c r="BQ506" s="163">
        <f t="shared" si="5951"/>
        <v>46113</v>
      </c>
      <c r="BR506" s="163">
        <f t="shared" si="5952"/>
        <v>46142</v>
      </c>
      <c r="BS506" s="167">
        <f t="shared" si="5953"/>
        <v>14011.7994100295</v>
      </c>
      <c r="BT506" s="163">
        <f t="shared" si="5954"/>
        <v>46143</v>
      </c>
      <c r="BU506" s="163">
        <f t="shared" si="5955"/>
        <v>46173</v>
      </c>
      <c r="BV506" s="167">
        <f t="shared" si="5956"/>
        <v>0</v>
      </c>
      <c r="BW506" s="163">
        <f t="shared" si="5957"/>
        <v>46174</v>
      </c>
      <c r="BX506" s="163">
        <f t="shared" si="5958"/>
        <v>46203</v>
      </c>
      <c r="BY506" s="167">
        <f t="shared" si="5959"/>
        <v>0</v>
      </c>
      <c r="BZ506" s="163">
        <f t="shared" si="5960"/>
        <v>46204</v>
      </c>
      <c r="CA506" s="163">
        <f t="shared" si="5961"/>
        <v>46234</v>
      </c>
      <c r="CB506" s="167">
        <f t="shared" si="5962"/>
        <v>0</v>
      </c>
      <c r="CC506" s="163">
        <f t="shared" si="5963"/>
        <v>46235</v>
      </c>
      <c r="CD506" s="163">
        <f t="shared" si="5964"/>
        <v>46265</v>
      </c>
      <c r="CE506" s="167">
        <f t="shared" si="5965"/>
        <v>0</v>
      </c>
      <c r="CF506" s="163">
        <f t="shared" si="5966"/>
        <v>46266</v>
      </c>
      <c r="CG506" s="163">
        <f t="shared" si="5967"/>
        <v>46295</v>
      </c>
      <c r="CH506" s="167">
        <f t="shared" si="5968"/>
        <v>0</v>
      </c>
      <c r="CI506" s="163">
        <f t="shared" si="5969"/>
        <v>46296</v>
      </c>
      <c r="CJ506" s="163">
        <f t="shared" si="5970"/>
        <v>46326</v>
      </c>
      <c r="CK506" s="167">
        <f t="shared" si="5971"/>
        <v>0</v>
      </c>
      <c r="CL506" s="163">
        <f t="shared" si="5972"/>
        <v>46327</v>
      </c>
      <c r="CM506" s="163">
        <f t="shared" si="5973"/>
        <v>46356</v>
      </c>
      <c r="CN506" s="167">
        <f t="shared" si="5974"/>
        <v>0</v>
      </c>
      <c r="CO506" s="163">
        <f t="shared" si="5975"/>
        <v>46357</v>
      </c>
      <c r="CP506" s="163">
        <f t="shared" si="5976"/>
        <v>46387</v>
      </c>
      <c r="CQ506" s="167">
        <f t="shared" si="5977"/>
        <v>0</v>
      </c>
    </row>
    <row r="507" s="89" customFormat="1" ht="24" hidden="1" customHeight="1" outlineLevel="4" spans="1:95">
      <c r="A507" s="132" t="s">
        <v>2813</v>
      </c>
      <c r="B507" s="133"/>
      <c r="C507" s="133"/>
      <c r="D507" s="133"/>
      <c r="E507" s="133"/>
      <c r="F507" s="133"/>
      <c r="G507" s="134"/>
      <c r="H507" s="135"/>
      <c r="I507" s="135"/>
      <c r="J507" s="135"/>
      <c r="K507" s="135"/>
      <c r="L507" s="158"/>
      <c r="M507" s="158"/>
      <c r="N507" s="135"/>
      <c r="O507" s="158"/>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c r="CL507" s="135"/>
      <c r="CM507" s="135"/>
      <c r="CN507" s="135"/>
      <c r="CO507" s="135"/>
      <c r="CP507" s="135"/>
      <c r="CQ507" s="135"/>
    </row>
    <row r="508" ht="24" customHeight="1" spans="1:95">
      <c r="A508" s="114"/>
      <c r="B508" s="115" t="s">
        <v>787</v>
      </c>
      <c r="C508" s="116">
        <v>1.2</v>
      </c>
      <c r="D508" s="114" t="s">
        <v>9</v>
      </c>
      <c r="E508" s="115"/>
      <c r="F508" s="115"/>
      <c r="G508" s="115"/>
      <c r="H508" s="173">
        <f t="shared" ref="H508:H537" si="5979">X508+AA508+AD508+AG508+AJ508+AM508+AP508+AS508+AV508+AY508+BB508+BE508</f>
        <v>1737236.86</v>
      </c>
      <c r="I508" s="173">
        <f t="shared" ref="I508:I537" si="5980">Y508+AB508+AE508+AH508+AK508+AN508+AQ508+AT508+AW508+AZ508+BC508+BF508</f>
        <v>1435943.72</v>
      </c>
      <c r="J508" s="173">
        <f t="shared" si="5367"/>
        <v>301293.14</v>
      </c>
      <c r="K508" s="173"/>
      <c r="L508" s="174"/>
      <c r="M508" s="174"/>
      <c r="N508" s="173"/>
      <c r="O508" s="174"/>
      <c r="P508" s="173"/>
      <c r="Q508" s="173"/>
      <c r="R508" s="173"/>
      <c r="S508" s="173"/>
      <c r="T508" s="173"/>
      <c r="U508" s="173"/>
      <c r="V508" s="173"/>
      <c r="W508" s="173"/>
      <c r="X508" s="173">
        <f>VLOOKUP($C508,'1 预算编制表单'!$C:$BJ,27,FALSE)</f>
        <v>1737236.86</v>
      </c>
      <c r="Y508" s="173">
        <f>Y509+Y516+Y520+Y524+Y527+Y531</f>
        <v>1573109.06</v>
      </c>
      <c r="Z508" s="173">
        <f>Z509+Z516+Z520+Z524+Z527+Z531</f>
        <v>164127.8</v>
      </c>
      <c r="AA508" s="173">
        <f>VLOOKUP($C508,'1 预算编制表单'!$C:$BJ,30,FALSE)</f>
        <v>0</v>
      </c>
      <c r="AB508" s="173">
        <f>AB509+AB516+AB520+AB524+AB527+AB531</f>
        <v>-14880.63</v>
      </c>
      <c r="AC508" s="173">
        <f>AC509+AC516+AC520+AC524+AC527+AC531</f>
        <v>14880.63</v>
      </c>
      <c r="AD508" s="173">
        <f>VLOOKUP($C508,'1 预算编制表单'!$C:$BJ,33,FALSE)</f>
        <v>0</v>
      </c>
      <c r="AE508" s="173">
        <f>AE509+AE516+AE520+AE524+AE527+AE531</f>
        <v>-71505.79</v>
      </c>
      <c r="AF508" s="173">
        <f>AF509+AF516+AF520+AF524+AF527+AF531</f>
        <v>71505.79</v>
      </c>
      <c r="AG508" s="173">
        <f>VLOOKUP($C508,'1 预算编制表单'!$C:$BJ,36,FALSE)</f>
        <v>0</v>
      </c>
      <c r="AH508" s="173">
        <f>AH509+AH516+AH520+AH524+AH527+AH531</f>
        <v>-20984.8</v>
      </c>
      <c r="AI508" s="173">
        <f>AI509+AI516+AI520+AI524+AI527+AI531</f>
        <v>20984.8</v>
      </c>
      <c r="AJ508" s="173">
        <f>VLOOKUP($C508,'1 预算编制表单'!$C:$BJ,39,FALSE)</f>
        <v>0</v>
      </c>
      <c r="AK508" s="173">
        <f>AK509+AK516+AK520+AK524+AK527+AK531</f>
        <v>-10101.99</v>
      </c>
      <c r="AL508" s="173">
        <f>AL509+AL516+AL520+AL524+AL527+AL531</f>
        <v>10101.99</v>
      </c>
      <c r="AM508" s="173">
        <f>VLOOKUP($C508,'1 预算编制表单'!$C:$BJ,42,FALSE)</f>
        <v>0</v>
      </c>
      <c r="AN508" s="173">
        <f>AN509+AN516+AN520+AN524+AN527+AN531</f>
        <v>-19692.13</v>
      </c>
      <c r="AO508" s="173">
        <f>AO509+AO516+AO520+AO524+AO527+AO531</f>
        <v>19692.13</v>
      </c>
      <c r="AP508" s="173">
        <f>VLOOKUP($C508,'1 预算编制表单'!$C:$BJ,45,FALSE)</f>
        <v>0</v>
      </c>
      <c r="AQ508" s="173">
        <f>AQ509+AQ516+AQ520+AQ524+AQ527+AQ531</f>
        <v>0</v>
      </c>
      <c r="AR508" s="173">
        <f>AR509+AR516+AR520+AR524+AR527+AR531</f>
        <v>0</v>
      </c>
      <c r="AS508" s="173">
        <f>VLOOKUP($C508,'1 预算编制表单'!$C:$BJ,48,FALSE)</f>
        <v>0</v>
      </c>
      <c r="AT508" s="173">
        <f>AT509+AT516+AT520+AT524+AT527+AT531</f>
        <v>0</v>
      </c>
      <c r="AU508" s="173">
        <f>AU509+AU516+AU520+AU524+AU527+AU531</f>
        <v>0</v>
      </c>
      <c r="AV508" s="173">
        <f>VLOOKUP($C508,'1 预算编制表单'!$C:$BJ,51,FALSE)</f>
        <v>0</v>
      </c>
      <c r="AW508" s="173">
        <f>AW509+AW516+AW520+AW524+AW527+AW531</f>
        <v>0</v>
      </c>
      <c r="AX508" s="173">
        <f>AX509+AX516+AX520+AX524+AX527+AX531</f>
        <v>0</v>
      </c>
      <c r="AY508" s="173">
        <f>VLOOKUP($C508,'1 预算编制表单'!$C:$BJ,54,FALSE)</f>
        <v>0</v>
      </c>
      <c r="AZ508" s="173">
        <f>AZ509+AZ516+AZ520+AZ524+AZ527+AZ531</f>
        <v>0</v>
      </c>
      <c r="BA508" s="173">
        <f>BA509+BA516+BA520+BA524+BA527+BA531</f>
        <v>0</v>
      </c>
      <c r="BB508" s="173">
        <f>VLOOKUP($C508,'1 预算编制表单'!$C:$BJ,57,FALSE)</f>
        <v>0</v>
      </c>
      <c r="BC508" s="173">
        <f>BC509+BC516+BC520+BC524+BC527+BC531</f>
        <v>0</v>
      </c>
      <c r="BD508" s="173">
        <f>BD509+BD516+BD520+BD524+BD527+BD531</f>
        <v>0</v>
      </c>
      <c r="BE508" s="173">
        <f>VLOOKUP($C508,'1 预算编制表单'!$C:$BJ,60,FALSE)</f>
        <v>0</v>
      </c>
      <c r="BF508" s="173">
        <f>BF509+BF516+BF520+BF524+BF527+BF531</f>
        <v>0</v>
      </c>
      <c r="BG508" s="173">
        <f>BG509+BG516+BG520+BG524+BG527+BG531</f>
        <v>0</v>
      </c>
      <c r="BH508" s="173">
        <f>VLOOKUP($C508,'1 预算编制表单'!$C:$BJ,27,FALSE)</f>
        <v>1737236.86</v>
      </c>
      <c r="BI508" s="173">
        <f>BI509+BI516+BI520+BI524+BI527+BI531</f>
        <v>1737236.86</v>
      </c>
      <c r="BJ508" s="173">
        <f>BJ509+BJ516+BJ520+BJ524+BJ527+BJ531</f>
        <v>0</v>
      </c>
      <c r="BK508" s="173">
        <f>VLOOKUP($C508,'1 预算编制表单'!$C:$BJ,30,FALSE)</f>
        <v>0</v>
      </c>
      <c r="BL508" s="173">
        <f>BL509+BL516+BL520+BL524+BL527+BL531</f>
        <v>0</v>
      </c>
      <c r="BM508" s="173">
        <f>BM509+BM516+BM520+BM524+BM527+BM531</f>
        <v>0</v>
      </c>
      <c r="BN508" s="173">
        <f>VLOOKUP($C508,'1 预算编制表单'!$C:$BJ,33,FALSE)</f>
        <v>0</v>
      </c>
      <c r="BO508" s="173">
        <f>BO509+BO516+BO520+BO524+BO527+BO531</f>
        <v>0</v>
      </c>
      <c r="BP508" s="173">
        <f>BP509+BP516+BP520+BP524+BP527+BP531</f>
        <v>0</v>
      </c>
      <c r="BQ508" s="173">
        <f>VLOOKUP($C508,'1 预算编制表单'!$C:$BJ,36,FALSE)</f>
        <v>0</v>
      </c>
      <c r="BR508" s="173">
        <f>BR509+BR516+BR520+BR524+BR527+BR531</f>
        <v>0</v>
      </c>
      <c r="BS508" s="173">
        <f>BS509+BS516+BS520+BS524+BS527+BS531</f>
        <v>0</v>
      </c>
      <c r="BT508" s="173">
        <f>VLOOKUP($C508,'1 预算编制表单'!$C:$BJ,39,FALSE)</f>
        <v>0</v>
      </c>
      <c r="BU508" s="173">
        <f>BU509+BU516+BU520+BU524+BU527+BU531</f>
        <v>0</v>
      </c>
      <c r="BV508" s="173">
        <f>BV509+BV516+BV520+BV524+BV527+BV531</f>
        <v>0</v>
      </c>
      <c r="BW508" s="173">
        <f>VLOOKUP($C508,'1 预算编制表单'!$C:$BJ,42,FALSE)</f>
        <v>0</v>
      </c>
      <c r="BX508" s="173">
        <f>BX509+BX516+BX520+BX524+BX527+BX531</f>
        <v>0</v>
      </c>
      <c r="BY508" s="173">
        <f>BY509+BY516+BY520+BY524+BY527+BY531</f>
        <v>0</v>
      </c>
      <c r="BZ508" s="173">
        <f>VLOOKUP($C508,'1 预算编制表单'!$C:$BJ,45,FALSE)</f>
        <v>0</v>
      </c>
      <c r="CA508" s="173">
        <f>CA509+CA516+CA520+CA524+CA527+CA531</f>
        <v>0</v>
      </c>
      <c r="CB508" s="173">
        <f>CB509+CB516+CB520+CB524+CB527+CB531</f>
        <v>0</v>
      </c>
      <c r="CC508" s="173">
        <f>VLOOKUP($C508,'1 预算编制表单'!$C:$BJ,48,FALSE)</f>
        <v>0</v>
      </c>
      <c r="CD508" s="173">
        <f>CD509+CD516+CD520+CD524+CD527+CD531</f>
        <v>0</v>
      </c>
      <c r="CE508" s="173">
        <f>CE509+CE516+CE520+CE524+CE527+CE531</f>
        <v>0</v>
      </c>
      <c r="CF508" s="173">
        <f>VLOOKUP($C508,'1 预算编制表单'!$C:$BJ,51,FALSE)</f>
        <v>0</v>
      </c>
      <c r="CG508" s="173">
        <f>CG509+CG516+CG520+CG524+CG527+CG531</f>
        <v>0</v>
      </c>
      <c r="CH508" s="173">
        <f>CH509+CH516+CH520+CH524+CH527+CH531</f>
        <v>0</v>
      </c>
      <c r="CI508" s="173">
        <f>VLOOKUP($C508,'1 预算编制表单'!$C:$BJ,54,FALSE)</f>
        <v>0</v>
      </c>
      <c r="CJ508" s="173">
        <f>CJ509+CJ516+CJ520+CJ524+CJ527+CJ531</f>
        <v>0</v>
      </c>
      <c r="CK508" s="173">
        <f>CK509+CK516+CK520+CK524+CK527+CK531</f>
        <v>0</v>
      </c>
      <c r="CL508" s="173">
        <f>VLOOKUP($C508,'1 预算编制表单'!$C:$BJ,57,FALSE)</f>
        <v>0</v>
      </c>
      <c r="CM508" s="173">
        <f>CM509+CM516+CM520+CM524+CM527+CM531</f>
        <v>0</v>
      </c>
      <c r="CN508" s="173">
        <f>CN509+CN516+CN520+CN524+CN527+CN531</f>
        <v>0</v>
      </c>
      <c r="CO508" s="173">
        <f>VLOOKUP($C508,'1 预算编制表单'!$C:$BJ,60,FALSE)</f>
        <v>0</v>
      </c>
      <c r="CP508" s="173">
        <f>CP509+CP516+CP520+CP524+CP527+CP531</f>
        <v>0</v>
      </c>
      <c r="CQ508" s="173">
        <f>CQ509+CQ516+CQ520+CQ524+CQ527+CQ531</f>
        <v>0</v>
      </c>
    </row>
    <row r="509" ht="24" customHeight="1" outlineLevel="1" spans="1:95">
      <c r="A509" s="14"/>
      <c r="B509" s="118" t="s">
        <v>787</v>
      </c>
      <c r="C509" s="119" t="s">
        <v>1619</v>
      </c>
      <c r="D509" s="14" t="s">
        <v>1620</v>
      </c>
      <c r="E509" s="118"/>
      <c r="F509" s="118"/>
      <c r="G509" s="118"/>
      <c r="H509" s="120">
        <f t="shared" si="5979"/>
        <v>1737236.86</v>
      </c>
      <c r="I509" s="120">
        <f t="shared" si="5980"/>
        <v>1729288.63</v>
      </c>
      <c r="J509" s="120">
        <f t="shared" si="5367"/>
        <v>7948.23</v>
      </c>
      <c r="K509" s="120"/>
      <c r="L509" s="153"/>
      <c r="M509" s="153"/>
      <c r="N509" s="120"/>
      <c r="O509" s="153"/>
      <c r="P509" s="120"/>
      <c r="Q509" s="120"/>
      <c r="R509" s="120"/>
      <c r="S509" s="120"/>
      <c r="T509" s="120"/>
      <c r="U509" s="120"/>
      <c r="V509" s="120"/>
      <c r="W509" s="120"/>
      <c r="X509" s="120">
        <f>VLOOKUP($C509,'1 预算编制表单'!$C:$BJ,27,FALSE)</f>
        <v>1737236.86</v>
      </c>
      <c r="Y509" s="120">
        <f t="shared" ref="Y509:Y513" si="5981">X509-Z509</f>
        <v>1732936.86</v>
      </c>
      <c r="Z509" s="120">
        <f>Z510+Z511+Z512+Z513</f>
        <v>4300</v>
      </c>
      <c r="AA509" s="120">
        <f>VLOOKUP($C509,'1 预算编制表单'!$C:$BJ,30,FALSE)</f>
        <v>0</v>
      </c>
      <c r="AB509" s="120">
        <f t="shared" ref="AB509:AB535" si="5982">AA509-AC509</f>
        <v>0</v>
      </c>
      <c r="AC509" s="120">
        <f>AC510+AC511+AC512+AC513</f>
        <v>0</v>
      </c>
      <c r="AD509" s="120">
        <f>VLOOKUP($C509,'1 预算编制表单'!$C:$BJ,33,FALSE)</f>
        <v>0</v>
      </c>
      <c r="AE509" s="120">
        <f t="shared" ref="AE509:AE535" si="5983">AD509-AF509</f>
        <v>0</v>
      </c>
      <c r="AF509" s="120">
        <f>AF510+AF511+AF512+AF513</f>
        <v>0</v>
      </c>
      <c r="AG509" s="120">
        <f>VLOOKUP($C509,'1 预算编制表单'!$C:$BJ,36,FALSE)</f>
        <v>0</v>
      </c>
      <c r="AH509" s="120">
        <f t="shared" ref="AH509:AH535" si="5984">AG509-AI509</f>
        <v>0</v>
      </c>
      <c r="AI509" s="120">
        <f>AI510+AI511+AI512+AI513</f>
        <v>0</v>
      </c>
      <c r="AJ509" s="120">
        <f>VLOOKUP($C509,'1 预算编制表单'!$C:$BJ,39,FALSE)</f>
        <v>0</v>
      </c>
      <c r="AK509" s="120">
        <f t="shared" ref="AK509:AK535" si="5985">AJ509-AL509</f>
        <v>-975.78</v>
      </c>
      <c r="AL509" s="120">
        <f>AL510+AL511+AL512+AL513</f>
        <v>975.78</v>
      </c>
      <c r="AM509" s="120">
        <f>VLOOKUP($C509,'1 预算编制表单'!$C:$BJ,42,FALSE)</f>
        <v>0</v>
      </c>
      <c r="AN509" s="120">
        <f t="shared" ref="AN509:AN535" si="5986">AM509-AO509</f>
        <v>-2672.45</v>
      </c>
      <c r="AO509" s="120">
        <f>AO510+AO511+AO512+AO513</f>
        <v>2672.45</v>
      </c>
      <c r="AP509" s="120">
        <f>VLOOKUP($C509,'1 预算编制表单'!$C:$BJ,45,FALSE)</f>
        <v>0</v>
      </c>
      <c r="AQ509" s="120">
        <f t="shared" ref="AQ509:AQ535" si="5987">AP509-AR509</f>
        <v>0</v>
      </c>
      <c r="AR509" s="120">
        <f>AR510+AR511+AR512+AR513</f>
        <v>0</v>
      </c>
      <c r="AS509" s="120">
        <f>VLOOKUP($C509,'1 预算编制表单'!$C:$BJ,48,FALSE)</f>
        <v>0</v>
      </c>
      <c r="AT509" s="120">
        <f t="shared" ref="AT509:AT535" si="5988">AS509-AU509</f>
        <v>0</v>
      </c>
      <c r="AU509" s="120">
        <f>AU510+AU511+AU512+AU513</f>
        <v>0</v>
      </c>
      <c r="AV509" s="120">
        <f>VLOOKUP($C509,'1 预算编制表单'!$C:$BJ,51,FALSE)</f>
        <v>0</v>
      </c>
      <c r="AW509" s="120">
        <f t="shared" ref="AW509:AW535" si="5989">AV509-AX509</f>
        <v>0</v>
      </c>
      <c r="AX509" s="120">
        <f>AX510+AX511+AX512+AX513</f>
        <v>0</v>
      </c>
      <c r="AY509" s="120">
        <f>VLOOKUP($C509,'1 预算编制表单'!$C:$BJ,54,FALSE)</f>
        <v>0</v>
      </c>
      <c r="AZ509" s="120">
        <f t="shared" ref="AZ509:AZ535" si="5990">AY509-BA509</f>
        <v>0</v>
      </c>
      <c r="BA509" s="120">
        <f>BA510+BA511+BA512+BA513</f>
        <v>0</v>
      </c>
      <c r="BB509" s="120">
        <f>VLOOKUP($C509,'1 预算编制表单'!$C:$BJ,57,FALSE)</f>
        <v>0</v>
      </c>
      <c r="BC509" s="120">
        <f t="shared" ref="BC509:BC535" si="5991">BB509-BD509</f>
        <v>0</v>
      </c>
      <c r="BD509" s="120">
        <f>BD510+BD511+BD512+BD513</f>
        <v>0</v>
      </c>
      <c r="BE509" s="120">
        <f>VLOOKUP($C509,'1 预算编制表单'!$C:$BJ,60,FALSE)</f>
        <v>0</v>
      </c>
      <c r="BF509" s="120">
        <f t="shared" ref="BF509:BF535" si="5992">BE509-BG509</f>
        <v>0</v>
      </c>
      <c r="BG509" s="120">
        <f>BG510+BG511+BG512+BG513</f>
        <v>0</v>
      </c>
      <c r="BH509" s="120">
        <f>VLOOKUP($C509,'1 预算编制表单'!$C:$BJ,27,FALSE)</f>
        <v>1737236.86</v>
      </c>
      <c r="BI509" s="120">
        <f t="shared" ref="BI509:BI535" si="5993">BH509-BJ509</f>
        <v>1737236.86</v>
      </c>
      <c r="BJ509" s="120">
        <f>BJ510+BJ511+BJ512+BJ513</f>
        <v>0</v>
      </c>
      <c r="BK509" s="120">
        <f>VLOOKUP($C509,'1 预算编制表单'!$C:$BJ,30,FALSE)</f>
        <v>0</v>
      </c>
      <c r="BL509" s="120">
        <f t="shared" ref="BL509:BL535" si="5994">BK509-BM509</f>
        <v>0</v>
      </c>
      <c r="BM509" s="120">
        <f>BM510+BM511+BM512+BM513</f>
        <v>0</v>
      </c>
      <c r="BN509" s="120">
        <f>VLOOKUP($C509,'1 预算编制表单'!$C:$BJ,33,FALSE)</f>
        <v>0</v>
      </c>
      <c r="BO509" s="120">
        <f t="shared" ref="BO509:BO535" si="5995">BN509-BP509</f>
        <v>0</v>
      </c>
      <c r="BP509" s="120">
        <f>BP510+BP511+BP512+BP513</f>
        <v>0</v>
      </c>
      <c r="BQ509" s="120">
        <f>VLOOKUP($C509,'1 预算编制表单'!$C:$BJ,36,FALSE)</f>
        <v>0</v>
      </c>
      <c r="BR509" s="120">
        <f t="shared" ref="BR509:BR535" si="5996">BQ509-BS509</f>
        <v>0</v>
      </c>
      <c r="BS509" s="120">
        <f>BS510+BS511+BS512+BS513</f>
        <v>0</v>
      </c>
      <c r="BT509" s="120">
        <f>VLOOKUP($C509,'1 预算编制表单'!$C:$BJ,39,FALSE)</f>
        <v>0</v>
      </c>
      <c r="BU509" s="120">
        <f t="shared" ref="BU509:BU535" si="5997">BT509-BV509</f>
        <v>0</v>
      </c>
      <c r="BV509" s="120">
        <f>BV510+BV511+BV512+BV513</f>
        <v>0</v>
      </c>
      <c r="BW509" s="120">
        <f>VLOOKUP($C509,'1 预算编制表单'!$C:$BJ,42,FALSE)</f>
        <v>0</v>
      </c>
      <c r="BX509" s="120">
        <f t="shared" ref="BX509:BX535" si="5998">BW509-BY509</f>
        <v>0</v>
      </c>
      <c r="BY509" s="120">
        <f>BY510+BY511+BY512+BY513</f>
        <v>0</v>
      </c>
      <c r="BZ509" s="120">
        <f>VLOOKUP($C509,'1 预算编制表单'!$C:$BJ,45,FALSE)</f>
        <v>0</v>
      </c>
      <c r="CA509" s="120">
        <f t="shared" ref="CA509:CA535" si="5999">BZ509-CB509</f>
        <v>0</v>
      </c>
      <c r="CB509" s="120">
        <f>CB510+CB511+CB512+CB513</f>
        <v>0</v>
      </c>
      <c r="CC509" s="120">
        <f>VLOOKUP($C509,'1 预算编制表单'!$C:$BJ,48,FALSE)</f>
        <v>0</v>
      </c>
      <c r="CD509" s="120">
        <f t="shared" ref="CD509:CD535" si="6000">CC509-CE509</f>
        <v>0</v>
      </c>
      <c r="CE509" s="120">
        <f>CE510+CE511+CE512+CE513</f>
        <v>0</v>
      </c>
      <c r="CF509" s="120">
        <f>VLOOKUP($C509,'1 预算编制表单'!$C:$BJ,51,FALSE)</f>
        <v>0</v>
      </c>
      <c r="CG509" s="120">
        <f t="shared" ref="CG509:CG535" si="6001">CF509-CH509</f>
        <v>0</v>
      </c>
      <c r="CH509" s="120">
        <f>CH510+CH511+CH512+CH513</f>
        <v>0</v>
      </c>
      <c r="CI509" s="120">
        <f>VLOOKUP($C509,'1 预算编制表单'!$C:$BJ,54,FALSE)</f>
        <v>0</v>
      </c>
      <c r="CJ509" s="120">
        <f t="shared" ref="CJ509:CJ535" si="6002">CI509-CK509</f>
        <v>0</v>
      </c>
      <c r="CK509" s="120">
        <f>CK510+CK511+CK512+CK513</f>
        <v>0</v>
      </c>
      <c r="CL509" s="120">
        <f>VLOOKUP($C509,'1 预算编制表单'!$C:$BJ,57,FALSE)</f>
        <v>0</v>
      </c>
      <c r="CM509" s="120">
        <f t="shared" ref="CM509:CM535" si="6003">CL509-CN509</f>
        <v>0</v>
      </c>
      <c r="CN509" s="120">
        <f>CN510+CN511+CN512+CN513</f>
        <v>0</v>
      </c>
      <c r="CO509" s="120">
        <f>VLOOKUP($C509,'1 预算编制表单'!$C:$BJ,60,FALSE)</f>
        <v>0</v>
      </c>
      <c r="CP509" s="120">
        <f t="shared" ref="CP509:CP535" si="6004">CO509-CQ509</f>
        <v>0</v>
      </c>
      <c r="CQ509" s="120">
        <f>CQ510+CQ511+CQ512+CQ513</f>
        <v>0</v>
      </c>
    </row>
    <row r="510" ht="24" customHeight="1" outlineLevel="2" spans="1:95">
      <c r="A510" s="43"/>
      <c r="B510" s="121" t="s">
        <v>787</v>
      </c>
      <c r="C510" s="122" t="s">
        <v>1621</v>
      </c>
      <c r="D510" s="43" t="s">
        <v>1622</v>
      </c>
      <c r="E510" s="121"/>
      <c r="F510" s="121"/>
      <c r="G510" s="121"/>
      <c r="H510" s="123">
        <f t="shared" si="5979"/>
        <v>1737236.86</v>
      </c>
      <c r="I510" s="123">
        <f t="shared" si="5980"/>
        <v>1737236.86</v>
      </c>
      <c r="J510" s="123">
        <f t="shared" si="5367"/>
        <v>0</v>
      </c>
      <c r="K510" s="123"/>
      <c r="L510" s="154"/>
      <c r="M510" s="154"/>
      <c r="N510" s="123"/>
      <c r="O510" s="154"/>
      <c r="P510" s="123"/>
      <c r="Q510" s="123"/>
      <c r="R510" s="123"/>
      <c r="S510" s="123"/>
      <c r="T510" s="123"/>
      <c r="U510" s="123"/>
      <c r="V510" s="123"/>
      <c r="W510" s="123"/>
      <c r="X510" s="123">
        <f>VLOOKUP($C510,'1 预算编制表单'!$C:$BJ,27,FALSE)</f>
        <v>1737236.86</v>
      </c>
      <c r="Y510" s="123">
        <f t="shared" si="5981"/>
        <v>1737236.86</v>
      </c>
      <c r="Z510" s="123">
        <f>SUMIF(物资过程计算表!$B:$B,$C510,物资过程计算表!$D:$D)</f>
        <v>0</v>
      </c>
      <c r="AA510" s="123">
        <f>VLOOKUP($C510,'1 预算编制表单'!$C:$BJ,30,FALSE)</f>
        <v>0</v>
      </c>
      <c r="AB510" s="123">
        <f t="shared" si="5982"/>
        <v>0</v>
      </c>
      <c r="AC510" s="123">
        <f>SUMIF(物资过程计算表!$B:$B,$C510,物资过程计算表!E:E)</f>
        <v>0</v>
      </c>
      <c r="AD510" s="123">
        <f>VLOOKUP($C510,'1 预算编制表单'!$C:$BJ,33,FALSE)</f>
        <v>0</v>
      </c>
      <c r="AE510" s="123">
        <f t="shared" si="5983"/>
        <v>0</v>
      </c>
      <c r="AF510" s="123">
        <f>SUMIF(物资过程计算表!$B:$B,$C510,物资过程计算表!F:F)</f>
        <v>0</v>
      </c>
      <c r="AG510" s="123">
        <f>VLOOKUP($C510,'1 预算编制表单'!$C:$BJ,36,FALSE)</f>
        <v>0</v>
      </c>
      <c r="AH510" s="123">
        <f t="shared" si="5984"/>
        <v>0</v>
      </c>
      <c r="AI510" s="123">
        <f>SUMIF(物资过程计算表!$B:$B,$C510,物资过程计算表!G:G)</f>
        <v>0</v>
      </c>
      <c r="AJ510" s="123">
        <f>VLOOKUP($C510,'1 预算编制表单'!$C:$BJ,39,FALSE)</f>
        <v>0</v>
      </c>
      <c r="AK510" s="123">
        <f t="shared" si="5985"/>
        <v>0</v>
      </c>
      <c r="AL510" s="123">
        <f>SUMIF(物资过程计算表!$B:$B,$C510,物资过程计算表!H:H)</f>
        <v>0</v>
      </c>
      <c r="AM510" s="123">
        <f>VLOOKUP($C510,'1 预算编制表单'!$C:$BJ,42,FALSE)</f>
        <v>0</v>
      </c>
      <c r="AN510" s="123">
        <f t="shared" si="5986"/>
        <v>0</v>
      </c>
      <c r="AO510" s="123">
        <f>SUMIF(物资过程计算表!$B:$B,$C510,物资过程计算表!I:I)</f>
        <v>0</v>
      </c>
      <c r="AP510" s="123">
        <f>VLOOKUP($C510,'1 预算编制表单'!$C:$BJ,45,FALSE)</f>
        <v>0</v>
      </c>
      <c r="AQ510" s="123">
        <f t="shared" si="5987"/>
        <v>0</v>
      </c>
      <c r="AR510" s="123">
        <f>SUMIF(物资过程计算表!$B:$B,$C510,物资过程计算表!J:J)</f>
        <v>0</v>
      </c>
      <c r="AS510" s="123">
        <f>VLOOKUP($C510,'1 预算编制表单'!$C:$BJ,48,FALSE)</f>
        <v>0</v>
      </c>
      <c r="AT510" s="123">
        <f t="shared" si="5988"/>
        <v>0</v>
      </c>
      <c r="AU510" s="123">
        <f>SUMIF(物资过程计算表!$B:$B,$C510,物资过程计算表!K:K)</f>
        <v>0</v>
      </c>
      <c r="AV510" s="123">
        <f>VLOOKUP($C510,'1 预算编制表单'!$C:$BJ,51,FALSE)</f>
        <v>0</v>
      </c>
      <c r="AW510" s="123">
        <f t="shared" si="5989"/>
        <v>0</v>
      </c>
      <c r="AX510" s="123">
        <f>SUMIF(物资过程计算表!$B:$B,$C510,物资过程计算表!L:L)</f>
        <v>0</v>
      </c>
      <c r="AY510" s="123">
        <f>VLOOKUP($C510,'1 预算编制表单'!$C:$BJ,54,FALSE)</f>
        <v>0</v>
      </c>
      <c r="AZ510" s="123">
        <f t="shared" si="5990"/>
        <v>0</v>
      </c>
      <c r="BA510" s="123">
        <f>SUMIF(物资过程计算表!$B:$B,$C510,物资过程计算表!M:M)</f>
        <v>0</v>
      </c>
      <c r="BB510" s="123">
        <f>VLOOKUP($C510,'1 预算编制表单'!$C:$BJ,57,FALSE)</f>
        <v>0</v>
      </c>
      <c r="BC510" s="123">
        <f t="shared" si="5991"/>
        <v>0</v>
      </c>
      <c r="BD510" s="123">
        <f>SUMIF(物资过程计算表!$B:$B,$C510,物资过程计算表!N:N)</f>
        <v>0</v>
      </c>
      <c r="BE510" s="123">
        <f>VLOOKUP($C510,'1 预算编制表单'!$C:$BJ,60,FALSE)</f>
        <v>0</v>
      </c>
      <c r="BF510" s="123">
        <f t="shared" si="5992"/>
        <v>0</v>
      </c>
      <c r="BG510" s="123">
        <f>SUMIF(物资过程计算表!$B:$B,$C510,物资过程计算表!O:O)</f>
        <v>0</v>
      </c>
      <c r="BH510" s="123">
        <f>VLOOKUP($C510,'1 预算编制表单'!$C:$BJ,27,FALSE)</f>
        <v>1737236.86</v>
      </c>
      <c r="BI510" s="123">
        <f t="shared" si="5993"/>
        <v>1737236.86</v>
      </c>
      <c r="BJ510" s="123"/>
      <c r="BK510" s="123">
        <f>VLOOKUP($C510,'1 预算编制表单'!$C:$BJ,30,FALSE)</f>
        <v>0</v>
      </c>
      <c r="BL510" s="123">
        <f t="shared" si="5994"/>
        <v>0</v>
      </c>
      <c r="BM510" s="123"/>
      <c r="BN510" s="123">
        <f>VLOOKUP($C510,'1 预算编制表单'!$C:$BJ,33,FALSE)</f>
        <v>0</v>
      </c>
      <c r="BO510" s="123">
        <f t="shared" si="5995"/>
        <v>0</v>
      </c>
      <c r="BP510" s="123"/>
      <c r="BQ510" s="123">
        <f>VLOOKUP($C510,'1 预算编制表单'!$C:$BJ,36,FALSE)</f>
        <v>0</v>
      </c>
      <c r="BR510" s="123">
        <f t="shared" si="5996"/>
        <v>0</v>
      </c>
      <c r="BS510" s="123"/>
      <c r="BT510" s="123">
        <f>VLOOKUP($C510,'1 预算编制表单'!$C:$BJ,39,FALSE)</f>
        <v>0</v>
      </c>
      <c r="BU510" s="123">
        <f t="shared" si="5997"/>
        <v>0</v>
      </c>
      <c r="BV510" s="123"/>
      <c r="BW510" s="123">
        <f>VLOOKUP($C510,'1 预算编制表单'!$C:$BJ,42,FALSE)</f>
        <v>0</v>
      </c>
      <c r="BX510" s="123">
        <f t="shared" si="5998"/>
        <v>0</v>
      </c>
      <c r="BY510" s="123"/>
      <c r="BZ510" s="123">
        <f>VLOOKUP($C510,'1 预算编制表单'!$C:$BJ,45,FALSE)</f>
        <v>0</v>
      </c>
      <c r="CA510" s="123">
        <f t="shared" si="5999"/>
        <v>0</v>
      </c>
      <c r="CB510" s="123"/>
      <c r="CC510" s="123">
        <f>VLOOKUP($C510,'1 预算编制表单'!$C:$BJ,48,FALSE)</f>
        <v>0</v>
      </c>
      <c r="CD510" s="123">
        <f t="shared" si="6000"/>
        <v>0</v>
      </c>
      <c r="CE510" s="123"/>
      <c r="CF510" s="123">
        <f>VLOOKUP($C510,'1 预算编制表单'!$C:$BJ,51,FALSE)</f>
        <v>0</v>
      </c>
      <c r="CG510" s="123">
        <f t="shared" si="6001"/>
        <v>0</v>
      </c>
      <c r="CH510" s="123"/>
      <c r="CI510" s="123">
        <f>VLOOKUP($C510,'1 预算编制表单'!$C:$BJ,54,FALSE)</f>
        <v>0</v>
      </c>
      <c r="CJ510" s="123">
        <f t="shared" si="6002"/>
        <v>0</v>
      </c>
      <c r="CK510" s="123"/>
      <c r="CL510" s="123">
        <f>VLOOKUP($C510,'1 预算编制表单'!$C:$BJ,57,FALSE)</f>
        <v>0</v>
      </c>
      <c r="CM510" s="123">
        <f t="shared" si="6003"/>
        <v>0</v>
      </c>
      <c r="CN510" s="123"/>
      <c r="CO510" s="123">
        <f>VLOOKUP($C510,'1 预算编制表单'!$C:$BJ,60,FALSE)</f>
        <v>0</v>
      </c>
      <c r="CP510" s="123">
        <f t="shared" si="6004"/>
        <v>0</v>
      </c>
      <c r="CQ510" s="123"/>
    </row>
    <row r="511" ht="24" customHeight="1" outlineLevel="2" spans="1:95">
      <c r="A511" s="43"/>
      <c r="B511" s="121" t="s">
        <v>787</v>
      </c>
      <c r="C511" s="122" t="s">
        <v>1663</v>
      </c>
      <c r="D511" s="43" t="s">
        <v>1664</v>
      </c>
      <c r="E511" s="121"/>
      <c r="F511" s="121"/>
      <c r="G511" s="121"/>
      <c r="H511" s="123">
        <f t="shared" si="5979"/>
        <v>0</v>
      </c>
      <c r="I511" s="123">
        <f t="shared" si="5980"/>
        <v>-5264.54</v>
      </c>
      <c r="J511" s="123">
        <f t="shared" si="5367"/>
        <v>5264.54</v>
      </c>
      <c r="K511" s="123"/>
      <c r="L511" s="154"/>
      <c r="M511" s="154"/>
      <c r="N511" s="123"/>
      <c r="O511" s="154"/>
      <c r="P511" s="123"/>
      <c r="Q511" s="123"/>
      <c r="R511" s="123"/>
      <c r="S511" s="123"/>
      <c r="T511" s="123"/>
      <c r="U511" s="123"/>
      <c r="V511" s="123"/>
      <c r="W511" s="123"/>
      <c r="X511" s="123">
        <f>VLOOKUP($C511,'1 预算编制表单'!$C:$BJ,27,FALSE)</f>
        <v>0</v>
      </c>
      <c r="Y511" s="123">
        <f t="shared" si="5981"/>
        <v>-4300</v>
      </c>
      <c r="Z511" s="123">
        <f>SUMIF(物资过程计算表!$B:$B,$C511,物资过程计算表!$D:$D)</f>
        <v>4300</v>
      </c>
      <c r="AA511" s="123">
        <f>VLOOKUP($C511,'1 预算编制表单'!$C:$BJ,30,FALSE)</f>
        <v>0</v>
      </c>
      <c r="AB511" s="123">
        <f t="shared" si="5982"/>
        <v>0</v>
      </c>
      <c r="AC511" s="123">
        <f>SUMIF(物资过程计算表!$B:$B,$C511,物资过程计算表!E:E)</f>
        <v>0</v>
      </c>
      <c r="AD511" s="123">
        <f>VLOOKUP($C511,'1 预算编制表单'!$C:$BJ,33,FALSE)</f>
        <v>0</v>
      </c>
      <c r="AE511" s="123">
        <f t="shared" si="5983"/>
        <v>0</v>
      </c>
      <c r="AF511" s="123">
        <f>SUMIF(物资过程计算表!$B:$B,$C511,物资过程计算表!F:F)</f>
        <v>0</v>
      </c>
      <c r="AG511" s="123">
        <f>VLOOKUP($C511,'1 预算编制表单'!$C:$BJ,36,FALSE)</f>
        <v>0</v>
      </c>
      <c r="AH511" s="123">
        <f t="shared" si="5984"/>
        <v>0</v>
      </c>
      <c r="AI511" s="123">
        <f>SUMIF(物资过程计算表!$B:$B,$C511,物资过程计算表!G:G)</f>
        <v>0</v>
      </c>
      <c r="AJ511" s="123">
        <f>VLOOKUP($C511,'1 预算编制表单'!$C:$BJ,39,FALSE)</f>
        <v>0</v>
      </c>
      <c r="AK511" s="123">
        <f t="shared" si="5985"/>
        <v>-806.34</v>
      </c>
      <c r="AL511" s="123">
        <f>SUMIF(物资过程计算表!$B:$B,$C511,物资过程计算表!H:H)</f>
        <v>806.34</v>
      </c>
      <c r="AM511" s="123">
        <f>VLOOKUP($C511,'1 预算编制表单'!$C:$BJ,42,FALSE)</f>
        <v>0</v>
      </c>
      <c r="AN511" s="123">
        <f t="shared" si="5986"/>
        <v>-158.2</v>
      </c>
      <c r="AO511" s="123">
        <f>SUMIF(物资过程计算表!$B:$B,$C511,物资过程计算表!I:I)</f>
        <v>158.2</v>
      </c>
      <c r="AP511" s="123">
        <f>VLOOKUP($C511,'1 预算编制表单'!$C:$BJ,45,FALSE)</f>
        <v>0</v>
      </c>
      <c r="AQ511" s="123">
        <f t="shared" si="5987"/>
        <v>0</v>
      </c>
      <c r="AR511" s="123">
        <f>SUMIF(物资过程计算表!$B:$B,$C511,物资过程计算表!J:J)</f>
        <v>0</v>
      </c>
      <c r="AS511" s="123">
        <f>VLOOKUP($C511,'1 预算编制表单'!$C:$BJ,48,FALSE)</f>
        <v>0</v>
      </c>
      <c r="AT511" s="123">
        <f t="shared" si="5988"/>
        <v>0</v>
      </c>
      <c r="AU511" s="123">
        <f>SUMIF(物资过程计算表!$B:$B,$C511,物资过程计算表!K:K)</f>
        <v>0</v>
      </c>
      <c r="AV511" s="123">
        <f>VLOOKUP($C511,'1 预算编制表单'!$C:$BJ,51,FALSE)</f>
        <v>0</v>
      </c>
      <c r="AW511" s="123">
        <f t="shared" si="5989"/>
        <v>0</v>
      </c>
      <c r="AX511" s="123">
        <f>SUMIF(物资过程计算表!$B:$B,$C511,物资过程计算表!L:L)</f>
        <v>0</v>
      </c>
      <c r="AY511" s="123">
        <f>VLOOKUP($C511,'1 预算编制表单'!$C:$BJ,54,FALSE)</f>
        <v>0</v>
      </c>
      <c r="AZ511" s="123">
        <f t="shared" si="5990"/>
        <v>0</v>
      </c>
      <c r="BA511" s="123">
        <f>SUMIF(物资过程计算表!$B:$B,$C511,物资过程计算表!M:M)</f>
        <v>0</v>
      </c>
      <c r="BB511" s="123">
        <f>VLOOKUP($C511,'1 预算编制表单'!$C:$BJ,57,FALSE)</f>
        <v>0</v>
      </c>
      <c r="BC511" s="123">
        <f t="shared" si="5991"/>
        <v>0</v>
      </c>
      <c r="BD511" s="123">
        <f>SUMIF(物资过程计算表!$B:$B,$C511,物资过程计算表!N:N)</f>
        <v>0</v>
      </c>
      <c r="BE511" s="123">
        <f>VLOOKUP($C511,'1 预算编制表单'!$C:$BJ,60,FALSE)</f>
        <v>0</v>
      </c>
      <c r="BF511" s="123">
        <f t="shared" si="5992"/>
        <v>0</v>
      </c>
      <c r="BG511" s="123">
        <f>SUMIF(物资过程计算表!$B:$B,$C511,物资过程计算表!O:O)</f>
        <v>0</v>
      </c>
      <c r="BH511" s="123">
        <f>VLOOKUP($C511,'1 预算编制表单'!$C:$BJ,27,FALSE)</f>
        <v>0</v>
      </c>
      <c r="BI511" s="123">
        <f t="shared" si="5993"/>
        <v>0</v>
      </c>
      <c r="BJ511" s="123"/>
      <c r="BK511" s="123">
        <f>VLOOKUP($C511,'1 预算编制表单'!$C:$BJ,30,FALSE)</f>
        <v>0</v>
      </c>
      <c r="BL511" s="123">
        <f t="shared" si="5994"/>
        <v>0</v>
      </c>
      <c r="BM511" s="123"/>
      <c r="BN511" s="123">
        <f>VLOOKUP($C511,'1 预算编制表单'!$C:$BJ,33,FALSE)</f>
        <v>0</v>
      </c>
      <c r="BO511" s="123">
        <f t="shared" si="5995"/>
        <v>0</v>
      </c>
      <c r="BP511" s="123"/>
      <c r="BQ511" s="123">
        <f>VLOOKUP($C511,'1 预算编制表单'!$C:$BJ,36,FALSE)</f>
        <v>0</v>
      </c>
      <c r="BR511" s="123">
        <f t="shared" si="5996"/>
        <v>0</v>
      </c>
      <c r="BS511" s="123"/>
      <c r="BT511" s="123">
        <f>VLOOKUP($C511,'1 预算编制表单'!$C:$BJ,39,FALSE)</f>
        <v>0</v>
      </c>
      <c r="BU511" s="123">
        <f t="shared" si="5997"/>
        <v>0</v>
      </c>
      <c r="BV511" s="123"/>
      <c r="BW511" s="123">
        <f>VLOOKUP($C511,'1 预算编制表单'!$C:$BJ,42,FALSE)</f>
        <v>0</v>
      </c>
      <c r="BX511" s="123">
        <f t="shared" si="5998"/>
        <v>0</v>
      </c>
      <c r="BY511" s="123"/>
      <c r="BZ511" s="123">
        <f>VLOOKUP($C511,'1 预算编制表单'!$C:$BJ,45,FALSE)</f>
        <v>0</v>
      </c>
      <c r="CA511" s="123">
        <f t="shared" si="5999"/>
        <v>0</v>
      </c>
      <c r="CB511" s="123"/>
      <c r="CC511" s="123">
        <f>VLOOKUP($C511,'1 预算编制表单'!$C:$BJ,48,FALSE)</f>
        <v>0</v>
      </c>
      <c r="CD511" s="123">
        <f t="shared" si="6000"/>
        <v>0</v>
      </c>
      <c r="CE511" s="123"/>
      <c r="CF511" s="123">
        <f>VLOOKUP($C511,'1 预算编制表单'!$C:$BJ,51,FALSE)</f>
        <v>0</v>
      </c>
      <c r="CG511" s="123">
        <f t="shared" si="6001"/>
        <v>0</v>
      </c>
      <c r="CH511" s="123"/>
      <c r="CI511" s="123">
        <f>VLOOKUP($C511,'1 预算编制表单'!$C:$BJ,54,FALSE)</f>
        <v>0</v>
      </c>
      <c r="CJ511" s="123">
        <f t="shared" si="6002"/>
        <v>0</v>
      </c>
      <c r="CK511" s="123"/>
      <c r="CL511" s="123">
        <f>VLOOKUP($C511,'1 预算编制表单'!$C:$BJ,57,FALSE)</f>
        <v>0</v>
      </c>
      <c r="CM511" s="123">
        <f t="shared" si="6003"/>
        <v>0</v>
      </c>
      <c r="CN511" s="123"/>
      <c r="CO511" s="123">
        <f>VLOOKUP($C511,'1 预算编制表单'!$C:$BJ,60,FALSE)</f>
        <v>0</v>
      </c>
      <c r="CP511" s="123">
        <f t="shared" si="6004"/>
        <v>0</v>
      </c>
      <c r="CQ511" s="123"/>
    </row>
    <row r="512" ht="24" customHeight="1" outlineLevel="2" spans="1:95">
      <c r="A512" s="43"/>
      <c r="B512" s="121" t="s">
        <v>787</v>
      </c>
      <c r="C512" s="122" t="s">
        <v>1696</v>
      </c>
      <c r="D512" s="43" t="s">
        <v>1697</v>
      </c>
      <c r="E512" s="121"/>
      <c r="F512" s="121"/>
      <c r="G512" s="121"/>
      <c r="H512" s="123">
        <f t="shared" si="5979"/>
        <v>0</v>
      </c>
      <c r="I512" s="123">
        <f t="shared" si="5980"/>
        <v>-2683.69</v>
      </c>
      <c r="J512" s="123">
        <f t="shared" si="5367"/>
        <v>2683.69</v>
      </c>
      <c r="K512" s="123"/>
      <c r="L512" s="154"/>
      <c r="M512" s="154"/>
      <c r="N512" s="123"/>
      <c r="O512" s="154"/>
      <c r="P512" s="123"/>
      <c r="Q512" s="123"/>
      <c r="R512" s="123"/>
      <c r="S512" s="123"/>
      <c r="T512" s="123"/>
      <c r="U512" s="123"/>
      <c r="V512" s="123"/>
      <c r="W512" s="123"/>
      <c r="X512" s="123">
        <f>VLOOKUP($C512,'1 预算编制表单'!$C:$BJ,27,FALSE)</f>
        <v>0</v>
      </c>
      <c r="Y512" s="123">
        <f t="shared" si="5981"/>
        <v>0</v>
      </c>
      <c r="Z512" s="123">
        <f>SUMIF(物资过程计算表!$B:$B,$C512,物资过程计算表!$D:$D)</f>
        <v>0</v>
      </c>
      <c r="AA512" s="123">
        <f>VLOOKUP($C512,'1 预算编制表单'!$C:$BJ,30,FALSE)</f>
        <v>0</v>
      </c>
      <c r="AB512" s="123">
        <f t="shared" si="5982"/>
        <v>0</v>
      </c>
      <c r="AC512" s="123">
        <f>SUMIF(物资过程计算表!$B:$B,$C512,物资过程计算表!E:E)</f>
        <v>0</v>
      </c>
      <c r="AD512" s="123">
        <f>VLOOKUP($C512,'1 预算编制表单'!$C:$BJ,33,FALSE)</f>
        <v>0</v>
      </c>
      <c r="AE512" s="123">
        <f t="shared" si="5983"/>
        <v>0</v>
      </c>
      <c r="AF512" s="123">
        <f>SUMIF(物资过程计算表!$B:$B,$C512,物资过程计算表!F:F)</f>
        <v>0</v>
      </c>
      <c r="AG512" s="123">
        <f>VLOOKUP($C512,'1 预算编制表单'!$C:$BJ,36,FALSE)</f>
        <v>0</v>
      </c>
      <c r="AH512" s="123">
        <f t="shared" si="5984"/>
        <v>0</v>
      </c>
      <c r="AI512" s="123">
        <f>SUMIF(物资过程计算表!$B:$B,$C512,物资过程计算表!G:G)</f>
        <v>0</v>
      </c>
      <c r="AJ512" s="123">
        <f>VLOOKUP($C512,'1 预算编制表单'!$C:$BJ,39,FALSE)</f>
        <v>0</v>
      </c>
      <c r="AK512" s="123">
        <f t="shared" si="5985"/>
        <v>-169.44</v>
      </c>
      <c r="AL512" s="123">
        <f>SUMIF(物资过程计算表!$B:$B,$C512,物资过程计算表!H:H)</f>
        <v>169.44</v>
      </c>
      <c r="AM512" s="123">
        <f>VLOOKUP($C512,'1 预算编制表单'!$C:$BJ,42,FALSE)</f>
        <v>0</v>
      </c>
      <c r="AN512" s="123">
        <f t="shared" si="5986"/>
        <v>-2514.25</v>
      </c>
      <c r="AO512" s="123">
        <f>SUMIF(物资过程计算表!$B:$B,$C512,物资过程计算表!I:I)</f>
        <v>2514.25</v>
      </c>
      <c r="AP512" s="123">
        <f>VLOOKUP($C512,'1 预算编制表单'!$C:$BJ,45,FALSE)</f>
        <v>0</v>
      </c>
      <c r="AQ512" s="123">
        <f t="shared" si="5987"/>
        <v>0</v>
      </c>
      <c r="AR512" s="123">
        <f>SUMIF(物资过程计算表!$B:$B,$C512,物资过程计算表!J:J)</f>
        <v>0</v>
      </c>
      <c r="AS512" s="123">
        <f>VLOOKUP($C512,'1 预算编制表单'!$C:$BJ,48,FALSE)</f>
        <v>0</v>
      </c>
      <c r="AT512" s="123">
        <f t="shared" si="5988"/>
        <v>0</v>
      </c>
      <c r="AU512" s="123">
        <f>SUMIF(物资过程计算表!$B:$B,$C512,物资过程计算表!K:K)</f>
        <v>0</v>
      </c>
      <c r="AV512" s="123">
        <f>VLOOKUP($C512,'1 预算编制表单'!$C:$BJ,51,FALSE)</f>
        <v>0</v>
      </c>
      <c r="AW512" s="123">
        <f t="shared" si="5989"/>
        <v>0</v>
      </c>
      <c r="AX512" s="123">
        <f>SUMIF(物资过程计算表!$B:$B,$C512,物资过程计算表!L:L)</f>
        <v>0</v>
      </c>
      <c r="AY512" s="123">
        <f>VLOOKUP($C512,'1 预算编制表单'!$C:$BJ,54,FALSE)</f>
        <v>0</v>
      </c>
      <c r="AZ512" s="123">
        <f t="shared" si="5990"/>
        <v>0</v>
      </c>
      <c r="BA512" s="123">
        <f>SUMIF(物资过程计算表!$B:$B,$C512,物资过程计算表!M:M)</f>
        <v>0</v>
      </c>
      <c r="BB512" s="123">
        <f>VLOOKUP($C512,'1 预算编制表单'!$C:$BJ,57,FALSE)</f>
        <v>0</v>
      </c>
      <c r="BC512" s="123">
        <f t="shared" si="5991"/>
        <v>0</v>
      </c>
      <c r="BD512" s="123">
        <f>SUMIF(物资过程计算表!$B:$B,$C512,物资过程计算表!N:N)</f>
        <v>0</v>
      </c>
      <c r="BE512" s="123">
        <f>VLOOKUP($C512,'1 预算编制表单'!$C:$BJ,60,FALSE)</f>
        <v>0</v>
      </c>
      <c r="BF512" s="123">
        <f t="shared" si="5992"/>
        <v>0</v>
      </c>
      <c r="BG512" s="123">
        <f>SUMIF(物资过程计算表!$B:$B,$C512,物资过程计算表!O:O)</f>
        <v>0</v>
      </c>
      <c r="BH512" s="123">
        <f>VLOOKUP($C512,'1 预算编制表单'!$C:$BJ,27,FALSE)</f>
        <v>0</v>
      </c>
      <c r="BI512" s="123">
        <f t="shared" si="5993"/>
        <v>0</v>
      </c>
      <c r="BJ512" s="123"/>
      <c r="BK512" s="123">
        <f>VLOOKUP($C512,'1 预算编制表单'!$C:$BJ,30,FALSE)</f>
        <v>0</v>
      </c>
      <c r="BL512" s="123">
        <f t="shared" si="5994"/>
        <v>0</v>
      </c>
      <c r="BM512" s="123"/>
      <c r="BN512" s="123">
        <f>VLOOKUP($C512,'1 预算编制表单'!$C:$BJ,33,FALSE)</f>
        <v>0</v>
      </c>
      <c r="BO512" s="123">
        <f t="shared" si="5995"/>
        <v>0</v>
      </c>
      <c r="BP512" s="123"/>
      <c r="BQ512" s="123">
        <f>VLOOKUP($C512,'1 预算编制表单'!$C:$BJ,36,FALSE)</f>
        <v>0</v>
      </c>
      <c r="BR512" s="123">
        <f t="shared" si="5996"/>
        <v>0</v>
      </c>
      <c r="BS512" s="123"/>
      <c r="BT512" s="123">
        <f>VLOOKUP($C512,'1 预算编制表单'!$C:$BJ,39,FALSE)</f>
        <v>0</v>
      </c>
      <c r="BU512" s="123">
        <f t="shared" si="5997"/>
        <v>0</v>
      </c>
      <c r="BV512" s="123"/>
      <c r="BW512" s="123">
        <f>VLOOKUP($C512,'1 预算编制表单'!$C:$BJ,42,FALSE)</f>
        <v>0</v>
      </c>
      <c r="BX512" s="123">
        <f t="shared" si="5998"/>
        <v>0</v>
      </c>
      <c r="BY512" s="123"/>
      <c r="BZ512" s="123">
        <f>VLOOKUP($C512,'1 预算编制表单'!$C:$BJ,45,FALSE)</f>
        <v>0</v>
      </c>
      <c r="CA512" s="123">
        <f t="shared" si="5999"/>
        <v>0</v>
      </c>
      <c r="CB512" s="123"/>
      <c r="CC512" s="123">
        <f>VLOOKUP($C512,'1 预算编制表单'!$C:$BJ,48,FALSE)</f>
        <v>0</v>
      </c>
      <c r="CD512" s="123">
        <f t="shared" si="6000"/>
        <v>0</v>
      </c>
      <c r="CE512" s="123"/>
      <c r="CF512" s="123">
        <f>VLOOKUP($C512,'1 预算编制表单'!$C:$BJ,51,FALSE)</f>
        <v>0</v>
      </c>
      <c r="CG512" s="123">
        <f t="shared" si="6001"/>
        <v>0</v>
      </c>
      <c r="CH512" s="123"/>
      <c r="CI512" s="123">
        <f>VLOOKUP($C512,'1 预算编制表单'!$C:$BJ,54,FALSE)</f>
        <v>0</v>
      </c>
      <c r="CJ512" s="123">
        <f t="shared" si="6002"/>
        <v>0</v>
      </c>
      <c r="CK512" s="123"/>
      <c r="CL512" s="123">
        <f>VLOOKUP($C512,'1 预算编制表单'!$C:$BJ,57,FALSE)</f>
        <v>0</v>
      </c>
      <c r="CM512" s="123">
        <f t="shared" si="6003"/>
        <v>0</v>
      </c>
      <c r="CN512" s="123"/>
      <c r="CO512" s="123">
        <f>VLOOKUP($C512,'1 预算编制表单'!$C:$BJ,60,FALSE)</f>
        <v>0</v>
      </c>
      <c r="CP512" s="123">
        <f t="shared" si="6004"/>
        <v>0</v>
      </c>
      <c r="CQ512" s="123"/>
    </row>
    <row r="513" ht="24" customHeight="1" outlineLevel="2" spans="1:95">
      <c r="A513" s="43"/>
      <c r="B513" s="121" t="s">
        <v>787</v>
      </c>
      <c r="C513" s="122" t="s">
        <v>1719</v>
      </c>
      <c r="D513" s="43" t="s">
        <v>2877</v>
      </c>
      <c r="E513" s="121"/>
      <c r="F513" s="121"/>
      <c r="G513" s="121" t="s">
        <v>936</v>
      </c>
      <c r="H513" s="123">
        <f t="shared" si="5979"/>
        <v>0</v>
      </c>
      <c r="I513" s="123">
        <f t="shared" si="5980"/>
        <v>0</v>
      </c>
      <c r="J513" s="123">
        <f t="shared" si="5367"/>
        <v>0</v>
      </c>
      <c r="K513" s="123"/>
      <c r="L513" s="154"/>
      <c r="M513" s="154"/>
      <c r="N513" s="123"/>
      <c r="O513" s="154"/>
      <c r="P513" s="123"/>
      <c r="Q513" s="123"/>
      <c r="R513" s="123"/>
      <c r="S513" s="123"/>
      <c r="T513" s="123"/>
      <c r="U513" s="123"/>
      <c r="V513" s="123"/>
      <c r="W513" s="123"/>
      <c r="X513" s="123">
        <f>X514</f>
        <v>0</v>
      </c>
      <c r="Y513" s="123">
        <f t="shared" si="5981"/>
        <v>0</v>
      </c>
      <c r="Z513" s="123">
        <f>SUM(Z514:Z515)</f>
        <v>0</v>
      </c>
      <c r="AA513" s="123">
        <f>VLOOKUP($C513,'1 预算编制表单'!$C:$BJ,30,FALSE)</f>
        <v>0</v>
      </c>
      <c r="AB513" s="123">
        <f t="shared" si="5982"/>
        <v>0</v>
      </c>
      <c r="AC513" s="123">
        <f>SUM(AC514:AC515)</f>
        <v>0</v>
      </c>
      <c r="AD513" s="123">
        <f>VLOOKUP($C513,'1 预算编制表单'!$C:$BJ,33,FALSE)</f>
        <v>0</v>
      </c>
      <c r="AE513" s="123">
        <f t="shared" si="5983"/>
        <v>0</v>
      </c>
      <c r="AF513" s="123">
        <f>SUM(AF514:AF515)</f>
        <v>0</v>
      </c>
      <c r="AG513" s="123">
        <f>VLOOKUP($C513,'1 预算编制表单'!$C:$BJ,36,FALSE)</f>
        <v>0</v>
      </c>
      <c r="AH513" s="123">
        <f t="shared" si="5984"/>
        <v>0</v>
      </c>
      <c r="AI513" s="123">
        <f>SUM(AI514:AI515)</f>
        <v>0</v>
      </c>
      <c r="AJ513" s="123">
        <f>VLOOKUP($C513,'1 预算编制表单'!$C:$BJ,39,FALSE)</f>
        <v>0</v>
      </c>
      <c r="AK513" s="123">
        <f t="shared" si="5985"/>
        <v>0</v>
      </c>
      <c r="AL513" s="123">
        <f>SUM(AL514:AL515)</f>
        <v>0</v>
      </c>
      <c r="AM513" s="123">
        <f>VLOOKUP($C513,'1 预算编制表单'!$C:$BJ,42,FALSE)</f>
        <v>0</v>
      </c>
      <c r="AN513" s="123">
        <f t="shared" si="5986"/>
        <v>0</v>
      </c>
      <c r="AO513" s="123">
        <f>SUM(AO514:AO515)</f>
        <v>0</v>
      </c>
      <c r="AP513" s="123">
        <f>VLOOKUP($C513,'1 预算编制表单'!$C:$BJ,45,FALSE)</f>
        <v>0</v>
      </c>
      <c r="AQ513" s="123">
        <f t="shared" si="5987"/>
        <v>0</v>
      </c>
      <c r="AR513" s="123">
        <f>SUM(AR514:AR515)</f>
        <v>0</v>
      </c>
      <c r="AS513" s="123">
        <f>VLOOKUP($C513,'1 预算编制表单'!$C:$BJ,48,FALSE)</f>
        <v>0</v>
      </c>
      <c r="AT513" s="123">
        <f t="shared" si="5988"/>
        <v>0</v>
      </c>
      <c r="AU513" s="123">
        <f>SUM(AU514:AU515)</f>
        <v>0</v>
      </c>
      <c r="AV513" s="123">
        <f>VLOOKUP($C513,'1 预算编制表单'!$C:$BJ,51,FALSE)</f>
        <v>0</v>
      </c>
      <c r="AW513" s="123">
        <f t="shared" si="5989"/>
        <v>0</v>
      </c>
      <c r="AX513" s="123">
        <f>SUM(AX514:AX515)</f>
        <v>0</v>
      </c>
      <c r="AY513" s="123">
        <f>VLOOKUP($C513,'1 预算编制表单'!$C:$BJ,54,FALSE)</f>
        <v>0</v>
      </c>
      <c r="AZ513" s="123">
        <f t="shared" si="5990"/>
        <v>0</v>
      </c>
      <c r="BA513" s="123">
        <f>SUM(BA514:BA515)</f>
        <v>0</v>
      </c>
      <c r="BB513" s="123">
        <f>VLOOKUP($C513,'1 预算编制表单'!$C:$BJ,57,FALSE)</f>
        <v>0</v>
      </c>
      <c r="BC513" s="123">
        <f t="shared" si="5991"/>
        <v>0</v>
      </c>
      <c r="BD513" s="123">
        <f>SUM(BD514:BD515)</f>
        <v>0</v>
      </c>
      <c r="BE513" s="123">
        <f>VLOOKUP($C513,'1 预算编制表单'!$C:$BJ,60,FALSE)</f>
        <v>0</v>
      </c>
      <c r="BF513" s="123">
        <f t="shared" si="5992"/>
        <v>0</v>
      </c>
      <c r="BG513" s="123">
        <f>SUM(BG514:BG515)</f>
        <v>0</v>
      </c>
      <c r="BH513" s="123">
        <f>VLOOKUP($C513,'1 预算编制表单'!$C:$BJ,27,FALSE)</f>
        <v>0</v>
      </c>
      <c r="BI513" s="123">
        <f t="shared" si="5993"/>
        <v>0</v>
      </c>
      <c r="BJ513" s="123"/>
      <c r="BK513" s="123">
        <f>VLOOKUP($C513,'1 预算编制表单'!$C:$BJ,30,FALSE)</f>
        <v>0</v>
      </c>
      <c r="BL513" s="123">
        <f t="shared" si="5994"/>
        <v>0</v>
      </c>
      <c r="BM513" s="123"/>
      <c r="BN513" s="123">
        <f>VLOOKUP($C513,'1 预算编制表单'!$C:$BJ,33,FALSE)</f>
        <v>0</v>
      </c>
      <c r="BO513" s="123">
        <f t="shared" si="5995"/>
        <v>0</v>
      </c>
      <c r="BP513" s="123"/>
      <c r="BQ513" s="123">
        <f>VLOOKUP($C513,'1 预算编制表单'!$C:$BJ,36,FALSE)</f>
        <v>0</v>
      </c>
      <c r="BR513" s="123">
        <f t="shared" si="5996"/>
        <v>0</v>
      </c>
      <c r="BS513" s="123"/>
      <c r="BT513" s="123">
        <f>VLOOKUP($C513,'1 预算编制表单'!$C:$BJ,39,FALSE)</f>
        <v>0</v>
      </c>
      <c r="BU513" s="123">
        <f t="shared" si="5997"/>
        <v>0</v>
      </c>
      <c r="BV513" s="123"/>
      <c r="BW513" s="123">
        <f>VLOOKUP($C513,'1 预算编制表单'!$C:$BJ,42,FALSE)</f>
        <v>0</v>
      </c>
      <c r="BX513" s="123">
        <f t="shared" si="5998"/>
        <v>0</v>
      </c>
      <c r="BY513" s="123"/>
      <c r="BZ513" s="123">
        <f>VLOOKUP($C513,'1 预算编制表单'!$C:$BJ,45,FALSE)</f>
        <v>0</v>
      </c>
      <c r="CA513" s="123">
        <f t="shared" si="5999"/>
        <v>0</v>
      </c>
      <c r="CB513" s="123"/>
      <c r="CC513" s="123">
        <f>VLOOKUP($C513,'1 预算编制表单'!$C:$BJ,48,FALSE)</f>
        <v>0</v>
      </c>
      <c r="CD513" s="123">
        <f t="shared" si="6000"/>
        <v>0</v>
      </c>
      <c r="CE513" s="123"/>
      <c r="CF513" s="123">
        <f>VLOOKUP($C513,'1 预算编制表单'!$C:$BJ,51,FALSE)</f>
        <v>0</v>
      </c>
      <c r="CG513" s="123">
        <f t="shared" si="6001"/>
        <v>0</v>
      </c>
      <c r="CH513" s="123"/>
      <c r="CI513" s="123">
        <f>VLOOKUP($C513,'1 预算编制表单'!$C:$BJ,54,FALSE)</f>
        <v>0</v>
      </c>
      <c r="CJ513" s="123">
        <f t="shared" si="6002"/>
        <v>0</v>
      </c>
      <c r="CK513" s="123"/>
      <c r="CL513" s="123">
        <f>VLOOKUP($C513,'1 预算编制表单'!$C:$BJ,57,FALSE)</f>
        <v>0</v>
      </c>
      <c r="CM513" s="123">
        <f t="shared" si="6003"/>
        <v>0</v>
      </c>
      <c r="CN513" s="123"/>
      <c r="CO513" s="123">
        <f>VLOOKUP($C513,'1 预算编制表单'!$C:$BJ,60,FALSE)</f>
        <v>0</v>
      </c>
      <c r="CP513" s="123">
        <f t="shared" si="6004"/>
        <v>0</v>
      </c>
      <c r="CQ513" s="123"/>
    </row>
    <row r="514" ht="24" customHeight="1" outlineLevel="2" spans="1:95">
      <c r="A514" s="43"/>
      <c r="B514" s="121"/>
      <c r="C514" s="122"/>
      <c r="D514" s="43" t="s">
        <v>1720</v>
      </c>
      <c r="E514" s="121"/>
      <c r="F514" s="121"/>
      <c r="G514" s="121" t="s">
        <v>936</v>
      </c>
      <c r="H514" s="123"/>
      <c r="I514" s="123"/>
      <c r="J514" s="123"/>
      <c r="K514" s="123"/>
      <c r="L514" s="154"/>
      <c r="M514" s="154"/>
      <c r="N514" s="123"/>
      <c r="O514" s="154"/>
      <c r="P514" s="123"/>
      <c r="Q514" s="123"/>
      <c r="R514" s="123"/>
      <c r="S514" s="123"/>
      <c r="T514" s="123"/>
      <c r="U514" s="123"/>
      <c r="V514" s="123"/>
      <c r="W514" s="123"/>
      <c r="X514" s="123">
        <f>VLOOKUP($C513,'1 预算编制表单'!$C:$BJ,27,FALSE)</f>
        <v>0</v>
      </c>
      <c r="Y514" s="123"/>
      <c r="Z514" s="123">
        <f>SUMIF(物资过程计算表!$B:$B,$C514,物资过程计算表!$D:$D)</f>
        <v>0</v>
      </c>
      <c r="AA514" s="123">
        <f>VLOOKUP($C513,'1 预算编制表单'!$C:$BJ,30,FALSE)</f>
        <v>0</v>
      </c>
      <c r="AB514" s="123"/>
      <c r="AC514" s="123">
        <f>SUMIF(物资过程计算表!$B:$B,$C514,物资过程计算表!E:E)</f>
        <v>0</v>
      </c>
      <c r="AD514" s="123">
        <f>VLOOKUP($C513,'1 预算编制表单'!$C:$BJ,33,FALSE)</f>
        <v>0</v>
      </c>
      <c r="AE514" s="123"/>
      <c r="AF514" s="123">
        <f>SUMIF(物资过程计算表!$B:$B,$C514,物资过程计算表!F:F)</f>
        <v>0</v>
      </c>
      <c r="AG514" s="123">
        <f>VLOOKUP($C513,'1 预算编制表单'!$C:$BJ,36,FALSE)</f>
        <v>0</v>
      </c>
      <c r="AH514" s="123"/>
      <c r="AI514" s="123">
        <f>SUMIF(物资过程计算表!$B:$B,$C514,物资过程计算表!G:G)</f>
        <v>0</v>
      </c>
      <c r="AJ514" s="123">
        <f>VLOOKUP($C513,'1 预算编制表单'!$C:$BJ,39,FALSE)</f>
        <v>0</v>
      </c>
      <c r="AK514" s="123"/>
      <c r="AL514" s="123">
        <f>SUMIF(物资过程计算表!$B:$B,$C514,物资过程计算表!H:H)</f>
        <v>0</v>
      </c>
      <c r="AM514" s="123">
        <f>VLOOKUP($C513,'1 预算编制表单'!$C:$BJ,42,FALSE)</f>
        <v>0</v>
      </c>
      <c r="AN514" s="123"/>
      <c r="AO514" s="123">
        <f>SUMIF(物资过程计算表!$B:$B,$C514,物资过程计算表!I:I)</f>
        <v>0</v>
      </c>
      <c r="AP514" s="123">
        <f>VLOOKUP($C513,'1 预算编制表单'!$C:$BJ,45,FALSE)</f>
        <v>0</v>
      </c>
      <c r="AQ514" s="123"/>
      <c r="AR514" s="123">
        <f>SUMIF(物资过程计算表!$B:$B,$C514,物资过程计算表!J:J)</f>
        <v>0</v>
      </c>
      <c r="AS514" s="123">
        <f>VLOOKUP($C513,'1 预算编制表单'!$C:$BJ,48,FALSE)</f>
        <v>0</v>
      </c>
      <c r="AT514" s="123"/>
      <c r="AU514" s="123">
        <f>SUMIF(物资过程计算表!$B:$B,$C514,物资过程计算表!K:K)</f>
        <v>0</v>
      </c>
      <c r="AV514" s="123">
        <f>VLOOKUP($C513,'1 预算编制表单'!$C:$BJ,51,FALSE)</f>
        <v>0</v>
      </c>
      <c r="AW514" s="123"/>
      <c r="AX514" s="123">
        <f>SUMIF(物资过程计算表!$B:$B,$C514,物资过程计算表!L:L)</f>
        <v>0</v>
      </c>
      <c r="AY514" s="123">
        <f>VLOOKUP($C513,'1 预算编制表单'!$C:$BJ,54,FALSE)</f>
        <v>0</v>
      </c>
      <c r="AZ514" s="123"/>
      <c r="BA514" s="123">
        <f>SUMIF(物资过程计算表!$B:$B,$C514,物资过程计算表!M:M)</f>
        <v>0</v>
      </c>
      <c r="BB514" s="123">
        <f>VLOOKUP($C513,'1 预算编制表单'!$C:$BJ,57,FALSE)</f>
        <v>0</v>
      </c>
      <c r="BC514" s="123"/>
      <c r="BD514" s="123">
        <f>SUMIF(物资过程计算表!$B:$B,$C514,物资过程计算表!N:N)</f>
        <v>0</v>
      </c>
      <c r="BE514" s="123">
        <f>VLOOKUP($C513,'1 预算编制表单'!$C:$BJ,60,FALSE)</f>
        <v>0</v>
      </c>
      <c r="BF514" s="123"/>
      <c r="BG514" s="123">
        <f>SUMIF(物资过程计算表!$B:$B,$C514,物资过程计算表!O:O)</f>
        <v>0</v>
      </c>
      <c r="BH514" s="123">
        <f>VLOOKUP($C513,'1 预算编制表单'!$C:$BJ,27,FALSE)</f>
        <v>0</v>
      </c>
      <c r="BI514" s="123">
        <f t="shared" si="5993"/>
        <v>0</v>
      </c>
      <c r="BJ514" s="123"/>
      <c r="BK514" s="123">
        <f>VLOOKUP($C513,'1 预算编制表单'!$C:$BJ,30,FALSE)</f>
        <v>0</v>
      </c>
      <c r="BL514" s="123">
        <f t="shared" si="5994"/>
        <v>0</v>
      </c>
      <c r="BM514" s="123"/>
      <c r="BN514" s="123">
        <f>VLOOKUP($C513,'1 预算编制表单'!$C:$BJ,33,FALSE)</f>
        <v>0</v>
      </c>
      <c r="BO514" s="123">
        <f t="shared" si="5995"/>
        <v>0</v>
      </c>
      <c r="BP514" s="123"/>
      <c r="BQ514" s="123">
        <f>VLOOKUP($C513,'1 预算编制表单'!$C:$BJ,36,FALSE)</f>
        <v>0</v>
      </c>
      <c r="BR514" s="123">
        <f t="shared" si="5996"/>
        <v>0</v>
      </c>
      <c r="BS514" s="123"/>
      <c r="BT514" s="123">
        <f>VLOOKUP($C513,'1 预算编制表单'!$C:$BJ,39,FALSE)</f>
        <v>0</v>
      </c>
      <c r="BU514" s="123">
        <f t="shared" si="5997"/>
        <v>0</v>
      </c>
      <c r="BV514" s="123"/>
      <c r="BW514" s="123">
        <f>VLOOKUP($C513,'1 预算编制表单'!$C:$BJ,42,FALSE)</f>
        <v>0</v>
      </c>
      <c r="BX514" s="123">
        <f t="shared" si="5998"/>
        <v>0</v>
      </c>
      <c r="BY514" s="123"/>
      <c r="BZ514" s="123">
        <f>VLOOKUP($C513,'1 预算编制表单'!$C:$BJ,45,FALSE)</f>
        <v>0</v>
      </c>
      <c r="CA514" s="123">
        <f t="shared" si="5999"/>
        <v>0</v>
      </c>
      <c r="CB514" s="123"/>
      <c r="CC514" s="123">
        <f>VLOOKUP($C513,'1 预算编制表单'!$C:$BJ,48,FALSE)</f>
        <v>0</v>
      </c>
      <c r="CD514" s="123">
        <f t="shared" si="6000"/>
        <v>0</v>
      </c>
      <c r="CE514" s="123"/>
      <c r="CF514" s="123">
        <f>VLOOKUP($C513,'1 预算编制表单'!$C:$BJ,51,FALSE)</f>
        <v>0</v>
      </c>
      <c r="CG514" s="123">
        <f t="shared" si="6001"/>
        <v>0</v>
      </c>
      <c r="CH514" s="123"/>
      <c r="CI514" s="123">
        <f>VLOOKUP($C513,'1 预算编制表单'!$C:$BJ,54,FALSE)</f>
        <v>0</v>
      </c>
      <c r="CJ514" s="123">
        <f t="shared" si="6002"/>
        <v>0</v>
      </c>
      <c r="CK514" s="123"/>
      <c r="CL514" s="123">
        <f>VLOOKUP($C513,'1 预算编制表单'!$C:$BJ,57,FALSE)</f>
        <v>0</v>
      </c>
      <c r="CM514" s="123">
        <f t="shared" si="6003"/>
        <v>0</v>
      </c>
      <c r="CN514" s="123"/>
      <c r="CO514" s="123">
        <f>VLOOKUP($C513,'1 预算编制表单'!$C:$BJ,60,FALSE)</f>
        <v>0</v>
      </c>
      <c r="CP514" s="123">
        <f t="shared" si="6004"/>
        <v>0</v>
      </c>
      <c r="CQ514" s="123"/>
    </row>
    <row r="515" ht="24" customHeight="1" outlineLevel="2" spans="1:95">
      <c r="A515" s="43"/>
      <c r="B515" s="121"/>
      <c r="C515" s="122"/>
      <c r="D515" s="43" t="s">
        <v>2878</v>
      </c>
      <c r="E515" s="121"/>
      <c r="F515" s="121"/>
      <c r="G515" s="121"/>
      <c r="H515" s="123"/>
      <c r="I515" s="123"/>
      <c r="J515" s="123"/>
      <c r="K515" s="123"/>
      <c r="L515" s="154"/>
      <c r="M515" s="154"/>
      <c r="N515" s="123"/>
      <c r="O515" s="154"/>
      <c r="P515" s="123"/>
      <c r="Q515" s="123"/>
      <c r="R515" s="123"/>
      <c r="S515" s="123"/>
      <c r="T515" s="123"/>
      <c r="U515" s="123"/>
      <c r="V515" s="123"/>
      <c r="W515" s="123"/>
      <c r="X515" s="123"/>
      <c r="Y515" s="123"/>
      <c r="Z515" s="123">
        <f>报销单计算表!B14</f>
        <v>0</v>
      </c>
      <c r="AA515" s="123"/>
      <c r="AB515" s="123"/>
      <c r="AC515" s="123">
        <f>报销单计算表!C14</f>
        <v>0</v>
      </c>
      <c r="AD515" s="123"/>
      <c r="AE515" s="123"/>
      <c r="AF515" s="123">
        <f>报销单计算表!D14</f>
        <v>0</v>
      </c>
      <c r="AG515" s="123"/>
      <c r="AH515" s="123"/>
      <c r="AI515" s="123">
        <f>报销单计算表!E14</f>
        <v>0</v>
      </c>
      <c r="AJ515" s="123"/>
      <c r="AK515" s="123"/>
      <c r="AL515" s="123">
        <f>报销单计算表!F14</f>
        <v>0</v>
      </c>
      <c r="AM515" s="123"/>
      <c r="AN515" s="123"/>
      <c r="AO515" s="123">
        <f>报销单计算表!G14</f>
        <v>0</v>
      </c>
      <c r="AP515" s="123"/>
      <c r="AQ515" s="123"/>
      <c r="AR515" s="123">
        <f>报销单计算表!H14</f>
        <v>0</v>
      </c>
      <c r="AS515" s="123"/>
      <c r="AT515" s="123"/>
      <c r="AU515" s="123">
        <f>报销单计算表!I14</f>
        <v>0</v>
      </c>
      <c r="AV515" s="123"/>
      <c r="AW515" s="123"/>
      <c r="AX515" s="123">
        <f>报销单计算表!J14</f>
        <v>0</v>
      </c>
      <c r="AY515" s="123"/>
      <c r="AZ515" s="123"/>
      <c r="BA515" s="123">
        <f>报销单计算表!K14</f>
        <v>0</v>
      </c>
      <c r="BB515" s="123"/>
      <c r="BC515" s="123"/>
      <c r="BD515" s="123">
        <f>报销单计算表!L14</f>
        <v>0</v>
      </c>
      <c r="BE515" s="123"/>
      <c r="BF515" s="123"/>
      <c r="BG515" s="123">
        <f>报销单计算表!M14</f>
        <v>0</v>
      </c>
      <c r="BH515" s="123"/>
      <c r="BI515" s="123"/>
      <c r="BJ515" s="123"/>
      <c r="BK515" s="123"/>
      <c r="BL515" s="123"/>
      <c r="BM515" s="123"/>
      <c r="BN515" s="123"/>
      <c r="BO515" s="123"/>
      <c r="BP515" s="123"/>
      <c r="BQ515" s="123"/>
      <c r="BR515" s="123"/>
      <c r="BS515" s="123"/>
      <c r="BT515" s="123"/>
      <c r="BU515" s="123"/>
      <c r="BV515" s="123"/>
      <c r="BW515" s="123"/>
      <c r="BX515" s="123"/>
      <c r="BY515" s="123"/>
      <c r="BZ515" s="123"/>
      <c r="CA515" s="123"/>
      <c r="CB515" s="123"/>
      <c r="CC515" s="123"/>
      <c r="CD515" s="123"/>
      <c r="CE515" s="123"/>
      <c r="CF515" s="123"/>
      <c r="CG515" s="123"/>
      <c r="CH515" s="123"/>
      <c r="CI515" s="123"/>
      <c r="CJ515" s="123"/>
      <c r="CK515" s="123"/>
      <c r="CL515" s="123"/>
      <c r="CM515" s="123"/>
      <c r="CN515" s="123"/>
      <c r="CO515" s="123"/>
      <c r="CP515" s="123"/>
      <c r="CQ515" s="123"/>
    </row>
    <row r="516" ht="24" customHeight="1" outlineLevel="1" spans="1:95">
      <c r="A516" s="14"/>
      <c r="B516" s="118" t="s">
        <v>787</v>
      </c>
      <c r="C516" s="119" t="s">
        <v>1757</v>
      </c>
      <c r="D516" s="14" t="s">
        <v>1758</v>
      </c>
      <c r="E516" s="118"/>
      <c r="F516" s="118"/>
      <c r="G516" s="118"/>
      <c r="H516" s="120">
        <f t="shared" si="5979"/>
        <v>0</v>
      </c>
      <c r="I516" s="120">
        <f t="shared" si="5980"/>
        <v>-226714.12</v>
      </c>
      <c r="J516" s="120">
        <f t="shared" si="5367"/>
        <v>226714.12</v>
      </c>
      <c r="K516" s="120"/>
      <c r="L516" s="153"/>
      <c r="M516" s="153"/>
      <c r="N516" s="120"/>
      <c r="O516" s="153"/>
      <c r="P516" s="120"/>
      <c r="Q516" s="120"/>
      <c r="R516" s="120"/>
      <c r="S516" s="120"/>
      <c r="T516" s="120"/>
      <c r="U516" s="120"/>
      <c r="V516" s="120"/>
      <c r="W516" s="120"/>
      <c r="X516" s="120">
        <f>VLOOKUP($C516,'1 预算编制表单'!$C:$BJ,27,FALSE)</f>
        <v>0</v>
      </c>
      <c r="Y516" s="120">
        <f t="shared" ref="Y516:Y519" si="6005">X516-Z516</f>
        <v>-150547.8</v>
      </c>
      <c r="Z516" s="120">
        <f>Z517+Z518+Z519</f>
        <v>150547.8</v>
      </c>
      <c r="AA516" s="120">
        <f>VLOOKUP($C516,'1 预算编制表单'!$C:$BJ,30,FALSE)</f>
        <v>0</v>
      </c>
      <c r="AB516" s="120">
        <f t="shared" si="5982"/>
        <v>-3265.4</v>
      </c>
      <c r="AC516" s="120">
        <f>AC517+AC518+AC519</f>
        <v>3265.4</v>
      </c>
      <c r="AD516" s="120">
        <f>VLOOKUP($C516,'1 预算编制表单'!$C:$BJ,33,FALSE)</f>
        <v>0</v>
      </c>
      <c r="AE516" s="120">
        <f t="shared" si="5983"/>
        <v>-47534</v>
      </c>
      <c r="AF516" s="120">
        <f>AF517+AF518+AF519</f>
        <v>47534</v>
      </c>
      <c r="AG516" s="120">
        <f>VLOOKUP($C516,'1 预算编制表单'!$C:$BJ,36,FALSE)</f>
        <v>0</v>
      </c>
      <c r="AH516" s="120">
        <f t="shared" si="5984"/>
        <v>-10203.6</v>
      </c>
      <c r="AI516" s="120">
        <f>AI517+AI518+AI519</f>
        <v>10203.6</v>
      </c>
      <c r="AJ516" s="120">
        <f>VLOOKUP($C516,'1 预算编制表单'!$C:$BJ,39,FALSE)</f>
        <v>0</v>
      </c>
      <c r="AK516" s="120">
        <f t="shared" si="5985"/>
        <v>-6292.6</v>
      </c>
      <c r="AL516" s="120">
        <f>AL517+AL518+AL519</f>
        <v>6292.6</v>
      </c>
      <c r="AM516" s="120">
        <f>VLOOKUP($C516,'1 预算编制表单'!$C:$BJ,42,FALSE)</f>
        <v>0</v>
      </c>
      <c r="AN516" s="120">
        <f t="shared" si="5986"/>
        <v>-8870.72</v>
      </c>
      <c r="AO516" s="120">
        <f>AO517+AO518+AO519</f>
        <v>8870.72</v>
      </c>
      <c r="AP516" s="120">
        <f>VLOOKUP($C516,'1 预算编制表单'!$C:$BJ,45,FALSE)</f>
        <v>0</v>
      </c>
      <c r="AQ516" s="120">
        <f t="shared" si="5987"/>
        <v>0</v>
      </c>
      <c r="AR516" s="120">
        <f>AR517+AR518+AR519</f>
        <v>0</v>
      </c>
      <c r="AS516" s="120">
        <f>VLOOKUP($C516,'1 预算编制表单'!$C:$BJ,48,FALSE)</f>
        <v>0</v>
      </c>
      <c r="AT516" s="120">
        <f t="shared" si="5988"/>
        <v>0</v>
      </c>
      <c r="AU516" s="120">
        <f>AU517+AU518+AU519</f>
        <v>0</v>
      </c>
      <c r="AV516" s="120">
        <f>VLOOKUP($C516,'1 预算编制表单'!$C:$BJ,51,FALSE)</f>
        <v>0</v>
      </c>
      <c r="AW516" s="120">
        <f t="shared" si="5989"/>
        <v>0</v>
      </c>
      <c r="AX516" s="120">
        <f>AX517+AX518+AX519</f>
        <v>0</v>
      </c>
      <c r="AY516" s="120">
        <f>VLOOKUP($C516,'1 预算编制表单'!$C:$BJ,54,FALSE)</f>
        <v>0</v>
      </c>
      <c r="AZ516" s="120">
        <f t="shared" si="5990"/>
        <v>0</v>
      </c>
      <c r="BA516" s="120">
        <f>BA517+BA518+BA519</f>
        <v>0</v>
      </c>
      <c r="BB516" s="120">
        <f>VLOOKUP($C516,'1 预算编制表单'!$C:$BJ,57,FALSE)</f>
        <v>0</v>
      </c>
      <c r="BC516" s="120">
        <f t="shared" si="5991"/>
        <v>0</v>
      </c>
      <c r="BD516" s="120">
        <f>BD517+BD518+BD519</f>
        <v>0</v>
      </c>
      <c r="BE516" s="120">
        <f>VLOOKUP($C516,'1 预算编制表单'!$C:$BJ,60,FALSE)</f>
        <v>0</v>
      </c>
      <c r="BF516" s="120">
        <f t="shared" si="5992"/>
        <v>0</v>
      </c>
      <c r="BG516" s="120">
        <f>BG517+BG518+BG519</f>
        <v>0</v>
      </c>
      <c r="BH516" s="120">
        <f>VLOOKUP($C516,'1 预算编制表单'!$C:$BJ,27,FALSE)</f>
        <v>0</v>
      </c>
      <c r="BI516" s="120">
        <f t="shared" si="5993"/>
        <v>0</v>
      </c>
      <c r="BJ516" s="120">
        <f>BJ517+BJ518+BJ519</f>
        <v>0</v>
      </c>
      <c r="BK516" s="120">
        <f>VLOOKUP($C516,'1 预算编制表单'!$C:$BJ,30,FALSE)</f>
        <v>0</v>
      </c>
      <c r="BL516" s="120">
        <f t="shared" si="5994"/>
        <v>0</v>
      </c>
      <c r="BM516" s="120">
        <f>BM517+BM518+BM519</f>
        <v>0</v>
      </c>
      <c r="BN516" s="120">
        <f>VLOOKUP($C516,'1 预算编制表单'!$C:$BJ,33,FALSE)</f>
        <v>0</v>
      </c>
      <c r="BO516" s="120">
        <f t="shared" si="5995"/>
        <v>0</v>
      </c>
      <c r="BP516" s="120">
        <f>BP517+BP518+BP519</f>
        <v>0</v>
      </c>
      <c r="BQ516" s="120">
        <f>VLOOKUP($C516,'1 预算编制表单'!$C:$BJ,36,FALSE)</f>
        <v>0</v>
      </c>
      <c r="BR516" s="120">
        <f t="shared" si="5996"/>
        <v>0</v>
      </c>
      <c r="BS516" s="120">
        <f>BS517+BS518+BS519</f>
        <v>0</v>
      </c>
      <c r="BT516" s="120">
        <f>VLOOKUP($C516,'1 预算编制表单'!$C:$BJ,39,FALSE)</f>
        <v>0</v>
      </c>
      <c r="BU516" s="120">
        <f t="shared" si="5997"/>
        <v>0</v>
      </c>
      <c r="BV516" s="120">
        <f>BV517+BV518+BV519</f>
        <v>0</v>
      </c>
      <c r="BW516" s="120">
        <f>VLOOKUP($C516,'1 预算编制表单'!$C:$BJ,42,FALSE)</f>
        <v>0</v>
      </c>
      <c r="BX516" s="120">
        <f t="shared" si="5998"/>
        <v>0</v>
      </c>
      <c r="BY516" s="120">
        <f>BY517+BY518+BY519</f>
        <v>0</v>
      </c>
      <c r="BZ516" s="120">
        <f>VLOOKUP($C516,'1 预算编制表单'!$C:$BJ,45,FALSE)</f>
        <v>0</v>
      </c>
      <c r="CA516" s="120">
        <f t="shared" si="5999"/>
        <v>0</v>
      </c>
      <c r="CB516" s="120">
        <f>CB517+CB518+CB519</f>
        <v>0</v>
      </c>
      <c r="CC516" s="120">
        <f>VLOOKUP($C516,'1 预算编制表单'!$C:$BJ,48,FALSE)</f>
        <v>0</v>
      </c>
      <c r="CD516" s="120">
        <f t="shared" si="6000"/>
        <v>0</v>
      </c>
      <c r="CE516" s="120">
        <f>CE517+CE518+CE519</f>
        <v>0</v>
      </c>
      <c r="CF516" s="120">
        <f>VLOOKUP($C516,'1 预算编制表单'!$C:$BJ,51,FALSE)</f>
        <v>0</v>
      </c>
      <c r="CG516" s="120">
        <f t="shared" si="6001"/>
        <v>0</v>
      </c>
      <c r="CH516" s="120">
        <f>CH517+CH518+CH519</f>
        <v>0</v>
      </c>
      <c r="CI516" s="120">
        <f>VLOOKUP($C516,'1 预算编制表单'!$C:$BJ,54,FALSE)</f>
        <v>0</v>
      </c>
      <c r="CJ516" s="120">
        <f t="shared" si="6002"/>
        <v>0</v>
      </c>
      <c r="CK516" s="120">
        <f>CK517+CK518+CK519</f>
        <v>0</v>
      </c>
      <c r="CL516" s="120">
        <f>VLOOKUP($C516,'1 预算编制表单'!$C:$BJ,57,FALSE)</f>
        <v>0</v>
      </c>
      <c r="CM516" s="120">
        <f t="shared" si="6003"/>
        <v>0</v>
      </c>
      <c r="CN516" s="120">
        <f>CN517+CN518+CN519</f>
        <v>0</v>
      </c>
      <c r="CO516" s="120">
        <f>VLOOKUP($C516,'1 预算编制表单'!$C:$BJ,60,FALSE)</f>
        <v>0</v>
      </c>
      <c r="CP516" s="120">
        <f t="shared" si="6004"/>
        <v>0</v>
      </c>
      <c r="CQ516" s="120">
        <f>CQ517+CQ518+CQ519</f>
        <v>0</v>
      </c>
    </row>
    <row r="517" ht="24" customHeight="1" outlineLevel="2" spans="1:95">
      <c r="A517" s="43"/>
      <c r="B517" s="121" t="s">
        <v>787</v>
      </c>
      <c r="C517" s="122" t="s">
        <v>1759</v>
      </c>
      <c r="D517" s="43" t="s">
        <v>1760</v>
      </c>
      <c r="E517" s="121"/>
      <c r="F517" s="121"/>
      <c r="G517" s="121"/>
      <c r="H517" s="123">
        <f t="shared" si="5979"/>
        <v>0</v>
      </c>
      <c r="I517" s="123">
        <f t="shared" si="5980"/>
        <v>-16227</v>
      </c>
      <c r="J517" s="123">
        <f t="shared" si="5367"/>
        <v>16227</v>
      </c>
      <c r="K517" s="123"/>
      <c r="L517" s="154"/>
      <c r="M517" s="154"/>
      <c r="N517" s="123"/>
      <c r="O517" s="154"/>
      <c r="P517" s="123"/>
      <c r="Q517" s="123"/>
      <c r="R517" s="123"/>
      <c r="S517" s="123"/>
      <c r="T517" s="123"/>
      <c r="U517" s="123"/>
      <c r="V517" s="123"/>
      <c r="W517" s="123"/>
      <c r="X517" s="123">
        <f>VLOOKUP($C517,'1 预算编制表单'!$C:$BJ,27,FALSE)</f>
        <v>0</v>
      </c>
      <c r="Y517" s="123">
        <f t="shared" si="6005"/>
        <v>-15347</v>
      </c>
      <c r="Z517" s="123">
        <f>SUMIF(物资过程计算表!$B:$B,$C517,物资过程计算表!$D:$D)</f>
        <v>15347</v>
      </c>
      <c r="AA517" s="123">
        <f>VLOOKUP($C517,'1 预算编制表单'!$C:$BJ,30,FALSE)</f>
        <v>0</v>
      </c>
      <c r="AB517" s="123">
        <f t="shared" si="5982"/>
        <v>0</v>
      </c>
      <c r="AC517" s="123">
        <f>SUMIF(物资过程计算表!$B:$B,$C517,物资过程计算表!E:E)</f>
        <v>0</v>
      </c>
      <c r="AD517" s="123">
        <f>VLOOKUP($C517,'1 预算编制表单'!$C:$BJ,33,FALSE)</f>
        <v>0</v>
      </c>
      <c r="AE517" s="123">
        <f t="shared" si="5983"/>
        <v>0</v>
      </c>
      <c r="AF517" s="123">
        <f>SUMIF(物资过程计算表!$B:$B,$C517,物资过程计算表!F:F)</f>
        <v>0</v>
      </c>
      <c r="AG517" s="123">
        <f>VLOOKUP($C517,'1 预算编制表单'!$C:$BJ,36,FALSE)</f>
        <v>0</v>
      </c>
      <c r="AH517" s="123">
        <f t="shared" si="5984"/>
        <v>0</v>
      </c>
      <c r="AI517" s="123">
        <f>SUMIF(物资过程计算表!$B:$B,$C517,物资过程计算表!G:G)</f>
        <v>0</v>
      </c>
      <c r="AJ517" s="123">
        <f>VLOOKUP($C517,'1 预算编制表单'!$C:$BJ,39,FALSE)</f>
        <v>0</v>
      </c>
      <c r="AK517" s="123">
        <f t="shared" si="5985"/>
        <v>0</v>
      </c>
      <c r="AL517" s="123">
        <f>SUMIF(物资过程计算表!$B:$B,$C517,物资过程计算表!H:H)</f>
        <v>0</v>
      </c>
      <c r="AM517" s="123">
        <f>VLOOKUP($C517,'1 预算编制表单'!$C:$BJ,42,FALSE)</f>
        <v>0</v>
      </c>
      <c r="AN517" s="123">
        <f t="shared" si="5986"/>
        <v>-880</v>
      </c>
      <c r="AO517" s="123">
        <f>SUMIF(物资过程计算表!$B:$B,$C517,物资过程计算表!I:I)</f>
        <v>880</v>
      </c>
      <c r="AP517" s="123">
        <f>VLOOKUP($C517,'1 预算编制表单'!$C:$BJ,45,FALSE)</f>
        <v>0</v>
      </c>
      <c r="AQ517" s="123">
        <f t="shared" si="5987"/>
        <v>0</v>
      </c>
      <c r="AR517" s="123">
        <f>SUMIF(物资过程计算表!$B:$B,$C517,物资过程计算表!J:J)</f>
        <v>0</v>
      </c>
      <c r="AS517" s="123">
        <f>VLOOKUP($C517,'1 预算编制表单'!$C:$BJ,48,FALSE)</f>
        <v>0</v>
      </c>
      <c r="AT517" s="123">
        <f t="shared" si="5988"/>
        <v>0</v>
      </c>
      <c r="AU517" s="123">
        <f>SUMIF(物资过程计算表!$B:$B,$C517,物资过程计算表!K:K)</f>
        <v>0</v>
      </c>
      <c r="AV517" s="123">
        <f>VLOOKUP($C517,'1 预算编制表单'!$C:$BJ,51,FALSE)</f>
        <v>0</v>
      </c>
      <c r="AW517" s="123">
        <f t="shared" si="5989"/>
        <v>0</v>
      </c>
      <c r="AX517" s="123">
        <f>SUMIF(物资过程计算表!$B:$B,$C517,物资过程计算表!L:L)</f>
        <v>0</v>
      </c>
      <c r="AY517" s="123">
        <f>VLOOKUP($C517,'1 预算编制表单'!$C:$BJ,54,FALSE)</f>
        <v>0</v>
      </c>
      <c r="AZ517" s="123">
        <f t="shared" si="5990"/>
        <v>0</v>
      </c>
      <c r="BA517" s="123">
        <f>SUMIF(物资过程计算表!$B:$B,$C517,物资过程计算表!M:M)</f>
        <v>0</v>
      </c>
      <c r="BB517" s="123">
        <f>VLOOKUP($C517,'1 预算编制表单'!$C:$BJ,57,FALSE)</f>
        <v>0</v>
      </c>
      <c r="BC517" s="123">
        <f t="shared" si="5991"/>
        <v>0</v>
      </c>
      <c r="BD517" s="123">
        <f>SUMIF(物资过程计算表!$B:$B,$C517,物资过程计算表!N:N)</f>
        <v>0</v>
      </c>
      <c r="BE517" s="123">
        <f>VLOOKUP($C517,'1 预算编制表单'!$C:$BJ,60,FALSE)</f>
        <v>0</v>
      </c>
      <c r="BF517" s="123">
        <f t="shared" si="5992"/>
        <v>0</v>
      </c>
      <c r="BG517" s="123">
        <f>SUMIF(物资过程计算表!$B:$B,$C517,物资过程计算表!O:O)</f>
        <v>0</v>
      </c>
      <c r="BH517" s="123">
        <f>VLOOKUP($C517,'1 预算编制表单'!$C:$BJ,27,FALSE)</f>
        <v>0</v>
      </c>
      <c r="BI517" s="123">
        <f t="shared" si="5993"/>
        <v>0</v>
      </c>
      <c r="BJ517" s="123"/>
      <c r="BK517" s="123">
        <f>VLOOKUP($C517,'1 预算编制表单'!$C:$BJ,30,FALSE)</f>
        <v>0</v>
      </c>
      <c r="BL517" s="123">
        <f t="shared" si="5994"/>
        <v>0</v>
      </c>
      <c r="BM517" s="123"/>
      <c r="BN517" s="123">
        <f>VLOOKUP($C517,'1 预算编制表单'!$C:$BJ,33,FALSE)</f>
        <v>0</v>
      </c>
      <c r="BO517" s="123">
        <f t="shared" si="5995"/>
        <v>0</v>
      </c>
      <c r="BP517" s="123"/>
      <c r="BQ517" s="123">
        <f>VLOOKUP($C517,'1 预算编制表单'!$C:$BJ,36,FALSE)</f>
        <v>0</v>
      </c>
      <c r="BR517" s="123">
        <f t="shared" si="5996"/>
        <v>0</v>
      </c>
      <c r="BS517" s="123"/>
      <c r="BT517" s="123">
        <f>VLOOKUP($C517,'1 预算编制表单'!$C:$BJ,39,FALSE)</f>
        <v>0</v>
      </c>
      <c r="BU517" s="123">
        <f t="shared" si="5997"/>
        <v>0</v>
      </c>
      <c r="BV517" s="123"/>
      <c r="BW517" s="123">
        <f>VLOOKUP($C517,'1 预算编制表单'!$C:$BJ,42,FALSE)</f>
        <v>0</v>
      </c>
      <c r="BX517" s="123">
        <f t="shared" si="5998"/>
        <v>0</v>
      </c>
      <c r="BY517" s="123"/>
      <c r="BZ517" s="123">
        <f>VLOOKUP($C517,'1 预算编制表单'!$C:$BJ,45,FALSE)</f>
        <v>0</v>
      </c>
      <c r="CA517" s="123">
        <f t="shared" si="5999"/>
        <v>0</v>
      </c>
      <c r="CB517" s="123"/>
      <c r="CC517" s="123">
        <f>VLOOKUP($C517,'1 预算编制表单'!$C:$BJ,48,FALSE)</f>
        <v>0</v>
      </c>
      <c r="CD517" s="123">
        <f t="shared" si="6000"/>
        <v>0</v>
      </c>
      <c r="CE517" s="123"/>
      <c r="CF517" s="123">
        <f>VLOOKUP($C517,'1 预算编制表单'!$C:$BJ,51,FALSE)</f>
        <v>0</v>
      </c>
      <c r="CG517" s="123">
        <f t="shared" si="6001"/>
        <v>0</v>
      </c>
      <c r="CH517" s="123"/>
      <c r="CI517" s="123">
        <f>VLOOKUP($C517,'1 预算编制表单'!$C:$BJ,54,FALSE)</f>
        <v>0</v>
      </c>
      <c r="CJ517" s="123">
        <f t="shared" si="6002"/>
        <v>0</v>
      </c>
      <c r="CK517" s="123"/>
      <c r="CL517" s="123">
        <f>VLOOKUP($C517,'1 预算编制表单'!$C:$BJ,57,FALSE)</f>
        <v>0</v>
      </c>
      <c r="CM517" s="123">
        <f t="shared" si="6003"/>
        <v>0</v>
      </c>
      <c r="CN517" s="123"/>
      <c r="CO517" s="123">
        <f>VLOOKUP($C517,'1 预算编制表单'!$C:$BJ,60,FALSE)</f>
        <v>0</v>
      </c>
      <c r="CP517" s="123">
        <f t="shared" si="6004"/>
        <v>0</v>
      </c>
      <c r="CQ517" s="123"/>
    </row>
    <row r="518" ht="24" customHeight="1" outlineLevel="2" spans="1:95">
      <c r="A518" s="43"/>
      <c r="B518" s="121" t="s">
        <v>787</v>
      </c>
      <c r="C518" s="122" t="s">
        <v>1779</v>
      </c>
      <c r="D518" s="43" t="s">
        <v>1780</v>
      </c>
      <c r="E518" s="121"/>
      <c r="F518" s="121"/>
      <c r="G518" s="121"/>
      <c r="H518" s="123">
        <f t="shared" si="5979"/>
        <v>0</v>
      </c>
      <c r="I518" s="123">
        <f t="shared" si="5980"/>
        <v>-4215.9</v>
      </c>
      <c r="J518" s="123">
        <f t="shared" si="5367"/>
        <v>4215.9</v>
      </c>
      <c r="K518" s="123"/>
      <c r="L518" s="154"/>
      <c r="M518" s="154"/>
      <c r="N518" s="123"/>
      <c r="O518" s="154"/>
      <c r="P518" s="123"/>
      <c r="Q518" s="123"/>
      <c r="R518" s="123"/>
      <c r="S518" s="123"/>
      <c r="T518" s="123"/>
      <c r="U518" s="123"/>
      <c r="V518" s="123"/>
      <c r="W518" s="123"/>
      <c r="X518" s="123">
        <f>VLOOKUP($C518,'1 预算编制表单'!$C:$BJ,27,FALSE)</f>
        <v>0</v>
      </c>
      <c r="Y518" s="123">
        <f t="shared" si="6005"/>
        <v>-316</v>
      </c>
      <c r="Z518" s="123">
        <f>SUMIF(物资过程计算表!$B:$B,$C518,物资过程计算表!$D:$D)</f>
        <v>316</v>
      </c>
      <c r="AA518" s="123">
        <f>VLOOKUP($C518,'1 预算编制表单'!$C:$BJ,30,FALSE)</f>
        <v>0</v>
      </c>
      <c r="AB518" s="123">
        <f t="shared" si="5982"/>
        <v>-2350</v>
      </c>
      <c r="AC518" s="123">
        <f>SUMIF(物资过程计算表!$B:$B,$C518,物资过程计算表!E:E)</f>
        <v>2350</v>
      </c>
      <c r="AD518" s="123">
        <f>VLOOKUP($C518,'1 预算编制表单'!$C:$BJ,33,FALSE)</f>
        <v>0</v>
      </c>
      <c r="AE518" s="123">
        <f t="shared" si="5983"/>
        <v>-902.9</v>
      </c>
      <c r="AF518" s="123">
        <f>SUMIF(物资过程计算表!$B:$B,$C518,物资过程计算表!F:F)</f>
        <v>902.9</v>
      </c>
      <c r="AG518" s="123">
        <f>VLOOKUP($C518,'1 预算编制表单'!$C:$BJ,36,FALSE)</f>
        <v>0</v>
      </c>
      <c r="AH518" s="123">
        <f t="shared" si="5984"/>
        <v>-410</v>
      </c>
      <c r="AI518" s="123">
        <f>SUMIF(物资过程计算表!$B:$B,$C518,物资过程计算表!G:G)</f>
        <v>410</v>
      </c>
      <c r="AJ518" s="123">
        <f>VLOOKUP($C518,'1 预算编制表单'!$C:$BJ,39,FALSE)</f>
        <v>0</v>
      </c>
      <c r="AK518" s="123">
        <f t="shared" si="5985"/>
        <v>0</v>
      </c>
      <c r="AL518" s="123">
        <f>SUMIF(物资过程计算表!$B:$B,$C518,物资过程计算表!H:H)</f>
        <v>0</v>
      </c>
      <c r="AM518" s="123">
        <f>VLOOKUP($C518,'1 预算编制表单'!$C:$BJ,42,FALSE)</f>
        <v>0</v>
      </c>
      <c r="AN518" s="123">
        <f t="shared" si="5986"/>
        <v>-237</v>
      </c>
      <c r="AO518" s="123">
        <f>SUMIF(物资过程计算表!$B:$B,$C518,物资过程计算表!I:I)</f>
        <v>237</v>
      </c>
      <c r="AP518" s="123">
        <f>VLOOKUP($C518,'1 预算编制表单'!$C:$BJ,45,FALSE)</f>
        <v>0</v>
      </c>
      <c r="AQ518" s="123">
        <f t="shared" si="5987"/>
        <v>0</v>
      </c>
      <c r="AR518" s="123">
        <f>SUMIF(物资过程计算表!$B:$B,$C518,物资过程计算表!J:J)</f>
        <v>0</v>
      </c>
      <c r="AS518" s="123">
        <f>VLOOKUP($C518,'1 预算编制表单'!$C:$BJ,48,FALSE)</f>
        <v>0</v>
      </c>
      <c r="AT518" s="123">
        <f t="shared" si="5988"/>
        <v>0</v>
      </c>
      <c r="AU518" s="123">
        <f>SUMIF(物资过程计算表!$B:$B,$C518,物资过程计算表!K:K)</f>
        <v>0</v>
      </c>
      <c r="AV518" s="123">
        <f>VLOOKUP($C518,'1 预算编制表单'!$C:$BJ,51,FALSE)</f>
        <v>0</v>
      </c>
      <c r="AW518" s="123">
        <f t="shared" si="5989"/>
        <v>0</v>
      </c>
      <c r="AX518" s="123">
        <f>SUMIF(物资过程计算表!$B:$B,$C518,物资过程计算表!L:L)</f>
        <v>0</v>
      </c>
      <c r="AY518" s="123">
        <f>VLOOKUP($C518,'1 预算编制表单'!$C:$BJ,54,FALSE)</f>
        <v>0</v>
      </c>
      <c r="AZ518" s="123">
        <f t="shared" si="5990"/>
        <v>0</v>
      </c>
      <c r="BA518" s="123">
        <f>SUMIF(物资过程计算表!$B:$B,$C518,物资过程计算表!M:M)</f>
        <v>0</v>
      </c>
      <c r="BB518" s="123">
        <f>VLOOKUP($C518,'1 预算编制表单'!$C:$BJ,57,FALSE)</f>
        <v>0</v>
      </c>
      <c r="BC518" s="123">
        <f t="shared" si="5991"/>
        <v>0</v>
      </c>
      <c r="BD518" s="123">
        <f>SUMIF(物资过程计算表!$B:$B,$C518,物资过程计算表!N:N)</f>
        <v>0</v>
      </c>
      <c r="BE518" s="123">
        <f>VLOOKUP($C518,'1 预算编制表单'!$C:$BJ,60,FALSE)</f>
        <v>0</v>
      </c>
      <c r="BF518" s="123">
        <f t="shared" si="5992"/>
        <v>0</v>
      </c>
      <c r="BG518" s="123">
        <f>SUMIF(物资过程计算表!$B:$B,$C518,物资过程计算表!O:O)</f>
        <v>0</v>
      </c>
      <c r="BH518" s="123">
        <f>VLOOKUP($C518,'1 预算编制表单'!$C:$BJ,27,FALSE)</f>
        <v>0</v>
      </c>
      <c r="BI518" s="123">
        <f t="shared" si="5993"/>
        <v>0</v>
      </c>
      <c r="BJ518" s="123"/>
      <c r="BK518" s="123">
        <f>VLOOKUP($C518,'1 预算编制表单'!$C:$BJ,30,FALSE)</f>
        <v>0</v>
      </c>
      <c r="BL518" s="123">
        <f t="shared" si="5994"/>
        <v>0</v>
      </c>
      <c r="BM518" s="123"/>
      <c r="BN518" s="123">
        <f>VLOOKUP($C518,'1 预算编制表单'!$C:$BJ,33,FALSE)</f>
        <v>0</v>
      </c>
      <c r="BO518" s="123">
        <f t="shared" si="5995"/>
        <v>0</v>
      </c>
      <c r="BP518" s="123"/>
      <c r="BQ518" s="123">
        <f>VLOOKUP($C518,'1 预算编制表单'!$C:$BJ,36,FALSE)</f>
        <v>0</v>
      </c>
      <c r="BR518" s="123">
        <f t="shared" si="5996"/>
        <v>0</v>
      </c>
      <c r="BS518" s="123"/>
      <c r="BT518" s="123">
        <f>VLOOKUP($C518,'1 预算编制表单'!$C:$BJ,39,FALSE)</f>
        <v>0</v>
      </c>
      <c r="BU518" s="123">
        <f t="shared" si="5997"/>
        <v>0</v>
      </c>
      <c r="BV518" s="123"/>
      <c r="BW518" s="123">
        <f>VLOOKUP($C518,'1 预算编制表单'!$C:$BJ,42,FALSE)</f>
        <v>0</v>
      </c>
      <c r="BX518" s="123">
        <f t="shared" si="5998"/>
        <v>0</v>
      </c>
      <c r="BY518" s="123"/>
      <c r="BZ518" s="123">
        <f>VLOOKUP($C518,'1 预算编制表单'!$C:$BJ,45,FALSE)</f>
        <v>0</v>
      </c>
      <c r="CA518" s="123">
        <f t="shared" si="5999"/>
        <v>0</v>
      </c>
      <c r="CB518" s="123"/>
      <c r="CC518" s="123">
        <f>VLOOKUP($C518,'1 预算编制表单'!$C:$BJ,48,FALSE)</f>
        <v>0</v>
      </c>
      <c r="CD518" s="123">
        <f t="shared" si="6000"/>
        <v>0</v>
      </c>
      <c r="CE518" s="123"/>
      <c r="CF518" s="123">
        <f>VLOOKUP($C518,'1 预算编制表单'!$C:$BJ,51,FALSE)</f>
        <v>0</v>
      </c>
      <c r="CG518" s="123">
        <f t="shared" si="6001"/>
        <v>0</v>
      </c>
      <c r="CH518" s="123"/>
      <c r="CI518" s="123">
        <f>VLOOKUP($C518,'1 预算编制表单'!$C:$BJ,54,FALSE)</f>
        <v>0</v>
      </c>
      <c r="CJ518" s="123">
        <f t="shared" si="6002"/>
        <v>0</v>
      </c>
      <c r="CK518" s="123"/>
      <c r="CL518" s="123">
        <f>VLOOKUP($C518,'1 预算编制表单'!$C:$BJ,57,FALSE)</f>
        <v>0</v>
      </c>
      <c r="CM518" s="123">
        <f t="shared" si="6003"/>
        <v>0</v>
      </c>
      <c r="CN518" s="123"/>
      <c r="CO518" s="123">
        <f>VLOOKUP($C518,'1 预算编制表单'!$C:$BJ,60,FALSE)</f>
        <v>0</v>
      </c>
      <c r="CP518" s="123">
        <f t="shared" si="6004"/>
        <v>0</v>
      </c>
      <c r="CQ518" s="123"/>
    </row>
    <row r="519" ht="24" customHeight="1" outlineLevel="2" spans="1:95">
      <c r="A519" s="43"/>
      <c r="B519" s="121" t="s">
        <v>787</v>
      </c>
      <c r="C519" s="122" t="s">
        <v>1792</v>
      </c>
      <c r="D519" s="43" t="s">
        <v>1793</v>
      </c>
      <c r="E519" s="121"/>
      <c r="F519" s="121"/>
      <c r="G519" s="121"/>
      <c r="H519" s="123">
        <f t="shared" si="5979"/>
        <v>0</v>
      </c>
      <c r="I519" s="123">
        <f t="shared" si="5980"/>
        <v>-206271.22</v>
      </c>
      <c r="J519" s="123">
        <f t="shared" si="5367"/>
        <v>206271.22</v>
      </c>
      <c r="K519" s="123"/>
      <c r="L519" s="154"/>
      <c r="M519" s="154"/>
      <c r="N519" s="123"/>
      <c r="O519" s="154"/>
      <c r="P519" s="123"/>
      <c r="Q519" s="123"/>
      <c r="R519" s="123"/>
      <c r="S519" s="123"/>
      <c r="T519" s="123"/>
      <c r="U519" s="123"/>
      <c r="V519" s="123"/>
      <c r="W519" s="123"/>
      <c r="X519" s="123">
        <f>VLOOKUP($C519,'1 预算编制表单'!$C:$BJ,27,FALSE)</f>
        <v>0</v>
      </c>
      <c r="Y519" s="123">
        <f t="shared" si="6005"/>
        <v>-134884.8</v>
      </c>
      <c r="Z519" s="123">
        <f>SUMIF(物资过程计算表!$B:$B,$C519,物资过程计算表!$D:$D)</f>
        <v>134884.8</v>
      </c>
      <c r="AA519" s="123">
        <f>VLOOKUP($C519,'1 预算编制表单'!$C:$BJ,30,FALSE)</f>
        <v>0</v>
      </c>
      <c r="AB519" s="123">
        <f t="shared" si="5982"/>
        <v>-915.4</v>
      </c>
      <c r="AC519" s="123">
        <f>SUMIF(物资过程计算表!$B:$B,$C519,物资过程计算表!E:E)</f>
        <v>915.4</v>
      </c>
      <c r="AD519" s="123">
        <f>VLOOKUP($C519,'1 预算编制表单'!$C:$BJ,33,FALSE)</f>
        <v>0</v>
      </c>
      <c r="AE519" s="123">
        <f t="shared" si="5983"/>
        <v>-46631.1</v>
      </c>
      <c r="AF519" s="123">
        <f>SUMIF(物资过程计算表!$B:$B,$C519,物资过程计算表!F:F)</f>
        <v>46631.1</v>
      </c>
      <c r="AG519" s="123">
        <f>VLOOKUP($C519,'1 预算编制表单'!$C:$BJ,36,FALSE)</f>
        <v>0</v>
      </c>
      <c r="AH519" s="123">
        <f t="shared" si="5984"/>
        <v>-9793.6</v>
      </c>
      <c r="AI519" s="123">
        <f>SUMIF(物资过程计算表!$B:$B,$C519,物资过程计算表!G:G)</f>
        <v>9793.6</v>
      </c>
      <c r="AJ519" s="123">
        <f>VLOOKUP($C519,'1 预算编制表单'!$C:$BJ,39,FALSE)</f>
        <v>0</v>
      </c>
      <c r="AK519" s="123">
        <f t="shared" si="5985"/>
        <v>-6292.6</v>
      </c>
      <c r="AL519" s="123">
        <f>SUMIF(物资过程计算表!$B:$B,$C519,物资过程计算表!H:H)</f>
        <v>6292.6</v>
      </c>
      <c r="AM519" s="123">
        <f>VLOOKUP($C519,'1 预算编制表单'!$C:$BJ,42,FALSE)</f>
        <v>0</v>
      </c>
      <c r="AN519" s="123">
        <f t="shared" si="5986"/>
        <v>-7753.72</v>
      </c>
      <c r="AO519" s="123">
        <f>SUMIF(物资过程计算表!$B:$B,$C519,物资过程计算表!I:I)</f>
        <v>7753.72</v>
      </c>
      <c r="AP519" s="123">
        <f>VLOOKUP($C519,'1 预算编制表单'!$C:$BJ,45,FALSE)</f>
        <v>0</v>
      </c>
      <c r="AQ519" s="123">
        <f t="shared" si="5987"/>
        <v>0</v>
      </c>
      <c r="AR519" s="123">
        <f>SUMIF(物资过程计算表!$B:$B,$C519,物资过程计算表!J:J)</f>
        <v>0</v>
      </c>
      <c r="AS519" s="123">
        <f>VLOOKUP($C519,'1 预算编制表单'!$C:$BJ,48,FALSE)</f>
        <v>0</v>
      </c>
      <c r="AT519" s="123">
        <f t="shared" si="5988"/>
        <v>0</v>
      </c>
      <c r="AU519" s="123">
        <f>SUMIF(物资过程计算表!$B:$B,$C519,物资过程计算表!K:K)</f>
        <v>0</v>
      </c>
      <c r="AV519" s="123">
        <f>VLOOKUP($C519,'1 预算编制表单'!$C:$BJ,51,FALSE)</f>
        <v>0</v>
      </c>
      <c r="AW519" s="123">
        <f t="shared" si="5989"/>
        <v>0</v>
      </c>
      <c r="AX519" s="123">
        <f>SUMIF(物资过程计算表!$B:$B,$C519,物资过程计算表!L:L)</f>
        <v>0</v>
      </c>
      <c r="AY519" s="123">
        <f>VLOOKUP($C519,'1 预算编制表单'!$C:$BJ,54,FALSE)</f>
        <v>0</v>
      </c>
      <c r="AZ519" s="123">
        <f t="shared" si="5990"/>
        <v>0</v>
      </c>
      <c r="BA519" s="123">
        <f>SUMIF(物资过程计算表!$B:$B,$C519,物资过程计算表!M:M)</f>
        <v>0</v>
      </c>
      <c r="BB519" s="123">
        <f>VLOOKUP($C519,'1 预算编制表单'!$C:$BJ,57,FALSE)</f>
        <v>0</v>
      </c>
      <c r="BC519" s="123">
        <f t="shared" si="5991"/>
        <v>0</v>
      </c>
      <c r="BD519" s="123">
        <f>SUMIF(物资过程计算表!$B:$B,$C519,物资过程计算表!N:N)</f>
        <v>0</v>
      </c>
      <c r="BE519" s="123">
        <f>VLOOKUP($C519,'1 预算编制表单'!$C:$BJ,60,FALSE)</f>
        <v>0</v>
      </c>
      <c r="BF519" s="123">
        <f t="shared" si="5992"/>
        <v>0</v>
      </c>
      <c r="BG519" s="123">
        <f>SUMIF(物资过程计算表!$B:$B,$C519,物资过程计算表!O:O)</f>
        <v>0</v>
      </c>
      <c r="BH519" s="123">
        <f>VLOOKUP($C519,'1 预算编制表单'!$C:$BJ,27,FALSE)</f>
        <v>0</v>
      </c>
      <c r="BI519" s="123">
        <f t="shared" si="5993"/>
        <v>0</v>
      </c>
      <c r="BJ519" s="123"/>
      <c r="BK519" s="123">
        <f>VLOOKUP($C519,'1 预算编制表单'!$C:$BJ,30,FALSE)</f>
        <v>0</v>
      </c>
      <c r="BL519" s="123">
        <f t="shared" si="5994"/>
        <v>0</v>
      </c>
      <c r="BM519" s="123"/>
      <c r="BN519" s="123">
        <f>VLOOKUP($C519,'1 预算编制表单'!$C:$BJ,33,FALSE)</f>
        <v>0</v>
      </c>
      <c r="BO519" s="123">
        <f t="shared" si="5995"/>
        <v>0</v>
      </c>
      <c r="BP519" s="123"/>
      <c r="BQ519" s="123">
        <f>VLOOKUP($C519,'1 预算编制表单'!$C:$BJ,36,FALSE)</f>
        <v>0</v>
      </c>
      <c r="BR519" s="123">
        <f t="shared" si="5996"/>
        <v>0</v>
      </c>
      <c r="BS519" s="123"/>
      <c r="BT519" s="123">
        <f>VLOOKUP($C519,'1 预算编制表单'!$C:$BJ,39,FALSE)</f>
        <v>0</v>
      </c>
      <c r="BU519" s="123">
        <f t="shared" si="5997"/>
        <v>0</v>
      </c>
      <c r="BV519" s="123"/>
      <c r="BW519" s="123">
        <f>VLOOKUP($C519,'1 预算编制表单'!$C:$BJ,42,FALSE)</f>
        <v>0</v>
      </c>
      <c r="BX519" s="123">
        <f t="shared" si="5998"/>
        <v>0</v>
      </c>
      <c r="BY519" s="123"/>
      <c r="BZ519" s="123">
        <f>VLOOKUP($C519,'1 预算编制表单'!$C:$BJ,45,FALSE)</f>
        <v>0</v>
      </c>
      <c r="CA519" s="123">
        <f t="shared" si="5999"/>
        <v>0</v>
      </c>
      <c r="CB519" s="123"/>
      <c r="CC519" s="123">
        <f>VLOOKUP($C519,'1 预算编制表单'!$C:$BJ,48,FALSE)</f>
        <v>0</v>
      </c>
      <c r="CD519" s="123">
        <f t="shared" si="6000"/>
        <v>0</v>
      </c>
      <c r="CE519" s="123"/>
      <c r="CF519" s="123">
        <f>VLOOKUP($C519,'1 预算编制表单'!$C:$BJ,51,FALSE)</f>
        <v>0</v>
      </c>
      <c r="CG519" s="123">
        <f t="shared" si="6001"/>
        <v>0</v>
      </c>
      <c r="CH519" s="123"/>
      <c r="CI519" s="123">
        <f>VLOOKUP($C519,'1 预算编制表单'!$C:$BJ,54,FALSE)</f>
        <v>0</v>
      </c>
      <c r="CJ519" s="123">
        <f t="shared" si="6002"/>
        <v>0</v>
      </c>
      <c r="CK519" s="123"/>
      <c r="CL519" s="123">
        <f>VLOOKUP($C519,'1 预算编制表单'!$C:$BJ,57,FALSE)</f>
        <v>0</v>
      </c>
      <c r="CM519" s="123">
        <f t="shared" si="6003"/>
        <v>0</v>
      </c>
      <c r="CN519" s="123"/>
      <c r="CO519" s="123">
        <f>VLOOKUP($C519,'1 预算编制表单'!$C:$BJ,60,FALSE)</f>
        <v>0</v>
      </c>
      <c r="CP519" s="123">
        <f t="shared" si="6004"/>
        <v>0</v>
      </c>
      <c r="CQ519" s="123"/>
    </row>
    <row r="520" ht="24" customHeight="1" outlineLevel="1" spans="1:95">
      <c r="A520" s="14"/>
      <c r="B520" s="118" t="s">
        <v>787</v>
      </c>
      <c r="C520" s="119" t="s">
        <v>1845</v>
      </c>
      <c r="D520" s="14" t="s">
        <v>1846</v>
      </c>
      <c r="E520" s="118"/>
      <c r="F520" s="118"/>
      <c r="G520" s="118"/>
      <c r="H520" s="120">
        <f t="shared" si="5979"/>
        <v>0</v>
      </c>
      <c r="I520" s="120">
        <f t="shared" si="5980"/>
        <v>-6780</v>
      </c>
      <c r="J520" s="120">
        <f t="shared" si="5367"/>
        <v>6780</v>
      </c>
      <c r="K520" s="120"/>
      <c r="L520" s="153"/>
      <c r="M520" s="153"/>
      <c r="N520" s="120"/>
      <c r="O520" s="153"/>
      <c r="P520" s="120"/>
      <c r="Q520" s="120"/>
      <c r="R520" s="120"/>
      <c r="S520" s="120"/>
      <c r="T520" s="120"/>
      <c r="U520" s="120"/>
      <c r="V520" s="120"/>
      <c r="W520" s="120"/>
      <c r="X520" s="120">
        <f>VLOOKUP($C520,'1 预算编制表单'!$C:$BJ,27,FALSE)</f>
        <v>0</v>
      </c>
      <c r="Y520" s="120">
        <f t="shared" ref="Y520:Y524" si="6006">X520-Z520</f>
        <v>0</v>
      </c>
      <c r="Z520" s="120">
        <f>Z521+Z522+Z523</f>
        <v>0</v>
      </c>
      <c r="AA520" s="120">
        <f>VLOOKUP($C520,'1 预算编制表单'!$C:$BJ,30,FALSE)</f>
        <v>0</v>
      </c>
      <c r="AB520" s="120">
        <f t="shared" si="5982"/>
        <v>0</v>
      </c>
      <c r="AC520" s="120">
        <f>AC521+AC522+AC523</f>
        <v>0</v>
      </c>
      <c r="AD520" s="120">
        <f>VLOOKUP($C520,'1 预算编制表单'!$C:$BJ,33,FALSE)</f>
        <v>0</v>
      </c>
      <c r="AE520" s="120">
        <f t="shared" si="5983"/>
        <v>-6780</v>
      </c>
      <c r="AF520" s="120">
        <f>AF521+AF522+AF523</f>
        <v>6780</v>
      </c>
      <c r="AG520" s="120">
        <f>VLOOKUP($C520,'1 预算编制表单'!$C:$BJ,36,FALSE)</f>
        <v>0</v>
      </c>
      <c r="AH520" s="120">
        <f t="shared" si="5984"/>
        <v>0</v>
      </c>
      <c r="AI520" s="120">
        <f>AI521+AI522+AI523</f>
        <v>0</v>
      </c>
      <c r="AJ520" s="120">
        <f>VLOOKUP($C520,'1 预算编制表单'!$C:$BJ,39,FALSE)</f>
        <v>0</v>
      </c>
      <c r="AK520" s="120">
        <f t="shared" si="5985"/>
        <v>0</v>
      </c>
      <c r="AL520" s="120">
        <f>AL521+AL522+AL523</f>
        <v>0</v>
      </c>
      <c r="AM520" s="120">
        <f>VLOOKUP($C520,'1 预算编制表单'!$C:$BJ,42,FALSE)</f>
        <v>0</v>
      </c>
      <c r="AN520" s="120">
        <f t="shared" si="5986"/>
        <v>0</v>
      </c>
      <c r="AO520" s="120">
        <f>AO521+AO522+AO523</f>
        <v>0</v>
      </c>
      <c r="AP520" s="120">
        <f>VLOOKUP($C520,'1 预算编制表单'!$C:$BJ,45,FALSE)</f>
        <v>0</v>
      </c>
      <c r="AQ520" s="120">
        <f t="shared" si="5987"/>
        <v>0</v>
      </c>
      <c r="AR520" s="120">
        <f>AR521+AR522+AR523</f>
        <v>0</v>
      </c>
      <c r="AS520" s="120">
        <f>VLOOKUP($C520,'1 预算编制表单'!$C:$BJ,48,FALSE)</f>
        <v>0</v>
      </c>
      <c r="AT520" s="120">
        <f t="shared" si="5988"/>
        <v>0</v>
      </c>
      <c r="AU520" s="120">
        <f>AU521+AU522+AU523</f>
        <v>0</v>
      </c>
      <c r="AV520" s="120">
        <f>VLOOKUP($C520,'1 预算编制表单'!$C:$BJ,51,FALSE)</f>
        <v>0</v>
      </c>
      <c r="AW520" s="120">
        <f t="shared" si="5989"/>
        <v>0</v>
      </c>
      <c r="AX520" s="120">
        <f>AX521+AX522+AX523</f>
        <v>0</v>
      </c>
      <c r="AY520" s="120">
        <f>VLOOKUP($C520,'1 预算编制表单'!$C:$BJ,54,FALSE)</f>
        <v>0</v>
      </c>
      <c r="AZ520" s="120">
        <f t="shared" si="5990"/>
        <v>0</v>
      </c>
      <c r="BA520" s="120">
        <f>BA521+BA522+BA523</f>
        <v>0</v>
      </c>
      <c r="BB520" s="120">
        <f>VLOOKUP($C520,'1 预算编制表单'!$C:$BJ,57,FALSE)</f>
        <v>0</v>
      </c>
      <c r="BC520" s="120">
        <f t="shared" si="5991"/>
        <v>0</v>
      </c>
      <c r="BD520" s="120">
        <f>BD521+BD522+BD523</f>
        <v>0</v>
      </c>
      <c r="BE520" s="120">
        <f>VLOOKUP($C520,'1 预算编制表单'!$C:$BJ,60,FALSE)</f>
        <v>0</v>
      </c>
      <c r="BF520" s="120">
        <f t="shared" si="5992"/>
        <v>0</v>
      </c>
      <c r="BG520" s="120">
        <f>BG521+BG522+BG523</f>
        <v>0</v>
      </c>
      <c r="BH520" s="120">
        <f>VLOOKUP($C520,'1 预算编制表单'!$C:$BJ,27,FALSE)</f>
        <v>0</v>
      </c>
      <c r="BI520" s="120">
        <f t="shared" si="5993"/>
        <v>0</v>
      </c>
      <c r="BJ520" s="120">
        <f>BJ521+BJ522+BJ523</f>
        <v>0</v>
      </c>
      <c r="BK520" s="120">
        <f>VLOOKUP($C520,'1 预算编制表单'!$C:$BJ,30,FALSE)</f>
        <v>0</v>
      </c>
      <c r="BL520" s="120">
        <f t="shared" si="5994"/>
        <v>0</v>
      </c>
      <c r="BM520" s="120">
        <f>BM521+BM522+BM523</f>
        <v>0</v>
      </c>
      <c r="BN520" s="120">
        <f>VLOOKUP($C520,'1 预算编制表单'!$C:$BJ,33,FALSE)</f>
        <v>0</v>
      </c>
      <c r="BO520" s="120">
        <f t="shared" si="5995"/>
        <v>0</v>
      </c>
      <c r="BP520" s="120">
        <f>BP521+BP522+BP523</f>
        <v>0</v>
      </c>
      <c r="BQ520" s="120">
        <f>VLOOKUP($C520,'1 预算编制表单'!$C:$BJ,36,FALSE)</f>
        <v>0</v>
      </c>
      <c r="BR520" s="120">
        <f t="shared" si="5996"/>
        <v>0</v>
      </c>
      <c r="BS520" s="120">
        <f>BS521+BS522+BS523</f>
        <v>0</v>
      </c>
      <c r="BT520" s="120">
        <f>VLOOKUP($C520,'1 预算编制表单'!$C:$BJ,39,FALSE)</f>
        <v>0</v>
      </c>
      <c r="BU520" s="120">
        <f t="shared" si="5997"/>
        <v>0</v>
      </c>
      <c r="BV520" s="120">
        <f>BV521+BV522+BV523</f>
        <v>0</v>
      </c>
      <c r="BW520" s="120">
        <f>VLOOKUP($C520,'1 预算编制表单'!$C:$BJ,42,FALSE)</f>
        <v>0</v>
      </c>
      <c r="BX520" s="120">
        <f t="shared" si="5998"/>
        <v>0</v>
      </c>
      <c r="BY520" s="120">
        <f>BY521+BY522+BY523</f>
        <v>0</v>
      </c>
      <c r="BZ520" s="120">
        <f>VLOOKUP($C520,'1 预算编制表单'!$C:$BJ,45,FALSE)</f>
        <v>0</v>
      </c>
      <c r="CA520" s="120">
        <f t="shared" si="5999"/>
        <v>0</v>
      </c>
      <c r="CB520" s="120">
        <f>CB521+CB522+CB523</f>
        <v>0</v>
      </c>
      <c r="CC520" s="120">
        <f>VLOOKUP($C520,'1 预算编制表单'!$C:$BJ,48,FALSE)</f>
        <v>0</v>
      </c>
      <c r="CD520" s="120">
        <f t="shared" si="6000"/>
        <v>0</v>
      </c>
      <c r="CE520" s="120">
        <f>CE521+CE522+CE523</f>
        <v>0</v>
      </c>
      <c r="CF520" s="120">
        <f>VLOOKUP($C520,'1 预算编制表单'!$C:$BJ,51,FALSE)</f>
        <v>0</v>
      </c>
      <c r="CG520" s="120">
        <f t="shared" si="6001"/>
        <v>0</v>
      </c>
      <c r="CH520" s="120">
        <f>CH521+CH522+CH523</f>
        <v>0</v>
      </c>
      <c r="CI520" s="120">
        <f>VLOOKUP($C520,'1 预算编制表单'!$C:$BJ,54,FALSE)</f>
        <v>0</v>
      </c>
      <c r="CJ520" s="120">
        <f t="shared" si="6002"/>
        <v>0</v>
      </c>
      <c r="CK520" s="120">
        <f>CK521+CK522+CK523</f>
        <v>0</v>
      </c>
      <c r="CL520" s="120">
        <f>VLOOKUP($C520,'1 预算编制表单'!$C:$BJ,57,FALSE)</f>
        <v>0</v>
      </c>
      <c r="CM520" s="120">
        <f t="shared" si="6003"/>
        <v>0</v>
      </c>
      <c r="CN520" s="120">
        <f>CN521+CN522+CN523</f>
        <v>0</v>
      </c>
      <c r="CO520" s="120">
        <f>VLOOKUP($C520,'1 预算编制表单'!$C:$BJ,60,FALSE)</f>
        <v>0</v>
      </c>
      <c r="CP520" s="120">
        <f t="shared" si="6004"/>
        <v>0</v>
      </c>
      <c r="CQ520" s="120">
        <f>CQ521+CQ522+CQ523</f>
        <v>0</v>
      </c>
    </row>
    <row r="521" ht="24" customHeight="1" outlineLevel="2" spans="1:95">
      <c r="A521" s="43"/>
      <c r="B521" s="121" t="s">
        <v>787</v>
      </c>
      <c r="C521" s="122" t="s">
        <v>1847</v>
      </c>
      <c r="D521" s="43" t="s">
        <v>1848</v>
      </c>
      <c r="E521" s="121"/>
      <c r="F521" s="121"/>
      <c r="G521" s="121"/>
      <c r="H521" s="123">
        <f t="shared" si="5979"/>
        <v>0</v>
      </c>
      <c r="I521" s="123">
        <f t="shared" si="5980"/>
        <v>0</v>
      </c>
      <c r="J521" s="123">
        <f t="shared" si="5367"/>
        <v>0</v>
      </c>
      <c r="K521" s="123"/>
      <c r="L521" s="154"/>
      <c r="M521" s="154"/>
      <c r="N521" s="123"/>
      <c r="O521" s="154"/>
      <c r="P521" s="123"/>
      <c r="Q521" s="123"/>
      <c r="R521" s="123"/>
      <c r="S521" s="123"/>
      <c r="T521" s="123"/>
      <c r="U521" s="123"/>
      <c r="V521" s="123"/>
      <c r="W521" s="123"/>
      <c r="X521" s="123">
        <f>VLOOKUP($C521,'1 预算编制表单'!$C:$BJ,27,FALSE)</f>
        <v>0</v>
      </c>
      <c r="Y521" s="123">
        <f t="shared" si="6006"/>
        <v>0</v>
      </c>
      <c r="Z521" s="123">
        <f>SUMIF(物资过程计算表!$B:$B,$C521,物资过程计算表!$D:$D)</f>
        <v>0</v>
      </c>
      <c r="AA521" s="123">
        <f>VLOOKUP($C521,'1 预算编制表单'!$C:$BJ,30,FALSE)</f>
        <v>0</v>
      </c>
      <c r="AB521" s="123">
        <f t="shared" si="5982"/>
        <v>0</v>
      </c>
      <c r="AC521" s="123">
        <f>SUMIF(物资过程计算表!$B:$B,$C521,物资过程计算表!E:E)</f>
        <v>0</v>
      </c>
      <c r="AD521" s="123">
        <f>VLOOKUP($C521,'1 预算编制表单'!$C:$BJ,33,FALSE)</f>
        <v>0</v>
      </c>
      <c r="AE521" s="123">
        <f t="shared" si="5983"/>
        <v>0</v>
      </c>
      <c r="AF521" s="123">
        <f>SUMIF(物资过程计算表!$B:$B,$C521,物资过程计算表!F:F)</f>
        <v>0</v>
      </c>
      <c r="AG521" s="123">
        <f>VLOOKUP($C521,'1 预算编制表单'!$C:$BJ,36,FALSE)</f>
        <v>0</v>
      </c>
      <c r="AH521" s="123">
        <f t="shared" si="5984"/>
        <v>0</v>
      </c>
      <c r="AI521" s="123">
        <f>SUMIF(物资过程计算表!$B:$B,$C521,物资过程计算表!G:G)</f>
        <v>0</v>
      </c>
      <c r="AJ521" s="123">
        <f>VLOOKUP($C521,'1 预算编制表单'!$C:$BJ,39,FALSE)</f>
        <v>0</v>
      </c>
      <c r="AK521" s="123">
        <f t="shared" si="5985"/>
        <v>0</v>
      </c>
      <c r="AL521" s="123">
        <f>SUMIF(物资过程计算表!$B:$B,$C521,物资过程计算表!H:H)</f>
        <v>0</v>
      </c>
      <c r="AM521" s="123">
        <f>VLOOKUP($C521,'1 预算编制表单'!$C:$BJ,42,FALSE)</f>
        <v>0</v>
      </c>
      <c r="AN521" s="123">
        <f t="shared" si="5986"/>
        <v>0</v>
      </c>
      <c r="AO521" s="123">
        <f>SUMIF(物资过程计算表!$B:$B,$C521,物资过程计算表!I:I)</f>
        <v>0</v>
      </c>
      <c r="AP521" s="123">
        <f>VLOOKUP($C521,'1 预算编制表单'!$C:$BJ,45,FALSE)</f>
        <v>0</v>
      </c>
      <c r="AQ521" s="123">
        <f t="shared" si="5987"/>
        <v>0</v>
      </c>
      <c r="AR521" s="123">
        <f>SUMIF(物资过程计算表!$B:$B,$C521,物资过程计算表!J:J)</f>
        <v>0</v>
      </c>
      <c r="AS521" s="123">
        <f>VLOOKUP($C521,'1 预算编制表单'!$C:$BJ,48,FALSE)</f>
        <v>0</v>
      </c>
      <c r="AT521" s="123">
        <f t="shared" si="5988"/>
        <v>0</v>
      </c>
      <c r="AU521" s="123">
        <f>SUMIF(物资过程计算表!$B:$B,$C521,物资过程计算表!K:K)</f>
        <v>0</v>
      </c>
      <c r="AV521" s="123">
        <f>VLOOKUP($C521,'1 预算编制表单'!$C:$BJ,51,FALSE)</f>
        <v>0</v>
      </c>
      <c r="AW521" s="123">
        <f t="shared" si="5989"/>
        <v>0</v>
      </c>
      <c r="AX521" s="123">
        <f>SUMIF(物资过程计算表!$B:$B,$C521,物资过程计算表!L:L)</f>
        <v>0</v>
      </c>
      <c r="AY521" s="123">
        <f>VLOOKUP($C521,'1 预算编制表单'!$C:$BJ,54,FALSE)</f>
        <v>0</v>
      </c>
      <c r="AZ521" s="123">
        <f t="shared" si="5990"/>
        <v>0</v>
      </c>
      <c r="BA521" s="123">
        <f>SUMIF(物资过程计算表!$B:$B,$C521,物资过程计算表!M:M)</f>
        <v>0</v>
      </c>
      <c r="BB521" s="123">
        <f>VLOOKUP($C521,'1 预算编制表单'!$C:$BJ,57,FALSE)</f>
        <v>0</v>
      </c>
      <c r="BC521" s="123">
        <f t="shared" si="5991"/>
        <v>0</v>
      </c>
      <c r="BD521" s="123">
        <f>SUMIF(物资过程计算表!$B:$B,$C521,物资过程计算表!N:N)</f>
        <v>0</v>
      </c>
      <c r="BE521" s="123">
        <f>VLOOKUP($C521,'1 预算编制表单'!$C:$BJ,60,FALSE)</f>
        <v>0</v>
      </c>
      <c r="BF521" s="123">
        <f t="shared" si="5992"/>
        <v>0</v>
      </c>
      <c r="BG521" s="123">
        <f>SUMIF(物资过程计算表!$B:$B,$C521,物资过程计算表!O:O)</f>
        <v>0</v>
      </c>
      <c r="BH521" s="123">
        <f>VLOOKUP($C521,'1 预算编制表单'!$C:$BJ,27,FALSE)</f>
        <v>0</v>
      </c>
      <c r="BI521" s="123">
        <f t="shared" si="5993"/>
        <v>0</v>
      </c>
      <c r="BJ521" s="123"/>
      <c r="BK521" s="123">
        <f>VLOOKUP($C521,'1 预算编制表单'!$C:$BJ,30,FALSE)</f>
        <v>0</v>
      </c>
      <c r="BL521" s="123">
        <f t="shared" si="5994"/>
        <v>0</v>
      </c>
      <c r="BM521" s="123"/>
      <c r="BN521" s="123">
        <f>VLOOKUP($C521,'1 预算编制表单'!$C:$BJ,33,FALSE)</f>
        <v>0</v>
      </c>
      <c r="BO521" s="123">
        <f t="shared" si="5995"/>
        <v>0</v>
      </c>
      <c r="BP521" s="123"/>
      <c r="BQ521" s="123">
        <f>VLOOKUP($C521,'1 预算编制表单'!$C:$BJ,36,FALSE)</f>
        <v>0</v>
      </c>
      <c r="BR521" s="123">
        <f t="shared" si="5996"/>
        <v>0</v>
      </c>
      <c r="BS521" s="123"/>
      <c r="BT521" s="123">
        <f>VLOOKUP($C521,'1 预算编制表单'!$C:$BJ,39,FALSE)</f>
        <v>0</v>
      </c>
      <c r="BU521" s="123">
        <f t="shared" si="5997"/>
        <v>0</v>
      </c>
      <c r="BV521" s="123"/>
      <c r="BW521" s="123">
        <f>VLOOKUP($C521,'1 预算编制表单'!$C:$BJ,42,FALSE)</f>
        <v>0</v>
      </c>
      <c r="BX521" s="123">
        <f t="shared" si="5998"/>
        <v>0</v>
      </c>
      <c r="BY521" s="123"/>
      <c r="BZ521" s="123">
        <f>VLOOKUP($C521,'1 预算编制表单'!$C:$BJ,45,FALSE)</f>
        <v>0</v>
      </c>
      <c r="CA521" s="123">
        <f t="shared" si="5999"/>
        <v>0</v>
      </c>
      <c r="CB521" s="123"/>
      <c r="CC521" s="123">
        <f>VLOOKUP($C521,'1 预算编制表单'!$C:$BJ,48,FALSE)</f>
        <v>0</v>
      </c>
      <c r="CD521" s="123">
        <f t="shared" si="6000"/>
        <v>0</v>
      </c>
      <c r="CE521" s="123"/>
      <c r="CF521" s="123">
        <f>VLOOKUP($C521,'1 预算编制表单'!$C:$BJ,51,FALSE)</f>
        <v>0</v>
      </c>
      <c r="CG521" s="123">
        <f t="shared" si="6001"/>
        <v>0</v>
      </c>
      <c r="CH521" s="123"/>
      <c r="CI521" s="123">
        <f>VLOOKUP($C521,'1 预算编制表单'!$C:$BJ,54,FALSE)</f>
        <v>0</v>
      </c>
      <c r="CJ521" s="123">
        <f t="shared" si="6002"/>
        <v>0</v>
      </c>
      <c r="CK521" s="123"/>
      <c r="CL521" s="123">
        <f>VLOOKUP($C521,'1 预算编制表单'!$C:$BJ,57,FALSE)</f>
        <v>0</v>
      </c>
      <c r="CM521" s="123">
        <f t="shared" si="6003"/>
        <v>0</v>
      </c>
      <c r="CN521" s="123"/>
      <c r="CO521" s="123">
        <f>VLOOKUP($C521,'1 预算编制表单'!$C:$BJ,60,FALSE)</f>
        <v>0</v>
      </c>
      <c r="CP521" s="123">
        <f t="shared" si="6004"/>
        <v>0</v>
      </c>
      <c r="CQ521" s="123"/>
    </row>
    <row r="522" ht="24" customHeight="1" outlineLevel="2" spans="1:95">
      <c r="A522" s="43"/>
      <c r="B522" s="121" t="s">
        <v>787</v>
      </c>
      <c r="C522" s="122" t="s">
        <v>1859</v>
      </c>
      <c r="D522" s="43" t="s">
        <v>1860</v>
      </c>
      <c r="E522" s="121"/>
      <c r="F522" s="121"/>
      <c r="G522" s="121"/>
      <c r="H522" s="123">
        <f t="shared" si="5979"/>
        <v>0</v>
      </c>
      <c r="I522" s="123">
        <f t="shared" si="5980"/>
        <v>-6780</v>
      </c>
      <c r="J522" s="123">
        <f t="shared" si="5367"/>
        <v>6780</v>
      </c>
      <c r="K522" s="123"/>
      <c r="L522" s="154"/>
      <c r="M522" s="154"/>
      <c r="N522" s="123"/>
      <c r="O522" s="154"/>
      <c r="P522" s="123"/>
      <c r="Q522" s="123"/>
      <c r="R522" s="123"/>
      <c r="S522" s="123"/>
      <c r="T522" s="123"/>
      <c r="U522" s="123"/>
      <c r="V522" s="123"/>
      <c r="W522" s="123"/>
      <c r="X522" s="123">
        <f>VLOOKUP($C522,'1 预算编制表单'!$C:$BJ,27,FALSE)</f>
        <v>0</v>
      </c>
      <c r="Y522" s="123">
        <f t="shared" si="6006"/>
        <v>0</v>
      </c>
      <c r="Z522" s="123">
        <f>SUMIF(物资过程计算表!$B:$B,$C522,物资过程计算表!$D:$D)</f>
        <v>0</v>
      </c>
      <c r="AA522" s="123">
        <f>VLOOKUP($C522,'1 预算编制表单'!$C:$BJ,30,FALSE)</f>
        <v>0</v>
      </c>
      <c r="AB522" s="123">
        <f t="shared" si="5982"/>
        <v>0</v>
      </c>
      <c r="AC522" s="123">
        <f>SUMIF(物资过程计算表!$B:$B,$C522,物资过程计算表!E:E)</f>
        <v>0</v>
      </c>
      <c r="AD522" s="123">
        <f>VLOOKUP($C522,'1 预算编制表单'!$C:$BJ,33,FALSE)</f>
        <v>0</v>
      </c>
      <c r="AE522" s="123">
        <f t="shared" si="5983"/>
        <v>-6780</v>
      </c>
      <c r="AF522" s="123">
        <f>SUMIF(物资过程计算表!$B:$B,$C522,物资过程计算表!F:F)</f>
        <v>6780</v>
      </c>
      <c r="AG522" s="123">
        <f>VLOOKUP($C522,'1 预算编制表单'!$C:$BJ,36,FALSE)</f>
        <v>0</v>
      </c>
      <c r="AH522" s="123">
        <f t="shared" si="5984"/>
        <v>0</v>
      </c>
      <c r="AI522" s="123">
        <f>SUMIF(物资过程计算表!$B:$B,$C522,物资过程计算表!G:G)</f>
        <v>0</v>
      </c>
      <c r="AJ522" s="123">
        <f>VLOOKUP($C522,'1 预算编制表单'!$C:$BJ,39,FALSE)</f>
        <v>0</v>
      </c>
      <c r="AK522" s="123">
        <f t="shared" si="5985"/>
        <v>0</v>
      </c>
      <c r="AL522" s="123">
        <f>SUMIF(物资过程计算表!$B:$B,$C522,物资过程计算表!H:H)</f>
        <v>0</v>
      </c>
      <c r="AM522" s="123">
        <f>VLOOKUP($C522,'1 预算编制表单'!$C:$BJ,42,FALSE)</f>
        <v>0</v>
      </c>
      <c r="AN522" s="123">
        <f t="shared" si="5986"/>
        <v>0</v>
      </c>
      <c r="AO522" s="123">
        <f>SUMIF(物资过程计算表!$B:$B,$C522,物资过程计算表!I:I)</f>
        <v>0</v>
      </c>
      <c r="AP522" s="123">
        <f>VLOOKUP($C522,'1 预算编制表单'!$C:$BJ,45,FALSE)</f>
        <v>0</v>
      </c>
      <c r="AQ522" s="123">
        <f t="shared" si="5987"/>
        <v>0</v>
      </c>
      <c r="AR522" s="123">
        <f>SUMIF(物资过程计算表!$B:$B,$C522,物资过程计算表!J:J)</f>
        <v>0</v>
      </c>
      <c r="AS522" s="123">
        <f>VLOOKUP($C522,'1 预算编制表单'!$C:$BJ,48,FALSE)</f>
        <v>0</v>
      </c>
      <c r="AT522" s="123">
        <f t="shared" si="5988"/>
        <v>0</v>
      </c>
      <c r="AU522" s="123">
        <f>SUMIF(物资过程计算表!$B:$B,$C522,物资过程计算表!K:K)</f>
        <v>0</v>
      </c>
      <c r="AV522" s="123">
        <f>VLOOKUP($C522,'1 预算编制表单'!$C:$BJ,51,FALSE)</f>
        <v>0</v>
      </c>
      <c r="AW522" s="123">
        <f t="shared" si="5989"/>
        <v>0</v>
      </c>
      <c r="AX522" s="123">
        <f>SUMIF(物资过程计算表!$B:$B,$C522,物资过程计算表!L:L)</f>
        <v>0</v>
      </c>
      <c r="AY522" s="123">
        <f>VLOOKUP($C522,'1 预算编制表单'!$C:$BJ,54,FALSE)</f>
        <v>0</v>
      </c>
      <c r="AZ522" s="123">
        <f t="shared" si="5990"/>
        <v>0</v>
      </c>
      <c r="BA522" s="123">
        <f>SUMIF(物资过程计算表!$B:$B,$C522,物资过程计算表!M:M)</f>
        <v>0</v>
      </c>
      <c r="BB522" s="123">
        <f>VLOOKUP($C522,'1 预算编制表单'!$C:$BJ,57,FALSE)</f>
        <v>0</v>
      </c>
      <c r="BC522" s="123">
        <f t="shared" si="5991"/>
        <v>0</v>
      </c>
      <c r="BD522" s="123">
        <f>SUMIF(物资过程计算表!$B:$B,$C522,物资过程计算表!N:N)</f>
        <v>0</v>
      </c>
      <c r="BE522" s="123">
        <f>VLOOKUP($C522,'1 预算编制表单'!$C:$BJ,60,FALSE)</f>
        <v>0</v>
      </c>
      <c r="BF522" s="123">
        <f t="shared" si="5992"/>
        <v>0</v>
      </c>
      <c r="BG522" s="123">
        <f>SUMIF(物资过程计算表!$B:$B,$C522,物资过程计算表!O:O)</f>
        <v>0</v>
      </c>
      <c r="BH522" s="123">
        <f>VLOOKUP($C522,'1 预算编制表单'!$C:$BJ,27,FALSE)</f>
        <v>0</v>
      </c>
      <c r="BI522" s="123">
        <f t="shared" si="5993"/>
        <v>0</v>
      </c>
      <c r="BJ522" s="123"/>
      <c r="BK522" s="123">
        <f>VLOOKUP($C522,'1 预算编制表单'!$C:$BJ,30,FALSE)</f>
        <v>0</v>
      </c>
      <c r="BL522" s="123">
        <f t="shared" si="5994"/>
        <v>0</v>
      </c>
      <c r="BM522" s="123"/>
      <c r="BN522" s="123">
        <f>VLOOKUP($C522,'1 预算编制表单'!$C:$BJ,33,FALSE)</f>
        <v>0</v>
      </c>
      <c r="BO522" s="123">
        <f t="shared" si="5995"/>
        <v>0</v>
      </c>
      <c r="BP522" s="123"/>
      <c r="BQ522" s="123">
        <f>VLOOKUP($C522,'1 预算编制表单'!$C:$BJ,36,FALSE)</f>
        <v>0</v>
      </c>
      <c r="BR522" s="123">
        <f t="shared" si="5996"/>
        <v>0</v>
      </c>
      <c r="BS522" s="123"/>
      <c r="BT522" s="123">
        <f>VLOOKUP($C522,'1 预算编制表单'!$C:$BJ,39,FALSE)</f>
        <v>0</v>
      </c>
      <c r="BU522" s="123">
        <f t="shared" si="5997"/>
        <v>0</v>
      </c>
      <c r="BV522" s="123"/>
      <c r="BW522" s="123">
        <f>VLOOKUP($C522,'1 预算编制表单'!$C:$BJ,42,FALSE)</f>
        <v>0</v>
      </c>
      <c r="BX522" s="123">
        <f t="shared" si="5998"/>
        <v>0</v>
      </c>
      <c r="BY522" s="123"/>
      <c r="BZ522" s="123">
        <f>VLOOKUP($C522,'1 预算编制表单'!$C:$BJ,45,FALSE)</f>
        <v>0</v>
      </c>
      <c r="CA522" s="123">
        <f t="shared" si="5999"/>
        <v>0</v>
      </c>
      <c r="CB522" s="123"/>
      <c r="CC522" s="123">
        <f>VLOOKUP($C522,'1 预算编制表单'!$C:$BJ,48,FALSE)</f>
        <v>0</v>
      </c>
      <c r="CD522" s="123">
        <f t="shared" si="6000"/>
        <v>0</v>
      </c>
      <c r="CE522" s="123"/>
      <c r="CF522" s="123">
        <f>VLOOKUP($C522,'1 预算编制表单'!$C:$BJ,51,FALSE)</f>
        <v>0</v>
      </c>
      <c r="CG522" s="123">
        <f t="shared" si="6001"/>
        <v>0</v>
      </c>
      <c r="CH522" s="123"/>
      <c r="CI522" s="123">
        <f>VLOOKUP($C522,'1 预算编制表单'!$C:$BJ,54,FALSE)</f>
        <v>0</v>
      </c>
      <c r="CJ522" s="123">
        <f t="shared" si="6002"/>
        <v>0</v>
      </c>
      <c r="CK522" s="123"/>
      <c r="CL522" s="123">
        <f>VLOOKUP($C522,'1 预算编制表单'!$C:$BJ,57,FALSE)</f>
        <v>0</v>
      </c>
      <c r="CM522" s="123">
        <f t="shared" si="6003"/>
        <v>0</v>
      </c>
      <c r="CN522" s="123"/>
      <c r="CO522" s="123">
        <f>VLOOKUP($C522,'1 预算编制表单'!$C:$BJ,60,FALSE)</f>
        <v>0</v>
      </c>
      <c r="CP522" s="123">
        <f t="shared" si="6004"/>
        <v>0</v>
      </c>
      <c r="CQ522" s="123"/>
    </row>
    <row r="523" ht="24" customHeight="1" outlineLevel="2" spans="1:95">
      <c r="A523" s="43"/>
      <c r="B523" s="121" t="s">
        <v>787</v>
      </c>
      <c r="C523" s="122" t="s">
        <v>1886</v>
      </c>
      <c r="D523" s="43" t="s">
        <v>1887</v>
      </c>
      <c r="E523" s="121"/>
      <c r="F523" s="121"/>
      <c r="G523" s="121"/>
      <c r="H523" s="123">
        <f t="shared" si="5979"/>
        <v>0</v>
      </c>
      <c r="I523" s="123">
        <f t="shared" si="5980"/>
        <v>0</v>
      </c>
      <c r="J523" s="123">
        <f t="shared" ref="J523:J586" si="6007">Z523+AC523+AF523+AI523+AL523+AO523+AR523+AU523+AX523+BA523+BD523+BG523</f>
        <v>0</v>
      </c>
      <c r="K523" s="123"/>
      <c r="L523" s="154"/>
      <c r="M523" s="154"/>
      <c r="N523" s="123"/>
      <c r="O523" s="154"/>
      <c r="P523" s="123"/>
      <c r="Q523" s="123"/>
      <c r="R523" s="123"/>
      <c r="S523" s="123"/>
      <c r="T523" s="123"/>
      <c r="U523" s="123"/>
      <c r="V523" s="123"/>
      <c r="W523" s="123"/>
      <c r="X523" s="123">
        <f>VLOOKUP($C523,'1 预算编制表单'!$C:$BJ,27,FALSE)</f>
        <v>0</v>
      </c>
      <c r="Y523" s="123">
        <f t="shared" si="6006"/>
        <v>0</v>
      </c>
      <c r="Z523" s="123">
        <f>SUMIF(物资过程计算表!$B:$B,$C523,物资过程计算表!$D:$D)</f>
        <v>0</v>
      </c>
      <c r="AA523" s="123">
        <f>VLOOKUP($C523,'1 预算编制表单'!$C:$BJ,30,FALSE)</f>
        <v>0</v>
      </c>
      <c r="AB523" s="123">
        <f t="shared" si="5982"/>
        <v>0</v>
      </c>
      <c r="AC523" s="123">
        <f>SUMIF(物资过程计算表!$B:$B,$C523,物资过程计算表!E:E)</f>
        <v>0</v>
      </c>
      <c r="AD523" s="123">
        <f>VLOOKUP($C523,'1 预算编制表单'!$C:$BJ,33,FALSE)</f>
        <v>0</v>
      </c>
      <c r="AE523" s="123">
        <f t="shared" si="5983"/>
        <v>0</v>
      </c>
      <c r="AF523" s="123">
        <f>SUMIF(物资过程计算表!$B:$B,$C523,物资过程计算表!F:F)</f>
        <v>0</v>
      </c>
      <c r="AG523" s="123">
        <f>VLOOKUP($C523,'1 预算编制表单'!$C:$BJ,36,FALSE)</f>
        <v>0</v>
      </c>
      <c r="AH523" s="123">
        <f t="shared" si="5984"/>
        <v>0</v>
      </c>
      <c r="AI523" s="123">
        <f>SUMIF(物资过程计算表!$B:$B,$C523,物资过程计算表!G:G)</f>
        <v>0</v>
      </c>
      <c r="AJ523" s="123">
        <f>VLOOKUP($C523,'1 预算编制表单'!$C:$BJ,39,FALSE)</f>
        <v>0</v>
      </c>
      <c r="AK523" s="123">
        <f t="shared" si="5985"/>
        <v>0</v>
      </c>
      <c r="AL523" s="123">
        <f>SUMIF(物资过程计算表!$B:$B,$C523,物资过程计算表!H:H)</f>
        <v>0</v>
      </c>
      <c r="AM523" s="123">
        <f>VLOOKUP($C523,'1 预算编制表单'!$C:$BJ,42,FALSE)</f>
        <v>0</v>
      </c>
      <c r="AN523" s="123">
        <f t="shared" si="5986"/>
        <v>0</v>
      </c>
      <c r="AO523" s="123">
        <f>SUMIF(物资过程计算表!$B:$B,$C523,物资过程计算表!I:I)</f>
        <v>0</v>
      </c>
      <c r="AP523" s="123">
        <f>VLOOKUP($C523,'1 预算编制表单'!$C:$BJ,45,FALSE)</f>
        <v>0</v>
      </c>
      <c r="AQ523" s="123">
        <f t="shared" si="5987"/>
        <v>0</v>
      </c>
      <c r="AR523" s="123">
        <f>SUMIF(物资过程计算表!$B:$B,$C523,物资过程计算表!J:J)</f>
        <v>0</v>
      </c>
      <c r="AS523" s="123">
        <f>VLOOKUP($C523,'1 预算编制表单'!$C:$BJ,48,FALSE)</f>
        <v>0</v>
      </c>
      <c r="AT523" s="123">
        <f t="shared" si="5988"/>
        <v>0</v>
      </c>
      <c r="AU523" s="123">
        <f>SUMIF(物资过程计算表!$B:$B,$C523,物资过程计算表!K:K)</f>
        <v>0</v>
      </c>
      <c r="AV523" s="123">
        <f>VLOOKUP($C523,'1 预算编制表单'!$C:$BJ,51,FALSE)</f>
        <v>0</v>
      </c>
      <c r="AW523" s="123">
        <f t="shared" si="5989"/>
        <v>0</v>
      </c>
      <c r="AX523" s="123">
        <f>SUMIF(物资过程计算表!$B:$B,$C523,物资过程计算表!L:L)</f>
        <v>0</v>
      </c>
      <c r="AY523" s="123">
        <f>VLOOKUP($C523,'1 预算编制表单'!$C:$BJ,54,FALSE)</f>
        <v>0</v>
      </c>
      <c r="AZ523" s="123">
        <f t="shared" si="5990"/>
        <v>0</v>
      </c>
      <c r="BA523" s="123">
        <f>SUMIF(物资过程计算表!$B:$B,$C523,物资过程计算表!M:M)</f>
        <v>0</v>
      </c>
      <c r="BB523" s="123">
        <f>VLOOKUP($C523,'1 预算编制表单'!$C:$BJ,57,FALSE)</f>
        <v>0</v>
      </c>
      <c r="BC523" s="123">
        <f t="shared" si="5991"/>
        <v>0</v>
      </c>
      <c r="BD523" s="123">
        <f>SUMIF(物资过程计算表!$B:$B,$C523,物资过程计算表!N:N)</f>
        <v>0</v>
      </c>
      <c r="BE523" s="123">
        <f>VLOOKUP($C523,'1 预算编制表单'!$C:$BJ,60,FALSE)</f>
        <v>0</v>
      </c>
      <c r="BF523" s="123">
        <f t="shared" si="5992"/>
        <v>0</v>
      </c>
      <c r="BG523" s="123">
        <f>SUMIF(物资过程计算表!$B:$B,$C523,物资过程计算表!O:O)</f>
        <v>0</v>
      </c>
      <c r="BH523" s="123">
        <f>VLOOKUP($C523,'1 预算编制表单'!$C:$BJ,27,FALSE)</f>
        <v>0</v>
      </c>
      <c r="BI523" s="123">
        <f t="shared" si="5993"/>
        <v>0</v>
      </c>
      <c r="BJ523" s="123"/>
      <c r="BK523" s="123">
        <f>VLOOKUP($C523,'1 预算编制表单'!$C:$BJ,30,FALSE)</f>
        <v>0</v>
      </c>
      <c r="BL523" s="123">
        <f t="shared" si="5994"/>
        <v>0</v>
      </c>
      <c r="BM523" s="123"/>
      <c r="BN523" s="123">
        <f>VLOOKUP($C523,'1 预算编制表单'!$C:$BJ,33,FALSE)</f>
        <v>0</v>
      </c>
      <c r="BO523" s="123">
        <f t="shared" si="5995"/>
        <v>0</v>
      </c>
      <c r="BP523" s="123"/>
      <c r="BQ523" s="123">
        <f>VLOOKUP($C523,'1 预算编制表单'!$C:$BJ,36,FALSE)</f>
        <v>0</v>
      </c>
      <c r="BR523" s="123">
        <f t="shared" si="5996"/>
        <v>0</v>
      </c>
      <c r="BS523" s="123"/>
      <c r="BT523" s="123">
        <f>VLOOKUP($C523,'1 预算编制表单'!$C:$BJ,39,FALSE)</f>
        <v>0</v>
      </c>
      <c r="BU523" s="123">
        <f t="shared" si="5997"/>
        <v>0</v>
      </c>
      <c r="BV523" s="123"/>
      <c r="BW523" s="123">
        <f>VLOOKUP($C523,'1 预算编制表单'!$C:$BJ,42,FALSE)</f>
        <v>0</v>
      </c>
      <c r="BX523" s="123">
        <f t="shared" si="5998"/>
        <v>0</v>
      </c>
      <c r="BY523" s="123"/>
      <c r="BZ523" s="123">
        <f>VLOOKUP($C523,'1 预算编制表单'!$C:$BJ,45,FALSE)</f>
        <v>0</v>
      </c>
      <c r="CA523" s="123">
        <f t="shared" si="5999"/>
        <v>0</v>
      </c>
      <c r="CB523" s="123"/>
      <c r="CC523" s="123">
        <f>VLOOKUP($C523,'1 预算编制表单'!$C:$BJ,48,FALSE)</f>
        <v>0</v>
      </c>
      <c r="CD523" s="123">
        <f t="shared" si="6000"/>
        <v>0</v>
      </c>
      <c r="CE523" s="123"/>
      <c r="CF523" s="123">
        <f>VLOOKUP($C523,'1 预算编制表单'!$C:$BJ,51,FALSE)</f>
        <v>0</v>
      </c>
      <c r="CG523" s="123">
        <f t="shared" si="6001"/>
        <v>0</v>
      </c>
      <c r="CH523" s="123"/>
      <c r="CI523" s="123">
        <f>VLOOKUP($C523,'1 预算编制表单'!$C:$BJ,54,FALSE)</f>
        <v>0</v>
      </c>
      <c r="CJ523" s="123">
        <f t="shared" si="6002"/>
        <v>0</v>
      </c>
      <c r="CK523" s="123"/>
      <c r="CL523" s="123">
        <f>VLOOKUP($C523,'1 预算编制表单'!$C:$BJ,57,FALSE)</f>
        <v>0</v>
      </c>
      <c r="CM523" s="123">
        <f t="shared" si="6003"/>
        <v>0</v>
      </c>
      <c r="CN523" s="123"/>
      <c r="CO523" s="123">
        <f>VLOOKUP($C523,'1 预算编制表单'!$C:$BJ,60,FALSE)</f>
        <v>0</v>
      </c>
      <c r="CP523" s="123">
        <f t="shared" si="6004"/>
        <v>0</v>
      </c>
      <c r="CQ523" s="123"/>
    </row>
    <row r="524" ht="24" customHeight="1" outlineLevel="1" spans="1:95">
      <c r="A524" s="14"/>
      <c r="B524" s="118" t="s">
        <v>787</v>
      </c>
      <c r="C524" s="119" t="s">
        <v>1911</v>
      </c>
      <c r="D524" s="14" t="s">
        <v>1912</v>
      </c>
      <c r="E524" s="118"/>
      <c r="F524" s="118"/>
      <c r="G524" s="118"/>
      <c r="H524" s="120">
        <f t="shared" si="5979"/>
        <v>0</v>
      </c>
      <c r="I524" s="120">
        <f t="shared" si="5980"/>
        <v>-975</v>
      </c>
      <c r="J524" s="120">
        <f t="shared" si="6007"/>
        <v>975</v>
      </c>
      <c r="K524" s="120"/>
      <c r="L524" s="153"/>
      <c r="M524" s="153"/>
      <c r="N524" s="120"/>
      <c r="O524" s="153"/>
      <c r="P524" s="120"/>
      <c r="Q524" s="120"/>
      <c r="R524" s="120"/>
      <c r="S524" s="120"/>
      <c r="T524" s="120"/>
      <c r="U524" s="120"/>
      <c r="V524" s="120"/>
      <c r="W524" s="120"/>
      <c r="X524" s="120">
        <f>VLOOKUP($C524,'1 预算编制表单'!$C:$BJ,27,FALSE)</f>
        <v>0</v>
      </c>
      <c r="Y524" s="120">
        <f t="shared" si="6006"/>
        <v>0</v>
      </c>
      <c r="Z524" s="120">
        <f>Z525+Z526</f>
        <v>0</v>
      </c>
      <c r="AA524" s="120">
        <f>VLOOKUP($C524,'1 预算编制表单'!$C:$BJ,30,FALSE)</f>
        <v>0</v>
      </c>
      <c r="AB524" s="120">
        <f t="shared" si="5982"/>
        <v>0</v>
      </c>
      <c r="AC524" s="120">
        <f>AC525+AC526</f>
        <v>0</v>
      </c>
      <c r="AD524" s="120">
        <f>VLOOKUP($C524,'1 预算编制表单'!$C:$BJ,33,FALSE)</f>
        <v>0</v>
      </c>
      <c r="AE524" s="120">
        <f t="shared" si="5983"/>
        <v>0</v>
      </c>
      <c r="AF524" s="120">
        <f>AF525+AF526</f>
        <v>0</v>
      </c>
      <c r="AG524" s="120">
        <f>VLOOKUP($C524,'1 预算编制表单'!$C:$BJ,36,FALSE)</f>
        <v>0</v>
      </c>
      <c r="AH524" s="120">
        <f t="shared" si="5984"/>
        <v>0</v>
      </c>
      <c r="AI524" s="120">
        <f>AI525+AI526</f>
        <v>0</v>
      </c>
      <c r="AJ524" s="120">
        <f>VLOOKUP($C524,'1 预算编制表单'!$C:$BJ,39,FALSE)</f>
        <v>0</v>
      </c>
      <c r="AK524" s="120">
        <f t="shared" si="5985"/>
        <v>0</v>
      </c>
      <c r="AL524" s="120">
        <f>AL525+AL526</f>
        <v>0</v>
      </c>
      <c r="AM524" s="120">
        <f>VLOOKUP($C524,'1 预算编制表单'!$C:$BJ,42,FALSE)</f>
        <v>0</v>
      </c>
      <c r="AN524" s="120">
        <f t="shared" si="5986"/>
        <v>-975</v>
      </c>
      <c r="AO524" s="120">
        <f>AO525+AO526</f>
        <v>975</v>
      </c>
      <c r="AP524" s="120">
        <f>VLOOKUP($C524,'1 预算编制表单'!$C:$BJ,45,FALSE)</f>
        <v>0</v>
      </c>
      <c r="AQ524" s="120">
        <f t="shared" si="5987"/>
        <v>0</v>
      </c>
      <c r="AR524" s="120">
        <f>AR525+AR526</f>
        <v>0</v>
      </c>
      <c r="AS524" s="120">
        <f>VLOOKUP($C524,'1 预算编制表单'!$C:$BJ,48,FALSE)</f>
        <v>0</v>
      </c>
      <c r="AT524" s="120">
        <f t="shared" si="5988"/>
        <v>0</v>
      </c>
      <c r="AU524" s="120">
        <f>AU525+AU526</f>
        <v>0</v>
      </c>
      <c r="AV524" s="120">
        <f>VLOOKUP($C524,'1 预算编制表单'!$C:$BJ,51,FALSE)</f>
        <v>0</v>
      </c>
      <c r="AW524" s="120">
        <f t="shared" si="5989"/>
        <v>0</v>
      </c>
      <c r="AX524" s="120">
        <f>AX525+AX526</f>
        <v>0</v>
      </c>
      <c r="AY524" s="120">
        <f>VLOOKUP($C524,'1 预算编制表单'!$C:$BJ,54,FALSE)</f>
        <v>0</v>
      </c>
      <c r="AZ524" s="120">
        <f t="shared" si="5990"/>
        <v>0</v>
      </c>
      <c r="BA524" s="120">
        <f>BA525+BA526</f>
        <v>0</v>
      </c>
      <c r="BB524" s="120">
        <f>VLOOKUP($C524,'1 预算编制表单'!$C:$BJ,57,FALSE)</f>
        <v>0</v>
      </c>
      <c r="BC524" s="120">
        <f t="shared" si="5991"/>
        <v>0</v>
      </c>
      <c r="BD524" s="120">
        <f>BD525+BD526</f>
        <v>0</v>
      </c>
      <c r="BE524" s="120">
        <f>VLOOKUP($C524,'1 预算编制表单'!$C:$BJ,60,FALSE)</f>
        <v>0</v>
      </c>
      <c r="BF524" s="120">
        <f t="shared" si="5992"/>
        <v>0</v>
      </c>
      <c r="BG524" s="120">
        <f>BG525+BG526</f>
        <v>0</v>
      </c>
      <c r="BH524" s="120">
        <f>VLOOKUP($C524,'1 预算编制表单'!$C:$BJ,27,FALSE)</f>
        <v>0</v>
      </c>
      <c r="BI524" s="120">
        <f t="shared" si="5993"/>
        <v>0</v>
      </c>
      <c r="BJ524" s="120">
        <f>BJ525+BJ526</f>
        <v>0</v>
      </c>
      <c r="BK524" s="120">
        <f>VLOOKUP($C524,'1 预算编制表单'!$C:$BJ,30,FALSE)</f>
        <v>0</v>
      </c>
      <c r="BL524" s="120">
        <f t="shared" si="5994"/>
        <v>0</v>
      </c>
      <c r="BM524" s="120">
        <f>BM525+BM526</f>
        <v>0</v>
      </c>
      <c r="BN524" s="120">
        <f>VLOOKUP($C524,'1 预算编制表单'!$C:$BJ,33,FALSE)</f>
        <v>0</v>
      </c>
      <c r="BO524" s="120">
        <f t="shared" si="5995"/>
        <v>0</v>
      </c>
      <c r="BP524" s="120">
        <f>BP525+BP526</f>
        <v>0</v>
      </c>
      <c r="BQ524" s="120">
        <f>VLOOKUP($C524,'1 预算编制表单'!$C:$BJ,36,FALSE)</f>
        <v>0</v>
      </c>
      <c r="BR524" s="120">
        <f t="shared" si="5996"/>
        <v>0</v>
      </c>
      <c r="BS524" s="120">
        <f>BS525+BS526</f>
        <v>0</v>
      </c>
      <c r="BT524" s="120">
        <f>VLOOKUP($C524,'1 预算编制表单'!$C:$BJ,39,FALSE)</f>
        <v>0</v>
      </c>
      <c r="BU524" s="120">
        <f t="shared" si="5997"/>
        <v>0</v>
      </c>
      <c r="BV524" s="120">
        <f>BV525+BV526</f>
        <v>0</v>
      </c>
      <c r="BW524" s="120">
        <f>VLOOKUP($C524,'1 预算编制表单'!$C:$BJ,42,FALSE)</f>
        <v>0</v>
      </c>
      <c r="BX524" s="120">
        <f t="shared" si="5998"/>
        <v>0</v>
      </c>
      <c r="BY524" s="120">
        <f>BY525+BY526</f>
        <v>0</v>
      </c>
      <c r="BZ524" s="120">
        <f>VLOOKUP($C524,'1 预算编制表单'!$C:$BJ,45,FALSE)</f>
        <v>0</v>
      </c>
      <c r="CA524" s="120">
        <f t="shared" si="5999"/>
        <v>0</v>
      </c>
      <c r="CB524" s="120">
        <f>CB525+CB526</f>
        <v>0</v>
      </c>
      <c r="CC524" s="120">
        <f>VLOOKUP($C524,'1 预算编制表单'!$C:$BJ,48,FALSE)</f>
        <v>0</v>
      </c>
      <c r="CD524" s="120">
        <f t="shared" si="6000"/>
        <v>0</v>
      </c>
      <c r="CE524" s="120">
        <f>CE525+CE526</f>
        <v>0</v>
      </c>
      <c r="CF524" s="120">
        <f>VLOOKUP($C524,'1 预算编制表单'!$C:$BJ,51,FALSE)</f>
        <v>0</v>
      </c>
      <c r="CG524" s="120">
        <f t="shared" si="6001"/>
        <v>0</v>
      </c>
      <c r="CH524" s="120">
        <f>CH525+CH526</f>
        <v>0</v>
      </c>
      <c r="CI524" s="120">
        <f>VLOOKUP($C524,'1 预算编制表单'!$C:$BJ,54,FALSE)</f>
        <v>0</v>
      </c>
      <c r="CJ524" s="120">
        <f t="shared" si="6002"/>
        <v>0</v>
      </c>
      <c r="CK524" s="120">
        <f>CK525+CK526</f>
        <v>0</v>
      </c>
      <c r="CL524" s="120">
        <f>VLOOKUP($C524,'1 预算编制表单'!$C:$BJ,57,FALSE)</f>
        <v>0</v>
      </c>
      <c r="CM524" s="120">
        <f t="shared" si="6003"/>
        <v>0</v>
      </c>
      <c r="CN524" s="120">
        <f>CN525+CN526</f>
        <v>0</v>
      </c>
      <c r="CO524" s="120">
        <f>VLOOKUP($C524,'1 预算编制表单'!$C:$BJ,60,FALSE)</f>
        <v>0</v>
      </c>
      <c r="CP524" s="120">
        <f t="shared" si="6004"/>
        <v>0</v>
      </c>
      <c r="CQ524" s="120">
        <f>CQ525+CQ526</f>
        <v>0</v>
      </c>
    </row>
    <row r="525" ht="24" customHeight="1" outlineLevel="2" spans="1:95">
      <c r="A525" s="43"/>
      <c r="B525" s="121" t="s">
        <v>787</v>
      </c>
      <c r="C525" s="122" t="s">
        <v>1913</v>
      </c>
      <c r="D525" s="43" t="s">
        <v>1914</v>
      </c>
      <c r="E525" s="121"/>
      <c r="F525" s="121"/>
      <c r="G525" s="121"/>
      <c r="H525" s="123">
        <f t="shared" si="5979"/>
        <v>0</v>
      </c>
      <c r="I525" s="123">
        <f t="shared" si="5980"/>
        <v>-975</v>
      </c>
      <c r="J525" s="123">
        <f t="shared" si="6007"/>
        <v>975</v>
      </c>
      <c r="K525" s="123"/>
      <c r="L525" s="154"/>
      <c r="M525" s="154"/>
      <c r="N525" s="123"/>
      <c r="O525" s="154"/>
      <c r="P525" s="123"/>
      <c r="Q525" s="123"/>
      <c r="R525" s="123"/>
      <c r="S525" s="123"/>
      <c r="T525" s="123"/>
      <c r="U525" s="123"/>
      <c r="V525" s="123"/>
      <c r="W525" s="123"/>
      <c r="X525" s="123">
        <f>VLOOKUP($C525,'1 预算编制表单'!$C:$BJ,27,FALSE)</f>
        <v>0</v>
      </c>
      <c r="Y525" s="123">
        <f t="shared" ref="Y525:Y531" si="6008">X525-Z525</f>
        <v>0</v>
      </c>
      <c r="Z525" s="123">
        <f>SUMIF(物资过程计算表!$B:$B,$C525,物资过程计算表!$D:$D)</f>
        <v>0</v>
      </c>
      <c r="AA525" s="123">
        <f>VLOOKUP($C525,'1 预算编制表单'!$C:$BJ,30,FALSE)</f>
        <v>0</v>
      </c>
      <c r="AB525" s="123">
        <f t="shared" si="5982"/>
        <v>0</v>
      </c>
      <c r="AC525" s="123">
        <f>SUMIF(物资过程计算表!$B:$B,$C525,物资过程计算表!E:E)</f>
        <v>0</v>
      </c>
      <c r="AD525" s="123">
        <f>VLOOKUP($C525,'1 预算编制表单'!$C:$BJ,33,FALSE)</f>
        <v>0</v>
      </c>
      <c r="AE525" s="123">
        <f t="shared" si="5983"/>
        <v>0</v>
      </c>
      <c r="AF525" s="123">
        <f>SUMIF(物资过程计算表!$B:$B,$C525,物资过程计算表!F:F)</f>
        <v>0</v>
      </c>
      <c r="AG525" s="123">
        <f>VLOOKUP($C525,'1 预算编制表单'!$C:$BJ,36,FALSE)</f>
        <v>0</v>
      </c>
      <c r="AH525" s="123">
        <f t="shared" si="5984"/>
        <v>0</v>
      </c>
      <c r="AI525" s="123">
        <f>SUMIF(物资过程计算表!$B:$B,$C525,物资过程计算表!G:G)</f>
        <v>0</v>
      </c>
      <c r="AJ525" s="123">
        <f>VLOOKUP($C525,'1 预算编制表单'!$C:$BJ,39,FALSE)</f>
        <v>0</v>
      </c>
      <c r="AK525" s="123">
        <f t="shared" si="5985"/>
        <v>0</v>
      </c>
      <c r="AL525" s="123">
        <f>SUMIF(物资过程计算表!$B:$B,$C525,物资过程计算表!H:H)</f>
        <v>0</v>
      </c>
      <c r="AM525" s="123">
        <f>VLOOKUP($C525,'1 预算编制表单'!$C:$BJ,42,FALSE)</f>
        <v>0</v>
      </c>
      <c r="AN525" s="123">
        <f t="shared" si="5986"/>
        <v>-975</v>
      </c>
      <c r="AO525" s="123">
        <f>SUMIF(物资过程计算表!$B:$B,$C525,物资过程计算表!I:I)</f>
        <v>975</v>
      </c>
      <c r="AP525" s="123">
        <f>VLOOKUP($C525,'1 预算编制表单'!$C:$BJ,45,FALSE)</f>
        <v>0</v>
      </c>
      <c r="AQ525" s="123">
        <f t="shared" si="5987"/>
        <v>0</v>
      </c>
      <c r="AR525" s="123">
        <f>SUMIF(物资过程计算表!$B:$B,$C525,物资过程计算表!J:J)</f>
        <v>0</v>
      </c>
      <c r="AS525" s="123">
        <f>VLOOKUP($C525,'1 预算编制表单'!$C:$BJ,48,FALSE)</f>
        <v>0</v>
      </c>
      <c r="AT525" s="123">
        <f t="shared" si="5988"/>
        <v>0</v>
      </c>
      <c r="AU525" s="123">
        <f>SUMIF(物资过程计算表!$B:$B,$C525,物资过程计算表!K:K)</f>
        <v>0</v>
      </c>
      <c r="AV525" s="123">
        <f>VLOOKUP($C525,'1 预算编制表单'!$C:$BJ,51,FALSE)</f>
        <v>0</v>
      </c>
      <c r="AW525" s="123">
        <f t="shared" si="5989"/>
        <v>0</v>
      </c>
      <c r="AX525" s="123">
        <f>SUMIF(物资过程计算表!$B:$B,$C525,物资过程计算表!L:L)</f>
        <v>0</v>
      </c>
      <c r="AY525" s="123">
        <f>VLOOKUP($C525,'1 预算编制表单'!$C:$BJ,54,FALSE)</f>
        <v>0</v>
      </c>
      <c r="AZ525" s="123">
        <f t="shared" si="5990"/>
        <v>0</v>
      </c>
      <c r="BA525" s="123">
        <f>SUMIF(物资过程计算表!$B:$B,$C525,物资过程计算表!M:M)</f>
        <v>0</v>
      </c>
      <c r="BB525" s="123">
        <f>VLOOKUP($C525,'1 预算编制表单'!$C:$BJ,57,FALSE)</f>
        <v>0</v>
      </c>
      <c r="BC525" s="123">
        <f t="shared" si="5991"/>
        <v>0</v>
      </c>
      <c r="BD525" s="123">
        <f>SUMIF(物资过程计算表!$B:$B,$C525,物资过程计算表!N:N)</f>
        <v>0</v>
      </c>
      <c r="BE525" s="123">
        <f>VLOOKUP($C525,'1 预算编制表单'!$C:$BJ,60,FALSE)</f>
        <v>0</v>
      </c>
      <c r="BF525" s="123">
        <f t="shared" si="5992"/>
        <v>0</v>
      </c>
      <c r="BG525" s="123">
        <f>SUMIF(物资过程计算表!$B:$B,$C525,物资过程计算表!O:O)</f>
        <v>0</v>
      </c>
      <c r="BH525" s="123">
        <f>VLOOKUP($C525,'1 预算编制表单'!$C:$BJ,27,FALSE)</f>
        <v>0</v>
      </c>
      <c r="BI525" s="123">
        <f t="shared" si="5993"/>
        <v>0</v>
      </c>
      <c r="BJ525" s="123"/>
      <c r="BK525" s="123">
        <f>VLOOKUP($C525,'1 预算编制表单'!$C:$BJ,30,FALSE)</f>
        <v>0</v>
      </c>
      <c r="BL525" s="123">
        <f t="shared" si="5994"/>
        <v>0</v>
      </c>
      <c r="BM525" s="123"/>
      <c r="BN525" s="123">
        <f>VLOOKUP($C525,'1 预算编制表单'!$C:$BJ,33,FALSE)</f>
        <v>0</v>
      </c>
      <c r="BO525" s="123">
        <f t="shared" si="5995"/>
        <v>0</v>
      </c>
      <c r="BP525" s="123"/>
      <c r="BQ525" s="123">
        <f>VLOOKUP($C525,'1 预算编制表单'!$C:$BJ,36,FALSE)</f>
        <v>0</v>
      </c>
      <c r="BR525" s="123">
        <f t="shared" si="5996"/>
        <v>0</v>
      </c>
      <c r="BS525" s="123"/>
      <c r="BT525" s="123">
        <f>VLOOKUP($C525,'1 预算编制表单'!$C:$BJ,39,FALSE)</f>
        <v>0</v>
      </c>
      <c r="BU525" s="123">
        <f t="shared" si="5997"/>
        <v>0</v>
      </c>
      <c r="BV525" s="123"/>
      <c r="BW525" s="123">
        <f>VLOOKUP($C525,'1 预算编制表单'!$C:$BJ,42,FALSE)</f>
        <v>0</v>
      </c>
      <c r="BX525" s="123">
        <f t="shared" si="5998"/>
        <v>0</v>
      </c>
      <c r="BY525" s="123"/>
      <c r="BZ525" s="123">
        <f>VLOOKUP($C525,'1 预算编制表单'!$C:$BJ,45,FALSE)</f>
        <v>0</v>
      </c>
      <c r="CA525" s="123">
        <f t="shared" si="5999"/>
        <v>0</v>
      </c>
      <c r="CB525" s="123"/>
      <c r="CC525" s="123">
        <f>VLOOKUP($C525,'1 预算编制表单'!$C:$BJ,48,FALSE)</f>
        <v>0</v>
      </c>
      <c r="CD525" s="123">
        <f t="shared" si="6000"/>
        <v>0</v>
      </c>
      <c r="CE525" s="123"/>
      <c r="CF525" s="123">
        <f>VLOOKUP($C525,'1 预算编制表单'!$C:$BJ,51,FALSE)</f>
        <v>0</v>
      </c>
      <c r="CG525" s="123">
        <f t="shared" si="6001"/>
        <v>0</v>
      </c>
      <c r="CH525" s="123"/>
      <c r="CI525" s="123">
        <f>VLOOKUP($C525,'1 预算编制表单'!$C:$BJ,54,FALSE)</f>
        <v>0</v>
      </c>
      <c r="CJ525" s="123">
        <f t="shared" si="6002"/>
        <v>0</v>
      </c>
      <c r="CK525" s="123"/>
      <c r="CL525" s="123">
        <f>VLOOKUP($C525,'1 预算编制表单'!$C:$BJ,57,FALSE)</f>
        <v>0</v>
      </c>
      <c r="CM525" s="123">
        <f t="shared" si="6003"/>
        <v>0</v>
      </c>
      <c r="CN525" s="123"/>
      <c r="CO525" s="123">
        <f>VLOOKUP($C525,'1 预算编制表单'!$C:$BJ,60,FALSE)</f>
        <v>0</v>
      </c>
      <c r="CP525" s="123">
        <f t="shared" si="6004"/>
        <v>0</v>
      </c>
      <c r="CQ525" s="123"/>
    </row>
    <row r="526" ht="24" customHeight="1" outlineLevel="2" spans="1:95">
      <c r="A526" s="43"/>
      <c r="B526" s="121" t="s">
        <v>787</v>
      </c>
      <c r="C526" s="122" t="s">
        <v>1929</v>
      </c>
      <c r="D526" s="43" t="s">
        <v>1930</v>
      </c>
      <c r="E526" s="121"/>
      <c r="F526" s="121"/>
      <c r="G526" s="121"/>
      <c r="H526" s="123">
        <f t="shared" si="5979"/>
        <v>0</v>
      </c>
      <c r="I526" s="123">
        <f t="shared" si="5980"/>
        <v>0</v>
      </c>
      <c r="J526" s="123">
        <f t="shared" si="6007"/>
        <v>0</v>
      </c>
      <c r="K526" s="123"/>
      <c r="L526" s="154"/>
      <c r="M526" s="154"/>
      <c r="N526" s="123"/>
      <c r="O526" s="154"/>
      <c r="P526" s="123"/>
      <c r="Q526" s="123"/>
      <c r="R526" s="123"/>
      <c r="S526" s="123"/>
      <c r="T526" s="123"/>
      <c r="U526" s="123"/>
      <c r="V526" s="123"/>
      <c r="W526" s="123"/>
      <c r="X526" s="123">
        <f>VLOOKUP($C526,'1 预算编制表单'!$C:$BJ,27,FALSE)</f>
        <v>0</v>
      </c>
      <c r="Y526" s="123">
        <f t="shared" si="6008"/>
        <v>0</v>
      </c>
      <c r="Z526" s="123">
        <f>SUMIF(物资过程计算表!$B:$B,$C526,物资过程计算表!$D:$D)</f>
        <v>0</v>
      </c>
      <c r="AA526" s="123">
        <f>VLOOKUP($C526,'1 预算编制表单'!$C:$BJ,30,FALSE)</f>
        <v>0</v>
      </c>
      <c r="AB526" s="123">
        <f t="shared" si="5982"/>
        <v>0</v>
      </c>
      <c r="AC526" s="123">
        <f>SUMIF(物资过程计算表!$B:$B,$C526,物资过程计算表!E:E)</f>
        <v>0</v>
      </c>
      <c r="AD526" s="123">
        <f>VLOOKUP($C526,'1 预算编制表单'!$C:$BJ,33,FALSE)</f>
        <v>0</v>
      </c>
      <c r="AE526" s="123">
        <f t="shared" si="5983"/>
        <v>0</v>
      </c>
      <c r="AF526" s="123">
        <f>SUMIF(物资过程计算表!$B:$B,$C526,物资过程计算表!F:F)</f>
        <v>0</v>
      </c>
      <c r="AG526" s="123">
        <f>VLOOKUP($C526,'1 预算编制表单'!$C:$BJ,36,FALSE)</f>
        <v>0</v>
      </c>
      <c r="AH526" s="123">
        <f t="shared" si="5984"/>
        <v>0</v>
      </c>
      <c r="AI526" s="123">
        <f>SUMIF(物资过程计算表!$B:$B,$C526,物资过程计算表!G:G)</f>
        <v>0</v>
      </c>
      <c r="AJ526" s="123">
        <f>VLOOKUP($C526,'1 预算编制表单'!$C:$BJ,39,FALSE)</f>
        <v>0</v>
      </c>
      <c r="AK526" s="123">
        <f t="shared" si="5985"/>
        <v>0</v>
      </c>
      <c r="AL526" s="123">
        <f>SUMIF(物资过程计算表!$B:$B,$C526,物资过程计算表!H:H)</f>
        <v>0</v>
      </c>
      <c r="AM526" s="123">
        <f>VLOOKUP($C526,'1 预算编制表单'!$C:$BJ,42,FALSE)</f>
        <v>0</v>
      </c>
      <c r="AN526" s="123">
        <f t="shared" si="5986"/>
        <v>0</v>
      </c>
      <c r="AO526" s="123">
        <f>SUMIF(物资过程计算表!$B:$B,$C526,物资过程计算表!I:I)</f>
        <v>0</v>
      </c>
      <c r="AP526" s="123">
        <f>VLOOKUP($C526,'1 预算编制表单'!$C:$BJ,45,FALSE)</f>
        <v>0</v>
      </c>
      <c r="AQ526" s="123">
        <f t="shared" si="5987"/>
        <v>0</v>
      </c>
      <c r="AR526" s="123">
        <f>SUMIF(物资过程计算表!$B:$B,$C526,物资过程计算表!J:J)</f>
        <v>0</v>
      </c>
      <c r="AS526" s="123">
        <f>VLOOKUP($C526,'1 预算编制表单'!$C:$BJ,48,FALSE)</f>
        <v>0</v>
      </c>
      <c r="AT526" s="123">
        <f t="shared" si="5988"/>
        <v>0</v>
      </c>
      <c r="AU526" s="123">
        <f>SUMIF(物资过程计算表!$B:$B,$C526,物资过程计算表!K:K)</f>
        <v>0</v>
      </c>
      <c r="AV526" s="123">
        <f>VLOOKUP($C526,'1 预算编制表单'!$C:$BJ,51,FALSE)</f>
        <v>0</v>
      </c>
      <c r="AW526" s="123">
        <f t="shared" si="5989"/>
        <v>0</v>
      </c>
      <c r="AX526" s="123">
        <f>SUMIF(物资过程计算表!$B:$B,$C526,物资过程计算表!L:L)</f>
        <v>0</v>
      </c>
      <c r="AY526" s="123">
        <f>VLOOKUP($C526,'1 预算编制表单'!$C:$BJ,54,FALSE)</f>
        <v>0</v>
      </c>
      <c r="AZ526" s="123">
        <f t="shared" si="5990"/>
        <v>0</v>
      </c>
      <c r="BA526" s="123">
        <f>SUMIF(物资过程计算表!$B:$B,$C526,物资过程计算表!M:M)</f>
        <v>0</v>
      </c>
      <c r="BB526" s="123">
        <f>VLOOKUP($C526,'1 预算编制表单'!$C:$BJ,57,FALSE)</f>
        <v>0</v>
      </c>
      <c r="BC526" s="123">
        <f t="shared" si="5991"/>
        <v>0</v>
      </c>
      <c r="BD526" s="123">
        <f>SUMIF(物资过程计算表!$B:$B,$C526,物资过程计算表!N:N)</f>
        <v>0</v>
      </c>
      <c r="BE526" s="123">
        <f>VLOOKUP($C526,'1 预算编制表单'!$C:$BJ,60,FALSE)</f>
        <v>0</v>
      </c>
      <c r="BF526" s="123">
        <f t="shared" si="5992"/>
        <v>0</v>
      </c>
      <c r="BG526" s="123">
        <f>SUMIF(物资过程计算表!$B:$B,$C526,物资过程计算表!O:O)</f>
        <v>0</v>
      </c>
      <c r="BH526" s="123">
        <f>VLOOKUP($C526,'1 预算编制表单'!$C:$BJ,27,FALSE)</f>
        <v>0</v>
      </c>
      <c r="BI526" s="123">
        <f t="shared" si="5993"/>
        <v>0</v>
      </c>
      <c r="BJ526" s="123"/>
      <c r="BK526" s="123">
        <f>VLOOKUP($C526,'1 预算编制表单'!$C:$BJ,30,FALSE)</f>
        <v>0</v>
      </c>
      <c r="BL526" s="123">
        <f t="shared" si="5994"/>
        <v>0</v>
      </c>
      <c r="BM526" s="123"/>
      <c r="BN526" s="123">
        <f>VLOOKUP($C526,'1 预算编制表单'!$C:$BJ,33,FALSE)</f>
        <v>0</v>
      </c>
      <c r="BO526" s="123">
        <f t="shared" si="5995"/>
        <v>0</v>
      </c>
      <c r="BP526" s="123"/>
      <c r="BQ526" s="123">
        <f>VLOOKUP($C526,'1 预算编制表单'!$C:$BJ,36,FALSE)</f>
        <v>0</v>
      </c>
      <c r="BR526" s="123">
        <f t="shared" si="5996"/>
        <v>0</v>
      </c>
      <c r="BS526" s="123"/>
      <c r="BT526" s="123">
        <f>VLOOKUP($C526,'1 预算编制表单'!$C:$BJ,39,FALSE)</f>
        <v>0</v>
      </c>
      <c r="BU526" s="123">
        <f t="shared" si="5997"/>
        <v>0</v>
      </c>
      <c r="BV526" s="123"/>
      <c r="BW526" s="123">
        <f>VLOOKUP($C526,'1 预算编制表单'!$C:$BJ,42,FALSE)</f>
        <v>0</v>
      </c>
      <c r="BX526" s="123">
        <f t="shared" si="5998"/>
        <v>0</v>
      </c>
      <c r="BY526" s="123"/>
      <c r="BZ526" s="123">
        <f>VLOOKUP($C526,'1 预算编制表单'!$C:$BJ,45,FALSE)</f>
        <v>0</v>
      </c>
      <c r="CA526" s="123">
        <f t="shared" si="5999"/>
        <v>0</v>
      </c>
      <c r="CB526" s="123"/>
      <c r="CC526" s="123">
        <f>VLOOKUP($C526,'1 预算编制表单'!$C:$BJ,48,FALSE)</f>
        <v>0</v>
      </c>
      <c r="CD526" s="123">
        <f t="shared" si="6000"/>
        <v>0</v>
      </c>
      <c r="CE526" s="123"/>
      <c r="CF526" s="123">
        <f>VLOOKUP($C526,'1 预算编制表单'!$C:$BJ,51,FALSE)</f>
        <v>0</v>
      </c>
      <c r="CG526" s="123">
        <f t="shared" si="6001"/>
        <v>0</v>
      </c>
      <c r="CH526" s="123"/>
      <c r="CI526" s="123">
        <f>VLOOKUP($C526,'1 预算编制表单'!$C:$BJ,54,FALSE)</f>
        <v>0</v>
      </c>
      <c r="CJ526" s="123">
        <f t="shared" si="6002"/>
        <v>0</v>
      </c>
      <c r="CK526" s="123"/>
      <c r="CL526" s="123">
        <f>VLOOKUP($C526,'1 预算编制表单'!$C:$BJ,57,FALSE)</f>
        <v>0</v>
      </c>
      <c r="CM526" s="123">
        <f t="shared" si="6003"/>
        <v>0</v>
      </c>
      <c r="CN526" s="123"/>
      <c r="CO526" s="123">
        <f>VLOOKUP($C526,'1 预算编制表单'!$C:$BJ,60,FALSE)</f>
        <v>0</v>
      </c>
      <c r="CP526" s="123">
        <f t="shared" si="6004"/>
        <v>0</v>
      </c>
      <c r="CQ526" s="123"/>
    </row>
    <row r="527" ht="24" customHeight="1" outlineLevel="1" spans="1:95">
      <c r="A527" s="14"/>
      <c r="B527" s="118" t="s">
        <v>787</v>
      </c>
      <c r="C527" s="119" t="s">
        <v>1952</v>
      </c>
      <c r="D527" s="14" t="s">
        <v>1953</v>
      </c>
      <c r="E527" s="118"/>
      <c r="F527" s="118"/>
      <c r="G527" s="118"/>
      <c r="H527" s="120">
        <f t="shared" si="5979"/>
        <v>0</v>
      </c>
      <c r="I527" s="120">
        <f t="shared" si="5980"/>
        <v>-14203.34</v>
      </c>
      <c r="J527" s="120">
        <f t="shared" si="6007"/>
        <v>14203.34</v>
      </c>
      <c r="K527" s="120"/>
      <c r="L527" s="153"/>
      <c r="M527" s="153"/>
      <c r="N527" s="120"/>
      <c r="O527" s="153"/>
      <c r="P527" s="120"/>
      <c r="Q527" s="120"/>
      <c r="R527" s="120"/>
      <c r="S527" s="120"/>
      <c r="T527" s="120"/>
      <c r="U527" s="120"/>
      <c r="V527" s="120"/>
      <c r="W527" s="120"/>
      <c r="X527" s="120">
        <f>VLOOKUP($C527,'1 预算编制表单'!$C:$BJ,27,FALSE)</f>
        <v>0</v>
      </c>
      <c r="Y527" s="120">
        <f t="shared" si="6008"/>
        <v>0</v>
      </c>
      <c r="Z527" s="120">
        <f>Z528+Z529+Z530</f>
        <v>0</v>
      </c>
      <c r="AA527" s="120">
        <f>VLOOKUP($C527,'1 预算编制表单'!$C:$BJ,30,FALSE)</f>
        <v>0</v>
      </c>
      <c r="AB527" s="120">
        <f t="shared" si="5982"/>
        <v>-5891.76</v>
      </c>
      <c r="AC527" s="120">
        <f>AC528+AC529+AC530</f>
        <v>5891.76</v>
      </c>
      <c r="AD527" s="120">
        <f>VLOOKUP($C527,'1 预算编制表单'!$C:$BJ,33,FALSE)</f>
        <v>0</v>
      </c>
      <c r="AE527" s="120">
        <f t="shared" si="5983"/>
        <v>-6554.86</v>
      </c>
      <c r="AF527" s="120">
        <f>AF528+AF529+AF530</f>
        <v>6554.86</v>
      </c>
      <c r="AG527" s="120">
        <f>VLOOKUP($C527,'1 预算编制表单'!$C:$BJ,36,FALSE)</f>
        <v>0</v>
      </c>
      <c r="AH527" s="120">
        <f t="shared" si="5984"/>
        <v>-421.72</v>
      </c>
      <c r="AI527" s="120">
        <f>AI528+AI529+AI530</f>
        <v>421.72</v>
      </c>
      <c r="AJ527" s="120">
        <f>VLOOKUP($C527,'1 预算编制表单'!$C:$BJ,39,FALSE)</f>
        <v>0</v>
      </c>
      <c r="AK527" s="120">
        <f t="shared" si="5985"/>
        <v>0</v>
      </c>
      <c r="AL527" s="120">
        <f>AL528+AL529+AL530</f>
        <v>0</v>
      </c>
      <c r="AM527" s="120">
        <f>VLOOKUP($C527,'1 预算编制表单'!$C:$BJ,42,FALSE)</f>
        <v>0</v>
      </c>
      <c r="AN527" s="120">
        <f t="shared" si="5986"/>
        <v>-1335</v>
      </c>
      <c r="AO527" s="120">
        <f>AO528+AO529+AO530</f>
        <v>1335</v>
      </c>
      <c r="AP527" s="120">
        <f>VLOOKUP($C527,'1 预算编制表单'!$C:$BJ,45,FALSE)</f>
        <v>0</v>
      </c>
      <c r="AQ527" s="120">
        <f t="shared" si="5987"/>
        <v>0</v>
      </c>
      <c r="AR527" s="120">
        <f>AR528+AR529+AR530</f>
        <v>0</v>
      </c>
      <c r="AS527" s="120">
        <f>VLOOKUP($C527,'1 预算编制表单'!$C:$BJ,48,FALSE)</f>
        <v>0</v>
      </c>
      <c r="AT527" s="120">
        <f t="shared" si="5988"/>
        <v>0</v>
      </c>
      <c r="AU527" s="120">
        <f>AU528+AU529+AU530</f>
        <v>0</v>
      </c>
      <c r="AV527" s="120">
        <f>VLOOKUP($C527,'1 预算编制表单'!$C:$BJ,51,FALSE)</f>
        <v>0</v>
      </c>
      <c r="AW527" s="120">
        <f t="shared" si="5989"/>
        <v>0</v>
      </c>
      <c r="AX527" s="120">
        <f>AX528+AX529+AX530</f>
        <v>0</v>
      </c>
      <c r="AY527" s="120">
        <f>VLOOKUP($C527,'1 预算编制表单'!$C:$BJ,54,FALSE)</f>
        <v>0</v>
      </c>
      <c r="AZ527" s="120">
        <f t="shared" si="5990"/>
        <v>0</v>
      </c>
      <c r="BA527" s="120">
        <f>BA528+BA529+BA530</f>
        <v>0</v>
      </c>
      <c r="BB527" s="120">
        <f>VLOOKUP($C527,'1 预算编制表单'!$C:$BJ,57,FALSE)</f>
        <v>0</v>
      </c>
      <c r="BC527" s="120">
        <f t="shared" si="5991"/>
        <v>0</v>
      </c>
      <c r="BD527" s="120">
        <f>BD528+BD529+BD530</f>
        <v>0</v>
      </c>
      <c r="BE527" s="120">
        <f>VLOOKUP($C527,'1 预算编制表单'!$C:$BJ,60,FALSE)</f>
        <v>0</v>
      </c>
      <c r="BF527" s="120">
        <f t="shared" si="5992"/>
        <v>0</v>
      </c>
      <c r="BG527" s="120">
        <f>BG528+BG529+BG530</f>
        <v>0</v>
      </c>
      <c r="BH527" s="120">
        <f>VLOOKUP($C527,'1 预算编制表单'!$C:$BJ,27,FALSE)</f>
        <v>0</v>
      </c>
      <c r="BI527" s="120">
        <f t="shared" si="5993"/>
        <v>0</v>
      </c>
      <c r="BJ527" s="120">
        <f>BJ528+BJ529+BJ530</f>
        <v>0</v>
      </c>
      <c r="BK527" s="120">
        <f>VLOOKUP($C527,'1 预算编制表单'!$C:$BJ,30,FALSE)</f>
        <v>0</v>
      </c>
      <c r="BL527" s="120">
        <f t="shared" si="5994"/>
        <v>0</v>
      </c>
      <c r="BM527" s="120">
        <f>BM528+BM529+BM530</f>
        <v>0</v>
      </c>
      <c r="BN527" s="120">
        <f>VLOOKUP($C527,'1 预算编制表单'!$C:$BJ,33,FALSE)</f>
        <v>0</v>
      </c>
      <c r="BO527" s="120">
        <f t="shared" si="5995"/>
        <v>0</v>
      </c>
      <c r="BP527" s="120">
        <f>BP528+BP529+BP530</f>
        <v>0</v>
      </c>
      <c r="BQ527" s="120">
        <f>VLOOKUP($C527,'1 预算编制表单'!$C:$BJ,36,FALSE)</f>
        <v>0</v>
      </c>
      <c r="BR527" s="120">
        <f t="shared" si="5996"/>
        <v>0</v>
      </c>
      <c r="BS527" s="120">
        <f>BS528+BS529+BS530</f>
        <v>0</v>
      </c>
      <c r="BT527" s="120">
        <f>VLOOKUP($C527,'1 预算编制表单'!$C:$BJ,39,FALSE)</f>
        <v>0</v>
      </c>
      <c r="BU527" s="120">
        <f t="shared" si="5997"/>
        <v>0</v>
      </c>
      <c r="BV527" s="120">
        <f>BV528+BV529+BV530</f>
        <v>0</v>
      </c>
      <c r="BW527" s="120">
        <f>VLOOKUP($C527,'1 预算编制表单'!$C:$BJ,42,FALSE)</f>
        <v>0</v>
      </c>
      <c r="BX527" s="120">
        <f t="shared" si="5998"/>
        <v>0</v>
      </c>
      <c r="BY527" s="120">
        <f>BY528+BY529+BY530</f>
        <v>0</v>
      </c>
      <c r="BZ527" s="120">
        <f>VLOOKUP($C527,'1 预算编制表单'!$C:$BJ,45,FALSE)</f>
        <v>0</v>
      </c>
      <c r="CA527" s="120">
        <f t="shared" si="5999"/>
        <v>0</v>
      </c>
      <c r="CB527" s="120">
        <f>CB528+CB529+CB530</f>
        <v>0</v>
      </c>
      <c r="CC527" s="120">
        <f>VLOOKUP($C527,'1 预算编制表单'!$C:$BJ,48,FALSE)</f>
        <v>0</v>
      </c>
      <c r="CD527" s="120">
        <f t="shared" si="6000"/>
        <v>0</v>
      </c>
      <c r="CE527" s="120">
        <f>CE528+CE529+CE530</f>
        <v>0</v>
      </c>
      <c r="CF527" s="120">
        <f>VLOOKUP($C527,'1 预算编制表单'!$C:$BJ,51,FALSE)</f>
        <v>0</v>
      </c>
      <c r="CG527" s="120">
        <f t="shared" si="6001"/>
        <v>0</v>
      </c>
      <c r="CH527" s="120">
        <f>CH528+CH529+CH530</f>
        <v>0</v>
      </c>
      <c r="CI527" s="120">
        <f>VLOOKUP($C527,'1 预算编制表单'!$C:$BJ,54,FALSE)</f>
        <v>0</v>
      </c>
      <c r="CJ527" s="120">
        <f t="shared" si="6002"/>
        <v>0</v>
      </c>
      <c r="CK527" s="120">
        <f>CK528+CK529+CK530</f>
        <v>0</v>
      </c>
      <c r="CL527" s="120">
        <f>VLOOKUP($C527,'1 预算编制表单'!$C:$BJ,57,FALSE)</f>
        <v>0</v>
      </c>
      <c r="CM527" s="120">
        <f t="shared" si="6003"/>
        <v>0</v>
      </c>
      <c r="CN527" s="120">
        <f>CN528+CN529+CN530</f>
        <v>0</v>
      </c>
      <c r="CO527" s="120">
        <f>VLOOKUP($C527,'1 预算编制表单'!$C:$BJ,60,FALSE)</f>
        <v>0</v>
      </c>
      <c r="CP527" s="120">
        <f t="shared" si="6004"/>
        <v>0</v>
      </c>
      <c r="CQ527" s="120">
        <f>CQ528+CQ529+CQ530</f>
        <v>0</v>
      </c>
    </row>
    <row r="528" ht="24" customHeight="1" outlineLevel="2" spans="1:95">
      <c r="A528" s="43"/>
      <c r="B528" s="121" t="s">
        <v>787</v>
      </c>
      <c r="C528" s="122" t="s">
        <v>1954</v>
      </c>
      <c r="D528" s="43" t="s">
        <v>1955</v>
      </c>
      <c r="E528" s="121"/>
      <c r="F528" s="121"/>
      <c r="G528" s="121"/>
      <c r="H528" s="123">
        <f t="shared" si="5979"/>
        <v>0</v>
      </c>
      <c r="I528" s="123">
        <f t="shared" si="5980"/>
        <v>-12374.52</v>
      </c>
      <c r="J528" s="123">
        <f t="shared" si="6007"/>
        <v>12374.52</v>
      </c>
      <c r="K528" s="123"/>
      <c r="L528" s="154"/>
      <c r="M528" s="154"/>
      <c r="N528" s="123"/>
      <c r="O528" s="154"/>
      <c r="P528" s="123"/>
      <c r="Q528" s="123"/>
      <c r="R528" s="123"/>
      <c r="S528" s="123"/>
      <c r="T528" s="123"/>
      <c r="U528" s="123"/>
      <c r="V528" s="123"/>
      <c r="W528" s="123"/>
      <c r="X528" s="123">
        <f>VLOOKUP($C528,'1 预算编制表单'!$C:$BJ,27,FALSE)</f>
        <v>0</v>
      </c>
      <c r="Y528" s="123">
        <f t="shared" si="6008"/>
        <v>0</v>
      </c>
      <c r="Z528" s="123">
        <f>SUMIF(物资过程计算表!$B:$B,$C528,物资过程计算表!$D:$D)</f>
        <v>0</v>
      </c>
      <c r="AA528" s="123">
        <f>VLOOKUP($C528,'1 预算编制表单'!$C:$BJ,30,FALSE)</f>
        <v>0</v>
      </c>
      <c r="AB528" s="123">
        <f t="shared" si="5982"/>
        <v>-4676.76</v>
      </c>
      <c r="AC528" s="123">
        <f>SUMIF(物资过程计算表!$B:$B,$C528,物资过程计算表!E:E)</f>
        <v>4676.76</v>
      </c>
      <c r="AD528" s="123">
        <f>VLOOKUP($C528,'1 预算编制表单'!$C:$BJ,33,FALSE)</f>
        <v>0</v>
      </c>
      <c r="AE528" s="123">
        <f t="shared" si="5983"/>
        <v>-6362.76</v>
      </c>
      <c r="AF528" s="123">
        <f>SUMIF(物资过程计算表!$B:$B,$C528,物资过程计算表!F:F)</f>
        <v>6362.76</v>
      </c>
      <c r="AG528" s="123">
        <f>VLOOKUP($C528,'1 预算编制表单'!$C:$BJ,36,FALSE)</f>
        <v>0</v>
      </c>
      <c r="AH528" s="123">
        <f t="shared" si="5984"/>
        <v>0</v>
      </c>
      <c r="AI528" s="123">
        <f>SUMIF(物资过程计算表!$B:$B,$C528,物资过程计算表!G:G)</f>
        <v>0</v>
      </c>
      <c r="AJ528" s="123">
        <f>VLOOKUP($C528,'1 预算编制表单'!$C:$BJ,39,FALSE)</f>
        <v>0</v>
      </c>
      <c r="AK528" s="123">
        <f t="shared" si="5985"/>
        <v>0</v>
      </c>
      <c r="AL528" s="123">
        <f>SUMIF(物资过程计算表!$B:$B,$C528,物资过程计算表!H:H)</f>
        <v>0</v>
      </c>
      <c r="AM528" s="123">
        <f>VLOOKUP($C528,'1 预算编制表单'!$C:$BJ,42,FALSE)</f>
        <v>0</v>
      </c>
      <c r="AN528" s="123">
        <f t="shared" si="5986"/>
        <v>-1335</v>
      </c>
      <c r="AO528" s="123">
        <f>SUMIF(物资过程计算表!$B:$B,$C528,物资过程计算表!I:I)</f>
        <v>1335</v>
      </c>
      <c r="AP528" s="123">
        <f>VLOOKUP($C528,'1 预算编制表单'!$C:$BJ,45,FALSE)</f>
        <v>0</v>
      </c>
      <c r="AQ528" s="123">
        <f t="shared" si="5987"/>
        <v>0</v>
      </c>
      <c r="AR528" s="123">
        <f>SUMIF(物资过程计算表!$B:$B,$C528,物资过程计算表!J:J)</f>
        <v>0</v>
      </c>
      <c r="AS528" s="123">
        <f>VLOOKUP($C528,'1 预算编制表单'!$C:$BJ,48,FALSE)</f>
        <v>0</v>
      </c>
      <c r="AT528" s="123">
        <f t="shared" si="5988"/>
        <v>0</v>
      </c>
      <c r="AU528" s="123">
        <f>SUMIF(物资过程计算表!$B:$B,$C528,物资过程计算表!K:K)</f>
        <v>0</v>
      </c>
      <c r="AV528" s="123">
        <f>VLOOKUP($C528,'1 预算编制表单'!$C:$BJ,51,FALSE)</f>
        <v>0</v>
      </c>
      <c r="AW528" s="123">
        <f t="shared" si="5989"/>
        <v>0</v>
      </c>
      <c r="AX528" s="123">
        <f>SUMIF(物资过程计算表!$B:$B,$C528,物资过程计算表!L:L)</f>
        <v>0</v>
      </c>
      <c r="AY528" s="123">
        <f>VLOOKUP($C528,'1 预算编制表单'!$C:$BJ,54,FALSE)</f>
        <v>0</v>
      </c>
      <c r="AZ528" s="123">
        <f t="shared" si="5990"/>
        <v>0</v>
      </c>
      <c r="BA528" s="123">
        <f>SUMIF(物资过程计算表!$B:$B,$C528,物资过程计算表!M:M)</f>
        <v>0</v>
      </c>
      <c r="BB528" s="123">
        <f>VLOOKUP($C528,'1 预算编制表单'!$C:$BJ,57,FALSE)</f>
        <v>0</v>
      </c>
      <c r="BC528" s="123">
        <f t="shared" si="5991"/>
        <v>0</v>
      </c>
      <c r="BD528" s="123">
        <f>SUMIF(物资过程计算表!$B:$B,$C528,物资过程计算表!N:N)</f>
        <v>0</v>
      </c>
      <c r="BE528" s="123">
        <f>VLOOKUP($C528,'1 预算编制表单'!$C:$BJ,60,FALSE)</f>
        <v>0</v>
      </c>
      <c r="BF528" s="123">
        <f t="shared" si="5992"/>
        <v>0</v>
      </c>
      <c r="BG528" s="123">
        <f>SUMIF(物资过程计算表!$B:$B,$C528,物资过程计算表!O:O)</f>
        <v>0</v>
      </c>
      <c r="BH528" s="123">
        <f>VLOOKUP($C528,'1 预算编制表单'!$C:$BJ,27,FALSE)</f>
        <v>0</v>
      </c>
      <c r="BI528" s="123">
        <f t="shared" si="5993"/>
        <v>0</v>
      </c>
      <c r="BJ528" s="123"/>
      <c r="BK528" s="123">
        <f>VLOOKUP($C528,'1 预算编制表单'!$C:$BJ,30,FALSE)</f>
        <v>0</v>
      </c>
      <c r="BL528" s="123">
        <f t="shared" si="5994"/>
        <v>0</v>
      </c>
      <c r="BM528" s="123"/>
      <c r="BN528" s="123">
        <f>VLOOKUP($C528,'1 预算编制表单'!$C:$BJ,33,FALSE)</f>
        <v>0</v>
      </c>
      <c r="BO528" s="123">
        <f t="shared" si="5995"/>
        <v>0</v>
      </c>
      <c r="BP528" s="123"/>
      <c r="BQ528" s="123">
        <f>VLOOKUP($C528,'1 预算编制表单'!$C:$BJ,36,FALSE)</f>
        <v>0</v>
      </c>
      <c r="BR528" s="123">
        <f t="shared" si="5996"/>
        <v>0</v>
      </c>
      <c r="BS528" s="123"/>
      <c r="BT528" s="123">
        <f>VLOOKUP($C528,'1 预算编制表单'!$C:$BJ,39,FALSE)</f>
        <v>0</v>
      </c>
      <c r="BU528" s="123">
        <f t="shared" si="5997"/>
        <v>0</v>
      </c>
      <c r="BV528" s="123"/>
      <c r="BW528" s="123">
        <f>VLOOKUP($C528,'1 预算编制表单'!$C:$BJ,42,FALSE)</f>
        <v>0</v>
      </c>
      <c r="BX528" s="123">
        <f t="shared" si="5998"/>
        <v>0</v>
      </c>
      <c r="BY528" s="123"/>
      <c r="BZ528" s="123">
        <f>VLOOKUP($C528,'1 预算编制表单'!$C:$BJ,45,FALSE)</f>
        <v>0</v>
      </c>
      <c r="CA528" s="123">
        <f t="shared" si="5999"/>
        <v>0</v>
      </c>
      <c r="CB528" s="123"/>
      <c r="CC528" s="123">
        <f>VLOOKUP($C528,'1 预算编制表单'!$C:$BJ,48,FALSE)</f>
        <v>0</v>
      </c>
      <c r="CD528" s="123">
        <f t="shared" si="6000"/>
        <v>0</v>
      </c>
      <c r="CE528" s="123"/>
      <c r="CF528" s="123">
        <f>VLOOKUP($C528,'1 预算编制表单'!$C:$BJ,51,FALSE)</f>
        <v>0</v>
      </c>
      <c r="CG528" s="123">
        <f t="shared" si="6001"/>
        <v>0</v>
      </c>
      <c r="CH528" s="123"/>
      <c r="CI528" s="123">
        <f>VLOOKUP($C528,'1 预算编制表单'!$C:$BJ,54,FALSE)</f>
        <v>0</v>
      </c>
      <c r="CJ528" s="123">
        <f t="shared" si="6002"/>
        <v>0</v>
      </c>
      <c r="CK528" s="123"/>
      <c r="CL528" s="123">
        <f>VLOOKUP($C528,'1 预算编制表单'!$C:$BJ,57,FALSE)</f>
        <v>0</v>
      </c>
      <c r="CM528" s="123">
        <f t="shared" si="6003"/>
        <v>0</v>
      </c>
      <c r="CN528" s="123"/>
      <c r="CO528" s="123">
        <f>VLOOKUP($C528,'1 预算编制表单'!$C:$BJ,60,FALSE)</f>
        <v>0</v>
      </c>
      <c r="CP528" s="123">
        <f t="shared" si="6004"/>
        <v>0</v>
      </c>
      <c r="CQ528" s="123"/>
    </row>
    <row r="529" ht="24" customHeight="1" outlineLevel="2" spans="1:95">
      <c r="A529" s="43"/>
      <c r="B529" s="121" t="s">
        <v>787</v>
      </c>
      <c r="C529" s="122" t="s">
        <v>1980</v>
      </c>
      <c r="D529" s="43" t="s">
        <v>1981</v>
      </c>
      <c r="E529" s="121"/>
      <c r="F529" s="121"/>
      <c r="G529" s="121"/>
      <c r="H529" s="123">
        <f t="shared" si="5979"/>
        <v>0</v>
      </c>
      <c r="I529" s="123">
        <f t="shared" si="5980"/>
        <v>-1636.72</v>
      </c>
      <c r="J529" s="123">
        <f t="shared" si="6007"/>
        <v>1636.72</v>
      </c>
      <c r="K529" s="123"/>
      <c r="L529" s="154"/>
      <c r="M529" s="154"/>
      <c r="N529" s="123"/>
      <c r="O529" s="154"/>
      <c r="P529" s="123"/>
      <c r="Q529" s="123"/>
      <c r="R529" s="123"/>
      <c r="S529" s="123"/>
      <c r="T529" s="123"/>
      <c r="U529" s="123"/>
      <c r="V529" s="123"/>
      <c r="W529" s="123"/>
      <c r="X529" s="123">
        <f>VLOOKUP($C529,'1 预算编制表单'!$C:$BJ,27,FALSE)</f>
        <v>0</v>
      </c>
      <c r="Y529" s="123">
        <f t="shared" si="6008"/>
        <v>0</v>
      </c>
      <c r="Z529" s="123">
        <f>SUMIF(物资过程计算表!$B:$B,$C529,物资过程计算表!$D:$D)</f>
        <v>0</v>
      </c>
      <c r="AA529" s="123">
        <f>VLOOKUP($C529,'1 预算编制表单'!$C:$BJ,30,FALSE)</f>
        <v>0</v>
      </c>
      <c r="AB529" s="123">
        <f t="shared" si="5982"/>
        <v>-1215</v>
      </c>
      <c r="AC529" s="123">
        <f>SUMIF(物资过程计算表!$B:$B,$C529,物资过程计算表!E:E)</f>
        <v>1215</v>
      </c>
      <c r="AD529" s="123">
        <f>VLOOKUP($C529,'1 预算编制表单'!$C:$BJ,33,FALSE)</f>
        <v>0</v>
      </c>
      <c r="AE529" s="123">
        <f t="shared" si="5983"/>
        <v>0</v>
      </c>
      <c r="AF529" s="123">
        <f>SUMIF(物资过程计算表!$B:$B,$C529,物资过程计算表!F:F)</f>
        <v>0</v>
      </c>
      <c r="AG529" s="123">
        <f>VLOOKUP($C529,'1 预算编制表单'!$C:$BJ,36,FALSE)</f>
        <v>0</v>
      </c>
      <c r="AH529" s="123">
        <f t="shared" si="5984"/>
        <v>-421.72</v>
      </c>
      <c r="AI529" s="123">
        <f>SUMIF(物资过程计算表!$B:$B,$C529,物资过程计算表!G:G)</f>
        <v>421.72</v>
      </c>
      <c r="AJ529" s="123">
        <f>VLOOKUP($C529,'1 预算编制表单'!$C:$BJ,39,FALSE)</f>
        <v>0</v>
      </c>
      <c r="AK529" s="123">
        <f t="shared" si="5985"/>
        <v>0</v>
      </c>
      <c r="AL529" s="123">
        <f>SUMIF(物资过程计算表!$B:$B,$C529,物资过程计算表!H:H)</f>
        <v>0</v>
      </c>
      <c r="AM529" s="123">
        <f>VLOOKUP($C529,'1 预算编制表单'!$C:$BJ,42,FALSE)</f>
        <v>0</v>
      </c>
      <c r="AN529" s="123">
        <f t="shared" si="5986"/>
        <v>0</v>
      </c>
      <c r="AO529" s="123">
        <f>SUMIF(物资过程计算表!$B:$B,$C529,物资过程计算表!I:I)</f>
        <v>0</v>
      </c>
      <c r="AP529" s="123">
        <f>VLOOKUP($C529,'1 预算编制表单'!$C:$BJ,45,FALSE)</f>
        <v>0</v>
      </c>
      <c r="AQ529" s="123">
        <f t="shared" si="5987"/>
        <v>0</v>
      </c>
      <c r="AR529" s="123">
        <f>SUMIF(物资过程计算表!$B:$B,$C529,物资过程计算表!J:J)</f>
        <v>0</v>
      </c>
      <c r="AS529" s="123">
        <f>VLOOKUP($C529,'1 预算编制表单'!$C:$BJ,48,FALSE)</f>
        <v>0</v>
      </c>
      <c r="AT529" s="123">
        <f t="shared" si="5988"/>
        <v>0</v>
      </c>
      <c r="AU529" s="123">
        <f>SUMIF(物资过程计算表!$B:$B,$C529,物资过程计算表!K:K)</f>
        <v>0</v>
      </c>
      <c r="AV529" s="123">
        <f>VLOOKUP($C529,'1 预算编制表单'!$C:$BJ,51,FALSE)</f>
        <v>0</v>
      </c>
      <c r="AW529" s="123">
        <f t="shared" si="5989"/>
        <v>0</v>
      </c>
      <c r="AX529" s="123">
        <f>SUMIF(物资过程计算表!$B:$B,$C529,物资过程计算表!L:L)</f>
        <v>0</v>
      </c>
      <c r="AY529" s="123">
        <f>VLOOKUP($C529,'1 预算编制表单'!$C:$BJ,54,FALSE)</f>
        <v>0</v>
      </c>
      <c r="AZ529" s="123">
        <f t="shared" si="5990"/>
        <v>0</v>
      </c>
      <c r="BA529" s="123">
        <f>SUMIF(物资过程计算表!$B:$B,$C529,物资过程计算表!M:M)</f>
        <v>0</v>
      </c>
      <c r="BB529" s="123">
        <f>VLOOKUP($C529,'1 预算编制表单'!$C:$BJ,57,FALSE)</f>
        <v>0</v>
      </c>
      <c r="BC529" s="123">
        <f t="shared" si="5991"/>
        <v>0</v>
      </c>
      <c r="BD529" s="123">
        <f>SUMIF(物资过程计算表!$B:$B,$C529,物资过程计算表!N:N)</f>
        <v>0</v>
      </c>
      <c r="BE529" s="123">
        <f>VLOOKUP($C529,'1 预算编制表单'!$C:$BJ,60,FALSE)</f>
        <v>0</v>
      </c>
      <c r="BF529" s="123">
        <f t="shared" si="5992"/>
        <v>0</v>
      </c>
      <c r="BG529" s="123">
        <f>SUMIF(物资过程计算表!$B:$B,$C529,物资过程计算表!O:O)</f>
        <v>0</v>
      </c>
      <c r="BH529" s="123">
        <f>VLOOKUP($C529,'1 预算编制表单'!$C:$BJ,27,FALSE)</f>
        <v>0</v>
      </c>
      <c r="BI529" s="123">
        <f t="shared" si="5993"/>
        <v>0</v>
      </c>
      <c r="BJ529" s="123"/>
      <c r="BK529" s="123">
        <f>VLOOKUP($C529,'1 预算编制表单'!$C:$BJ,30,FALSE)</f>
        <v>0</v>
      </c>
      <c r="BL529" s="123">
        <f t="shared" si="5994"/>
        <v>0</v>
      </c>
      <c r="BM529" s="123"/>
      <c r="BN529" s="123">
        <f>VLOOKUP($C529,'1 预算编制表单'!$C:$BJ,33,FALSE)</f>
        <v>0</v>
      </c>
      <c r="BO529" s="123">
        <f t="shared" si="5995"/>
        <v>0</v>
      </c>
      <c r="BP529" s="123"/>
      <c r="BQ529" s="123">
        <f>VLOOKUP($C529,'1 预算编制表单'!$C:$BJ,36,FALSE)</f>
        <v>0</v>
      </c>
      <c r="BR529" s="123">
        <f t="shared" si="5996"/>
        <v>0</v>
      </c>
      <c r="BS529" s="123"/>
      <c r="BT529" s="123">
        <f>VLOOKUP($C529,'1 预算编制表单'!$C:$BJ,39,FALSE)</f>
        <v>0</v>
      </c>
      <c r="BU529" s="123">
        <f t="shared" si="5997"/>
        <v>0</v>
      </c>
      <c r="BV529" s="123"/>
      <c r="BW529" s="123">
        <f>VLOOKUP($C529,'1 预算编制表单'!$C:$BJ,42,FALSE)</f>
        <v>0</v>
      </c>
      <c r="BX529" s="123">
        <f t="shared" si="5998"/>
        <v>0</v>
      </c>
      <c r="BY529" s="123"/>
      <c r="BZ529" s="123">
        <f>VLOOKUP($C529,'1 预算编制表单'!$C:$BJ,45,FALSE)</f>
        <v>0</v>
      </c>
      <c r="CA529" s="123">
        <f t="shared" si="5999"/>
        <v>0</v>
      </c>
      <c r="CB529" s="123"/>
      <c r="CC529" s="123">
        <f>VLOOKUP($C529,'1 预算编制表单'!$C:$BJ,48,FALSE)</f>
        <v>0</v>
      </c>
      <c r="CD529" s="123">
        <f t="shared" si="6000"/>
        <v>0</v>
      </c>
      <c r="CE529" s="123"/>
      <c r="CF529" s="123">
        <f>VLOOKUP($C529,'1 预算编制表单'!$C:$BJ,51,FALSE)</f>
        <v>0</v>
      </c>
      <c r="CG529" s="123">
        <f t="shared" si="6001"/>
        <v>0</v>
      </c>
      <c r="CH529" s="123"/>
      <c r="CI529" s="123">
        <f>VLOOKUP($C529,'1 预算编制表单'!$C:$BJ,54,FALSE)</f>
        <v>0</v>
      </c>
      <c r="CJ529" s="123">
        <f t="shared" si="6002"/>
        <v>0</v>
      </c>
      <c r="CK529" s="123"/>
      <c r="CL529" s="123">
        <f>VLOOKUP($C529,'1 预算编制表单'!$C:$BJ,57,FALSE)</f>
        <v>0</v>
      </c>
      <c r="CM529" s="123">
        <f t="shared" si="6003"/>
        <v>0</v>
      </c>
      <c r="CN529" s="123"/>
      <c r="CO529" s="123">
        <f>VLOOKUP($C529,'1 预算编制表单'!$C:$BJ,60,FALSE)</f>
        <v>0</v>
      </c>
      <c r="CP529" s="123">
        <f t="shared" si="6004"/>
        <v>0</v>
      </c>
      <c r="CQ529" s="123"/>
    </row>
    <row r="530" ht="24" customHeight="1" outlineLevel="2" spans="1:95">
      <c r="A530" s="43"/>
      <c r="B530" s="121" t="s">
        <v>787</v>
      </c>
      <c r="C530" s="122" t="s">
        <v>2006</v>
      </c>
      <c r="D530" s="43" t="s">
        <v>2007</v>
      </c>
      <c r="E530" s="121"/>
      <c r="F530" s="121"/>
      <c r="G530" s="121"/>
      <c r="H530" s="123">
        <f t="shared" si="5979"/>
        <v>0</v>
      </c>
      <c r="I530" s="123">
        <f t="shared" si="5980"/>
        <v>-192.1</v>
      </c>
      <c r="J530" s="123">
        <f t="shared" si="6007"/>
        <v>192.1</v>
      </c>
      <c r="K530" s="123"/>
      <c r="L530" s="154"/>
      <c r="M530" s="154"/>
      <c r="N530" s="123"/>
      <c r="O530" s="154"/>
      <c r="P530" s="123"/>
      <c r="Q530" s="123"/>
      <c r="R530" s="123"/>
      <c r="S530" s="123"/>
      <c r="T530" s="123"/>
      <c r="U530" s="123"/>
      <c r="V530" s="123"/>
      <c r="W530" s="123"/>
      <c r="X530" s="123">
        <f>VLOOKUP($C530,'1 预算编制表单'!$C:$BJ,27,FALSE)</f>
        <v>0</v>
      </c>
      <c r="Y530" s="123">
        <f t="shared" si="6008"/>
        <v>0</v>
      </c>
      <c r="Z530" s="123">
        <f>SUMIF(物资过程计算表!$B:$B,$C530,物资过程计算表!$D:$D)</f>
        <v>0</v>
      </c>
      <c r="AA530" s="123">
        <f>VLOOKUP($C530,'1 预算编制表单'!$C:$BJ,30,FALSE)</f>
        <v>0</v>
      </c>
      <c r="AB530" s="123">
        <f t="shared" si="5982"/>
        <v>0</v>
      </c>
      <c r="AC530" s="123">
        <f>SUMIF(物资过程计算表!$B:$B,$C530,物资过程计算表!E:E)</f>
        <v>0</v>
      </c>
      <c r="AD530" s="123">
        <f>VLOOKUP($C530,'1 预算编制表单'!$C:$BJ,33,FALSE)</f>
        <v>0</v>
      </c>
      <c r="AE530" s="123">
        <f t="shared" si="5983"/>
        <v>-192.1</v>
      </c>
      <c r="AF530" s="123">
        <f>SUMIF(物资过程计算表!$B:$B,$C530,物资过程计算表!F:F)</f>
        <v>192.1</v>
      </c>
      <c r="AG530" s="123">
        <f>VLOOKUP($C530,'1 预算编制表单'!$C:$BJ,36,FALSE)</f>
        <v>0</v>
      </c>
      <c r="AH530" s="123">
        <f t="shared" si="5984"/>
        <v>0</v>
      </c>
      <c r="AI530" s="123">
        <f>SUMIF(物资过程计算表!$B:$B,$C530,物资过程计算表!G:G)</f>
        <v>0</v>
      </c>
      <c r="AJ530" s="123">
        <f>VLOOKUP($C530,'1 预算编制表单'!$C:$BJ,39,FALSE)</f>
        <v>0</v>
      </c>
      <c r="AK530" s="123">
        <f t="shared" si="5985"/>
        <v>0</v>
      </c>
      <c r="AL530" s="123">
        <f>SUMIF(物资过程计算表!$B:$B,$C530,物资过程计算表!H:H)</f>
        <v>0</v>
      </c>
      <c r="AM530" s="123">
        <f>VLOOKUP($C530,'1 预算编制表单'!$C:$BJ,42,FALSE)</f>
        <v>0</v>
      </c>
      <c r="AN530" s="123">
        <f t="shared" si="5986"/>
        <v>0</v>
      </c>
      <c r="AO530" s="123">
        <f>SUMIF(物资过程计算表!$B:$B,$C530,物资过程计算表!I:I)</f>
        <v>0</v>
      </c>
      <c r="AP530" s="123">
        <f>VLOOKUP($C530,'1 预算编制表单'!$C:$BJ,45,FALSE)</f>
        <v>0</v>
      </c>
      <c r="AQ530" s="123">
        <f t="shared" si="5987"/>
        <v>0</v>
      </c>
      <c r="AR530" s="123">
        <f>SUMIF(物资过程计算表!$B:$B,$C530,物资过程计算表!J:J)</f>
        <v>0</v>
      </c>
      <c r="AS530" s="123">
        <f>VLOOKUP($C530,'1 预算编制表单'!$C:$BJ,48,FALSE)</f>
        <v>0</v>
      </c>
      <c r="AT530" s="123">
        <f t="shared" si="5988"/>
        <v>0</v>
      </c>
      <c r="AU530" s="123">
        <f>SUMIF(物资过程计算表!$B:$B,$C530,物资过程计算表!K:K)</f>
        <v>0</v>
      </c>
      <c r="AV530" s="123">
        <f>VLOOKUP($C530,'1 预算编制表单'!$C:$BJ,51,FALSE)</f>
        <v>0</v>
      </c>
      <c r="AW530" s="123">
        <f t="shared" si="5989"/>
        <v>0</v>
      </c>
      <c r="AX530" s="123">
        <f>SUMIF(物资过程计算表!$B:$B,$C530,物资过程计算表!L:L)</f>
        <v>0</v>
      </c>
      <c r="AY530" s="123">
        <f>VLOOKUP($C530,'1 预算编制表单'!$C:$BJ,54,FALSE)</f>
        <v>0</v>
      </c>
      <c r="AZ530" s="123">
        <f t="shared" si="5990"/>
        <v>0</v>
      </c>
      <c r="BA530" s="123">
        <f>SUMIF(物资过程计算表!$B:$B,$C530,物资过程计算表!M:M)</f>
        <v>0</v>
      </c>
      <c r="BB530" s="123">
        <f>VLOOKUP($C530,'1 预算编制表单'!$C:$BJ,57,FALSE)</f>
        <v>0</v>
      </c>
      <c r="BC530" s="123">
        <f t="shared" si="5991"/>
        <v>0</v>
      </c>
      <c r="BD530" s="123">
        <f>SUMIF(物资过程计算表!$B:$B,$C530,物资过程计算表!N:N)</f>
        <v>0</v>
      </c>
      <c r="BE530" s="123">
        <f>VLOOKUP($C530,'1 预算编制表单'!$C:$BJ,60,FALSE)</f>
        <v>0</v>
      </c>
      <c r="BF530" s="123">
        <f t="shared" si="5992"/>
        <v>0</v>
      </c>
      <c r="BG530" s="123">
        <f>SUMIF(物资过程计算表!$B:$B,$C530,物资过程计算表!O:O)</f>
        <v>0</v>
      </c>
      <c r="BH530" s="123">
        <f>VLOOKUP($C530,'1 预算编制表单'!$C:$BJ,27,FALSE)</f>
        <v>0</v>
      </c>
      <c r="BI530" s="123">
        <f t="shared" si="5993"/>
        <v>0</v>
      </c>
      <c r="BJ530" s="123"/>
      <c r="BK530" s="123">
        <f>VLOOKUP($C530,'1 预算编制表单'!$C:$BJ,30,FALSE)</f>
        <v>0</v>
      </c>
      <c r="BL530" s="123">
        <f t="shared" si="5994"/>
        <v>0</v>
      </c>
      <c r="BM530" s="123"/>
      <c r="BN530" s="123">
        <f>VLOOKUP($C530,'1 预算编制表单'!$C:$BJ,33,FALSE)</f>
        <v>0</v>
      </c>
      <c r="BO530" s="123">
        <f t="shared" si="5995"/>
        <v>0</v>
      </c>
      <c r="BP530" s="123"/>
      <c r="BQ530" s="123">
        <f>VLOOKUP($C530,'1 预算编制表单'!$C:$BJ,36,FALSE)</f>
        <v>0</v>
      </c>
      <c r="BR530" s="123">
        <f t="shared" si="5996"/>
        <v>0</v>
      </c>
      <c r="BS530" s="123"/>
      <c r="BT530" s="123">
        <f>VLOOKUP($C530,'1 预算编制表单'!$C:$BJ,39,FALSE)</f>
        <v>0</v>
      </c>
      <c r="BU530" s="123">
        <f t="shared" si="5997"/>
        <v>0</v>
      </c>
      <c r="BV530" s="123"/>
      <c r="BW530" s="123">
        <f>VLOOKUP($C530,'1 预算编制表单'!$C:$BJ,42,FALSE)</f>
        <v>0</v>
      </c>
      <c r="BX530" s="123">
        <f t="shared" si="5998"/>
        <v>0</v>
      </c>
      <c r="BY530" s="123"/>
      <c r="BZ530" s="123">
        <f>VLOOKUP($C530,'1 预算编制表单'!$C:$BJ,45,FALSE)</f>
        <v>0</v>
      </c>
      <c r="CA530" s="123">
        <f t="shared" si="5999"/>
        <v>0</v>
      </c>
      <c r="CB530" s="123"/>
      <c r="CC530" s="123">
        <f>VLOOKUP($C530,'1 预算编制表单'!$C:$BJ,48,FALSE)</f>
        <v>0</v>
      </c>
      <c r="CD530" s="123">
        <f t="shared" si="6000"/>
        <v>0</v>
      </c>
      <c r="CE530" s="123"/>
      <c r="CF530" s="123">
        <f>VLOOKUP($C530,'1 预算编制表单'!$C:$BJ,51,FALSE)</f>
        <v>0</v>
      </c>
      <c r="CG530" s="123">
        <f t="shared" si="6001"/>
        <v>0</v>
      </c>
      <c r="CH530" s="123"/>
      <c r="CI530" s="123">
        <f>VLOOKUP($C530,'1 预算编制表单'!$C:$BJ,54,FALSE)</f>
        <v>0</v>
      </c>
      <c r="CJ530" s="123">
        <f t="shared" si="6002"/>
        <v>0</v>
      </c>
      <c r="CK530" s="123"/>
      <c r="CL530" s="123">
        <f>VLOOKUP($C530,'1 预算编制表单'!$C:$BJ,57,FALSE)</f>
        <v>0</v>
      </c>
      <c r="CM530" s="123">
        <f t="shared" si="6003"/>
        <v>0</v>
      </c>
      <c r="CN530" s="123"/>
      <c r="CO530" s="123">
        <f>VLOOKUP($C530,'1 预算编制表单'!$C:$BJ,60,FALSE)</f>
        <v>0</v>
      </c>
      <c r="CP530" s="123">
        <f t="shared" si="6004"/>
        <v>0</v>
      </c>
      <c r="CQ530" s="123"/>
    </row>
    <row r="531" ht="24" customHeight="1" outlineLevel="1" spans="1:95">
      <c r="A531" s="14"/>
      <c r="B531" s="118" t="s">
        <v>787</v>
      </c>
      <c r="C531" s="119" t="s">
        <v>2063</v>
      </c>
      <c r="D531" s="14" t="s">
        <v>2064</v>
      </c>
      <c r="E531" s="118"/>
      <c r="F531" s="118"/>
      <c r="G531" s="118"/>
      <c r="H531" s="120">
        <f t="shared" si="5979"/>
        <v>0</v>
      </c>
      <c r="I531" s="120">
        <f t="shared" si="5980"/>
        <v>-44672.45</v>
      </c>
      <c r="J531" s="120">
        <f t="shared" si="6007"/>
        <v>44672.45</v>
      </c>
      <c r="K531" s="120"/>
      <c r="L531" s="153"/>
      <c r="M531" s="153"/>
      <c r="N531" s="120"/>
      <c r="O531" s="153"/>
      <c r="P531" s="120"/>
      <c r="Q531" s="120"/>
      <c r="R531" s="120"/>
      <c r="S531" s="120"/>
      <c r="T531" s="120"/>
      <c r="U531" s="120"/>
      <c r="V531" s="120"/>
      <c r="W531" s="120"/>
      <c r="X531" s="120">
        <f>VLOOKUP($C531,'1 预算编制表单'!$C:$BJ,27,FALSE)</f>
        <v>0</v>
      </c>
      <c r="Y531" s="120">
        <f t="shared" si="6008"/>
        <v>-9280</v>
      </c>
      <c r="Z531" s="120">
        <f>Z532+Z533+Z534+Z535</f>
        <v>9280</v>
      </c>
      <c r="AA531" s="120">
        <f>VLOOKUP($C531,'1 预算编制表单'!$C:$BJ,30,FALSE)</f>
        <v>0</v>
      </c>
      <c r="AB531" s="120">
        <f t="shared" si="5982"/>
        <v>-5723.47</v>
      </c>
      <c r="AC531" s="120">
        <f>AC532+AC533+AC534+AC535</f>
        <v>5723.47</v>
      </c>
      <c r="AD531" s="120">
        <f>VLOOKUP($C531,'1 预算编制表单'!$C:$BJ,33,FALSE)</f>
        <v>0</v>
      </c>
      <c r="AE531" s="120">
        <f t="shared" si="5983"/>
        <v>-10636.93</v>
      </c>
      <c r="AF531" s="120">
        <f>AF532+AF533+AF534+AF535</f>
        <v>10636.93</v>
      </c>
      <c r="AG531" s="120">
        <f>VLOOKUP($C531,'1 预算编制表单'!$C:$BJ,36,FALSE)</f>
        <v>0</v>
      </c>
      <c r="AH531" s="120">
        <f t="shared" si="5984"/>
        <v>-10359.48</v>
      </c>
      <c r="AI531" s="120">
        <f>AI532+AI533+AI534+AI535</f>
        <v>10359.48</v>
      </c>
      <c r="AJ531" s="120">
        <f>VLOOKUP($C531,'1 预算编制表单'!$C:$BJ,39,FALSE)</f>
        <v>0</v>
      </c>
      <c r="AK531" s="120">
        <f t="shared" si="5985"/>
        <v>-2833.61</v>
      </c>
      <c r="AL531" s="120">
        <f>AL532+AL533+AL534+AL535</f>
        <v>2833.61</v>
      </c>
      <c r="AM531" s="120">
        <f>VLOOKUP($C531,'1 预算编制表单'!$C:$BJ,42,FALSE)</f>
        <v>0</v>
      </c>
      <c r="AN531" s="120">
        <f t="shared" si="5986"/>
        <v>-5838.96</v>
      </c>
      <c r="AO531" s="120">
        <f>AO532+AO533+AO534+AO535</f>
        <v>5838.96</v>
      </c>
      <c r="AP531" s="120">
        <f>VLOOKUP($C531,'1 预算编制表单'!$C:$BJ,45,FALSE)</f>
        <v>0</v>
      </c>
      <c r="AQ531" s="120">
        <f t="shared" si="5987"/>
        <v>0</v>
      </c>
      <c r="AR531" s="120">
        <f>AR532+AR533+AR534+AR535</f>
        <v>0</v>
      </c>
      <c r="AS531" s="120">
        <f>VLOOKUP($C531,'1 预算编制表单'!$C:$BJ,48,FALSE)</f>
        <v>0</v>
      </c>
      <c r="AT531" s="120">
        <f t="shared" si="5988"/>
        <v>0</v>
      </c>
      <c r="AU531" s="120">
        <f>AU532+AU533+AU534+AU535</f>
        <v>0</v>
      </c>
      <c r="AV531" s="120">
        <f>VLOOKUP($C531,'1 预算编制表单'!$C:$BJ,51,FALSE)</f>
        <v>0</v>
      </c>
      <c r="AW531" s="120">
        <f t="shared" si="5989"/>
        <v>0</v>
      </c>
      <c r="AX531" s="120">
        <f>AX532+AX533+AX534+AX535</f>
        <v>0</v>
      </c>
      <c r="AY531" s="120">
        <f>VLOOKUP($C531,'1 预算编制表单'!$C:$BJ,54,FALSE)</f>
        <v>0</v>
      </c>
      <c r="AZ531" s="120">
        <f t="shared" si="5990"/>
        <v>0</v>
      </c>
      <c r="BA531" s="120">
        <f>BA532+BA533+BA534+BA535</f>
        <v>0</v>
      </c>
      <c r="BB531" s="120">
        <f>VLOOKUP($C531,'1 预算编制表单'!$C:$BJ,57,FALSE)</f>
        <v>0</v>
      </c>
      <c r="BC531" s="120">
        <f t="shared" si="5991"/>
        <v>0</v>
      </c>
      <c r="BD531" s="120">
        <f>BD532+BD533+BD534+BD535</f>
        <v>0</v>
      </c>
      <c r="BE531" s="120">
        <f>VLOOKUP($C531,'1 预算编制表单'!$C:$BJ,60,FALSE)</f>
        <v>0</v>
      </c>
      <c r="BF531" s="120">
        <f t="shared" si="5992"/>
        <v>0</v>
      </c>
      <c r="BG531" s="120">
        <f>BG532+BG533+BG534+BG535</f>
        <v>0</v>
      </c>
      <c r="BH531" s="120">
        <f>VLOOKUP($C531,'1 预算编制表单'!$C:$BJ,27,FALSE)</f>
        <v>0</v>
      </c>
      <c r="BI531" s="120">
        <f t="shared" si="5993"/>
        <v>0</v>
      </c>
      <c r="BJ531" s="120">
        <f>BJ532+BJ533+BJ534+BJ535</f>
        <v>0</v>
      </c>
      <c r="BK531" s="120">
        <f>VLOOKUP($C531,'1 预算编制表单'!$C:$BJ,30,FALSE)</f>
        <v>0</v>
      </c>
      <c r="BL531" s="120">
        <f t="shared" si="5994"/>
        <v>0</v>
      </c>
      <c r="BM531" s="120">
        <f>BM532+BM533+BM534+BM535</f>
        <v>0</v>
      </c>
      <c r="BN531" s="120">
        <f>VLOOKUP($C531,'1 预算编制表单'!$C:$BJ,33,FALSE)</f>
        <v>0</v>
      </c>
      <c r="BO531" s="120">
        <f t="shared" si="5995"/>
        <v>0</v>
      </c>
      <c r="BP531" s="120">
        <f>BP532+BP533+BP534+BP535</f>
        <v>0</v>
      </c>
      <c r="BQ531" s="120">
        <f>VLOOKUP($C531,'1 预算编制表单'!$C:$BJ,36,FALSE)</f>
        <v>0</v>
      </c>
      <c r="BR531" s="120">
        <f t="shared" si="5996"/>
        <v>0</v>
      </c>
      <c r="BS531" s="120">
        <f>BS532+BS533+BS534+BS535</f>
        <v>0</v>
      </c>
      <c r="BT531" s="120">
        <f>VLOOKUP($C531,'1 预算编制表单'!$C:$BJ,39,FALSE)</f>
        <v>0</v>
      </c>
      <c r="BU531" s="120">
        <f t="shared" si="5997"/>
        <v>0</v>
      </c>
      <c r="BV531" s="120">
        <f>BV532+BV533+BV534+BV535</f>
        <v>0</v>
      </c>
      <c r="BW531" s="120">
        <f>VLOOKUP($C531,'1 预算编制表单'!$C:$BJ,42,FALSE)</f>
        <v>0</v>
      </c>
      <c r="BX531" s="120">
        <f t="shared" si="5998"/>
        <v>0</v>
      </c>
      <c r="BY531" s="120">
        <f>BY532+BY533+BY534+BY535</f>
        <v>0</v>
      </c>
      <c r="BZ531" s="120">
        <f>VLOOKUP($C531,'1 预算编制表单'!$C:$BJ,45,FALSE)</f>
        <v>0</v>
      </c>
      <c r="CA531" s="120">
        <f t="shared" si="5999"/>
        <v>0</v>
      </c>
      <c r="CB531" s="120">
        <f>CB532+CB533+CB534+CB535</f>
        <v>0</v>
      </c>
      <c r="CC531" s="120">
        <f>VLOOKUP($C531,'1 预算编制表单'!$C:$BJ,48,FALSE)</f>
        <v>0</v>
      </c>
      <c r="CD531" s="120">
        <f t="shared" si="6000"/>
        <v>0</v>
      </c>
      <c r="CE531" s="120">
        <f>CE532+CE533+CE534+CE535</f>
        <v>0</v>
      </c>
      <c r="CF531" s="120">
        <f>VLOOKUP($C531,'1 预算编制表单'!$C:$BJ,51,FALSE)</f>
        <v>0</v>
      </c>
      <c r="CG531" s="120">
        <f t="shared" si="6001"/>
        <v>0</v>
      </c>
      <c r="CH531" s="120">
        <f>CH532+CH533+CH534+CH535</f>
        <v>0</v>
      </c>
      <c r="CI531" s="120">
        <f>VLOOKUP($C531,'1 预算编制表单'!$C:$BJ,54,FALSE)</f>
        <v>0</v>
      </c>
      <c r="CJ531" s="120">
        <f t="shared" si="6002"/>
        <v>0</v>
      </c>
      <c r="CK531" s="120">
        <f>CK532+CK533+CK534+CK535</f>
        <v>0</v>
      </c>
      <c r="CL531" s="120">
        <f>VLOOKUP($C531,'1 预算编制表单'!$C:$BJ,57,FALSE)</f>
        <v>0</v>
      </c>
      <c r="CM531" s="120">
        <f t="shared" si="6003"/>
        <v>0</v>
      </c>
      <c r="CN531" s="120">
        <f>CN532+CN533+CN534+CN535</f>
        <v>0</v>
      </c>
      <c r="CO531" s="120">
        <f>VLOOKUP($C531,'1 预算编制表单'!$C:$BJ,60,FALSE)</f>
        <v>0</v>
      </c>
      <c r="CP531" s="120">
        <f t="shared" si="6004"/>
        <v>0</v>
      </c>
      <c r="CQ531" s="120">
        <f>CQ532+CQ533+CQ534+CQ535</f>
        <v>0</v>
      </c>
    </row>
    <row r="532" ht="24" customHeight="1" outlineLevel="2" spans="1:95">
      <c r="A532" s="43"/>
      <c r="B532" s="121" t="s">
        <v>787</v>
      </c>
      <c r="C532" s="122" t="s">
        <v>2065</v>
      </c>
      <c r="D532" s="43" t="s">
        <v>2066</v>
      </c>
      <c r="E532" s="121"/>
      <c r="F532" s="121"/>
      <c r="G532" s="121"/>
      <c r="H532" s="123">
        <f t="shared" si="5979"/>
        <v>0</v>
      </c>
      <c r="I532" s="123">
        <f t="shared" si="5980"/>
        <v>-3553.8</v>
      </c>
      <c r="J532" s="123">
        <f t="shared" si="6007"/>
        <v>3553.8</v>
      </c>
      <c r="K532" s="123"/>
      <c r="L532" s="154"/>
      <c r="M532" s="154"/>
      <c r="N532" s="123"/>
      <c r="O532" s="154"/>
      <c r="P532" s="123"/>
      <c r="Q532" s="123"/>
      <c r="R532" s="123"/>
      <c r="S532" s="123"/>
      <c r="T532" s="123"/>
      <c r="U532" s="123"/>
      <c r="V532" s="123"/>
      <c r="W532" s="123"/>
      <c r="X532" s="123">
        <f>VLOOKUP($C532,'1 预算编制表单'!$C:$BJ,27,FALSE)</f>
        <v>0</v>
      </c>
      <c r="Y532" s="123">
        <f t="shared" ref="Y532:Y535" si="6009">X532-Z532</f>
        <v>0</v>
      </c>
      <c r="Z532" s="123">
        <f>SUMIF(物资过程计算表!$B:$B,$C532,物资过程计算表!$D:$D)</f>
        <v>0</v>
      </c>
      <c r="AA532" s="123">
        <f>VLOOKUP($C532,'1 预算编制表单'!$C:$BJ,30,FALSE)</f>
        <v>0</v>
      </c>
      <c r="AB532" s="123">
        <f t="shared" si="5982"/>
        <v>-265.2</v>
      </c>
      <c r="AC532" s="123">
        <f>SUMIF(物资过程计算表!$B:$B,$C532,物资过程计算表!E:E)</f>
        <v>265.2</v>
      </c>
      <c r="AD532" s="123">
        <f>VLOOKUP($C532,'1 预算编制表单'!$C:$BJ,33,FALSE)</f>
        <v>0</v>
      </c>
      <c r="AE532" s="123">
        <f t="shared" si="5983"/>
        <v>0</v>
      </c>
      <c r="AF532" s="123">
        <f>SUMIF(物资过程计算表!$B:$B,$C532,物资过程计算表!F:F)</f>
        <v>0</v>
      </c>
      <c r="AG532" s="123">
        <f>VLOOKUP($C532,'1 预算编制表单'!$C:$BJ,36,FALSE)</f>
        <v>0</v>
      </c>
      <c r="AH532" s="123">
        <f t="shared" si="5984"/>
        <v>-2875.5</v>
      </c>
      <c r="AI532" s="123">
        <f>SUMIF(物资过程计算表!$B:$B,$C532,物资过程计算表!G:G)</f>
        <v>2875.5</v>
      </c>
      <c r="AJ532" s="123">
        <f>VLOOKUP($C532,'1 预算编制表单'!$C:$BJ,39,FALSE)</f>
        <v>0</v>
      </c>
      <c r="AK532" s="123">
        <f t="shared" si="5985"/>
        <v>0</v>
      </c>
      <c r="AL532" s="123">
        <f>SUMIF(物资过程计算表!$B:$B,$C532,物资过程计算表!H:H)</f>
        <v>0</v>
      </c>
      <c r="AM532" s="123">
        <f>VLOOKUP($C532,'1 预算编制表单'!$C:$BJ,42,FALSE)</f>
        <v>0</v>
      </c>
      <c r="AN532" s="123">
        <f t="shared" si="5986"/>
        <v>-413.1</v>
      </c>
      <c r="AO532" s="123">
        <f>SUMIF(物资过程计算表!$B:$B,$C532,物资过程计算表!I:I)</f>
        <v>413.1</v>
      </c>
      <c r="AP532" s="123">
        <f>VLOOKUP($C532,'1 预算编制表单'!$C:$BJ,45,FALSE)</f>
        <v>0</v>
      </c>
      <c r="AQ532" s="123">
        <f t="shared" si="5987"/>
        <v>0</v>
      </c>
      <c r="AR532" s="123">
        <f>SUMIF(物资过程计算表!$B:$B,$C532,物资过程计算表!J:J)</f>
        <v>0</v>
      </c>
      <c r="AS532" s="123">
        <f>VLOOKUP($C532,'1 预算编制表单'!$C:$BJ,48,FALSE)</f>
        <v>0</v>
      </c>
      <c r="AT532" s="123">
        <f t="shared" si="5988"/>
        <v>0</v>
      </c>
      <c r="AU532" s="123">
        <f>SUMIF(物资过程计算表!$B:$B,$C532,物资过程计算表!K:K)</f>
        <v>0</v>
      </c>
      <c r="AV532" s="123">
        <f>VLOOKUP($C532,'1 预算编制表单'!$C:$BJ,51,FALSE)</f>
        <v>0</v>
      </c>
      <c r="AW532" s="123">
        <f t="shared" si="5989"/>
        <v>0</v>
      </c>
      <c r="AX532" s="123">
        <f>SUMIF(物资过程计算表!$B:$B,$C532,物资过程计算表!L:L)</f>
        <v>0</v>
      </c>
      <c r="AY532" s="123">
        <f>VLOOKUP($C532,'1 预算编制表单'!$C:$BJ,54,FALSE)</f>
        <v>0</v>
      </c>
      <c r="AZ532" s="123">
        <f t="shared" si="5990"/>
        <v>0</v>
      </c>
      <c r="BA532" s="123">
        <f>SUMIF(物资过程计算表!$B:$B,$C532,物资过程计算表!M:M)</f>
        <v>0</v>
      </c>
      <c r="BB532" s="123">
        <f>VLOOKUP($C532,'1 预算编制表单'!$C:$BJ,57,FALSE)</f>
        <v>0</v>
      </c>
      <c r="BC532" s="123">
        <f t="shared" si="5991"/>
        <v>0</v>
      </c>
      <c r="BD532" s="123">
        <f>SUMIF(物资过程计算表!$B:$B,$C532,物资过程计算表!N:N)</f>
        <v>0</v>
      </c>
      <c r="BE532" s="123">
        <f>VLOOKUP($C532,'1 预算编制表单'!$C:$BJ,60,FALSE)</f>
        <v>0</v>
      </c>
      <c r="BF532" s="123">
        <f t="shared" si="5992"/>
        <v>0</v>
      </c>
      <c r="BG532" s="123">
        <f>SUMIF(物资过程计算表!$B:$B,$C532,物资过程计算表!O:O)</f>
        <v>0</v>
      </c>
      <c r="BH532" s="123">
        <f>VLOOKUP($C532,'1 预算编制表单'!$C:$BJ,27,FALSE)</f>
        <v>0</v>
      </c>
      <c r="BI532" s="123">
        <f t="shared" si="5993"/>
        <v>0</v>
      </c>
      <c r="BJ532" s="123"/>
      <c r="BK532" s="123">
        <f>VLOOKUP($C532,'1 预算编制表单'!$C:$BJ,30,FALSE)</f>
        <v>0</v>
      </c>
      <c r="BL532" s="123">
        <f t="shared" si="5994"/>
        <v>0</v>
      </c>
      <c r="BM532" s="123"/>
      <c r="BN532" s="123">
        <f>VLOOKUP($C532,'1 预算编制表单'!$C:$BJ,33,FALSE)</f>
        <v>0</v>
      </c>
      <c r="BO532" s="123">
        <f t="shared" si="5995"/>
        <v>0</v>
      </c>
      <c r="BP532" s="123"/>
      <c r="BQ532" s="123">
        <f>VLOOKUP($C532,'1 预算编制表单'!$C:$BJ,36,FALSE)</f>
        <v>0</v>
      </c>
      <c r="BR532" s="123">
        <f t="shared" si="5996"/>
        <v>0</v>
      </c>
      <c r="BS532" s="123"/>
      <c r="BT532" s="123">
        <f>VLOOKUP($C532,'1 预算编制表单'!$C:$BJ,39,FALSE)</f>
        <v>0</v>
      </c>
      <c r="BU532" s="123">
        <f t="shared" si="5997"/>
        <v>0</v>
      </c>
      <c r="BV532" s="123"/>
      <c r="BW532" s="123">
        <f>VLOOKUP($C532,'1 预算编制表单'!$C:$BJ,42,FALSE)</f>
        <v>0</v>
      </c>
      <c r="BX532" s="123">
        <f t="shared" si="5998"/>
        <v>0</v>
      </c>
      <c r="BY532" s="123"/>
      <c r="BZ532" s="123">
        <f>VLOOKUP($C532,'1 预算编制表单'!$C:$BJ,45,FALSE)</f>
        <v>0</v>
      </c>
      <c r="CA532" s="123">
        <f t="shared" si="5999"/>
        <v>0</v>
      </c>
      <c r="CB532" s="123"/>
      <c r="CC532" s="123">
        <f>VLOOKUP($C532,'1 预算编制表单'!$C:$BJ,48,FALSE)</f>
        <v>0</v>
      </c>
      <c r="CD532" s="123">
        <f t="shared" si="6000"/>
        <v>0</v>
      </c>
      <c r="CE532" s="123"/>
      <c r="CF532" s="123">
        <f>VLOOKUP($C532,'1 预算编制表单'!$C:$BJ,51,FALSE)</f>
        <v>0</v>
      </c>
      <c r="CG532" s="123">
        <f t="shared" si="6001"/>
        <v>0</v>
      </c>
      <c r="CH532" s="123"/>
      <c r="CI532" s="123">
        <f>VLOOKUP($C532,'1 预算编制表单'!$C:$BJ,54,FALSE)</f>
        <v>0</v>
      </c>
      <c r="CJ532" s="123">
        <f t="shared" si="6002"/>
        <v>0</v>
      </c>
      <c r="CK532" s="123"/>
      <c r="CL532" s="123">
        <f>VLOOKUP($C532,'1 预算编制表单'!$C:$BJ,57,FALSE)</f>
        <v>0</v>
      </c>
      <c r="CM532" s="123">
        <f t="shared" si="6003"/>
        <v>0</v>
      </c>
      <c r="CN532" s="123"/>
      <c r="CO532" s="123">
        <f>VLOOKUP($C532,'1 预算编制表单'!$C:$BJ,60,FALSE)</f>
        <v>0</v>
      </c>
      <c r="CP532" s="123">
        <f t="shared" si="6004"/>
        <v>0</v>
      </c>
      <c r="CQ532" s="123"/>
    </row>
    <row r="533" ht="24" customHeight="1" outlineLevel="2" spans="1:95">
      <c r="A533" s="43"/>
      <c r="B533" s="121" t="s">
        <v>787</v>
      </c>
      <c r="C533" s="122" t="s">
        <v>2088</v>
      </c>
      <c r="D533" s="43" t="s">
        <v>2089</v>
      </c>
      <c r="E533" s="121"/>
      <c r="F533" s="121"/>
      <c r="G533" s="121"/>
      <c r="H533" s="123">
        <f t="shared" si="5979"/>
        <v>0</v>
      </c>
      <c r="I533" s="123">
        <f t="shared" si="5980"/>
        <v>-3202.32</v>
      </c>
      <c r="J533" s="123">
        <f t="shared" si="6007"/>
        <v>3202.32</v>
      </c>
      <c r="K533" s="123"/>
      <c r="L533" s="154"/>
      <c r="M533" s="154"/>
      <c r="N533" s="123"/>
      <c r="O533" s="154"/>
      <c r="P533" s="123"/>
      <c r="Q533" s="123"/>
      <c r="R533" s="123"/>
      <c r="S533" s="123"/>
      <c r="T533" s="123"/>
      <c r="U533" s="123"/>
      <c r="V533" s="123"/>
      <c r="W533" s="123"/>
      <c r="X533" s="123">
        <f>VLOOKUP($C533,'1 预算编制表单'!$C:$BJ,27,FALSE)</f>
        <v>0</v>
      </c>
      <c r="Y533" s="123">
        <f t="shared" si="6009"/>
        <v>0</v>
      </c>
      <c r="Z533" s="123">
        <f>SUMIF(物资过程计算表!$B:$B,$C533,物资过程计算表!$D:$D)</f>
        <v>0</v>
      </c>
      <c r="AA533" s="123">
        <f>VLOOKUP($C533,'1 预算编制表单'!$C:$BJ,30,FALSE)</f>
        <v>0</v>
      </c>
      <c r="AB533" s="123">
        <f t="shared" si="5982"/>
        <v>-605.15</v>
      </c>
      <c r="AC533" s="123">
        <f>SUMIF(物资过程计算表!$B:$B,$C533,物资过程计算表!E:E)</f>
        <v>605.15</v>
      </c>
      <c r="AD533" s="123">
        <f>VLOOKUP($C533,'1 预算编制表单'!$C:$BJ,33,FALSE)</f>
        <v>0</v>
      </c>
      <c r="AE533" s="123">
        <f t="shared" si="5983"/>
        <v>-668.65</v>
      </c>
      <c r="AF533" s="123">
        <f>SUMIF(物资过程计算表!$B:$B,$C533,物资过程计算表!F:F)</f>
        <v>668.65</v>
      </c>
      <c r="AG533" s="123">
        <f>VLOOKUP($C533,'1 预算编制表单'!$C:$BJ,36,FALSE)</f>
        <v>0</v>
      </c>
      <c r="AH533" s="123">
        <f t="shared" si="5984"/>
        <v>-1732.39</v>
      </c>
      <c r="AI533" s="123">
        <f>SUMIF(物资过程计算表!$B:$B,$C533,物资过程计算表!G:G)</f>
        <v>1732.39</v>
      </c>
      <c r="AJ533" s="123">
        <f>VLOOKUP($C533,'1 预算编制表单'!$C:$BJ,39,FALSE)</f>
        <v>0</v>
      </c>
      <c r="AK533" s="123">
        <f t="shared" si="5985"/>
        <v>-196.13</v>
      </c>
      <c r="AL533" s="123">
        <f>SUMIF(物资过程计算表!$B:$B,$C533,物资过程计算表!H:H)</f>
        <v>196.13</v>
      </c>
      <c r="AM533" s="123">
        <f>VLOOKUP($C533,'1 预算编制表单'!$C:$BJ,42,FALSE)</f>
        <v>0</v>
      </c>
      <c r="AN533" s="123">
        <f t="shared" si="5986"/>
        <v>0</v>
      </c>
      <c r="AO533" s="123">
        <f>SUMIF(物资过程计算表!$B:$B,$C533,物资过程计算表!I:I)</f>
        <v>0</v>
      </c>
      <c r="AP533" s="123">
        <f>VLOOKUP($C533,'1 预算编制表单'!$C:$BJ,45,FALSE)</f>
        <v>0</v>
      </c>
      <c r="AQ533" s="123">
        <f t="shared" si="5987"/>
        <v>0</v>
      </c>
      <c r="AR533" s="123">
        <f>SUMIF(物资过程计算表!$B:$B,$C533,物资过程计算表!J:J)</f>
        <v>0</v>
      </c>
      <c r="AS533" s="123">
        <f>VLOOKUP($C533,'1 预算编制表单'!$C:$BJ,48,FALSE)</f>
        <v>0</v>
      </c>
      <c r="AT533" s="123">
        <f t="shared" si="5988"/>
        <v>0</v>
      </c>
      <c r="AU533" s="123">
        <f>SUMIF(物资过程计算表!$B:$B,$C533,物资过程计算表!K:K)</f>
        <v>0</v>
      </c>
      <c r="AV533" s="123">
        <f>VLOOKUP($C533,'1 预算编制表单'!$C:$BJ,51,FALSE)</f>
        <v>0</v>
      </c>
      <c r="AW533" s="123">
        <f t="shared" si="5989"/>
        <v>0</v>
      </c>
      <c r="AX533" s="123">
        <f>SUMIF(物资过程计算表!$B:$B,$C533,物资过程计算表!L:L)</f>
        <v>0</v>
      </c>
      <c r="AY533" s="123">
        <f>VLOOKUP($C533,'1 预算编制表单'!$C:$BJ,54,FALSE)</f>
        <v>0</v>
      </c>
      <c r="AZ533" s="123">
        <f t="shared" si="5990"/>
        <v>0</v>
      </c>
      <c r="BA533" s="123">
        <f>SUMIF(物资过程计算表!$B:$B,$C533,物资过程计算表!M:M)</f>
        <v>0</v>
      </c>
      <c r="BB533" s="123">
        <f>VLOOKUP($C533,'1 预算编制表单'!$C:$BJ,57,FALSE)</f>
        <v>0</v>
      </c>
      <c r="BC533" s="123">
        <f t="shared" si="5991"/>
        <v>0</v>
      </c>
      <c r="BD533" s="123">
        <f>SUMIF(物资过程计算表!$B:$B,$C533,物资过程计算表!N:N)</f>
        <v>0</v>
      </c>
      <c r="BE533" s="123">
        <f>VLOOKUP($C533,'1 预算编制表单'!$C:$BJ,60,FALSE)</f>
        <v>0</v>
      </c>
      <c r="BF533" s="123">
        <f t="shared" si="5992"/>
        <v>0</v>
      </c>
      <c r="BG533" s="123">
        <f>SUMIF(物资过程计算表!$B:$B,$C533,物资过程计算表!O:O)</f>
        <v>0</v>
      </c>
      <c r="BH533" s="123">
        <f>VLOOKUP($C533,'1 预算编制表单'!$C:$BJ,27,FALSE)</f>
        <v>0</v>
      </c>
      <c r="BI533" s="123">
        <f t="shared" si="5993"/>
        <v>0</v>
      </c>
      <c r="BJ533" s="123"/>
      <c r="BK533" s="123">
        <f>VLOOKUP($C533,'1 预算编制表单'!$C:$BJ,30,FALSE)</f>
        <v>0</v>
      </c>
      <c r="BL533" s="123">
        <f t="shared" si="5994"/>
        <v>0</v>
      </c>
      <c r="BM533" s="123"/>
      <c r="BN533" s="123">
        <f>VLOOKUP($C533,'1 预算编制表单'!$C:$BJ,33,FALSE)</f>
        <v>0</v>
      </c>
      <c r="BO533" s="123">
        <f t="shared" si="5995"/>
        <v>0</v>
      </c>
      <c r="BP533" s="123"/>
      <c r="BQ533" s="123">
        <f>VLOOKUP($C533,'1 预算编制表单'!$C:$BJ,36,FALSE)</f>
        <v>0</v>
      </c>
      <c r="BR533" s="123">
        <f t="shared" si="5996"/>
        <v>0</v>
      </c>
      <c r="BS533" s="123"/>
      <c r="BT533" s="123">
        <f>VLOOKUP($C533,'1 预算编制表单'!$C:$BJ,39,FALSE)</f>
        <v>0</v>
      </c>
      <c r="BU533" s="123">
        <f t="shared" si="5997"/>
        <v>0</v>
      </c>
      <c r="BV533" s="123"/>
      <c r="BW533" s="123">
        <f>VLOOKUP($C533,'1 预算编制表单'!$C:$BJ,42,FALSE)</f>
        <v>0</v>
      </c>
      <c r="BX533" s="123">
        <f t="shared" si="5998"/>
        <v>0</v>
      </c>
      <c r="BY533" s="123"/>
      <c r="BZ533" s="123">
        <f>VLOOKUP($C533,'1 预算编制表单'!$C:$BJ,45,FALSE)</f>
        <v>0</v>
      </c>
      <c r="CA533" s="123">
        <f t="shared" si="5999"/>
        <v>0</v>
      </c>
      <c r="CB533" s="123"/>
      <c r="CC533" s="123">
        <f>VLOOKUP($C533,'1 预算编制表单'!$C:$BJ,48,FALSE)</f>
        <v>0</v>
      </c>
      <c r="CD533" s="123">
        <f t="shared" si="6000"/>
        <v>0</v>
      </c>
      <c r="CE533" s="123"/>
      <c r="CF533" s="123">
        <f>VLOOKUP($C533,'1 预算编制表单'!$C:$BJ,51,FALSE)</f>
        <v>0</v>
      </c>
      <c r="CG533" s="123">
        <f t="shared" si="6001"/>
        <v>0</v>
      </c>
      <c r="CH533" s="123"/>
      <c r="CI533" s="123">
        <f>VLOOKUP($C533,'1 预算编制表单'!$C:$BJ,54,FALSE)</f>
        <v>0</v>
      </c>
      <c r="CJ533" s="123">
        <f t="shared" si="6002"/>
        <v>0</v>
      </c>
      <c r="CK533" s="123"/>
      <c r="CL533" s="123">
        <f>VLOOKUP($C533,'1 预算编制表单'!$C:$BJ,57,FALSE)</f>
        <v>0</v>
      </c>
      <c r="CM533" s="123">
        <f t="shared" si="6003"/>
        <v>0</v>
      </c>
      <c r="CN533" s="123"/>
      <c r="CO533" s="123">
        <f>VLOOKUP($C533,'1 预算编制表单'!$C:$BJ,60,FALSE)</f>
        <v>0</v>
      </c>
      <c r="CP533" s="123">
        <f t="shared" si="6004"/>
        <v>0</v>
      </c>
      <c r="CQ533" s="123"/>
    </row>
    <row r="534" ht="24" customHeight="1" outlineLevel="2" spans="1:95">
      <c r="A534" s="43"/>
      <c r="B534" s="121" t="s">
        <v>787</v>
      </c>
      <c r="C534" s="122" t="s">
        <v>2128</v>
      </c>
      <c r="D534" s="43" t="s">
        <v>2129</v>
      </c>
      <c r="E534" s="121"/>
      <c r="F534" s="121"/>
      <c r="G534" s="121"/>
      <c r="H534" s="123">
        <f t="shared" si="5979"/>
        <v>0</v>
      </c>
      <c r="I534" s="123">
        <f t="shared" si="5980"/>
        <v>-37916.33</v>
      </c>
      <c r="J534" s="123">
        <f t="shared" si="6007"/>
        <v>37916.33</v>
      </c>
      <c r="K534" s="123"/>
      <c r="L534" s="154"/>
      <c r="M534" s="154"/>
      <c r="N534" s="123"/>
      <c r="O534" s="154"/>
      <c r="P534" s="123"/>
      <c r="Q534" s="123"/>
      <c r="R534" s="123"/>
      <c r="S534" s="123"/>
      <c r="T534" s="123"/>
      <c r="U534" s="123"/>
      <c r="V534" s="123"/>
      <c r="W534" s="123"/>
      <c r="X534" s="123">
        <f>VLOOKUP($C534,'1 预算编制表单'!$C:$BJ,27,FALSE)</f>
        <v>0</v>
      </c>
      <c r="Y534" s="123">
        <f t="shared" si="6009"/>
        <v>-9280</v>
      </c>
      <c r="Z534" s="123">
        <f>SUMIF(物资过程计算表!$B:$B,$C534,物资过程计算表!$D:$D)</f>
        <v>9280</v>
      </c>
      <c r="AA534" s="123">
        <f>VLOOKUP($C534,'1 预算编制表单'!$C:$BJ,30,FALSE)</f>
        <v>0</v>
      </c>
      <c r="AB534" s="123">
        <f t="shared" si="5982"/>
        <v>-4853.12</v>
      </c>
      <c r="AC534" s="123">
        <f>SUMIF(物资过程计算表!$B:$B,$C534,物资过程计算表!E:E)</f>
        <v>4853.12</v>
      </c>
      <c r="AD534" s="123">
        <f>VLOOKUP($C534,'1 预算编制表单'!$C:$BJ,33,FALSE)</f>
        <v>0</v>
      </c>
      <c r="AE534" s="123">
        <f t="shared" si="5983"/>
        <v>-9968.28</v>
      </c>
      <c r="AF534" s="123">
        <f>SUMIF(物资过程计算表!$B:$B,$C534,物资过程计算表!F:F)</f>
        <v>9968.28</v>
      </c>
      <c r="AG534" s="123">
        <f>VLOOKUP($C534,'1 预算编制表单'!$C:$BJ,36,FALSE)</f>
        <v>0</v>
      </c>
      <c r="AH534" s="123">
        <f t="shared" si="5984"/>
        <v>-5751.59</v>
      </c>
      <c r="AI534" s="123">
        <f>SUMIF(物资过程计算表!$B:$B,$C534,物资过程计算表!G:G)</f>
        <v>5751.59</v>
      </c>
      <c r="AJ534" s="123">
        <f>VLOOKUP($C534,'1 预算编制表单'!$C:$BJ,39,FALSE)</f>
        <v>0</v>
      </c>
      <c r="AK534" s="123">
        <f t="shared" si="5985"/>
        <v>-2637.48</v>
      </c>
      <c r="AL534" s="123">
        <f>SUMIF(物资过程计算表!$B:$B,$C534,物资过程计算表!H:H)</f>
        <v>2637.48</v>
      </c>
      <c r="AM534" s="123">
        <f>VLOOKUP($C534,'1 预算编制表单'!$C:$BJ,42,FALSE)</f>
        <v>0</v>
      </c>
      <c r="AN534" s="123">
        <f t="shared" si="5986"/>
        <v>-5425.86</v>
      </c>
      <c r="AO534" s="123">
        <f>SUMIF(物资过程计算表!$B:$B,$C534,物资过程计算表!I:I)</f>
        <v>5425.86</v>
      </c>
      <c r="AP534" s="123">
        <f>VLOOKUP($C534,'1 预算编制表单'!$C:$BJ,45,FALSE)</f>
        <v>0</v>
      </c>
      <c r="AQ534" s="123">
        <f t="shared" si="5987"/>
        <v>0</v>
      </c>
      <c r="AR534" s="123">
        <f>SUMIF(物资过程计算表!$B:$B,$C534,物资过程计算表!J:J)</f>
        <v>0</v>
      </c>
      <c r="AS534" s="123">
        <f>VLOOKUP($C534,'1 预算编制表单'!$C:$BJ,48,FALSE)</f>
        <v>0</v>
      </c>
      <c r="AT534" s="123">
        <f t="shared" si="5988"/>
        <v>0</v>
      </c>
      <c r="AU534" s="123">
        <f>SUMIF(物资过程计算表!$B:$B,$C534,物资过程计算表!K:K)</f>
        <v>0</v>
      </c>
      <c r="AV534" s="123">
        <f>VLOOKUP($C534,'1 预算编制表单'!$C:$BJ,51,FALSE)</f>
        <v>0</v>
      </c>
      <c r="AW534" s="123">
        <f t="shared" si="5989"/>
        <v>0</v>
      </c>
      <c r="AX534" s="123">
        <f>SUMIF(物资过程计算表!$B:$B,$C534,物资过程计算表!L:L)</f>
        <v>0</v>
      </c>
      <c r="AY534" s="123">
        <f>VLOOKUP($C534,'1 预算编制表单'!$C:$BJ,54,FALSE)</f>
        <v>0</v>
      </c>
      <c r="AZ534" s="123">
        <f t="shared" si="5990"/>
        <v>0</v>
      </c>
      <c r="BA534" s="123">
        <f>SUMIF(物资过程计算表!$B:$B,$C534,物资过程计算表!M:M)</f>
        <v>0</v>
      </c>
      <c r="BB534" s="123">
        <f>VLOOKUP($C534,'1 预算编制表单'!$C:$BJ,57,FALSE)</f>
        <v>0</v>
      </c>
      <c r="BC534" s="123">
        <f t="shared" si="5991"/>
        <v>0</v>
      </c>
      <c r="BD534" s="123">
        <f>SUMIF(物资过程计算表!$B:$B,$C534,物资过程计算表!N:N)</f>
        <v>0</v>
      </c>
      <c r="BE534" s="123">
        <f>VLOOKUP($C534,'1 预算编制表单'!$C:$BJ,60,FALSE)</f>
        <v>0</v>
      </c>
      <c r="BF534" s="123">
        <f t="shared" si="5992"/>
        <v>0</v>
      </c>
      <c r="BG534" s="123">
        <f>SUMIF(物资过程计算表!$B:$B,$C534,物资过程计算表!O:O)</f>
        <v>0</v>
      </c>
      <c r="BH534" s="123">
        <f>VLOOKUP($C534,'1 预算编制表单'!$C:$BJ,27,FALSE)</f>
        <v>0</v>
      </c>
      <c r="BI534" s="123">
        <f t="shared" si="5993"/>
        <v>0</v>
      </c>
      <c r="BJ534" s="123"/>
      <c r="BK534" s="123">
        <f>VLOOKUP($C534,'1 预算编制表单'!$C:$BJ,30,FALSE)</f>
        <v>0</v>
      </c>
      <c r="BL534" s="123">
        <f t="shared" si="5994"/>
        <v>0</v>
      </c>
      <c r="BM534" s="123"/>
      <c r="BN534" s="123">
        <f>VLOOKUP($C534,'1 预算编制表单'!$C:$BJ,33,FALSE)</f>
        <v>0</v>
      </c>
      <c r="BO534" s="123">
        <f t="shared" si="5995"/>
        <v>0</v>
      </c>
      <c r="BP534" s="123"/>
      <c r="BQ534" s="123">
        <f>VLOOKUP($C534,'1 预算编制表单'!$C:$BJ,36,FALSE)</f>
        <v>0</v>
      </c>
      <c r="BR534" s="123">
        <f t="shared" si="5996"/>
        <v>0</v>
      </c>
      <c r="BS534" s="123"/>
      <c r="BT534" s="123">
        <f>VLOOKUP($C534,'1 预算编制表单'!$C:$BJ,39,FALSE)</f>
        <v>0</v>
      </c>
      <c r="BU534" s="123">
        <f t="shared" si="5997"/>
        <v>0</v>
      </c>
      <c r="BV534" s="123"/>
      <c r="BW534" s="123">
        <f>VLOOKUP($C534,'1 预算编制表单'!$C:$BJ,42,FALSE)</f>
        <v>0</v>
      </c>
      <c r="BX534" s="123">
        <f t="shared" si="5998"/>
        <v>0</v>
      </c>
      <c r="BY534" s="123"/>
      <c r="BZ534" s="123">
        <f>VLOOKUP($C534,'1 预算编制表单'!$C:$BJ,45,FALSE)</f>
        <v>0</v>
      </c>
      <c r="CA534" s="123">
        <f t="shared" si="5999"/>
        <v>0</v>
      </c>
      <c r="CB534" s="123"/>
      <c r="CC534" s="123">
        <f>VLOOKUP($C534,'1 预算编制表单'!$C:$BJ,48,FALSE)</f>
        <v>0</v>
      </c>
      <c r="CD534" s="123">
        <f t="shared" si="6000"/>
        <v>0</v>
      </c>
      <c r="CE534" s="123"/>
      <c r="CF534" s="123">
        <f>VLOOKUP($C534,'1 预算编制表单'!$C:$BJ,51,FALSE)</f>
        <v>0</v>
      </c>
      <c r="CG534" s="123">
        <f t="shared" si="6001"/>
        <v>0</v>
      </c>
      <c r="CH534" s="123"/>
      <c r="CI534" s="123">
        <f>VLOOKUP($C534,'1 预算编制表单'!$C:$BJ,54,FALSE)</f>
        <v>0</v>
      </c>
      <c r="CJ534" s="123">
        <f t="shared" si="6002"/>
        <v>0</v>
      </c>
      <c r="CK534" s="123"/>
      <c r="CL534" s="123">
        <f>VLOOKUP($C534,'1 预算编制表单'!$C:$BJ,57,FALSE)</f>
        <v>0</v>
      </c>
      <c r="CM534" s="123">
        <f t="shared" si="6003"/>
        <v>0</v>
      </c>
      <c r="CN534" s="123"/>
      <c r="CO534" s="123">
        <f>VLOOKUP($C534,'1 预算编制表单'!$C:$BJ,60,FALSE)</f>
        <v>0</v>
      </c>
      <c r="CP534" s="123">
        <f t="shared" si="6004"/>
        <v>0</v>
      </c>
      <c r="CQ534" s="123"/>
    </row>
    <row r="535" ht="24" customHeight="1" outlineLevel="2" spans="1:95">
      <c r="A535" s="43"/>
      <c r="B535" s="121" t="s">
        <v>787</v>
      </c>
      <c r="C535" s="122" t="s">
        <v>2152</v>
      </c>
      <c r="D535" s="43" t="s">
        <v>2153</v>
      </c>
      <c r="E535" s="121"/>
      <c r="F535" s="121" t="s">
        <v>2132</v>
      </c>
      <c r="G535" s="121" t="s">
        <v>1844</v>
      </c>
      <c r="H535" s="123">
        <f t="shared" si="5979"/>
        <v>0</v>
      </c>
      <c r="I535" s="123">
        <f t="shared" si="5980"/>
        <v>0</v>
      </c>
      <c r="J535" s="123">
        <f t="shared" si="6007"/>
        <v>0</v>
      </c>
      <c r="K535" s="123"/>
      <c r="L535" s="154"/>
      <c r="M535" s="154"/>
      <c r="N535" s="123"/>
      <c r="O535" s="154"/>
      <c r="P535" s="123"/>
      <c r="Q535" s="123"/>
      <c r="R535" s="123"/>
      <c r="S535" s="123"/>
      <c r="T535" s="123"/>
      <c r="U535" s="123"/>
      <c r="V535" s="123"/>
      <c r="W535" s="123"/>
      <c r="X535" s="123">
        <f>VLOOKUP($C535,'1 预算编制表单'!$C:$BJ,27,FALSE)</f>
        <v>0</v>
      </c>
      <c r="Y535" s="123">
        <f t="shared" si="6009"/>
        <v>0</v>
      </c>
      <c r="Z535" s="123">
        <f>SUMIF(物资过程计算表!$B:$B,$C535,物资过程计算表!$D:$D)</f>
        <v>0</v>
      </c>
      <c r="AA535" s="123">
        <f>VLOOKUP($C535,'1 预算编制表单'!$C:$BJ,30,FALSE)</f>
        <v>0</v>
      </c>
      <c r="AB535" s="123">
        <f t="shared" si="5982"/>
        <v>0</v>
      </c>
      <c r="AC535" s="123">
        <f>SUMIF(物资过程计算表!$B:$B,$C535,物资过程计算表!E:E)</f>
        <v>0</v>
      </c>
      <c r="AD535" s="123">
        <f>VLOOKUP($C535,'1 预算编制表单'!$C:$BJ,33,FALSE)</f>
        <v>0</v>
      </c>
      <c r="AE535" s="123">
        <f t="shared" si="5983"/>
        <v>0</v>
      </c>
      <c r="AF535" s="123">
        <f>SUMIF(物资过程计算表!$B:$B,$C535,物资过程计算表!F:F)</f>
        <v>0</v>
      </c>
      <c r="AG535" s="123">
        <f>VLOOKUP($C535,'1 预算编制表单'!$C:$BJ,36,FALSE)</f>
        <v>0</v>
      </c>
      <c r="AH535" s="123">
        <f t="shared" si="5984"/>
        <v>0</v>
      </c>
      <c r="AI535" s="123">
        <f>SUMIF(物资过程计算表!$B:$B,$C535,物资过程计算表!G:G)</f>
        <v>0</v>
      </c>
      <c r="AJ535" s="123">
        <f>VLOOKUP($C535,'1 预算编制表单'!$C:$BJ,39,FALSE)</f>
        <v>0</v>
      </c>
      <c r="AK535" s="123">
        <f t="shared" si="5985"/>
        <v>0</v>
      </c>
      <c r="AL535" s="123">
        <f>SUMIF(物资过程计算表!$B:$B,$C535,物资过程计算表!H:H)</f>
        <v>0</v>
      </c>
      <c r="AM535" s="123">
        <f>VLOOKUP($C535,'1 预算编制表单'!$C:$BJ,42,FALSE)</f>
        <v>0</v>
      </c>
      <c r="AN535" s="123">
        <f t="shared" si="5986"/>
        <v>0</v>
      </c>
      <c r="AO535" s="123">
        <f>SUMIF(物资过程计算表!$B:$B,$C535,物资过程计算表!I:I)</f>
        <v>0</v>
      </c>
      <c r="AP535" s="123">
        <f>VLOOKUP($C535,'1 预算编制表单'!$C:$BJ,45,FALSE)</f>
        <v>0</v>
      </c>
      <c r="AQ535" s="123">
        <f t="shared" si="5987"/>
        <v>0</v>
      </c>
      <c r="AR535" s="123">
        <f>SUMIF(物资过程计算表!$B:$B,$C535,物资过程计算表!J:J)</f>
        <v>0</v>
      </c>
      <c r="AS535" s="123">
        <f>VLOOKUP($C535,'1 预算编制表单'!$C:$BJ,48,FALSE)</f>
        <v>0</v>
      </c>
      <c r="AT535" s="123">
        <f t="shared" si="5988"/>
        <v>0</v>
      </c>
      <c r="AU535" s="123">
        <f>SUMIF(物资过程计算表!$B:$B,$C535,物资过程计算表!K:K)</f>
        <v>0</v>
      </c>
      <c r="AV535" s="123">
        <f>VLOOKUP($C535,'1 预算编制表单'!$C:$BJ,51,FALSE)</f>
        <v>0</v>
      </c>
      <c r="AW535" s="123">
        <f t="shared" si="5989"/>
        <v>0</v>
      </c>
      <c r="AX535" s="123">
        <f>SUMIF(物资过程计算表!$B:$B,$C535,物资过程计算表!L:L)</f>
        <v>0</v>
      </c>
      <c r="AY535" s="123">
        <f>VLOOKUP($C535,'1 预算编制表单'!$C:$BJ,54,FALSE)</f>
        <v>0</v>
      </c>
      <c r="AZ535" s="123">
        <f t="shared" si="5990"/>
        <v>0</v>
      </c>
      <c r="BA535" s="123">
        <f>SUMIF(物资过程计算表!$B:$B,$C535,物资过程计算表!M:M)</f>
        <v>0</v>
      </c>
      <c r="BB535" s="123">
        <f>VLOOKUP($C535,'1 预算编制表单'!$C:$BJ,57,FALSE)</f>
        <v>0</v>
      </c>
      <c r="BC535" s="123">
        <f t="shared" si="5991"/>
        <v>0</v>
      </c>
      <c r="BD535" s="123">
        <f>SUMIF(物资过程计算表!$B:$B,$C535,物资过程计算表!N:N)</f>
        <v>0</v>
      </c>
      <c r="BE535" s="123">
        <f>VLOOKUP($C535,'1 预算编制表单'!$C:$BJ,60,FALSE)</f>
        <v>0</v>
      </c>
      <c r="BF535" s="123">
        <f t="shared" si="5992"/>
        <v>0</v>
      </c>
      <c r="BG535" s="123">
        <f>SUMIF(物资过程计算表!$B:$B,$C535,物资过程计算表!O:O)</f>
        <v>0</v>
      </c>
      <c r="BH535" s="123">
        <f>VLOOKUP($C535,'1 预算编制表单'!$C:$BJ,27,FALSE)</f>
        <v>0</v>
      </c>
      <c r="BI535" s="123">
        <f t="shared" si="5993"/>
        <v>0</v>
      </c>
      <c r="BJ535" s="123"/>
      <c r="BK535" s="123">
        <f>VLOOKUP($C535,'1 预算编制表单'!$C:$BJ,30,FALSE)</f>
        <v>0</v>
      </c>
      <c r="BL535" s="123">
        <f t="shared" si="5994"/>
        <v>0</v>
      </c>
      <c r="BM535" s="123"/>
      <c r="BN535" s="123">
        <f>VLOOKUP($C535,'1 预算编制表单'!$C:$BJ,33,FALSE)</f>
        <v>0</v>
      </c>
      <c r="BO535" s="123">
        <f t="shared" si="5995"/>
        <v>0</v>
      </c>
      <c r="BP535" s="123"/>
      <c r="BQ535" s="123">
        <f>VLOOKUP($C535,'1 预算编制表单'!$C:$BJ,36,FALSE)</f>
        <v>0</v>
      </c>
      <c r="BR535" s="123">
        <f t="shared" si="5996"/>
        <v>0</v>
      </c>
      <c r="BS535" s="123"/>
      <c r="BT535" s="123">
        <f>VLOOKUP($C535,'1 预算编制表单'!$C:$BJ,39,FALSE)</f>
        <v>0</v>
      </c>
      <c r="BU535" s="123">
        <f t="shared" si="5997"/>
        <v>0</v>
      </c>
      <c r="BV535" s="123"/>
      <c r="BW535" s="123">
        <f>VLOOKUP($C535,'1 预算编制表单'!$C:$BJ,42,FALSE)</f>
        <v>0</v>
      </c>
      <c r="BX535" s="123">
        <f t="shared" si="5998"/>
        <v>0</v>
      </c>
      <c r="BY535" s="123"/>
      <c r="BZ535" s="123">
        <f>VLOOKUP($C535,'1 预算编制表单'!$C:$BJ,45,FALSE)</f>
        <v>0</v>
      </c>
      <c r="CA535" s="123">
        <f t="shared" si="5999"/>
        <v>0</v>
      </c>
      <c r="CB535" s="123"/>
      <c r="CC535" s="123">
        <f>VLOOKUP($C535,'1 预算编制表单'!$C:$BJ,48,FALSE)</f>
        <v>0</v>
      </c>
      <c r="CD535" s="123">
        <f t="shared" si="6000"/>
        <v>0</v>
      </c>
      <c r="CE535" s="123"/>
      <c r="CF535" s="123">
        <f>VLOOKUP($C535,'1 预算编制表单'!$C:$BJ,51,FALSE)</f>
        <v>0</v>
      </c>
      <c r="CG535" s="123">
        <f t="shared" si="6001"/>
        <v>0</v>
      </c>
      <c r="CH535" s="123"/>
      <c r="CI535" s="123">
        <f>VLOOKUP($C535,'1 预算编制表单'!$C:$BJ,54,FALSE)</f>
        <v>0</v>
      </c>
      <c r="CJ535" s="123">
        <f t="shared" si="6002"/>
        <v>0</v>
      </c>
      <c r="CK535" s="123"/>
      <c r="CL535" s="123">
        <f>VLOOKUP($C535,'1 预算编制表单'!$C:$BJ,57,FALSE)</f>
        <v>0</v>
      </c>
      <c r="CM535" s="123">
        <f t="shared" si="6003"/>
        <v>0</v>
      </c>
      <c r="CN535" s="123"/>
      <c r="CO535" s="123">
        <f>VLOOKUP($C535,'1 预算编制表单'!$C:$BJ,60,FALSE)</f>
        <v>0</v>
      </c>
      <c r="CP535" s="123">
        <f t="shared" si="6004"/>
        <v>0</v>
      </c>
      <c r="CQ535" s="123"/>
    </row>
    <row r="536" ht="24" customHeight="1" spans="1:95">
      <c r="A536" s="114"/>
      <c r="B536" s="115" t="s">
        <v>787</v>
      </c>
      <c r="C536" s="116">
        <v>1.3</v>
      </c>
      <c r="D536" s="114" t="s">
        <v>64</v>
      </c>
      <c r="E536" s="115"/>
      <c r="F536" s="115"/>
      <c r="G536" s="115"/>
      <c r="H536" s="173">
        <f t="shared" si="5979"/>
        <v>929716.981132075</v>
      </c>
      <c r="I536" s="173">
        <f t="shared" si="5980"/>
        <v>929716.981132075</v>
      </c>
      <c r="J536" s="173">
        <f t="shared" si="6007"/>
        <v>0</v>
      </c>
      <c r="K536" s="173"/>
      <c r="L536" s="174"/>
      <c r="M536" s="174"/>
      <c r="N536" s="173"/>
      <c r="O536" s="174"/>
      <c r="P536" s="173"/>
      <c r="Q536" s="173"/>
      <c r="R536" s="173"/>
      <c r="S536" s="173"/>
      <c r="T536" s="173"/>
      <c r="U536" s="173"/>
      <c r="V536" s="173"/>
      <c r="W536" s="173"/>
      <c r="X536" s="173">
        <f>VLOOKUP($C536,'1 预算编制表单'!$C:$BJ,27,FALSE)</f>
        <v>324371.06918239</v>
      </c>
      <c r="Y536" s="173">
        <f t="shared" ref="Y536:BG536" si="6010">Y537+Y543+Y549+Y555+Y561+Y567+Y573+Y579+Y585+Y591</f>
        <v>324371.069182389</v>
      </c>
      <c r="Z536" s="173">
        <f t="shared" si="6010"/>
        <v>0</v>
      </c>
      <c r="AA536" s="173">
        <f>VLOOKUP($C536,'1 预算编制表单'!$C:$BJ,30,FALSE)</f>
        <v>55031.4465408805</v>
      </c>
      <c r="AB536" s="173">
        <f t="shared" si="6010"/>
        <v>55031.4465408805</v>
      </c>
      <c r="AC536" s="173">
        <f t="shared" si="6010"/>
        <v>0</v>
      </c>
      <c r="AD536" s="173">
        <f>VLOOKUP($C536,'1 预算编制表单'!$C:$BJ,33,FALSE)</f>
        <v>55031.4465408805</v>
      </c>
      <c r="AE536" s="173">
        <f t="shared" si="6010"/>
        <v>55031.4465408805</v>
      </c>
      <c r="AF536" s="173">
        <f t="shared" si="6010"/>
        <v>0</v>
      </c>
      <c r="AG536" s="173">
        <f>VLOOKUP($C536,'1 预算编制表单'!$C:$BJ,36,FALSE)</f>
        <v>55031.4465408805</v>
      </c>
      <c r="AH536" s="173">
        <f t="shared" si="6010"/>
        <v>55031.4465408805</v>
      </c>
      <c r="AI536" s="173">
        <f t="shared" si="6010"/>
        <v>0</v>
      </c>
      <c r="AJ536" s="173">
        <f>VLOOKUP($C536,'1 预算编制表单'!$C:$BJ,39,FALSE)</f>
        <v>55031.4465408805</v>
      </c>
      <c r="AK536" s="173">
        <f t="shared" si="6010"/>
        <v>55031.4465408805</v>
      </c>
      <c r="AL536" s="173">
        <f t="shared" si="6010"/>
        <v>0</v>
      </c>
      <c r="AM536" s="173">
        <f>VLOOKUP($C536,'1 预算编制表单'!$C:$BJ,42,FALSE)</f>
        <v>55031.4465408805</v>
      </c>
      <c r="AN536" s="173">
        <f t="shared" si="6010"/>
        <v>55031.4465408805</v>
      </c>
      <c r="AO536" s="173">
        <f t="shared" si="6010"/>
        <v>0</v>
      </c>
      <c r="AP536" s="173">
        <f>VLOOKUP($C536,'1 预算编制表单'!$C:$BJ,45,FALSE)</f>
        <v>55031.4465408805</v>
      </c>
      <c r="AQ536" s="173">
        <f t="shared" si="6010"/>
        <v>55031.4465408805</v>
      </c>
      <c r="AR536" s="173">
        <f t="shared" si="6010"/>
        <v>0</v>
      </c>
      <c r="AS536" s="173">
        <f>VLOOKUP($C536,'1 预算编制表单'!$C:$BJ,48,FALSE)</f>
        <v>55031.4465408805</v>
      </c>
      <c r="AT536" s="173">
        <f t="shared" si="6010"/>
        <v>55031.4465408805</v>
      </c>
      <c r="AU536" s="173">
        <f t="shared" si="6010"/>
        <v>0</v>
      </c>
      <c r="AV536" s="173">
        <f>VLOOKUP($C536,'1 预算编制表单'!$C:$BJ,51,FALSE)</f>
        <v>55031.4465408805</v>
      </c>
      <c r="AW536" s="173">
        <f t="shared" si="6010"/>
        <v>55031.4465408805</v>
      </c>
      <c r="AX536" s="173">
        <f t="shared" si="6010"/>
        <v>0</v>
      </c>
      <c r="AY536" s="173">
        <f>VLOOKUP($C536,'1 预算编制表单'!$C:$BJ,54,FALSE)</f>
        <v>55031.4465408805</v>
      </c>
      <c r="AZ536" s="173">
        <f t="shared" si="6010"/>
        <v>55031.4465408805</v>
      </c>
      <c r="BA536" s="173">
        <f t="shared" si="6010"/>
        <v>0</v>
      </c>
      <c r="BB536" s="173">
        <f>VLOOKUP($C536,'1 预算编制表单'!$C:$BJ,57,FALSE)</f>
        <v>55031.4465408805</v>
      </c>
      <c r="BC536" s="173">
        <f t="shared" si="6010"/>
        <v>55031.4465408805</v>
      </c>
      <c r="BD536" s="173">
        <f t="shared" si="6010"/>
        <v>0</v>
      </c>
      <c r="BE536" s="173">
        <f>VLOOKUP($C536,'1 预算编制表单'!$C:$BJ,60,FALSE)</f>
        <v>55031.4465408805</v>
      </c>
      <c r="BF536" s="173">
        <f t="shared" si="6010"/>
        <v>55031.4465408805</v>
      </c>
      <c r="BG536" s="173">
        <f t="shared" si="6010"/>
        <v>0</v>
      </c>
      <c r="BH536" s="173">
        <f>VLOOKUP($C536,'1 预算编制表单'!$C:$BJ,27,FALSE)</f>
        <v>324371.06918239</v>
      </c>
      <c r="BI536" s="173">
        <f t="shared" ref="BI536:BM536" si="6011">BI537+BI543+BI549+BI555+BI561+BI567+BI573+BI579+BI585+BI591</f>
        <v>324371.069182389</v>
      </c>
      <c r="BJ536" s="173">
        <f t="shared" si="6011"/>
        <v>0</v>
      </c>
      <c r="BK536" s="173">
        <f>VLOOKUP($C536,'1 预算编制表单'!$C:$BJ,30,FALSE)</f>
        <v>55031.4465408805</v>
      </c>
      <c r="BL536" s="173">
        <f t="shared" si="6011"/>
        <v>55031.4465408805</v>
      </c>
      <c r="BM536" s="173">
        <f t="shared" si="6011"/>
        <v>0</v>
      </c>
      <c r="BN536" s="173">
        <f>VLOOKUP($C536,'1 预算编制表单'!$C:$BJ,33,FALSE)</f>
        <v>55031.4465408805</v>
      </c>
      <c r="BO536" s="173">
        <f t="shared" ref="BO536:BS536" si="6012">BO537+BO543+BO549+BO555+BO561+BO567+BO573+BO579+BO585+BO591</f>
        <v>55031.4465408805</v>
      </c>
      <c r="BP536" s="173">
        <f t="shared" si="6012"/>
        <v>0</v>
      </c>
      <c r="BQ536" s="173">
        <f>VLOOKUP($C536,'1 预算编制表单'!$C:$BJ,36,FALSE)</f>
        <v>55031.4465408805</v>
      </c>
      <c r="BR536" s="173">
        <f t="shared" si="6012"/>
        <v>55031.4465408805</v>
      </c>
      <c r="BS536" s="173">
        <f t="shared" si="6012"/>
        <v>0</v>
      </c>
      <c r="BT536" s="173">
        <f>VLOOKUP($C536,'1 预算编制表单'!$C:$BJ,39,FALSE)</f>
        <v>55031.4465408805</v>
      </c>
      <c r="BU536" s="173">
        <f t="shared" ref="BU536:BY536" si="6013">BU537+BU543+BU549+BU555+BU561+BU567+BU573+BU579+BU585+BU591</f>
        <v>55031.4465408805</v>
      </c>
      <c r="BV536" s="173">
        <f t="shared" si="6013"/>
        <v>0</v>
      </c>
      <c r="BW536" s="173">
        <f>VLOOKUP($C536,'1 预算编制表单'!$C:$BJ,42,FALSE)</f>
        <v>55031.4465408805</v>
      </c>
      <c r="BX536" s="173">
        <f t="shared" si="6013"/>
        <v>55031.4465408805</v>
      </c>
      <c r="BY536" s="173">
        <f t="shared" si="6013"/>
        <v>0</v>
      </c>
      <c r="BZ536" s="173">
        <f>VLOOKUP($C536,'1 预算编制表单'!$C:$BJ,45,FALSE)</f>
        <v>55031.4465408805</v>
      </c>
      <c r="CA536" s="173">
        <f t="shared" ref="CA536:CE536" si="6014">CA537+CA543+CA549+CA555+CA561+CA567+CA573+CA579+CA585+CA591</f>
        <v>55031.4465408805</v>
      </c>
      <c r="CB536" s="173">
        <f t="shared" si="6014"/>
        <v>0</v>
      </c>
      <c r="CC536" s="173">
        <f>VLOOKUP($C536,'1 预算编制表单'!$C:$BJ,48,FALSE)</f>
        <v>55031.4465408805</v>
      </c>
      <c r="CD536" s="173">
        <f t="shared" si="6014"/>
        <v>55031.4465408805</v>
      </c>
      <c r="CE536" s="173">
        <f t="shared" si="6014"/>
        <v>0</v>
      </c>
      <c r="CF536" s="173">
        <f>VLOOKUP($C536,'1 预算编制表单'!$C:$BJ,51,FALSE)</f>
        <v>55031.4465408805</v>
      </c>
      <c r="CG536" s="173">
        <f t="shared" ref="CG536:CK536" si="6015">CG537+CG543+CG549+CG555+CG561+CG567+CG573+CG579+CG585+CG591</f>
        <v>55031.4465408805</v>
      </c>
      <c r="CH536" s="173">
        <f t="shared" si="6015"/>
        <v>0</v>
      </c>
      <c r="CI536" s="173">
        <f>VLOOKUP($C536,'1 预算编制表单'!$C:$BJ,54,FALSE)</f>
        <v>55031.4465408805</v>
      </c>
      <c r="CJ536" s="173">
        <f t="shared" si="6015"/>
        <v>55031.4465408805</v>
      </c>
      <c r="CK536" s="173">
        <f t="shared" si="6015"/>
        <v>0</v>
      </c>
      <c r="CL536" s="173">
        <f>VLOOKUP($C536,'1 预算编制表单'!$C:$BJ,57,FALSE)</f>
        <v>55031.4465408805</v>
      </c>
      <c r="CM536" s="173">
        <f t="shared" ref="CM536:CQ536" si="6016">CM537+CM543+CM549+CM555+CM561+CM567+CM573+CM579+CM585+CM591</f>
        <v>55031.4465408805</v>
      </c>
      <c r="CN536" s="173">
        <f t="shared" si="6016"/>
        <v>0</v>
      </c>
      <c r="CO536" s="173">
        <f>VLOOKUP($C536,'1 预算编制表单'!$C:$BJ,60,FALSE)</f>
        <v>55031.4465408805</v>
      </c>
      <c r="CP536" s="173">
        <f t="shared" si="6016"/>
        <v>55031.4465408805</v>
      </c>
      <c r="CQ536" s="173">
        <f t="shared" si="6016"/>
        <v>0</v>
      </c>
    </row>
    <row r="537" ht="24" customHeight="1" outlineLevel="1" spans="1:95">
      <c r="A537" s="14"/>
      <c r="B537" s="118" t="s">
        <v>792</v>
      </c>
      <c r="C537" s="119" t="s">
        <v>2154</v>
      </c>
      <c r="D537" s="14" t="s">
        <v>2155</v>
      </c>
      <c r="E537" s="118"/>
      <c r="F537" s="118"/>
      <c r="G537" s="118"/>
      <c r="H537" s="120">
        <f t="shared" si="5979"/>
        <v>269339.622641509</v>
      </c>
      <c r="I537" s="120">
        <f t="shared" si="5980"/>
        <v>269339.622641509</v>
      </c>
      <c r="J537" s="120">
        <f t="shared" si="6007"/>
        <v>0</v>
      </c>
      <c r="K537" s="120"/>
      <c r="L537" s="153"/>
      <c r="M537" s="153"/>
      <c r="N537" s="120"/>
      <c r="O537" s="153"/>
      <c r="P537" s="120"/>
      <c r="Q537" s="120"/>
      <c r="R537" s="120"/>
      <c r="S537" s="120"/>
      <c r="T537" s="120"/>
      <c r="U537" s="120"/>
      <c r="V537" s="120"/>
      <c r="W537" s="120"/>
      <c r="X537" s="120">
        <f>VLOOKUP($C537,'1 预算编制表单'!$C:$BJ,27,FALSE)</f>
        <v>269339.622641509</v>
      </c>
      <c r="Y537" s="120">
        <f>X537-Z537</f>
        <v>269339.622641509</v>
      </c>
      <c r="Z537" s="120">
        <f>SUM(Z538:Z542)</f>
        <v>0</v>
      </c>
      <c r="AA537" s="120">
        <f>VLOOKUP($C537,'1 预算编制表单'!$C:$BJ,30,FALSE)</f>
        <v>0</v>
      </c>
      <c r="AB537" s="120">
        <f>AA537-AC537</f>
        <v>0</v>
      </c>
      <c r="AC537" s="120">
        <f>SUM(AC538:AC542)</f>
        <v>0</v>
      </c>
      <c r="AD537" s="120">
        <f>VLOOKUP($C537,'1 预算编制表单'!$C:$BJ,33,FALSE)</f>
        <v>0</v>
      </c>
      <c r="AE537" s="120">
        <f>AD537-AF537</f>
        <v>0</v>
      </c>
      <c r="AF537" s="120">
        <f>SUM(AF538:AF542)</f>
        <v>0</v>
      </c>
      <c r="AG537" s="120">
        <f>VLOOKUP($C537,'1 预算编制表单'!$C:$BJ,36,FALSE)</f>
        <v>0</v>
      </c>
      <c r="AH537" s="120">
        <f>AG537-AI537</f>
        <v>0</v>
      </c>
      <c r="AI537" s="120">
        <f>SUM(AI538:AI542)</f>
        <v>0</v>
      </c>
      <c r="AJ537" s="120">
        <f>VLOOKUP($C537,'1 预算编制表单'!$C:$BJ,39,FALSE)</f>
        <v>0</v>
      </c>
      <c r="AK537" s="120">
        <f>AJ537-AL537</f>
        <v>0</v>
      </c>
      <c r="AL537" s="120">
        <f>SUM(AL538:AL542)</f>
        <v>0</v>
      </c>
      <c r="AM537" s="120">
        <f>VLOOKUP($C537,'1 预算编制表单'!$C:$BJ,42,FALSE)</f>
        <v>0</v>
      </c>
      <c r="AN537" s="120">
        <f>AM537-AO537</f>
        <v>0</v>
      </c>
      <c r="AO537" s="120">
        <f>SUM(AO538:AO542)</f>
        <v>0</v>
      </c>
      <c r="AP537" s="120">
        <f>VLOOKUP($C537,'1 预算编制表单'!$C:$BJ,45,FALSE)</f>
        <v>0</v>
      </c>
      <c r="AQ537" s="120">
        <f>AP537-AR537</f>
        <v>0</v>
      </c>
      <c r="AR537" s="120">
        <f>SUM(AR538:AR542)</f>
        <v>0</v>
      </c>
      <c r="AS537" s="120">
        <f>VLOOKUP($C537,'1 预算编制表单'!$C:$BJ,48,FALSE)</f>
        <v>0</v>
      </c>
      <c r="AT537" s="120">
        <f>AS537-AU537</f>
        <v>0</v>
      </c>
      <c r="AU537" s="120">
        <f>SUM(AU538:AU542)</f>
        <v>0</v>
      </c>
      <c r="AV537" s="120">
        <f>VLOOKUP($C537,'1 预算编制表单'!$C:$BJ,51,FALSE)</f>
        <v>0</v>
      </c>
      <c r="AW537" s="120">
        <f>AV537-AX537</f>
        <v>0</v>
      </c>
      <c r="AX537" s="120">
        <f>SUM(AX538:AX542)</f>
        <v>0</v>
      </c>
      <c r="AY537" s="120">
        <f>VLOOKUP($C537,'1 预算编制表单'!$C:$BJ,54,FALSE)</f>
        <v>0</v>
      </c>
      <c r="AZ537" s="120">
        <f>AY537-BA537</f>
        <v>0</v>
      </c>
      <c r="BA537" s="120">
        <f>SUM(BA538:BA542)</f>
        <v>0</v>
      </c>
      <c r="BB537" s="120">
        <f>VLOOKUP($C537,'1 预算编制表单'!$C:$BJ,57,FALSE)</f>
        <v>0</v>
      </c>
      <c r="BC537" s="120">
        <f>BB537-BD537</f>
        <v>0</v>
      </c>
      <c r="BD537" s="120">
        <f>SUM(BD538:BD542)</f>
        <v>0</v>
      </c>
      <c r="BE537" s="120">
        <f>VLOOKUP($C537,'1 预算编制表单'!$C:$BJ,60,FALSE)</f>
        <v>0</v>
      </c>
      <c r="BF537" s="120">
        <f>BE537-BG537</f>
        <v>0</v>
      </c>
      <c r="BG537" s="120">
        <f>SUM(BG538:BG542)</f>
        <v>0</v>
      </c>
      <c r="BH537" s="120">
        <f>VLOOKUP($C537,'1 预算编制表单'!$C:$BJ,27,FALSE)</f>
        <v>269339.622641509</v>
      </c>
      <c r="BI537" s="120">
        <f>BH537-BJ537</f>
        <v>269339.622641509</v>
      </c>
      <c r="BJ537" s="120">
        <f>SUM(BJ538:BJ542)</f>
        <v>0</v>
      </c>
      <c r="BK537" s="120">
        <f>VLOOKUP($C537,'1 预算编制表单'!$C:$BJ,30,FALSE)</f>
        <v>0</v>
      </c>
      <c r="BL537" s="120">
        <f>BK537-BM537</f>
        <v>0</v>
      </c>
      <c r="BM537" s="120">
        <f>SUM(BM538:BM542)</f>
        <v>0</v>
      </c>
      <c r="BN537" s="120">
        <f>VLOOKUP($C537,'1 预算编制表单'!$C:$BJ,33,FALSE)</f>
        <v>0</v>
      </c>
      <c r="BO537" s="120">
        <f>BN537-BP537</f>
        <v>0</v>
      </c>
      <c r="BP537" s="120">
        <f>SUM(BP538:BP542)</f>
        <v>0</v>
      </c>
      <c r="BQ537" s="120">
        <f>VLOOKUP($C537,'1 预算编制表单'!$C:$BJ,36,FALSE)</f>
        <v>0</v>
      </c>
      <c r="BR537" s="120">
        <f>BQ537-BS537</f>
        <v>0</v>
      </c>
      <c r="BS537" s="120">
        <f>SUM(BS538:BS542)</f>
        <v>0</v>
      </c>
      <c r="BT537" s="120">
        <f>VLOOKUP($C537,'1 预算编制表单'!$C:$BJ,39,FALSE)</f>
        <v>0</v>
      </c>
      <c r="BU537" s="120">
        <f>BT537-BV537</f>
        <v>0</v>
      </c>
      <c r="BV537" s="120">
        <f>SUM(BV538:BV542)</f>
        <v>0</v>
      </c>
      <c r="BW537" s="120">
        <f>VLOOKUP($C537,'1 预算编制表单'!$C:$BJ,42,FALSE)</f>
        <v>0</v>
      </c>
      <c r="BX537" s="120">
        <f>BW537-BY537</f>
        <v>0</v>
      </c>
      <c r="BY537" s="120">
        <f>SUM(BY538:BY542)</f>
        <v>0</v>
      </c>
      <c r="BZ537" s="120">
        <f>VLOOKUP($C537,'1 预算编制表单'!$C:$BJ,45,FALSE)</f>
        <v>0</v>
      </c>
      <c r="CA537" s="120">
        <f>BZ537-CB537</f>
        <v>0</v>
      </c>
      <c r="CB537" s="120">
        <f>SUM(CB538:CB542)</f>
        <v>0</v>
      </c>
      <c r="CC537" s="120">
        <f>VLOOKUP($C537,'1 预算编制表单'!$C:$BJ,48,FALSE)</f>
        <v>0</v>
      </c>
      <c r="CD537" s="120">
        <f>CC537-CE537</f>
        <v>0</v>
      </c>
      <c r="CE537" s="120">
        <f>SUM(CE538:CE542)</f>
        <v>0</v>
      </c>
      <c r="CF537" s="120">
        <f>VLOOKUP($C537,'1 预算编制表单'!$C:$BJ,51,FALSE)</f>
        <v>0</v>
      </c>
      <c r="CG537" s="120">
        <f>CF537-CH537</f>
        <v>0</v>
      </c>
      <c r="CH537" s="120">
        <f>SUM(CH538:CH542)</f>
        <v>0</v>
      </c>
      <c r="CI537" s="120">
        <f>VLOOKUP($C537,'1 预算编制表单'!$C:$BJ,54,FALSE)</f>
        <v>0</v>
      </c>
      <c r="CJ537" s="120">
        <f>CI537-CK537</f>
        <v>0</v>
      </c>
      <c r="CK537" s="120">
        <f>SUM(CK538:CK542)</f>
        <v>0</v>
      </c>
      <c r="CL537" s="120">
        <f>VLOOKUP($C537,'1 预算编制表单'!$C:$BJ,57,FALSE)</f>
        <v>0</v>
      </c>
      <c r="CM537" s="120">
        <f>CL537-CN537</f>
        <v>0</v>
      </c>
      <c r="CN537" s="120">
        <f>SUM(CN538:CN542)</f>
        <v>0</v>
      </c>
      <c r="CO537" s="120">
        <f>VLOOKUP($C537,'1 预算编制表单'!$C:$BJ,60,FALSE)</f>
        <v>0</v>
      </c>
      <c r="CP537" s="120">
        <f>CO537-CQ537</f>
        <v>0</v>
      </c>
      <c r="CQ537" s="120">
        <f>SUM(CQ538:CQ542)</f>
        <v>0</v>
      </c>
    </row>
    <row r="538" s="89" customFormat="1" ht="24" customHeight="1" outlineLevel="2" spans="1:95">
      <c r="A538" s="128"/>
      <c r="B538" s="129"/>
      <c r="C538" s="130"/>
      <c r="D538" s="128"/>
      <c r="E538" s="129"/>
      <c r="F538" s="129"/>
      <c r="G538" s="129"/>
      <c r="H538" s="131"/>
      <c r="I538" s="131"/>
      <c r="J538" s="131">
        <f t="shared" si="6007"/>
        <v>0</v>
      </c>
      <c r="K538" s="131">
        <v>1</v>
      </c>
      <c r="L538" s="156"/>
      <c r="M538" s="157">
        <f>IFERROR(VLOOKUP($L538,'2-2 引出数据_合同数据仓库'!$B$5:$BP$200,3,FALSE),0)</f>
        <v>0</v>
      </c>
      <c r="N538" s="131"/>
      <c r="O538" s="157">
        <f>IFERROR(VLOOKUP((LEFT(VLOOKUP($L538,'2-2 引出数据_合同数据仓库'!$B$5:$BP$200,64,FALSE),15)&amp;(RIGHT(VLOOKUP($L538,'2-2 引出数据_合同数据仓库'!$B$5:$BP$200,64,FALSE),4)+1)),'2-2 引出数据_合同数据仓库'!$B$5:$BP$200,3,FALSE),0)</f>
        <v>0</v>
      </c>
      <c r="P538" s="131"/>
      <c r="Q538" s="131">
        <f>IFERROR(VLOOKUP($L538,'2-2 引出数据_合同数据仓库'!$B$5:$BP$200,28,FALSE),0)</f>
        <v>0</v>
      </c>
      <c r="R538" s="131">
        <f>IFERROR(VLOOKUP($L538,'2-2 引出数据_合同数据仓库'!$B$5:$BP$200,29,FALSE),0)</f>
        <v>0</v>
      </c>
      <c r="S538" s="131">
        <f>IFERROR(VLOOKUP($L538,'2-2 引出数据_合同数据仓库'!$B$5:$BP$200,4,FALSE),0)</f>
        <v>0</v>
      </c>
      <c r="T538" s="131"/>
      <c r="U538" s="131">
        <f>IFERROR(VLOOKUP($L538,'2-2 引出数据_合同数据仓库'!$B$5:$BP$200,15,FALSE),0)</f>
        <v>0</v>
      </c>
      <c r="V538" s="131">
        <f t="shared" ref="V538:V541" si="6017">U538/(S538-R538+1)*365</f>
        <v>0</v>
      </c>
      <c r="W538" s="131"/>
      <c r="X538" s="163">
        <v>45658</v>
      </c>
      <c r="Y538" s="163">
        <f t="shared" ref="Y538:Y541" si="6018">X538+30</f>
        <v>45688</v>
      </c>
      <c r="Z538" s="167">
        <f t="shared" ref="Z538:Z541" si="6019">IFERROR(IF(($R538-Y538)&gt;=0,0,IF(($S538-X538)&lt;0,0,IF(AND(($S538-Y538)&gt;0,(X538-$R538)&gt;0),$V538/365*(Y538-X538+1),IF(AND(($S538-Y538)&lt;=0,(X538-$R538)&gt;0),$V538/365*($S538-X538+1),$V538/365*(Y538-$R538+1))))),0)</f>
        <v>0</v>
      </c>
      <c r="AA538" s="163">
        <f t="shared" ref="AA538:AA541" si="6020">Y538+1</f>
        <v>45689</v>
      </c>
      <c r="AB538" s="163">
        <f t="shared" ref="AB538:AB541" si="6021">AA538+27</f>
        <v>45716</v>
      </c>
      <c r="AC538" s="167">
        <f t="shared" ref="AC538:AC541" si="6022">IFERROR(IF(($R538-AB538)&gt;=0,0,IF(($S538-AA538)&lt;0,0,IF(AND(($S538-AB538)&gt;0,(AA538-$R538)&gt;0),$V538/365*(AB538-AA538+1),IF(AND(($S538-AB538)&lt;=0,(AA538-$R538)&gt;0),$V538/365*($S538-AA538+1),$V538/365*(AB538-$R538+1))))),0)</f>
        <v>0</v>
      </c>
      <c r="AD538" s="163">
        <f t="shared" ref="AD538:AD541" si="6023">AB538+1</f>
        <v>45717</v>
      </c>
      <c r="AE538" s="163">
        <f t="shared" ref="AE538:AE541" si="6024">AD538+30</f>
        <v>45747</v>
      </c>
      <c r="AF538" s="167">
        <f t="shared" ref="AF538:AF541" si="6025">IFERROR(IF(($R538-AE538)&gt;=0,0,IF(($S538-AD538)&lt;0,0,IF(AND(($S538-AE538)&gt;0,(AD538-$R538)&gt;0),$V538/365*(AE538-AD538+1),IF(AND(($S538-AE538)&lt;=0,(AD538-$R538)&gt;0),$V538/365*($S538-AD538+1),$V538/365*(AE538-$R538+1))))),0)</f>
        <v>0</v>
      </c>
      <c r="AG538" s="163">
        <f t="shared" ref="AG538:AG541" si="6026">AE538+1</f>
        <v>45748</v>
      </c>
      <c r="AH538" s="163">
        <f t="shared" ref="AH538:AH541" si="6027">AG538+29</f>
        <v>45777</v>
      </c>
      <c r="AI538" s="167">
        <f t="shared" ref="AI538:AI541" si="6028">IFERROR(IF(($R538-AH538)&gt;=0,0,IF(($S538-AG538)&lt;0,0,IF(AND(($S538-AH538)&gt;0,(AG538-$R538)&gt;0),$V538/365*(AH538-AG538+1),IF(AND(($S538-AH538)&lt;=0,(AG538-$R538)&gt;0),$V538/365*($S538-AG538+1),$V538/365*(AH538-$R538+1))))),0)</f>
        <v>0</v>
      </c>
      <c r="AJ538" s="163">
        <f t="shared" ref="AJ538:AJ541" si="6029">AH538+1</f>
        <v>45778</v>
      </c>
      <c r="AK538" s="163">
        <f t="shared" ref="AK538:AK541" si="6030">AJ538+30</f>
        <v>45808</v>
      </c>
      <c r="AL538" s="167">
        <f t="shared" ref="AL538:AL541" si="6031">IFERROR(IF(($R538-AK538)&gt;=0,0,IF(($S538-AJ538)&lt;0,0,IF(AND(($S538-AK538)&gt;0,(AJ538-$R538)&gt;0),$V538/365*(AK538-AJ538+1),IF(AND(($S538-AK538)&lt;=0,(AJ538-$R538)&gt;0),$V538/365*($S538-AJ538+1),$V538/365*(AK538-$R538+1))))),0)</f>
        <v>0</v>
      </c>
      <c r="AM538" s="163">
        <f t="shared" ref="AM538:AM541" si="6032">AK538+1</f>
        <v>45809</v>
      </c>
      <c r="AN538" s="163">
        <f t="shared" ref="AN538:AN541" si="6033">AM538+29</f>
        <v>45838</v>
      </c>
      <c r="AO538" s="167">
        <f t="shared" ref="AO538:AO541" si="6034">IFERROR(IF(($R538-AN538)&gt;=0,0,IF(($S538-AM538)&lt;0,0,IF(AND(($S538-AN538)&gt;0,(AM538-$R538)&gt;0),$V538/365*(AN538-AM538+1),IF(AND(($S538-AN538)&lt;=0,(AM538-$R538)&gt;0),$V538/365*($S538-AM538+1),$V538/365*(AN538-$R538+1))))),0)</f>
        <v>0</v>
      </c>
      <c r="AP538" s="163">
        <f t="shared" ref="AP538:AP541" si="6035">AN538+1</f>
        <v>45839</v>
      </c>
      <c r="AQ538" s="163">
        <f t="shared" ref="AQ538:AQ541" si="6036">AP538+30</f>
        <v>45869</v>
      </c>
      <c r="AR538" s="167">
        <f t="shared" ref="AR538:AR541" si="6037">IFERROR(IF(($R538-AQ538)&gt;=0,0,IF(($S538-AP538)&lt;0,0,IF(AND(($S538-AQ538)&gt;0,(AP538-$R538)&gt;0),$V538/365*(AQ538-AP538+1),IF(AND(($S538-AQ538)&lt;=0,(AP538-$R538)&gt;0),$V538/365*($S538-AP538+1),$V538/365*(AQ538-$R538+1))))),0)</f>
        <v>0</v>
      </c>
      <c r="AS538" s="163">
        <f t="shared" ref="AS538:AS541" si="6038">AQ538+1</f>
        <v>45870</v>
      </c>
      <c r="AT538" s="163">
        <f t="shared" ref="AT538:AT541" si="6039">AS538+30</f>
        <v>45900</v>
      </c>
      <c r="AU538" s="167">
        <f t="shared" ref="AU538:AU541" si="6040">IFERROR(IF(($R538-AT538)&gt;=0,0,IF(($S538-AS538)&lt;0,0,IF(AND(($S538-AT538)&gt;0,(AS538-$R538)&gt;0),$V538/365*(AT538-AS538+1),IF(AND(($S538-AT538)&lt;=0,(AS538-$R538)&gt;0),$V538/365*($S538-AS538+1),$V538/365*(AT538-$R538+1))))),0)</f>
        <v>0</v>
      </c>
      <c r="AV538" s="163">
        <f t="shared" ref="AV538:AV541" si="6041">AT538+1</f>
        <v>45901</v>
      </c>
      <c r="AW538" s="163">
        <f t="shared" ref="AW538:AW541" si="6042">AV538+29</f>
        <v>45930</v>
      </c>
      <c r="AX538" s="167">
        <f t="shared" ref="AX538:AX541" si="6043">IFERROR(IF(($R538-AW538)&gt;=0,0,IF(($S538-AV538)&lt;0,0,IF(AND(($S538-AW538)&gt;0,(AV538-$R538)&gt;0),$V538/365*(AW538-AV538+1),IF(AND(($S538-AW538)&lt;=0,(AV538-$R538)&gt;0),$V538/365*($S538-AV538+1),$V538/365*(AW538-$R538+1))))),0)</f>
        <v>0</v>
      </c>
      <c r="AY538" s="163">
        <f t="shared" ref="AY538:AY541" si="6044">AW538+1</f>
        <v>45931</v>
      </c>
      <c r="AZ538" s="163">
        <f t="shared" ref="AZ538:AZ541" si="6045">AY538+30</f>
        <v>45961</v>
      </c>
      <c r="BA538" s="167">
        <f t="shared" ref="BA538:BA541" si="6046">IFERROR(IF(($R538-AZ538)&gt;=0,0,IF(($S538-AY538)&lt;0,0,IF(AND(($S538-AZ538)&gt;0,(AY538-$R538)&gt;0),$V538/365*(AZ538-AY538+1),IF(AND(($S538-AZ538)&lt;=0,(AY538-$R538)&gt;0),$V538/365*($S538-AY538+1),$V538/365*(AZ538-$R538+1))))),0)</f>
        <v>0</v>
      </c>
      <c r="BB538" s="163">
        <f t="shared" ref="BB538:BB541" si="6047">AZ538+1</f>
        <v>45962</v>
      </c>
      <c r="BC538" s="163">
        <f t="shared" ref="BC538:BC541" si="6048">BB538+29</f>
        <v>45991</v>
      </c>
      <c r="BD538" s="167">
        <f t="shared" ref="BD538:BD541" si="6049">IFERROR(IF(($R538-BC538)&gt;=0,0,IF(($S538-BB538)&lt;0,0,IF(AND(($S538-BC538)&gt;0,(BB538-$R538)&gt;0),$V538/365*(BC538-BB538+1),IF(AND(($S538-BC538)&lt;=0,(BB538-$R538)&gt;0),$V538/365*($S538-BB538+1),$V538/365*(BC538-$R538+1))))),0)</f>
        <v>0</v>
      </c>
      <c r="BE538" s="163">
        <f t="shared" ref="BE538:BE541" si="6050">BC538+1</f>
        <v>45992</v>
      </c>
      <c r="BF538" s="163">
        <f t="shared" ref="BF538:BF541" si="6051">BE538+30</f>
        <v>46022</v>
      </c>
      <c r="BG538" s="167">
        <f t="shared" ref="BG538:BG541" si="6052">IFERROR(IF(($R538-BF538)&gt;=0,0,IF(($S538-BE538)&lt;0,0,IF(AND(($S538-BF538)&gt;0,(BE538-$R538)&gt;0),$V538/365*(BF538-BE538+1),IF(AND(($S538-BF538)&lt;=0,(BE538-$R538)&gt;0),$V538/365*($S538-BE538+1),$V538/365*(BF538-$R538+1))))),0)</f>
        <v>0</v>
      </c>
      <c r="BH538" s="163">
        <v>46023</v>
      </c>
      <c r="BI538" s="163">
        <f t="shared" ref="BI538:BI541" si="6053">BH538+30</f>
        <v>46053</v>
      </c>
      <c r="BJ538" s="167">
        <f t="shared" ref="BJ538:BJ541" si="6054">IFERROR(IF(($R538-BI538)&gt;=0,0,IF(($S538-BH538)&lt;0,0,IF(AND(($S538-BI538)&gt;0,(BH538-$R538)&gt;0),$V538/365*(BI538-BH538+1),IF(AND(($S538-BI538)&lt;=0,(BH538-$R538)&gt;0),$V538/365*($S538-BH538+1),$V538/365*(BI538-$R538+1))))),0)</f>
        <v>0</v>
      </c>
      <c r="BK538" s="163">
        <f t="shared" ref="BK538:BK541" si="6055">BI538+1</f>
        <v>46054</v>
      </c>
      <c r="BL538" s="163">
        <f t="shared" ref="BL538:BL541" si="6056">BK538+27</f>
        <v>46081</v>
      </c>
      <c r="BM538" s="167">
        <f t="shared" ref="BM538:BM541" si="6057">IFERROR(IF(($R538-BL538)&gt;=0,0,IF(($S538-BK538)&lt;0,0,IF(AND(($S538-BL538)&gt;0,(BK538-$R538)&gt;0),$V538/365*(BL538-BK538+1),IF(AND(($S538-BL538)&lt;=0,(BK538-$R538)&gt;0),$V538/365*($S538-BK538+1),$V538/365*(BL538-$R538+1))))),0)</f>
        <v>0</v>
      </c>
      <c r="BN538" s="163">
        <f t="shared" ref="BN538:BN541" si="6058">BL538+1</f>
        <v>46082</v>
      </c>
      <c r="BO538" s="163">
        <f t="shared" ref="BO538:BO541" si="6059">BN538+30</f>
        <v>46112</v>
      </c>
      <c r="BP538" s="167">
        <f t="shared" ref="BP538:BP541" si="6060">IFERROR(IF(($R538-BO538)&gt;=0,0,IF(($S538-BN538)&lt;0,0,IF(AND(($S538-BO538)&gt;0,(BN538-$R538)&gt;0),$V538/365*(BO538-BN538+1),IF(AND(($S538-BO538)&lt;=0,(BN538-$R538)&gt;0),$V538/365*($S538-BN538+1),$V538/365*(BO538-$R538+1))))),0)</f>
        <v>0</v>
      </c>
      <c r="BQ538" s="163">
        <f t="shared" ref="BQ538:BQ541" si="6061">BO538+1</f>
        <v>46113</v>
      </c>
      <c r="BR538" s="163">
        <f t="shared" ref="BR538:BR541" si="6062">BQ538+29</f>
        <v>46142</v>
      </c>
      <c r="BS538" s="167">
        <f t="shared" ref="BS538:BS541" si="6063">IFERROR(IF(($R538-BR538)&gt;=0,0,IF(($S538-BQ538)&lt;0,0,IF(AND(($S538-BR538)&gt;0,(BQ538-$R538)&gt;0),$V538/365*(BR538-BQ538+1),IF(AND(($S538-BR538)&lt;=0,(BQ538-$R538)&gt;0),$V538/365*($S538-BQ538+1),$V538/365*(BR538-$R538+1))))),0)</f>
        <v>0</v>
      </c>
      <c r="BT538" s="163">
        <f t="shared" ref="BT538:BT541" si="6064">BR538+1</f>
        <v>46143</v>
      </c>
      <c r="BU538" s="163">
        <f t="shared" ref="BU538:BU541" si="6065">BT538+30</f>
        <v>46173</v>
      </c>
      <c r="BV538" s="167">
        <f t="shared" ref="BV538:BV541" si="6066">IFERROR(IF(($R538-BU538)&gt;=0,0,IF(($S538-BT538)&lt;0,0,IF(AND(($S538-BU538)&gt;0,(BT538-$R538)&gt;0),$V538/365*(BU538-BT538+1),IF(AND(($S538-BU538)&lt;=0,(BT538-$R538)&gt;0),$V538/365*($S538-BT538+1),$V538/365*(BU538-$R538+1))))),0)</f>
        <v>0</v>
      </c>
      <c r="BW538" s="163">
        <f t="shared" ref="BW538:BW541" si="6067">BU538+1</f>
        <v>46174</v>
      </c>
      <c r="BX538" s="163">
        <f t="shared" ref="BX538:BX541" si="6068">BW538+29</f>
        <v>46203</v>
      </c>
      <c r="BY538" s="167">
        <f t="shared" ref="BY538:BY541" si="6069">IFERROR(IF(($R538-BX538)&gt;=0,0,IF(($S538-BW538)&lt;0,0,IF(AND(($S538-BX538)&gt;0,(BW538-$R538)&gt;0),$V538/365*(BX538-BW538+1),IF(AND(($S538-BX538)&lt;=0,(BW538-$R538)&gt;0),$V538/365*($S538-BW538+1),$V538/365*(BX538-$R538+1))))),0)</f>
        <v>0</v>
      </c>
      <c r="BZ538" s="163">
        <f t="shared" ref="BZ538:BZ541" si="6070">BX538+1</f>
        <v>46204</v>
      </c>
      <c r="CA538" s="163">
        <f t="shared" ref="CA538:CA541" si="6071">BZ538+30</f>
        <v>46234</v>
      </c>
      <c r="CB538" s="167">
        <f t="shared" ref="CB538:CB541" si="6072">IFERROR(IF(($R538-CA538)&gt;=0,0,IF(($S538-BZ538)&lt;0,0,IF(AND(($S538-CA538)&gt;0,(BZ538-$R538)&gt;0),$V538/365*(CA538-BZ538+1),IF(AND(($S538-CA538)&lt;=0,(BZ538-$R538)&gt;0),$V538/365*($S538-BZ538+1),$V538/365*(CA538-$R538+1))))),0)</f>
        <v>0</v>
      </c>
      <c r="CC538" s="163">
        <f t="shared" ref="CC538:CC541" si="6073">CA538+1</f>
        <v>46235</v>
      </c>
      <c r="CD538" s="163">
        <f t="shared" ref="CD538:CD541" si="6074">CC538+30</f>
        <v>46265</v>
      </c>
      <c r="CE538" s="167">
        <f t="shared" ref="CE538:CE541" si="6075">IFERROR(IF(($R538-CD538)&gt;=0,0,IF(($S538-CC538)&lt;0,0,IF(AND(($S538-CD538)&gt;0,(CC538-$R538)&gt;0),$V538/365*(CD538-CC538+1),IF(AND(($S538-CD538)&lt;=0,(CC538-$R538)&gt;0),$V538/365*($S538-CC538+1),$V538/365*(CD538-$R538+1))))),0)</f>
        <v>0</v>
      </c>
      <c r="CF538" s="163">
        <f t="shared" ref="CF538:CF541" si="6076">CD538+1</f>
        <v>46266</v>
      </c>
      <c r="CG538" s="163">
        <f t="shared" ref="CG538:CG541" si="6077">CF538+29</f>
        <v>46295</v>
      </c>
      <c r="CH538" s="167">
        <f t="shared" ref="CH538:CH541" si="6078">IFERROR(IF(($R538-CG538)&gt;=0,0,IF(($S538-CF538)&lt;0,0,IF(AND(($S538-CG538)&gt;0,(CF538-$R538)&gt;0),$V538/365*(CG538-CF538+1),IF(AND(($S538-CG538)&lt;=0,(CF538-$R538)&gt;0),$V538/365*($S538-CF538+1),$V538/365*(CG538-$R538+1))))),0)</f>
        <v>0</v>
      </c>
      <c r="CI538" s="163">
        <f t="shared" ref="CI538:CI541" si="6079">CG538+1</f>
        <v>46296</v>
      </c>
      <c r="CJ538" s="163">
        <f t="shared" ref="CJ538:CJ541" si="6080">CI538+30</f>
        <v>46326</v>
      </c>
      <c r="CK538" s="167">
        <f t="shared" ref="CK538:CK541" si="6081">IFERROR(IF(($R538-CJ538)&gt;=0,0,IF(($S538-CI538)&lt;0,0,IF(AND(($S538-CJ538)&gt;0,(CI538-$R538)&gt;0),$V538/365*(CJ538-CI538+1),IF(AND(($S538-CJ538)&lt;=0,(CI538-$R538)&gt;0),$V538/365*($S538-CI538+1),$V538/365*(CJ538-$R538+1))))),0)</f>
        <v>0</v>
      </c>
      <c r="CL538" s="163">
        <f t="shared" ref="CL538:CL541" si="6082">CJ538+1</f>
        <v>46327</v>
      </c>
      <c r="CM538" s="163">
        <f t="shared" ref="CM538:CM541" si="6083">CL538+29</f>
        <v>46356</v>
      </c>
      <c r="CN538" s="167">
        <f t="shared" ref="CN538:CN541" si="6084">IFERROR(IF(($R538-CM538)&gt;=0,0,IF(($S538-CL538)&lt;0,0,IF(AND(($S538-CM538)&gt;0,(CL538-$R538)&gt;0),$V538/365*(CM538-CL538+1),IF(AND(($S538-CM538)&lt;=0,(CL538-$R538)&gt;0),$V538/365*($S538-CL538+1),$V538/365*(CM538-$R538+1))))),0)</f>
        <v>0</v>
      </c>
      <c r="CO538" s="163">
        <f t="shared" ref="CO538:CO541" si="6085">CM538+1</f>
        <v>46357</v>
      </c>
      <c r="CP538" s="163">
        <f t="shared" ref="CP538:CP541" si="6086">CO538+30</f>
        <v>46387</v>
      </c>
      <c r="CQ538" s="167">
        <f t="shared" ref="CQ538:CQ541" si="6087">IFERROR(IF(($R538-CP538)&gt;=0,0,IF(($S538-CO538)&lt;0,0,IF(AND(($S538-CP538)&gt;0,(CO538-$R538)&gt;0),$V538/365*(CP538-CO538+1),IF(AND(($S538-CP538)&lt;=0,(CO538-$R538)&gt;0),$V538/365*($S538-CO538+1),$V538/365*(CP538-$R538+1))))),0)</f>
        <v>0</v>
      </c>
    </row>
    <row r="539" s="89" customFormat="1" ht="24" customHeight="1" outlineLevel="2" spans="1:95">
      <c r="A539" s="128"/>
      <c r="B539" s="129"/>
      <c r="C539" s="130"/>
      <c r="D539" s="128"/>
      <c r="E539" s="129"/>
      <c r="F539" s="129"/>
      <c r="G539" s="129"/>
      <c r="H539" s="131"/>
      <c r="I539" s="131"/>
      <c r="J539" s="131">
        <f t="shared" si="6007"/>
        <v>0</v>
      </c>
      <c r="K539" s="131">
        <f t="shared" ref="K539:K541" si="6088">K538+1</f>
        <v>2</v>
      </c>
      <c r="L539" s="156"/>
      <c r="M539" s="157">
        <f>IFERROR(VLOOKUP($L539,'2-2 引出数据_合同数据仓库'!$B$5:$BP$200,3,FALSE),0)</f>
        <v>0</v>
      </c>
      <c r="N539" s="131"/>
      <c r="O539" s="157">
        <f>IFERROR(VLOOKUP((LEFT(VLOOKUP($L539,'2-2 引出数据_合同数据仓库'!$B$5:$BP$200,64,FALSE),15)&amp;(RIGHT(VLOOKUP($L539,'2-2 引出数据_合同数据仓库'!$B$5:$BP$200,64,FALSE),4)+1)),'2-2 引出数据_合同数据仓库'!$B$5:$BP$200,3,FALSE),0)</f>
        <v>0</v>
      </c>
      <c r="P539" s="131"/>
      <c r="Q539" s="131">
        <f>IFERROR(VLOOKUP($L539,'2-2 引出数据_合同数据仓库'!$B$5:$BP$200,28,FALSE),0)</f>
        <v>0</v>
      </c>
      <c r="R539" s="131">
        <f>IFERROR(VLOOKUP($L539,'2-2 引出数据_合同数据仓库'!$B$5:$BP$200,29,FALSE),0)</f>
        <v>0</v>
      </c>
      <c r="S539" s="131">
        <f>IFERROR(VLOOKUP($L539,'2-2 引出数据_合同数据仓库'!$B$5:$BP$200,4,FALSE),0)</f>
        <v>0</v>
      </c>
      <c r="T539" s="131"/>
      <c r="U539" s="131">
        <f>IFERROR(VLOOKUP($L539,'2-2 引出数据_合同数据仓库'!$B$5:$BP$200,15,FALSE),0)</f>
        <v>0</v>
      </c>
      <c r="V539" s="131">
        <f t="shared" si="6017"/>
        <v>0</v>
      </c>
      <c r="W539" s="131"/>
      <c r="X539" s="163">
        <v>45658</v>
      </c>
      <c r="Y539" s="163">
        <f t="shared" si="6018"/>
        <v>45688</v>
      </c>
      <c r="Z539" s="167">
        <f t="shared" si="6019"/>
        <v>0</v>
      </c>
      <c r="AA539" s="163">
        <f t="shared" si="6020"/>
        <v>45689</v>
      </c>
      <c r="AB539" s="163">
        <f t="shared" si="6021"/>
        <v>45716</v>
      </c>
      <c r="AC539" s="167">
        <f t="shared" si="6022"/>
        <v>0</v>
      </c>
      <c r="AD539" s="163">
        <f t="shared" si="6023"/>
        <v>45717</v>
      </c>
      <c r="AE539" s="163">
        <f t="shared" si="6024"/>
        <v>45747</v>
      </c>
      <c r="AF539" s="167">
        <f t="shared" si="6025"/>
        <v>0</v>
      </c>
      <c r="AG539" s="163">
        <f t="shared" si="6026"/>
        <v>45748</v>
      </c>
      <c r="AH539" s="163">
        <f t="shared" si="6027"/>
        <v>45777</v>
      </c>
      <c r="AI539" s="167">
        <f t="shared" si="6028"/>
        <v>0</v>
      </c>
      <c r="AJ539" s="163">
        <f t="shared" si="6029"/>
        <v>45778</v>
      </c>
      <c r="AK539" s="163">
        <f t="shared" si="6030"/>
        <v>45808</v>
      </c>
      <c r="AL539" s="167">
        <f t="shared" si="6031"/>
        <v>0</v>
      </c>
      <c r="AM539" s="163">
        <f t="shared" si="6032"/>
        <v>45809</v>
      </c>
      <c r="AN539" s="163">
        <f t="shared" si="6033"/>
        <v>45838</v>
      </c>
      <c r="AO539" s="167">
        <f t="shared" si="6034"/>
        <v>0</v>
      </c>
      <c r="AP539" s="163">
        <f t="shared" si="6035"/>
        <v>45839</v>
      </c>
      <c r="AQ539" s="163">
        <f t="shared" si="6036"/>
        <v>45869</v>
      </c>
      <c r="AR539" s="167">
        <f t="shared" si="6037"/>
        <v>0</v>
      </c>
      <c r="AS539" s="163">
        <f t="shared" si="6038"/>
        <v>45870</v>
      </c>
      <c r="AT539" s="163">
        <f t="shared" si="6039"/>
        <v>45900</v>
      </c>
      <c r="AU539" s="167">
        <f t="shared" si="6040"/>
        <v>0</v>
      </c>
      <c r="AV539" s="163">
        <f t="shared" si="6041"/>
        <v>45901</v>
      </c>
      <c r="AW539" s="163">
        <f t="shared" si="6042"/>
        <v>45930</v>
      </c>
      <c r="AX539" s="167">
        <f t="shared" si="6043"/>
        <v>0</v>
      </c>
      <c r="AY539" s="163">
        <f t="shared" si="6044"/>
        <v>45931</v>
      </c>
      <c r="AZ539" s="163">
        <f t="shared" si="6045"/>
        <v>45961</v>
      </c>
      <c r="BA539" s="167">
        <f t="shared" si="6046"/>
        <v>0</v>
      </c>
      <c r="BB539" s="163">
        <f t="shared" si="6047"/>
        <v>45962</v>
      </c>
      <c r="BC539" s="163">
        <f t="shared" si="6048"/>
        <v>45991</v>
      </c>
      <c r="BD539" s="167">
        <f t="shared" si="6049"/>
        <v>0</v>
      </c>
      <c r="BE539" s="163">
        <f t="shared" si="6050"/>
        <v>45992</v>
      </c>
      <c r="BF539" s="163">
        <f t="shared" si="6051"/>
        <v>46022</v>
      </c>
      <c r="BG539" s="167">
        <f t="shared" si="6052"/>
        <v>0</v>
      </c>
      <c r="BH539" s="163">
        <v>46023</v>
      </c>
      <c r="BI539" s="163">
        <f t="shared" si="6053"/>
        <v>46053</v>
      </c>
      <c r="BJ539" s="167">
        <f t="shared" si="6054"/>
        <v>0</v>
      </c>
      <c r="BK539" s="163">
        <f t="shared" si="6055"/>
        <v>46054</v>
      </c>
      <c r="BL539" s="163">
        <f t="shared" si="6056"/>
        <v>46081</v>
      </c>
      <c r="BM539" s="167">
        <f t="shared" si="6057"/>
        <v>0</v>
      </c>
      <c r="BN539" s="163">
        <f t="shared" si="6058"/>
        <v>46082</v>
      </c>
      <c r="BO539" s="163">
        <f t="shared" si="6059"/>
        <v>46112</v>
      </c>
      <c r="BP539" s="167">
        <f t="shared" si="6060"/>
        <v>0</v>
      </c>
      <c r="BQ539" s="163">
        <f t="shared" si="6061"/>
        <v>46113</v>
      </c>
      <c r="BR539" s="163">
        <f t="shared" si="6062"/>
        <v>46142</v>
      </c>
      <c r="BS539" s="167">
        <f t="shared" si="6063"/>
        <v>0</v>
      </c>
      <c r="BT539" s="163">
        <f t="shared" si="6064"/>
        <v>46143</v>
      </c>
      <c r="BU539" s="163">
        <f t="shared" si="6065"/>
        <v>46173</v>
      </c>
      <c r="BV539" s="167">
        <f t="shared" si="6066"/>
        <v>0</v>
      </c>
      <c r="BW539" s="163">
        <f t="shared" si="6067"/>
        <v>46174</v>
      </c>
      <c r="BX539" s="163">
        <f t="shared" si="6068"/>
        <v>46203</v>
      </c>
      <c r="BY539" s="167">
        <f t="shared" si="6069"/>
        <v>0</v>
      </c>
      <c r="BZ539" s="163">
        <f t="shared" si="6070"/>
        <v>46204</v>
      </c>
      <c r="CA539" s="163">
        <f t="shared" si="6071"/>
        <v>46234</v>
      </c>
      <c r="CB539" s="167">
        <f t="shared" si="6072"/>
        <v>0</v>
      </c>
      <c r="CC539" s="163">
        <f t="shared" si="6073"/>
        <v>46235</v>
      </c>
      <c r="CD539" s="163">
        <f t="shared" si="6074"/>
        <v>46265</v>
      </c>
      <c r="CE539" s="167">
        <f t="shared" si="6075"/>
        <v>0</v>
      </c>
      <c r="CF539" s="163">
        <f t="shared" si="6076"/>
        <v>46266</v>
      </c>
      <c r="CG539" s="163">
        <f t="shared" si="6077"/>
        <v>46295</v>
      </c>
      <c r="CH539" s="167">
        <f t="shared" si="6078"/>
        <v>0</v>
      </c>
      <c r="CI539" s="163">
        <f t="shared" si="6079"/>
        <v>46296</v>
      </c>
      <c r="CJ539" s="163">
        <f t="shared" si="6080"/>
        <v>46326</v>
      </c>
      <c r="CK539" s="167">
        <f t="shared" si="6081"/>
        <v>0</v>
      </c>
      <c r="CL539" s="163">
        <f t="shared" si="6082"/>
        <v>46327</v>
      </c>
      <c r="CM539" s="163">
        <f t="shared" si="6083"/>
        <v>46356</v>
      </c>
      <c r="CN539" s="167">
        <f t="shared" si="6084"/>
        <v>0</v>
      </c>
      <c r="CO539" s="163">
        <f t="shared" si="6085"/>
        <v>46357</v>
      </c>
      <c r="CP539" s="163">
        <f t="shared" si="6086"/>
        <v>46387</v>
      </c>
      <c r="CQ539" s="167">
        <f t="shared" si="6087"/>
        <v>0</v>
      </c>
    </row>
    <row r="540" s="89" customFormat="1" ht="24" customHeight="1" outlineLevel="2" spans="1:95">
      <c r="A540" s="128"/>
      <c r="B540" s="129"/>
      <c r="C540" s="130"/>
      <c r="D540" s="128"/>
      <c r="E540" s="129"/>
      <c r="F540" s="129"/>
      <c r="G540" s="129"/>
      <c r="H540" s="131"/>
      <c r="I540" s="131"/>
      <c r="J540" s="131">
        <f t="shared" si="6007"/>
        <v>0</v>
      </c>
      <c r="K540" s="131">
        <f t="shared" si="6088"/>
        <v>3</v>
      </c>
      <c r="L540" s="156"/>
      <c r="M540" s="157">
        <f>IFERROR(VLOOKUP($L540,'2-2 引出数据_合同数据仓库'!$B$5:$BP$200,3,FALSE),0)</f>
        <v>0</v>
      </c>
      <c r="N540" s="131"/>
      <c r="O540" s="157">
        <f>IFERROR(VLOOKUP((LEFT(VLOOKUP($L540,'2-2 引出数据_合同数据仓库'!$B$5:$BP$200,64,FALSE),15)&amp;(RIGHT(VLOOKUP($L540,'2-2 引出数据_合同数据仓库'!$B$5:$BP$200,64,FALSE),4)+1)),'2-2 引出数据_合同数据仓库'!$B$5:$BP$200,3,FALSE),0)</f>
        <v>0</v>
      </c>
      <c r="P540" s="131"/>
      <c r="Q540" s="131">
        <f>IFERROR(VLOOKUP($L540,'2-2 引出数据_合同数据仓库'!$B$5:$BP$200,28,FALSE),0)</f>
        <v>0</v>
      </c>
      <c r="R540" s="131">
        <f>IFERROR(VLOOKUP($L540,'2-2 引出数据_合同数据仓库'!$B$5:$BP$200,29,FALSE),0)</f>
        <v>0</v>
      </c>
      <c r="S540" s="131">
        <f>IFERROR(VLOOKUP($L540,'2-2 引出数据_合同数据仓库'!$B$5:$BP$200,4,FALSE),0)</f>
        <v>0</v>
      </c>
      <c r="T540" s="131"/>
      <c r="U540" s="131">
        <f>IFERROR(VLOOKUP($L540,'2-2 引出数据_合同数据仓库'!$B$5:$BP$200,15,FALSE),0)</f>
        <v>0</v>
      </c>
      <c r="V540" s="131">
        <f t="shared" si="6017"/>
        <v>0</v>
      </c>
      <c r="W540" s="131"/>
      <c r="X540" s="163">
        <v>45658</v>
      </c>
      <c r="Y540" s="163">
        <f t="shared" si="6018"/>
        <v>45688</v>
      </c>
      <c r="Z540" s="167">
        <f t="shared" si="6019"/>
        <v>0</v>
      </c>
      <c r="AA540" s="163">
        <f t="shared" si="6020"/>
        <v>45689</v>
      </c>
      <c r="AB540" s="163">
        <f t="shared" si="6021"/>
        <v>45716</v>
      </c>
      <c r="AC540" s="167">
        <f t="shared" si="6022"/>
        <v>0</v>
      </c>
      <c r="AD540" s="163">
        <f t="shared" si="6023"/>
        <v>45717</v>
      </c>
      <c r="AE540" s="163">
        <f t="shared" si="6024"/>
        <v>45747</v>
      </c>
      <c r="AF540" s="167">
        <f t="shared" si="6025"/>
        <v>0</v>
      </c>
      <c r="AG540" s="163">
        <f t="shared" si="6026"/>
        <v>45748</v>
      </c>
      <c r="AH540" s="163">
        <f t="shared" si="6027"/>
        <v>45777</v>
      </c>
      <c r="AI540" s="167">
        <f t="shared" si="6028"/>
        <v>0</v>
      </c>
      <c r="AJ540" s="163">
        <f t="shared" si="6029"/>
        <v>45778</v>
      </c>
      <c r="AK540" s="163">
        <f t="shared" si="6030"/>
        <v>45808</v>
      </c>
      <c r="AL540" s="167">
        <f t="shared" si="6031"/>
        <v>0</v>
      </c>
      <c r="AM540" s="163">
        <f t="shared" si="6032"/>
        <v>45809</v>
      </c>
      <c r="AN540" s="163">
        <f t="shared" si="6033"/>
        <v>45838</v>
      </c>
      <c r="AO540" s="167">
        <f t="shared" si="6034"/>
        <v>0</v>
      </c>
      <c r="AP540" s="163">
        <f t="shared" si="6035"/>
        <v>45839</v>
      </c>
      <c r="AQ540" s="163">
        <f t="shared" si="6036"/>
        <v>45869</v>
      </c>
      <c r="AR540" s="167">
        <f t="shared" si="6037"/>
        <v>0</v>
      </c>
      <c r="AS540" s="163">
        <f t="shared" si="6038"/>
        <v>45870</v>
      </c>
      <c r="AT540" s="163">
        <f t="shared" si="6039"/>
        <v>45900</v>
      </c>
      <c r="AU540" s="167">
        <f t="shared" si="6040"/>
        <v>0</v>
      </c>
      <c r="AV540" s="163">
        <f t="shared" si="6041"/>
        <v>45901</v>
      </c>
      <c r="AW540" s="163">
        <f t="shared" si="6042"/>
        <v>45930</v>
      </c>
      <c r="AX540" s="167">
        <f t="shared" si="6043"/>
        <v>0</v>
      </c>
      <c r="AY540" s="163">
        <f t="shared" si="6044"/>
        <v>45931</v>
      </c>
      <c r="AZ540" s="163">
        <f t="shared" si="6045"/>
        <v>45961</v>
      </c>
      <c r="BA540" s="167">
        <f t="shared" si="6046"/>
        <v>0</v>
      </c>
      <c r="BB540" s="163">
        <f t="shared" si="6047"/>
        <v>45962</v>
      </c>
      <c r="BC540" s="163">
        <f t="shared" si="6048"/>
        <v>45991</v>
      </c>
      <c r="BD540" s="167">
        <f t="shared" si="6049"/>
        <v>0</v>
      </c>
      <c r="BE540" s="163">
        <f t="shared" si="6050"/>
        <v>45992</v>
      </c>
      <c r="BF540" s="163">
        <f t="shared" si="6051"/>
        <v>46022</v>
      </c>
      <c r="BG540" s="167">
        <f t="shared" si="6052"/>
        <v>0</v>
      </c>
      <c r="BH540" s="163">
        <v>46023</v>
      </c>
      <c r="BI540" s="163">
        <f t="shared" si="6053"/>
        <v>46053</v>
      </c>
      <c r="BJ540" s="167">
        <f t="shared" si="6054"/>
        <v>0</v>
      </c>
      <c r="BK540" s="163">
        <f t="shared" si="6055"/>
        <v>46054</v>
      </c>
      <c r="BL540" s="163">
        <f t="shared" si="6056"/>
        <v>46081</v>
      </c>
      <c r="BM540" s="167">
        <f t="shared" si="6057"/>
        <v>0</v>
      </c>
      <c r="BN540" s="163">
        <f t="shared" si="6058"/>
        <v>46082</v>
      </c>
      <c r="BO540" s="163">
        <f t="shared" si="6059"/>
        <v>46112</v>
      </c>
      <c r="BP540" s="167">
        <f t="shared" si="6060"/>
        <v>0</v>
      </c>
      <c r="BQ540" s="163">
        <f t="shared" si="6061"/>
        <v>46113</v>
      </c>
      <c r="BR540" s="163">
        <f t="shared" si="6062"/>
        <v>46142</v>
      </c>
      <c r="BS540" s="167">
        <f t="shared" si="6063"/>
        <v>0</v>
      </c>
      <c r="BT540" s="163">
        <f t="shared" si="6064"/>
        <v>46143</v>
      </c>
      <c r="BU540" s="163">
        <f t="shared" si="6065"/>
        <v>46173</v>
      </c>
      <c r="BV540" s="167">
        <f t="shared" si="6066"/>
        <v>0</v>
      </c>
      <c r="BW540" s="163">
        <f t="shared" si="6067"/>
        <v>46174</v>
      </c>
      <c r="BX540" s="163">
        <f t="shared" si="6068"/>
        <v>46203</v>
      </c>
      <c r="BY540" s="167">
        <f t="shared" si="6069"/>
        <v>0</v>
      </c>
      <c r="BZ540" s="163">
        <f t="shared" si="6070"/>
        <v>46204</v>
      </c>
      <c r="CA540" s="163">
        <f t="shared" si="6071"/>
        <v>46234</v>
      </c>
      <c r="CB540" s="167">
        <f t="shared" si="6072"/>
        <v>0</v>
      </c>
      <c r="CC540" s="163">
        <f t="shared" si="6073"/>
        <v>46235</v>
      </c>
      <c r="CD540" s="163">
        <f t="shared" si="6074"/>
        <v>46265</v>
      </c>
      <c r="CE540" s="167">
        <f t="shared" si="6075"/>
        <v>0</v>
      </c>
      <c r="CF540" s="163">
        <f t="shared" si="6076"/>
        <v>46266</v>
      </c>
      <c r="CG540" s="163">
        <f t="shared" si="6077"/>
        <v>46295</v>
      </c>
      <c r="CH540" s="167">
        <f t="shared" si="6078"/>
        <v>0</v>
      </c>
      <c r="CI540" s="163">
        <f t="shared" si="6079"/>
        <v>46296</v>
      </c>
      <c r="CJ540" s="163">
        <f t="shared" si="6080"/>
        <v>46326</v>
      </c>
      <c r="CK540" s="167">
        <f t="shared" si="6081"/>
        <v>0</v>
      </c>
      <c r="CL540" s="163">
        <f t="shared" si="6082"/>
        <v>46327</v>
      </c>
      <c r="CM540" s="163">
        <f t="shared" si="6083"/>
        <v>46356</v>
      </c>
      <c r="CN540" s="167">
        <f t="shared" si="6084"/>
        <v>0</v>
      </c>
      <c r="CO540" s="163">
        <f t="shared" si="6085"/>
        <v>46357</v>
      </c>
      <c r="CP540" s="163">
        <f t="shared" si="6086"/>
        <v>46387</v>
      </c>
      <c r="CQ540" s="167">
        <f t="shared" si="6087"/>
        <v>0</v>
      </c>
    </row>
    <row r="541" s="89" customFormat="1" ht="24" customHeight="1" outlineLevel="2" collapsed="1" spans="1:95">
      <c r="A541" s="128"/>
      <c r="B541" s="129"/>
      <c r="C541" s="130"/>
      <c r="D541" s="128"/>
      <c r="E541" s="129"/>
      <c r="F541" s="129"/>
      <c r="G541" s="129"/>
      <c r="H541" s="131"/>
      <c r="I541" s="131"/>
      <c r="J541" s="131">
        <f t="shared" si="6007"/>
        <v>0</v>
      </c>
      <c r="K541" s="131">
        <f t="shared" si="6088"/>
        <v>4</v>
      </c>
      <c r="L541" s="156"/>
      <c r="M541" s="157">
        <f>IFERROR(VLOOKUP($L541,'2-2 引出数据_合同数据仓库'!$B$5:$BP$200,3,FALSE),0)</f>
        <v>0</v>
      </c>
      <c r="N541" s="131"/>
      <c r="O541" s="157">
        <f>IFERROR(VLOOKUP((LEFT(VLOOKUP($L541,'2-2 引出数据_合同数据仓库'!$B$5:$BP$200,64,FALSE),15)&amp;(RIGHT(VLOOKUP($L541,'2-2 引出数据_合同数据仓库'!$B$5:$BP$200,64,FALSE),4)+1)),'2-2 引出数据_合同数据仓库'!$B$5:$BP$200,3,FALSE),0)</f>
        <v>0</v>
      </c>
      <c r="P541" s="131"/>
      <c r="Q541" s="131">
        <f>IFERROR(VLOOKUP($L541,'2-2 引出数据_合同数据仓库'!$B$5:$BP$200,28,FALSE),0)</f>
        <v>0</v>
      </c>
      <c r="R541" s="131">
        <f>IFERROR(VLOOKUP($L541,'2-2 引出数据_合同数据仓库'!$B$5:$BP$200,29,FALSE),0)</f>
        <v>0</v>
      </c>
      <c r="S541" s="131">
        <f>IFERROR(VLOOKUP($L541,'2-2 引出数据_合同数据仓库'!$B$5:$BP$200,4,FALSE),0)</f>
        <v>0</v>
      </c>
      <c r="T541" s="131"/>
      <c r="U541" s="131">
        <f>IFERROR(VLOOKUP($L541,'2-2 引出数据_合同数据仓库'!$B$5:$BP$200,15,FALSE),0)</f>
        <v>0</v>
      </c>
      <c r="V541" s="131">
        <f t="shared" si="6017"/>
        <v>0</v>
      </c>
      <c r="W541" s="131"/>
      <c r="X541" s="163">
        <v>45658</v>
      </c>
      <c r="Y541" s="163">
        <f t="shared" si="6018"/>
        <v>45688</v>
      </c>
      <c r="Z541" s="167">
        <f t="shared" si="6019"/>
        <v>0</v>
      </c>
      <c r="AA541" s="163">
        <f t="shared" si="6020"/>
        <v>45689</v>
      </c>
      <c r="AB541" s="163">
        <f t="shared" si="6021"/>
        <v>45716</v>
      </c>
      <c r="AC541" s="167">
        <f t="shared" si="6022"/>
        <v>0</v>
      </c>
      <c r="AD541" s="163">
        <f t="shared" si="6023"/>
        <v>45717</v>
      </c>
      <c r="AE541" s="163">
        <f t="shared" si="6024"/>
        <v>45747</v>
      </c>
      <c r="AF541" s="167">
        <f t="shared" si="6025"/>
        <v>0</v>
      </c>
      <c r="AG541" s="163">
        <f t="shared" si="6026"/>
        <v>45748</v>
      </c>
      <c r="AH541" s="163">
        <f t="shared" si="6027"/>
        <v>45777</v>
      </c>
      <c r="AI541" s="167">
        <f t="shared" si="6028"/>
        <v>0</v>
      </c>
      <c r="AJ541" s="163">
        <f t="shared" si="6029"/>
        <v>45778</v>
      </c>
      <c r="AK541" s="163">
        <f t="shared" si="6030"/>
        <v>45808</v>
      </c>
      <c r="AL541" s="167">
        <f t="shared" si="6031"/>
        <v>0</v>
      </c>
      <c r="AM541" s="163">
        <f t="shared" si="6032"/>
        <v>45809</v>
      </c>
      <c r="AN541" s="163">
        <f t="shared" si="6033"/>
        <v>45838</v>
      </c>
      <c r="AO541" s="167">
        <f t="shared" si="6034"/>
        <v>0</v>
      </c>
      <c r="AP541" s="163">
        <f t="shared" si="6035"/>
        <v>45839</v>
      </c>
      <c r="AQ541" s="163">
        <f t="shared" si="6036"/>
        <v>45869</v>
      </c>
      <c r="AR541" s="167">
        <f t="shared" si="6037"/>
        <v>0</v>
      </c>
      <c r="AS541" s="163">
        <f t="shared" si="6038"/>
        <v>45870</v>
      </c>
      <c r="AT541" s="163">
        <f t="shared" si="6039"/>
        <v>45900</v>
      </c>
      <c r="AU541" s="167">
        <f t="shared" si="6040"/>
        <v>0</v>
      </c>
      <c r="AV541" s="163">
        <f t="shared" si="6041"/>
        <v>45901</v>
      </c>
      <c r="AW541" s="163">
        <f t="shared" si="6042"/>
        <v>45930</v>
      </c>
      <c r="AX541" s="167">
        <f t="shared" si="6043"/>
        <v>0</v>
      </c>
      <c r="AY541" s="163">
        <f t="shared" si="6044"/>
        <v>45931</v>
      </c>
      <c r="AZ541" s="163">
        <f t="shared" si="6045"/>
        <v>45961</v>
      </c>
      <c r="BA541" s="167">
        <f t="shared" si="6046"/>
        <v>0</v>
      </c>
      <c r="BB541" s="163">
        <f t="shared" si="6047"/>
        <v>45962</v>
      </c>
      <c r="BC541" s="163">
        <f t="shared" si="6048"/>
        <v>45991</v>
      </c>
      <c r="BD541" s="167">
        <f t="shared" si="6049"/>
        <v>0</v>
      </c>
      <c r="BE541" s="163">
        <f t="shared" si="6050"/>
        <v>45992</v>
      </c>
      <c r="BF541" s="163">
        <f t="shared" si="6051"/>
        <v>46022</v>
      </c>
      <c r="BG541" s="167">
        <f t="shared" si="6052"/>
        <v>0</v>
      </c>
      <c r="BH541" s="163">
        <v>46023</v>
      </c>
      <c r="BI541" s="163">
        <f t="shared" si="6053"/>
        <v>46053</v>
      </c>
      <c r="BJ541" s="167">
        <f t="shared" si="6054"/>
        <v>0</v>
      </c>
      <c r="BK541" s="163">
        <f t="shared" si="6055"/>
        <v>46054</v>
      </c>
      <c r="BL541" s="163">
        <f t="shared" si="6056"/>
        <v>46081</v>
      </c>
      <c r="BM541" s="167">
        <f t="shared" si="6057"/>
        <v>0</v>
      </c>
      <c r="BN541" s="163">
        <f t="shared" si="6058"/>
        <v>46082</v>
      </c>
      <c r="BO541" s="163">
        <f t="shared" si="6059"/>
        <v>46112</v>
      </c>
      <c r="BP541" s="167">
        <f t="shared" si="6060"/>
        <v>0</v>
      </c>
      <c r="BQ541" s="163">
        <f t="shared" si="6061"/>
        <v>46113</v>
      </c>
      <c r="BR541" s="163">
        <f t="shared" si="6062"/>
        <v>46142</v>
      </c>
      <c r="BS541" s="167">
        <f t="shared" si="6063"/>
        <v>0</v>
      </c>
      <c r="BT541" s="163">
        <f t="shared" si="6064"/>
        <v>46143</v>
      </c>
      <c r="BU541" s="163">
        <f t="shared" si="6065"/>
        <v>46173</v>
      </c>
      <c r="BV541" s="167">
        <f t="shared" si="6066"/>
        <v>0</v>
      </c>
      <c r="BW541" s="163">
        <f t="shared" si="6067"/>
        <v>46174</v>
      </c>
      <c r="BX541" s="163">
        <f t="shared" si="6068"/>
        <v>46203</v>
      </c>
      <c r="BY541" s="167">
        <f t="shared" si="6069"/>
        <v>0</v>
      </c>
      <c r="BZ541" s="163">
        <f t="shared" si="6070"/>
        <v>46204</v>
      </c>
      <c r="CA541" s="163">
        <f t="shared" si="6071"/>
        <v>46234</v>
      </c>
      <c r="CB541" s="167">
        <f t="shared" si="6072"/>
        <v>0</v>
      </c>
      <c r="CC541" s="163">
        <f t="shared" si="6073"/>
        <v>46235</v>
      </c>
      <c r="CD541" s="163">
        <f t="shared" si="6074"/>
        <v>46265</v>
      </c>
      <c r="CE541" s="167">
        <f t="shared" si="6075"/>
        <v>0</v>
      </c>
      <c r="CF541" s="163">
        <f t="shared" si="6076"/>
        <v>46266</v>
      </c>
      <c r="CG541" s="163">
        <f t="shared" si="6077"/>
        <v>46295</v>
      </c>
      <c r="CH541" s="167">
        <f t="shared" si="6078"/>
        <v>0</v>
      </c>
      <c r="CI541" s="163">
        <f t="shared" si="6079"/>
        <v>46296</v>
      </c>
      <c r="CJ541" s="163">
        <f t="shared" si="6080"/>
        <v>46326</v>
      </c>
      <c r="CK541" s="167">
        <f t="shared" si="6081"/>
        <v>0</v>
      </c>
      <c r="CL541" s="163">
        <f t="shared" si="6082"/>
        <v>46327</v>
      </c>
      <c r="CM541" s="163">
        <f t="shared" si="6083"/>
        <v>46356</v>
      </c>
      <c r="CN541" s="167">
        <f t="shared" si="6084"/>
        <v>0</v>
      </c>
      <c r="CO541" s="163">
        <f t="shared" si="6085"/>
        <v>46357</v>
      </c>
      <c r="CP541" s="163">
        <f t="shared" si="6086"/>
        <v>46387</v>
      </c>
      <c r="CQ541" s="167">
        <f t="shared" si="6087"/>
        <v>0</v>
      </c>
    </row>
    <row r="542" s="89" customFormat="1" ht="24" hidden="1" customHeight="1" outlineLevel="4" spans="1:95">
      <c r="A542" s="132" t="s">
        <v>2813</v>
      </c>
      <c r="B542" s="133"/>
      <c r="C542" s="133"/>
      <c r="D542" s="133"/>
      <c r="E542" s="133"/>
      <c r="F542" s="133"/>
      <c r="G542" s="134"/>
      <c r="H542" s="135"/>
      <c r="I542" s="135"/>
      <c r="J542" s="135"/>
      <c r="K542" s="135"/>
      <c r="L542" s="158"/>
      <c r="M542" s="158"/>
      <c r="N542" s="158"/>
      <c r="O542" s="158"/>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c r="CL542" s="135"/>
      <c r="CM542" s="135"/>
      <c r="CN542" s="135"/>
      <c r="CO542" s="135"/>
      <c r="CP542" s="135"/>
      <c r="CQ542" s="135"/>
    </row>
    <row r="543" ht="24" customHeight="1" outlineLevel="1" spans="1:95">
      <c r="A543" s="14"/>
      <c r="B543" s="118" t="s">
        <v>792</v>
      </c>
      <c r="C543" s="119" t="s">
        <v>2190</v>
      </c>
      <c r="D543" s="14" t="s">
        <v>2191</v>
      </c>
      <c r="E543" s="118"/>
      <c r="F543" s="118"/>
      <c r="G543" s="118"/>
      <c r="H543" s="120">
        <f>X543+AA543+AD543+AG543+AJ543+AM543+AP543+AS543+AV543+AY543+BB543+BE543</f>
        <v>0</v>
      </c>
      <c r="I543" s="120">
        <f>Y543+AB543+AE543+AH543+AK543+AN543+AQ543+AT543+AW543+AZ543+BC543+BF543</f>
        <v>0</v>
      </c>
      <c r="J543" s="120">
        <f t="shared" si="6007"/>
        <v>0</v>
      </c>
      <c r="K543" s="120"/>
      <c r="L543" s="153"/>
      <c r="M543" s="153"/>
      <c r="N543" s="153"/>
      <c r="O543" s="153"/>
      <c r="P543" s="120"/>
      <c r="Q543" s="120"/>
      <c r="R543" s="120"/>
      <c r="S543" s="120"/>
      <c r="T543" s="120"/>
      <c r="U543" s="120"/>
      <c r="V543" s="120"/>
      <c r="W543" s="120"/>
      <c r="X543" s="120">
        <f>VLOOKUP($C543,'1 预算编制表单'!$C:$BJ,27,FALSE)</f>
        <v>0</v>
      </c>
      <c r="Y543" s="120">
        <f>X543-Z543</f>
        <v>0</v>
      </c>
      <c r="Z543" s="120">
        <f>SUM(Z544:Z548)</f>
        <v>0</v>
      </c>
      <c r="AA543" s="120">
        <f>VLOOKUP($C543,'1 预算编制表单'!$C:$BJ,30,FALSE)</f>
        <v>0</v>
      </c>
      <c r="AB543" s="120">
        <f>AA543-AC543</f>
        <v>0</v>
      </c>
      <c r="AC543" s="120">
        <f>SUM(AC544:AC548)</f>
        <v>0</v>
      </c>
      <c r="AD543" s="120">
        <f>VLOOKUP($C543,'1 预算编制表单'!$C:$BJ,33,FALSE)</f>
        <v>0</v>
      </c>
      <c r="AE543" s="120">
        <f>AD543-AF543</f>
        <v>0</v>
      </c>
      <c r="AF543" s="120">
        <f>SUM(AF544:AF548)</f>
        <v>0</v>
      </c>
      <c r="AG543" s="120">
        <f>VLOOKUP($C543,'1 预算编制表单'!$C:$BJ,36,FALSE)</f>
        <v>0</v>
      </c>
      <c r="AH543" s="120">
        <f>AG543-AI543</f>
        <v>0</v>
      </c>
      <c r="AI543" s="120">
        <f>SUM(AI544:AI548)</f>
        <v>0</v>
      </c>
      <c r="AJ543" s="120">
        <f>VLOOKUP($C543,'1 预算编制表单'!$C:$BJ,39,FALSE)</f>
        <v>0</v>
      </c>
      <c r="AK543" s="120">
        <f>AJ543-AL543</f>
        <v>0</v>
      </c>
      <c r="AL543" s="120">
        <f>SUM(AL544:AL548)</f>
        <v>0</v>
      </c>
      <c r="AM543" s="120">
        <f>VLOOKUP($C543,'1 预算编制表单'!$C:$BJ,42,FALSE)</f>
        <v>0</v>
      </c>
      <c r="AN543" s="120">
        <f>AM543-AO543</f>
        <v>0</v>
      </c>
      <c r="AO543" s="120">
        <f>SUM(AO544:AO548)</f>
        <v>0</v>
      </c>
      <c r="AP543" s="120">
        <f>VLOOKUP($C543,'1 预算编制表单'!$C:$BJ,45,FALSE)</f>
        <v>0</v>
      </c>
      <c r="AQ543" s="120">
        <f>AP543-AR543</f>
        <v>0</v>
      </c>
      <c r="AR543" s="120">
        <f>SUM(AR544:AR548)</f>
        <v>0</v>
      </c>
      <c r="AS543" s="120">
        <f>VLOOKUP($C543,'1 预算编制表单'!$C:$BJ,48,FALSE)</f>
        <v>0</v>
      </c>
      <c r="AT543" s="120">
        <f>AS543-AU543</f>
        <v>0</v>
      </c>
      <c r="AU543" s="120">
        <f>SUM(AU544:AU548)</f>
        <v>0</v>
      </c>
      <c r="AV543" s="120">
        <f>VLOOKUP($C543,'1 预算编制表单'!$C:$BJ,51,FALSE)</f>
        <v>0</v>
      </c>
      <c r="AW543" s="120">
        <f>AV543-AX543</f>
        <v>0</v>
      </c>
      <c r="AX543" s="120">
        <f>SUM(AX544:AX548)</f>
        <v>0</v>
      </c>
      <c r="AY543" s="120">
        <f>VLOOKUP($C543,'1 预算编制表单'!$C:$BJ,54,FALSE)</f>
        <v>0</v>
      </c>
      <c r="AZ543" s="120">
        <f>AY543-BA543</f>
        <v>0</v>
      </c>
      <c r="BA543" s="120">
        <f>SUM(BA544:BA548)</f>
        <v>0</v>
      </c>
      <c r="BB543" s="120">
        <f>VLOOKUP($C543,'1 预算编制表单'!$C:$BJ,57,FALSE)</f>
        <v>0</v>
      </c>
      <c r="BC543" s="120">
        <f>BB543-BD543</f>
        <v>0</v>
      </c>
      <c r="BD543" s="120">
        <f>SUM(BD544:BD548)</f>
        <v>0</v>
      </c>
      <c r="BE543" s="120">
        <f>VLOOKUP($C543,'1 预算编制表单'!$C:$BJ,60,FALSE)</f>
        <v>0</v>
      </c>
      <c r="BF543" s="120">
        <f>BE543-BG543</f>
        <v>0</v>
      </c>
      <c r="BG543" s="120">
        <f>SUM(BG544:BG548)</f>
        <v>0</v>
      </c>
      <c r="BH543" s="120">
        <f>VLOOKUP($C543,'1 预算编制表单'!$C:$BJ,27,FALSE)</f>
        <v>0</v>
      </c>
      <c r="BI543" s="120">
        <f>BH543-BJ543</f>
        <v>0</v>
      </c>
      <c r="BJ543" s="120">
        <f>SUM(BJ544:BJ548)</f>
        <v>0</v>
      </c>
      <c r="BK543" s="120">
        <f>VLOOKUP($C543,'1 预算编制表单'!$C:$BJ,30,FALSE)</f>
        <v>0</v>
      </c>
      <c r="BL543" s="120">
        <f>BK543-BM543</f>
        <v>0</v>
      </c>
      <c r="BM543" s="120">
        <f>SUM(BM544:BM548)</f>
        <v>0</v>
      </c>
      <c r="BN543" s="120">
        <f>VLOOKUP($C543,'1 预算编制表单'!$C:$BJ,33,FALSE)</f>
        <v>0</v>
      </c>
      <c r="BO543" s="120">
        <f>BN543-BP543</f>
        <v>0</v>
      </c>
      <c r="BP543" s="120">
        <f>SUM(BP544:BP548)</f>
        <v>0</v>
      </c>
      <c r="BQ543" s="120">
        <f>VLOOKUP($C543,'1 预算编制表单'!$C:$BJ,36,FALSE)</f>
        <v>0</v>
      </c>
      <c r="BR543" s="120">
        <f>BQ543-BS543</f>
        <v>0</v>
      </c>
      <c r="BS543" s="120">
        <f>SUM(BS544:BS548)</f>
        <v>0</v>
      </c>
      <c r="BT543" s="120">
        <f>VLOOKUP($C543,'1 预算编制表单'!$C:$BJ,39,FALSE)</f>
        <v>0</v>
      </c>
      <c r="BU543" s="120">
        <f>BT543-BV543</f>
        <v>0</v>
      </c>
      <c r="BV543" s="120">
        <f>SUM(BV544:BV548)</f>
        <v>0</v>
      </c>
      <c r="BW543" s="120">
        <f>VLOOKUP($C543,'1 预算编制表单'!$C:$BJ,42,FALSE)</f>
        <v>0</v>
      </c>
      <c r="BX543" s="120">
        <f>BW543-BY543</f>
        <v>0</v>
      </c>
      <c r="BY543" s="120">
        <f>SUM(BY544:BY548)</f>
        <v>0</v>
      </c>
      <c r="BZ543" s="120">
        <f>VLOOKUP($C543,'1 预算编制表单'!$C:$BJ,45,FALSE)</f>
        <v>0</v>
      </c>
      <c r="CA543" s="120">
        <f>BZ543-CB543</f>
        <v>0</v>
      </c>
      <c r="CB543" s="120">
        <f>SUM(CB544:CB548)</f>
        <v>0</v>
      </c>
      <c r="CC543" s="120">
        <f>VLOOKUP($C543,'1 预算编制表单'!$C:$BJ,48,FALSE)</f>
        <v>0</v>
      </c>
      <c r="CD543" s="120">
        <f>CC543-CE543</f>
        <v>0</v>
      </c>
      <c r="CE543" s="120">
        <f>SUM(CE544:CE548)</f>
        <v>0</v>
      </c>
      <c r="CF543" s="120">
        <f>VLOOKUP($C543,'1 预算编制表单'!$C:$BJ,51,FALSE)</f>
        <v>0</v>
      </c>
      <c r="CG543" s="120">
        <f>CF543-CH543</f>
        <v>0</v>
      </c>
      <c r="CH543" s="120">
        <f>SUM(CH544:CH548)</f>
        <v>0</v>
      </c>
      <c r="CI543" s="120">
        <f>VLOOKUP($C543,'1 预算编制表单'!$C:$BJ,54,FALSE)</f>
        <v>0</v>
      </c>
      <c r="CJ543" s="120">
        <f>CI543-CK543</f>
        <v>0</v>
      </c>
      <c r="CK543" s="120">
        <f>SUM(CK544:CK548)</f>
        <v>0</v>
      </c>
      <c r="CL543" s="120">
        <f>VLOOKUP($C543,'1 预算编制表单'!$C:$BJ,57,FALSE)</f>
        <v>0</v>
      </c>
      <c r="CM543" s="120">
        <f>CL543-CN543</f>
        <v>0</v>
      </c>
      <c r="CN543" s="120">
        <f>SUM(CN544:CN548)</f>
        <v>0</v>
      </c>
      <c r="CO543" s="120">
        <f>VLOOKUP($C543,'1 预算编制表单'!$C:$BJ,60,FALSE)</f>
        <v>0</v>
      </c>
      <c r="CP543" s="120">
        <f>CO543-CQ543</f>
        <v>0</v>
      </c>
      <c r="CQ543" s="120">
        <f>SUM(CQ544:CQ548)</f>
        <v>0</v>
      </c>
    </row>
    <row r="544" s="89" customFormat="1" ht="24" customHeight="1" outlineLevel="2" spans="1:95">
      <c r="A544" s="128"/>
      <c r="B544" s="129"/>
      <c r="C544" s="130"/>
      <c r="D544" s="128"/>
      <c r="E544" s="129"/>
      <c r="F544" s="129"/>
      <c r="G544" s="129"/>
      <c r="H544" s="131"/>
      <c r="I544" s="131"/>
      <c r="J544" s="131">
        <f t="shared" si="6007"/>
        <v>0</v>
      </c>
      <c r="K544" s="131">
        <v>1</v>
      </c>
      <c r="L544" s="156"/>
      <c r="M544" s="157">
        <f>IFERROR(VLOOKUP($L544,'2-2 引出数据_合同数据仓库'!$B$5:$BP$200,3,FALSE),0)</f>
        <v>0</v>
      </c>
      <c r="N544" s="131"/>
      <c r="O544" s="157">
        <f>IFERROR(VLOOKUP((LEFT(VLOOKUP($L544,'2-2 引出数据_合同数据仓库'!$B$5:$BP$200,64,FALSE),15)&amp;(RIGHT(VLOOKUP($L544,'2-2 引出数据_合同数据仓库'!$B$5:$BP$200,64,FALSE),4)+1)),'2-2 引出数据_合同数据仓库'!$B$5:$BP$200,3,FALSE),0)</f>
        <v>0</v>
      </c>
      <c r="P544" s="131"/>
      <c r="Q544" s="131">
        <f>IFERROR(VLOOKUP($L544,'2-2 引出数据_合同数据仓库'!$B$5:$BP$200,28,FALSE),0)</f>
        <v>0</v>
      </c>
      <c r="R544" s="131">
        <f>IFERROR(VLOOKUP($L544,'2-2 引出数据_合同数据仓库'!$B$5:$BP$200,29,FALSE),0)</f>
        <v>0</v>
      </c>
      <c r="S544" s="131">
        <f>IFERROR(VLOOKUP($L544,'2-2 引出数据_合同数据仓库'!$B$5:$BP$200,4,FALSE),0)</f>
        <v>0</v>
      </c>
      <c r="T544" s="131"/>
      <c r="U544" s="131">
        <f>IFERROR(VLOOKUP($L544,'2-2 引出数据_合同数据仓库'!$B$5:$BP$200,15,FALSE),0)</f>
        <v>0</v>
      </c>
      <c r="V544" s="131">
        <f t="shared" ref="V544:V547" si="6089">U544/(S544-R544+1)*365</f>
        <v>0</v>
      </c>
      <c r="W544" s="131"/>
      <c r="X544" s="163">
        <v>45658</v>
      </c>
      <c r="Y544" s="163">
        <f t="shared" ref="Y544:Y547" si="6090">X544+30</f>
        <v>45688</v>
      </c>
      <c r="Z544" s="167">
        <f t="shared" ref="Z544:Z547" si="6091">IFERROR(IF(($R544-Y544)&gt;=0,0,IF(($S544-X544)&lt;0,0,IF(AND(($S544-Y544)&gt;0,(X544-$R544)&gt;0),$V544/365*(Y544-X544+1),IF(AND(($S544-Y544)&lt;=0,(X544-$R544)&gt;0),$V544/365*($S544-X544+1),$V544/365*(Y544-$R544+1))))),0)</f>
        <v>0</v>
      </c>
      <c r="AA544" s="163">
        <f t="shared" ref="AA544:AA547" si="6092">Y544+1</f>
        <v>45689</v>
      </c>
      <c r="AB544" s="163">
        <f t="shared" ref="AB544:AB547" si="6093">AA544+27</f>
        <v>45716</v>
      </c>
      <c r="AC544" s="167">
        <f t="shared" ref="AC544:AC547" si="6094">IFERROR(IF(($R544-AB544)&gt;=0,0,IF(($S544-AA544)&lt;0,0,IF(AND(($S544-AB544)&gt;0,(AA544-$R544)&gt;0),$V544/365*(AB544-AA544+1),IF(AND(($S544-AB544)&lt;=0,(AA544-$R544)&gt;0),$V544/365*($S544-AA544+1),$V544/365*(AB544-$R544+1))))),0)</f>
        <v>0</v>
      </c>
      <c r="AD544" s="163">
        <f t="shared" ref="AD544:AD547" si="6095">AB544+1</f>
        <v>45717</v>
      </c>
      <c r="AE544" s="163">
        <f t="shared" ref="AE544:AE547" si="6096">AD544+30</f>
        <v>45747</v>
      </c>
      <c r="AF544" s="167">
        <f t="shared" ref="AF544:AF547" si="6097">IFERROR(IF(($R544-AE544)&gt;=0,0,IF(($S544-AD544)&lt;0,0,IF(AND(($S544-AE544)&gt;0,(AD544-$R544)&gt;0),$V544/365*(AE544-AD544+1),IF(AND(($S544-AE544)&lt;=0,(AD544-$R544)&gt;0),$V544/365*($S544-AD544+1),$V544/365*(AE544-$R544+1))))),0)</f>
        <v>0</v>
      </c>
      <c r="AG544" s="163">
        <f t="shared" ref="AG544:AG547" si="6098">AE544+1</f>
        <v>45748</v>
      </c>
      <c r="AH544" s="163">
        <f t="shared" ref="AH544:AH547" si="6099">AG544+29</f>
        <v>45777</v>
      </c>
      <c r="AI544" s="167">
        <f t="shared" ref="AI544:AI547" si="6100">IFERROR(IF(($R544-AH544)&gt;=0,0,IF(($S544-AG544)&lt;0,0,IF(AND(($S544-AH544)&gt;0,(AG544-$R544)&gt;0),$V544/365*(AH544-AG544+1),IF(AND(($S544-AH544)&lt;=0,(AG544-$R544)&gt;0),$V544/365*($S544-AG544+1),$V544/365*(AH544-$R544+1))))),0)</f>
        <v>0</v>
      </c>
      <c r="AJ544" s="163">
        <f t="shared" ref="AJ544:AJ547" si="6101">AH544+1</f>
        <v>45778</v>
      </c>
      <c r="AK544" s="163">
        <f t="shared" ref="AK544:AK547" si="6102">AJ544+30</f>
        <v>45808</v>
      </c>
      <c r="AL544" s="167">
        <f t="shared" ref="AL544:AL547" si="6103">IFERROR(IF(($R544-AK544)&gt;=0,0,IF(($S544-AJ544)&lt;0,0,IF(AND(($S544-AK544)&gt;0,(AJ544-$R544)&gt;0),$V544/365*(AK544-AJ544+1),IF(AND(($S544-AK544)&lt;=0,(AJ544-$R544)&gt;0),$V544/365*($S544-AJ544+1),$V544/365*(AK544-$R544+1))))),0)</f>
        <v>0</v>
      </c>
      <c r="AM544" s="163">
        <f t="shared" ref="AM544:AM547" si="6104">AK544+1</f>
        <v>45809</v>
      </c>
      <c r="AN544" s="163">
        <f t="shared" ref="AN544:AN547" si="6105">AM544+29</f>
        <v>45838</v>
      </c>
      <c r="AO544" s="167">
        <f t="shared" ref="AO544:AO547" si="6106">IFERROR(IF(($R544-AN544)&gt;=0,0,IF(($S544-AM544)&lt;0,0,IF(AND(($S544-AN544)&gt;0,(AM544-$R544)&gt;0),$V544/365*(AN544-AM544+1),IF(AND(($S544-AN544)&lt;=0,(AM544-$R544)&gt;0),$V544/365*($S544-AM544+1),$V544/365*(AN544-$R544+1))))),0)</f>
        <v>0</v>
      </c>
      <c r="AP544" s="163">
        <f t="shared" ref="AP544:AP547" si="6107">AN544+1</f>
        <v>45839</v>
      </c>
      <c r="AQ544" s="163">
        <f t="shared" ref="AQ544:AQ547" si="6108">AP544+30</f>
        <v>45869</v>
      </c>
      <c r="AR544" s="167">
        <f t="shared" ref="AR544:AR547" si="6109">IFERROR(IF(($R544-AQ544)&gt;=0,0,IF(($S544-AP544)&lt;0,0,IF(AND(($S544-AQ544)&gt;0,(AP544-$R544)&gt;0),$V544/365*(AQ544-AP544+1),IF(AND(($S544-AQ544)&lt;=0,(AP544-$R544)&gt;0),$V544/365*($S544-AP544+1),$V544/365*(AQ544-$R544+1))))),0)</f>
        <v>0</v>
      </c>
      <c r="AS544" s="163">
        <f t="shared" ref="AS544:AS547" si="6110">AQ544+1</f>
        <v>45870</v>
      </c>
      <c r="AT544" s="163">
        <f t="shared" ref="AT544:AT547" si="6111">AS544+30</f>
        <v>45900</v>
      </c>
      <c r="AU544" s="167">
        <f t="shared" ref="AU544:AU547" si="6112">IFERROR(IF(($R544-AT544)&gt;=0,0,IF(($S544-AS544)&lt;0,0,IF(AND(($S544-AT544)&gt;0,(AS544-$R544)&gt;0),$V544/365*(AT544-AS544+1),IF(AND(($S544-AT544)&lt;=0,(AS544-$R544)&gt;0),$V544/365*($S544-AS544+1),$V544/365*(AT544-$R544+1))))),0)</f>
        <v>0</v>
      </c>
      <c r="AV544" s="163">
        <f t="shared" ref="AV544:AV547" si="6113">AT544+1</f>
        <v>45901</v>
      </c>
      <c r="AW544" s="163">
        <f t="shared" ref="AW544:AW547" si="6114">AV544+29</f>
        <v>45930</v>
      </c>
      <c r="AX544" s="167">
        <f t="shared" ref="AX544:AX547" si="6115">IFERROR(IF(($R544-AW544)&gt;=0,0,IF(($S544-AV544)&lt;0,0,IF(AND(($S544-AW544)&gt;0,(AV544-$R544)&gt;0),$V544/365*(AW544-AV544+1),IF(AND(($S544-AW544)&lt;=0,(AV544-$R544)&gt;0),$V544/365*($S544-AV544+1),$V544/365*(AW544-$R544+1))))),0)</f>
        <v>0</v>
      </c>
      <c r="AY544" s="163">
        <f t="shared" ref="AY544:AY547" si="6116">AW544+1</f>
        <v>45931</v>
      </c>
      <c r="AZ544" s="163">
        <f t="shared" ref="AZ544:AZ547" si="6117">AY544+30</f>
        <v>45961</v>
      </c>
      <c r="BA544" s="167">
        <f t="shared" ref="BA544:BA547" si="6118">IFERROR(IF(($R544-AZ544)&gt;=0,0,IF(($S544-AY544)&lt;0,0,IF(AND(($S544-AZ544)&gt;0,(AY544-$R544)&gt;0),$V544/365*(AZ544-AY544+1),IF(AND(($S544-AZ544)&lt;=0,(AY544-$R544)&gt;0),$V544/365*($S544-AY544+1),$V544/365*(AZ544-$R544+1))))),0)</f>
        <v>0</v>
      </c>
      <c r="BB544" s="163">
        <f t="shared" ref="BB544:BB547" si="6119">AZ544+1</f>
        <v>45962</v>
      </c>
      <c r="BC544" s="163">
        <f t="shared" ref="BC544:BC547" si="6120">BB544+29</f>
        <v>45991</v>
      </c>
      <c r="BD544" s="167">
        <f t="shared" ref="BD544:BD547" si="6121">IFERROR(IF(($R544-BC544)&gt;=0,0,IF(($S544-BB544)&lt;0,0,IF(AND(($S544-BC544)&gt;0,(BB544-$R544)&gt;0),$V544/365*(BC544-BB544+1),IF(AND(($S544-BC544)&lt;=0,(BB544-$R544)&gt;0),$V544/365*($S544-BB544+1),$V544/365*(BC544-$R544+1))))),0)</f>
        <v>0</v>
      </c>
      <c r="BE544" s="163">
        <f t="shared" ref="BE544:BE547" si="6122">BC544+1</f>
        <v>45992</v>
      </c>
      <c r="BF544" s="163">
        <f t="shared" ref="BF544:BF547" si="6123">BE544+30</f>
        <v>46022</v>
      </c>
      <c r="BG544" s="167">
        <f t="shared" ref="BG544:BG547" si="6124">IFERROR(IF(($R544-BF544)&gt;=0,0,IF(($S544-BE544)&lt;0,0,IF(AND(($S544-BF544)&gt;0,(BE544-$R544)&gt;0),$V544/365*(BF544-BE544+1),IF(AND(($S544-BF544)&lt;=0,(BE544-$R544)&gt;0),$V544/365*($S544-BE544+1),$V544/365*(BF544-$R544+1))))),0)</f>
        <v>0</v>
      </c>
      <c r="BH544" s="163">
        <v>46023</v>
      </c>
      <c r="BI544" s="163">
        <f t="shared" ref="BI544:BI547" si="6125">BH544+30</f>
        <v>46053</v>
      </c>
      <c r="BJ544" s="167">
        <f t="shared" ref="BJ544:BJ547" si="6126">IFERROR(IF(($R544-BI544)&gt;=0,0,IF(($S544-BH544)&lt;0,0,IF(AND(($S544-BI544)&gt;0,(BH544-$R544)&gt;0),$V544/365*(BI544-BH544+1),IF(AND(($S544-BI544)&lt;=0,(BH544-$R544)&gt;0),$V544/365*($S544-BH544+1),$V544/365*(BI544-$R544+1))))),0)</f>
        <v>0</v>
      </c>
      <c r="BK544" s="163">
        <f t="shared" ref="BK544:BK547" si="6127">BI544+1</f>
        <v>46054</v>
      </c>
      <c r="BL544" s="163">
        <f t="shared" ref="BL544:BL547" si="6128">BK544+27</f>
        <v>46081</v>
      </c>
      <c r="BM544" s="167">
        <f t="shared" ref="BM544:BM547" si="6129">IFERROR(IF(($R544-BL544)&gt;=0,0,IF(($S544-BK544)&lt;0,0,IF(AND(($S544-BL544)&gt;0,(BK544-$R544)&gt;0),$V544/365*(BL544-BK544+1),IF(AND(($S544-BL544)&lt;=0,(BK544-$R544)&gt;0),$V544/365*($S544-BK544+1),$V544/365*(BL544-$R544+1))))),0)</f>
        <v>0</v>
      </c>
      <c r="BN544" s="163">
        <f t="shared" ref="BN544:BN547" si="6130">BL544+1</f>
        <v>46082</v>
      </c>
      <c r="BO544" s="163">
        <f t="shared" ref="BO544:BO547" si="6131">BN544+30</f>
        <v>46112</v>
      </c>
      <c r="BP544" s="167">
        <f t="shared" ref="BP544:BP547" si="6132">IFERROR(IF(($R544-BO544)&gt;=0,0,IF(($S544-BN544)&lt;0,0,IF(AND(($S544-BO544)&gt;0,(BN544-$R544)&gt;0),$V544/365*(BO544-BN544+1),IF(AND(($S544-BO544)&lt;=0,(BN544-$R544)&gt;0),$V544/365*($S544-BN544+1),$V544/365*(BO544-$R544+1))))),0)</f>
        <v>0</v>
      </c>
      <c r="BQ544" s="163">
        <f t="shared" ref="BQ544:BQ547" si="6133">BO544+1</f>
        <v>46113</v>
      </c>
      <c r="BR544" s="163">
        <f t="shared" ref="BR544:BR547" si="6134">BQ544+29</f>
        <v>46142</v>
      </c>
      <c r="BS544" s="167">
        <f t="shared" ref="BS544:BS547" si="6135">IFERROR(IF(($R544-BR544)&gt;=0,0,IF(($S544-BQ544)&lt;0,0,IF(AND(($S544-BR544)&gt;0,(BQ544-$R544)&gt;0),$V544/365*(BR544-BQ544+1),IF(AND(($S544-BR544)&lt;=0,(BQ544-$R544)&gt;0),$V544/365*($S544-BQ544+1),$V544/365*(BR544-$R544+1))))),0)</f>
        <v>0</v>
      </c>
      <c r="BT544" s="163">
        <f t="shared" ref="BT544:BT547" si="6136">BR544+1</f>
        <v>46143</v>
      </c>
      <c r="BU544" s="163">
        <f t="shared" ref="BU544:BU547" si="6137">BT544+30</f>
        <v>46173</v>
      </c>
      <c r="BV544" s="167">
        <f t="shared" ref="BV544:BV547" si="6138">IFERROR(IF(($R544-BU544)&gt;=0,0,IF(($S544-BT544)&lt;0,0,IF(AND(($S544-BU544)&gt;0,(BT544-$R544)&gt;0),$V544/365*(BU544-BT544+1),IF(AND(($S544-BU544)&lt;=0,(BT544-$R544)&gt;0),$V544/365*($S544-BT544+1),$V544/365*(BU544-$R544+1))))),0)</f>
        <v>0</v>
      </c>
      <c r="BW544" s="163">
        <f t="shared" ref="BW544:BW547" si="6139">BU544+1</f>
        <v>46174</v>
      </c>
      <c r="BX544" s="163">
        <f t="shared" ref="BX544:BX547" si="6140">BW544+29</f>
        <v>46203</v>
      </c>
      <c r="BY544" s="167">
        <f t="shared" ref="BY544:BY547" si="6141">IFERROR(IF(($R544-BX544)&gt;=0,0,IF(($S544-BW544)&lt;0,0,IF(AND(($S544-BX544)&gt;0,(BW544-$R544)&gt;0),$V544/365*(BX544-BW544+1),IF(AND(($S544-BX544)&lt;=0,(BW544-$R544)&gt;0),$V544/365*($S544-BW544+1),$V544/365*(BX544-$R544+1))))),0)</f>
        <v>0</v>
      </c>
      <c r="BZ544" s="163">
        <f t="shared" ref="BZ544:BZ547" si="6142">BX544+1</f>
        <v>46204</v>
      </c>
      <c r="CA544" s="163">
        <f t="shared" ref="CA544:CA547" si="6143">BZ544+30</f>
        <v>46234</v>
      </c>
      <c r="CB544" s="167">
        <f t="shared" ref="CB544:CB547" si="6144">IFERROR(IF(($R544-CA544)&gt;=0,0,IF(($S544-BZ544)&lt;0,0,IF(AND(($S544-CA544)&gt;0,(BZ544-$R544)&gt;0),$V544/365*(CA544-BZ544+1),IF(AND(($S544-CA544)&lt;=0,(BZ544-$R544)&gt;0),$V544/365*($S544-BZ544+1),$V544/365*(CA544-$R544+1))))),0)</f>
        <v>0</v>
      </c>
      <c r="CC544" s="163">
        <f t="shared" ref="CC544:CC547" si="6145">CA544+1</f>
        <v>46235</v>
      </c>
      <c r="CD544" s="163">
        <f t="shared" ref="CD544:CD547" si="6146">CC544+30</f>
        <v>46265</v>
      </c>
      <c r="CE544" s="167">
        <f t="shared" ref="CE544:CE547" si="6147">IFERROR(IF(($R544-CD544)&gt;=0,0,IF(($S544-CC544)&lt;0,0,IF(AND(($S544-CD544)&gt;0,(CC544-$R544)&gt;0),$V544/365*(CD544-CC544+1),IF(AND(($S544-CD544)&lt;=0,(CC544-$R544)&gt;0),$V544/365*($S544-CC544+1),$V544/365*(CD544-$R544+1))))),0)</f>
        <v>0</v>
      </c>
      <c r="CF544" s="163">
        <f t="shared" ref="CF544:CF547" si="6148">CD544+1</f>
        <v>46266</v>
      </c>
      <c r="CG544" s="163">
        <f t="shared" ref="CG544:CG547" si="6149">CF544+29</f>
        <v>46295</v>
      </c>
      <c r="CH544" s="167">
        <f t="shared" ref="CH544:CH547" si="6150">IFERROR(IF(($R544-CG544)&gt;=0,0,IF(($S544-CF544)&lt;0,0,IF(AND(($S544-CG544)&gt;0,(CF544-$R544)&gt;0),$V544/365*(CG544-CF544+1),IF(AND(($S544-CG544)&lt;=0,(CF544-$R544)&gt;0),$V544/365*($S544-CF544+1),$V544/365*(CG544-$R544+1))))),0)</f>
        <v>0</v>
      </c>
      <c r="CI544" s="163">
        <f t="shared" ref="CI544:CI547" si="6151">CG544+1</f>
        <v>46296</v>
      </c>
      <c r="CJ544" s="163">
        <f t="shared" ref="CJ544:CJ547" si="6152">CI544+30</f>
        <v>46326</v>
      </c>
      <c r="CK544" s="167">
        <f t="shared" ref="CK544:CK547" si="6153">IFERROR(IF(($R544-CJ544)&gt;=0,0,IF(($S544-CI544)&lt;0,0,IF(AND(($S544-CJ544)&gt;0,(CI544-$R544)&gt;0),$V544/365*(CJ544-CI544+1),IF(AND(($S544-CJ544)&lt;=0,(CI544-$R544)&gt;0),$V544/365*($S544-CI544+1),$V544/365*(CJ544-$R544+1))))),0)</f>
        <v>0</v>
      </c>
      <c r="CL544" s="163">
        <f t="shared" ref="CL544:CL547" si="6154">CJ544+1</f>
        <v>46327</v>
      </c>
      <c r="CM544" s="163">
        <f t="shared" ref="CM544:CM547" si="6155">CL544+29</f>
        <v>46356</v>
      </c>
      <c r="CN544" s="167">
        <f t="shared" ref="CN544:CN547" si="6156">IFERROR(IF(($R544-CM544)&gt;=0,0,IF(($S544-CL544)&lt;0,0,IF(AND(($S544-CM544)&gt;0,(CL544-$R544)&gt;0),$V544/365*(CM544-CL544+1),IF(AND(($S544-CM544)&lt;=0,(CL544-$R544)&gt;0),$V544/365*($S544-CL544+1),$V544/365*(CM544-$R544+1))))),0)</f>
        <v>0</v>
      </c>
      <c r="CO544" s="163">
        <f t="shared" ref="CO544:CO547" si="6157">CM544+1</f>
        <v>46357</v>
      </c>
      <c r="CP544" s="163">
        <f t="shared" ref="CP544:CP547" si="6158">CO544+30</f>
        <v>46387</v>
      </c>
      <c r="CQ544" s="167">
        <f t="shared" ref="CQ544:CQ547" si="6159">IFERROR(IF(($R544-CP544)&gt;=0,0,IF(($S544-CO544)&lt;0,0,IF(AND(($S544-CP544)&gt;0,(CO544-$R544)&gt;0),$V544/365*(CP544-CO544+1),IF(AND(($S544-CP544)&lt;=0,(CO544-$R544)&gt;0),$V544/365*($S544-CO544+1),$V544/365*(CP544-$R544+1))))),0)</f>
        <v>0</v>
      </c>
    </row>
    <row r="545" s="89" customFormat="1" ht="24" customHeight="1" outlineLevel="2" spans="1:95">
      <c r="A545" s="128"/>
      <c r="B545" s="129"/>
      <c r="C545" s="130"/>
      <c r="D545" s="128"/>
      <c r="E545" s="129"/>
      <c r="F545" s="129"/>
      <c r="G545" s="129"/>
      <c r="H545" s="131"/>
      <c r="I545" s="131"/>
      <c r="J545" s="131">
        <f t="shared" si="6007"/>
        <v>0</v>
      </c>
      <c r="K545" s="131">
        <f t="shared" ref="K545:K547" si="6160">K544+1</f>
        <v>2</v>
      </c>
      <c r="L545" s="156"/>
      <c r="M545" s="157">
        <f>IFERROR(VLOOKUP($L545,'2-2 引出数据_合同数据仓库'!$B$5:$BP$200,3,FALSE),0)</f>
        <v>0</v>
      </c>
      <c r="N545" s="131"/>
      <c r="O545" s="157">
        <f>IFERROR(VLOOKUP((LEFT(VLOOKUP($L545,'2-2 引出数据_合同数据仓库'!$B$5:$BP$200,64,FALSE),15)&amp;(RIGHT(VLOOKUP($L545,'2-2 引出数据_合同数据仓库'!$B$5:$BP$200,64,FALSE),4)+1)),'2-2 引出数据_合同数据仓库'!$B$5:$BP$200,3,FALSE),0)</f>
        <v>0</v>
      </c>
      <c r="P545" s="131"/>
      <c r="Q545" s="131">
        <f>IFERROR(VLOOKUP($L545,'2-2 引出数据_合同数据仓库'!$B$5:$BP$200,28,FALSE),0)</f>
        <v>0</v>
      </c>
      <c r="R545" s="131">
        <f>IFERROR(VLOOKUP($L545,'2-2 引出数据_合同数据仓库'!$B$5:$BP$200,29,FALSE),0)</f>
        <v>0</v>
      </c>
      <c r="S545" s="131">
        <f>IFERROR(VLOOKUP($L545,'2-2 引出数据_合同数据仓库'!$B$5:$BP$200,4,FALSE),0)</f>
        <v>0</v>
      </c>
      <c r="T545" s="131"/>
      <c r="U545" s="131">
        <f>IFERROR(VLOOKUP($L545,'2-2 引出数据_合同数据仓库'!$B$5:$BP$200,15,FALSE),0)</f>
        <v>0</v>
      </c>
      <c r="V545" s="131">
        <f t="shared" si="6089"/>
        <v>0</v>
      </c>
      <c r="W545" s="131"/>
      <c r="X545" s="163">
        <v>45658</v>
      </c>
      <c r="Y545" s="163">
        <f t="shared" si="6090"/>
        <v>45688</v>
      </c>
      <c r="Z545" s="167">
        <f t="shared" si="6091"/>
        <v>0</v>
      </c>
      <c r="AA545" s="163">
        <f t="shared" si="6092"/>
        <v>45689</v>
      </c>
      <c r="AB545" s="163">
        <f t="shared" si="6093"/>
        <v>45716</v>
      </c>
      <c r="AC545" s="167">
        <f t="shared" si="6094"/>
        <v>0</v>
      </c>
      <c r="AD545" s="163">
        <f t="shared" si="6095"/>
        <v>45717</v>
      </c>
      <c r="AE545" s="163">
        <f t="shared" si="6096"/>
        <v>45747</v>
      </c>
      <c r="AF545" s="167">
        <f t="shared" si="6097"/>
        <v>0</v>
      </c>
      <c r="AG545" s="163">
        <f t="shared" si="6098"/>
        <v>45748</v>
      </c>
      <c r="AH545" s="163">
        <f t="shared" si="6099"/>
        <v>45777</v>
      </c>
      <c r="AI545" s="167">
        <f t="shared" si="6100"/>
        <v>0</v>
      </c>
      <c r="AJ545" s="163">
        <f t="shared" si="6101"/>
        <v>45778</v>
      </c>
      <c r="AK545" s="163">
        <f t="shared" si="6102"/>
        <v>45808</v>
      </c>
      <c r="AL545" s="167">
        <f t="shared" si="6103"/>
        <v>0</v>
      </c>
      <c r="AM545" s="163">
        <f t="shared" si="6104"/>
        <v>45809</v>
      </c>
      <c r="AN545" s="163">
        <f t="shared" si="6105"/>
        <v>45838</v>
      </c>
      <c r="AO545" s="167">
        <f t="shared" si="6106"/>
        <v>0</v>
      </c>
      <c r="AP545" s="163">
        <f t="shared" si="6107"/>
        <v>45839</v>
      </c>
      <c r="AQ545" s="163">
        <f t="shared" si="6108"/>
        <v>45869</v>
      </c>
      <c r="AR545" s="167">
        <f t="shared" si="6109"/>
        <v>0</v>
      </c>
      <c r="AS545" s="163">
        <f t="shared" si="6110"/>
        <v>45870</v>
      </c>
      <c r="AT545" s="163">
        <f t="shared" si="6111"/>
        <v>45900</v>
      </c>
      <c r="AU545" s="167">
        <f t="shared" si="6112"/>
        <v>0</v>
      </c>
      <c r="AV545" s="163">
        <f t="shared" si="6113"/>
        <v>45901</v>
      </c>
      <c r="AW545" s="163">
        <f t="shared" si="6114"/>
        <v>45930</v>
      </c>
      <c r="AX545" s="167">
        <f t="shared" si="6115"/>
        <v>0</v>
      </c>
      <c r="AY545" s="163">
        <f t="shared" si="6116"/>
        <v>45931</v>
      </c>
      <c r="AZ545" s="163">
        <f t="shared" si="6117"/>
        <v>45961</v>
      </c>
      <c r="BA545" s="167">
        <f t="shared" si="6118"/>
        <v>0</v>
      </c>
      <c r="BB545" s="163">
        <f t="shared" si="6119"/>
        <v>45962</v>
      </c>
      <c r="BC545" s="163">
        <f t="shared" si="6120"/>
        <v>45991</v>
      </c>
      <c r="BD545" s="167">
        <f t="shared" si="6121"/>
        <v>0</v>
      </c>
      <c r="BE545" s="163">
        <f t="shared" si="6122"/>
        <v>45992</v>
      </c>
      <c r="BF545" s="163">
        <f t="shared" si="6123"/>
        <v>46022</v>
      </c>
      <c r="BG545" s="167">
        <f t="shared" si="6124"/>
        <v>0</v>
      </c>
      <c r="BH545" s="163">
        <v>46023</v>
      </c>
      <c r="BI545" s="163">
        <f t="shared" si="6125"/>
        <v>46053</v>
      </c>
      <c r="BJ545" s="167">
        <f t="shared" si="6126"/>
        <v>0</v>
      </c>
      <c r="BK545" s="163">
        <f t="shared" si="6127"/>
        <v>46054</v>
      </c>
      <c r="BL545" s="163">
        <f t="shared" si="6128"/>
        <v>46081</v>
      </c>
      <c r="BM545" s="167">
        <f t="shared" si="6129"/>
        <v>0</v>
      </c>
      <c r="BN545" s="163">
        <f t="shared" si="6130"/>
        <v>46082</v>
      </c>
      <c r="BO545" s="163">
        <f t="shared" si="6131"/>
        <v>46112</v>
      </c>
      <c r="BP545" s="167">
        <f t="shared" si="6132"/>
        <v>0</v>
      </c>
      <c r="BQ545" s="163">
        <f t="shared" si="6133"/>
        <v>46113</v>
      </c>
      <c r="BR545" s="163">
        <f t="shared" si="6134"/>
        <v>46142</v>
      </c>
      <c r="BS545" s="167">
        <f t="shared" si="6135"/>
        <v>0</v>
      </c>
      <c r="BT545" s="163">
        <f t="shared" si="6136"/>
        <v>46143</v>
      </c>
      <c r="BU545" s="163">
        <f t="shared" si="6137"/>
        <v>46173</v>
      </c>
      <c r="BV545" s="167">
        <f t="shared" si="6138"/>
        <v>0</v>
      </c>
      <c r="BW545" s="163">
        <f t="shared" si="6139"/>
        <v>46174</v>
      </c>
      <c r="BX545" s="163">
        <f t="shared" si="6140"/>
        <v>46203</v>
      </c>
      <c r="BY545" s="167">
        <f t="shared" si="6141"/>
        <v>0</v>
      </c>
      <c r="BZ545" s="163">
        <f t="shared" si="6142"/>
        <v>46204</v>
      </c>
      <c r="CA545" s="163">
        <f t="shared" si="6143"/>
        <v>46234</v>
      </c>
      <c r="CB545" s="167">
        <f t="shared" si="6144"/>
        <v>0</v>
      </c>
      <c r="CC545" s="163">
        <f t="shared" si="6145"/>
        <v>46235</v>
      </c>
      <c r="CD545" s="163">
        <f t="shared" si="6146"/>
        <v>46265</v>
      </c>
      <c r="CE545" s="167">
        <f t="shared" si="6147"/>
        <v>0</v>
      </c>
      <c r="CF545" s="163">
        <f t="shared" si="6148"/>
        <v>46266</v>
      </c>
      <c r="CG545" s="163">
        <f t="shared" si="6149"/>
        <v>46295</v>
      </c>
      <c r="CH545" s="167">
        <f t="shared" si="6150"/>
        <v>0</v>
      </c>
      <c r="CI545" s="163">
        <f t="shared" si="6151"/>
        <v>46296</v>
      </c>
      <c r="CJ545" s="163">
        <f t="shared" si="6152"/>
        <v>46326</v>
      </c>
      <c r="CK545" s="167">
        <f t="shared" si="6153"/>
        <v>0</v>
      </c>
      <c r="CL545" s="163">
        <f t="shared" si="6154"/>
        <v>46327</v>
      </c>
      <c r="CM545" s="163">
        <f t="shared" si="6155"/>
        <v>46356</v>
      </c>
      <c r="CN545" s="167">
        <f t="shared" si="6156"/>
        <v>0</v>
      </c>
      <c r="CO545" s="163">
        <f t="shared" si="6157"/>
        <v>46357</v>
      </c>
      <c r="CP545" s="163">
        <f t="shared" si="6158"/>
        <v>46387</v>
      </c>
      <c r="CQ545" s="167">
        <f t="shared" si="6159"/>
        <v>0</v>
      </c>
    </row>
    <row r="546" s="89" customFormat="1" ht="24" customHeight="1" outlineLevel="2" spans="1:95">
      <c r="A546" s="128"/>
      <c r="B546" s="129"/>
      <c r="C546" s="130"/>
      <c r="D546" s="128"/>
      <c r="E546" s="129"/>
      <c r="F546" s="129"/>
      <c r="G546" s="129"/>
      <c r="H546" s="131"/>
      <c r="I546" s="131"/>
      <c r="J546" s="131">
        <f t="shared" si="6007"/>
        <v>0</v>
      </c>
      <c r="K546" s="131">
        <f t="shared" si="6160"/>
        <v>3</v>
      </c>
      <c r="L546" s="156"/>
      <c r="M546" s="157">
        <f>IFERROR(VLOOKUP($L546,'2-2 引出数据_合同数据仓库'!$B$5:$BP$200,3,FALSE),0)</f>
        <v>0</v>
      </c>
      <c r="N546" s="131"/>
      <c r="O546" s="157">
        <f>IFERROR(VLOOKUP((LEFT(VLOOKUP($L546,'2-2 引出数据_合同数据仓库'!$B$5:$BP$200,64,FALSE),15)&amp;(RIGHT(VLOOKUP($L546,'2-2 引出数据_合同数据仓库'!$B$5:$BP$200,64,FALSE),4)+1)),'2-2 引出数据_合同数据仓库'!$B$5:$BP$200,3,FALSE),0)</f>
        <v>0</v>
      </c>
      <c r="P546" s="131"/>
      <c r="Q546" s="131">
        <f>IFERROR(VLOOKUP($L546,'2-2 引出数据_合同数据仓库'!$B$5:$BP$200,28,FALSE),0)</f>
        <v>0</v>
      </c>
      <c r="R546" s="131">
        <f>IFERROR(VLOOKUP($L546,'2-2 引出数据_合同数据仓库'!$B$5:$BP$200,29,FALSE),0)</f>
        <v>0</v>
      </c>
      <c r="S546" s="131">
        <f>IFERROR(VLOOKUP($L546,'2-2 引出数据_合同数据仓库'!$B$5:$BP$200,4,FALSE),0)</f>
        <v>0</v>
      </c>
      <c r="T546" s="131"/>
      <c r="U546" s="131">
        <f>IFERROR(VLOOKUP($L546,'2-2 引出数据_合同数据仓库'!$B$5:$BP$200,15,FALSE),0)</f>
        <v>0</v>
      </c>
      <c r="V546" s="131">
        <f t="shared" si="6089"/>
        <v>0</v>
      </c>
      <c r="W546" s="131"/>
      <c r="X546" s="163">
        <v>45658</v>
      </c>
      <c r="Y546" s="163">
        <f t="shared" si="6090"/>
        <v>45688</v>
      </c>
      <c r="Z546" s="167">
        <f t="shared" si="6091"/>
        <v>0</v>
      </c>
      <c r="AA546" s="163">
        <f t="shared" si="6092"/>
        <v>45689</v>
      </c>
      <c r="AB546" s="163">
        <f t="shared" si="6093"/>
        <v>45716</v>
      </c>
      <c r="AC546" s="167">
        <f t="shared" si="6094"/>
        <v>0</v>
      </c>
      <c r="AD546" s="163">
        <f t="shared" si="6095"/>
        <v>45717</v>
      </c>
      <c r="AE546" s="163">
        <f t="shared" si="6096"/>
        <v>45747</v>
      </c>
      <c r="AF546" s="167">
        <f t="shared" si="6097"/>
        <v>0</v>
      </c>
      <c r="AG546" s="163">
        <f t="shared" si="6098"/>
        <v>45748</v>
      </c>
      <c r="AH546" s="163">
        <f t="shared" si="6099"/>
        <v>45777</v>
      </c>
      <c r="AI546" s="167">
        <f t="shared" si="6100"/>
        <v>0</v>
      </c>
      <c r="AJ546" s="163">
        <f t="shared" si="6101"/>
        <v>45778</v>
      </c>
      <c r="AK546" s="163">
        <f t="shared" si="6102"/>
        <v>45808</v>
      </c>
      <c r="AL546" s="167">
        <f t="shared" si="6103"/>
        <v>0</v>
      </c>
      <c r="AM546" s="163">
        <f t="shared" si="6104"/>
        <v>45809</v>
      </c>
      <c r="AN546" s="163">
        <f t="shared" si="6105"/>
        <v>45838</v>
      </c>
      <c r="AO546" s="167">
        <f t="shared" si="6106"/>
        <v>0</v>
      </c>
      <c r="AP546" s="163">
        <f t="shared" si="6107"/>
        <v>45839</v>
      </c>
      <c r="AQ546" s="163">
        <f t="shared" si="6108"/>
        <v>45869</v>
      </c>
      <c r="AR546" s="167">
        <f t="shared" si="6109"/>
        <v>0</v>
      </c>
      <c r="AS546" s="163">
        <f t="shared" si="6110"/>
        <v>45870</v>
      </c>
      <c r="AT546" s="163">
        <f t="shared" si="6111"/>
        <v>45900</v>
      </c>
      <c r="AU546" s="167">
        <f t="shared" si="6112"/>
        <v>0</v>
      </c>
      <c r="AV546" s="163">
        <f t="shared" si="6113"/>
        <v>45901</v>
      </c>
      <c r="AW546" s="163">
        <f t="shared" si="6114"/>
        <v>45930</v>
      </c>
      <c r="AX546" s="167">
        <f t="shared" si="6115"/>
        <v>0</v>
      </c>
      <c r="AY546" s="163">
        <f t="shared" si="6116"/>
        <v>45931</v>
      </c>
      <c r="AZ546" s="163">
        <f t="shared" si="6117"/>
        <v>45961</v>
      </c>
      <c r="BA546" s="167">
        <f t="shared" si="6118"/>
        <v>0</v>
      </c>
      <c r="BB546" s="163">
        <f t="shared" si="6119"/>
        <v>45962</v>
      </c>
      <c r="BC546" s="163">
        <f t="shared" si="6120"/>
        <v>45991</v>
      </c>
      <c r="BD546" s="167">
        <f t="shared" si="6121"/>
        <v>0</v>
      </c>
      <c r="BE546" s="163">
        <f t="shared" si="6122"/>
        <v>45992</v>
      </c>
      <c r="BF546" s="163">
        <f t="shared" si="6123"/>
        <v>46022</v>
      </c>
      <c r="BG546" s="167">
        <f t="shared" si="6124"/>
        <v>0</v>
      </c>
      <c r="BH546" s="163">
        <v>46023</v>
      </c>
      <c r="BI546" s="163">
        <f t="shared" si="6125"/>
        <v>46053</v>
      </c>
      <c r="BJ546" s="167">
        <f t="shared" si="6126"/>
        <v>0</v>
      </c>
      <c r="BK546" s="163">
        <f t="shared" si="6127"/>
        <v>46054</v>
      </c>
      <c r="BL546" s="163">
        <f t="shared" si="6128"/>
        <v>46081</v>
      </c>
      <c r="BM546" s="167">
        <f t="shared" si="6129"/>
        <v>0</v>
      </c>
      <c r="BN546" s="163">
        <f t="shared" si="6130"/>
        <v>46082</v>
      </c>
      <c r="BO546" s="163">
        <f t="shared" si="6131"/>
        <v>46112</v>
      </c>
      <c r="BP546" s="167">
        <f t="shared" si="6132"/>
        <v>0</v>
      </c>
      <c r="BQ546" s="163">
        <f t="shared" si="6133"/>
        <v>46113</v>
      </c>
      <c r="BR546" s="163">
        <f t="shared" si="6134"/>
        <v>46142</v>
      </c>
      <c r="BS546" s="167">
        <f t="shared" si="6135"/>
        <v>0</v>
      </c>
      <c r="BT546" s="163">
        <f t="shared" si="6136"/>
        <v>46143</v>
      </c>
      <c r="BU546" s="163">
        <f t="shared" si="6137"/>
        <v>46173</v>
      </c>
      <c r="BV546" s="167">
        <f t="shared" si="6138"/>
        <v>0</v>
      </c>
      <c r="BW546" s="163">
        <f t="shared" si="6139"/>
        <v>46174</v>
      </c>
      <c r="BX546" s="163">
        <f t="shared" si="6140"/>
        <v>46203</v>
      </c>
      <c r="BY546" s="167">
        <f t="shared" si="6141"/>
        <v>0</v>
      </c>
      <c r="BZ546" s="163">
        <f t="shared" si="6142"/>
        <v>46204</v>
      </c>
      <c r="CA546" s="163">
        <f t="shared" si="6143"/>
        <v>46234</v>
      </c>
      <c r="CB546" s="167">
        <f t="shared" si="6144"/>
        <v>0</v>
      </c>
      <c r="CC546" s="163">
        <f t="shared" si="6145"/>
        <v>46235</v>
      </c>
      <c r="CD546" s="163">
        <f t="shared" si="6146"/>
        <v>46265</v>
      </c>
      <c r="CE546" s="167">
        <f t="shared" si="6147"/>
        <v>0</v>
      </c>
      <c r="CF546" s="163">
        <f t="shared" si="6148"/>
        <v>46266</v>
      </c>
      <c r="CG546" s="163">
        <f t="shared" si="6149"/>
        <v>46295</v>
      </c>
      <c r="CH546" s="167">
        <f t="shared" si="6150"/>
        <v>0</v>
      </c>
      <c r="CI546" s="163">
        <f t="shared" si="6151"/>
        <v>46296</v>
      </c>
      <c r="CJ546" s="163">
        <f t="shared" si="6152"/>
        <v>46326</v>
      </c>
      <c r="CK546" s="167">
        <f t="shared" si="6153"/>
        <v>0</v>
      </c>
      <c r="CL546" s="163">
        <f t="shared" si="6154"/>
        <v>46327</v>
      </c>
      <c r="CM546" s="163">
        <f t="shared" si="6155"/>
        <v>46356</v>
      </c>
      <c r="CN546" s="167">
        <f t="shared" si="6156"/>
        <v>0</v>
      </c>
      <c r="CO546" s="163">
        <f t="shared" si="6157"/>
        <v>46357</v>
      </c>
      <c r="CP546" s="163">
        <f t="shared" si="6158"/>
        <v>46387</v>
      </c>
      <c r="CQ546" s="167">
        <f t="shared" si="6159"/>
        <v>0</v>
      </c>
    </row>
    <row r="547" s="89" customFormat="1" ht="24" customHeight="1" outlineLevel="2" collapsed="1" spans="1:95">
      <c r="A547" s="128"/>
      <c r="B547" s="129"/>
      <c r="C547" s="130"/>
      <c r="D547" s="128"/>
      <c r="E547" s="129"/>
      <c r="F547" s="129"/>
      <c r="G547" s="129"/>
      <c r="H547" s="131"/>
      <c r="I547" s="131"/>
      <c r="J547" s="131">
        <f t="shared" si="6007"/>
        <v>0</v>
      </c>
      <c r="K547" s="131">
        <f t="shared" si="6160"/>
        <v>4</v>
      </c>
      <c r="L547" s="156"/>
      <c r="M547" s="157">
        <f>IFERROR(VLOOKUP($L547,'2-2 引出数据_合同数据仓库'!$B$5:$BP$200,3,FALSE),0)</f>
        <v>0</v>
      </c>
      <c r="N547" s="131"/>
      <c r="O547" s="157">
        <f>IFERROR(VLOOKUP((LEFT(VLOOKUP($L547,'2-2 引出数据_合同数据仓库'!$B$5:$BP$200,64,FALSE),15)&amp;(RIGHT(VLOOKUP($L547,'2-2 引出数据_合同数据仓库'!$B$5:$BP$200,64,FALSE),4)+1)),'2-2 引出数据_合同数据仓库'!$B$5:$BP$200,3,FALSE),0)</f>
        <v>0</v>
      </c>
      <c r="P547" s="131"/>
      <c r="Q547" s="131">
        <f>IFERROR(VLOOKUP($L547,'2-2 引出数据_合同数据仓库'!$B$5:$BP$200,28,FALSE),0)</f>
        <v>0</v>
      </c>
      <c r="R547" s="131">
        <f>IFERROR(VLOOKUP($L547,'2-2 引出数据_合同数据仓库'!$B$5:$BP$200,29,FALSE),0)</f>
        <v>0</v>
      </c>
      <c r="S547" s="131">
        <f>IFERROR(VLOOKUP($L547,'2-2 引出数据_合同数据仓库'!$B$5:$BP$200,4,FALSE),0)</f>
        <v>0</v>
      </c>
      <c r="T547" s="131"/>
      <c r="U547" s="131">
        <f>IFERROR(VLOOKUP($L547,'2-2 引出数据_合同数据仓库'!$B$5:$BP$200,15,FALSE),0)</f>
        <v>0</v>
      </c>
      <c r="V547" s="131">
        <f t="shared" si="6089"/>
        <v>0</v>
      </c>
      <c r="W547" s="131"/>
      <c r="X547" s="163">
        <v>45658</v>
      </c>
      <c r="Y547" s="163">
        <f t="shared" si="6090"/>
        <v>45688</v>
      </c>
      <c r="Z547" s="167">
        <f t="shared" si="6091"/>
        <v>0</v>
      </c>
      <c r="AA547" s="163">
        <f t="shared" si="6092"/>
        <v>45689</v>
      </c>
      <c r="AB547" s="163">
        <f t="shared" si="6093"/>
        <v>45716</v>
      </c>
      <c r="AC547" s="167">
        <f t="shared" si="6094"/>
        <v>0</v>
      </c>
      <c r="AD547" s="163">
        <f t="shared" si="6095"/>
        <v>45717</v>
      </c>
      <c r="AE547" s="163">
        <f t="shared" si="6096"/>
        <v>45747</v>
      </c>
      <c r="AF547" s="167">
        <f t="shared" si="6097"/>
        <v>0</v>
      </c>
      <c r="AG547" s="163">
        <f t="shared" si="6098"/>
        <v>45748</v>
      </c>
      <c r="AH547" s="163">
        <f t="shared" si="6099"/>
        <v>45777</v>
      </c>
      <c r="AI547" s="167">
        <f t="shared" si="6100"/>
        <v>0</v>
      </c>
      <c r="AJ547" s="163">
        <f t="shared" si="6101"/>
        <v>45778</v>
      </c>
      <c r="AK547" s="163">
        <f t="shared" si="6102"/>
        <v>45808</v>
      </c>
      <c r="AL547" s="167">
        <f t="shared" si="6103"/>
        <v>0</v>
      </c>
      <c r="AM547" s="163">
        <f t="shared" si="6104"/>
        <v>45809</v>
      </c>
      <c r="AN547" s="163">
        <f t="shared" si="6105"/>
        <v>45838</v>
      </c>
      <c r="AO547" s="167">
        <f t="shared" si="6106"/>
        <v>0</v>
      </c>
      <c r="AP547" s="163">
        <f t="shared" si="6107"/>
        <v>45839</v>
      </c>
      <c r="AQ547" s="163">
        <f t="shared" si="6108"/>
        <v>45869</v>
      </c>
      <c r="AR547" s="167">
        <f t="shared" si="6109"/>
        <v>0</v>
      </c>
      <c r="AS547" s="163">
        <f t="shared" si="6110"/>
        <v>45870</v>
      </c>
      <c r="AT547" s="163">
        <f t="shared" si="6111"/>
        <v>45900</v>
      </c>
      <c r="AU547" s="167">
        <f t="shared" si="6112"/>
        <v>0</v>
      </c>
      <c r="AV547" s="163">
        <f t="shared" si="6113"/>
        <v>45901</v>
      </c>
      <c r="AW547" s="163">
        <f t="shared" si="6114"/>
        <v>45930</v>
      </c>
      <c r="AX547" s="167">
        <f t="shared" si="6115"/>
        <v>0</v>
      </c>
      <c r="AY547" s="163">
        <f t="shared" si="6116"/>
        <v>45931</v>
      </c>
      <c r="AZ547" s="163">
        <f t="shared" si="6117"/>
        <v>45961</v>
      </c>
      <c r="BA547" s="167">
        <f t="shared" si="6118"/>
        <v>0</v>
      </c>
      <c r="BB547" s="163">
        <f t="shared" si="6119"/>
        <v>45962</v>
      </c>
      <c r="BC547" s="163">
        <f t="shared" si="6120"/>
        <v>45991</v>
      </c>
      <c r="BD547" s="167">
        <f t="shared" si="6121"/>
        <v>0</v>
      </c>
      <c r="BE547" s="163">
        <f t="shared" si="6122"/>
        <v>45992</v>
      </c>
      <c r="BF547" s="163">
        <f t="shared" si="6123"/>
        <v>46022</v>
      </c>
      <c r="BG547" s="167">
        <f t="shared" si="6124"/>
        <v>0</v>
      </c>
      <c r="BH547" s="163">
        <v>46023</v>
      </c>
      <c r="BI547" s="163">
        <f t="shared" si="6125"/>
        <v>46053</v>
      </c>
      <c r="BJ547" s="167">
        <f t="shared" si="6126"/>
        <v>0</v>
      </c>
      <c r="BK547" s="163">
        <f t="shared" si="6127"/>
        <v>46054</v>
      </c>
      <c r="BL547" s="163">
        <f t="shared" si="6128"/>
        <v>46081</v>
      </c>
      <c r="BM547" s="167">
        <f t="shared" si="6129"/>
        <v>0</v>
      </c>
      <c r="BN547" s="163">
        <f t="shared" si="6130"/>
        <v>46082</v>
      </c>
      <c r="BO547" s="163">
        <f t="shared" si="6131"/>
        <v>46112</v>
      </c>
      <c r="BP547" s="167">
        <f t="shared" si="6132"/>
        <v>0</v>
      </c>
      <c r="BQ547" s="163">
        <f t="shared" si="6133"/>
        <v>46113</v>
      </c>
      <c r="BR547" s="163">
        <f t="shared" si="6134"/>
        <v>46142</v>
      </c>
      <c r="BS547" s="167">
        <f t="shared" si="6135"/>
        <v>0</v>
      </c>
      <c r="BT547" s="163">
        <f t="shared" si="6136"/>
        <v>46143</v>
      </c>
      <c r="BU547" s="163">
        <f t="shared" si="6137"/>
        <v>46173</v>
      </c>
      <c r="BV547" s="167">
        <f t="shared" si="6138"/>
        <v>0</v>
      </c>
      <c r="BW547" s="163">
        <f t="shared" si="6139"/>
        <v>46174</v>
      </c>
      <c r="BX547" s="163">
        <f t="shared" si="6140"/>
        <v>46203</v>
      </c>
      <c r="BY547" s="167">
        <f t="shared" si="6141"/>
        <v>0</v>
      </c>
      <c r="BZ547" s="163">
        <f t="shared" si="6142"/>
        <v>46204</v>
      </c>
      <c r="CA547" s="163">
        <f t="shared" si="6143"/>
        <v>46234</v>
      </c>
      <c r="CB547" s="167">
        <f t="shared" si="6144"/>
        <v>0</v>
      </c>
      <c r="CC547" s="163">
        <f t="shared" si="6145"/>
        <v>46235</v>
      </c>
      <c r="CD547" s="163">
        <f t="shared" si="6146"/>
        <v>46265</v>
      </c>
      <c r="CE547" s="167">
        <f t="shared" si="6147"/>
        <v>0</v>
      </c>
      <c r="CF547" s="163">
        <f t="shared" si="6148"/>
        <v>46266</v>
      </c>
      <c r="CG547" s="163">
        <f t="shared" si="6149"/>
        <v>46295</v>
      </c>
      <c r="CH547" s="167">
        <f t="shared" si="6150"/>
        <v>0</v>
      </c>
      <c r="CI547" s="163">
        <f t="shared" si="6151"/>
        <v>46296</v>
      </c>
      <c r="CJ547" s="163">
        <f t="shared" si="6152"/>
        <v>46326</v>
      </c>
      <c r="CK547" s="167">
        <f t="shared" si="6153"/>
        <v>0</v>
      </c>
      <c r="CL547" s="163">
        <f t="shared" si="6154"/>
        <v>46327</v>
      </c>
      <c r="CM547" s="163">
        <f t="shared" si="6155"/>
        <v>46356</v>
      </c>
      <c r="CN547" s="167">
        <f t="shared" si="6156"/>
        <v>0</v>
      </c>
      <c r="CO547" s="163">
        <f t="shared" si="6157"/>
        <v>46357</v>
      </c>
      <c r="CP547" s="163">
        <f t="shared" si="6158"/>
        <v>46387</v>
      </c>
      <c r="CQ547" s="167">
        <f t="shared" si="6159"/>
        <v>0</v>
      </c>
    </row>
    <row r="548" s="89" customFormat="1" ht="24" hidden="1" customHeight="1" outlineLevel="4" spans="1:95">
      <c r="A548" s="132" t="s">
        <v>2813</v>
      </c>
      <c r="B548" s="133"/>
      <c r="C548" s="133"/>
      <c r="D548" s="133"/>
      <c r="E548" s="133"/>
      <c r="F548" s="133"/>
      <c r="G548" s="134"/>
      <c r="H548" s="135"/>
      <c r="I548" s="135"/>
      <c r="J548" s="135"/>
      <c r="K548" s="135"/>
      <c r="L548" s="158"/>
      <c r="M548" s="158"/>
      <c r="N548" s="158"/>
      <c r="O548" s="158"/>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c r="CL548" s="135"/>
      <c r="CM548" s="135"/>
      <c r="CN548" s="135"/>
      <c r="CO548" s="135"/>
      <c r="CP548" s="135"/>
      <c r="CQ548" s="135"/>
    </row>
    <row r="549" ht="24" customHeight="1" outlineLevel="1" spans="1:95">
      <c r="A549" s="14"/>
      <c r="B549" s="118" t="s">
        <v>792</v>
      </c>
      <c r="C549" s="119" t="s">
        <v>2198</v>
      </c>
      <c r="D549" s="14" t="s">
        <v>2199</v>
      </c>
      <c r="E549" s="118"/>
      <c r="F549" s="118"/>
      <c r="G549" s="118"/>
      <c r="H549" s="120">
        <f>X549+AA549+AD549+AG549+AJ549+AM549+AP549+AS549+AV549+AY549+BB549+BE549</f>
        <v>0</v>
      </c>
      <c r="I549" s="120">
        <f>Y549+AB549+AE549+AH549+AK549+AN549+AQ549+AT549+AW549+AZ549+BC549+BF549</f>
        <v>0</v>
      </c>
      <c r="J549" s="120">
        <f t="shared" si="6007"/>
        <v>0</v>
      </c>
      <c r="K549" s="120"/>
      <c r="L549" s="153"/>
      <c r="M549" s="153"/>
      <c r="N549" s="153"/>
      <c r="O549" s="153"/>
      <c r="P549" s="120"/>
      <c r="Q549" s="120"/>
      <c r="R549" s="120"/>
      <c r="S549" s="120"/>
      <c r="T549" s="120"/>
      <c r="U549" s="120"/>
      <c r="V549" s="120"/>
      <c r="W549" s="120"/>
      <c r="X549" s="120">
        <f>VLOOKUP($C549,'1 预算编制表单'!$C:$BJ,27,FALSE)</f>
        <v>0</v>
      </c>
      <c r="Y549" s="120">
        <f>X549-Z549</f>
        <v>0</v>
      </c>
      <c r="Z549" s="120">
        <f>SUM(Z550:Z554)</f>
        <v>0</v>
      </c>
      <c r="AA549" s="120">
        <f>VLOOKUP($C549,'1 预算编制表单'!$C:$BJ,30,FALSE)</f>
        <v>0</v>
      </c>
      <c r="AB549" s="120">
        <f>AA549-AC549</f>
        <v>0</v>
      </c>
      <c r="AC549" s="120">
        <f>SUM(AC550:AC554)</f>
        <v>0</v>
      </c>
      <c r="AD549" s="120">
        <f>VLOOKUP($C549,'1 预算编制表单'!$C:$BJ,33,FALSE)</f>
        <v>0</v>
      </c>
      <c r="AE549" s="120">
        <f>AD549-AF549</f>
        <v>0</v>
      </c>
      <c r="AF549" s="120">
        <f>SUM(AF550:AF554)</f>
        <v>0</v>
      </c>
      <c r="AG549" s="120">
        <f>VLOOKUP($C549,'1 预算编制表单'!$C:$BJ,36,FALSE)</f>
        <v>0</v>
      </c>
      <c r="AH549" s="120">
        <f>AG549-AI549</f>
        <v>0</v>
      </c>
      <c r="AI549" s="120">
        <f>SUM(AI550:AI554)</f>
        <v>0</v>
      </c>
      <c r="AJ549" s="120">
        <f>VLOOKUP($C549,'1 预算编制表单'!$C:$BJ,39,FALSE)</f>
        <v>0</v>
      </c>
      <c r="AK549" s="120">
        <f>AJ549-AL549</f>
        <v>0</v>
      </c>
      <c r="AL549" s="120">
        <f>SUM(AL550:AL554)</f>
        <v>0</v>
      </c>
      <c r="AM549" s="120">
        <f>VLOOKUP($C549,'1 预算编制表单'!$C:$BJ,42,FALSE)</f>
        <v>0</v>
      </c>
      <c r="AN549" s="120">
        <f>AM549-AO549</f>
        <v>0</v>
      </c>
      <c r="AO549" s="120">
        <f>SUM(AO550:AO554)</f>
        <v>0</v>
      </c>
      <c r="AP549" s="120">
        <f>VLOOKUP($C549,'1 预算编制表单'!$C:$BJ,45,FALSE)</f>
        <v>0</v>
      </c>
      <c r="AQ549" s="120">
        <f>AP549-AR549</f>
        <v>0</v>
      </c>
      <c r="AR549" s="120">
        <f>SUM(AR550:AR554)</f>
        <v>0</v>
      </c>
      <c r="AS549" s="120">
        <f>VLOOKUP($C549,'1 预算编制表单'!$C:$BJ,48,FALSE)</f>
        <v>0</v>
      </c>
      <c r="AT549" s="120">
        <f>AS549-AU549</f>
        <v>0</v>
      </c>
      <c r="AU549" s="120">
        <f>SUM(AU550:AU554)</f>
        <v>0</v>
      </c>
      <c r="AV549" s="120">
        <f>VLOOKUP($C549,'1 预算编制表单'!$C:$BJ,51,FALSE)</f>
        <v>0</v>
      </c>
      <c r="AW549" s="120">
        <f>AV549-AX549</f>
        <v>0</v>
      </c>
      <c r="AX549" s="120">
        <f>SUM(AX550:AX554)</f>
        <v>0</v>
      </c>
      <c r="AY549" s="120">
        <f>VLOOKUP($C549,'1 预算编制表单'!$C:$BJ,54,FALSE)</f>
        <v>0</v>
      </c>
      <c r="AZ549" s="120">
        <f>AY549-BA549</f>
        <v>0</v>
      </c>
      <c r="BA549" s="120">
        <f>SUM(BA550:BA554)</f>
        <v>0</v>
      </c>
      <c r="BB549" s="120">
        <f>VLOOKUP($C549,'1 预算编制表单'!$C:$BJ,57,FALSE)</f>
        <v>0</v>
      </c>
      <c r="BC549" s="120">
        <f>BB549-BD549</f>
        <v>0</v>
      </c>
      <c r="BD549" s="120">
        <f>SUM(BD550:BD554)</f>
        <v>0</v>
      </c>
      <c r="BE549" s="120">
        <f>VLOOKUP($C549,'1 预算编制表单'!$C:$BJ,60,FALSE)</f>
        <v>0</v>
      </c>
      <c r="BF549" s="120">
        <f>BE549-BG549</f>
        <v>0</v>
      </c>
      <c r="BG549" s="120">
        <f>SUM(BG550:BG554)</f>
        <v>0</v>
      </c>
      <c r="BH549" s="120">
        <f>VLOOKUP($C549,'1 预算编制表单'!$C:$BJ,27,FALSE)</f>
        <v>0</v>
      </c>
      <c r="BI549" s="120">
        <f>BH549-BJ549</f>
        <v>0</v>
      </c>
      <c r="BJ549" s="120">
        <f>SUM(BJ550:BJ554)</f>
        <v>0</v>
      </c>
      <c r="BK549" s="120">
        <f>VLOOKUP($C549,'1 预算编制表单'!$C:$BJ,30,FALSE)</f>
        <v>0</v>
      </c>
      <c r="BL549" s="120">
        <f>BK549-BM549</f>
        <v>0</v>
      </c>
      <c r="BM549" s="120">
        <f>SUM(BM550:BM554)</f>
        <v>0</v>
      </c>
      <c r="BN549" s="120">
        <f>VLOOKUP($C549,'1 预算编制表单'!$C:$BJ,33,FALSE)</f>
        <v>0</v>
      </c>
      <c r="BO549" s="120">
        <f>BN549-BP549</f>
        <v>0</v>
      </c>
      <c r="BP549" s="120">
        <f>SUM(BP550:BP554)</f>
        <v>0</v>
      </c>
      <c r="BQ549" s="120">
        <f>VLOOKUP($C549,'1 预算编制表单'!$C:$BJ,36,FALSE)</f>
        <v>0</v>
      </c>
      <c r="BR549" s="120">
        <f>BQ549-BS549</f>
        <v>0</v>
      </c>
      <c r="BS549" s="120">
        <f>SUM(BS550:BS554)</f>
        <v>0</v>
      </c>
      <c r="BT549" s="120">
        <f>VLOOKUP($C549,'1 预算编制表单'!$C:$BJ,39,FALSE)</f>
        <v>0</v>
      </c>
      <c r="BU549" s="120">
        <f>BT549-BV549</f>
        <v>0</v>
      </c>
      <c r="BV549" s="120">
        <f>SUM(BV550:BV554)</f>
        <v>0</v>
      </c>
      <c r="BW549" s="120">
        <f>VLOOKUP($C549,'1 预算编制表单'!$C:$BJ,42,FALSE)</f>
        <v>0</v>
      </c>
      <c r="BX549" s="120">
        <f>BW549-BY549</f>
        <v>0</v>
      </c>
      <c r="BY549" s="120">
        <f>SUM(BY550:BY554)</f>
        <v>0</v>
      </c>
      <c r="BZ549" s="120">
        <f>VLOOKUP($C549,'1 预算编制表单'!$C:$BJ,45,FALSE)</f>
        <v>0</v>
      </c>
      <c r="CA549" s="120">
        <f>BZ549-CB549</f>
        <v>0</v>
      </c>
      <c r="CB549" s="120">
        <f>SUM(CB550:CB554)</f>
        <v>0</v>
      </c>
      <c r="CC549" s="120">
        <f>VLOOKUP($C549,'1 预算编制表单'!$C:$BJ,48,FALSE)</f>
        <v>0</v>
      </c>
      <c r="CD549" s="120">
        <f>CC549-CE549</f>
        <v>0</v>
      </c>
      <c r="CE549" s="120">
        <f>SUM(CE550:CE554)</f>
        <v>0</v>
      </c>
      <c r="CF549" s="120">
        <f>VLOOKUP($C549,'1 预算编制表单'!$C:$BJ,51,FALSE)</f>
        <v>0</v>
      </c>
      <c r="CG549" s="120">
        <f>CF549-CH549</f>
        <v>0</v>
      </c>
      <c r="CH549" s="120">
        <f>SUM(CH550:CH554)</f>
        <v>0</v>
      </c>
      <c r="CI549" s="120">
        <f>VLOOKUP($C549,'1 预算编制表单'!$C:$BJ,54,FALSE)</f>
        <v>0</v>
      </c>
      <c r="CJ549" s="120">
        <f>CI549-CK549</f>
        <v>0</v>
      </c>
      <c r="CK549" s="120">
        <f>SUM(CK550:CK554)</f>
        <v>0</v>
      </c>
      <c r="CL549" s="120">
        <f>VLOOKUP($C549,'1 预算编制表单'!$C:$BJ,57,FALSE)</f>
        <v>0</v>
      </c>
      <c r="CM549" s="120">
        <f>CL549-CN549</f>
        <v>0</v>
      </c>
      <c r="CN549" s="120">
        <f>SUM(CN550:CN554)</f>
        <v>0</v>
      </c>
      <c r="CO549" s="120">
        <f>VLOOKUP($C549,'1 预算编制表单'!$C:$BJ,60,FALSE)</f>
        <v>0</v>
      </c>
      <c r="CP549" s="120">
        <f>CO549-CQ549</f>
        <v>0</v>
      </c>
      <c r="CQ549" s="120">
        <f>SUM(CQ550:CQ554)</f>
        <v>0</v>
      </c>
    </row>
    <row r="550" s="89" customFormat="1" ht="24" customHeight="1" outlineLevel="2" spans="1:95">
      <c r="A550" s="128"/>
      <c r="B550" s="129"/>
      <c r="C550" s="130"/>
      <c r="D550" s="128"/>
      <c r="E550" s="129"/>
      <c r="F550" s="129"/>
      <c r="G550" s="129"/>
      <c r="H550" s="131"/>
      <c r="I550" s="131"/>
      <c r="J550" s="131">
        <f t="shared" si="6007"/>
        <v>0</v>
      </c>
      <c r="K550" s="131">
        <v>1</v>
      </c>
      <c r="L550" s="156"/>
      <c r="M550" s="157">
        <f>IFERROR(VLOOKUP($L550,'2-2 引出数据_合同数据仓库'!$B$5:$BP$200,3,FALSE),0)</f>
        <v>0</v>
      </c>
      <c r="N550" s="131"/>
      <c r="O550" s="157">
        <f>IFERROR(VLOOKUP((LEFT(VLOOKUP($L550,'2-2 引出数据_合同数据仓库'!$B$5:$BP$200,64,FALSE),15)&amp;(RIGHT(VLOOKUP($L550,'2-2 引出数据_合同数据仓库'!$B$5:$BP$200,64,FALSE),4)+1)),'2-2 引出数据_合同数据仓库'!$B$5:$BP$200,3,FALSE),0)</f>
        <v>0</v>
      </c>
      <c r="P550" s="131"/>
      <c r="Q550" s="131">
        <f>IFERROR(VLOOKUP($L550,'2-2 引出数据_合同数据仓库'!$B$5:$BP$200,28,FALSE),0)</f>
        <v>0</v>
      </c>
      <c r="R550" s="131">
        <f>IFERROR(VLOOKUP($L550,'2-2 引出数据_合同数据仓库'!$B$5:$BP$200,29,FALSE),0)</f>
        <v>0</v>
      </c>
      <c r="S550" s="131">
        <f>IFERROR(VLOOKUP($L550,'2-2 引出数据_合同数据仓库'!$B$5:$BP$200,4,FALSE),0)</f>
        <v>0</v>
      </c>
      <c r="T550" s="131"/>
      <c r="U550" s="131">
        <f>IFERROR(VLOOKUP($L550,'2-2 引出数据_合同数据仓库'!$B$5:$BP$200,15,FALSE),0)</f>
        <v>0</v>
      </c>
      <c r="V550" s="131">
        <f t="shared" ref="V550:V553" si="6161">U550/(S550-R550+1)*365</f>
        <v>0</v>
      </c>
      <c r="W550" s="131"/>
      <c r="X550" s="163">
        <v>45658</v>
      </c>
      <c r="Y550" s="163">
        <f t="shared" ref="Y550:Y553" si="6162">X550+30</f>
        <v>45688</v>
      </c>
      <c r="Z550" s="167">
        <f t="shared" ref="Z550:Z553" si="6163">IFERROR(IF(($R550-Y550)&gt;=0,0,IF(($S550-X550)&lt;0,0,IF(AND(($S550-Y550)&gt;0,(X550-$R550)&gt;0),$V550/365*(Y550-X550+1),IF(AND(($S550-Y550)&lt;=0,(X550-$R550)&gt;0),$V550/365*($S550-X550+1),$V550/365*(Y550-$R550+1))))),0)</f>
        <v>0</v>
      </c>
      <c r="AA550" s="163">
        <f t="shared" ref="AA550:AA553" si="6164">Y550+1</f>
        <v>45689</v>
      </c>
      <c r="AB550" s="163">
        <f t="shared" ref="AB550:AB553" si="6165">AA550+27</f>
        <v>45716</v>
      </c>
      <c r="AC550" s="167">
        <f t="shared" ref="AC550:AC553" si="6166">IFERROR(IF(($R550-AB550)&gt;=0,0,IF(($S550-AA550)&lt;0,0,IF(AND(($S550-AB550)&gt;0,(AA550-$R550)&gt;0),$V550/365*(AB550-AA550+1),IF(AND(($S550-AB550)&lt;=0,(AA550-$R550)&gt;0),$V550/365*($S550-AA550+1),$V550/365*(AB550-$R550+1))))),0)</f>
        <v>0</v>
      </c>
      <c r="AD550" s="163">
        <f t="shared" ref="AD550:AD553" si="6167">AB550+1</f>
        <v>45717</v>
      </c>
      <c r="AE550" s="163">
        <f t="shared" ref="AE550:AE553" si="6168">AD550+30</f>
        <v>45747</v>
      </c>
      <c r="AF550" s="167">
        <f t="shared" ref="AF550:AF553" si="6169">IFERROR(IF(($R550-AE550)&gt;=0,0,IF(($S550-AD550)&lt;0,0,IF(AND(($S550-AE550)&gt;0,(AD550-$R550)&gt;0),$V550/365*(AE550-AD550+1),IF(AND(($S550-AE550)&lt;=0,(AD550-$R550)&gt;0),$V550/365*($S550-AD550+1),$V550/365*(AE550-$R550+1))))),0)</f>
        <v>0</v>
      </c>
      <c r="AG550" s="163">
        <f t="shared" ref="AG550:AG553" si="6170">AE550+1</f>
        <v>45748</v>
      </c>
      <c r="AH550" s="163">
        <f t="shared" ref="AH550:AH553" si="6171">AG550+29</f>
        <v>45777</v>
      </c>
      <c r="AI550" s="167">
        <f t="shared" ref="AI550:AI553" si="6172">IFERROR(IF(($R550-AH550)&gt;=0,0,IF(($S550-AG550)&lt;0,0,IF(AND(($S550-AH550)&gt;0,(AG550-$R550)&gt;0),$V550/365*(AH550-AG550+1),IF(AND(($S550-AH550)&lt;=0,(AG550-$R550)&gt;0),$V550/365*($S550-AG550+1),$V550/365*(AH550-$R550+1))))),0)</f>
        <v>0</v>
      </c>
      <c r="AJ550" s="163">
        <f t="shared" ref="AJ550:AJ553" si="6173">AH550+1</f>
        <v>45778</v>
      </c>
      <c r="AK550" s="163">
        <f t="shared" ref="AK550:AK553" si="6174">AJ550+30</f>
        <v>45808</v>
      </c>
      <c r="AL550" s="167">
        <f t="shared" ref="AL550:AL553" si="6175">IFERROR(IF(($R550-AK550)&gt;=0,0,IF(($S550-AJ550)&lt;0,0,IF(AND(($S550-AK550)&gt;0,(AJ550-$R550)&gt;0),$V550/365*(AK550-AJ550+1),IF(AND(($S550-AK550)&lt;=0,(AJ550-$R550)&gt;0),$V550/365*($S550-AJ550+1),$V550/365*(AK550-$R550+1))))),0)</f>
        <v>0</v>
      </c>
      <c r="AM550" s="163">
        <f t="shared" ref="AM550:AM553" si="6176">AK550+1</f>
        <v>45809</v>
      </c>
      <c r="AN550" s="163">
        <f t="shared" ref="AN550:AN553" si="6177">AM550+29</f>
        <v>45838</v>
      </c>
      <c r="AO550" s="167">
        <f t="shared" ref="AO550:AO553" si="6178">IFERROR(IF(($R550-AN550)&gt;=0,0,IF(($S550-AM550)&lt;0,0,IF(AND(($S550-AN550)&gt;0,(AM550-$R550)&gt;0),$V550/365*(AN550-AM550+1),IF(AND(($S550-AN550)&lt;=0,(AM550-$R550)&gt;0),$V550/365*($S550-AM550+1),$V550/365*(AN550-$R550+1))))),0)</f>
        <v>0</v>
      </c>
      <c r="AP550" s="163">
        <f t="shared" ref="AP550:AP553" si="6179">AN550+1</f>
        <v>45839</v>
      </c>
      <c r="AQ550" s="163">
        <f t="shared" ref="AQ550:AQ553" si="6180">AP550+30</f>
        <v>45869</v>
      </c>
      <c r="AR550" s="167">
        <f t="shared" ref="AR550:AR553" si="6181">IFERROR(IF(($R550-AQ550)&gt;=0,0,IF(($S550-AP550)&lt;0,0,IF(AND(($S550-AQ550)&gt;0,(AP550-$R550)&gt;0),$V550/365*(AQ550-AP550+1),IF(AND(($S550-AQ550)&lt;=0,(AP550-$R550)&gt;0),$V550/365*($S550-AP550+1),$V550/365*(AQ550-$R550+1))))),0)</f>
        <v>0</v>
      </c>
      <c r="AS550" s="163">
        <f t="shared" ref="AS550:AS553" si="6182">AQ550+1</f>
        <v>45870</v>
      </c>
      <c r="AT550" s="163">
        <f t="shared" ref="AT550:AT553" si="6183">AS550+30</f>
        <v>45900</v>
      </c>
      <c r="AU550" s="167">
        <f t="shared" ref="AU550:AU553" si="6184">IFERROR(IF(($R550-AT550)&gt;=0,0,IF(($S550-AS550)&lt;0,0,IF(AND(($S550-AT550)&gt;0,(AS550-$R550)&gt;0),$V550/365*(AT550-AS550+1),IF(AND(($S550-AT550)&lt;=0,(AS550-$R550)&gt;0),$V550/365*($S550-AS550+1),$V550/365*(AT550-$R550+1))))),0)</f>
        <v>0</v>
      </c>
      <c r="AV550" s="163">
        <f t="shared" ref="AV550:AV553" si="6185">AT550+1</f>
        <v>45901</v>
      </c>
      <c r="AW550" s="163">
        <f t="shared" ref="AW550:AW553" si="6186">AV550+29</f>
        <v>45930</v>
      </c>
      <c r="AX550" s="167">
        <f t="shared" ref="AX550:AX553" si="6187">IFERROR(IF(($R550-AW550)&gt;=0,0,IF(($S550-AV550)&lt;0,0,IF(AND(($S550-AW550)&gt;0,(AV550-$R550)&gt;0),$V550/365*(AW550-AV550+1),IF(AND(($S550-AW550)&lt;=0,(AV550-$R550)&gt;0),$V550/365*($S550-AV550+1),$V550/365*(AW550-$R550+1))))),0)</f>
        <v>0</v>
      </c>
      <c r="AY550" s="163">
        <f t="shared" ref="AY550:AY553" si="6188">AW550+1</f>
        <v>45931</v>
      </c>
      <c r="AZ550" s="163">
        <f t="shared" ref="AZ550:AZ553" si="6189">AY550+30</f>
        <v>45961</v>
      </c>
      <c r="BA550" s="167">
        <f t="shared" ref="BA550:BA553" si="6190">IFERROR(IF(($R550-AZ550)&gt;=0,0,IF(($S550-AY550)&lt;0,0,IF(AND(($S550-AZ550)&gt;0,(AY550-$R550)&gt;0),$V550/365*(AZ550-AY550+1),IF(AND(($S550-AZ550)&lt;=0,(AY550-$R550)&gt;0),$V550/365*($S550-AY550+1),$V550/365*(AZ550-$R550+1))))),0)</f>
        <v>0</v>
      </c>
      <c r="BB550" s="163">
        <f t="shared" ref="BB550:BB553" si="6191">AZ550+1</f>
        <v>45962</v>
      </c>
      <c r="BC550" s="163">
        <f t="shared" ref="BC550:BC553" si="6192">BB550+29</f>
        <v>45991</v>
      </c>
      <c r="BD550" s="167">
        <f t="shared" ref="BD550:BD553" si="6193">IFERROR(IF(($R550-BC550)&gt;=0,0,IF(($S550-BB550)&lt;0,0,IF(AND(($S550-BC550)&gt;0,(BB550-$R550)&gt;0),$V550/365*(BC550-BB550+1),IF(AND(($S550-BC550)&lt;=0,(BB550-$R550)&gt;0),$V550/365*($S550-BB550+1),$V550/365*(BC550-$R550+1))))),0)</f>
        <v>0</v>
      </c>
      <c r="BE550" s="163">
        <f t="shared" ref="BE550:BE553" si="6194">BC550+1</f>
        <v>45992</v>
      </c>
      <c r="BF550" s="163">
        <f t="shared" ref="BF550:BF553" si="6195">BE550+30</f>
        <v>46022</v>
      </c>
      <c r="BG550" s="167">
        <f t="shared" ref="BG550:BG553" si="6196">IFERROR(IF(($R550-BF550)&gt;=0,0,IF(($S550-BE550)&lt;0,0,IF(AND(($S550-BF550)&gt;0,(BE550-$R550)&gt;0),$V550/365*(BF550-BE550+1),IF(AND(($S550-BF550)&lt;=0,(BE550-$R550)&gt;0),$V550/365*($S550-BE550+1),$V550/365*(BF550-$R550+1))))),0)</f>
        <v>0</v>
      </c>
      <c r="BH550" s="163">
        <v>46023</v>
      </c>
      <c r="BI550" s="163">
        <f t="shared" ref="BI550:BI553" si="6197">BH550+30</f>
        <v>46053</v>
      </c>
      <c r="BJ550" s="167">
        <f t="shared" ref="BJ550:BJ553" si="6198">IFERROR(IF(($R550-BI550)&gt;=0,0,IF(($S550-BH550)&lt;0,0,IF(AND(($S550-BI550)&gt;0,(BH550-$R550)&gt;0),$V550/365*(BI550-BH550+1),IF(AND(($S550-BI550)&lt;=0,(BH550-$R550)&gt;0),$V550/365*($S550-BH550+1),$V550/365*(BI550-$R550+1))))),0)</f>
        <v>0</v>
      </c>
      <c r="BK550" s="163">
        <f t="shared" ref="BK550:BK553" si="6199">BI550+1</f>
        <v>46054</v>
      </c>
      <c r="BL550" s="163">
        <f t="shared" ref="BL550:BL553" si="6200">BK550+27</f>
        <v>46081</v>
      </c>
      <c r="BM550" s="167">
        <f t="shared" ref="BM550:BM553" si="6201">IFERROR(IF(($R550-BL550)&gt;=0,0,IF(($S550-BK550)&lt;0,0,IF(AND(($S550-BL550)&gt;0,(BK550-$R550)&gt;0),$V550/365*(BL550-BK550+1),IF(AND(($S550-BL550)&lt;=0,(BK550-$R550)&gt;0),$V550/365*($S550-BK550+1),$V550/365*(BL550-$R550+1))))),0)</f>
        <v>0</v>
      </c>
      <c r="BN550" s="163">
        <f t="shared" ref="BN550:BN553" si="6202">BL550+1</f>
        <v>46082</v>
      </c>
      <c r="BO550" s="163">
        <f t="shared" ref="BO550:BO553" si="6203">BN550+30</f>
        <v>46112</v>
      </c>
      <c r="BP550" s="167">
        <f t="shared" ref="BP550:BP553" si="6204">IFERROR(IF(($R550-BO550)&gt;=0,0,IF(($S550-BN550)&lt;0,0,IF(AND(($S550-BO550)&gt;0,(BN550-$R550)&gt;0),$V550/365*(BO550-BN550+1),IF(AND(($S550-BO550)&lt;=0,(BN550-$R550)&gt;0),$V550/365*($S550-BN550+1),$V550/365*(BO550-$R550+1))))),0)</f>
        <v>0</v>
      </c>
      <c r="BQ550" s="163">
        <f t="shared" ref="BQ550:BQ553" si="6205">BO550+1</f>
        <v>46113</v>
      </c>
      <c r="BR550" s="163">
        <f t="shared" ref="BR550:BR553" si="6206">BQ550+29</f>
        <v>46142</v>
      </c>
      <c r="BS550" s="167">
        <f t="shared" ref="BS550:BS553" si="6207">IFERROR(IF(($R550-BR550)&gt;=0,0,IF(($S550-BQ550)&lt;0,0,IF(AND(($S550-BR550)&gt;0,(BQ550-$R550)&gt;0),$V550/365*(BR550-BQ550+1),IF(AND(($S550-BR550)&lt;=0,(BQ550-$R550)&gt;0),$V550/365*($S550-BQ550+1),$V550/365*(BR550-$R550+1))))),0)</f>
        <v>0</v>
      </c>
      <c r="BT550" s="163">
        <f t="shared" ref="BT550:BT553" si="6208">BR550+1</f>
        <v>46143</v>
      </c>
      <c r="BU550" s="163">
        <f t="shared" ref="BU550:BU553" si="6209">BT550+30</f>
        <v>46173</v>
      </c>
      <c r="BV550" s="167">
        <f t="shared" ref="BV550:BV553" si="6210">IFERROR(IF(($R550-BU550)&gt;=0,0,IF(($S550-BT550)&lt;0,0,IF(AND(($S550-BU550)&gt;0,(BT550-$R550)&gt;0),$V550/365*(BU550-BT550+1),IF(AND(($S550-BU550)&lt;=0,(BT550-$R550)&gt;0),$V550/365*($S550-BT550+1),$V550/365*(BU550-$R550+1))))),0)</f>
        <v>0</v>
      </c>
      <c r="BW550" s="163">
        <f t="shared" ref="BW550:BW553" si="6211">BU550+1</f>
        <v>46174</v>
      </c>
      <c r="BX550" s="163">
        <f t="shared" ref="BX550:BX553" si="6212">BW550+29</f>
        <v>46203</v>
      </c>
      <c r="BY550" s="167">
        <f t="shared" ref="BY550:BY553" si="6213">IFERROR(IF(($R550-BX550)&gt;=0,0,IF(($S550-BW550)&lt;0,0,IF(AND(($S550-BX550)&gt;0,(BW550-$R550)&gt;0),$V550/365*(BX550-BW550+1),IF(AND(($S550-BX550)&lt;=0,(BW550-$R550)&gt;0),$V550/365*($S550-BW550+1),$V550/365*(BX550-$R550+1))))),0)</f>
        <v>0</v>
      </c>
      <c r="BZ550" s="163">
        <f t="shared" ref="BZ550:BZ553" si="6214">BX550+1</f>
        <v>46204</v>
      </c>
      <c r="CA550" s="163">
        <f t="shared" ref="CA550:CA553" si="6215">BZ550+30</f>
        <v>46234</v>
      </c>
      <c r="CB550" s="167">
        <f t="shared" ref="CB550:CB553" si="6216">IFERROR(IF(($R550-CA550)&gt;=0,0,IF(($S550-BZ550)&lt;0,0,IF(AND(($S550-CA550)&gt;0,(BZ550-$R550)&gt;0),$V550/365*(CA550-BZ550+1),IF(AND(($S550-CA550)&lt;=0,(BZ550-$R550)&gt;0),$V550/365*($S550-BZ550+1),$V550/365*(CA550-$R550+1))))),0)</f>
        <v>0</v>
      </c>
      <c r="CC550" s="163">
        <f t="shared" ref="CC550:CC553" si="6217">CA550+1</f>
        <v>46235</v>
      </c>
      <c r="CD550" s="163">
        <f t="shared" ref="CD550:CD553" si="6218">CC550+30</f>
        <v>46265</v>
      </c>
      <c r="CE550" s="167">
        <f t="shared" ref="CE550:CE553" si="6219">IFERROR(IF(($R550-CD550)&gt;=0,0,IF(($S550-CC550)&lt;0,0,IF(AND(($S550-CD550)&gt;0,(CC550-$R550)&gt;0),$V550/365*(CD550-CC550+1),IF(AND(($S550-CD550)&lt;=0,(CC550-$R550)&gt;0),$V550/365*($S550-CC550+1),$V550/365*(CD550-$R550+1))))),0)</f>
        <v>0</v>
      </c>
      <c r="CF550" s="163">
        <f t="shared" ref="CF550:CF553" si="6220">CD550+1</f>
        <v>46266</v>
      </c>
      <c r="CG550" s="163">
        <f t="shared" ref="CG550:CG553" si="6221">CF550+29</f>
        <v>46295</v>
      </c>
      <c r="CH550" s="167">
        <f t="shared" ref="CH550:CH553" si="6222">IFERROR(IF(($R550-CG550)&gt;=0,0,IF(($S550-CF550)&lt;0,0,IF(AND(($S550-CG550)&gt;0,(CF550-$R550)&gt;0),$V550/365*(CG550-CF550+1),IF(AND(($S550-CG550)&lt;=0,(CF550-$R550)&gt;0),$V550/365*($S550-CF550+1),$V550/365*(CG550-$R550+1))))),0)</f>
        <v>0</v>
      </c>
      <c r="CI550" s="163">
        <f t="shared" ref="CI550:CI553" si="6223">CG550+1</f>
        <v>46296</v>
      </c>
      <c r="CJ550" s="163">
        <f t="shared" ref="CJ550:CJ553" si="6224">CI550+30</f>
        <v>46326</v>
      </c>
      <c r="CK550" s="167">
        <f t="shared" ref="CK550:CK553" si="6225">IFERROR(IF(($R550-CJ550)&gt;=0,0,IF(($S550-CI550)&lt;0,0,IF(AND(($S550-CJ550)&gt;0,(CI550-$R550)&gt;0),$V550/365*(CJ550-CI550+1),IF(AND(($S550-CJ550)&lt;=0,(CI550-$R550)&gt;0),$V550/365*($S550-CI550+1),$V550/365*(CJ550-$R550+1))))),0)</f>
        <v>0</v>
      </c>
      <c r="CL550" s="163">
        <f t="shared" ref="CL550:CL553" si="6226">CJ550+1</f>
        <v>46327</v>
      </c>
      <c r="CM550" s="163">
        <f t="shared" ref="CM550:CM553" si="6227">CL550+29</f>
        <v>46356</v>
      </c>
      <c r="CN550" s="167">
        <f t="shared" ref="CN550:CN553" si="6228">IFERROR(IF(($R550-CM550)&gt;=0,0,IF(($S550-CL550)&lt;0,0,IF(AND(($S550-CM550)&gt;0,(CL550-$R550)&gt;0),$V550/365*(CM550-CL550+1),IF(AND(($S550-CM550)&lt;=0,(CL550-$R550)&gt;0),$V550/365*($S550-CL550+1),$V550/365*(CM550-$R550+1))))),0)</f>
        <v>0</v>
      </c>
      <c r="CO550" s="163">
        <f t="shared" ref="CO550:CO553" si="6229">CM550+1</f>
        <v>46357</v>
      </c>
      <c r="CP550" s="163">
        <f t="shared" ref="CP550:CP553" si="6230">CO550+30</f>
        <v>46387</v>
      </c>
      <c r="CQ550" s="167">
        <f t="shared" ref="CQ550:CQ553" si="6231">IFERROR(IF(($R550-CP550)&gt;=0,0,IF(($S550-CO550)&lt;0,0,IF(AND(($S550-CP550)&gt;0,(CO550-$R550)&gt;0),$V550/365*(CP550-CO550+1),IF(AND(($S550-CP550)&lt;=0,(CO550-$R550)&gt;0),$V550/365*($S550-CO550+1),$V550/365*(CP550-$R550+1))))),0)</f>
        <v>0</v>
      </c>
    </row>
    <row r="551" s="89" customFormat="1" ht="24" customHeight="1" outlineLevel="2" spans="1:95">
      <c r="A551" s="128"/>
      <c r="B551" s="129"/>
      <c r="C551" s="130"/>
      <c r="D551" s="128"/>
      <c r="E551" s="129"/>
      <c r="F551" s="129"/>
      <c r="G551" s="129"/>
      <c r="H551" s="131"/>
      <c r="I551" s="131"/>
      <c r="J551" s="131">
        <f t="shared" si="6007"/>
        <v>0</v>
      </c>
      <c r="K551" s="131">
        <f t="shared" ref="K551:K553" si="6232">K550+1</f>
        <v>2</v>
      </c>
      <c r="L551" s="156"/>
      <c r="M551" s="157">
        <f>IFERROR(VLOOKUP($L551,'2-2 引出数据_合同数据仓库'!$B$5:$BP$200,3,FALSE),0)</f>
        <v>0</v>
      </c>
      <c r="N551" s="131"/>
      <c r="O551" s="157">
        <f>IFERROR(VLOOKUP((LEFT(VLOOKUP($L551,'2-2 引出数据_合同数据仓库'!$B$5:$BP$200,64,FALSE),15)&amp;(RIGHT(VLOOKUP($L551,'2-2 引出数据_合同数据仓库'!$B$5:$BP$200,64,FALSE),4)+1)),'2-2 引出数据_合同数据仓库'!$B$5:$BP$200,3,FALSE),0)</f>
        <v>0</v>
      </c>
      <c r="P551" s="131"/>
      <c r="Q551" s="131">
        <f>IFERROR(VLOOKUP($L551,'2-2 引出数据_合同数据仓库'!$B$5:$BP$200,28,FALSE),0)</f>
        <v>0</v>
      </c>
      <c r="R551" s="131">
        <f>IFERROR(VLOOKUP($L551,'2-2 引出数据_合同数据仓库'!$B$5:$BP$200,29,FALSE),0)</f>
        <v>0</v>
      </c>
      <c r="S551" s="131">
        <f>IFERROR(VLOOKUP($L551,'2-2 引出数据_合同数据仓库'!$B$5:$BP$200,4,FALSE),0)</f>
        <v>0</v>
      </c>
      <c r="T551" s="131"/>
      <c r="U551" s="131">
        <f>IFERROR(VLOOKUP($L551,'2-2 引出数据_合同数据仓库'!$B$5:$BP$200,15,FALSE),0)</f>
        <v>0</v>
      </c>
      <c r="V551" s="131">
        <f t="shared" si="6161"/>
        <v>0</v>
      </c>
      <c r="W551" s="131"/>
      <c r="X551" s="163">
        <v>45658</v>
      </c>
      <c r="Y551" s="163">
        <f t="shared" si="6162"/>
        <v>45688</v>
      </c>
      <c r="Z551" s="167">
        <f t="shared" si="6163"/>
        <v>0</v>
      </c>
      <c r="AA551" s="163">
        <f t="shared" si="6164"/>
        <v>45689</v>
      </c>
      <c r="AB551" s="163">
        <f t="shared" si="6165"/>
        <v>45716</v>
      </c>
      <c r="AC551" s="167">
        <f t="shared" si="6166"/>
        <v>0</v>
      </c>
      <c r="AD551" s="163">
        <f t="shared" si="6167"/>
        <v>45717</v>
      </c>
      <c r="AE551" s="163">
        <f t="shared" si="6168"/>
        <v>45747</v>
      </c>
      <c r="AF551" s="167">
        <f t="shared" si="6169"/>
        <v>0</v>
      </c>
      <c r="AG551" s="163">
        <f t="shared" si="6170"/>
        <v>45748</v>
      </c>
      <c r="AH551" s="163">
        <f t="shared" si="6171"/>
        <v>45777</v>
      </c>
      <c r="AI551" s="167">
        <f t="shared" si="6172"/>
        <v>0</v>
      </c>
      <c r="AJ551" s="163">
        <f t="shared" si="6173"/>
        <v>45778</v>
      </c>
      <c r="AK551" s="163">
        <f t="shared" si="6174"/>
        <v>45808</v>
      </c>
      <c r="AL551" s="167">
        <f t="shared" si="6175"/>
        <v>0</v>
      </c>
      <c r="AM551" s="163">
        <f t="shared" si="6176"/>
        <v>45809</v>
      </c>
      <c r="AN551" s="163">
        <f t="shared" si="6177"/>
        <v>45838</v>
      </c>
      <c r="AO551" s="167">
        <f t="shared" si="6178"/>
        <v>0</v>
      </c>
      <c r="AP551" s="163">
        <f t="shared" si="6179"/>
        <v>45839</v>
      </c>
      <c r="AQ551" s="163">
        <f t="shared" si="6180"/>
        <v>45869</v>
      </c>
      <c r="AR551" s="167">
        <f t="shared" si="6181"/>
        <v>0</v>
      </c>
      <c r="AS551" s="163">
        <f t="shared" si="6182"/>
        <v>45870</v>
      </c>
      <c r="AT551" s="163">
        <f t="shared" si="6183"/>
        <v>45900</v>
      </c>
      <c r="AU551" s="167">
        <f t="shared" si="6184"/>
        <v>0</v>
      </c>
      <c r="AV551" s="163">
        <f t="shared" si="6185"/>
        <v>45901</v>
      </c>
      <c r="AW551" s="163">
        <f t="shared" si="6186"/>
        <v>45930</v>
      </c>
      <c r="AX551" s="167">
        <f t="shared" si="6187"/>
        <v>0</v>
      </c>
      <c r="AY551" s="163">
        <f t="shared" si="6188"/>
        <v>45931</v>
      </c>
      <c r="AZ551" s="163">
        <f t="shared" si="6189"/>
        <v>45961</v>
      </c>
      <c r="BA551" s="167">
        <f t="shared" si="6190"/>
        <v>0</v>
      </c>
      <c r="BB551" s="163">
        <f t="shared" si="6191"/>
        <v>45962</v>
      </c>
      <c r="BC551" s="163">
        <f t="shared" si="6192"/>
        <v>45991</v>
      </c>
      <c r="BD551" s="167">
        <f t="shared" si="6193"/>
        <v>0</v>
      </c>
      <c r="BE551" s="163">
        <f t="shared" si="6194"/>
        <v>45992</v>
      </c>
      <c r="BF551" s="163">
        <f t="shared" si="6195"/>
        <v>46022</v>
      </c>
      <c r="BG551" s="167">
        <f t="shared" si="6196"/>
        <v>0</v>
      </c>
      <c r="BH551" s="163">
        <v>46023</v>
      </c>
      <c r="BI551" s="163">
        <f t="shared" si="6197"/>
        <v>46053</v>
      </c>
      <c r="BJ551" s="167">
        <f t="shared" si="6198"/>
        <v>0</v>
      </c>
      <c r="BK551" s="163">
        <f t="shared" si="6199"/>
        <v>46054</v>
      </c>
      <c r="BL551" s="163">
        <f t="shared" si="6200"/>
        <v>46081</v>
      </c>
      <c r="BM551" s="167">
        <f t="shared" si="6201"/>
        <v>0</v>
      </c>
      <c r="BN551" s="163">
        <f t="shared" si="6202"/>
        <v>46082</v>
      </c>
      <c r="BO551" s="163">
        <f t="shared" si="6203"/>
        <v>46112</v>
      </c>
      <c r="BP551" s="167">
        <f t="shared" si="6204"/>
        <v>0</v>
      </c>
      <c r="BQ551" s="163">
        <f t="shared" si="6205"/>
        <v>46113</v>
      </c>
      <c r="BR551" s="163">
        <f t="shared" si="6206"/>
        <v>46142</v>
      </c>
      <c r="BS551" s="167">
        <f t="shared" si="6207"/>
        <v>0</v>
      </c>
      <c r="BT551" s="163">
        <f t="shared" si="6208"/>
        <v>46143</v>
      </c>
      <c r="BU551" s="163">
        <f t="shared" si="6209"/>
        <v>46173</v>
      </c>
      <c r="BV551" s="167">
        <f t="shared" si="6210"/>
        <v>0</v>
      </c>
      <c r="BW551" s="163">
        <f t="shared" si="6211"/>
        <v>46174</v>
      </c>
      <c r="BX551" s="163">
        <f t="shared" si="6212"/>
        <v>46203</v>
      </c>
      <c r="BY551" s="167">
        <f t="shared" si="6213"/>
        <v>0</v>
      </c>
      <c r="BZ551" s="163">
        <f t="shared" si="6214"/>
        <v>46204</v>
      </c>
      <c r="CA551" s="163">
        <f t="shared" si="6215"/>
        <v>46234</v>
      </c>
      <c r="CB551" s="167">
        <f t="shared" si="6216"/>
        <v>0</v>
      </c>
      <c r="CC551" s="163">
        <f t="shared" si="6217"/>
        <v>46235</v>
      </c>
      <c r="CD551" s="163">
        <f t="shared" si="6218"/>
        <v>46265</v>
      </c>
      <c r="CE551" s="167">
        <f t="shared" si="6219"/>
        <v>0</v>
      </c>
      <c r="CF551" s="163">
        <f t="shared" si="6220"/>
        <v>46266</v>
      </c>
      <c r="CG551" s="163">
        <f t="shared" si="6221"/>
        <v>46295</v>
      </c>
      <c r="CH551" s="167">
        <f t="shared" si="6222"/>
        <v>0</v>
      </c>
      <c r="CI551" s="163">
        <f t="shared" si="6223"/>
        <v>46296</v>
      </c>
      <c r="CJ551" s="163">
        <f t="shared" si="6224"/>
        <v>46326</v>
      </c>
      <c r="CK551" s="167">
        <f t="shared" si="6225"/>
        <v>0</v>
      </c>
      <c r="CL551" s="163">
        <f t="shared" si="6226"/>
        <v>46327</v>
      </c>
      <c r="CM551" s="163">
        <f t="shared" si="6227"/>
        <v>46356</v>
      </c>
      <c r="CN551" s="167">
        <f t="shared" si="6228"/>
        <v>0</v>
      </c>
      <c r="CO551" s="163">
        <f t="shared" si="6229"/>
        <v>46357</v>
      </c>
      <c r="CP551" s="163">
        <f t="shared" si="6230"/>
        <v>46387</v>
      </c>
      <c r="CQ551" s="167">
        <f t="shared" si="6231"/>
        <v>0</v>
      </c>
    </row>
    <row r="552" s="89" customFormat="1" ht="24" customHeight="1" outlineLevel="2" spans="1:95">
      <c r="A552" s="128"/>
      <c r="B552" s="129"/>
      <c r="C552" s="130"/>
      <c r="D552" s="128"/>
      <c r="E552" s="129"/>
      <c r="F552" s="129"/>
      <c r="G552" s="129"/>
      <c r="H552" s="131"/>
      <c r="I552" s="131"/>
      <c r="J552" s="131">
        <f t="shared" si="6007"/>
        <v>0</v>
      </c>
      <c r="K552" s="131">
        <f t="shared" si="6232"/>
        <v>3</v>
      </c>
      <c r="L552" s="156"/>
      <c r="M552" s="157">
        <f>IFERROR(VLOOKUP($L552,'2-2 引出数据_合同数据仓库'!$B$5:$BP$200,3,FALSE),0)</f>
        <v>0</v>
      </c>
      <c r="N552" s="131"/>
      <c r="O552" s="157">
        <f>IFERROR(VLOOKUP((LEFT(VLOOKUP($L552,'2-2 引出数据_合同数据仓库'!$B$5:$BP$200,64,FALSE),15)&amp;(RIGHT(VLOOKUP($L552,'2-2 引出数据_合同数据仓库'!$B$5:$BP$200,64,FALSE),4)+1)),'2-2 引出数据_合同数据仓库'!$B$5:$BP$200,3,FALSE),0)</f>
        <v>0</v>
      </c>
      <c r="P552" s="131"/>
      <c r="Q552" s="131">
        <f>IFERROR(VLOOKUP($L552,'2-2 引出数据_合同数据仓库'!$B$5:$BP$200,28,FALSE),0)</f>
        <v>0</v>
      </c>
      <c r="R552" s="131">
        <f>IFERROR(VLOOKUP($L552,'2-2 引出数据_合同数据仓库'!$B$5:$BP$200,29,FALSE),0)</f>
        <v>0</v>
      </c>
      <c r="S552" s="131">
        <f>IFERROR(VLOOKUP($L552,'2-2 引出数据_合同数据仓库'!$B$5:$BP$200,4,FALSE),0)</f>
        <v>0</v>
      </c>
      <c r="T552" s="131"/>
      <c r="U552" s="131">
        <f>IFERROR(VLOOKUP($L552,'2-2 引出数据_合同数据仓库'!$B$5:$BP$200,15,FALSE),0)</f>
        <v>0</v>
      </c>
      <c r="V552" s="131">
        <f t="shared" si="6161"/>
        <v>0</v>
      </c>
      <c r="W552" s="131"/>
      <c r="X552" s="163">
        <v>45658</v>
      </c>
      <c r="Y552" s="163">
        <f t="shared" si="6162"/>
        <v>45688</v>
      </c>
      <c r="Z552" s="167">
        <f t="shared" si="6163"/>
        <v>0</v>
      </c>
      <c r="AA552" s="163">
        <f t="shared" si="6164"/>
        <v>45689</v>
      </c>
      <c r="AB552" s="163">
        <f t="shared" si="6165"/>
        <v>45716</v>
      </c>
      <c r="AC552" s="167">
        <f t="shared" si="6166"/>
        <v>0</v>
      </c>
      <c r="AD552" s="163">
        <f t="shared" si="6167"/>
        <v>45717</v>
      </c>
      <c r="AE552" s="163">
        <f t="shared" si="6168"/>
        <v>45747</v>
      </c>
      <c r="AF552" s="167">
        <f t="shared" si="6169"/>
        <v>0</v>
      </c>
      <c r="AG552" s="163">
        <f t="shared" si="6170"/>
        <v>45748</v>
      </c>
      <c r="AH552" s="163">
        <f t="shared" si="6171"/>
        <v>45777</v>
      </c>
      <c r="AI552" s="167">
        <f t="shared" si="6172"/>
        <v>0</v>
      </c>
      <c r="AJ552" s="163">
        <f t="shared" si="6173"/>
        <v>45778</v>
      </c>
      <c r="AK552" s="163">
        <f t="shared" si="6174"/>
        <v>45808</v>
      </c>
      <c r="AL552" s="167">
        <f t="shared" si="6175"/>
        <v>0</v>
      </c>
      <c r="AM552" s="163">
        <f t="shared" si="6176"/>
        <v>45809</v>
      </c>
      <c r="AN552" s="163">
        <f t="shared" si="6177"/>
        <v>45838</v>
      </c>
      <c r="AO552" s="167">
        <f t="shared" si="6178"/>
        <v>0</v>
      </c>
      <c r="AP552" s="163">
        <f t="shared" si="6179"/>
        <v>45839</v>
      </c>
      <c r="AQ552" s="163">
        <f t="shared" si="6180"/>
        <v>45869</v>
      </c>
      <c r="AR552" s="167">
        <f t="shared" si="6181"/>
        <v>0</v>
      </c>
      <c r="AS552" s="163">
        <f t="shared" si="6182"/>
        <v>45870</v>
      </c>
      <c r="AT552" s="163">
        <f t="shared" si="6183"/>
        <v>45900</v>
      </c>
      <c r="AU552" s="167">
        <f t="shared" si="6184"/>
        <v>0</v>
      </c>
      <c r="AV552" s="163">
        <f t="shared" si="6185"/>
        <v>45901</v>
      </c>
      <c r="AW552" s="163">
        <f t="shared" si="6186"/>
        <v>45930</v>
      </c>
      <c r="AX552" s="167">
        <f t="shared" si="6187"/>
        <v>0</v>
      </c>
      <c r="AY552" s="163">
        <f t="shared" si="6188"/>
        <v>45931</v>
      </c>
      <c r="AZ552" s="163">
        <f t="shared" si="6189"/>
        <v>45961</v>
      </c>
      <c r="BA552" s="167">
        <f t="shared" si="6190"/>
        <v>0</v>
      </c>
      <c r="BB552" s="163">
        <f t="shared" si="6191"/>
        <v>45962</v>
      </c>
      <c r="BC552" s="163">
        <f t="shared" si="6192"/>
        <v>45991</v>
      </c>
      <c r="BD552" s="167">
        <f t="shared" si="6193"/>
        <v>0</v>
      </c>
      <c r="BE552" s="163">
        <f t="shared" si="6194"/>
        <v>45992</v>
      </c>
      <c r="BF552" s="163">
        <f t="shared" si="6195"/>
        <v>46022</v>
      </c>
      <c r="BG552" s="167">
        <f t="shared" si="6196"/>
        <v>0</v>
      </c>
      <c r="BH552" s="163">
        <v>46023</v>
      </c>
      <c r="BI552" s="163">
        <f t="shared" si="6197"/>
        <v>46053</v>
      </c>
      <c r="BJ552" s="167">
        <f t="shared" si="6198"/>
        <v>0</v>
      </c>
      <c r="BK552" s="163">
        <f t="shared" si="6199"/>
        <v>46054</v>
      </c>
      <c r="BL552" s="163">
        <f t="shared" si="6200"/>
        <v>46081</v>
      </c>
      <c r="BM552" s="167">
        <f t="shared" si="6201"/>
        <v>0</v>
      </c>
      <c r="BN552" s="163">
        <f t="shared" si="6202"/>
        <v>46082</v>
      </c>
      <c r="BO552" s="163">
        <f t="shared" si="6203"/>
        <v>46112</v>
      </c>
      <c r="BP552" s="167">
        <f t="shared" si="6204"/>
        <v>0</v>
      </c>
      <c r="BQ552" s="163">
        <f t="shared" si="6205"/>
        <v>46113</v>
      </c>
      <c r="BR552" s="163">
        <f t="shared" si="6206"/>
        <v>46142</v>
      </c>
      <c r="BS552" s="167">
        <f t="shared" si="6207"/>
        <v>0</v>
      </c>
      <c r="BT552" s="163">
        <f t="shared" si="6208"/>
        <v>46143</v>
      </c>
      <c r="BU552" s="163">
        <f t="shared" si="6209"/>
        <v>46173</v>
      </c>
      <c r="BV552" s="167">
        <f t="shared" si="6210"/>
        <v>0</v>
      </c>
      <c r="BW552" s="163">
        <f t="shared" si="6211"/>
        <v>46174</v>
      </c>
      <c r="BX552" s="163">
        <f t="shared" si="6212"/>
        <v>46203</v>
      </c>
      <c r="BY552" s="167">
        <f t="shared" si="6213"/>
        <v>0</v>
      </c>
      <c r="BZ552" s="163">
        <f t="shared" si="6214"/>
        <v>46204</v>
      </c>
      <c r="CA552" s="163">
        <f t="shared" si="6215"/>
        <v>46234</v>
      </c>
      <c r="CB552" s="167">
        <f t="shared" si="6216"/>
        <v>0</v>
      </c>
      <c r="CC552" s="163">
        <f t="shared" si="6217"/>
        <v>46235</v>
      </c>
      <c r="CD552" s="163">
        <f t="shared" si="6218"/>
        <v>46265</v>
      </c>
      <c r="CE552" s="167">
        <f t="shared" si="6219"/>
        <v>0</v>
      </c>
      <c r="CF552" s="163">
        <f t="shared" si="6220"/>
        <v>46266</v>
      </c>
      <c r="CG552" s="163">
        <f t="shared" si="6221"/>
        <v>46295</v>
      </c>
      <c r="CH552" s="167">
        <f t="shared" si="6222"/>
        <v>0</v>
      </c>
      <c r="CI552" s="163">
        <f t="shared" si="6223"/>
        <v>46296</v>
      </c>
      <c r="CJ552" s="163">
        <f t="shared" si="6224"/>
        <v>46326</v>
      </c>
      <c r="CK552" s="167">
        <f t="shared" si="6225"/>
        <v>0</v>
      </c>
      <c r="CL552" s="163">
        <f t="shared" si="6226"/>
        <v>46327</v>
      </c>
      <c r="CM552" s="163">
        <f t="shared" si="6227"/>
        <v>46356</v>
      </c>
      <c r="CN552" s="167">
        <f t="shared" si="6228"/>
        <v>0</v>
      </c>
      <c r="CO552" s="163">
        <f t="shared" si="6229"/>
        <v>46357</v>
      </c>
      <c r="CP552" s="163">
        <f t="shared" si="6230"/>
        <v>46387</v>
      </c>
      <c r="CQ552" s="167">
        <f t="shared" si="6231"/>
        <v>0</v>
      </c>
    </row>
    <row r="553" s="89" customFormat="1" ht="24" customHeight="1" outlineLevel="2" collapsed="1" spans="1:95">
      <c r="A553" s="128"/>
      <c r="B553" s="129"/>
      <c r="C553" s="130"/>
      <c r="D553" s="128"/>
      <c r="E553" s="129"/>
      <c r="F553" s="129"/>
      <c r="G553" s="129"/>
      <c r="H553" s="131"/>
      <c r="I553" s="131"/>
      <c r="J553" s="131">
        <f t="shared" si="6007"/>
        <v>0</v>
      </c>
      <c r="K553" s="131">
        <f t="shared" si="6232"/>
        <v>4</v>
      </c>
      <c r="L553" s="156"/>
      <c r="M553" s="157">
        <f>IFERROR(VLOOKUP($L553,'2-2 引出数据_合同数据仓库'!$B$5:$BP$200,3,FALSE),0)</f>
        <v>0</v>
      </c>
      <c r="N553" s="131"/>
      <c r="O553" s="157">
        <f>IFERROR(VLOOKUP((LEFT(VLOOKUP($L553,'2-2 引出数据_合同数据仓库'!$B$5:$BP$200,64,FALSE),15)&amp;(RIGHT(VLOOKUP($L553,'2-2 引出数据_合同数据仓库'!$B$5:$BP$200,64,FALSE),4)+1)),'2-2 引出数据_合同数据仓库'!$B$5:$BP$200,3,FALSE),0)</f>
        <v>0</v>
      </c>
      <c r="P553" s="131"/>
      <c r="Q553" s="131">
        <f>IFERROR(VLOOKUP($L553,'2-2 引出数据_合同数据仓库'!$B$5:$BP$200,28,FALSE),0)</f>
        <v>0</v>
      </c>
      <c r="R553" s="131">
        <f>IFERROR(VLOOKUP($L553,'2-2 引出数据_合同数据仓库'!$B$5:$BP$200,29,FALSE),0)</f>
        <v>0</v>
      </c>
      <c r="S553" s="131">
        <f>IFERROR(VLOOKUP($L553,'2-2 引出数据_合同数据仓库'!$B$5:$BP$200,4,FALSE),0)</f>
        <v>0</v>
      </c>
      <c r="T553" s="131"/>
      <c r="U553" s="131">
        <f>IFERROR(VLOOKUP($L553,'2-2 引出数据_合同数据仓库'!$B$5:$BP$200,15,FALSE),0)</f>
        <v>0</v>
      </c>
      <c r="V553" s="131">
        <f t="shared" si="6161"/>
        <v>0</v>
      </c>
      <c r="W553" s="131"/>
      <c r="X553" s="163">
        <v>45658</v>
      </c>
      <c r="Y553" s="163">
        <f t="shared" si="6162"/>
        <v>45688</v>
      </c>
      <c r="Z553" s="167">
        <f t="shared" si="6163"/>
        <v>0</v>
      </c>
      <c r="AA553" s="163">
        <f t="shared" si="6164"/>
        <v>45689</v>
      </c>
      <c r="AB553" s="163">
        <f t="shared" si="6165"/>
        <v>45716</v>
      </c>
      <c r="AC553" s="167">
        <f t="shared" si="6166"/>
        <v>0</v>
      </c>
      <c r="AD553" s="163">
        <f t="shared" si="6167"/>
        <v>45717</v>
      </c>
      <c r="AE553" s="163">
        <f t="shared" si="6168"/>
        <v>45747</v>
      </c>
      <c r="AF553" s="167">
        <f t="shared" si="6169"/>
        <v>0</v>
      </c>
      <c r="AG553" s="163">
        <f t="shared" si="6170"/>
        <v>45748</v>
      </c>
      <c r="AH553" s="163">
        <f t="shared" si="6171"/>
        <v>45777</v>
      </c>
      <c r="AI553" s="167">
        <f t="shared" si="6172"/>
        <v>0</v>
      </c>
      <c r="AJ553" s="163">
        <f t="shared" si="6173"/>
        <v>45778</v>
      </c>
      <c r="AK553" s="163">
        <f t="shared" si="6174"/>
        <v>45808</v>
      </c>
      <c r="AL553" s="167">
        <f t="shared" si="6175"/>
        <v>0</v>
      </c>
      <c r="AM553" s="163">
        <f t="shared" si="6176"/>
        <v>45809</v>
      </c>
      <c r="AN553" s="163">
        <f t="shared" si="6177"/>
        <v>45838</v>
      </c>
      <c r="AO553" s="167">
        <f t="shared" si="6178"/>
        <v>0</v>
      </c>
      <c r="AP553" s="163">
        <f t="shared" si="6179"/>
        <v>45839</v>
      </c>
      <c r="AQ553" s="163">
        <f t="shared" si="6180"/>
        <v>45869</v>
      </c>
      <c r="AR553" s="167">
        <f t="shared" si="6181"/>
        <v>0</v>
      </c>
      <c r="AS553" s="163">
        <f t="shared" si="6182"/>
        <v>45870</v>
      </c>
      <c r="AT553" s="163">
        <f t="shared" si="6183"/>
        <v>45900</v>
      </c>
      <c r="AU553" s="167">
        <f t="shared" si="6184"/>
        <v>0</v>
      </c>
      <c r="AV553" s="163">
        <f t="shared" si="6185"/>
        <v>45901</v>
      </c>
      <c r="AW553" s="163">
        <f t="shared" si="6186"/>
        <v>45930</v>
      </c>
      <c r="AX553" s="167">
        <f t="shared" si="6187"/>
        <v>0</v>
      </c>
      <c r="AY553" s="163">
        <f t="shared" si="6188"/>
        <v>45931</v>
      </c>
      <c r="AZ553" s="163">
        <f t="shared" si="6189"/>
        <v>45961</v>
      </c>
      <c r="BA553" s="167">
        <f t="shared" si="6190"/>
        <v>0</v>
      </c>
      <c r="BB553" s="163">
        <f t="shared" si="6191"/>
        <v>45962</v>
      </c>
      <c r="BC553" s="163">
        <f t="shared" si="6192"/>
        <v>45991</v>
      </c>
      <c r="BD553" s="167">
        <f t="shared" si="6193"/>
        <v>0</v>
      </c>
      <c r="BE553" s="163">
        <f t="shared" si="6194"/>
        <v>45992</v>
      </c>
      <c r="BF553" s="163">
        <f t="shared" si="6195"/>
        <v>46022</v>
      </c>
      <c r="BG553" s="167">
        <f t="shared" si="6196"/>
        <v>0</v>
      </c>
      <c r="BH553" s="163">
        <v>46023</v>
      </c>
      <c r="BI553" s="163">
        <f t="shared" si="6197"/>
        <v>46053</v>
      </c>
      <c r="BJ553" s="167">
        <f t="shared" si="6198"/>
        <v>0</v>
      </c>
      <c r="BK553" s="163">
        <f t="shared" si="6199"/>
        <v>46054</v>
      </c>
      <c r="BL553" s="163">
        <f t="shared" si="6200"/>
        <v>46081</v>
      </c>
      <c r="BM553" s="167">
        <f t="shared" si="6201"/>
        <v>0</v>
      </c>
      <c r="BN553" s="163">
        <f t="shared" si="6202"/>
        <v>46082</v>
      </c>
      <c r="BO553" s="163">
        <f t="shared" si="6203"/>
        <v>46112</v>
      </c>
      <c r="BP553" s="167">
        <f t="shared" si="6204"/>
        <v>0</v>
      </c>
      <c r="BQ553" s="163">
        <f t="shared" si="6205"/>
        <v>46113</v>
      </c>
      <c r="BR553" s="163">
        <f t="shared" si="6206"/>
        <v>46142</v>
      </c>
      <c r="BS553" s="167">
        <f t="shared" si="6207"/>
        <v>0</v>
      </c>
      <c r="BT553" s="163">
        <f t="shared" si="6208"/>
        <v>46143</v>
      </c>
      <c r="BU553" s="163">
        <f t="shared" si="6209"/>
        <v>46173</v>
      </c>
      <c r="BV553" s="167">
        <f t="shared" si="6210"/>
        <v>0</v>
      </c>
      <c r="BW553" s="163">
        <f t="shared" si="6211"/>
        <v>46174</v>
      </c>
      <c r="BX553" s="163">
        <f t="shared" si="6212"/>
        <v>46203</v>
      </c>
      <c r="BY553" s="167">
        <f t="shared" si="6213"/>
        <v>0</v>
      </c>
      <c r="BZ553" s="163">
        <f t="shared" si="6214"/>
        <v>46204</v>
      </c>
      <c r="CA553" s="163">
        <f t="shared" si="6215"/>
        <v>46234</v>
      </c>
      <c r="CB553" s="167">
        <f t="shared" si="6216"/>
        <v>0</v>
      </c>
      <c r="CC553" s="163">
        <f t="shared" si="6217"/>
        <v>46235</v>
      </c>
      <c r="CD553" s="163">
        <f t="shared" si="6218"/>
        <v>46265</v>
      </c>
      <c r="CE553" s="167">
        <f t="shared" si="6219"/>
        <v>0</v>
      </c>
      <c r="CF553" s="163">
        <f t="shared" si="6220"/>
        <v>46266</v>
      </c>
      <c r="CG553" s="163">
        <f t="shared" si="6221"/>
        <v>46295</v>
      </c>
      <c r="CH553" s="167">
        <f t="shared" si="6222"/>
        <v>0</v>
      </c>
      <c r="CI553" s="163">
        <f t="shared" si="6223"/>
        <v>46296</v>
      </c>
      <c r="CJ553" s="163">
        <f t="shared" si="6224"/>
        <v>46326</v>
      </c>
      <c r="CK553" s="167">
        <f t="shared" si="6225"/>
        <v>0</v>
      </c>
      <c r="CL553" s="163">
        <f t="shared" si="6226"/>
        <v>46327</v>
      </c>
      <c r="CM553" s="163">
        <f t="shared" si="6227"/>
        <v>46356</v>
      </c>
      <c r="CN553" s="167">
        <f t="shared" si="6228"/>
        <v>0</v>
      </c>
      <c r="CO553" s="163">
        <f t="shared" si="6229"/>
        <v>46357</v>
      </c>
      <c r="CP553" s="163">
        <f t="shared" si="6230"/>
        <v>46387</v>
      </c>
      <c r="CQ553" s="167">
        <f t="shared" si="6231"/>
        <v>0</v>
      </c>
    </row>
    <row r="554" s="89" customFormat="1" ht="24" hidden="1" customHeight="1" outlineLevel="4" spans="1:95">
      <c r="A554" s="132" t="s">
        <v>2813</v>
      </c>
      <c r="B554" s="133"/>
      <c r="C554" s="133"/>
      <c r="D554" s="133"/>
      <c r="E554" s="133"/>
      <c r="F554" s="133"/>
      <c r="G554" s="134"/>
      <c r="H554" s="135"/>
      <c r="I554" s="135"/>
      <c r="J554" s="135"/>
      <c r="K554" s="135"/>
      <c r="L554" s="158"/>
      <c r="M554" s="158"/>
      <c r="N554" s="158"/>
      <c r="O554" s="158"/>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c r="CL554" s="135"/>
      <c r="CM554" s="135"/>
      <c r="CN554" s="135"/>
      <c r="CO554" s="135"/>
      <c r="CP554" s="135"/>
      <c r="CQ554" s="135"/>
    </row>
    <row r="555" ht="24" customHeight="1" outlineLevel="1" spans="1:95">
      <c r="A555" s="14"/>
      <c r="B555" s="118" t="s">
        <v>792</v>
      </c>
      <c r="C555" s="119" t="s">
        <v>2216</v>
      </c>
      <c r="D555" s="14" t="s">
        <v>2217</v>
      </c>
      <c r="E555" s="118"/>
      <c r="F555" s="118"/>
      <c r="G555" s="118"/>
      <c r="H555" s="120">
        <f>X555+AA555+AD555+AG555+AJ555+AM555+AP555+AS555+AV555+AY555+BB555+BE555</f>
        <v>0</v>
      </c>
      <c r="I555" s="120">
        <f>Y555+AB555+AE555+AH555+AK555+AN555+AQ555+AT555+AW555+AZ555+BC555+BF555</f>
        <v>0</v>
      </c>
      <c r="J555" s="120">
        <f t="shared" si="6007"/>
        <v>0</v>
      </c>
      <c r="K555" s="120"/>
      <c r="L555" s="153"/>
      <c r="M555" s="153"/>
      <c r="N555" s="153"/>
      <c r="O555" s="153"/>
      <c r="P555" s="120"/>
      <c r="Q555" s="120"/>
      <c r="R555" s="120"/>
      <c r="S555" s="120"/>
      <c r="T555" s="120"/>
      <c r="U555" s="120"/>
      <c r="V555" s="120"/>
      <c r="W555" s="120"/>
      <c r="X555" s="120">
        <f>VLOOKUP($C555,'1 预算编制表单'!$C:$BJ,27,FALSE)</f>
        <v>0</v>
      </c>
      <c r="Y555" s="120">
        <f>X555-Z555</f>
        <v>0</v>
      </c>
      <c r="Z555" s="120">
        <f>SUM(Z556:Z560)</f>
        <v>0</v>
      </c>
      <c r="AA555" s="120">
        <f>VLOOKUP($C555,'1 预算编制表单'!$C:$BJ,30,FALSE)</f>
        <v>0</v>
      </c>
      <c r="AB555" s="120">
        <f>AA555-AC555</f>
        <v>0</v>
      </c>
      <c r="AC555" s="120">
        <f>SUM(AC556:AC560)</f>
        <v>0</v>
      </c>
      <c r="AD555" s="120">
        <f>VLOOKUP($C555,'1 预算编制表单'!$C:$BJ,33,FALSE)</f>
        <v>0</v>
      </c>
      <c r="AE555" s="120">
        <f>AD555-AF555</f>
        <v>0</v>
      </c>
      <c r="AF555" s="120">
        <f>SUM(AF556:AF560)</f>
        <v>0</v>
      </c>
      <c r="AG555" s="120">
        <f>VLOOKUP($C555,'1 预算编制表单'!$C:$BJ,36,FALSE)</f>
        <v>0</v>
      </c>
      <c r="AH555" s="120">
        <f>AG555-AI555</f>
        <v>0</v>
      </c>
      <c r="AI555" s="120">
        <f>SUM(AI556:AI560)</f>
        <v>0</v>
      </c>
      <c r="AJ555" s="120">
        <f>VLOOKUP($C555,'1 预算编制表单'!$C:$BJ,39,FALSE)</f>
        <v>0</v>
      </c>
      <c r="AK555" s="120">
        <f>AJ555-AL555</f>
        <v>0</v>
      </c>
      <c r="AL555" s="120">
        <f>SUM(AL556:AL560)</f>
        <v>0</v>
      </c>
      <c r="AM555" s="120">
        <f>VLOOKUP($C555,'1 预算编制表单'!$C:$BJ,42,FALSE)</f>
        <v>0</v>
      </c>
      <c r="AN555" s="120">
        <f>AM555-AO555</f>
        <v>0</v>
      </c>
      <c r="AO555" s="120">
        <f>SUM(AO556:AO560)</f>
        <v>0</v>
      </c>
      <c r="AP555" s="120">
        <f>VLOOKUP($C555,'1 预算编制表单'!$C:$BJ,45,FALSE)</f>
        <v>0</v>
      </c>
      <c r="AQ555" s="120">
        <f>AP555-AR555</f>
        <v>0</v>
      </c>
      <c r="AR555" s="120">
        <f>SUM(AR556:AR560)</f>
        <v>0</v>
      </c>
      <c r="AS555" s="120">
        <f>VLOOKUP($C555,'1 预算编制表单'!$C:$BJ,48,FALSE)</f>
        <v>0</v>
      </c>
      <c r="AT555" s="120">
        <f>AS555-AU555</f>
        <v>0</v>
      </c>
      <c r="AU555" s="120">
        <f>SUM(AU556:AU560)</f>
        <v>0</v>
      </c>
      <c r="AV555" s="120">
        <f>VLOOKUP($C555,'1 预算编制表单'!$C:$BJ,51,FALSE)</f>
        <v>0</v>
      </c>
      <c r="AW555" s="120">
        <f>AV555-AX555</f>
        <v>0</v>
      </c>
      <c r="AX555" s="120">
        <f>SUM(AX556:AX560)</f>
        <v>0</v>
      </c>
      <c r="AY555" s="120">
        <f>VLOOKUP($C555,'1 预算编制表单'!$C:$BJ,54,FALSE)</f>
        <v>0</v>
      </c>
      <c r="AZ555" s="120">
        <f>AY555-BA555</f>
        <v>0</v>
      </c>
      <c r="BA555" s="120">
        <f>SUM(BA556:BA560)</f>
        <v>0</v>
      </c>
      <c r="BB555" s="120">
        <f>VLOOKUP($C555,'1 预算编制表单'!$C:$BJ,57,FALSE)</f>
        <v>0</v>
      </c>
      <c r="BC555" s="120">
        <f>BB555-BD555</f>
        <v>0</v>
      </c>
      <c r="BD555" s="120">
        <f>SUM(BD556:BD560)</f>
        <v>0</v>
      </c>
      <c r="BE555" s="120">
        <f>VLOOKUP($C555,'1 预算编制表单'!$C:$BJ,60,FALSE)</f>
        <v>0</v>
      </c>
      <c r="BF555" s="120">
        <f>BE555-BG555</f>
        <v>0</v>
      </c>
      <c r="BG555" s="120">
        <f>SUM(BG556:BG560)</f>
        <v>0</v>
      </c>
      <c r="BH555" s="120">
        <f>VLOOKUP($C555,'1 预算编制表单'!$C:$BJ,27,FALSE)</f>
        <v>0</v>
      </c>
      <c r="BI555" s="120">
        <f>BH555-BJ555</f>
        <v>0</v>
      </c>
      <c r="BJ555" s="120">
        <f>SUM(BJ556:BJ560)</f>
        <v>0</v>
      </c>
      <c r="BK555" s="120">
        <f>VLOOKUP($C555,'1 预算编制表单'!$C:$BJ,30,FALSE)</f>
        <v>0</v>
      </c>
      <c r="BL555" s="120">
        <f>BK555-BM555</f>
        <v>0</v>
      </c>
      <c r="BM555" s="120">
        <f>SUM(BM556:BM560)</f>
        <v>0</v>
      </c>
      <c r="BN555" s="120">
        <f>VLOOKUP($C555,'1 预算编制表单'!$C:$BJ,33,FALSE)</f>
        <v>0</v>
      </c>
      <c r="BO555" s="120">
        <f>BN555-BP555</f>
        <v>0</v>
      </c>
      <c r="BP555" s="120">
        <f>SUM(BP556:BP560)</f>
        <v>0</v>
      </c>
      <c r="BQ555" s="120">
        <f>VLOOKUP($C555,'1 预算编制表单'!$C:$BJ,36,FALSE)</f>
        <v>0</v>
      </c>
      <c r="BR555" s="120">
        <f>BQ555-BS555</f>
        <v>0</v>
      </c>
      <c r="BS555" s="120">
        <f>SUM(BS556:BS560)</f>
        <v>0</v>
      </c>
      <c r="BT555" s="120">
        <f>VLOOKUP($C555,'1 预算编制表单'!$C:$BJ,39,FALSE)</f>
        <v>0</v>
      </c>
      <c r="BU555" s="120">
        <f>BT555-BV555</f>
        <v>0</v>
      </c>
      <c r="BV555" s="120">
        <f>SUM(BV556:BV560)</f>
        <v>0</v>
      </c>
      <c r="BW555" s="120">
        <f>VLOOKUP($C555,'1 预算编制表单'!$C:$BJ,42,FALSE)</f>
        <v>0</v>
      </c>
      <c r="BX555" s="120">
        <f>BW555-BY555</f>
        <v>0</v>
      </c>
      <c r="BY555" s="120">
        <f>SUM(BY556:BY560)</f>
        <v>0</v>
      </c>
      <c r="BZ555" s="120">
        <f>VLOOKUP($C555,'1 预算编制表单'!$C:$BJ,45,FALSE)</f>
        <v>0</v>
      </c>
      <c r="CA555" s="120">
        <f>BZ555-CB555</f>
        <v>0</v>
      </c>
      <c r="CB555" s="120">
        <f>SUM(CB556:CB560)</f>
        <v>0</v>
      </c>
      <c r="CC555" s="120">
        <f>VLOOKUP($C555,'1 预算编制表单'!$C:$BJ,48,FALSE)</f>
        <v>0</v>
      </c>
      <c r="CD555" s="120">
        <f>CC555-CE555</f>
        <v>0</v>
      </c>
      <c r="CE555" s="120">
        <f>SUM(CE556:CE560)</f>
        <v>0</v>
      </c>
      <c r="CF555" s="120">
        <f>VLOOKUP($C555,'1 预算编制表单'!$C:$BJ,51,FALSE)</f>
        <v>0</v>
      </c>
      <c r="CG555" s="120">
        <f>CF555-CH555</f>
        <v>0</v>
      </c>
      <c r="CH555" s="120">
        <f>SUM(CH556:CH560)</f>
        <v>0</v>
      </c>
      <c r="CI555" s="120">
        <f>VLOOKUP($C555,'1 预算编制表单'!$C:$BJ,54,FALSE)</f>
        <v>0</v>
      </c>
      <c r="CJ555" s="120">
        <f>CI555-CK555</f>
        <v>0</v>
      </c>
      <c r="CK555" s="120">
        <f>SUM(CK556:CK560)</f>
        <v>0</v>
      </c>
      <c r="CL555" s="120">
        <f>VLOOKUP($C555,'1 预算编制表单'!$C:$BJ,57,FALSE)</f>
        <v>0</v>
      </c>
      <c r="CM555" s="120">
        <f>CL555-CN555</f>
        <v>0</v>
      </c>
      <c r="CN555" s="120">
        <f>SUM(CN556:CN560)</f>
        <v>0</v>
      </c>
      <c r="CO555" s="120">
        <f>VLOOKUP($C555,'1 预算编制表单'!$C:$BJ,60,FALSE)</f>
        <v>0</v>
      </c>
      <c r="CP555" s="120">
        <f>CO555-CQ555</f>
        <v>0</v>
      </c>
      <c r="CQ555" s="120">
        <f>SUM(CQ556:CQ560)</f>
        <v>0</v>
      </c>
    </row>
    <row r="556" s="89" customFormat="1" ht="24" customHeight="1" outlineLevel="2" spans="1:95">
      <c r="A556" s="128"/>
      <c r="B556" s="129"/>
      <c r="C556" s="130"/>
      <c r="D556" s="128"/>
      <c r="E556" s="129"/>
      <c r="F556" s="129"/>
      <c r="G556" s="129"/>
      <c r="H556" s="131"/>
      <c r="I556" s="131"/>
      <c r="J556" s="131">
        <f t="shared" si="6007"/>
        <v>0</v>
      </c>
      <c r="K556" s="131">
        <v>1</v>
      </c>
      <c r="L556" s="156"/>
      <c r="M556" s="157">
        <f>IFERROR(VLOOKUP($L556,'2-2 引出数据_合同数据仓库'!$B$5:$BP$200,3,FALSE),0)</f>
        <v>0</v>
      </c>
      <c r="N556" s="131"/>
      <c r="O556" s="157">
        <f>IFERROR(VLOOKUP((LEFT(VLOOKUP($L556,'2-2 引出数据_合同数据仓库'!$B$5:$BP$200,64,FALSE),15)&amp;(RIGHT(VLOOKUP($L556,'2-2 引出数据_合同数据仓库'!$B$5:$BP$200,64,FALSE),4)+1)),'2-2 引出数据_合同数据仓库'!$B$5:$BP$200,3,FALSE),0)</f>
        <v>0</v>
      </c>
      <c r="P556" s="131"/>
      <c r="Q556" s="131">
        <f>IFERROR(VLOOKUP($L556,'2-2 引出数据_合同数据仓库'!$B$5:$BP$200,28,FALSE),0)</f>
        <v>0</v>
      </c>
      <c r="R556" s="131">
        <f>IFERROR(VLOOKUP($L556,'2-2 引出数据_合同数据仓库'!$B$5:$BP$200,29,FALSE),0)</f>
        <v>0</v>
      </c>
      <c r="S556" s="131">
        <f>IFERROR(VLOOKUP($L556,'2-2 引出数据_合同数据仓库'!$B$5:$BP$200,4,FALSE),0)</f>
        <v>0</v>
      </c>
      <c r="T556" s="131"/>
      <c r="U556" s="131">
        <f>IFERROR(VLOOKUP($L556,'2-2 引出数据_合同数据仓库'!$B$5:$BP$200,15,FALSE),0)</f>
        <v>0</v>
      </c>
      <c r="V556" s="131">
        <f t="shared" ref="V556:V559" si="6233">U556/(S556-R556+1)*365</f>
        <v>0</v>
      </c>
      <c r="W556" s="131"/>
      <c r="X556" s="163">
        <v>45658</v>
      </c>
      <c r="Y556" s="163">
        <f t="shared" ref="Y556:Y559" si="6234">X556+30</f>
        <v>45688</v>
      </c>
      <c r="Z556" s="167">
        <f t="shared" ref="Z556:Z559" si="6235">IFERROR(IF(($R556-Y556)&gt;=0,0,IF(($S556-X556)&lt;0,0,IF(AND(($S556-Y556)&gt;0,(X556-$R556)&gt;0),$V556/365*(Y556-X556+1),IF(AND(($S556-Y556)&lt;=0,(X556-$R556)&gt;0),$V556/365*($S556-X556+1),$V556/365*(Y556-$R556+1))))),0)</f>
        <v>0</v>
      </c>
      <c r="AA556" s="163">
        <f t="shared" ref="AA556:AA559" si="6236">Y556+1</f>
        <v>45689</v>
      </c>
      <c r="AB556" s="163">
        <f t="shared" ref="AB556:AB559" si="6237">AA556+27</f>
        <v>45716</v>
      </c>
      <c r="AC556" s="167">
        <f t="shared" ref="AC556:AC559" si="6238">IFERROR(IF(($R556-AB556)&gt;=0,0,IF(($S556-AA556)&lt;0,0,IF(AND(($S556-AB556)&gt;0,(AA556-$R556)&gt;0),$V556/365*(AB556-AA556+1),IF(AND(($S556-AB556)&lt;=0,(AA556-$R556)&gt;0),$V556/365*($S556-AA556+1),$V556/365*(AB556-$R556+1))))),0)</f>
        <v>0</v>
      </c>
      <c r="AD556" s="163">
        <f t="shared" ref="AD556:AD559" si="6239">AB556+1</f>
        <v>45717</v>
      </c>
      <c r="AE556" s="163">
        <f t="shared" ref="AE556:AE559" si="6240">AD556+30</f>
        <v>45747</v>
      </c>
      <c r="AF556" s="167">
        <f t="shared" ref="AF556:AF559" si="6241">IFERROR(IF(($R556-AE556)&gt;=0,0,IF(($S556-AD556)&lt;0,0,IF(AND(($S556-AE556)&gt;0,(AD556-$R556)&gt;0),$V556/365*(AE556-AD556+1),IF(AND(($S556-AE556)&lt;=0,(AD556-$R556)&gt;0),$V556/365*($S556-AD556+1),$V556/365*(AE556-$R556+1))))),0)</f>
        <v>0</v>
      </c>
      <c r="AG556" s="163">
        <f t="shared" ref="AG556:AG559" si="6242">AE556+1</f>
        <v>45748</v>
      </c>
      <c r="AH556" s="163">
        <f t="shared" ref="AH556:AH559" si="6243">AG556+29</f>
        <v>45777</v>
      </c>
      <c r="AI556" s="167">
        <f t="shared" ref="AI556:AI559" si="6244">IFERROR(IF(($R556-AH556)&gt;=0,0,IF(($S556-AG556)&lt;0,0,IF(AND(($S556-AH556)&gt;0,(AG556-$R556)&gt;0),$V556/365*(AH556-AG556+1),IF(AND(($S556-AH556)&lt;=0,(AG556-$R556)&gt;0),$V556/365*($S556-AG556+1),$V556/365*(AH556-$R556+1))))),0)</f>
        <v>0</v>
      </c>
      <c r="AJ556" s="163">
        <f t="shared" ref="AJ556:AJ559" si="6245">AH556+1</f>
        <v>45778</v>
      </c>
      <c r="AK556" s="163">
        <f t="shared" ref="AK556:AK559" si="6246">AJ556+30</f>
        <v>45808</v>
      </c>
      <c r="AL556" s="167">
        <f t="shared" ref="AL556:AL559" si="6247">IFERROR(IF(($R556-AK556)&gt;=0,0,IF(($S556-AJ556)&lt;0,0,IF(AND(($S556-AK556)&gt;0,(AJ556-$R556)&gt;0),$V556/365*(AK556-AJ556+1),IF(AND(($S556-AK556)&lt;=0,(AJ556-$R556)&gt;0),$V556/365*($S556-AJ556+1),$V556/365*(AK556-$R556+1))))),0)</f>
        <v>0</v>
      </c>
      <c r="AM556" s="163">
        <f t="shared" ref="AM556:AM559" si="6248">AK556+1</f>
        <v>45809</v>
      </c>
      <c r="AN556" s="163">
        <f t="shared" ref="AN556:AN559" si="6249">AM556+29</f>
        <v>45838</v>
      </c>
      <c r="AO556" s="167">
        <f t="shared" ref="AO556:AO559" si="6250">IFERROR(IF(($R556-AN556)&gt;=0,0,IF(($S556-AM556)&lt;0,0,IF(AND(($S556-AN556)&gt;0,(AM556-$R556)&gt;0),$V556/365*(AN556-AM556+1),IF(AND(($S556-AN556)&lt;=0,(AM556-$R556)&gt;0),$V556/365*($S556-AM556+1),$V556/365*(AN556-$R556+1))))),0)</f>
        <v>0</v>
      </c>
      <c r="AP556" s="163">
        <f t="shared" ref="AP556:AP559" si="6251">AN556+1</f>
        <v>45839</v>
      </c>
      <c r="AQ556" s="163">
        <f t="shared" ref="AQ556:AQ559" si="6252">AP556+30</f>
        <v>45869</v>
      </c>
      <c r="AR556" s="167">
        <f t="shared" ref="AR556:AR559" si="6253">IFERROR(IF(($R556-AQ556)&gt;=0,0,IF(($S556-AP556)&lt;0,0,IF(AND(($S556-AQ556)&gt;0,(AP556-$R556)&gt;0),$V556/365*(AQ556-AP556+1),IF(AND(($S556-AQ556)&lt;=0,(AP556-$R556)&gt;0),$V556/365*($S556-AP556+1),$V556/365*(AQ556-$R556+1))))),0)</f>
        <v>0</v>
      </c>
      <c r="AS556" s="163">
        <f t="shared" ref="AS556:AS559" si="6254">AQ556+1</f>
        <v>45870</v>
      </c>
      <c r="AT556" s="163">
        <f t="shared" ref="AT556:AT559" si="6255">AS556+30</f>
        <v>45900</v>
      </c>
      <c r="AU556" s="167">
        <f t="shared" ref="AU556:AU559" si="6256">IFERROR(IF(($R556-AT556)&gt;=0,0,IF(($S556-AS556)&lt;0,0,IF(AND(($S556-AT556)&gt;0,(AS556-$R556)&gt;0),$V556/365*(AT556-AS556+1),IF(AND(($S556-AT556)&lt;=0,(AS556-$R556)&gt;0),$V556/365*($S556-AS556+1),$V556/365*(AT556-$R556+1))))),0)</f>
        <v>0</v>
      </c>
      <c r="AV556" s="163">
        <f t="shared" ref="AV556:AV559" si="6257">AT556+1</f>
        <v>45901</v>
      </c>
      <c r="AW556" s="163">
        <f t="shared" ref="AW556:AW559" si="6258">AV556+29</f>
        <v>45930</v>
      </c>
      <c r="AX556" s="167">
        <f t="shared" ref="AX556:AX559" si="6259">IFERROR(IF(($R556-AW556)&gt;=0,0,IF(($S556-AV556)&lt;0,0,IF(AND(($S556-AW556)&gt;0,(AV556-$R556)&gt;0),$V556/365*(AW556-AV556+1),IF(AND(($S556-AW556)&lt;=0,(AV556-$R556)&gt;0),$V556/365*($S556-AV556+1),$V556/365*(AW556-$R556+1))))),0)</f>
        <v>0</v>
      </c>
      <c r="AY556" s="163">
        <f t="shared" ref="AY556:AY559" si="6260">AW556+1</f>
        <v>45931</v>
      </c>
      <c r="AZ556" s="163">
        <f t="shared" ref="AZ556:AZ559" si="6261">AY556+30</f>
        <v>45961</v>
      </c>
      <c r="BA556" s="167">
        <f t="shared" ref="BA556:BA559" si="6262">IFERROR(IF(($R556-AZ556)&gt;=0,0,IF(($S556-AY556)&lt;0,0,IF(AND(($S556-AZ556)&gt;0,(AY556-$R556)&gt;0),$V556/365*(AZ556-AY556+1),IF(AND(($S556-AZ556)&lt;=0,(AY556-$R556)&gt;0),$V556/365*($S556-AY556+1),$V556/365*(AZ556-$R556+1))))),0)</f>
        <v>0</v>
      </c>
      <c r="BB556" s="163">
        <f t="shared" ref="BB556:BB559" si="6263">AZ556+1</f>
        <v>45962</v>
      </c>
      <c r="BC556" s="163">
        <f t="shared" ref="BC556:BC559" si="6264">BB556+29</f>
        <v>45991</v>
      </c>
      <c r="BD556" s="167">
        <f t="shared" ref="BD556:BD559" si="6265">IFERROR(IF(($R556-BC556)&gt;=0,0,IF(($S556-BB556)&lt;0,0,IF(AND(($S556-BC556)&gt;0,(BB556-$R556)&gt;0),$V556/365*(BC556-BB556+1),IF(AND(($S556-BC556)&lt;=0,(BB556-$R556)&gt;0),$V556/365*($S556-BB556+1),$V556/365*(BC556-$R556+1))))),0)</f>
        <v>0</v>
      </c>
      <c r="BE556" s="163">
        <f t="shared" ref="BE556:BE559" si="6266">BC556+1</f>
        <v>45992</v>
      </c>
      <c r="BF556" s="163">
        <f t="shared" ref="BF556:BF559" si="6267">BE556+30</f>
        <v>46022</v>
      </c>
      <c r="BG556" s="167">
        <f t="shared" ref="BG556:BG559" si="6268">IFERROR(IF(($R556-BF556)&gt;=0,0,IF(($S556-BE556)&lt;0,0,IF(AND(($S556-BF556)&gt;0,(BE556-$R556)&gt;0),$V556/365*(BF556-BE556+1),IF(AND(($S556-BF556)&lt;=0,(BE556-$R556)&gt;0),$V556/365*($S556-BE556+1),$V556/365*(BF556-$R556+1))))),0)</f>
        <v>0</v>
      </c>
      <c r="BH556" s="163">
        <v>46023</v>
      </c>
      <c r="BI556" s="163">
        <f t="shared" ref="BI556:BI559" si="6269">BH556+30</f>
        <v>46053</v>
      </c>
      <c r="BJ556" s="167">
        <f t="shared" ref="BJ556:BJ559" si="6270">IFERROR(IF(($R556-BI556)&gt;=0,0,IF(($S556-BH556)&lt;0,0,IF(AND(($S556-BI556)&gt;0,(BH556-$R556)&gt;0),$V556/365*(BI556-BH556+1),IF(AND(($S556-BI556)&lt;=0,(BH556-$R556)&gt;0),$V556/365*($S556-BH556+1),$V556/365*(BI556-$R556+1))))),0)</f>
        <v>0</v>
      </c>
      <c r="BK556" s="163">
        <f t="shared" ref="BK556:BK559" si="6271">BI556+1</f>
        <v>46054</v>
      </c>
      <c r="BL556" s="163">
        <f t="shared" ref="BL556:BL559" si="6272">BK556+27</f>
        <v>46081</v>
      </c>
      <c r="BM556" s="167">
        <f t="shared" ref="BM556:BM559" si="6273">IFERROR(IF(($R556-BL556)&gt;=0,0,IF(($S556-BK556)&lt;0,0,IF(AND(($S556-BL556)&gt;0,(BK556-$R556)&gt;0),$V556/365*(BL556-BK556+1),IF(AND(($S556-BL556)&lt;=0,(BK556-$R556)&gt;0),$V556/365*($S556-BK556+1),$V556/365*(BL556-$R556+1))))),0)</f>
        <v>0</v>
      </c>
      <c r="BN556" s="163">
        <f t="shared" ref="BN556:BN559" si="6274">BL556+1</f>
        <v>46082</v>
      </c>
      <c r="BO556" s="163">
        <f t="shared" ref="BO556:BO559" si="6275">BN556+30</f>
        <v>46112</v>
      </c>
      <c r="BP556" s="167">
        <f t="shared" ref="BP556:BP559" si="6276">IFERROR(IF(($R556-BO556)&gt;=0,0,IF(($S556-BN556)&lt;0,0,IF(AND(($S556-BO556)&gt;0,(BN556-$R556)&gt;0),$V556/365*(BO556-BN556+1),IF(AND(($S556-BO556)&lt;=0,(BN556-$R556)&gt;0),$V556/365*($S556-BN556+1),$V556/365*(BO556-$R556+1))))),0)</f>
        <v>0</v>
      </c>
      <c r="BQ556" s="163">
        <f t="shared" ref="BQ556:BQ559" si="6277">BO556+1</f>
        <v>46113</v>
      </c>
      <c r="BR556" s="163">
        <f t="shared" ref="BR556:BR559" si="6278">BQ556+29</f>
        <v>46142</v>
      </c>
      <c r="BS556" s="167">
        <f t="shared" ref="BS556:BS559" si="6279">IFERROR(IF(($R556-BR556)&gt;=0,0,IF(($S556-BQ556)&lt;0,0,IF(AND(($S556-BR556)&gt;0,(BQ556-$R556)&gt;0),$V556/365*(BR556-BQ556+1),IF(AND(($S556-BR556)&lt;=0,(BQ556-$R556)&gt;0),$V556/365*($S556-BQ556+1),$V556/365*(BR556-$R556+1))))),0)</f>
        <v>0</v>
      </c>
      <c r="BT556" s="163">
        <f t="shared" ref="BT556:BT559" si="6280">BR556+1</f>
        <v>46143</v>
      </c>
      <c r="BU556" s="163">
        <f t="shared" ref="BU556:BU559" si="6281">BT556+30</f>
        <v>46173</v>
      </c>
      <c r="BV556" s="167">
        <f t="shared" ref="BV556:BV559" si="6282">IFERROR(IF(($R556-BU556)&gt;=0,0,IF(($S556-BT556)&lt;0,0,IF(AND(($S556-BU556)&gt;0,(BT556-$R556)&gt;0),$V556/365*(BU556-BT556+1),IF(AND(($S556-BU556)&lt;=0,(BT556-$R556)&gt;0),$V556/365*($S556-BT556+1),$V556/365*(BU556-$R556+1))))),0)</f>
        <v>0</v>
      </c>
      <c r="BW556" s="163">
        <f t="shared" ref="BW556:BW559" si="6283">BU556+1</f>
        <v>46174</v>
      </c>
      <c r="BX556" s="163">
        <f t="shared" ref="BX556:BX559" si="6284">BW556+29</f>
        <v>46203</v>
      </c>
      <c r="BY556" s="167">
        <f t="shared" ref="BY556:BY559" si="6285">IFERROR(IF(($R556-BX556)&gt;=0,0,IF(($S556-BW556)&lt;0,0,IF(AND(($S556-BX556)&gt;0,(BW556-$R556)&gt;0),$V556/365*(BX556-BW556+1),IF(AND(($S556-BX556)&lt;=0,(BW556-$R556)&gt;0),$V556/365*($S556-BW556+1),$V556/365*(BX556-$R556+1))))),0)</f>
        <v>0</v>
      </c>
      <c r="BZ556" s="163">
        <f t="shared" ref="BZ556:BZ559" si="6286">BX556+1</f>
        <v>46204</v>
      </c>
      <c r="CA556" s="163">
        <f t="shared" ref="CA556:CA559" si="6287">BZ556+30</f>
        <v>46234</v>
      </c>
      <c r="CB556" s="167">
        <f t="shared" ref="CB556:CB559" si="6288">IFERROR(IF(($R556-CA556)&gt;=0,0,IF(($S556-BZ556)&lt;0,0,IF(AND(($S556-CA556)&gt;0,(BZ556-$R556)&gt;0),$V556/365*(CA556-BZ556+1),IF(AND(($S556-CA556)&lt;=0,(BZ556-$R556)&gt;0),$V556/365*($S556-BZ556+1),$V556/365*(CA556-$R556+1))))),0)</f>
        <v>0</v>
      </c>
      <c r="CC556" s="163">
        <f t="shared" ref="CC556:CC559" si="6289">CA556+1</f>
        <v>46235</v>
      </c>
      <c r="CD556" s="163">
        <f t="shared" ref="CD556:CD559" si="6290">CC556+30</f>
        <v>46265</v>
      </c>
      <c r="CE556" s="167">
        <f t="shared" ref="CE556:CE559" si="6291">IFERROR(IF(($R556-CD556)&gt;=0,0,IF(($S556-CC556)&lt;0,0,IF(AND(($S556-CD556)&gt;0,(CC556-$R556)&gt;0),$V556/365*(CD556-CC556+1),IF(AND(($S556-CD556)&lt;=0,(CC556-$R556)&gt;0),$V556/365*($S556-CC556+1),$V556/365*(CD556-$R556+1))))),0)</f>
        <v>0</v>
      </c>
      <c r="CF556" s="163">
        <f t="shared" ref="CF556:CF559" si="6292">CD556+1</f>
        <v>46266</v>
      </c>
      <c r="CG556" s="163">
        <f t="shared" ref="CG556:CG559" si="6293">CF556+29</f>
        <v>46295</v>
      </c>
      <c r="CH556" s="167">
        <f t="shared" ref="CH556:CH559" si="6294">IFERROR(IF(($R556-CG556)&gt;=0,0,IF(($S556-CF556)&lt;0,0,IF(AND(($S556-CG556)&gt;0,(CF556-$R556)&gt;0),$V556/365*(CG556-CF556+1),IF(AND(($S556-CG556)&lt;=0,(CF556-$R556)&gt;0),$V556/365*($S556-CF556+1),$V556/365*(CG556-$R556+1))))),0)</f>
        <v>0</v>
      </c>
      <c r="CI556" s="163">
        <f t="shared" ref="CI556:CI559" si="6295">CG556+1</f>
        <v>46296</v>
      </c>
      <c r="CJ556" s="163">
        <f t="shared" ref="CJ556:CJ559" si="6296">CI556+30</f>
        <v>46326</v>
      </c>
      <c r="CK556" s="167">
        <f t="shared" ref="CK556:CK559" si="6297">IFERROR(IF(($R556-CJ556)&gt;=0,0,IF(($S556-CI556)&lt;0,0,IF(AND(($S556-CJ556)&gt;0,(CI556-$R556)&gt;0),$V556/365*(CJ556-CI556+1),IF(AND(($S556-CJ556)&lt;=0,(CI556-$R556)&gt;0),$V556/365*($S556-CI556+1),$V556/365*(CJ556-$R556+1))))),0)</f>
        <v>0</v>
      </c>
      <c r="CL556" s="163">
        <f t="shared" ref="CL556:CL559" si="6298">CJ556+1</f>
        <v>46327</v>
      </c>
      <c r="CM556" s="163">
        <f t="shared" ref="CM556:CM559" si="6299">CL556+29</f>
        <v>46356</v>
      </c>
      <c r="CN556" s="167">
        <f t="shared" ref="CN556:CN559" si="6300">IFERROR(IF(($R556-CM556)&gt;=0,0,IF(($S556-CL556)&lt;0,0,IF(AND(($S556-CM556)&gt;0,(CL556-$R556)&gt;0),$V556/365*(CM556-CL556+1),IF(AND(($S556-CM556)&lt;=0,(CL556-$R556)&gt;0),$V556/365*($S556-CL556+1),$V556/365*(CM556-$R556+1))))),0)</f>
        <v>0</v>
      </c>
      <c r="CO556" s="163">
        <f t="shared" ref="CO556:CO559" si="6301">CM556+1</f>
        <v>46357</v>
      </c>
      <c r="CP556" s="163">
        <f t="shared" ref="CP556:CP559" si="6302">CO556+30</f>
        <v>46387</v>
      </c>
      <c r="CQ556" s="167">
        <f t="shared" ref="CQ556:CQ559" si="6303">IFERROR(IF(($R556-CP556)&gt;=0,0,IF(($S556-CO556)&lt;0,0,IF(AND(($S556-CP556)&gt;0,(CO556-$R556)&gt;0),$V556/365*(CP556-CO556+1),IF(AND(($S556-CP556)&lt;=0,(CO556-$R556)&gt;0),$V556/365*($S556-CO556+1),$V556/365*(CP556-$R556+1))))),0)</f>
        <v>0</v>
      </c>
    </row>
    <row r="557" s="89" customFormat="1" ht="24" customHeight="1" outlineLevel="2" spans="1:95">
      <c r="A557" s="128"/>
      <c r="B557" s="129"/>
      <c r="C557" s="130"/>
      <c r="D557" s="128"/>
      <c r="E557" s="129"/>
      <c r="F557" s="129"/>
      <c r="G557" s="129"/>
      <c r="H557" s="131"/>
      <c r="I557" s="131"/>
      <c r="J557" s="131">
        <f t="shared" si="6007"/>
        <v>0</v>
      </c>
      <c r="K557" s="131">
        <f t="shared" ref="K557:K559" si="6304">K556+1</f>
        <v>2</v>
      </c>
      <c r="L557" s="156"/>
      <c r="M557" s="157">
        <f>IFERROR(VLOOKUP($L557,'2-2 引出数据_合同数据仓库'!$B$5:$BP$200,3,FALSE),0)</f>
        <v>0</v>
      </c>
      <c r="N557" s="131"/>
      <c r="O557" s="157">
        <f>IFERROR(VLOOKUP((LEFT(VLOOKUP($L557,'2-2 引出数据_合同数据仓库'!$B$5:$BP$200,64,FALSE),15)&amp;(RIGHT(VLOOKUP($L557,'2-2 引出数据_合同数据仓库'!$B$5:$BP$200,64,FALSE),4)+1)),'2-2 引出数据_合同数据仓库'!$B$5:$BP$200,3,FALSE),0)</f>
        <v>0</v>
      </c>
      <c r="P557" s="131"/>
      <c r="Q557" s="131">
        <f>IFERROR(VLOOKUP($L557,'2-2 引出数据_合同数据仓库'!$B$5:$BP$200,28,FALSE),0)</f>
        <v>0</v>
      </c>
      <c r="R557" s="131">
        <f>IFERROR(VLOOKUP($L557,'2-2 引出数据_合同数据仓库'!$B$5:$BP$200,29,FALSE),0)</f>
        <v>0</v>
      </c>
      <c r="S557" s="131">
        <f>IFERROR(VLOOKUP($L557,'2-2 引出数据_合同数据仓库'!$B$5:$BP$200,4,FALSE),0)</f>
        <v>0</v>
      </c>
      <c r="T557" s="131"/>
      <c r="U557" s="131">
        <f>IFERROR(VLOOKUP($L557,'2-2 引出数据_合同数据仓库'!$B$5:$BP$200,15,FALSE),0)</f>
        <v>0</v>
      </c>
      <c r="V557" s="131">
        <f t="shared" si="6233"/>
        <v>0</v>
      </c>
      <c r="W557" s="131"/>
      <c r="X557" s="163">
        <v>45658</v>
      </c>
      <c r="Y557" s="163">
        <f t="shared" si="6234"/>
        <v>45688</v>
      </c>
      <c r="Z557" s="167">
        <f t="shared" si="6235"/>
        <v>0</v>
      </c>
      <c r="AA557" s="163">
        <f t="shared" si="6236"/>
        <v>45689</v>
      </c>
      <c r="AB557" s="163">
        <f t="shared" si="6237"/>
        <v>45716</v>
      </c>
      <c r="AC557" s="167">
        <f t="shared" si="6238"/>
        <v>0</v>
      </c>
      <c r="AD557" s="163">
        <f t="shared" si="6239"/>
        <v>45717</v>
      </c>
      <c r="AE557" s="163">
        <f t="shared" si="6240"/>
        <v>45747</v>
      </c>
      <c r="AF557" s="167">
        <f t="shared" si="6241"/>
        <v>0</v>
      </c>
      <c r="AG557" s="163">
        <f t="shared" si="6242"/>
        <v>45748</v>
      </c>
      <c r="AH557" s="163">
        <f t="shared" si="6243"/>
        <v>45777</v>
      </c>
      <c r="AI557" s="167">
        <f t="shared" si="6244"/>
        <v>0</v>
      </c>
      <c r="AJ557" s="163">
        <f t="shared" si="6245"/>
        <v>45778</v>
      </c>
      <c r="AK557" s="163">
        <f t="shared" si="6246"/>
        <v>45808</v>
      </c>
      <c r="AL557" s="167">
        <f t="shared" si="6247"/>
        <v>0</v>
      </c>
      <c r="AM557" s="163">
        <f t="shared" si="6248"/>
        <v>45809</v>
      </c>
      <c r="AN557" s="163">
        <f t="shared" si="6249"/>
        <v>45838</v>
      </c>
      <c r="AO557" s="167">
        <f t="shared" si="6250"/>
        <v>0</v>
      </c>
      <c r="AP557" s="163">
        <f t="shared" si="6251"/>
        <v>45839</v>
      </c>
      <c r="AQ557" s="163">
        <f t="shared" si="6252"/>
        <v>45869</v>
      </c>
      <c r="AR557" s="167">
        <f t="shared" si="6253"/>
        <v>0</v>
      </c>
      <c r="AS557" s="163">
        <f t="shared" si="6254"/>
        <v>45870</v>
      </c>
      <c r="AT557" s="163">
        <f t="shared" si="6255"/>
        <v>45900</v>
      </c>
      <c r="AU557" s="167">
        <f t="shared" si="6256"/>
        <v>0</v>
      </c>
      <c r="AV557" s="163">
        <f t="shared" si="6257"/>
        <v>45901</v>
      </c>
      <c r="AW557" s="163">
        <f t="shared" si="6258"/>
        <v>45930</v>
      </c>
      <c r="AX557" s="167">
        <f t="shared" si="6259"/>
        <v>0</v>
      </c>
      <c r="AY557" s="163">
        <f t="shared" si="6260"/>
        <v>45931</v>
      </c>
      <c r="AZ557" s="163">
        <f t="shared" si="6261"/>
        <v>45961</v>
      </c>
      <c r="BA557" s="167">
        <f t="shared" si="6262"/>
        <v>0</v>
      </c>
      <c r="BB557" s="163">
        <f t="shared" si="6263"/>
        <v>45962</v>
      </c>
      <c r="BC557" s="163">
        <f t="shared" si="6264"/>
        <v>45991</v>
      </c>
      <c r="BD557" s="167">
        <f t="shared" si="6265"/>
        <v>0</v>
      </c>
      <c r="BE557" s="163">
        <f t="shared" si="6266"/>
        <v>45992</v>
      </c>
      <c r="BF557" s="163">
        <f t="shared" si="6267"/>
        <v>46022</v>
      </c>
      <c r="BG557" s="167">
        <f t="shared" si="6268"/>
        <v>0</v>
      </c>
      <c r="BH557" s="163">
        <v>46023</v>
      </c>
      <c r="BI557" s="163">
        <f t="shared" si="6269"/>
        <v>46053</v>
      </c>
      <c r="BJ557" s="167">
        <f t="shared" si="6270"/>
        <v>0</v>
      </c>
      <c r="BK557" s="163">
        <f t="shared" si="6271"/>
        <v>46054</v>
      </c>
      <c r="BL557" s="163">
        <f t="shared" si="6272"/>
        <v>46081</v>
      </c>
      <c r="BM557" s="167">
        <f t="shared" si="6273"/>
        <v>0</v>
      </c>
      <c r="BN557" s="163">
        <f t="shared" si="6274"/>
        <v>46082</v>
      </c>
      <c r="BO557" s="163">
        <f t="shared" si="6275"/>
        <v>46112</v>
      </c>
      <c r="BP557" s="167">
        <f t="shared" si="6276"/>
        <v>0</v>
      </c>
      <c r="BQ557" s="163">
        <f t="shared" si="6277"/>
        <v>46113</v>
      </c>
      <c r="BR557" s="163">
        <f t="shared" si="6278"/>
        <v>46142</v>
      </c>
      <c r="BS557" s="167">
        <f t="shared" si="6279"/>
        <v>0</v>
      </c>
      <c r="BT557" s="163">
        <f t="shared" si="6280"/>
        <v>46143</v>
      </c>
      <c r="BU557" s="163">
        <f t="shared" si="6281"/>
        <v>46173</v>
      </c>
      <c r="BV557" s="167">
        <f t="shared" si="6282"/>
        <v>0</v>
      </c>
      <c r="BW557" s="163">
        <f t="shared" si="6283"/>
        <v>46174</v>
      </c>
      <c r="BX557" s="163">
        <f t="shared" si="6284"/>
        <v>46203</v>
      </c>
      <c r="BY557" s="167">
        <f t="shared" si="6285"/>
        <v>0</v>
      </c>
      <c r="BZ557" s="163">
        <f t="shared" si="6286"/>
        <v>46204</v>
      </c>
      <c r="CA557" s="163">
        <f t="shared" si="6287"/>
        <v>46234</v>
      </c>
      <c r="CB557" s="167">
        <f t="shared" si="6288"/>
        <v>0</v>
      </c>
      <c r="CC557" s="163">
        <f t="shared" si="6289"/>
        <v>46235</v>
      </c>
      <c r="CD557" s="163">
        <f t="shared" si="6290"/>
        <v>46265</v>
      </c>
      <c r="CE557" s="167">
        <f t="shared" si="6291"/>
        <v>0</v>
      </c>
      <c r="CF557" s="163">
        <f t="shared" si="6292"/>
        <v>46266</v>
      </c>
      <c r="CG557" s="163">
        <f t="shared" si="6293"/>
        <v>46295</v>
      </c>
      <c r="CH557" s="167">
        <f t="shared" si="6294"/>
        <v>0</v>
      </c>
      <c r="CI557" s="163">
        <f t="shared" si="6295"/>
        <v>46296</v>
      </c>
      <c r="CJ557" s="163">
        <f t="shared" si="6296"/>
        <v>46326</v>
      </c>
      <c r="CK557" s="167">
        <f t="shared" si="6297"/>
        <v>0</v>
      </c>
      <c r="CL557" s="163">
        <f t="shared" si="6298"/>
        <v>46327</v>
      </c>
      <c r="CM557" s="163">
        <f t="shared" si="6299"/>
        <v>46356</v>
      </c>
      <c r="CN557" s="167">
        <f t="shared" si="6300"/>
        <v>0</v>
      </c>
      <c r="CO557" s="163">
        <f t="shared" si="6301"/>
        <v>46357</v>
      </c>
      <c r="CP557" s="163">
        <f t="shared" si="6302"/>
        <v>46387</v>
      </c>
      <c r="CQ557" s="167">
        <f t="shared" si="6303"/>
        <v>0</v>
      </c>
    </row>
    <row r="558" s="89" customFormat="1" ht="24" customHeight="1" outlineLevel="2" spans="1:95">
      <c r="A558" s="128"/>
      <c r="B558" s="129"/>
      <c r="C558" s="130"/>
      <c r="D558" s="128"/>
      <c r="E558" s="129"/>
      <c r="F558" s="129"/>
      <c r="G558" s="129"/>
      <c r="H558" s="131"/>
      <c r="I558" s="131"/>
      <c r="J558" s="131">
        <f t="shared" si="6007"/>
        <v>0</v>
      </c>
      <c r="K558" s="131">
        <f t="shared" si="6304"/>
        <v>3</v>
      </c>
      <c r="L558" s="156"/>
      <c r="M558" s="157">
        <f>IFERROR(VLOOKUP($L558,'2-2 引出数据_合同数据仓库'!$B$5:$BP$200,3,FALSE),0)</f>
        <v>0</v>
      </c>
      <c r="N558" s="131"/>
      <c r="O558" s="157">
        <f>IFERROR(VLOOKUP((LEFT(VLOOKUP($L558,'2-2 引出数据_合同数据仓库'!$B$5:$BP$200,64,FALSE),15)&amp;(RIGHT(VLOOKUP($L558,'2-2 引出数据_合同数据仓库'!$B$5:$BP$200,64,FALSE),4)+1)),'2-2 引出数据_合同数据仓库'!$B$5:$BP$200,3,FALSE),0)</f>
        <v>0</v>
      </c>
      <c r="P558" s="131"/>
      <c r="Q558" s="131">
        <f>IFERROR(VLOOKUP($L558,'2-2 引出数据_合同数据仓库'!$B$5:$BP$200,28,FALSE),0)</f>
        <v>0</v>
      </c>
      <c r="R558" s="131">
        <f>IFERROR(VLOOKUP($L558,'2-2 引出数据_合同数据仓库'!$B$5:$BP$200,29,FALSE),0)</f>
        <v>0</v>
      </c>
      <c r="S558" s="131">
        <f>IFERROR(VLOOKUP($L558,'2-2 引出数据_合同数据仓库'!$B$5:$BP$200,4,FALSE),0)</f>
        <v>0</v>
      </c>
      <c r="T558" s="131"/>
      <c r="U558" s="131">
        <f>IFERROR(VLOOKUP($L558,'2-2 引出数据_合同数据仓库'!$B$5:$BP$200,15,FALSE),0)</f>
        <v>0</v>
      </c>
      <c r="V558" s="131">
        <f t="shared" si="6233"/>
        <v>0</v>
      </c>
      <c r="W558" s="131"/>
      <c r="X558" s="163">
        <v>45658</v>
      </c>
      <c r="Y558" s="163">
        <f t="shared" si="6234"/>
        <v>45688</v>
      </c>
      <c r="Z558" s="167">
        <f t="shared" si="6235"/>
        <v>0</v>
      </c>
      <c r="AA558" s="163">
        <f t="shared" si="6236"/>
        <v>45689</v>
      </c>
      <c r="AB558" s="163">
        <f t="shared" si="6237"/>
        <v>45716</v>
      </c>
      <c r="AC558" s="167">
        <f t="shared" si="6238"/>
        <v>0</v>
      </c>
      <c r="AD558" s="163">
        <f t="shared" si="6239"/>
        <v>45717</v>
      </c>
      <c r="AE558" s="163">
        <f t="shared" si="6240"/>
        <v>45747</v>
      </c>
      <c r="AF558" s="167">
        <f t="shared" si="6241"/>
        <v>0</v>
      </c>
      <c r="AG558" s="163">
        <f t="shared" si="6242"/>
        <v>45748</v>
      </c>
      <c r="AH558" s="163">
        <f t="shared" si="6243"/>
        <v>45777</v>
      </c>
      <c r="AI558" s="167">
        <f t="shared" si="6244"/>
        <v>0</v>
      </c>
      <c r="AJ558" s="163">
        <f t="shared" si="6245"/>
        <v>45778</v>
      </c>
      <c r="AK558" s="163">
        <f t="shared" si="6246"/>
        <v>45808</v>
      </c>
      <c r="AL558" s="167">
        <f t="shared" si="6247"/>
        <v>0</v>
      </c>
      <c r="AM558" s="163">
        <f t="shared" si="6248"/>
        <v>45809</v>
      </c>
      <c r="AN558" s="163">
        <f t="shared" si="6249"/>
        <v>45838</v>
      </c>
      <c r="AO558" s="167">
        <f t="shared" si="6250"/>
        <v>0</v>
      </c>
      <c r="AP558" s="163">
        <f t="shared" si="6251"/>
        <v>45839</v>
      </c>
      <c r="AQ558" s="163">
        <f t="shared" si="6252"/>
        <v>45869</v>
      </c>
      <c r="AR558" s="167">
        <f t="shared" si="6253"/>
        <v>0</v>
      </c>
      <c r="AS558" s="163">
        <f t="shared" si="6254"/>
        <v>45870</v>
      </c>
      <c r="AT558" s="163">
        <f t="shared" si="6255"/>
        <v>45900</v>
      </c>
      <c r="AU558" s="167">
        <f t="shared" si="6256"/>
        <v>0</v>
      </c>
      <c r="AV558" s="163">
        <f t="shared" si="6257"/>
        <v>45901</v>
      </c>
      <c r="AW558" s="163">
        <f t="shared" si="6258"/>
        <v>45930</v>
      </c>
      <c r="AX558" s="167">
        <f t="shared" si="6259"/>
        <v>0</v>
      </c>
      <c r="AY558" s="163">
        <f t="shared" si="6260"/>
        <v>45931</v>
      </c>
      <c r="AZ558" s="163">
        <f t="shared" si="6261"/>
        <v>45961</v>
      </c>
      <c r="BA558" s="167">
        <f t="shared" si="6262"/>
        <v>0</v>
      </c>
      <c r="BB558" s="163">
        <f t="shared" si="6263"/>
        <v>45962</v>
      </c>
      <c r="BC558" s="163">
        <f t="shared" si="6264"/>
        <v>45991</v>
      </c>
      <c r="BD558" s="167">
        <f t="shared" si="6265"/>
        <v>0</v>
      </c>
      <c r="BE558" s="163">
        <f t="shared" si="6266"/>
        <v>45992</v>
      </c>
      <c r="BF558" s="163">
        <f t="shared" si="6267"/>
        <v>46022</v>
      </c>
      <c r="BG558" s="167">
        <f t="shared" si="6268"/>
        <v>0</v>
      </c>
      <c r="BH558" s="163">
        <v>46023</v>
      </c>
      <c r="BI558" s="163">
        <f t="shared" si="6269"/>
        <v>46053</v>
      </c>
      <c r="BJ558" s="167">
        <f t="shared" si="6270"/>
        <v>0</v>
      </c>
      <c r="BK558" s="163">
        <f t="shared" si="6271"/>
        <v>46054</v>
      </c>
      <c r="BL558" s="163">
        <f t="shared" si="6272"/>
        <v>46081</v>
      </c>
      <c r="BM558" s="167">
        <f t="shared" si="6273"/>
        <v>0</v>
      </c>
      <c r="BN558" s="163">
        <f t="shared" si="6274"/>
        <v>46082</v>
      </c>
      <c r="BO558" s="163">
        <f t="shared" si="6275"/>
        <v>46112</v>
      </c>
      <c r="BP558" s="167">
        <f t="shared" si="6276"/>
        <v>0</v>
      </c>
      <c r="BQ558" s="163">
        <f t="shared" si="6277"/>
        <v>46113</v>
      </c>
      <c r="BR558" s="163">
        <f t="shared" si="6278"/>
        <v>46142</v>
      </c>
      <c r="BS558" s="167">
        <f t="shared" si="6279"/>
        <v>0</v>
      </c>
      <c r="BT558" s="163">
        <f t="shared" si="6280"/>
        <v>46143</v>
      </c>
      <c r="BU558" s="163">
        <f t="shared" si="6281"/>
        <v>46173</v>
      </c>
      <c r="BV558" s="167">
        <f t="shared" si="6282"/>
        <v>0</v>
      </c>
      <c r="BW558" s="163">
        <f t="shared" si="6283"/>
        <v>46174</v>
      </c>
      <c r="BX558" s="163">
        <f t="shared" si="6284"/>
        <v>46203</v>
      </c>
      <c r="BY558" s="167">
        <f t="shared" si="6285"/>
        <v>0</v>
      </c>
      <c r="BZ558" s="163">
        <f t="shared" si="6286"/>
        <v>46204</v>
      </c>
      <c r="CA558" s="163">
        <f t="shared" si="6287"/>
        <v>46234</v>
      </c>
      <c r="CB558" s="167">
        <f t="shared" si="6288"/>
        <v>0</v>
      </c>
      <c r="CC558" s="163">
        <f t="shared" si="6289"/>
        <v>46235</v>
      </c>
      <c r="CD558" s="163">
        <f t="shared" si="6290"/>
        <v>46265</v>
      </c>
      <c r="CE558" s="167">
        <f t="shared" si="6291"/>
        <v>0</v>
      </c>
      <c r="CF558" s="163">
        <f t="shared" si="6292"/>
        <v>46266</v>
      </c>
      <c r="CG558" s="163">
        <f t="shared" si="6293"/>
        <v>46295</v>
      </c>
      <c r="CH558" s="167">
        <f t="shared" si="6294"/>
        <v>0</v>
      </c>
      <c r="CI558" s="163">
        <f t="shared" si="6295"/>
        <v>46296</v>
      </c>
      <c r="CJ558" s="163">
        <f t="shared" si="6296"/>
        <v>46326</v>
      </c>
      <c r="CK558" s="167">
        <f t="shared" si="6297"/>
        <v>0</v>
      </c>
      <c r="CL558" s="163">
        <f t="shared" si="6298"/>
        <v>46327</v>
      </c>
      <c r="CM558" s="163">
        <f t="shared" si="6299"/>
        <v>46356</v>
      </c>
      <c r="CN558" s="167">
        <f t="shared" si="6300"/>
        <v>0</v>
      </c>
      <c r="CO558" s="163">
        <f t="shared" si="6301"/>
        <v>46357</v>
      </c>
      <c r="CP558" s="163">
        <f t="shared" si="6302"/>
        <v>46387</v>
      </c>
      <c r="CQ558" s="167">
        <f t="shared" si="6303"/>
        <v>0</v>
      </c>
    </row>
    <row r="559" s="89" customFormat="1" ht="24" customHeight="1" outlineLevel="2" collapsed="1" spans="1:95">
      <c r="A559" s="128"/>
      <c r="B559" s="129"/>
      <c r="C559" s="130"/>
      <c r="D559" s="128"/>
      <c r="E559" s="129"/>
      <c r="F559" s="129"/>
      <c r="G559" s="129"/>
      <c r="H559" s="131"/>
      <c r="I559" s="131"/>
      <c r="J559" s="131">
        <f t="shared" si="6007"/>
        <v>0</v>
      </c>
      <c r="K559" s="131">
        <f t="shared" si="6304"/>
        <v>4</v>
      </c>
      <c r="L559" s="156"/>
      <c r="M559" s="157">
        <f>IFERROR(VLOOKUP($L559,'2-2 引出数据_合同数据仓库'!$B$5:$BP$200,3,FALSE),0)</f>
        <v>0</v>
      </c>
      <c r="N559" s="131"/>
      <c r="O559" s="157">
        <f>IFERROR(VLOOKUP((LEFT(VLOOKUP($L559,'2-2 引出数据_合同数据仓库'!$B$5:$BP$200,64,FALSE),15)&amp;(RIGHT(VLOOKUP($L559,'2-2 引出数据_合同数据仓库'!$B$5:$BP$200,64,FALSE),4)+1)),'2-2 引出数据_合同数据仓库'!$B$5:$BP$200,3,FALSE),0)</f>
        <v>0</v>
      </c>
      <c r="P559" s="131"/>
      <c r="Q559" s="131">
        <f>IFERROR(VLOOKUP($L559,'2-2 引出数据_合同数据仓库'!$B$5:$BP$200,28,FALSE),0)</f>
        <v>0</v>
      </c>
      <c r="R559" s="131">
        <f>IFERROR(VLOOKUP($L559,'2-2 引出数据_合同数据仓库'!$B$5:$BP$200,29,FALSE),0)</f>
        <v>0</v>
      </c>
      <c r="S559" s="131">
        <f>IFERROR(VLOOKUP($L559,'2-2 引出数据_合同数据仓库'!$B$5:$BP$200,4,FALSE),0)</f>
        <v>0</v>
      </c>
      <c r="T559" s="131"/>
      <c r="U559" s="131">
        <f>IFERROR(VLOOKUP($L559,'2-2 引出数据_合同数据仓库'!$B$5:$BP$200,15,FALSE),0)</f>
        <v>0</v>
      </c>
      <c r="V559" s="131">
        <f t="shared" si="6233"/>
        <v>0</v>
      </c>
      <c r="W559" s="131"/>
      <c r="X559" s="163">
        <v>45658</v>
      </c>
      <c r="Y559" s="163">
        <f t="shared" si="6234"/>
        <v>45688</v>
      </c>
      <c r="Z559" s="167">
        <f t="shared" si="6235"/>
        <v>0</v>
      </c>
      <c r="AA559" s="163">
        <f t="shared" si="6236"/>
        <v>45689</v>
      </c>
      <c r="AB559" s="163">
        <f t="shared" si="6237"/>
        <v>45716</v>
      </c>
      <c r="AC559" s="167">
        <f t="shared" si="6238"/>
        <v>0</v>
      </c>
      <c r="AD559" s="163">
        <f t="shared" si="6239"/>
        <v>45717</v>
      </c>
      <c r="AE559" s="163">
        <f t="shared" si="6240"/>
        <v>45747</v>
      </c>
      <c r="AF559" s="167">
        <f t="shared" si="6241"/>
        <v>0</v>
      </c>
      <c r="AG559" s="163">
        <f t="shared" si="6242"/>
        <v>45748</v>
      </c>
      <c r="AH559" s="163">
        <f t="shared" si="6243"/>
        <v>45777</v>
      </c>
      <c r="AI559" s="167">
        <f t="shared" si="6244"/>
        <v>0</v>
      </c>
      <c r="AJ559" s="163">
        <f t="shared" si="6245"/>
        <v>45778</v>
      </c>
      <c r="AK559" s="163">
        <f t="shared" si="6246"/>
        <v>45808</v>
      </c>
      <c r="AL559" s="167">
        <f t="shared" si="6247"/>
        <v>0</v>
      </c>
      <c r="AM559" s="163">
        <f t="shared" si="6248"/>
        <v>45809</v>
      </c>
      <c r="AN559" s="163">
        <f t="shared" si="6249"/>
        <v>45838</v>
      </c>
      <c r="AO559" s="167">
        <f t="shared" si="6250"/>
        <v>0</v>
      </c>
      <c r="AP559" s="163">
        <f t="shared" si="6251"/>
        <v>45839</v>
      </c>
      <c r="AQ559" s="163">
        <f t="shared" si="6252"/>
        <v>45869</v>
      </c>
      <c r="AR559" s="167">
        <f t="shared" si="6253"/>
        <v>0</v>
      </c>
      <c r="AS559" s="163">
        <f t="shared" si="6254"/>
        <v>45870</v>
      </c>
      <c r="AT559" s="163">
        <f t="shared" si="6255"/>
        <v>45900</v>
      </c>
      <c r="AU559" s="167">
        <f t="shared" si="6256"/>
        <v>0</v>
      </c>
      <c r="AV559" s="163">
        <f t="shared" si="6257"/>
        <v>45901</v>
      </c>
      <c r="AW559" s="163">
        <f t="shared" si="6258"/>
        <v>45930</v>
      </c>
      <c r="AX559" s="167">
        <f t="shared" si="6259"/>
        <v>0</v>
      </c>
      <c r="AY559" s="163">
        <f t="shared" si="6260"/>
        <v>45931</v>
      </c>
      <c r="AZ559" s="163">
        <f t="shared" si="6261"/>
        <v>45961</v>
      </c>
      <c r="BA559" s="167">
        <f t="shared" si="6262"/>
        <v>0</v>
      </c>
      <c r="BB559" s="163">
        <f t="shared" si="6263"/>
        <v>45962</v>
      </c>
      <c r="BC559" s="163">
        <f t="shared" si="6264"/>
        <v>45991</v>
      </c>
      <c r="BD559" s="167">
        <f t="shared" si="6265"/>
        <v>0</v>
      </c>
      <c r="BE559" s="163">
        <f t="shared" si="6266"/>
        <v>45992</v>
      </c>
      <c r="BF559" s="163">
        <f t="shared" si="6267"/>
        <v>46022</v>
      </c>
      <c r="BG559" s="167">
        <f t="shared" si="6268"/>
        <v>0</v>
      </c>
      <c r="BH559" s="163">
        <v>46023</v>
      </c>
      <c r="BI559" s="163">
        <f t="shared" si="6269"/>
        <v>46053</v>
      </c>
      <c r="BJ559" s="167">
        <f t="shared" si="6270"/>
        <v>0</v>
      </c>
      <c r="BK559" s="163">
        <f t="shared" si="6271"/>
        <v>46054</v>
      </c>
      <c r="BL559" s="163">
        <f t="shared" si="6272"/>
        <v>46081</v>
      </c>
      <c r="BM559" s="167">
        <f t="shared" si="6273"/>
        <v>0</v>
      </c>
      <c r="BN559" s="163">
        <f t="shared" si="6274"/>
        <v>46082</v>
      </c>
      <c r="BO559" s="163">
        <f t="shared" si="6275"/>
        <v>46112</v>
      </c>
      <c r="BP559" s="167">
        <f t="shared" si="6276"/>
        <v>0</v>
      </c>
      <c r="BQ559" s="163">
        <f t="shared" si="6277"/>
        <v>46113</v>
      </c>
      <c r="BR559" s="163">
        <f t="shared" si="6278"/>
        <v>46142</v>
      </c>
      <c r="BS559" s="167">
        <f t="shared" si="6279"/>
        <v>0</v>
      </c>
      <c r="BT559" s="163">
        <f t="shared" si="6280"/>
        <v>46143</v>
      </c>
      <c r="BU559" s="163">
        <f t="shared" si="6281"/>
        <v>46173</v>
      </c>
      <c r="BV559" s="167">
        <f t="shared" si="6282"/>
        <v>0</v>
      </c>
      <c r="BW559" s="163">
        <f t="shared" si="6283"/>
        <v>46174</v>
      </c>
      <c r="BX559" s="163">
        <f t="shared" si="6284"/>
        <v>46203</v>
      </c>
      <c r="BY559" s="167">
        <f t="shared" si="6285"/>
        <v>0</v>
      </c>
      <c r="BZ559" s="163">
        <f t="shared" si="6286"/>
        <v>46204</v>
      </c>
      <c r="CA559" s="163">
        <f t="shared" si="6287"/>
        <v>46234</v>
      </c>
      <c r="CB559" s="167">
        <f t="shared" si="6288"/>
        <v>0</v>
      </c>
      <c r="CC559" s="163">
        <f t="shared" si="6289"/>
        <v>46235</v>
      </c>
      <c r="CD559" s="163">
        <f t="shared" si="6290"/>
        <v>46265</v>
      </c>
      <c r="CE559" s="167">
        <f t="shared" si="6291"/>
        <v>0</v>
      </c>
      <c r="CF559" s="163">
        <f t="shared" si="6292"/>
        <v>46266</v>
      </c>
      <c r="CG559" s="163">
        <f t="shared" si="6293"/>
        <v>46295</v>
      </c>
      <c r="CH559" s="167">
        <f t="shared" si="6294"/>
        <v>0</v>
      </c>
      <c r="CI559" s="163">
        <f t="shared" si="6295"/>
        <v>46296</v>
      </c>
      <c r="CJ559" s="163">
        <f t="shared" si="6296"/>
        <v>46326</v>
      </c>
      <c r="CK559" s="167">
        <f t="shared" si="6297"/>
        <v>0</v>
      </c>
      <c r="CL559" s="163">
        <f t="shared" si="6298"/>
        <v>46327</v>
      </c>
      <c r="CM559" s="163">
        <f t="shared" si="6299"/>
        <v>46356</v>
      </c>
      <c r="CN559" s="167">
        <f t="shared" si="6300"/>
        <v>0</v>
      </c>
      <c r="CO559" s="163">
        <f t="shared" si="6301"/>
        <v>46357</v>
      </c>
      <c r="CP559" s="163">
        <f t="shared" si="6302"/>
        <v>46387</v>
      </c>
      <c r="CQ559" s="167">
        <f t="shared" si="6303"/>
        <v>0</v>
      </c>
    </row>
    <row r="560" s="89" customFormat="1" ht="24" hidden="1" customHeight="1" outlineLevel="4" spans="1:95">
      <c r="A560" s="132" t="s">
        <v>2813</v>
      </c>
      <c r="B560" s="133"/>
      <c r="C560" s="133"/>
      <c r="D560" s="133"/>
      <c r="E560" s="133"/>
      <c r="F560" s="133"/>
      <c r="G560" s="134"/>
      <c r="H560" s="135"/>
      <c r="I560" s="135"/>
      <c r="J560" s="135"/>
      <c r="K560" s="135"/>
      <c r="L560" s="158"/>
      <c r="M560" s="158"/>
      <c r="N560" s="158"/>
      <c r="O560" s="158"/>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c r="CL560" s="135"/>
      <c r="CM560" s="135"/>
      <c r="CN560" s="135"/>
      <c r="CO560" s="135"/>
      <c r="CP560" s="135"/>
      <c r="CQ560" s="135"/>
    </row>
    <row r="561" ht="24" customHeight="1" outlineLevel="1" spans="1:95">
      <c r="A561" s="14"/>
      <c r="B561" s="118" t="s">
        <v>792</v>
      </c>
      <c r="C561" s="119" t="s">
        <v>2236</v>
      </c>
      <c r="D561" s="14" t="s">
        <v>2237</v>
      </c>
      <c r="E561" s="118"/>
      <c r="F561" s="118"/>
      <c r="G561" s="118"/>
      <c r="H561" s="120">
        <f>X561+AA561+AD561+AG561+AJ561+AM561+AP561+AS561+AV561+AY561+BB561+BE561</f>
        <v>0</v>
      </c>
      <c r="I561" s="120">
        <f>Y561+AB561+AE561+AH561+AK561+AN561+AQ561+AT561+AW561+AZ561+BC561+BF561</f>
        <v>0</v>
      </c>
      <c r="J561" s="120">
        <f t="shared" si="6007"/>
        <v>0</v>
      </c>
      <c r="K561" s="120"/>
      <c r="L561" s="153"/>
      <c r="M561" s="153"/>
      <c r="N561" s="153"/>
      <c r="O561" s="153"/>
      <c r="P561" s="120"/>
      <c r="Q561" s="120"/>
      <c r="R561" s="120"/>
      <c r="S561" s="120"/>
      <c r="T561" s="120"/>
      <c r="U561" s="120"/>
      <c r="V561" s="120"/>
      <c r="W561" s="120"/>
      <c r="X561" s="120">
        <f>VLOOKUP($C561,'1 预算编制表单'!$C:$BJ,27,FALSE)</f>
        <v>0</v>
      </c>
      <c r="Y561" s="120">
        <f>X561-Z561</f>
        <v>0</v>
      </c>
      <c r="Z561" s="120">
        <f>SUM(Z562:Z566)</f>
        <v>0</v>
      </c>
      <c r="AA561" s="120">
        <f>VLOOKUP($C561,'1 预算编制表单'!$C:$BJ,30,FALSE)</f>
        <v>0</v>
      </c>
      <c r="AB561" s="120">
        <f>AA561-AC561</f>
        <v>0</v>
      </c>
      <c r="AC561" s="120">
        <f>SUM(AC562:AC566)</f>
        <v>0</v>
      </c>
      <c r="AD561" s="120">
        <f>VLOOKUP($C561,'1 预算编制表单'!$C:$BJ,33,FALSE)</f>
        <v>0</v>
      </c>
      <c r="AE561" s="120">
        <f>AD561-AF561</f>
        <v>0</v>
      </c>
      <c r="AF561" s="120">
        <f>SUM(AF562:AF566)</f>
        <v>0</v>
      </c>
      <c r="AG561" s="120">
        <f>VLOOKUP($C561,'1 预算编制表单'!$C:$BJ,36,FALSE)</f>
        <v>0</v>
      </c>
      <c r="AH561" s="120">
        <f>AG561-AI561</f>
        <v>0</v>
      </c>
      <c r="AI561" s="120">
        <f>SUM(AI562:AI566)</f>
        <v>0</v>
      </c>
      <c r="AJ561" s="120">
        <f>VLOOKUP($C561,'1 预算编制表单'!$C:$BJ,39,FALSE)</f>
        <v>0</v>
      </c>
      <c r="AK561" s="120">
        <f>AJ561-AL561</f>
        <v>0</v>
      </c>
      <c r="AL561" s="120">
        <f>SUM(AL562:AL566)</f>
        <v>0</v>
      </c>
      <c r="AM561" s="120">
        <f>VLOOKUP($C561,'1 预算编制表单'!$C:$BJ,42,FALSE)</f>
        <v>0</v>
      </c>
      <c r="AN561" s="120">
        <f>AM561-AO561</f>
        <v>0</v>
      </c>
      <c r="AO561" s="120">
        <f>SUM(AO562:AO566)</f>
        <v>0</v>
      </c>
      <c r="AP561" s="120">
        <f>VLOOKUP($C561,'1 预算编制表单'!$C:$BJ,45,FALSE)</f>
        <v>0</v>
      </c>
      <c r="AQ561" s="120">
        <f>AP561-AR561</f>
        <v>0</v>
      </c>
      <c r="AR561" s="120">
        <f>SUM(AR562:AR566)</f>
        <v>0</v>
      </c>
      <c r="AS561" s="120">
        <f>VLOOKUP($C561,'1 预算编制表单'!$C:$BJ,48,FALSE)</f>
        <v>0</v>
      </c>
      <c r="AT561" s="120">
        <f>AS561-AU561</f>
        <v>0</v>
      </c>
      <c r="AU561" s="120">
        <f>SUM(AU562:AU566)</f>
        <v>0</v>
      </c>
      <c r="AV561" s="120">
        <f>VLOOKUP($C561,'1 预算编制表单'!$C:$BJ,51,FALSE)</f>
        <v>0</v>
      </c>
      <c r="AW561" s="120">
        <f>AV561-AX561</f>
        <v>0</v>
      </c>
      <c r="AX561" s="120">
        <f>SUM(AX562:AX566)</f>
        <v>0</v>
      </c>
      <c r="AY561" s="120">
        <f>VLOOKUP($C561,'1 预算编制表单'!$C:$BJ,54,FALSE)</f>
        <v>0</v>
      </c>
      <c r="AZ561" s="120">
        <f>AY561-BA561</f>
        <v>0</v>
      </c>
      <c r="BA561" s="120">
        <f>SUM(BA562:BA566)</f>
        <v>0</v>
      </c>
      <c r="BB561" s="120">
        <f>VLOOKUP($C561,'1 预算编制表单'!$C:$BJ,57,FALSE)</f>
        <v>0</v>
      </c>
      <c r="BC561" s="120">
        <f>BB561-BD561</f>
        <v>0</v>
      </c>
      <c r="BD561" s="120">
        <f>SUM(BD562:BD566)</f>
        <v>0</v>
      </c>
      <c r="BE561" s="120">
        <f>VLOOKUP($C561,'1 预算编制表单'!$C:$BJ,60,FALSE)</f>
        <v>0</v>
      </c>
      <c r="BF561" s="120">
        <f>BE561-BG561</f>
        <v>0</v>
      </c>
      <c r="BG561" s="120">
        <f>SUM(BG562:BG566)</f>
        <v>0</v>
      </c>
      <c r="BH561" s="120">
        <f>VLOOKUP($C561,'1 预算编制表单'!$C:$BJ,27,FALSE)</f>
        <v>0</v>
      </c>
      <c r="BI561" s="120">
        <f>BH561-BJ561</f>
        <v>0</v>
      </c>
      <c r="BJ561" s="120">
        <f>SUM(BJ562:BJ566)</f>
        <v>0</v>
      </c>
      <c r="BK561" s="120">
        <f>VLOOKUP($C561,'1 预算编制表单'!$C:$BJ,30,FALSE)</f>
        <v>0</v>
      </c>
      <c r="BL561" s="120">
        <f>BK561-BM561</f>
        <v>0</v>
      </c>
      <c r="BM561" s="120">
        <f>SUM(BM562:BM566)</f>
        <v>0</v>
      </c>
      <c r="BN561" s="120">
        <f>VLOOKUP($C561,'1 预算编制表单'!$C:$BJ,33,FALSE)</f>
        <v>0</v>
      </c>
      <c r="BO561" s="120">
        <f>BN561-BP561</f>
        <v>0</v>
      </c>
      <c r="BP561" s="120">
        <f>SUM(BP562:BP566)</f>
        <v>0</v>
      </c>
      <c r="BQ561" s="120">
        <f>VLOOKUP($C561,'1 预算编制表单'!$C:$BJ,36,FALSE)</f>
        <v>0</v>
      </c>
      <c r="BR561" s="120">
        <f>BQ561-BS561</f>
        <v>0</v>
      </c>
      <c r="BS561" s="120">
        <f>SUM(BS562:BS566)</f>
        <v>0</v>
      </c>
      <c r="BT561" s="120">
        <f>VLOOKUP($C561,'1 预算编制表单'!$C:$BJ,39,FALSE)</f>
        <v>0</v>
      </c>
      <c r="BU561" s="120">
        <f>BT561-BV561</f>
        <v>0</v>
      </c>
      <c r="BV561" s="120">
        <f>SUM(BV562:BV566)</f>
        <v>0</v>
      </c>
      <c r="BW561" s="120">
        <f>VLOOKUP($C561,'1 预算编制表单'!$C:$BJ,42,FALSE)</f>
        <v>0</v>
      </c>
      <c r="BX561" s="120">
        <f>BW561-BY561</f>
        <v>0</v>
      </c>
      <c r="BY561" s="120">
        <f>SUM(BY562:BY566)</f>
        <v>0</v>
      </c>
      <c r="BZ561" s="120">
        <f>VLOOKUP($C561,'1 预算编制表单'!$C:$BJ,45,FALSE)</f>
        <v>0</v>
      </c>
      <c r="CA561" s="120">
        <f>BZ561-CB561</f>
        <v>0</v>
      </c>
      <c r="CB561" s="120">
        <f>SUM(CB562:CB566)</f>
        <v>0</v>
      </c>
      <c r="CC561" s="120">
        <f>VLOOKUP($C561,'1 预算编制表单'!$C:$BJ,48,FALSE)</f>
        <v>0</v>
      </c>
      <c r="CD561" s="120">
        <f>CC561-CE561</f>
        <v>0</v>
      </c>
      <c r="CE561" s="120">
        <f>SUM(CE562:CE566)</f>
        <v>0</v>
      </c>
      <c r="CF561" s="120">
        <f>VLOOKUP($C561,'1 预算编制表单'!$C:$BJ,51,FALSE)</f>
        <v>0</v>
      </c>
      <c r="CG561" s="120">
        <f>CF561-CH561</f>
        <v>0</v>
      </c>
      <c r="CH561" s="120">
        <f>SUM(CH562:CH566)</f>
        <v>0</v>
      </c>
      <c r="CI561" s="120">
        <f>VLOOKUP($C561,'1 预算编制表单'!$C:$BJ,54,FALSE)</f>
        <v>0</v>
      </c>
      <c r="CJ561" s="120">
        <f>CI561-CK561</f>
        <v>0</v>
      </c>
      <c r="CK561" s="120">
        <f>SUM(CK562:CK566)</f>
        <v>0</v>
      </c>
      <c r="CL561" s="120">
        <f>VLOOKUP($C561,'1 预算编制表单'!$C:$BJ,57,FALSE)</f>
        <v>0</v>
      </c>
      <c r="CM561" s="120">
        <f>CL561-CN561</f>
        <v>0</v>
      </c>
      <c r="CN561" s="120">
        <f>SUM(CN562:CN566)</f>
        <v>0</v>
      </c>
      <c r="CO561" s="120">
        <f>VLOOKUP($C561,'1 预算编制表单'!$C:$BJ,60,FALSE)</f>
        <v>0</v>
      </c>
      <c r="CP561" s="120">
        <f>CO561-CQ561</f>
        <v>0</v>
      </c>
      <c r="CQ561" s="120">
        <f>SUM(CQ562:CQ566)</f>
        <v>0</v>
      </c>
    </row>
    <row r="562" s="89" customFormat="1" ht="24" customHeight="1" outlineLevel="2" spans="1:95">
      <c r="A562" s="128"/>
      <c r="B562" s="129"/>
      <c r="C562" s="130"/>
      <c r="D562" s="128"/>
      <c r="E562" s="129"/>
      <c r="F562" s="129"/>
      <c r="G562" s="129"/>
      <c r="H562" s="131"/>
      <c r="I562" s="131"/>
      <c r="J562" s="131">
        <f t="shared" si="6007"/>
        <v>0</v>
      </c>
      <c r="K562" s="131">
        <v>1</v>
      </c>
      <c r="L562" s="156"/>
      <c r="M562" s="157">
        <f>IFERROR(VLOOKUP($L562,'2-2 引出数据_合同数据仓库'!$B$5:$BP$200,3,FALSE),0)</f>
        <v>0</v>
      </c>
      <c r="N562" s="131"/>
      <c r="O562" s="157">
        <f>IFERROR(VLOOKUP((LEFT(VLOOKUP($L562,'2-2 引出数据_合同数据仓库'!$B$5:$BP$200,64,FALSE),15)&amp;(RIGHT(VLOOKUP($L562,'2-2 引出数据_合同数据仓库'!$B$5:$BP$200,64,FALSE),4)+1)),'2-2 引出数据_合同数据仓库'!$B$5:$BP$200,3,FALSE),0)</f>
        <v>0</v>
      </c>
      <c r="P562" s="131"/>
      <c r="Q562" s="131">
        <f>IFERROR(VLOOKUP($L562,'2-2 引出数据_合同数据仓库'!$B$5:$BP$200,28,FALSE),0)</f>
        <v>0</v>
      </c>
      <c r="R562" s="131">
        <f>IFERROR(VLOOKUP($L562,'2-2 引出数据_合同数据仓库'!$B$5:$BP$200,29,FALSE),0)</f>
        <v>0</v>
      </c>
      <c r="S562" s="131">
        <f>IFERROR(VLOOKUP($L562,'2-2 引出数据_合同数据仓库'!$B$5:$BP$200,4,FALSE),0)</f>
        <v>0</v>
      </c>
      <c r="T562" s="131"/>
      <c r="U562" s="131">
        <f>IFERROR(VLOOKUP($L562,'2-2 引出数据_合同数据仓库'!$B$5:$BP$200,15,FALSE),0)</f>
        <v>0</v>
      </c>
      <c r="V562" s="131">
        <f t="shared" ref="V562:V565" si="6305">U562/(S562-R562+1)*365</f>
        <v>0</v>
      </c>
      <c r="W562" s="131"/>
      <c r="X562" s="163">
        <v>45658</v>
      </c>
      <c r="Y562" s="163">
        <f t="shared" ref="Y562:Y565" si="6306">X562+30</f>
        <v>45688</v>
      </c>
      <c r="Z562" s="167">
        <f t="shared" ref="Z562:Z565" si="6307">IFERROR(IF(($R562-Y562)&gt;=0,0,IF(($S562-X562)&lt;0,0,IF(AND(($S562-Y562)&gt;0,(X562-$R562)&gt;0),$V562/365*(Y562-X562+1),IF(AND(($S562-Y562)&lt;=0,(X562-$R562)&gt;0),$V562/365*($S562-X562+1),$V562/365*(Y562-$R562+1))))),0)</f>
        <v>0</v>
      </c>
      <c r="AA562" s="163">
        <f t="shared" ref="AA562:AA565" si="6308">Y562+1</f>
        <v>45689</v>
      </c>
      <c r="AB562" s="163">
        <f t="shared" ref="AB562:AB565" si="6309">AA562+27</f>
        <v>45716</v>
      </c>
      <c r="AC562" s="167">
        <f t="shared" ref="AC562:AC565" si="6310">IFERROR(IF(($R562-AB562)&gt;=0,0,IF(($S562-AA562)&lt;0,0,IF(AND(($S562-AB562)&gt;0,(AA562-$R562)&gt;0),$V562/365*(AB562-AA562+1),IF(AND(($S562-AB562)&lt;=0,(AA562-$R562)&gt;0),$V562/365*($S562-AA562+1),$V562/365*(AB562-$R562+1))))),0)</f>
        <v>0</v>
      </c>
      <c r="AD562" s="163">
        <f t="shared" ref="AD562:AD565" si="6311">AB562+1</f>
        <v>45717</v>
      </c>
      <c r="AE562" s="163">
        <f t="shared" ref="AE562:AE565" si="6312">AD562+30</f>
        <v>45747</v>
      </c>
      <c r="AF562" s="167">
        <f t="shared" ref="AF562:AF565" si="6313">IFERROR(IF(($R562-AE562)&gt;=0,0,IF(($S562-AD562)&lt;0,0,IF(AND(($S562-AE562)&gt;0,(AD562-$R562)&gt;0),$V562/365*(AE562-AD562+1),IF(AND(($S562-AE562)&lt;=0,(AD562-$R562)&gt;0),$V562/365*($S562-AD562+1),$V562/365*(AE562-$R562+1))))),0)</f>
        <v>0</v>
      </c>
      <c r="AG562" s="163">
        <f t="shared" ref="AG562:AG565" si="6314">AE562+1</f>
        <v>45748</v>
      </c>
      <c r="AH562" s="163">
        <f t="shared" ref="AH562:AH565" si="6315">AG562+29</f>
        <v>45777</v>
      </c>
      <c r="AI562" s="167">
        <f t="shared" ref="AI562:AI565" si="6316">IFERROR(IF(($R562-AH562)&gt;=0,0,IF(($S562-AG562)&lt;0,0,IF(AND(($S562-AH562)&gt;0,(AG562-$R562)&gt;0),$V562/365*(AH562-AG562+1),IF(AND(($S562-AH562)&lt;=0,(AG562-$R562)&gt;0),$V562/365*($S562-AG562+1),$V562/365*(AH562-$R562+1))))),0)</f>
        <v>0</v>
      </c>
      <c r="AJ562" s="163">
        <f t="shared" ref="AJ562:AJ565" si="6317">AH562+1</f>
        <v>45778</v>
      </c>
      <c r="AK562" s="163">
        <f t="shared" ref="AK562:AK565" si="6318">AJ562+30</f>
        <v>45808</v>
      </c>
      <c r="AL562" s="167">
        <f t="shared" ref="AL562:AL565" si="6319">IFERROR(IF(($R562-AK562)&gt;=0,0,IF(($S562-AJ562)&lt;0,0,IF(AND(($S562-AK562)&gt;0,(AJ562-$R562)&gt;0),$V562/365*(AK562-AJ562+1),IF(AND(($S562-AK562)&lt;=0,(AJ562-$R562)&gt;0),$V562/365*($S562-AJ562+1),$V562/365*(AK562-$R562+1))))),0)</f>
        <v>0</v>
      </c>
      <c r="AM562" s="163">
        <f t="shared" ref="AM562:AM565" si="6320">AK562+1</f>
        <v>45809</v>
      </c>
      <c r="AN562" s="163">
        <f t="shared" ref="AN562:AN565" si="6321">AM562+29</f>
        <v>45838</v>
      </c>
      <c r="AO562" s="167">
        <f t="shared" ref="AO562:AO565" si="6322">IFERROR(IF(($R562-AN562)&gt;=0,0,IF(($S562-AM562)&lt;0,0,IF(AND(($S562-AN562)&gt;0,(AM562-$R562)&gt;0),$V562/365*(AN562-AM562+1),IF(AND(($S562-AN562)&lt;=0,(AM562-$R562)&gt;0),$V562/365*($S562-AM562+1),$V562/365*(AN562-$R562+1))))),0)</f>
        <v>0</v>
      </c>
      <c r="AP562" s="163">
        <f t="shared" ref="AP562:AP565" si="6323">AN562+1</f>
        <v>45839</v>
      </c>
      <c r="AQ562" s="163">
        <f t="shared" ref="AQ562:AQ565" si="6324">AP562+30</f>
        <v>45869</v>
      </c>
      <c r="AR562" s="167">
        <f t="shared" ref="AR562:AR565" si="6325">IFERROR(IF(($R562-AQ562)&gt;=0,0,IF(($S562-AP562)&lt;0,0,IF(AND(($S562-AQ562)&gt;0,(AP562-$R562)&gt;0),$V562/365*(AQ562-AP562+1),IF(AND(($S562-AQ562)&lt;=0,(AP562-$R562)&gt;0),$V562/365*($S562-AP562+1),$V562/365*(AQ562-$R562+1))))),0)</f>
        <v>0</v>
      </c>
      <c r="AS562" s="163">
        <f t="shared" ref="AS562:AS565" si="6326">AQ562+1</f>
        <v>45870</v>
      </c>
      <c r="AT562" s="163">
        <f t="shared" ref="AT562:AT565" si="6327">AS562+30</f>
        <v>45900</v>
      </c>
      <c r="AU562" s="167">
        <f t="shared" ref="AU562:AU565" si="6328">IFERROR(IF(($R562-AT562)&gt;=0,0,IF(($S562-AS562)&lt;0,0,IF(AND(($S562-AT562)&gt;0,(AS562-$R562)&gt;0),$V562/365*(AT562-AS562+1),IF(AND(($S562-AT562)&lt;=0,(AS562-$R562)&gt;0),$V562/365*($S562-AS562+1),$V562/365*(AT562-$R562+1))))),0)</f>
        <v>0</v>
      </c>
      <c r="AV562" s="163">
        <f t="shared" ref="AV562:AV565" si="6329">AT562+1</f>
        <v>45901</v>
      </c>
      <c r="AW562" s="163">
        <f t="shared" ref="AW562:AW565" si="6330">AV562+29</f>
        <v>45930</v>
      </c>
      <c r="AX562" s="167">
        <f t="shared" ref="AX562:AX565" si="6331">IFERROR(IF(($R562-AW562)&gt;=0,0,IF(($S562-AV562)&lt;0,0,IF(AND(($S562-AW562)&gt;0,(AV562-$R562)&gt;0),$V562/365*(AW562-AV562+1),IF(AND(($S562-AW562)&lt;=0,(AV562-$R562)&gt;0),$V562/365*($S562-AV562+1),$V562/365*(AW562-$R562+1))))),0)</f>
        <v>0</v>
      </c>
      <c r="AY562" s="163">
        <f t="shared" ref="AY562:AY565" si="6332">AW562+1</f>
        <v>45931</v>
      </c>
      <c r="AZ562" s="163">
        <f t="shared" ref="AZ562:AZ565" si="6333">AY562+30</f>
        <v>45961</v>
      </c>
      <c r="BA562" s="167">
        <f t="shared" ref="BA562:BA565" si="6334">IFERROR(IF(($R562-AZ562)&gt;=0,0,IF(($S562-AY562)&lt;0,0,IF(AND(($S562-AZ562)&gt;0,(AY562-$R562)&gt;0),$V562/365*(AZ562-AY562+1),IF(AND(($S562-AZ562)&lt;=0,(AY562-$R562)&gt;0),$V562/365*($S562-AY562+1),$V562/365*(AZ562-$R562+1))))),0)</f>
        <v>0</v>
      </c>
      <c r="BB562" s="163">
        <f t="shared" ref="BB562:BB565" si="6335">AZ562+1</f>
        <v>45962</v>
      </c>
      <c r="BC562" s="163">
        <f t="shared" ref="BC562:BC565" si="6336">BB562+29</f>
        <v>45991</v>
      </c>
      <c r="BD562" s="167">
        <f t="shared" ref="BD562:BD565" si="6337">IFERROR(IF(($R562-BC562)&gt;=0,0,IF(($S562-BB562)&lt;0,0,IF(AND(($S562-BC562)&gt;0,(BB562-$R562)&gt;0),$V562/365*(BC562-BB562+1),IF(AND(($S562-BC562)&lt;=0,(BB562-$R562)&gt;0),$V562/365*($S562-BB562+1),$V562/365*(BC562-$R562+1))))),0)</f>
        <v>0</v>
      </c>
      <c r="BE562" s="163">
        <f t="shared" ref="BE562:BE565" si="6338">BC562+1</f>
        <v>45992</v>
      </c>
      <c r="BF562" s="163">
        <f t="shared" ref="BF562:BF565" si="6339">BE562+30</f>
        <v>46022</v>
      </c>
      <c r="BG562" s="167">
        <f t="shared" ref="BG562:BG565" si="6340">IFERROR(IF(($R562-BF562)&gt;=0,0,IF(($S562-BE562)&lt;0,0,IF(AND(($S562-BF562)&gt;0,(BE562-$R562)&gt;0),$V562/365*(BF562-BE562+1),IF(AND(($S562-BF562)&lt;=0,(BE562-$R562)&gt;0),$V562/365*($S562-BE562+1),$V562/365*(BF562-$R562+1))))),0)</f>
        <v>0</v>
      </c>
      <c r="BH562" s="163">
        <v>46023</v>
      </c>
      <c r="BI562" s="163">
        <f t="shared" ref="BI562:BI565" si="6341">BH562+30</f>
        <v>46053</v>
      </c>
      <c r="BJ562" s="167">
        <f t="shared" ref="BJ562:BJ565" si="6342">IFERROR(IF(($R562-BI562)&gt;=0,0,IF(($S562-BH562)&lt;0,0,IF(AND(($S562-BI562)&gt;0,(BH562-$R562)&gt;0),$V562/365*(BI562-BH562+1),IF(AND(($S562-BI562)&lt;=0,(BH562-$R562)&gt;0),$V562/365*($S562-BH562+1),$V562/365*(BI562-$R562+1))))),0)</f>
        <v>0</v>
      </c>
      <c r="BK562" s="163">
        <f t="shared" ref="BK562:BK565" si="6343">BI562+1</f>
        <v>46054</v>
      </c>
      <c r="BL562" s="163">
        <f t="shared" ref="BL562:BL565" si="6344">BK562+27</f>
        <v>46081</v>
      </c>
      <c r="BM562" s="167">
        <f t="shared" ref="BM562:BM565" si="6345">IFERROR(IF(($R562-BL562)&gt;=0,0,IF(($S562-BK562)&lt;0,0,IF(AND(($S562-BL562)&gt;0,(BK562-$R562)&gt;0),$V562/365*(BL562-BK562+1),IF(AND(($S562-BL562)&lt;=0,(BK562-$R562)&gt;0),$V562/365*($S562-BK562+1),$V562/365*(BL562-$R562+1))))),0)</f>
        <v>0</v>
      </c>
      <c r="BN562" s="163">
        <f t="shared" ref="BN562:BN565" si="6346">BL562+1</f>
        <v>46082</v>
      </c>
      <c r="BO562" s="163">
        <f t="shared" ref="BO562:BO565" si="6347">BN562+30</f>
        <v>46112</v>
      </c>
      <c r="BP562" s="167">
        <f t="shared" ref="BP562:BP565" si="6348">IFERROR(IF(($R562-BO562)&gt;=0,0,IF(($S562-BN562)&lt;0,0,IF(AND(($S562-BO562)&gt;0,(BN562-$R562)&gt;0),$V562/365*(BO562-BN562+1),IF(AND(($S562-BO562)&lt;=0,(BN562-$R562)&gt;0),$V562/365*($S562-BN562+1),$V562/365*(BO562-$R562+1))))),0)</f>
        <v>0</v>
      </c>
      <c r="BQ562" s="163">
        <f t="shared" ref="BQ562:BQ565" si="6349">BO562+1</f>
        <v>46113</v>
      </c>
      <c r="BR562" s="163">
        <f t="shared" ref="BR562:BR565" si="6350">BQ562+29</f>
        <v>46142</v>
      </c>
      <c r="BS562" s="167">
        <f t="shared" ref="BS562:BS565" si="6351">IFERROR(IF(($R562-BR562)&gt;=0,0,IF(($S562-BQ562)&lt;0,0,IF(AND(($S562-BR562)&gt;0,(BQ562-$R562)&gt;0),$V562/365*(BR562-BQ562+1),IF(AND(($S562-BR562)&lt;=0,(BQ562-$R562)&gt;0),$V562/365*($S562-BQ562+1),$V562/365*(BR562-$R562+1))))),0)</f>
        <v>0</v>
      </c>
      <c r="BT562" s="163">
        <f t="shared" ref="BT562:BT565" si="6352">BR562+1</f>
        <v>46143</v>
      </c>
      <c r="BU562" s="163">
        <f t="shared" ref="BU562:BU565" si="6353">BT562+30</f>
        <v>46173</v>
      </c>
      <c r="BV562" s="167">
        <f t="shared" ref="BV562:BV565" si="6354">IFERROR(IF(($R562-BU562)&gt;=0,0,IF(($S562-BT562)&lt;0,0,IF(AND(($S562-BU562)&gt;0,(BT562-$R562)&gt;0),$V562/365*(BU562-BT562+1),IF(AND(($S562-BU562)&lt;=0,(BT562-$R562)&gt;0),$V562/365*($S562-BT562+1),$V562/365*(BU562-$R562+1))))),0)</f>
        <v>0</v>
      </c>
      <c r="BW562" s="163">
        <f t="shared" ref="BW562:BW565" si="6355">BU562+1</f>
        <v>46174</v>
      </c>
      <c r="BX562" s="163">
        <f t="shared" ref="BX562:BX565" si="6356">BW562+29</f>
        <v>46203</v>
      </c>
      <c r="BY562" s="167">
        <f t="shared" ref="BY562:BY565" si="6357">IFERROR(IF(($R562-BX562)&gt;=0,0,IF(($S562-BW562)&lt;0,0,IF(AND(($S562-BX562)&gt;0,(BW562-$R562)&gt;0),$V562/365*(BX562-BW562+1),IF(AND(($S562-BX562)&lt;=0,(BW562-$R562)&gt;0),$V562/365*($S562-BW562+1),$V562/365*(BX562-$R562+1))))),0)</f>
        <v>0</v>
      </c>
      <c r="BZ562" s="163">
        <f t="shared" ref="BZ562:BZ565" si="6358">BX562+1</f>
        <v>46204</v>
      </c>
      <c r="CA562" s="163">
        <f t="shared" ref="CA562:CA565" si="6359">BZ562+30</f>
        <v>46234</v>
      </c>
      <c r="CB562" s="167">
        <f t="shared" ref="CB562:CB565" si="6360">IFERROR(IF(($R562-CA562)&gt;=0,0,IF(($S562-BZ562)&lt;0,0,IF(AND(($S562-CA562)&gt;0,(BZ562-$R562)&gt;0),$V562/365*(CA562-BZ562+1),IF(AND(($S562-CA562)&lt;=0,(BZ562-$R562)&gt;0),$V562/365*($S562-BZ562+1),$V562/365*(CA562-$R562+1))))),0)</f>
        <v>0</v>
      </c>
      <c r="CC562" s="163">
        <f t="shared" ref="CC562:CC565" si="6361">CA562+1</f>
        <v>46235</v>
      </c>
      <c r="CD562" s="163">
        <f t="shared" ref="CD562:CD565" si="6362">CC562+30</f>
        <v>46265</v>
      </c>
      <c r="CE562" s="167">
        <f t="shared" ref="CE562:CE565" si="6363">IFERROR(IF(($R562-CD562)&gt;=0,0,IF(($S562-CC562)&lt;0,0,IF(AND(($S562-CD562)&gt;0,(CC562-$R562)&gt;0),$V562/365*(CD562-CC562+1),IF(AND(($S562-CD562)&lt;=0,(CC562-$R562)&gt;0),$V562/365*($S562-CC562+1),$V562/365*(CD562-$R562+1))))),0)</f>
        <v>0</v>
      </c>
      <c r="CF562" s="163">
        <f t="shared" ref="CF562:CF565" si="6364">CD562+1</f>
        <v>46266</v>
      </c>
      <c r="CG562" s="163">
        <f t="shared" ref="CG562:CG565" si="6365">CF562+29</f>
        <v>46295</v>
      </c>
      <c r="CH562" s="167">
        <f t="shared" ref="CH562:CH565" si="6366">IFERROR(IF(($R562-CG562)&gt;=0,0,IF(($S562-CF562)&lt;0,0,IF(AND(($S562-CG562)&gt;0,(CF562-$R562)&gt;0),$V562/365*(CG562-CF562+1),IF(AND(($S562-CG562)&lt;=0,(CF562-$R562)&gt;0),$V562/365*($S562-CF562+1),$V562/365*(CG562-$R562+1))))),0)</f>
        <v>0</v>
      </c>
      <c r="CI562" s="163">
        <f t="shared" ref="CI562:CI565" si="6367">CG562+1</f>
        <v>46296</v>
      </c>
      <c r="CJ562" s="163">
        <f t="shared" ref="CJ562:CJ565" si="6368">CI562+30</f>
        <v>46326</v>
      </c>
      <c r="CK562" s="167">
        <f t="shared" ref="CK562:CK565" si="6369">IFERROR(IF(($R562-CJ562)&gt;=0,0,IF(($S562-CI562)&lt;0,0,IF(AND(($S562-CJ562)&gt;0,(CI562-$R562)&gt;0),$V562/365*(CJ562-CI562+1),IF(AND(($S562-CJ562)&lt;=0,(CI562-$R562)&gt;0),$V562/365*($S562-CI562+1),$V562/365*(CJ562-$R562+1))))),0)</f>
        <v>0</v>
      </c>
      <c r="CL562" s="163">
        <f t="shared" ref="CL562:CL565" si="6370">CJ562+1</f>
        <v>46327</v>
      </c>
      <c r="CM562" s="163">
        <f t="shared" ref="CM562:CM565" si="6371">CL562+29</f>
        <v>46356</v>
      </c>
      <c r="CN562" s="167">
        <f t="shared" ref="CN562:CN565" si="6372">IFERROR(IF(($R562-CM562)&gt;=0,0,IF(($S562-CL562)&lt;0,0,IF(AND(($S562-CM562)&gt;0,(CL562-$R562)&gt;0),$V562/365*(CM562-CL562+1),IF(AND(($S562-CM562)&lt;=0,(CL562-$R562)&gt;0),$V562/365*($S562-CL562+1),$V562/365*(CM562-$R562+1))))),0)</f>
        <v>0</v>
      </c>
      <c r="CO562" s="163">
        <f t="shared" ref="CO562:CO565" si="6373">CM562+1</f>
        <v>46357</v>
      </c>
      <c r="CP562" s="163">
        <f t="shared" ref="CP562:CP565" si="6374">CO562+30</f>
        <v>46387</v>
      </c>
      <c r="CQ562" s="167">
        <f t="shared" ref="CQ562:CQ565" si="6375">IFERROR(IF(($R562-CP562)&gt;=0,0,IF(($S562-CO562)&lt;0,0,IF(AND(($S562-CP562)&gt;0,(CO562-$R562)&gt;0),$V562/365*(CP562-CO562+1),IF(AND(($S562-CP562)&lt;=0,(CO562-$R562)&gt;0),$V562/365*($S562-CO562+1),$V562/365*(CP562-$R562+1))))),0)</f>
        <v>0</v>
      </c>
    </row>
    <row r="563" s="89" customFormat="1" ht="24" customHeight="1" outlineLevel="2" spans="1:95">
      <c r="A563" s="128"/>
      <c r="B563" s="129"/>
      <c r="C563" s="130"/>
      <c r="D563" s="128"/>
      <c r="E563" s="129"/>
      <c r="F563" s="129"/>
      <c r="G563" s="129"/>
      <c r="H563" s="131"/>
      <c r="I563" s="131"/>
      <c r="J563" s="131">
        <f t="shared" si="6007"/>
        <v>0</v>
      </c>
      <c r="K563" s="131">
        <f t="shared" ref="K563:K565" si="6376">K562+1</f>
        <v>2</v>
      </c>
      <c r="L563" s="156"/>
      <c r="M563" s="157">
        <f>IFERROR(VLOOKUP($L563,'2-2 引出数据_合同数据仓库'!$B$5:$BP$200,3,FALSE),0)</f>
        <v>0</v>
      </c>
      <c r="N563" s="131"/>
      <c r="O563" s="157">
        <f>IFERROR(VLOOKUP((LEFT(VLOOKUP($L563,'2-2 引出数据_合同数据仓库'!$B$5:$BP$200,64,FALSE),15)&amp;(RIGHT(VLOOKUP($L563,'2-2 引出数据_合同数据仓库'!$B$5:$BP$200,64,FALSE),4)+1)),'2-2 引出数据_合同数据仓库'!$B$5:$BP$200,3,FALSE),0)</f>
        <v>0</v>
      </c>
      <c r="P563" s="131"/>
      <c r="Q563" s="131">
        <f>IFERROR(VLOOKUP($L563,'2-2 引出数据_合同数据仓库'!$B$5:$BP$200,28,FALSE),0)</f>
        <v>0</v>
      </c>
      <c r="R563" s="131">
        <f>IFERROR(VLOOKUP($L563,'2-2 引出数据_合同数据仓库'!$B$5:$BP$200,29,FALSE),0)</f>
        <v>0</v>
      </c>
      <c r="S563" s="131">
        <f>IFERROR(VLOOKUP($L563,'2-2 引出数据_合同数据仓库'!$B$5:$BP$200,4,FALSE),0)</f>
        <v>0</v>
      </c>
      <c r="T563" s="131"/>
      <c r="U563" s="131">
        <f>IFERROR(VLOOKUP($L563,'2-2 引出数据_合同数据仓库'!$B$5:$BP$200,15,FALSE),0)</f>
        <v>0</v>
      </c>
      <c r="V563" s="131">
        <f t="shared" si="6305"/>
        <v>0</v>
      </c>
      <c r="W563" s="131"/>
      <c r="X563" s="163">
        <v>45658</v>
      </c>
      <c r="Y563" s="163">
        <f t="shared" si="6306"/>
        <v>45688</v>
      </c>
      <c r="Z563" s="167">
        <f t="shared" si="6307"/>
        <v>0</v>
      </c>
      <c r="AA563" s="163">
        <f t="shared" si="6308"/>
        <v>45689</v>
      </c>
      <c r="AB563" s="163">
        <f t="shared" si="6309"/>
        <v>45716</v>
      </c>
      <c r="AC563" s="167">
        <f t="shared" si="6310"/>
        <v>0</v>
      </c>
      <c r="AD563" s="163">
        <f t="shared" si="6311"/>
        <v>45717</v>
      </c>
      <c r="AE563" s="163">
        <f t="shared" si="6312"/>
        <v>45747</v>
      </c>
      <c r="AF563" s="167">
        <f t="shared" si="6313"/>
        <v>0</v>
      </c>
      <c r="AG563" s="163">
        <f t="shared" si="6314"/>
        <v>45748</v>
      </c>
      <c r="AH563" s="163">
        <f t="shared" si="6315"/>
        <v>45777</v>
      </c>
      <c r="AI563" s="167">
        <f t="shared" si="6316"/>
        <v>0</v>
      </c>
      <c r="AJ563" s="163">
        <f t="shared" si="6317"/>
        <v>45778</v>
      </c>
      <c r="AK563" s="163">
        <f t="shared" si="6318"/>
        <v>45808</v>
      </c>
      <c r="AL563" s="167">
        <f t="shared" si="6319"/>
        <v>0</v>
      </c>
      <c r="AM563" s="163">
        <f t="shared" si="6320"/>
        <v>45809</v>
      </c>
      <c r="AN563" s="163">
        <f t="shared" si="6321"/>
        <v>45838</v>
      </c>
      <c r="AO563" s="167">
        <f t="shared" si="6322"/>
        <v>0</v>
      </c>
      <c r="AP563" s="163">
        <f t="shared" si="6323"/>
        <v>45839</v>
      </c>
      <c r="AQ563" s="163">
        <f t="shared" si="6324"/>
        <v>45869</v>
      </c>
      <c r="AR563" s="167">
        <f t="shared" si="6325"/>
        <v>0</v>
      </c>
      <c r="AS563" s="163">
        <f t="shared" si="6326"/>
        <v>45870</v>
      </c>
      <c r="AT563" s="163">
        <f t="shared" si="6327"/>
        <v>45900</v>
      </c>
      <c r="AU563" s="167">
        <f t="shared" si="6328"/>
        <v>0</v>
      </c>
      <c r="AV563" s="163">
        <f t="shared" si="6329"/>
        <v>45901</v>
      </c>
      <c r="AW563" s="163">
        <f t="shared" si="6330"/>
        <v>45930</v>
      </c>
      <c r="AX563" s="167">
        <f t="shared" si="6331"/>
        <v>0</v>
      </c>
      <c r="AY563" s="163">
        <f t="shared" si="6332"/>
        <v>45931</v>
      </c>
      <c r="AZ563" s="163">
        <f t="shared" si="6333"/>
        <v>45961</v>
      </c>
      <c r="BA563" s="167">
        <f t="shared" si="6334"/>
        <v>0</v>
      </c>
      <c r="BB563" s="163">
        <f t="shared" si="6335"/>
        <v>45962</v>
      </c>
      <c r="BC563" s="163">
        <f t="shared" si="6336"/>
        <v>45991</v>
      </c>
      <c r="BD563" s="167">
        <f t="shared" si="6337"/>
        <v>0</v>
      </c>
      <c r="BE563" s="163">
        <f t="shared" si="6338"/>
        <v>45992</v>
      </c>
      <c r="BF563" s="163">
        <f t="shared" si="6339"/>
        <v>46022</v>
      </c>
      <c r="BG563" s="167">
        <f t="shared" si="6340"/>
        <v>0</v>
      </c>
      <c r="BH563" s="163">
        <v>46023</v>
      </c>
      <c r="BI563" s="163">
        <f t="shared" si="6341"/>
        <v>46053</v>
      </c>
      <c r="BJ563" s="167">
        <f t="shared" si="6342"/>
        <v>0</v>
      </c>
      <c r="BK563" s="163">
        <f t="shared" si="6343"/>
        <v>46054</v>
      </c>
      <c r="BL563" s="163">
        <f t="shared" si="6344"/>
        <v>46081</v>
      </c>
      <c r="BM563" s="167">
        <f t="shared" si="6345"/>
        <v>0</v>
      </c>
      <c r="BN563" s="163">
        <f t="shared" si="6346"/>
        <v>46082</v>
      </c>
      <c r="BO563" s="163">
        <f t="shared" si="6347"/>
        <v>46112</v>
      </c>
      <c r="BP563" s="167">
        <f t="shared" si="6348"/>
        <v>0</v>
      </c>
      <c r="BQ563" s="163">
        <f t="shared" si="6349"/>
        <v>46113</v>
      </c>
      <c r="BR563" s="163">
        <f t="shared" si="6350"/>
        <v>46142</v>
      </c>
      <c r="BS563" s="167">
        <f t="shared" si="6351"/>
        <v>0</v>
      </c>
      <c r="BT563" s="163">
        <f t="shared" si="6352"/>
        <v>46143</v>
      </c>
      <c r="BU563" s="163">
        <f t="shared" si="6353"/>
        <v>46173</v>
      </c>
      <c r="BV563" s="167">
        <f t="shared" si="6354"/>
        <v>0</v>
      </c>
      <c r="BW563" s="163">
        <f t="shared" si="6355"/>
        <v>46174</v>
      </c>
      <c r="BX563" s="163">
        <f t="shared" si="6356"/>
        <v>46203</v>
      </c>
      <c r="BY563" s="167">
        <f t="shared" si="6357"/>
        <v>0</v>
      </c>
      <c r="BZ563" s="163">
        <f t="shared" si="6358"/>
        <v>46204</v>
      </c>
      <c r="CA563" s="163">
        <f t="shared" si="6359"/>
        <v>46234</v>
      </c>
      <c r="CB563" s="167">
        <f t="shared" si="6360"/>
        <v>0</v>
      </c>
      <c r="CC563" s="163">
        <f t="shared" si="6361"/>
        <v>46235</v>
      </c>
      <c r="CD563" s="163">
        <f t="shared" si="6362"/>
        <v>46265</v>
      </c>
      <c r="CE563" s="167">
        <f t="shared" si="6363"/>
        <v>0</v>
      </c>
      <c r="CF563" s="163">
        <f t="shared" si="6364"/>
        <v>46266</v>
      </c>
      <c r="CG563" s="163">
        <f t="shared" si="6365"/>
        <v>46295</v>
      </c>
      <c r="CH563" s="167">
        <f t="shared" si="6366"/>
        <v>0</v>
      </c>
      <c r="CI563" s="163">
        <f t="shared" si="6367"/>
        <v>46296</v>
      </c>
      <c r="CJ563" s="163">
        <f t="shared" si="6368"/>
        <v>46326</v>
      </c>
      <c r="CK563" s="167">
        <f t="shared" si="6369"/>
        <v>0</v>
      </c>
      <c r="CL563" s="163">
        <f t="shared" si="6370"/>
        <v>46327</v>
      </c>
      <c r="CM563" s="163">
        <f t="shared" si="6371"/>
        <v>46356</v>
      </c>
      <c r="CN563" s="167">
        <f t="shared" si="6372"/>
        <v>0</v>
      </c>
      <c r="CO563" s="163">
        <f t="shared" si="6373"/>
        <v>46357</v>
      </c>
      <c r="CP563" s="163">
        <f t="shared" si="6374"/>
        <v>46387</v>
      </c>
      <c r="CQ563" s="167">
        <f t="shared" si="6375"/>
        <v>0</v>
      </c>
    </row>
    <row r="564" s="89" customFormat="1" ht="24" customHeight="1" outlineLevel="2" spans="1:95">
      <c r="A564" s="128"/>
      <c r="B564" s="129"/>
      <c r="C564" s="130"/>
      <c r="D564" s="128"/>
      <c r="E564" s="129"/>
      <c r="F564" s="129"/>
      <c r="G564" s="129"/>
      <c r="H564" s="131"/>
      <c r="I564" s="131"/>
      <c r="J564" s="131">
        <f t="shared" si="6007"/>
        <v>0</v>
      </c>
      <c r="K564" s="131">
        <f t="shared" si="6376"/>
        <v>3</v>
      </c>
      <c r="L564" s="156"/>
      <c r="M564" s="157">
        <f>IFERROR(VLOOKUP($L564,'2-2 引出数据_合同数据仓库'!$B$5:$BP$200,3,FALSE),0)</f>
        <v>0</v>
      </c>
      <c r="N564" s="131"/>
      <c r="O564" s="157">
        <f>IFERROR(VLOOKUP((LEFT(VLOOKUP($L564,'2-2 引出数据_合同数据仓库'!$B$5:$BP$200,64,FALSE),15)&amp;(RIGHT(VLOOKUP($L564,'2-2 引出数据_合同数据仓库'!$B$5:$BP$200,64,FALSE),4)+1)),'2-2 引出数据_合同数据仓库'!$B$5:$BP$200,3,FALSE),0)</f>
        <v>0</v>
      </c>
      <c r="P564" s="131"/>
      <c r="Q564" s="131">
        <f>IFERROR(VLOOKUP($L564,'2-2 引出数据_合同数据仓库'!$B$5:$BP$200,28,FALSE),0)</f>
        <v>0</v>
      </c>
      <c r="R564" s="131">
        <f>IFERROR(VLOOKUP($L564,'2-2 引出数据_合同数据仓库'!$B$5:$BP$200,29,FALSE),0)</f>
        <v>0</v>
      </c>
      <c r="S564" s="131">
        <f>IFERROR(VLOOKUP($L564,'2-2 引出数据_合同数据仓库'!$B$5:$BP$200,4,FALSE),0)</f>
        <v>0</v>
      </c>
      <c r="T564" s="131"/>
      <c r="U564" s="131">
        <f>IFERROR(VLOOKUP($L564,'2-2 引出数据_合同数据仓库'!$B$5:$BP$200,15,FALSE),0)</f>
        <v>0</v>
      </c>
      <c r="V564" s="131">
        <f t="shared" si="6305"/>
        <v>0</v>
      </c>
      <c r="W564" s="131"/>
      <c r="X564" s="163">
        <v>45658</v>
      </c>
      <c r="Y564" s="163">
        <f t="shared" si="6306"/>
        <v>45688</v>
      </c>
      <c r="Z564" s="167">
        <f t="shared" si="6307"/>
        <v>0</v>
      </c>
      <c r="AA564" s="163">
        <f t="shared" si="6308"/>
        <v>45689</v>
      </c>
      <c r="AB564" s="163">
        <f t="shared" si="6309"/>
        <v>45716</v>
      </c>
      <c r="AC564" s="167">
        <f t="shared" si="6310"/>
        <v>0</v>
      </c>
      <c r="AD564" s="163">
        <f t="shared" si="6311"/>
        <v>45717</v>
      </c>
      <c r="AE564" s="163">
        <f t="shared" si="6312"/>
        <v>45747</v>
      </c>
      <c r="AF564" s="167">
        <f t="shared" si="6313"/>
        <v>0</v>
      </c>
      <c r="AG564" s="163">
        <f t="shared" si="6314"/>
        <v>45748</v>
      </c>
      <c r="AH564" s="163">
        <f t="shared" si="6315"/>
        <v>45777</v>
      </c>
      <c r="AI564" s="167">
        <f t="shared" si="6316"/>
        <v>0</v>
      </c>
      <c r="AJ564" s="163">
        <f t="shared" si="6317"/>
        <v>45778</v>
      </c>
      <c r="AK564" s="163">
        <f t="shared" si="6318"/>
        <v>45808</v>
      </c>
      <c r="AL564" s="167">
        <f t="shared" si="6319"/>
        <v>0</v>
      </c>
      <c r="AM564" s="163">
        <f t="shared" si="6320"/>
        <v>45809</v>
      </c>
      <c r="AN564" s="163">
        <f t="shared" si="6321"/>
        <v>45838</v>
      </c>
      <c r="AO564" s="167">
        <f t="shared" si="6322"/>
        <v>0</v>
      </c>
      <c r="AP564" s="163">
        <f t="shared" si="6323"/>
        <v>45839</v>
      </c>
      <c r="AQ564" s="163">
        <f t="shared" si="6324"/>
        <v>45869</v>
      </c>
      <c r="AR564" s="167">
        <f t="shared" si="6325"/>
        <v>0</v>
      </c>
      <c r="AS564" s="163">
        <f t="shared" si="6326"/>
        <v>45870</v>
      </c>
      <c r="AT564" s="163">
        <f t="shared" si="6327"/>
        <v>45900</v>
      </c>
      <c r="AU564" s="167">
        <f t="shared" si="6328"/>
        <v>0</v>
      </c>
      <c r="AV564" s="163">
        <f t="shared" si="6329"/>
        <v>45901</v>
      </c>
      <c r="AW564" s="163">
        <f t="shared" si="6330"/>
        <v>45930</v>
      </c>
      <c r="AX564" s="167">
        <f t="shared" si="6331"/>
        <v>0</v>
      </c>
      <c r="AY564" s="163">
        <f t="shared" si="6332"/>
        <v>45931</v>
      </c>
      <c r="AZ564" s="163">
        <f t="shared" si="6333"/>
        <v>45961</v>
      </c>
      <c r="BA564" s="167">
        <f t="shared" si="6334"/>
        <v>0</v>
      </c>
      <c r="BB564" s="163">
        <f t="shared" si="6335"/>
        <v>45962</v>
      </c>
      <c r="BC564" s="163">
        <f t="shared" si="6336"/>
        <v>45991</v>
      </c>
      <c r="BD564" s="167">
        <f t="shared" si="6337"/>
        <v>0</v>
      </c>
      <c r="BE564" s="163">
        <f t="shared" si="6338"/>
        <v>45992</v>
      </c>
      <c r="BF564" s="163">
        <f t="shared" si="6339"/>
        <v>46022</v>
      </c>
      <c r="BG564" s="167">
        <f t="shared" si="6340"/>
        <v>0</v>
      </c>
      <c r="BH564" s="163">
        <v>46023</v>
      </c>
      <c r="BI564" s="163">
        <f t="shared" si="6341"/>
        <v>46053</v>
      </c>
      <c r="BJ564" s="167">
        <f t="shared" si="6342"/>
        <v>0</v>
      </c>
      <c r="BK564" s="163">
        <f t="shared" si="6343"/>
        <v>46054</v>
      </c>
      <c r="BL564" s="163">
        <f t="shared" si="6344"/>
        <v>46081</v>
      </c>
      <c r="BM564" s="167">
        <f t="shared" si="6345"/>
        <v>0</v>
      </c>
      <c r="BN564" s="163">
        <f t="shared" si="6346"/>
        <v>46082</v>
      </c>
      <c r="BO564" s="163">
        <f t="shared" si="6347"/>
        <v>46112</v>
      </c>
      <c r="BP564" s="167">
        <f t="shared" si="6348"/>
        <v>0</v>
      </c>
      <c r="BQ564" s="163">
        <f t="shared" si="6349"/>
        <v>46113</v>
      </c>
      <c r="BR564" s="163">
        <f t="shared" si="6350"/>
        <v>46142</v>
      </c>
      <c r="BS564" s="167">
        <f t="shared" si="6351"/>
        <v>0</v>
      </c>
      <c r="BT564" s="163">
        <f t="shared" si="6352"/>
        <v>46143</v>
      </c>
      <c r="BU564" s="163">
        <f t="shared" si="6353"/>
        <v>46173</v>
      </c>
      <c r="BV564" s="167">
        <f t="shared" si="6354"/>
        <v>0</v>
      </c>
      <c r="BW564" s="163">
        <f t="shared" si="6355"/>
        <v>46174</v>
      </c>
      <c r="BX564" s="163">
        <f t="shared" si="6356"/>
        <v>46203</v>
      </c>
      <c r="BY564" s="167">
        <f t="shared" si="6357"/>
        <v>0</v>
      </c>
      <c r="BZ564" s="163">
        <f t="shared" si="6358"/>
        <v>46204</v>
      </c>
      <c r="CA564" s="163">
        <f t="shared" si="6359"/>
        <v>46234</v>
      </c>
      <c r="CB564" s="167">
        <f t="shared" si="6360"/>
        <v>0</v>
      </c>
      <c r="CC564" s="163">
        <f t="shared" si="6361"/>
        <v>46235</v>
      </c>
      <c r="CD564" s="163">
        <f t="shared" si="6362"/>
        <v>46265</v>
      </c>
      <c r="CE564" s="167">
        <f t="shared" si="6363"/>
        <v>0</v>
      </c>
      <c r="CF564" s="163">
        <f t="shared" si="6364"/>
        <v>46266</v>
      </c>
      <c r="CG564" s="163">
        <f t="shared" si="6365"/>
        <v>46295</v>
      </c>
      <c r="CH564" s="167">
        <f t="shared" si="6366"/>
        <v>0</v>
      </c>
      <c r="CI564" s="163">
        <f t="shared" si="6367"/>
        <v>46296</v>
      </c>
      <c r="CJ564" s="163">
        <f t="shared" si="6368"/>
        <v>46326</v>
      </c>
      <c r="CK564" s="167">
        <f t="shared" si="6369"/>
        <v>0</v>
      </c>
      <c r="CL564" s="163">
        <f t="shared" si="6370"/>
        <v>46327</v>
      </c>
      <c r="CM564" s="163">
        <f t="shared" si="6371"/>
        <v>46356</v>
      </c>
      <c r="CN564" s="167">
        <f t="shared" si="6372"/>
        <v>0</v>
      </c>
      <c r="CO564" s="163">
        <f t="shared" si="6373"/>
        <v>46357</v>
      </c>
      <c r="CP564" s="163">
        <f t="shared" si="6374"/>
        <v>46387</v>
      </c>
      <c r="CQ564" s="167">
        <f t="shared" si="6375"/>
        <v>0</v>
      </c>
    </row>
    <row r="565" s="89" customFormat="1" ht="24" customHeight="1" outlineLevel="2" collapsed="1" spans="1:95">
      <c r="A565" s="128"/>
      <c r="B565" s="129"/>
      <c r="C565" s="130"/>
      <c r="D565" s="128"/>
      <c r="E565" s="129"/>
      <c r="F565" s="129"/>
      <c r="G565" s="129"/>
      <c r="H565" s="131"/>
      <c r="I565" s="131"/>
      <c r="J565" s="131">
        <f t="shared" si="6007"/>
        <v>0</v>
      </c>
      <c r="K565" s="131">
        <f t="shared" si="6376"/>
        <v>4</v>
      </c>
      <c r="L565" s="156"/>
      <c r="M565" s="157">
        <f>IFERROR(VLOOKUP($L565,'2-2 引出数据_合同数据仓库'!$B$5:$BP$200,3,FALSE),0)</f>
        <v>0</v>
      </c>
      <c r="N565" s="131"/>
      <c r="O565" s="157">
        <f>IFERROR(VLOOKUP((LEFT(VLOOKUP($L565,'2-2 引出数据_合同数据仓库'!$B$5:$BP$200,64,FALSE),15)&amp;(RIGHT(VLOOKUP($L565,'2-2 引出数据_合同数据仓库'!$B$5:$BP$200,64,FALSE),4)+1)),'2-2 引出数据_合同数据仓库'!$B$5:$BP$200,3,FALSE),0)</f>
        <v>0</v>
      </c>
      <c r="P565" s="131"/>
      <c r="Q565" s="131">
        <f>IFERROR(VLOOKUP($L565,'2-2 引出数据_合同数据仓库'!$B$5:$BP$200,28,FALSE),0)</f>
        <v>0</v>
      </c>
      <c r="R565" s="131">
        <f>IFERROR(VLOOKUP($L565,'2-2 引出数据_合同数据仓库'!$B$5:$BP$200,29,FALSE),0)</f>
        <v>0</v>
      </c>
      <c r="S565" s="131">
        <f>IFERROR(VLOOKUP($L565,'2-2 引出数据_合同数据仓库'!$B$5:$BP$200,4,FALSE),0)</f>
        <v>0</v>
      </c>
      <c r="T565" s="131"/>
      <c r="U565" s="131">
        <f>IFERROR(VLOOKUP($L565,'2-2 引出数据_合同数据仓库'!$B$5:$BP$200,15,FALSE),0)</f>
        <v>0</v>
      </c>
      <c r="V565" s="131">
        <f t="shared" si="6305"/>
        <v>0</v>
      </c>
      <c r="W565" s="131"/>
      <c r="X565" s="163">
        <v>45658</v>
      </c>
      <c r="Y565" s="163">
        <f t="shared" si="6306"/>
        <v>45688</v>
      </c>
      <c r="Z565" s="167">
        <f t="shared" si="6307"/>
        <v>0</v>
      </c>
      <c r="AA565" s="163">
        <f t="shared" si="6308"/>
        <v>45689</v>
      </c>
      <c r="AB565" s="163">
        <f t="shared" si="6309"/>
        <v>45716</v>
      </c>
      <c r="AC565" s="167">
        <f t="shared" si="6310"/>
        <v>0</v>
      </c>
      <c r="AD565" s="163">
        <f t="shared" si="6311"/>
        <v>45717</v>
      </c>
      <c r="AE565" s="163">
        <f t="shared" si="6312"/>
        <v>45747</v>
      </c>
      <c r="AF565" s="167">
        <f t="shared" si="6313"/>
        <v>0</v>
      </c>
      <c r="AG565" s="163">
        <f t="shared" si="6314"/>
        <v>45748</v>
      </c>
      <c r="AH565" s="163">
        <f t="shared" si="6315"/>
        <v>45777</v>
      </c>
      <c r="AI565" s="167">
        <f t="shared" si="6316"/>
        <v>0</v>
      </c>
      <c r="AJ565" s="163">
        <f t="shared" si="6317"/>
        <v>45778</v>
      </c>
      <c r="AK565" s="163">
        <f t="shared" si="6318"/>
        <v>45808</v>
      </c>
      <c r="AL565" s="167">
        <f t="shared" si="6319"/>
        <v>0</v>
      </c>
      <c r="AM565" s="163">
        <f t="shared" si="6320"/>
        <v>45809</v>
      </c>
      <c r="AN565" s="163">
        <f t="shared" si="6321"/>
        <v>45838</v>
      </c>
      <c r="AO565" s="167">
        <f t="shared" si="6322"/>
        <v>0</v>
      </c>
      <c r="AP565" s="163">
        <f t="shared" si="6323"/>
        <v>45839</v>
      </c>
      <c r="AQ565" s="163">
        <f t="shared" si="6324"/>
        <v>45869</v>
      </c>
      <c r="AR565" s="167">
        <f t="shared" si="6325"/>
        <v>0</v>
      </c>
      <c r="AS565" s="163">
        <f t="shared" si="6326"/>
        <v>45870</v>
      </c>
      <c r="AT565" s="163">
        <f t="shared" si="6327"/>
        <v>45900</v>
      </c>
      <c r="AU565" s="167">
        <f t="shared" si="6328"/>
        <v>0</v>
      </c>
      <c r="AV565" s="163">
        <f t="shared" si="6329"/>
        <v>45901</v>
      </c>
      <c r="AW565" s="163">
        <f t="shared" si="6330"/>
        <v>45930</v>
      </c>
      <c r="AX565" s="167">
        <f t="shared" si="6331"/>
        <v>0</v>
      </c>
      <c r="AY565" s="163">
        <f t="shared" si="6332"/>
        <v>45931</v>
      </c>
      <c r="AZ565" s="163">
        <f t="shared" si="6333"/>
        <v>45961</v>
      </c>
      <c r="BA565" s="167">
        <f t="shared" si="6334"/>
        <v>0</v>
      </c>
      <c r="BB565" s="163">
        <f t="shared" si="6335"/>
        <v>45962</v>
      </c>
      <c r="BC565" s="163">
        <f t="shared" si="6336"/>
        <v>45991</v>
      </c>
      <c r="BD565" s="167">
        <f t="shared" si="6337"/>
        <v>0</v>
      </c>
      <c r="BE565" s="163">
        <f t="shared" si="6338"/>
        <v>45992</v>
      </c>
      <c r="BF565" s="163">
        <f t="shared" si="6339"/>
        <v>46022</v>
      </c>
      <c r="BG565" s="167">
        <f t="shared" si="6340"/>
        <v>0</v>
      </c>
      <c r="BH565" s="163">
        <v>46023</v>
      </c>
      <c r="BI565" s="163">
        <f t="shared" si="6341"/>
        <v>46053</v>
      </c>
      <c r="BJ565" s="167">
        <f t="shared" si="6342"/>
        <v>0</v>
      </c>
      <c r="BK565" s="163">
        <f t="shared" si="6343"/>
        <v>46054</v>
      </c>
      <c r="BL565" s="163">
        <f t="shared" si="6344"/>
        <v>46081</v>
      </c>
      <c r="BM565" s="167">
        <f t="shared" si="6345"/>
        <v>0</v>
      </c>
      <c r="BN565" s="163">
        <f t="shared" si="6346"/>
        <v>46082</v>
      </c>
      <c r="BO565" s="163">
        <f t="shared" si="6347"/>
        <v>46112</v>
      </c>
      <c r="BP565" s="167">
        <f t="shared" si="6348"/>
        <v>0</v>
      </c>
      <c r="BQ565" s="163">
        <f t="shared" si="6349"/>
        <v>46113</v>
      </c>
      <c r="BR565" s="163">
        <f t="shared" si="6350"/>
        <v>46142</v>
      </c>
      <c r="BS565" s="167">
        <f t="shared" si="6351"/>
        <v>0</v>
      </c>
      <c r="BT565" s="163">
        <f t="shared" si="6352"/>
        <v>46143</v>
      </c>
      <c r="BU565" s="163">
        <f t="shared" si="6353"/>
        <v>46173</v>
      </c>
      <c r="BV565" s="167">
        <f t="shared" si="6354"/>
        <v>0</v>
      </c>
      <c r="BW565" s="163">
        <f t="shared" si="6355"/>
        <v>46174</v>
      </c>
      <c r="BX565" s="163">
        <f t="shared" si="6356"/>
        <v>46203</v>
      </c>
      <c r="BY565" s="167">
        <f t="shared" si="6357"/>
        <v>0</v>
      </c>
      <c r="BZ565" s="163">
        <f t="shared" si="6358"/>
        <v>46204</v>
      </c>
      <c r="CA565" s="163">
        <f t="shared" si="6359"/>
        <v>46234</v>
      </c>
      <c r="CB565" s="167">
        <f t="shared" si="6360"/>
        <v>0</v>
      </c>
      <c r="CC565" s="163">
        <f t="shared" si="6361"/>
        <v>46235</v>
      </c>
      <c r="CD565" s="163">
        <f t="shared" si="6362"/>
        <v>46265</v>
      </c>
      <c r="CE565" s="167">
        <f t="shared" si="6363"/>
        <v>0</v>
      </c>
      <c r="CF565" s="163">
        <f t="shared" si="6364"/>
        <v>46266</v>
      </c>
      <c r="CG565" s="163">
        <f t="shared" si="6365"/>
        <v>46295</v>
      </c>
      <c r="CH565" s="167">
        <f t="shared" si="6366"/>
        <v>0</v>
      </c>
      <c r="CI565" s="163">
        <f t="shared" si="6367"/>
        <v>46296</v>
      </c>
      <c r="CJ565" s="163">
        <f t="shared" si="6368"/>
        <v>46326</v>
      </c>
      <c r="CK565" s="167">
        <f t="shared" si="6369"/>
        <v>0</v>
      </c>
      <c r="CL565" s="163">
        <f t="shared" si="6370"/>
        <v>46327</v>
      </c>
      <c r="CM565" s="163">
        <f t="shared" si="6371"/>
        <v>46356</v>
      </c>
      <c r="CN565" s="167">
        <f t="shared" si="6372"/>
        <v>0</v>
      </c>
      <c r="CO565" s="163">
        <f t="shared" si="6373"/>
        <v>46357</v>
      </c>
      <c r="CP565" s="163">
        <f t="shared" si="6374"/>
        <v>46387</v>
      </c>
      <c r="CQ565" s="167">
        <f t="shared" si="6375"/>
        <v>0</v>
      </c>
    </row>
    <row r="566" s="89" customFormat="1" ht="24" hidden="1" customHeight="1" outlineLevel="4" spans="1:95">
      <c r="A566" s="132" t="s">
        <v>2813</v>
      </c>
      <c r="B566" s="133"/>
      <c r="C566" s="133"/>
      <c r="D566" s="133"/>
      <c r="E566" s="133"/>
      <c r="F566" s="133"/>
      <c r="G566" s="134"/>
      <c r="H566" s="135"/>
      <c r="I566" s="135"/>
      <c r="J566" s="135"/>
      <c r="K566" s="135"/>
      <c r="L566" s="158"/>
      <c r="M566" s="158"/>
      <c r="N566" s="158"/>
      <c r="O566" s="158"/>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c r="CL566" s="135"/>
      <c r="CM566" s="135"/>
      <c r="CN566" s="135"/>
      <c r="CO566" s="135"/>
      <c r="CP566" s="135"/>
      <c r="CQ566" s="135"/>
    </row>
    <row r="567" ht="24" customHeight="1" outlineLevel="1" spans="1:95">
      <c r="A567" s="14"/>
      <c r="B567" s="118" t="s">
        <v>792</v>
      </c>
      <c r="C567" s="119" t="s">
        <v>2242</v>
      </c>
      <c r="D567" s="14" t="s">
        <v>2243</v>
      </c>
      <c r="E567" s="118"/>
      <c r="F567" s="118"/>
      <c r="G567" s="118"/>
      <c r="H567" s="120">
        <f>X567+AA567+AD567+AG567+AJ567+AM567+AP567+AS567+AV567+AY567+BB567+BE567</f>
        <v>0</v>
      </c>
      <c r="I567" s="120">
        <f>Y567+AB567+AE567+AH567+AK567+AN567+AQ567+AT567+AW567+AZ567+BC567+BF567</f>
        <v>0</v>
      </c>
      <c r="J567" s="120">
        <f t="shared" si="6007"/>
        <v>0</v>
      </c>
      <c r="K567" s="120"/>
      <c r="L567" s="153"/>
      <c r="M567" s="153"/>
      <c r="N567" s="153"/>
      <c r="O567" s="153"/>
      <c r="P567" s="120"/>
      <c r="Q567" s="120"/>
      <c r="R567" s="120"/>
      <c r="S567" s="120"/>
      <c r="T567" s="120"/>
      <c r="U567" s="120"/>
      <c r="V567" s="120"/>
      <c r="W567" s="120"/>
      <c r="X567" s="120">
        <f>VLOOKUP($C567,'1 预算编制表单'!$C:$BJ,27,FALSE)</f>
        <v>0</v>
      </c>
      <c r="Y567" s="120">
        <f>X567-Z567</f>
        <v>0</v>
      </c>
      <c r="Z567" s="120">
        <f>SUM(Z568:Z572)</f>
        <v>0</v>
      </c>
      <c r="AA567" s="120">
        <f>VLOOKUP($C567,'1 预算编制表单'!$C:$BJ,30,FALSE)</f>
        <v>0</v>
      </c>
      <c r="AB567" s="120">
        <f>AA567-AC567</f>
        <v>0</v>
      </c>
      <c r="AC567" s="120">
        <f>SUM(AC568:AC572)</f>
        <v>0</v>
      </c>
      <c r="AD567" s="120">
        <f>VLOOKUP($C567,'1 预算编制表单'!$C:$BJ,33,FALSE)</f>
        <v>0</v>
      </c>
      <c r="AE567" s="120">
        <f>AD567-AF567</f>
        <v>0</v>
      </c>
      <c r="AF567" s="120">
        <f>SUM(AF568:AF572)</f>
        <v>0</v>
      </c>
      <c r="AG567" s="120">
        <f>VLOOKUP($C567,'1 预算编制表单'!$C:$BJ,36,FALSE)</f>
        <v>0</v>
      </c>
      <c r="AH567" s="120">
        <f>AG567-AI567</f>
        <v>0</v>
      </c>
      <c r="AI567" s="120">
        <f>SUM(AI568:AI572)</f>
        <v>0</v>
      </c>
      <c r="AJ567" s="120">
        <f>VLOOKUP($C567,'1 预算编制表单'!$C:$BJ,39,FALSE)</f>
        <v>0</v>
      </c>
      <c r="AK567" s="120">
        <f>AJ567-AL567</f>
        <v>0</v>
      </c>
      <c r="AL567" s="120">
        <f>SUM(AL568:AL572)</f>
        <v>0</v>
      </c>
      <c r="AM567" s="120">
        <f>VLOOKUP($C567,'1 预算编制表单'!$C:$BJ,42,FALSE)</f>
        <v>0</v>
      </c>
      <c r="AN567" s="120">
        <f>AM567-AO567</f>
        <v>0</v>
      </c>
      <c r="AO567" s="120">
        <f>SUM(AO568:AO572)</f>
        <v>0</v>
      </c>
      <c r="AP567" s="120">
        <f>VLOOKUP($C567,'1 预算编制表单'!$C:$BJ,45,FALSE)</f>
        <v>0</v>
      </c>
      <c r="AQ567" s="120">
        <f>AP567-AR567</f>
        <v>0</v>
      </c>
      <c r="AR567" s="120">
        <f>SUM(AR568:AR572)</f>
        <v>0</v>
      </c>
      <c r="AS567" s="120">
        <f>VLOOKUP($C567,'1 预算编制表单'!$C:$BJ,48,FALSE)</f>
        <v>0</v>
      </c>
      <c r="AT567" s="120">
        <f>AS567-AU567</f>
        <v>0</v>
      </c>
      <c r="AU567" s="120">
        <f>SUM(AU568:AU572)</f>
        <v>0</v>
      </c>
      <c r="AV567" s="120">
        <f>VLOOKUP($C567,'1 预算编制表单'!$C:$BJ,51,FALSE)</f>
        <v>0</v>
      </c>
      <c r="AW567" s="120">
        <f>AV567-AX567</f>
        <v>0</v>
      </c>
      <c r="AX567" s="120">
        <f>SUM(AX568:AX572)</f>
        <v>0</v>
      </c>
      <c r="AY567" s="120">
        <f>VLOOKUP($C567,'1 预算编制表单'!$C:$BJ,54,FALSE)</f>
        <v>0</v>
      </c>
      <c r="AZ567" s="120">
        <f>AY567-BA567</f>
        <v>0</v>
      </c>
      <c r="BA567" s="120">
        <f>SUM(BA568:BA572)</f>
        <v>0</v>
      </c>
      <c r="BB567" s="120">
        <f>VLOOKUP($C567,'1 预算编制表单'!$C:$BJ,57,FALSE)</f>
        <v>0</v>
      </c>
      <c r="BC567" s="120">
        <f>BB567-BD567</f>
        <v>0</v>
      </c>
      <c r="BD567" s="120">
        <f>SUM(BD568:BD572)</f>
        <v>0</v>
      </c>
      <c r="BE567" s="120">
        <f>VLOOKUP($C567,'1 预算编制表单'!$C:$BJ,60,FALSE)</f>
        <v>0</v>
      </c>
      <c r="BF567" s="120">
        <f>BE567-BG567</f>
        <v>0</v>
      </c>
      <c r="BG567" s="120">
        <f>SUM(BG568:BG572)</f>
        <v>0</v>
      </c>
      <c r="BH567" s="120">
        <f>VLOOKUP($C567,'1 预算编制表单'!$C:$BJ,27,FALSE)</f>
        <v>0</v>
      </c>
      <c r="BI567" s="120">
        <f>BH567-BJ567</f>
        <v>0</v>
      </c>
      <c r="BJ567" s="120">
        <f>SUM(BJ568:BJ572)</f>
        <v>0</v>
      </c>
      <c r="BK567" s="120">
        <f>VLOOKUP($C567,'1 预算编制表单'!$C:$BJ,30,FALSE)</f>
        <v>0</v>
      </c>
      <c r="BL567" s="120">
        <f>BK567-BM567</f>
        <v>0</v>
      </c>
      <c r="BM567" s="120">
        <f>SUM(BM568:BM572)</f>
        <v>0</v>
      </c>
      <c r="BN567" s="120">
        <f>VLOOKUP($C567,'1 预算编制表单'!$C:$BJ,33,FALSE)</f>
        <v>0</v>
      </c>
      <c r="BO567" s="120">
        <f>BN567-BP567</f>
        <v>0</v>
      </c>
      <c r="BP567" s="120">
        <f>SUM(BP568:BP572)</f>
        <v>0</v>
      </c>
      <c r="BQ567" s="120">
        <f>VLOOKUP($C567,'1 预算编制表单'!$C:$BJ,36,FALSE)</f>
        <v>0</v>
      </c>
      <c r="BR567" s="120">
        <f>BQ567-BS567</f>
        <v>0</v>
      </c>
      <c r="BS567" s="120">
        <f>SUM(BS568:BS572)</f>
        <v>0</v>
      </c>
      <c r="BT567" s="120">
        <f>VLOOKUP($C567,'1 预算编制表单'!$C:$BJ,39,FALSE)</f>
        <v>0</v>
      </c>
      <c r="BU567" s="120">
        <f>BT567-BV567</f>
        <v>0</v>
      </c>
      <c r="BV567" s="120">
        <f>SUM(BV568:BV572)</f>
        <v>0</v>
      </c>
      <c r="BW567" s="120">
        <f>VLOOKUP($C567,'1 预算编制表单'!$C:$BJ,42,FALSE)</f>
        <v>0</v>
      </c>
      <c r="BX567" s="120">
        <f>BW567-BY567</f>
        <v>0</v>
      </c>
      <c r="BY567" s="120">
        <f>SUM(BY568:BY572)</f>
        <v>0</v>
      </c>
      <c r="BZ567" s="120">
        <f>VLOOKUP($C567,'1 预算编制表单'!$C:$BJ,45,FALSE)</f>
        <v>0</v>
      </c>
      <c r="CA567" s="120">
        <f>BZ567-CB567</f>
        <v>0</v>
      </c>
      <c r="CB567" s="120">
        <f>SUM(CB568:CB572)</f>
        <v>0</v>
      </c>
      <c r="CC567" s="120">
        <f>VLOOKUP($C567,'1 预算编制表单'!$C:$BJ,48,FALSE)</f>
        <v>0</v>
      </c>
      <c r="CD567" s="120">
        <f>CC567-CE567</f>
        <v>0</v>
      </c>
      <c r="CE567" s="120">
        <f>SUM(CE568:CE572)</f>
        <v>0</v>
      </c>
      <c r="CF567" s="120">
        <f>VLOOKUP($C567,'1 预算编制表单'!$C:$BJ,51,FALSE)</f>
        <v>0</v>
      </c>
      <c r="CG567" s="120">
        <f>CF567-CH567</f>
        <v>0</v>
      </c>
      <c r="CH567" s="120">
        <f>SUM(CH568:CH572)</f>
        <v>0</v>
      </c>
      <c r="CI567" s="120">
        <f>VLOOKUP($C567,'1 预算编制表单'!$C:$BJ,54,FALSE)</f>
        <v>0</v>
      </c>
      <c r="CJ567" s="120">
        <f>CI567-CK567</f>
        <v>0</v>
      </c>
      <c r="CK567" s="120">
        <f>SUM(CK568:CK572)</f>
        <v>0</v>
      </c>
      <c r="CL567" s="120">
        <f>VLOOKUP($C567,'1 预算编制表单'!$C:$BJ,57,FALSE)</f>
        <v>0</v>
      </c>
      <c r="CM567" s="120">
        <f>CL567-CN567</f>
        <v>0</v>
      </c>
      <c r="CN567" s="120">
        <f>SUM(CN568:CN572)</f>
        <v>0</v>
      </c>
      <c r="CO567" s="120">
        <f>VLOOKUP($C567,'1 预算编制表单'!$C:$BJ,60,FALSE)</f>
        <v>0</v>
      </c>
      <c r="CP567" s="120">
        <f>CO567-CQ567</f>
        <v>0</v>
      </c>
      <c r="CQ567" s="120">
        <f>SUM(CQ568:CQ572)</f>
        <v>0</v>
      </c>
    </row>
    <row r="568" s="89" customFormat="1" ht="24" customHeight="1" outlineLevel="2" spans="1:95">
      <c r="A568" s="128"/>
      <c r="B568" s="129"/>
      <c r="C568" s="130"/>
      <c r="D568" s="128"/>
      <c r="E568" s="129"/>
      <c r="F568" s="129"/>
      <c r="G568" s="129"/>
      <c r="H568" s="131"/>
      <c r="I568" s="131"/>
      <c r="J568" s="131">
        <f t="shared" si="6007"/>
        <v>0</v>
      </c>
      <c r="K568" s="131">
        <v>1</v>
      </c>
      <c r="L568" s="156"/>
      <c r="M568" s="157">
        <f>IFERROR(VLOOKUP($L568,'2-2 引出数据_合同数据仓库'!$B$5:$BP$200,3,FALSE),0)</f>
        <v>0</v>
      </c>
      <c r="N568" s="131"/>
      <c r="O568" s="157">
        <f>IFERROR(VLOOKUP((LEFT(VLOOKUP($L568,'2-2 引出数据_合同数据仓库'!$B$5:$BP$200,64,FALSE),15)&amp;(RIGHT(VLOOKUP($L568,'2-2 引出数据_合同数据仓库'!$B$5:$BP$200,64,FALSE),4)+1)),'2-2 引出数据_合同数据仓库'!$B$5:$BP$200,3,FALSE),0)</f>
        <v>0</v>
      </c>
      <c r="P568" s="131"/>
      <c r="Q568" s="131">
        <f>IFERROR(VLOOKUP($L568,'2-2 引出数据_合同数据仓库'!$B$5:$BP$200,28,FALSE),0)</f>
        <v>0</v>
      </c>
      <c r="R568" s="131">
        <f>IFERROR(VLOOKUP($L568,'2-2 引出数据_合同数据仓库'!$B$5:$BP$200,29,FALSE),0)</f>
        <v>0</v>
      </c>
      <c r="S568" s="131">
        <f>IFERROR(VLOOKUP($L568,'2-2 引出数据_合同数据仓库'!$B$5:$BP$200,4,FALSE),0)</f>
        <v>0</v>
      </c>
      <c r="T568" s="131"/>
      <c r="U568" s="131">
        <f>IFERROR(VLOOKUP($L568,'2-2 引出数据_合同数据仓库'!$B$5:$BP$200,15,FALSE),0)</f>
        <v>0</v>
      </c>
      <c r="V568" s="131">
        <f t="shared" ref="V568:V571" si="6377">U568/(S568-R568+1)*365</f>
        <v>0</v>
      </c>
      <c r="W568" s="131"/>
      <c r="X568" s="163">
        <v>45658</v>
      </c>
      <c r="Y568" s="163">
        <f t="shared" ref="Y568:Y571" si="6378">X568+30</f>
        <v>45688</v>
      </c>
      <c r="Z568" s="167">
        <f t="shared" ref="Z568:Z571" si="6379">IFERROR(IF(($R568-Y568)&gt;=0,0,IF(($S568-X568)&lt;0,0,IF(AND(($S568-Y568)&gt;0,(X568-$R568)&gt;0),$V568/365*(Y568-X568+1),IF(AND(($S568-Y568)&lt;=0,(X568-$R568)&gt;0),$V568/365*($S568-X568+1),$V568/365*(Y568-$R568+1))))),0)</f>
        <v>0</v>
      </c>
      <c r="AA568" s="163">
        <f t="shared" ref="AA568:AA571" si="6380">Y568+1</f>
        <v>45689</v>
      </c>
      <c r="AB568" s="163">
        <f t="shared" ref="AB568:AB571" si="6381">AA568+27</f>
        <v>45716</v>
      </c>
      <c r="AC568" s="167">
        <f t="shared" ref="AC568:AC571" si="6382">IFERROR(IF(($R568-AB568)&gt;=0,0,IF(($S568-AA568)&lt;0,0,IF(AND(($S568-AB568)&gt;0,(AA568-$R568)&gt;0),$V568/365*(AB568-AA568+1),IF(AND(($S568-AB568)&lt;=0,(AA568-$R568)&gt;0),$V568/365*($S568-AA568+1),$V568/365*(AB568-$R568+1))))),0)</f>
        <v>0</v>
      </c>
      <c r="AD568" s="163">
        <f t="shared" ref="AD568:AD571" si="6383">AB568+1</f>
        <v>45717</v>
      </c>
      <c r="AE568" s="163">
        <f t="shared" ref="AE568:AE571" si="6384">AD568+30</f>
        <v>45747</v>
      </c>
      <c r="AF568" s="167">
        <f t="shared" ref="AF568:AF571" si="6385">IFERROR(IF(($R568-AE568)&gt;=0,0,IF(($S568-AD568)&lt;0,0,IF(AND(($S568-AE568)&gt;0,(AD568-$R568)&gt;0),$V568/365*(AE568-AD568+1),IF(AND(($S568-AE568)&lt;=0,(AD568-$R568)&gt;0),$V568/365*($S568-AD568+1),$V568/365*(AE568-$R568+1))))),0)</f>
        <v>0</v>
      </c>
      <c r="AG568" s="163">
        <f t="shared" ref="AG568:AG571" si="6386">AE568+1</f>
        <v>45748</v>
      </c>
      <c r="AH568" s="163">
        <f t="shared" ref="AH568:AH571" si="6387">AG568+29</f>
        <v>45777</v>
      </c>
      <c r="AI568" s="167">
        <f t="shared" ref="AI568:AI571" si="6388">IFERROR(IF(($R568-AH568)&gt;=0,0,IF(($S568-AG568)&lt;0,0,IF(AND(($S568-AH568)&gt;0,(AG568-$R568)&gt;0),$V568/365*(AH568-AG568+1),IF(AND(($S568-AH568)&lt;=0,(AG568-$R568)&gt;0),$V568/365*($S568-AG568+1),$V568/365*(AH568-$R568+1))))),0)</f>
        <v>0</v>
      </c>
      <c r="AJ568" s="163">
        <f t="shared" ref="AJ568:AJ571" si="6389">AH568+1</f>
        <v>45778</v>
      </c>
      <c r="AK568" s="163">
        <f t="shared" ref="AK568:AK571" si="6390">AJ568+30</f>
        <v>45808</v>
      </c>
      <c r="AL568" s="167">
        <f t="shared" ref="AL568:AL571" si="6391">IFERROR(IF(($R568-AK568)&gt;=0,0,IF(($S568-AJ568)&lt;0,0,IF(AND(($S568-AK568)&gt;0,(AJ568-$R568)&gt;0),$V568/365*(AK568-AJ568+1),IF(AND(($S568-AK568)&lt;=0,(AJ568-$R568)&gt;0),$V568/365*($S568-AJ568+1),$V568/365*(AK568-$R568+1))))),0)</f>
        <v>0</v>
      </c>
      <c r="AM568" s="163">
        <f t="shared" ref="AM568:AM571" si="6392">AK568+1</f>
        <v>45809</v>
      </c>
      <c r="AN568" s="163">
        <f t="shared" ref="AN568:AN571" si="6393">AM568+29</f>
        <v>45838</v>
      </c>
      <c r="AO568" s="167">
        <f t="shared" ref="AO568:AO571" si="6394">IFERROR(IF(($R568-AN568)&gt;=0,0,IF(($S568-AM568)&lt;0,0,IF(AND(($S568-AN568)&gt;0,(AM568-$R568)&gt;0),$V568/365*(AN568-AM568+1),IF(AND(($S568-AN568)&lt;=0,(AM568-$R568)&gt;0),$V568/365*($S568-AM568+1),$V568/365*(AN568-$R568+1))))),0)</f>
        <v>0</v>
      </c>
      <c r="AP568" s="163">
        <f t="shared" ref="AP568:AP571" si="6395">AN568+1</f>
        <v>45839</v>
      </c>
      <c r="AQ568" s="163">
        <f t="shared" ref="AQ568:AQ571" si="6396">AP568+30</f>
        <v>45869</v>
      </c>
      <c r="AR568" s="167">
        <f t="shared" ref="AR568:AR571" si="6397">IFERROR(IF(($R568-AQ568)&gt;=0,0,IF(($S568-AP568)&lt;0,0,IF(AND(($S568-AQ568)&gt;0,(AP568-$R568)&gt;0),$V568/365*(AQ568-AP568+1),IF(AND(($S568-AQ568)&lt;=0,(AP568-$R568)&gt;0),$V568/365*($S568-AP568+1),$V568/365*(AQ568-$R568+1))))),0)</f>
        <v>0</v>
      </c>
      <c r="AS568" s="163">
        <f t="shared" ref="AS568:AS571" si="6398">AQ568+1</f>
        <v>45870</v>
      </c>
      <c r="AT568" s="163">
        <f t="shared" ref="AT568:AT571" si="6399">AS568+30</f>
        <v>45900</v>
      </c>
      <c r="AU568" s="167">
        <f t="shared" ref="AU568:AU571" si="6400">IFERROR(IF(($R568-AT568)&gt;=0,0,IF(($S568-AS568)&lt;0,0,IF(AND(($S568-AT568)&gt;0,(AS568-$R568)&gt;0),$V568/365*(AT568-AS568+1),IF(AND(($S568-AT568)&lt;=0,(AS568-$R568)&gt;0),$V568/365*($S568-AS568+1),$V568/365*(AT568-$R568+1))))),0)</f>
        <v>0</v>
      </c>
      <c r="AV568" s="163">
        <f t="shared" ref="AV568:AV571" si="6401">AT568+1</f>
        <v>45901</v>
      </c>
      <c r="AW568" s="163">
        <f t="shared" ref="AW568:AW571" si="6402">AV568+29</f>
        <v>45930</v>
      </c>
      <c r="AX568" s="167">
        <f t="shared" ref="AX568:AX571" si="6403">IFERROR(IF(($R568-AW568)&gt;=0,0,IF(($S568-AV568)&lt;0,0,IF(AND(($S568-AW568)&gt;0,(AV568-$R568)&gt;0),$V568/365*(AW568-AV568+1),IF(AND(($S568-AW568)&lt;=0,(AV568-$R568)&gt;0),$V568/365*($S568-AV568+1),$V568/365*(AW568-$R568+1))))),0)</f>
        <v>0</v>
      </c>
      <c r="AY568" s="163">
        <f t="shared" ref="AY568:AY571" si="6404">AW568+1</f>
        <v>45931</v>
      </c>
      <c r="AZ568" s="163">
        <f t="shared" ref="AZ568:AZ571" si="6405">AY568+30</f>
        <v>45961</v>
      </c>
      <c r="BA568" s="167">
        <f t="shared" ref="BA568:BA571" si="6406">IFERROR(IF(($R568-AZ568)&gt;=0,0,IF(($S568-AY568)&lt;0,0,IF(AND(($S568-AZ568)&gt;0,(AY568-$R568)&gt;0),$V568/365*(AZ568-AY568+1),IF(AND(($S568-AZ568)&lt;=0,(AY568-$R568)&gt;0),$V568/365*($S568-AY568+1),$V568/365*(AZ568-$R568+1))))),0)</f>
        <v>0</v>
      </c>
      <c r="BB568" s="163">
        <f t="shared" ref="BB568:BB571" si="6407">AZ568+1</f>
        <v>45962</v>
      </c>
      <c r="BC568" s="163">
        <f t="shared" ref="BC568:BC571" si="6408">BB568+29</f>
        <v>45991</v>
      </c>
      <c r="BD568" s="167">
        <f t="shared" ref="BD568:BD571" si="6409">IFERROR(IF(($R568-BC568)&gt;=0,0,IF(($S568-BB568)&lt;0,0,IF(AND(($S568-BC568)&gt;0,(BB568-$R568)&gt;0),$V568/365*(BC568-BB568+1),IF(AND(($S568-BC568)&lt;=0,(BB568-$R568)&gt;0),$V568/365*($S568-BB568+1),$V568/365*(BC568-$R568+1))))),0)</f>
        <v>0</v>
      </c>
      <c r="BE568" s="163">
        <f t="shared" ref="BE568:BE571" si="6410">BC568+1</f>
        <v>45992</v>
      </c>
      <c r="BF568" s="163">
        <f t="shared" ref="BF568:BF571" si="6411">BE568+30</f>
        <v>46022</v>
      </c>
      <c r="BG568" s="167">
        <f t="shared" ref="BG568:BG571" si="6412">IFERROR(IF(($R568-BF568)&gt;=0,0,IF(($S568-BE568)&lt;0,0,IF(AND(($S568-BF568)&gt;0,(BE568-$R568)&gt;0),$V568/365*(BF568-BE568+1),IF(AND(($S568-BF568)&lt;=0,(BE568-$R568)&gt;0),$V568/365*($S568-BE568+1),$V568/365*(BF568-$R568+1))))),0)</f>
        <v>0</v>
      </c>
      <c r="BH568" s="163">
        <v>46023</v>
      </c>
      <c r="BI568" s="163">
        <f t="shared" ref="BI568:BI571" si="6413">BH568+30</f>
        <v>46053</v>
      </c>
      <c r="BJ568" s="167">
        <f t="shared" ref="BJ568:BJ571" si="6414">IFERROR(IF(($R568-BI568)&gt;=0,0,IF(($S568-BH568)&lt;0,0,IF(AND(($S568-BI568)&gt;0,(BH568-$R568)&gt;0),$V568/365*(BI568-BH568+1),IF(AND(($S568-BI568)&lt;=0,(BH568-$R568)&gt;0),$V568/365*($S568-BH568+1),$V568/365*(BI568-$R568+1))))),0)</f>
        <v>0</v>
      </c>
      <c r="BK568" s="163">
        <f t="shared" ref="BK568:BK571" si="6415">BI568+1</f>
        <v>46054</v>
      </c>
      <c r="BL568" s="163">
        <f t="shared" ref="BL568:BL571" si="6416">BK568+27</f>
        <v>46081</v>
      </c>
      <c r="BM568" s="167">
        <f t="shared" ref="BM568:BM571" si="6417">IFERROR(IF(($R568-BL568)&gt;=0,0,IF(($S568-BK568)&lt;0,0,IF(AND(($S568-BL568)&gt;0,(BK568-$R568)&gt;0),$V568/365*(BL568-BK568+1),IF(AND(($S568-BL568)&lt;=0,(BK568-$R568)&gt;0),$V568/365*($S568-BK568+1),$V568/365*(BL568-$R568+1))))),0)</f>
        <v>0</v>
      </c>
      <c r="BN568" s="163">
        <f t="shared" ref="BN568:BN571" si="6418">BL568+1</f>
        <v>46082</v>
      </c>
      <c r="BO568" s="163">
        <f t="shared" ref="BO568:BO571" si="6419">BN568+30</f>
        <v>46112</v>
      </c>
      <c r="BP568" s="167">
        <f t="shared" ref="BP568:BP571" si="6420">IFERROR(IF(($R568-BO568)&gt;=0,0,IF(($S568-BN568)&lt;0,0,IF(AND(($S568-BO568)&gt;0,(BN568-$R568)&gt;0),$V568/365*(BO568-BN568+1),IF(AND(($S568-BO568)&lt;=0,(BN568-$R568)&gt;0),$V568/365*($S568-BN568+1),$V568/365*(BO568-$R568+1))))),0)</f>
        <v>0</v>
      </c>
      <c r="BQ568" s="163">
        <f t="shared" ref="BQ568:BQ571" si="6421">BO568+1</f>
        <v>46113</v>
      </c>
      <c r="BR568" s="163">
        <f t="shared" ref="BR568:BR571" si="6422">BQ568+29</f>
        <v>46142</v>
      </c>
      <c r="BS568" s="167">
        <f t="shared" ref="BS568:BS571" si="6423">IFERROR(IF(($R568-BR568)&gt;=0,0,IF(($S568-BQ568)&lt;0,0,IF(AND(($S568-BR568)&gt;0,(BQ568-$R568)&gt;0),$V568/365*(BR568-BQ568+1),IF(AND(($S568-BR568)&lt;=0,(BQ568-$R568)&gt;0),$V568/365*($S568-BQ568+1),$V568/365*(BR568-$R568+1))))),0)</f>
        <v>0</v>
      </c>
      <c r="BT568" s="163">
        <f t="shared" ref="BT568:BT571" si="6424">BR568+1</f>
        <v>46143</v>
      </c>
      <c r="BU568" s="163">
        <f t="shared" ref="BU568:BU571" si="6425">BT568+30</f>
        <v>46173</v>
      </c>
      <c r="BV568" s="167">
        <f t="shared" ref="BV568:BV571" si="6426">IFERROR(IF(($R568-BU568)&gt;=0,0,IF(($S568-BT568)&lt;0,0,IF(AND(($S568-BU568)&gt;0,(BT568-$R568)&gt;0),$V568/365*(BU568-BT568+1),IF(AND(($S568-BU568)&lt;=0,(BT568-$R568)&gt;0),$V568/365*($S568-BT568+1),$V568/365*(BU568-$R568+1))))),0)</f>
        <v>0</v>
      </c>
      <c r="BW568" s="163">
        <f t="shared" ref="BW568:BW571" si="6427">BU568+1</f>
        <v>46174</v>
      </c>
      <c r="BX568" s="163">
        <f t="shared" ref="BX568:BX571" si="6428">BW568+29</f>
        <v>46203</v>
      </c>
      <c r="BY568" s="167">
        <f t="shared" ref="BY568:BY571" si="6429">IFERROR(IF(($R568-BX568)&gt;=0,0,IF(($S568-BW568)&lt;0,0,IF(AND(($S568-BX568)&gt;0,(BW568-$R568)&gt;0),$V568/365*(BX568-BW568+1),IF(AND(($S568-BX568)&lt;=0,(BW568-$R568)&gt;0),$V568/365*($S568-BW568+1),$V568/365*(BX568-$R568+1))))),0)</f>
        <v>0</v>
      </c>
      <c r="BZ568" s="163">
        <f t="shared" ref="BZ568:BZ571" si="6430">BX568+1</f>
        <v>46204</v>
      </c>
      <c r="CA568" s="163">
        <f t="shared" ref="CA568:CA571" si="6431">BZ568+30</f>
        <v>46234</v>
      </c>
      <c r="CB568" s="167">
        <f t="shared" ref="CB568:CB571" si="6432">IFERROR(IF(($R568-CA568)&gt;=0,0,IF(($S568-BZ568)&lt;0,0,IF(AND(($S568-CA568)&gt;0,(BZ568-$R568)&gt;0),$V568/365*(CA568-BZ568+1),IF(AND(($S568-CA568)&lt;=0,(BZ568-$R568)&gt;0),$V568/365*($S568-BZ568+1),$V568/365*(CA568-$R568+1))))),0)</f>
        <v>0</v>
      </c>
      <c r="CC568" s="163">
        <f t="shared" ref="CC568:CC571" si="6433">CA568+1</f>
        <v>46235</v>
      </c>
      <c r="CD568" s="163">
        <f t="shared" ref="CD568:CD571" si="6434">CC568+30</f>
        <v>46265</v>
      </c>
      <c r="CE568" s="167">
        <f t="shared" ref="CE568:CE571" si="6435">IFERROR(IF(($R568-CD568)&gt;=0,0,IF(($S568-CC568)&lt;0,0,IF(AND(($S568-CD568)&gt;0,(CC568-$R568)&gt;0),$V568/365*(CD568-CC568+1),IF(AND(($S568-CD568)&lt;=0,(CC568-$R568)&gt;0),$V568/365*($S568-CC568+1),$V568/365*(CD568-$R568+1))))),0)</f>
        <v>0</v>
      </c>
      <c r="CF568" s="163">
        <f t="shared" ref="CF568:CF571" si="6436">CD568+1</f>
        <v>46266</v>
      </c>
      <c r="CG568" s="163">
        <f t="shared" ref="CG568:CG571" si="6437">CF568+29</f>
        <v>46295</v>
      </c>
      <c r="CH568" s="167">
        <f t="shared" ref="CH568:CH571" si="6438">IFERROR(IF(($R568-CG568)&gt;=0,0,IF(($S568-CF568)&lt;0,0,IF(AND(($S568-CG568)&gt;0,(CF568-$R568)&gt;0),$V568/365*(CG568-CF568+1),IF(AND(($S568-CG568)&lt;=0,(CF568-$R568)&gt;0),$V568/365*($S568-CF568+1),$V568/365*(CG568-$R568+1))))),0)</f>
        <v>0</v>
      </c>
      <c r="CI568" s="163">
        <f t="shared" ref="CI568:CI571" si="6439">CG568+1</f>
        <v>46296</v>
      </c>
      <c r="CJ568" s="163">
        <f t="shared" ref="CJ568:CJ571" si="6440">CI568+30</f>
        <v>46326</v>
      </c>
      <c r="CK568" s="167">
        <f t="shared" ref="CK568:CK571" si="6441">IFERROR(IF(($R568-CJ568)&gt;=0,0,IF(($S568-CI568)&lt;0,0,IF(AND(($S568-CJ568)&gt;0,(CI568-$R568)&gt;0),$V568/365*(CJ568-CI568+1),IF(AND(($S568-CJ568)&lt;=0,(CI568-$R568)&gt;0),$V568/365*($S568-CI568+1),$V568/365*(CJ568-$R568+1))))),0)</f>
        <v>0</v>
      </c>
      <c r="CL568" s="163">
        <f t="shared" ref="CL568:CL571" si="6442">CJ568+1</f>
        <v>46327</v>
      </c>
      <c r="CM568" s="163">
        <f t="shared" ref="CM568:CM571" si="6443">CL568+29</f>
        <v>46356</v>
      </c>
      <c r="CN568" s="167">
        <f t="shared" ref="CN568:CN571" si="6444">IFERROR(IF(($R568-CM568)&gt;=0,0,IF(($S568-CL568)&lt;0,0,IF(AND(($S568-CM568)&gt;0,(CL568-$R568)&gt;0),$V568/365*(CM568-CL568+1),IF(AND(($S568-CM568)&lt;=0,(CL568-$R568)&gt;0),$V568/365*($S568-CL568+1),$V568/365*(CM568-$R568+1))))),0)</f>
        <v>0</v>
      </c>
      <c r="CO568" s="163">
        <f t="shared" ref="CO568:CO571" si="6445">CM568+1</f>
        <v>46357</v>
      </c>
      <c r="CP568" s="163">
        <f t="shared" ref="CP568:CP571" si="6446">CO568+30</f>
        <v>46387</v>
      </c>
      <c r="CQ568" s="167">
        <f t="shared" ref="CQ568:CQ571" si="6447">IFERROR(IF(($R568-CP568)&gt;=0,0,IF(($S568-CO568)&lt;0,0,IF(AND(($S568-CP568)&gt;0,(CO568-$R568)&gt;0),$V568/365*(CP568-CO568+1),IF(AND(($S568-CP568)&lt;=0,(CO568-$R568)&gt;0),$V568/365*($S568-CO568+1),$V568/365*(CP568-$R568+1))))),0)</f>
        <v>0</v>
      </c>
    </row>
    <row r="569" s="89" customFormat="1" ht="24" customHeight="1" outlineLevel="2" spans="1:95">
      <c r="A569" s="128"/>
      <c r="B569" s="129"/>
      <c r="C569" s="130"/>
      <c r="D569" s="128"/>
      <c r="E569" s="129"/>
      <c r="F569" s="129"/>
      <c r="G569" s="129"/>
      <c r="H569" s="131"/>
      <c r="I569" s="131"/>
      <c r="J569" s="131">
        <f t="shared" si="6007"/>
        <v>0</v>
      </c>
      <c r="K569" s="131">
        <f t="shared" ref="K569:K571" si="6448">K568+1</f>
        <v>2</v>
      </c>
      <c r="L569" s="156"/>
      <c r="M569" s="157">
        <f>IFERROR(VLOOKUP($L569,'2-2 引出数据_合同数据仓库'!$B$5:$BP$200,3,FALSE),0)</f>
        <v>0</v>
      </c>
      <c r="N569" s="131"/>
      <c r="O569" s="157">
        <f>IFERROR(VLOOKUP((LEFT(VLOOKUP($L569,'2-2 引出数据_合同数据仓库'!$B$5:$BP$200,64,FALSE),15)&amp;(RIGHT(VLOOKUP($L569,'2-2 引出数据_合同数据仓库'!$B$5:$BP$200,64,FALSE),4)+1)),'2-2 引出数据_合同数据仓库'!$B$5:$BP$200,3,FALSE),0)</f>
        <v>0</v>
      </c>
      <c r="P569" s="131"/>
      <c r="Q569" s="131">
        <f>IFERROR(VLOOKUP($L569,'2-2 引出数据_合同数据仓库'!$B$5:$BP$200,28,FALSE),0)</f>
        <v>0</v>
      </c>
      <c r="R569" s="131">
        <f>IFERROR(VLOOKUP($L569,'2-2 引出数据_合同数据仓库'!$B$5:$BP$200,29,FALSE),0)</f>
        <v>0</v>
      </c>
      <c r="S569" s="131">
        <f>IFERROR(VLOOKUP($L569,'2-2 引出数据_合同数据仓库'!$B$5:$BP$200,4,FALSE),0)</f>
        <v>0</v>
      </c>
      <c r="T569" s="131"/>
      <c r="U569" s="131">
        <f>IFERROR(VLOOKUP($L569,'2-2 引出数据_合同数据仓库'!$B$5:$BP$200,15,FALSE),0)</f>
        <v>0</v>
      </c>
      <c r="V569" s="131">
        <f t="shared" si="6377"/>
        <v>0</v>
      </c>
      <c r="W569" s="131"/>
      <c r="X569" s="163">
        <v>45658</v>
      </c>
      <c r="Y569" s="163">
        <f t="shared" si="6378"/>
        <v>45688</v>
      </c>
      <c r="Z569" s="167">
        <f t="shared" si="6379"/>
        <v>0</v>
      </c>
      <c r="AA569" s="163">
        <f t="shared" si="6380"/>
        <v>45689</v>
      </c>
      <c r="AB569" s="163">
        <f t="shared" si="6381"/>
        <v>45716</v>
      </c>
      <c r="AC569" s="167">
        <f t="shared" si="6382"/>
        <v>0</v>
      </c>
      <c r="AD569" s="163">
        <f t="shared" si="6383"/>
        <v>45717</v>
      </c>
      <c r="AE569" s="163">
        <f t="shared" si="6384"/>
        <v>45747</v>
      </c>
      <c r="AF569" s="167">
        <f t="shared" si="6385"/>
        <v>0</v>
      </c>
      <c r="AG569" s="163">
        <f t="shared" si="6386"/>
        <v>45748</v>
      </c>
      <c r="AH569" s="163">
        <f t="shared" si="6387"/>
        <v>45777</v>
      </c>
      <c r="AI569" s="167">
        <f t="shared" si="6388"/>
        <v>0</v>
      </c>
      <c r="AJ569" s="163">
        <f t="shared" si="6389"/>
        <v>45778</v>
      </c>
      <c r="AK569" s="163">
        <f t="shared" si="6390"/>
        <v>45808</v>
      </c>
      <c r="AL569" s="167">
        <f t="shared" si="6391"/>
        <v>0</v>
      </c>
      <c r="AM569" s="163">
        <f t="shared" si="6392"/>
        <v>45809</v>
      </c>
      <c r="AN569" s="163">
        <f t="shared" si="6393"/>
        <v>45838</v>
      </c>
      <c r="AO569" s="167">
        <f t="shared" si="6394"/>
        <v>0</v>
      </c>
      <c r="AP569" s="163">
        <f t="shared" si="6395"/>
        <v>45839</v>
      </c>
      <c r="AQ569" s="163">
        <f t="shared" si="6396"/>
        <v>45869</v>
      </c>
      <c r="AR569" s="167">
        <f t="shared" si="6397"/>
        <v>0</v>
      </c>
      <c r="AS569" s="163">
        <f t="shared" si="6398"/>
        <v>45870</v>
      </c>
      <c r="AT569" s="163">
        <f t="shared" si="6399"/>
        <v>45900</v>
      </c>
      <c r="AU569" s="167">
        <f t="shared" si="6400"/>
        <v>0</v>
      </c>
      <c r="AV569" s="163">
        <f t="shared" si="6401"/>
        <v>45901</v>
      </c>
      <c r="AW569" s="163">
        <f t="shared" si="6402"/>
        <v>45930</v>
      </c>
      <c r="AX569" s="167">
        <f t="shared" si="6403"/>
        <v>0</v>
      </c>
      <c r="AY569" s="163">
        <f t="shared" si="6404"/>
        <v>45931</v>
      </c>
      <c r="AZ569" s="163">
        <f t="shared" si="6405"/>
        <v>45961</v>
      </c>
      <c r="BA569" s="167">
        <f t="shared" si="6406"/>
        <v>0</v>
      </c>
      <c r="BB569" s="163">
        <f t="shared" si="6407"/>
        <v>45962</v>
      </c>
      <c r="BC569" s="163">
        <f t="shared" si="6408"/>
        <v>45991</v>
      </c>
      <c r="BD569" s="167">
        <f t="shared" si="6409"/>
        <v>0</v>
      </c>
      <c r="BE569" s="163">
        <f t="shared" si="6410"/>
        <v>45992</v>
      </c>
      <c r="BF569" s="163">
        <f t="shared" si="6411"/>
        <v>46022</v>
      </c>
      <c r="BG569" s="167">
        <f t="shared" si="6412"/>
        <v>0</v>
      </c>
      <c r="BH569" s="163">
        <v>46023</v>
      </c>
      <c r="BI569" s="163">
        <f t="shared" si="6413"/>
        <v>46053</v>
      </c>
      <c r="BJ569" s="167">
        <f t="shared" si="6414"/>
        <v>0</v>
      </c>
      <c r="BK569" s="163">
        <f t="shared" si="6415"/>
        <v>46054</v>
      </c>
      <c r="BL569" s="163">
        <f t="shared" si="6416"/>
        <v>46081</v>
      </c>
      <c r="BM569" s="167">
        <f t="shared" si="6417"/>
        <v>0</v>
      </c>
      <c r="BN569" s="163">
        <f t="shared" si="6418"/>
        <v>46082</v>
      </c>
      <c r="BO569" s="163">
        <f t="shared" si="6419"/>
        <v>46112</v>
      </c>
      <c r="BP569" s="167">
        <f t="shared" si="6420"/>
        <v>0</v>
      </c>
      <c r="BQ569" s="163">
        <f t="shared" si="6421"/>
        <v>46113</v>
      </c>
      <c r="BR569" s="163">
        <f t="shared" si="6422"/>
        <v>46142</v>
      </c>
      <c r="BS569" s="167">
        <f t="shared" si="6423"/>
        <v>0</v>
      </c>
      <c r="BT569" s="163">
        <f t="shared" si="6424"/>
        <v>46143</v>
      </c>
      <c r="BU569" s="163">
        <f t="shared" si="6425"/>
        <v>46173</v>
      </c>
      <c r="BV569" s="167">
        <f t="shared" si="6426"/>
        <v>0</v>
      </c>
      <c r="BW569" s="163">
        <f t="shared" si="6427"/>
        <v>46174</v>
      </c>
      <c r="BX569" s="163">
        <f t="shared" si="6428"/>
        <v>46203</v>
      </c>
      <c r="BY569" s="167">
        <f t="shared" si="6429"/>
        <v>0</v>
      </c>
      <c r="BZ569" s="163">
        <f t="shared" si="6430"/>
        <v>46204</v>
      </c>
      <c r="CA569" s="163">
        <f t="shared" si="6431"/>
        <v>46234</v>
      </c>
      <c r="CB569" s="167">
        <f t="shared" si="6432"/>
        <v>0</v>
      </c>
      <c r="CC569" s="163">
        <f t="shared" si="6433"/>
        <v>46235</v>
      </c>
      <c r="CD569" s="163">
        <f t="shared" si="6434"/>
        <v>46265</v>
      </c>
      <c r="CE569" s="167">
        <f t="shared" si="6435"/>
        <v>0</v>
      </c>
      <c r="CF569" s="163">
        <f t="shared" si="6436"/>
        <v>46266</v>
      </c>
      <c r="CG569" s="163">
        <f t="shared" si="6437"/>
        <v>46295</v>
      </c>
      <c r="CH569" s="167">
        <f t="shared" si="6438"/>
        <v>0</v>
      </c>
      <c r="CI569" s="163">
        <f t="shared" si="6439"/>
        <v>46296</v>
      </c>
      <c r="CJ569" s="163">
        <f t="shared" si="6440"/>
        <v>46326</v>
      </c>
      <c r="CK569" s="167">
        <f t="shared" si="6441"/>
        <v>0</v>
      </c>
      <c r="CL569" s="163">
        <f t="shared" si="6442"/>
        <v>46327</v>
      </c>
      <c r="CM569" s="163">
        <f t="shared" si="6443"/>
        <v>46356</v>
      </c>
      <c r="CN569" s="167">
        <f t="shared" si="6444"/>
        <v>0</v>
      </c>
      <c r="CO569" s="163">
        <f t="shared" si="6445"/>
        <v>46357</v>
      </c>
      <c r="CP569" s="163">
        <f t="shared" si="6446"/>
        <v>46387</v>
      </c>
      <c r="CQ569" s="167">
        <f t="shared" si="6447"/>
        <v>0</v>
      </c>
    </row>
    <row r="570" s="89" customFormat="1" ht="24" customHeight="1" outlineLevel="2" spans="1:95">
      <c r="A570" s="128"/>
      <c r="B570" s="129"/>
      <c r="C570" s="130"/>
      <c r="D570" s="128"/>
      <c r="E570" s="129"/>
      <c r="F570" s="129"/>
      <c r="G570" s="129"/>
      <c r="H570" s="131"/>
      <c r="I570" s="131"/>
      <c r="J570" s="131">
        <f t="shared" si="6007"/>
        <v>0</v>
      </c>
      <c r="K570" s="131">
        <f t="shared" si="6448"/>
        <v>3</v>
      </c>
      <c r="L570" s="156"/>
      <c r="M570" s="157">
        <f>IFERROR(VLOOKUP($L570,'2-2 引出数据_合同数据仓库'!$B$5:$BP$200,3,FALSE),0)</f>
        <v>0</v>
      </c>
      <c r="N570" s="131"/>
      <c r="O570" s="157">
        <f>IFERROR(VLOOKUP((LEFT(VLOOKUP($L570,'2-2 引出数据_合同数据仓库'!$B$5:$BP$200,64,FALSE),15)&amp;(RIGHT(VLOOKUP($L570,'2-2 引出数据_合同数据仓库'!$B$5:$BP$200,64,FALSE),4)+1)),'2-2 引出数据_合同数据仓库'!$B$5:$BP$200,3,FALSE),0)</f>
        <v>0</v>
      </c>
      <c r="P570" s="131"/>
      <c r="Q570" s="131">
        <f>IFERROR(VLOOKUP($L570,'2-2 引出数据_合同数据仓库'!$B$5:$BP$200,28,FALSE),0)</f>
        <v>0</v>
      </c>
      <c r="R570" s="131">
        <f>IFERROR(VLOOKUP($L570,'2-2 引出数据_合同数据仓库'!$B$5:$BP$200,29,FALSE),0)</f>
        <v>0</v>
      </c>
      <c r="S570" s="131">
        <f>IFERROR(VLOOKUP($L570,'2-2 引出数据_合同数据仓库'!$B$5:$BP$200,4,FALSE),0)</f>
        <v>0</v>
      </c>
      <c r="T570" s="131"/>
      <c r="U570" s="131">
        <f>IFERROR(VLOOKUP($L570,'2-2 引出数据_合同数据仓库'!$B$5:$BP$200,15,FALSE),0)</f>
        <v>0</v>
      </c>
      <c r="V570" s="131">
        <f t="shared" si="6377"/>
        <v>0</v>
      </c>
      <c r="W570" s="131"/>
      <c r="X570" s="163">
        <v>45658</v>
      </c>
      <c r="Y570" s="163">
        <f t="shared" si="6378"/>
        <v>45688</v>
      </c>
      <c r="Z570" s="167">
        <f t="shared" si="6379"/>
        <v>0</v>
      </c>
      <c r="AA570" s="163">
        <f t="shared" si="6380"/>
        <v>45689</v>
      </c>
      <c r="AB570" s="163">
        <f t="shared" si="6381"/>
        <v>45716</v>
      </c>
      <c r="AC570" s="167">
        <f t="shared" si="6382"/>
        <v>0</v>
      </c>
      <c r="AD570" s="163">
        <f t="shared" si="6383"/>
        <v>45717</v>
      </c>
      <c r="AE570" s="163">
        <f t="shared" si="6384"/>
        <v>45747</v>
      </c>
      <c r="AF570" s="167">
        <f t="shared" si="6385"/>
        <v>0</v>
      </c>
      <c r="AG570" s="163">
        <f t="shared" si="6386"/>
        <v>45748</v>
      </c>
      <c r="AH570" s="163">
        <f t="shared" si="6387"/>
        <v>45777</v>
      </c>
      <c r="AI570" s="167">
        <f t="shared" si="6388"/>
        <v>0</v>
      </c>
      <c r="AJ570" s="163">
        <f t="shared" si="6389"/>
        <v>45778</v>
      </c>
      <c r="AK570" s="163">
        <f t="shared" si="6390"/>
        <v>45808</v>
      </c>
      <c r="AL570" s="167">
        <f t="shared" si="6391"/>
        <v>0</v>
      </c>
      <c r="AM570" s="163">
        <f t="shared" si="6392"/>
        <v>45809</v>
      </c>
      <c r="AN570" s="163">
        <f t="shared" si="6393"/>
        <v>45838</v>
      </c>
      <c r="AO570" s="167">
        <f t="shared" si="6394"/>
        <v>0</v>
      </c>
      <c r="AP570" s="163">
        <f t="shared" si="6395"/>
        <v>45839</v>
      </c>
      <c r="AQ570" s="163">
        <f t="shared" si="6396"/>
        <v>45869</v>
      </c>
      <c r="AR570" s="167">
        <f t="shared" si="6397"/>
        <v>0</v>
      </c>
      <c r="AS570" s="163">
        <f t="shared" si="6398"/>
        <v>45870</v>
      </c>
      <c r="AT570" s="163">
        <f t="shared" si="6399"/>
        <v>45900</v>
      </c>
      <c r="AU570" s="167">
        <f t="shared" si="6400"/>
        <v>0</v>
      </c>
      <c r="AV570" s="163">
        <f t="shared" si="6401"/>
        <v>45901</v>
      </c>
      <c r="AW570" s="163">
        <f t="shared" si="6402"/>
        <v>45930</v>
      </c>
      <c r="AX570" s="167">
        <f t="shared" si="6403"/>
        <v>0</v>
      </c>
      <c r="AY570" s="163">
        <f t="shared" si="6404"/>
        <v>45931</v>
      </c>
      <c r="AZ570" s="163">
        <f t="shared" si="6405"/>
        <v>45961</v>
      </c>
      <c r="BA570" s="167">
        <f t="shared" si="6406"/>
        <v>0</v>
      </c>
      <c r="BB570" s="163">
        <f t="shared" si="6407"/>
        <v>45962</v>
      </c>
      <c r="BC570" s="163">
        <f t="shared" si="6408"/>
        <v>45991</v>
      </c>
      <c r="BD570" s="167">
        <f t="shared" si="6409"/>
        <v>0</v>
      </c>
      <c r="BE570" s="163">
        <f t="shared" si="6410"/>
        <v>45992</v>
      </c>
      <c r="BF570" s="163">
        <f t="shared" si="6411"/>
        <v>46022</v>
      </c>
      <c r="BG570" s="167">
        <f t="shared" si="6412"/>
        <v>0</v>
      </c>
      <c r="BH570" s="163">
        <v>46023</v>
      </c>
      <c r="BI570" s="163">
        <f t="shared" si="6413"/>
        <v>46053</v>
      </c>
      <c r="BJ570" s="167">
        <f t="shared" si="6414"/>
        <v>0</v>
      </c>
      <c r="BK570" s="163">
        <f t="shared" si="6415"/>
        <v>46054</v>
      </c>
      <c r="BL570" s="163">
        <f t="shared" si="6416"/>
        <v>46081</v>
      </c>
      <c r="BM570" s="167">
        <f t="shared" si="6417"/>
        <v>0</v>
      </c>
      <c r="BN570" s="163">
        <f t="shared" si="6418"/>
        <v>46082</v>
      </c>
      <c r="BO570" s="163">
        <f t="shared" si="6419"/>
        <v>46112</v>
      </c>
      <c r="BP570" s="167">
        <f t="shared" si="6420"/>
        <v>0</v>
      </c>
      <c r="BQ570" s="163">
        <f t="shared" si="6421"/>
        <v>46113</v>
      </c>
      <c r="BR570" s="163">
        <f t="shared" si="6422"/>
        <v>46142</v>
      </c>
      <c r="BS570" s="167">
        <f t="shared" si="6423"/>
        <v>0</v>
      </c>
      <c r="BT570" s="163">
        <f t="shared" si="6424"/>
        <v>46143</v>
      </c>
      <c r="BU570" s="163">
        <f t="shared" si="6425"/>
        <v>46173</v>
      </c>
      <c r="BV570" s="167">
        <f t="shared" si="6426"/>
        <v>0</v>
      </c>
      <c r="BW570" s="163">
        <f t="shared" si="6427"/>
        <v>46174</v>
      </c>
      <c r="BX570" s="163">
        <f t="shared" si="6428"/>
        <v>46203</v>
      </c>
      <c r="BY570" s="167">
        <f t="shared" si="6429"/>
        <v>0</v>
      </c>
      <c r="BZ570" s="163">
        <f t="shared" si="6430"/>
        <v>46204</v>
      </c>
      <c r="CA570" s="163">
        <f t="shared" si="6431"/>
        <v>46234</v>
      </c>
      <c r="CB570" s="167">
        <f t="shared" si="6432"/>
        <v>0</v>
      </c>
      <c r="CC570" s="163">
        <f t="shared" si="6433"/>
        <v>46235</v>
      </c>
      <c r="CD570" s="163">
        <f t="shared" si="6434"/>
        <v>46265</v>
      </c>
      <c r="CE570" s="167">
        <f t="shared" si="6435"/>
        <v>0</v>
      </c>
      <c r="CF570" s="163">
        <f t="shared" si="6436"/>
        <v>46266</v>
      </c>
      <c r="CG570" s="163">
        <f t="shared" si="6437"/>
        <v>46295</v>
      </c>
      <c r="CH570" s="167">
        <f t="shared" si="6438"/>
        <v>0</v>
      </c>
      <c r="CI570" s="163">
        <f t="shared" si="6439"/>
        <v>46296</v>
      </c>
      <c r="CJ570" s="163">
        <f t="shared" si="6440"/>
        <v>46326</v>
      </c>
      <c r="CK570" s="167">
        <f t="shared" si="6441"/>
        <v>0</v>
      </c>
      <c r="CL570" s="163">
        <f t="shared" si="6442"/>
        <v>46327</v>
      </c>
      <c r="CM570" s="163">
        <f t="shared" si="6443"/>
        <v>46356</v>
      </c>
      <c r="CN570" s="167">
        <f t="shared" si="6444"/>
        <v>0</v>
      </c>
      <c r="CO570" s="163">
        <f t="shared" si="6445"/>
        <v>46357</v>
      </c>
      <c r="CP570" s="163">
        <f t="shared" si="6446"/>
        <v>46387</v>
      </c>
      <c r="CQ570" s="167">
        <f t="shared" si="6447"/>
        <v>0</v>
      </c>
    </row>
    <row r="571" s="89" customFormat="1" ht="24" customHeight="1" outlineLevel="2" collapsed="1" spans="1:95">
      <c r="A571" s="128"/>
      <c r="B571" s="129"/>
      <c r="C571" s="130"/>
      <c r="D571" s="128"/>
      <c r="E571" s="129"/>
      <c r="F571" s="129"/>
      <c r="G571" s="129"/>
      <c r="H571" s="131"/>
      <c r="I571" s="131"/>
      <c r="J571" s="131">
        <f t="shared" si="6007"/>
        <v>0</v>
      </c>
      <c r="K571" s="131">
        <f t="shared" si="6448"/>
        <v>4</v>
      </c>
      <c r="L571" s="156"/>
      <c r="M571" s="157">
        <f>IFERROR(VLOOKUP($L571,'2-2 引出数据_合同数据仓库'!$B$5:$BP$200,3,FALSE),0)</f>
        <v>0</v>
      </c>
      <c r="N571" s="131"/>
      <c r="O571" s="157">
        <f>IFERROR(VLOOKUP((LEFT(VLOOKUP($L571,'2-2 引出数据_合同数据仓库'!$B$5:$BP$200,64,FALSE),15)&amp;(RIGHT(VLOOKUP($L571,'2-2 引出数据_合同数据仓库'!$B$5:$BP$200,64,FALSE),4)+1)),'2-2 引出数据_合同数据仓库'!$B$5:$BP$200,3,FALSE),0)</f>
        <v>0</v>
      </c>
      <c r="P571" s="131"/>
      <c r="Q571" s="131">
        <f>IFERROR(VLOOKUP($L571,'2-2 引出数据_合同数据仓库'!$B$5:$BP$200,28,FALSE),0)</f>
        <v>0</v>
      </c>
      <c r="R571" s="131">
        <f>IFERROR(VLOOKUP($L571,'2-2 引出数据_合同数据仓库'!$B$5:$BP$200,29,FALSE),0)</f>
        <v>0</v>
      </c>
      <c r="S571" s="131">
        <f>IFERROR(VLOOKUP($L571,'2-2 引出数据_合同数据仓库'!$B$5:$BP$200,4,FALSE),0)</f>
        <v>0</v>
      </c>
      <c r="T571" s="131"/>
      <c r="U571" s="131">
        <f>IFERROR(VLOOKUP($L571,'2-2 引出数据_合同数据仓库'!$B$5:$BP$200,15,FALSE),0)</f>
        <v>0</v>
      </c>
      <c r="V571" s="131">
        <f t="shared" si="6377"/>
        <v>0</v>
      </c>
      <c r="W571" s="131"/>
      <c r="X571" s="163">
        <v>45658</v>
      </c>
      <c r="Y571" s="163">
        <f t="shared" si="6378"/>
        <v>45688</v>
      </c>
      <c r="Z571" s="167">
        <f t="shared" si="6379"/>
        <v>0</v>
      </c>
      <c r="AA571" s="163">
        <f t="shared" si="6380"/>
        <v>45689</v>
      </c>
      <c r="AB571" s="163">
        <f t="shared" si="6381"/>
        <v>45716</v>
      </c>
      <c r="AC571" s="167">
        <f t="shared" si="6382"/>
        <v>0</v>
      </c>
      <c r="AD571" s="163">
        <f t="shared" si="6383"/>
        <v>45717</v>
      </c>
      <c r="AE571" s="163">
        <f t="shared" si="6384"/>
        <v>45747</v>
      </c>
      <c r="AF571" s="167">
        <f t="shared" si="6385"/>
        <v>0</v>
      </c>
      <c r="AG571" s="163">
        <f t="shared" si="6386"/>
        <v>45748</v>
      </c>
      <c r="AH571" s="163">
        <f t="shared" si="6387"/>
        <v>45777</v>
      </c>
      <c r="AI571" s="167">
        <f t="shared" si="6388"/>
        <v>0</v>
      </c>
      <c r="AJ571" s="163">
        <f t="shared" si="6389"/>
        <v>45778</v>
      </c>
      <c r="AK571" s="163">
        <f t="shared" si="6390"/>
        <v>45808</v>
      </c>
      <c r="AL571" s="167">
        <f t="shared" si="6391"/>
        <v>0</v>
      </c>
      <c r="AM571" s="163">
        <f t="shared" si="6392"/>
        <v>45809</v>
      </c>
      <c r="AN571" s="163">
        <f t="shared" si="6393"/>
        <v>45838</v>
      </c>
      <c r="AO571" s="167">
        <f t="shared" si="6394"/>
        <v>0</v>
      </c>
      <c r="AP571" s="163">
        <f t="shared" si="6395"/>
        <v>45839</v>
      </c>
      <c r="AQ571" s="163">
        <f t="shared" si="6396"/>
        <v>45869</v>
      </c>
      <c r="AR571" s="167">
        <f t="shared" si="6397"/>
        <v>0</v>
      </c>
      <c r="AS571" s="163">
        <f t="shared" si="6398"/>
        <v>45870</v>
      </c>
      <c r="AT571" s="163">
        <f t="shared" si="6399"/>
        <v>45900</v>
      </c>
      <c r="AU571" s="167">
        <f t="shared" si="6400"/>
        <v>0</v>
      </c>
      <c r="AV571" s="163">
        <f t="shared" si="6401"/>
        <v>45901</v>
      </c>
      <c r="AW571" s="163">
        <f t="shared" si="6402"/>
        <v>45930</v>
      </c>
      <c r="AX571" s="167">
        <f t="shared" si="6403"/>
        <v>0</v>
      </c>
      <c r="AY571" s="163">
        <f t="shared" si="6404"/>
        <v>45931</v>
      </c>
      <c r="AZ571" s="163">
        <f t="shared" si="6405"/>
        <v>45961</v>
      </c>
      <c r="BA571" s="167">
        <f t="shared" si="6406"/>
        <v>0</v>
      </c>
      <c r="BB571" s="163">
        <f t="shared" si="6407"/>
        <v>45962</v>
      </c>
      <c r="BC571" s="163">
        <f t="shared" si="6408"/>
        <v>45991</v>
      </c>
      <c r="BD571" s="167">
        <f t="shared" si="6409"/>
        <v>0</v>
      </c>
      <c r="BE571" s="163">
        <f t="shared" si="6410"/>
        <v>45992</v>
      </c>
      <c r="BF571" s="163">
        <f t="shared" si="6411"/>
        <v>46022</v>
      </c>
      <c r="BG571" s="167">
        <f t="shared" si="6412"/>
        <v>0</v>
      </c>
      <c r="BH571" s="163">
        <v>46023</v>
      </c>
      <c r="BI571" s="163">
        <f t="shared" si="6413"/>
        <v>46053</v>
      </c>
      <c r="BJ571" s="167">
        <f t="shared" si="6414"/>
        <v>0</v>
      </c>
      <c r="BK571" s="163">
        <f t="shared" si="6415"/>
        <v>46054</v>
      </c>
      <c r="BL571" s="163">
        <f t="shared" si="6416"/>
        <v>46081</v>
      </c>
      <c r="BM571" s="167">
        <f t="shared" si="6417"/>
        <v>0</v>
      </c>
      <c r="BN571" s="163">
        <f t="shared" si="6418"/>
        <v>46082</v>
      </c>
      <c r="BO571" s="163">
        <f t="shared" si="6419"/>
        <v>46112</v>
      </c>
      <c r="BP571" s="167">
        <f t="shared" si="6420"/>
        <v>0</v>
      </c>
      <c r="BQ571" s="163">
        <f t="shared" si="6421"/>
        <v>46113</v>
      </c>
      <c r="BR571" s="163">
        <f t="shared" si="6422"/>
        <v>46142</v>
      </c>
      <c r="BS571" s="167">
        <f t="shared" si="6423"/>
        <v>0</v>
      </c>
      <c r="BT571" s="163">
        <f t="shared" si="6424"/>
        <v>46143</v>
      </c>
      <c r="BU571" s="163">
        <f t="shared" si="6425"/>
        <v>46173</v>
      </c>
      <c r="BV571" s="167">
        <f t="shared" si="6426"/>
        <v>0</v>
      </c>
      <c r="BW571" s="163">
        <f t="shared" si="6427"/>
        <v>46174</v>
      </c>
      <c r="BX571" s="163">
        <f t="shared" si="6428"/>
        <v>46203</v>
      </c>
      <c r="BY571" s="167">
        <f t="shared" si="6429"/>
        <v>0</v>
      </c>
      <c r="BZ571" s="163">
        <f t="shared" si="6430"/>
        <v>46204</v>
      </c>
      <c r="CA571" s="163">
        <f t="shared" si="6431"/>
        <v>46234</v>
      </c>
      <c r="CB571" s="167">
        <f t="shared" si="6432"/>
        <v>0</v>
      </c>
      <c r="CC571" s="163">
        <f t="shared" si="6433"/>
        <v>46235</v>
      </c>
      <c r="CD571" s="163">
        <f t="shared" si="6434"/>
        <v>46265</v>
      </c>
      <c r="CE571" s="167">
        <f t="shared" si="6435"/>
        <v>0</v>
      </c>
      <c r="CF571" s="163">
        <f t="shared" si="6436"/>
        <v>46266</v>
      </c>
      <c r="CG571" s="163">
        <f t="shared" si="6437"/>
        <v>46295</v>
      </c>
      <c r="CH571" s="167">
        <f t="shared" si="6438"/>
        <v>0</v>
      </c>
      <c r="CI571" s="163">
        <f t="shared" si="6439"/>
        <v>46296</v>
      </c>
      <c r="CJ571" s="163">
        <f t="shared" si="6440"/>
        <v>46326</v>
      </c>
      <c r="CK571" s="167">
        <f t="shared" si="6441"/>
        <v>0</v>
      </c>
      <c r="CL571" s="163">
        <f t="shared" si="6442"/>
        <v>46327</v>
      </c>
      <c r="CM571" s="163">
        <f t="shared" si="6443"/>
        <v>46356</v>
      </c>
      <c r="CN571" s="167">
        <f t="shared" si="6444"/>
        <v>0</v>
      </c>
      <c r="CO571" s="163">
        <f t="shared" si="6445"/>
        <v>46357</v>
      </c>
      <c r="CP571" s="163">
        <f t="shared" si="6446"/>
        <v>46387</v>
      </c>
      <c r="CQ571" s="167">
        <f t="shared" si="6447"/>
        <v>0</v>
      </c>
    </row>
    <row r="572" s="89" customFormat="1" ht="24" hidden="1" customHeight="1" outlineLevel="4" spans="1:95">
      <c r="A572" s="132" t="s">
        <v>2813</v>
      </c>
      <c r="B572" s="133"/>
      <c r="C572" s="133"/>
      <c r="D572" s="133"/>
      <c r="E572" s="133"/>
      <c r="F572" s="133"/>
      <c r="G572" s="134"/>
      <c r="H572" s="135"/>
      <c r="I572" s="135"/>
      <c r="J572" s="135"/>
      <c r="K572" s="135"/>
      <c r="L572" s="158"/>
      <c r="M572" s="158"/>
      <c r="N572" s="158"/>
      <c r="O572" s="158"/>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c r="CL572" s="135"/>
      <c r="CM572" s="135"/>
      <c r="CN572" s="135"/>
      <c r="CO572" s="135"/>
      <c r="CP572" s="135"/>
      <c r="CQ572" s="135"/>
    </row>
    <row r="573" ht="24" customHeight="1" outlineLevel="1" spans="1:95">
      <c r="A573" s="14"/>
      <c r="B573" s="118" t="s">
        <v>792</v>
      </c>
      <c r="C573" s="119" t="s">
        <v>2256</v>
      </c>
      <c r="D573" s="14" t="s">
        <v>2257</v>
      </c>
      <c r="E573" s="118"/>
      <c r="F573" s="118"/>
      <c r="G573" s="118"/>
      <c r="H573" s="120">
        <f>X573+AA573+AD573+AG573+AJ573+AM573+AP573+AS573+AV573+AY573+BB573+BE573</f>
        <v>0</v>
      </c>
      <c r="I573" s="120">
        <f>Y573+AB573+AE573+AH573+AK573+AN573+AQ573+AT573+AW573+AZ573+BC573+BF573</f>
        <v>0</v>
      </c>
      <c r="J573" s="120">
        <f t="shared" si="6007"/>
        <v>0</v>
      </c>
      <c r="K573" s="120"/>
      <c r="L573" s="153"/>
      <c r="M573" s="153"/>
      <c r="N573" s="153"/>
      <c r="O573" s="153"/>
      <c r="P573" s="120"/>
      <c r="Q573" s="120"/>
      <c r="R573" s="120"/>
      <c r="S573" s="120"/>
      <c r="T573" s="120"/>
      <c r="U573" s="120"/>
      <c r="V573" s="120"/>
      <c r="W573" s="120"/>
      <c r="X573" s="120">
        <f>VLOOKUP($C573,'1 预算编制表单'!$C:$BJ,27,FALSE)</f>
        <v>0</v>
      </c>
      <c r="Y573" s="120">
        <f>X573-Z573</f>
        <v>0</v>
      </c>
      <c r="Z573" s="120">
        <f>SUM(Z574:Z578)</f>
        <v>0</v>
      </c>
      <c r="AA573" s="120">
        <f>VLOOKUP($C573,'1 预算编制表单'!$C:$BJ,30,FALSE)</f>
        <v>0</v>
      </c>
      <c r="AB573" s="120">
        <f>AA573-AC573</f>
        <v>0</v>
      </c>
      <c r="AC573" s="120">
        <f>SUM(AC574:AC578)</f>
        <v>0</v>
      </c>
      <c r="AD573" s="120">
        <f>VLOOKUP($C573,'1 预算编制表单'!$C:$BJ,33,FALSE)</f>
        <v>0</v>
      </c>
      <c r="AE573" s="120">
        <f>AD573-AF573</f>
        <v>0</v>
      </c>
      <c r="AF573" s="120">
        <f>SUM(AF574:AF578)</f>
        <v>0</v>
      </c>
      <c r="AG573" s="120">
        <f>VLOOKUP($C573,'1 预算编制表单'!$C:$BJ,36,FALSE)</f>
        <v>0</v>
      </c>
      <c r="AH573" s="120">
        <f>AG573-AI573</f>
        <v>0</v>
      </c>
      <c r="AI573" s="120">
        <f>SUM(AI574:AI578)</f>
        <v>0</v>
      </c>
      <c r="AJ573" s="120">
        <f>VLOOKUP($C573,'1 预算编制表单'!$C:$BJ,39,FALSE)</f>
        <v>0</v>
      </c>
      <c r="AK573" s="120">
        <f>AJ573-AL573</f>
        <v>0</v>
      </c>
      <c r="AL573" s="120">
        <f>SUM(AL574:AL578)</f>
        <v>0</v>
      </c>
      <c r="AM573" s="120">
        <f>VLOOKUP($C573,'1 预算编制表单'!$C:$BJ,42,FALSE)</f>
        <v>0</v>
      </c>
      <c r="AN573" s="120">
        <f>AM573-AO573</f>
        <v>0</v>
      </c>
      <c r="AO573" s="120">
        <f>SUM(AO574:AO578)</f>
        <v>0</v>
      </c>
      <c r="AP573" s="120">
        <f>VLOOKUP($C573,'1 预算编制表单'!$C:$BJ,45,FALSE)</f>
        <v>0</v>
      </c>
      <c r="AQ573" s="120">
        <f>AP573-AR573</f>
        <v>0</v>
      </c>
      <c r="AR573" s="120">
        <f>SUM(AR574:AR578)</f>
        <v>0</v>
      </c>
      <c r="AS573" s="120">
        <f>VLOOKUP($C573,'1 预算编制表单'!$C:$BJ,48,FALSE)</f>
        <v>0</v>
      </c>
      <c r="AT573" s="120">
        <f>AS573-AU573</f>
        <v>0</v>
      </c>
      <c r="AU573" s="120">
        <f>SUM(AU574:AU578)</f>
        <v>0</v>
      </c>
      <c r="AV573" s="120">
        <f>VLOOKUP($C573,'1 预算编制表单'!$C:$BJ,51,FALSE)</f>
        <v>0</v>
      </c>
      <c r="AW573" s="120">
        <f>AV573-AX573</f>
        <v>0</v>
      </c>
      <c r="AX573" s="120">
        <f>SUM(AX574:AX578)</f>
        <v>0</v>
      </c>
      <c r="AY573" s="120">
        <f>VLOOKUP($C573,'1 预算编制表单'!$C:$BJ,54,FALSE)</f>
        <v>0</v>
      </c>
      <c r="AZ573" s="120">
        <f>AY573-BA573</f>
        <v>0</v>
      </c>
      <c r="BA573" s="120">
        <f>SUM(BA574:BA578)</f>
        <v>0</v>
      </c>
      <c r="BB573" s="120">
        <f>VLOOKUP($C573,'1 预算编制表单'!$C:$BJ,57,FALSE)</f>
        <v>0</v>
      </c>
      <c r="BC573" s="120">
        <f>BB573-BD573</f>
        <v>0</v>
      </c>
      <c r="BD573" s="120">
        <f>SUM(BD574:BD578)</f>
        <v>0</v>
      </c>
      <c r="BE573" s="120">
        <f>VLOOKUP($C573,'1 预算编制表单'!$C:$BJ,60,FALSE)</f>
        <v>0</v>
      </c>
      <c r="BF573" s="120">
        <f>BE573-BG573</f>
        <v>0</v>
      </c>
      <c r="BG573" s="120">
        <f>SUM(BG574:BG578)</f>
        <v>0</v>
      </c>
      <c r="BH573" s="120">
        <f>VLOOKUP($C573,'1 预算编制表单'!$C:$BJ,27,FALSE)</f>
        <v>0</v>
      </c>
      <c r="BI573" s="120">
        <f>BH573-BJ573</f>
        <v>0</v>
      </c>
      <c r="BJ573" s="120">
        <f>SUM(BJ574:BJ578)</f>
        <v>0</v>
      </c>
      <c r="BK573" s="120">
        <f>VLOOKUP($C573,'1 预算编制表单'!$C:$BJ,30,FALSE)</f>
        <v>0</v>
      </c>
      <c r="BL573" s="120">
        <f>BK573-BM573</f>
        <v>0</v>
      </c>
      <c r="BM573" s="120">
        <f>SUM(BM574:BM578)</f>
        <v>0</v>
      </c>
      <c r="BN573" s="120">
        <f>VLOOKUP($C573,'1 预算编制表单'!$C:$BJ,33,FALSE)</f>
        <v>0</v>
      </c>
      <c r="BO573" s="120">
        <f>BN573-BP573</f>
        <v>0</v>
      </c>
      <c r="BP573" s="120">
        <f>SUM(BP574:BP578)</f>
        <v>0</v>
      </c>
      <c r="BQ573" s="120">
        <f>VLOOKUP($C573,'1 预算编制表单'!$C:$BJ,36,FALSE)</f>
        <v>0</v>
      </c>
      <c r="BR573" s="120">
        <f>BQ573-BS573</f>
        <v>0</v>
      </c>
      <c r="BS573" s="120">
        <f>SUM(BS574:BS578)</f>
        <v>0</v>
      </c>
      <c r="BT573" s="120">
        <f>VLOOKUP($C573,'1 预算编制表单'!$C:$BJ,39,FALSE)</f>
        <v>0</v>
      </c>
      <c r="BU573" s="120">
        <f>BT573-BV573</f>
        <v>0</v>
      </c>
      <c r="BV573" s="120">
        <f>SUM(BV574:BV578)</f>
        <v>0</v>
      </c>
      <c r="BW573" s="120">
        <f>VLOOKUP($C573,'1 预算编制表单'!$C:$BJ,42,FALSE)</f>
        <v>0</v>
      </c>
      <c r="BX573" s="120">
        <f>BW573-BY573</f>
        <v>0</v>
      </c>
      <c r="BY573" s="120">
        <f>SUM(BY574:BY578)</f>
        <v>0</v>
      </c>
      <c r="BZ573" s="120">
        <f>VLOOKUP($C573,'1 预算编制表单'!$C:$BJ,45,FALSE)</f>
        <v>0</v>
      </c>
      <c r="CA573" s="120">
        <f>BZ573-CB573</f>
        <v>0</v>
      </c>
      <c r="CB573" s="120">
        <f>SUM(CB574:CB578)</f>
        <v>0</v>
      </c>
      <c r="CC573" s="120">
        <f>VLOOKUP($C573,'1 预算编制表单'!$C:$BJ,48,FALSE)</f>
        <v>0</v>
      </c>
      <c r="CD573" s="120">
        <f>CC573-CE573</f>
        <v>0</v>
      </c>
      <c r="CE573" s="120">
        <f>SUM(CE574:CE578)</f>
        <v>0</v>
      </c>
      <c r="CF573" s="120">
        <f>VLOOKUP($C573,'1 预算编制表单'!$C:$BJ,51,FALSE)</f>
        <v>0</v>
      </c>
      <c r="CG573" s="120">
        <f>CF573-CH573</f>
        <v>0</v>
      </c>
      <c r="CH573" s="120">
        <f>SUM(CH574:CH578)</f>
        <v>0</v>
      </c>
      <c r="CI573" s="120">
        <f>VLOOKUP($C573,'1 预算编制表单'!$C:$BJ,54,FALSE)</f>
        <v>0</v>
      </c>
      <c r="CJ573" s="120">
        <f>CI573-CK573</f>
        <v>0</v>
      </c>
      <c r="CK573" s="120">
        <f>SUM(CK574:CK578)</f>
        <v>0</v>
      </c>
      <c r="CL573" s="120">
        <f>VLOOKUP($C573,'1 预算编制表单'!$C:$BJ,57,FALSE)</f>
        <v>0</v>
      </c>
      <c r="CM573" s="120">
        <f>CL573-CN573</f>
        <v>0</v>
      </c>
      <c r="CN573" s="120">
        <f>SUM(CN574:CN578)</f>
        <v>0</v>
      </c>
      <c r="CO573" s="120">
        <f>VLOOKUP($C573,'1 预算编制表单'!$C:$BJ,60,FALSE)</f>
        <v>0</v>
      </c>
      <c r="CP573" s="120">
        <f>CO573-CQ573</f>
        <v>0</v>
      </c>
      <c r="CQ573" s="120">
        <f>SUM(CQ574:CQ578)</f>
        <v>0</v>
      </c>
    </row>
    <row r="574" s="89" customFormat="1" ht="24" customHeight="1" outlineLevel="2" spans="1:95">
      <c r="A574" s="128"/>
      <c r="B574" s="129"/>
      <c r="C574" s="130"/>
      <c r="D574" s="128"/>
      <c r="E574" s="129"/>
      <c r="F574" s="129"/>
      <c r="G574" s="129"/>
      <c r="H574" s="131"/>
      <c r="I574" s="131"/>
      <c r="J574" s="131">
        <f t="shared" si="6007"/>
        <v>0</v>
      </c>
      <c r="K574" s="131">
        <v>1</v>
      </c>
      <c r="L574" s="156"/>
      <c r="M574" s="157">
        <f>IFERROR(VLOOKUP($L574,'2-2 引出数据_合同数据仓库'!$B$5:$BP$200,3,FALSE),0)</f>
        <v>0</v>
      </c>
      <c r="N574" s="131"/>
      <c r="O574" s="157">
        <f>IFERROR(VLOOKUP((LEFT(VLOOKUP($L574,'2-2 引出数据_合同数据仓库'!$B$5:$BP$200,64,FALSE),15)&amp;(RIGHT(VLOOKUP($L574,'2-2 引出数据_合同数据仓库'!$B$5:$BP$200,64,FALSE),4)+1)),'2-2 引出数据_合同数据仓库'!$B$5:$BP$200,3,FALSE),0)</f>
        <v>0</v>
      </c>
      <c r="P574" s="131"/>
      <c r="Q574" s="131">
        <f>IFERROR(VLOOKUP($L574,'2-2 引出数据_合同数据仓库'!$B$5:$BP$200,28,FALSE),0)</f>
        <v>0</v>
      </c>
      <c r="R574" s="131">
        <f>IFERROR(VLOOKUP($L574,'2-2 引出数据_合同数据仓库'!$B$5:$BP$200,29,FALSE),0)</f>
        <v>0</v>
      </c>
      <c r="S574" s="131">
        <f>IFERROR(VLOOKUP($L574,'2-2 引出数据_合同数据仓库'!$B$5:$BP$200,4,FALSE),0)</f>
        <v>0</v>
      </c>
      <c r="T574" s="131"/>
      <c r="U574" s="131">
        <f>IFERROR(VLOOKUP($L574,'2-2 引出数据_合同数据仓库'!$B$5:$BP$200,15,FALSE),0)</f>
        <v>0</v>
      </c>
      <c r="V574" s="131">
        <f t="shared" ref="V574:V577" si="6449">U574/(S574-R574+1)*365</f>
        <v>0</v>
      </c>
      <c r="W574" s="131"/>
      <c r="X574" s="163">
        <v>45658</v>
      </c>
      <c r="Y574" s="163">
        <f t="shared" ref="Y574:Y577" si="6450">X574+30</f>
        <v>45688</v>
      </c>
      <c r="Z574" s="167">
        <f t="shared" ref="Z574:Z577" si="6451">IFERROR(IF(($R574-Y574)&gt;=0,0,IF(($S574-X574)&lt;0,0,IF(AND(($S574-Y574)&gt;0,(X574-$R574)&gt;0),$V574/365*(Y574-X574+1),IF(AND(($S574-Y574)&lt;=0,(X574-$R574)&gt;0),$V574/365*($S574-X574+1),$V574/365*(Y574-$R574+1))))),0)</f>
        <v>0</v>
      </c>
      <c r="AA574" s="163">
        <f t="shared" ref="AA574:AA577" si="6452">Y574+1</f>
        <v>45689</v>
      </c>
      <c r="AB574" s="163">
        <f t="shared" ref="AB574:AB577" si="6453">AA574+27</f>
        <v>45716</v>
      </c>
      <c r="AC574" s="167">
        <f t="shared" ref="AC574:AC577" si="6454">IFERROR(IF(($R574-AB574)&gt;=0,0,IF(($S574-AA574)&lt;0,0,IF(AND(($S574-AB574)&gt;0,(AA574-$R574)&gt;0),$V574/365*(AB574-AA574+1),IF(AND(($S574-AB574)&lt;=0,(AA574-$R574)&gt;0),$V574/365*($S574-AA574+1),$V574/365*(AB574-$R574+1))))),0)</f>
        <v>0</v>
      </c>
      <c r="AD574" s="163">
        <f t="shared" ref="AD574:AD577" si="6455">AB574+1</f>
        <v>45717</v>
      </c>
      <c r="AE574" s="163">
        <f t="shared" ref="AE574:AE577" si="6456">AD574+30</f>
        <v>45747</v>
      </c>
      <c r="AF574" s="167">
        <f t="shared" ref="AF574:AF577" si="6457">IFERROR(IF(($R574-AE574)&gt;=0,0,IF(($S574-AD574)&lt;0,0,IF(AND(($S574-AE574)&gt;0,(AD574-$R574)&gt;0),$V574/365*(AE574-AD574+1),IF(AND(($S574-AE574)&lt;=0,(AD574-$R574)&gt;0),$V574/365*($S574-AD574+1),$V574/365*(AE574-$R574+1))))),0)</f>
        <v>0</v>
      </c>
      <c r="AG574" s="163">
        <f t="shared" ref="AG574:AG577" si="6458">AE574+1</f>
        <v>45748</v>
      </c>
      <c r="AH574" s="163">
        <f t="shared" ref="AH574:AH577" si="6459">AG574+29</f>
        <v>45777</v>
      </c>
      <c r="AI574" s="167">
        <f t="shared" ref="AI574:AI577" si="6460">IFERROR(IF(($R574-AH574)&gt;=0,0,IF(($S574-AG574)&lt;0,0,IF(AND(($S574-AH574)&gt;0,(AG574-$R574)&gt;0),$V574/365*(AH574-AG574+1),IF(AND(($S574-AH574)&lt;=0,(AG574-$R574)&gt;0),$V574/365*($S574-AG574+1),$V574/365*(AH574-$R574+1))))),0)</f>
        <v>0</v>
      </c>
      <c r="AJ574" s="163">
        <f t="shared" ref="AJ574:AJ577" si="6461">AH574+1</f>
        <v>45778</v>
      </c>
      <c r="AK574" s="163">
        <f t="shared" ref="AK574:AK577" si="6462">AJ574+30</f>
        <v>45808</v>
      </c>
      <c r="AL574" s="167">
        <f t="shared" ref="AL574:AL577" si="6463">IFERROR(IF(($R574-AK574)&gt;=0,0,IF(($S574-AJ574)&lt;0,0,IF(AND(($S574-AK574)&gt;0,(AJ574-$R574)&gt;0),$V574/365*(AK574-AJ574+1),IF(AND(($S574-AK574)&lt;=0,(AJ574-$R574)&gt;0),$V574/365*($S574-AJ574+1),$V574/365*(AK574-$R574+1))))),0)</f>
        <v>0</v>
      </c>
      <c r="AM574" s="163">
        <f t="shared" ref="AM574:AM577" si="6464">AK574+1</f>
        <v>45809</v>
      </c>
      <c r="AN574" s="163">
        <f t="shared" ref="AN574:AN577" si="6465">AM574+29</f>
        <v>45838</v>
      </c>
      <c r="AO574" s="167">
        <f t="shared" ref="AO574:AO577" si="6466">IFERROR(IF(($R574-AN574)&gt;=0,0,IF(($S574-AM574)&lt;0,0,IF(AND(($S574-AN574)&gt;0,(AM574-$R574)&gt;0),$V574/365*(AN574-AM574+1),IF(AND(($S574-AN574)&lt;=0,(AM574-$R574)&gt;0),$V574/365*($S574-AM574+1),$V574/365*(AN574-$R574+1))))),0)</f>
        <v>0</v>
      </c>
      <c r="AP574" s="163">
        <f t="shared" ref="AP574:AP577" si="6467">AN574+1</f>
        <v>45839</v>
      </c>
      <c r="AQ574" s="163">
        <f t="shared" ref="AQ574:AQ577" si="6468">AP574+30</f>
        <v>45869</v>
      </c>
      <c r="AR574" s="167">
        <f t="shared" ref="AR574:AR577" si="6469">IFERROR(IF(($R574-AQ574)&gt;=0,0,IF(($S574-AP574)&lt;0,0,IF(AND(($S574-AQ574)&gt;0,(AP574-$R574)&gt;0),$V574/365*(AQ574-AP574+1),IF(AND(($S574-AQ574)&lt;=0,(AP574-$R574)&gt;0),$V574/365*($S574-AP574+1),$V574/365*(AQ574-$R574+1))))),0)</f>
        <v>0</v>
      </c>
      <c r="AS574" s="163">
        <f t="shared" ref="AS574:AS577" si="6470">AQ574+1</f>
        <v>45870</v>
      </c>
      <c r="AT574" s="163">
        <f t="shared" ref="AT574:AT577" si="6471">AS574+30</f>
        <v>45900</v>
      </c>
      <c r="AU574" s="167">
        <f t="shared" ref="AU574:AU577" si="6472">IFERROR(IF(($R574-AT574)&gt;=0,0,IF(($S574-AS574)&lt;0,0,IF(AND(($S574-AT574)&gt;0,(AS574-$R574)&gt;0),$V574/365*(AT574-AS574+1),IF(AND(($S574-AT574)&lt;=0,(AS574-$R574)&gt;0),$V574/365*($S574-AS574+1),$V574/365*(AT574-$R574+1))))),0)</f>
        <v>0</v>
      </c>
      <c r="AV574" s="163">
        <f t="shared" ref="AV574:AV577" si="6473">AT574+1</f>
        <v>45901</v>
      </c>
      <c r="AW574" s="163">
        <f t="shared" ref="AW574:AW577" si="6474">AV574+29</f>
        <v>45930</v>
      </c>
      <c r="AX574" s="167">
        <f t="shared" ref="AX574:AX577" si="6475">IFERROR(IF(($R574-AW574)&gt;=0,0,IF(($S574-AV574)&lt;0,0,IF(AND(($S574-AW574)&gt;0,(AV574-$R574)&gt;0),$V574/365*(AW574-AV574+1),IF(AND(($S574-AW574)&lt;=0,(AV574-$R574)&gt;0),$V574/365*($S574-AV574+1),$V574/365*(AW574-$R574+1))))),0)</f>
        <v>0</v>
      </c>
      <c r="AY574" s="163">
        <f t="shared" ref="AY574:AY577" si="6476">AW574+1</f>
        <v>45931</v>
      </c>
      <c r="AZ574" s="163">
        <f t="shared" ref="AZ574:AZ577" si="6477">AY574+30</f>
        <v>45961</v>
      </c>
      <c r="BA574" s="167">
        <f t="shared" ref="BA574:BA577" si="6478">IFERROR(IF(($R574-AZ574)&gt;=0,0,IF(($S574-AY574)&lt;0,0,IF(AND(($S574-AZ574)&gt;0,(AY574-$R574)&gt;0),$V574/365*(AZ574-AY574+1),IF(AND(($S574-AZ574)&lt;=0,(AY574-$R574)&gt;0),$V574/365*($S574-AY574+1),$V574/365*(AZ574-$R574+1))))),0)</f>
        <v>0</v>
      </c>
      <c r="BB574" s="163">
        <f t="shared" ref="BB574:BB577" si="6479">AZ574+1</f>
        <v>45962</v>
      </c>
      <c r="BC574" s="163">
        <f t="shared" ref="BC574:BC577" si="6480">BB574+29</f>
        <v>45991</v>
      </c>
      <c r="BD574" s="167">
        <f t="shared" ref="BD574:BD577" si="6481">IFERROR(IF(($R574-BC574)&gt;=0,0,IF(($S574-BB574)&lt;0,0,IF(AND(($S574-BC574)&gt;0,(BB574-$R574)&gt;0),$V574/365*(BC574-BB574+1),IF(AND(($S574-BC574)&lt;=0,(BB574-$R574)&gt;0),$V574/365*($S574-BB574+1),$V574/365*(BC574-$R574+1))))),0)</f>
        <v>0</v>
      </c>
      <c r="BE574" s="163">
        <f t="shared" ref="BE574:BE577" si="6482">BC574+1</f>
        <v>45992</v>
      </c>
      <c r="BF574" s="163">
        <f t="shared" ref="BF574:BF577" si="6483">BE574+30</f>
        <v>46022</v>
      </c>
      <c r="BG574" s="167">
        <f t="shared" ref="BG574:BG577" si="6484">IFERROR(IF(($R574-BF574)&gt;=0,0,IF(($S574-BE574)&lt;0,0,IF(AND(($S574-BF574)&gt;0,(BE574-$R574)&gt;0),$V574/365*(BF574-BE574+1),IF(AND(($S574-BF574)&lt;=0,(BE574-$R574)&gt;0),$V574/365*($S574-BE574+1),$V574/365*(BF574-$R574+1))))),0)</f>
        <v>0</v>
      </c>
      <c r="BH574" s="163">
        <v>46023</v>
      </c>
      <c r="BI574" s="163">
        <f t="shared" ref="BI574:BI577" si="6485">BH574+30</f>
        <v>46053</v>
      </c>
      <c r="BJ574" s="167">
        <f t="shared" ref="BJ574:BJ577" si="6486">IFERROR(IF(($R574-BI574)&gt;=0,0,IF(($S574-BH574)&lt;0,0,IF(AND(($S574-BI574)&gt;0,(BH574-$R574)&gt;0),$V574/365*(BI574-BH574+1),IF(AND(($S574-BI574)&lt;=0,(BH574-$R574)&gt;0),$V574/365*($S574-BH574+1),$V574/365*(BI574-$R574+1))))),0)</f>
        <v>0</v>
      </c>
      <c r="BK574" s="163">
        <f t="shared" ref="BK574:BK577" si="6487">BI574+1</f>
        <v>46054</v>
      </c>
      <c r="BL574" s="163">
        <f t="shared" ref="BL574:BL577" si="6488">BK574+27</f>
        <v>46081</v>
      </c>
      <c r="BM574" s="167">
        <f t="shared" ref="BM574:BM577" si="6489">IFERROR(IF(($R574-BL574)&gt;=0,0,IF(($S574-BK574)&lt;0,0,IF(AND(($S574-BL574)&gt;0,(BK574-$R574)&gt;0),$V574/365*(BL574-BK574+1),IF(AND(($S574-BL574)&lt;=0,(BK574-$R574)&gt;0),$V574/365*($S574-BK574+1),$V574/365*(BL574-$R574+1))))),0)</f>
        <v>0</v>
      </c>
      <c r="BN574" s="163">
        <f t="shared" ref="BN574:BN577" si="6490">BL574+1</f>
        <v>46082</v>
      </c>
      <c r="BO574" s="163">
        <f t="shared" ref="BO574:BO577" si="6491">BN574+30</f>
        <v>46112</v>
      </c>
      <c r="BP574" s="167">
        <f t="shared" ref="BP574:BP577" si="6492">IFERROR(IF(($R574-BO574)&gt;=0,0,IF(($S574-BN574)&lt;0,0,IF(AND(($S574-BO574)&gt;0,(BN574-$R574)&gt;0),$V574/365*(BO574-BN574+1),IF(AND(($S574-BO574)&lt;=0,(BN574-$R574)&gt;0),$V574/365*($S574-BN574+1),$V574/365*(BO574-$R574+1))))),0)</f>
        <v>0</v>
      </c>
      <c r="BQ574" s="163">
        <f t="shared" ref="BQ574:BQ577" si="6493">BO574+1</f>
        <v>46113</v>
      </c>
      <c r="BR574" s="163">
        <f t="shared" ref="BR574:BR577" si="6494">BQ574+29</f>
        <v>46142</v>
      </c>
      <c r="BS574" s="167">
        <f t="shared" ref="BS574:BS577" si="6495">IFERROR(IF(($R574-BR574)&gt;=0,0,IF(($S574-BQ574)&lt;0,0,IF(AND(($S574-BR574)&gt;0,(BQ574-$R574)&gt;0),$V574/365*(BR574-BQ574+1),IF(AND(($S574-BR574)&lt;=0,(BQ574-$R574)&gt;0),$V574/365*($S574-BQ574+1),$V574/365*(BR574-$R574+1))))),0)</f>
        <v>0</v>
      </c>
      <c r="BT574" s="163">
        <f t="shared" ref="BT574:BT577" si="6496">BR574+1</f>
        <v>46143</v>
      </c>
      <c r="BU574" s="163">
        <f t="shared" ref="BU574:BU577" si="6497">BT574+30</f>
        <v>46173</v>
      </c>
      <c r="BV574" s="167">
        <f t="shared" ref="BV574:BV577" si="6498">IFERROR(IF(($R574-BU574)&gt;=0,0,IF(($S574-BT574)&lt;0,0,IF(AND(($S574-BU574)&gt;0,(BT574-$R574)&gt;0),$V574/365*(BU574-BT574+1),IF(AND(($S574-BU574)&lt;=0,(BT574-$R574)&gt;0),$V574/365*($S574-BT574+1),$V574/365*(BU574-$R574+1))))),0)</f>
        <v>0</v>
      </c>
      <c r="BW574" s="163">
        <f t="shared" ref="BW574:BW577" si="6499">BU574+1</f>
        <v>46174</v>
      </c>
      <c r="BX574" s="163">
        <f t="shared" ref="BX574:BX577" si="6500">BW574+29</f>
        <v>46203</v>
      </c>
      <c r="BY574" s="167">
        <f t="shared" ref="BY574:BY577" si="6501">IFERROR(IF(($R574-BX574)&gt;=0,0,IF(($S574-BW574)&lt;0,0,IF(AND(($S574-BX574)&gt;0,(BW574-$R574)&gt;0),$V574/365*(BX574-BW574+1),IF(AND(($S574-BX574)&lt;=0,(BW574-$R574)&gt;0),$V574/365*($S574-BW574+1),$V574/365*(BX574-$R574+1))))),0)</f>
        <v>0</v>
      </c>
      <c r="BZ574" s="163">
        <f t="shared" ref="BZ574:BZ577" si="6502">BX574+1</f>
        <v>46204</v>
      </c>
      <c r="CA574" s="163">
        <f t="shared" ref="CA574:CA577" si="6503">BZ574+30</f>
        <v>46234</v>
      </c>
      <c r="CB574" s="167">
        <f t="shared" ref="CB574:CB577" si="6504">IFERROR(IF(($R574-CA574)&gt;=0,0,IF(($S574-BZ574)&lt;0,0,IF(AND(($S574-CA574)&gt;0,(BZ574-$R574)&gt;0),$V574/365*(CA574-BZ574+1),IF(AND(($S574-CA574)&lt;=0,(BZ574-$R574)&gt;0),$V574/365*($S574-BZ574+1),$V574/365*(CA574-$R574+1))))),0)</f>
        <v>0</v>
      </c>
      <c r="CC574" s="163">
        <f t="shared" ref="CC574:CC577" si="6505">CA574+1</f>
        <v>46235</v>
      </c>
      <c r="CD574" s="163">
        <f t="shared" ref="CD574:CD577" si="6506">CC574+30</f>
        <v>46265</v>
      </c>
      <c r="CE574" s="167">
        <f t="shared" ref="CE574:CE577" si="6507">IFERROR(IF(($R574-CD574)&gt;=0,0,IF(($S574-CC574)&lt;0,0,IF(AND(($S574-CD574)&gt;0,(CC574-$R574)&gt;0),$V574/365*(CD574-CC574+1),IF(AND(($S574-CD574)&lt;=0,(CC574-$R574)&gt;0),$V574/365*($S574-CC574+1),$V574/365*(CD574-$R574+1))))),0)</f>
        <v>0</v>
      </c>
      <c r="CF574" s="163">
        <f t="shared" ref="CF574:CF577" si="6508">CD574+1</f>
        <v>46266</v>
      </c>
      <c r="CG574" s="163">
        <f t="shared" ref="CG574:CG577" si="6509">CF574+29</f>
        <v>46295</v>
      </c>
      <c r="CH574" s="167">
        <f t="shared" ref="CH574:CH577" si="6510">IFERROR(IF(($R574-CG574)&gt;=0,0,IF(($S574-CF574)&lt;0,0,IF(AND(($S574-CG574)&gt;0,(CF574-$R574)&gt;0),$V574/365*(CG574-CF574+1),IF(AND(($S574-CG574)&lt;=0,(CF574-$R574)&gt;0),$V574/365*($S574-CF574+1),$V574/365*(CG574-$R574+1))))),0)</f>
        <v>0</v>
      </c>
      <c r="CI574" s="163">
        <f t="shared" ref="CI574:CI577" si="6511">CG574+1</f>
        <v>46296</v>
      </c>
      <c r="CJ574" s="163">
        <f t="shared" ref="CJ574:CJ577" si="6512">CI574+30</f>
        <v>46326</v>
      </c>
      <c r="CK574" s="167">
        <f t="shared" ref="CK574:CK577" si="6513">IFERROR(IF(($R574-CJ574)&gt;=0,0,IF(($S574-CI574)&lt;0,0,IF(AND(($S574-CJ574)&gt;0,(CI574-$R574)&gt;0),$V574/365*(CJ574-CI574+1),IF(AND(($S574-CJ574)&lt;=0,(CI574-$R574)&gt;0),$V574/365*($S574-CI574+1),$V574/365*(CJ574-$R574+1))))),0)</f>
        <v>0</v>
      </c>
      <c r="CL574" s="163">
        <f t="shared" ref="CL574:CL577" si="6514">CJ574+1</f>
        <v>46327</v>
      </c>
      <c r="CM574" s="163">
        <f t="shared" ref="CM574:CM577" si="6515">CL574+29</f>
        <v>46356</v>
      </c>
      <c r="CN574" s="167">
        <f t="shared" ref="CN574:CN577" si="6516">IFERROR(IF(($R574-CM574)&gt;=0,0,IF(($S574-CL574)&lt;0,0,IF(AND(($S574-CM574)&gt;0,(CL574-$R574)&gt;0),$V574/365*(CM574-CL574+1),IF(AND(($S574-CM574)&lt;=0,(CL574-$R574)&gt;0),$V574/365*($S574-CL574+1),$V574/365*(CM574-$R574+1))))),0)</f>
        <v>0</v>
      </c>
      <c r="CO574" s="163">
        <f t="shared" ref="CO574:CO577" si="6517">CM574+1</f>
        <v>46357</v>
      </c>
      <c r="CP574" s="163">
        <f t="shared" ref="CP574:CP577" si="6518">CO574+30</f>
        <v>46387</v>
      </c>
      <c r="CQ574" s="167">
        <f t="shared" ref="CQ574:CQ577" si="6519">IFERROR(IF(($R574-CP574)&gt;=0,0,IF(($S574-CO574)&lt;0,0,IF(AND(($S574-CP574)&gt;0,(CO574-$R574)&gt;0),$V574/365*(CP574-CO574+1),IF(AND(($S574-CP574)&lt;=0,(CO574-$R574)&gt;0),$V574/365*($S574-CO574+1),$V574/365*(CP574-$R574+1))))),0)</f>
        <v>0</v>
      </c>
    </row>
    <row r="575" s="89" customFormat="1" ht="24" customHeight="1" outlineLevel="2" spans="1:95">
      <c r="A575" s="128"/>
      <c r="B575" s="129"/>
      <c r="C575" s="130"/>
      <c r="D575" s="128"/>
      <c r="E575" s="129"/>
      <c r="F575" s="129"/>
      <c r="G575" s="129"/>
      <c r="H575" s="131"/>
      <c r="I575" s="131"/>
      <c r="J575" s="131">
        <f t="shared" si="6007"/>
        <v>0</v>
      </c>
      <c r="K575" s="131">
        <f t="shared" ref="K575:K577" si="6520">K574+1</f>
        <v>2</v>
      </c>
      <c r="L575" s="156"/>
      <c r="M575" s="157">
        <f>IFERROR(VLOOKUP($L575,'2-2 引出数据_合同数据仓库'!$B$5:$BP$200,3,FALSE),0)</f>
        <v>0</v>
      </c>
      <c r="N575" s="131"/>
      <c r="O575" s="157">
        <f>IFERROR(VLOOKUP((LEFT(VLOOKUP($L575,'2-2 引出数据_合同数据仓库'!$B$5:$BP$200,64,FALSE),15)&amp;(RIGHT(VLOOKUP($L575,'2-2 引出数据_合同数据仓库'!$B$5:$BP$200,64,FALSE),4)+1)),'2-2 引出数据_合同数据仓库'!$B$5:$BP$200,3,FALSE),0)</f>
        <v>0</v>
      </c>
      <c r="P575" s="131"/>
      <c r="Q575" s="131">
        <f>IFERROR(VLOOKUP($L575,'2-2 引出数据_合同数据仓库'!$B$5:$BP$200,28,FALSE),0)</f>
        <v>0</v>
      </c>
      <c r="R575" s="131">
        <f>IFERROR(VLOOKUP($L575,'2-2 引出数据_合同数据仓库'!$B$5:$BP$200,29,FALSE),0)</f>
        <v>0</v>
      </c>
      <c r="S575" s="131">
        <f>IFERROR(VLOOKUP($L575,'2-2 引出数据_合同数据仓库'!$B$5:$BP$200,4,FALSE),0)</f>
        <v>0</v>
      </c>
      <c r="T575" s="131"/>
      <c r="U575" s="131">
        <f>IFERROR(VLOOKUP($L575,'2-2 引出数据_合同数据仓库'!$B$5:$BP$200,15,FALSE),0)</f>
        <v>0</v>
      </c>
      <c r="V575" s="131">
        <f t="shared" si="6449"/>
        <v>0</v>
      </c>
      <c r="W575" s="131"/>
      <c r="X575" s="163">
        <v>45658</v>
      </c>
      <c r="Y575" s="163">
        <f t="shared" si="6450"/>
        <v>45688</v>
      </c>
      <c r="Z575" s="167">
        <f t="shared" si="6451"/>
        <v>0</v>
      </c>
      <c r="AA575" s="163">
        <f t="shared" si="6452"/>
        <v>45689</v>
      </c>
      <c r="AB575" s="163">
        <f t="shared" si="6453"/>
        <v>45716</v>
      </c>
      <c r="AC575" s="167">
        <f t="shared" si="6454"/>
        <v>0</v>
      </c>
      <c r="AD575" s="163">
        <f t="shared" si="6455"/>
        <v>45717</v>
      </c>
      <c r="AE575" s="163">
        <f t="shared" si="6456"/>
        <v>45747</v>
      </c>
      <c r="AF575" s="167">
        <f t="shared" si="6457"/>
        <v>0</v>
      </c>
      <c r="AG575" s="163">
        <f t="shared" si="6458"/>
        <v>45748</v>
      </c>
      <c r="AH575" s="163">
        <f t="shared" si="6459"/>
        <v>45777</v>
      </c>
      <c r="AI575" s="167">
        <f t="shared" si="6460"/>
        <v>0</v>
      </c>
      <c r="AJ575" s="163">
        <f t="shared" si="6461"/>
        <v>45778</v>
      </c>
      <c r="AK575" s="163">
        <f t="shared" si="6462"/>
        <v>45808</v>
      </c>
      <c r="AL575" s="167">
        <f t="shared" si="6463"/>
        <v>0</v>
      </c>
      <c r="AM575" s="163">
        <f t="shared" si="6464"/>
        <v>45809</v>
      </c>
      <c r="AN575" s="163">
        <f t="shared" si="6465"/>
        <v>45838</v>
      </c>
      <c r="AO575" s="167">
        <f t="shared" si="6466"/>
        <v>0</v>
      </c>
      <c r="AP575" s="163">
        <f t="shared" si="6467"/>
        <v>45839</v>
      </c>
      <c r="AQ575" s="163">
        <f t="shared" si="6468"/>
        <v>45869</v>
      </c>
      <c r="AR575" s="167">
        <f t="shared" si="6469"/>
        <v>0</v>
      </c>
      <c r="AS575" s="163">
        <f t="shared" si="6470"/>
        <v>45870</v>
      </c>
      <c r="AT575" s="163">
        <f t="shared" si="6471"/>
        <v>45900</v>
      </c>
      <c r="AU575" s="167">
        <f t="shared" si="6472"/>
        <v>0</v>
      </c>
      <c r="AV575" s="163">
        <f t="shared" si="6473"/>
        <v>45901</v>
      </c>
      <c r="AW575" s="163">
        <f t="shared" si="6474"/>
        <v>45930</v>
      </c>
      <c r="AX575" s="167">
        <f t="shared" si="6475"/>
        <v>0</v>
      </c>
      <c r="AY575" s="163">
        <f t="shared" si="6476"/>
        <v>45931</v>
      </c>
      <c r="AZ575" s="163">
        <f t="shared" si="6477"/>
        <v>45961</v>
      </c>
      <c r="BA575" s="167">
        <f t="shared" si="6478"/>
        <v>0</v>
      </c>
      <c r="BB575" s="163">
        <f t="shared" si="6479"/>
        <v>45962</v>
      </c>
      <c r="BC575" s="163">
        <f t="shared" si="6480"/>
        <v>45991</v>
      </c>
      <c r="BD575" s="167">
        <f t="shared" si="6481"/>
        <v>0</v>
      </c>
      <c r="BE575" s="163">
        <f t="shared" si="6482"/>
        <v>45992</v>
      </c>
      <c r="BF575" s="163">
        <f t="shared" si="6483"/>
        <v>46022</v>
      </c>
      <c r="BG575" s="167">
        <f t="shared" si="6484"/>
        <v>0</v>
      </c>
      <c r="BH575" s="163">
        <v>46023</v>
      </c>
      <c r="BI575" s="163">
        <f t="shared" si="6485"/>
        <v>46053</v>
      </c>
      <c r="BJ575" s="167">
        <f t="shared" si="6486"/>
        <v>0</v>
      </c>
      <c r="BK575" s="163">
        <f t="shared" si="6487"/>
        <v>46054</v>
      </c>
      <c r="BL575" s="163">
        <f t="shared" si="6488"/>
        <v>46081</v>
      </c>
      <c r="BM575" s="167">
        <f t="shared" si="6489"/>
        <v>0</v>
      </c>
      <c r="BN575" s="163">
        <f t="shared" si="6490"/>
        <v>46082</v>
      </c>
      <c r="BO575" s="163">
        <f t="shared" si="6491"/>
        <v>46112</v>
      </c>
      <c r="BP575" s="167">
        <f t="shared" si="6492"/>
        <v>0</v>
      </c>
      <c r="BQ575" s="163">
        <f t="shared" si="6493"/>
        <v>46113</v>
      </c>
      <c r="BR575" s="163">
        <f t="shared" si="6494"/>
        <v>46142</v>
      </c>
      <c r="BS575" s="167">
        <f t="shared" si="6495"/>
        <v>0</v>
      </c>
      <c r="BT575" s="163">
        <f t="shared" si="6496"/>
        <v>46143</v>
      </c>
      <c r="BU575" s="163">
        <f t="shared" si="6497"/>
        <v>46173</v>
      </c>
      <c r="BV575" s="167">
        <f t="shared" si="6498"/>
        <v>0</v>
      </c>
      <c r="BW575" s="163">
        <f t="shared" si="6499"/>
        <v>46174</v>
      </c>
      <c r="BX575" s="163">
        <f t="shared" si="6500"/>
        <v>46203</v>
      </c>
      <c r="BY575" s="167">
        <f t="shared" si="6501"/>
        <v>0</v>
      </c>
      <c r="BZ575" s="163">
        <f t="shared" si="6502"/>
        <v>46204</v>
      </c>
      <c r="CA575" s="163">
        <f t="shared" si="6503"/>
        <v>46234</v>
      </c>
      <c r="CB575" s="167">
        <f t="shared" si="6504"/>
        <v>0</v>
      </c>
      <c r="CC575" s="163">
        <f t="shared" si="6505"/>
        <v>46235</v>
      </c>
      <c r="CD575" s="163">
        <f t="shared" si="6506"/>
        <v>46265</v>
      </c>
      <c r="CE575" s="167">
        <f t="shared" si="6507"/>
        <v>0</v>
      </c>
      <c r="CF575" s="163">
        <f t="shared" si="6508"/>
        <v>46266</v>
      </c>
      <c r="CG575" s="163">
        <f t="shared" si="6509"/>
        <v>46295</v>
      </c>
      <c r="CH575" s="167">
        <f t="shared" si="6510"/>
        <v>0</v>
      </c>
      <c r="CI575" s="163">
        <f t="shared" si="6511"/>
        <v>46296</v>
      </c>
      <c r="CJ575" s="163">
        <f t="shared" si="6512"/>
        <v>46326</v>
      </c>
      <c r="CK575" s="167">
        <f t="shared" si="6513"/>
        <v>0</v>
      </c>
      <c r="CL575" s="163">
        <f t="shared" si="6514"/>
        <v>46327</v>
      </c>
      <c r="CM575" s="163">
        <f t="shared" si="6515"/>
        <v>46356</v>
      </c>
      <c r="CN575" s="167">
        <f t="shared" si="6516"/>
        <v>0</v>
      </c>
      <c r="CO575" s="163">
        <f t="shared" si="6517"/>
        <v>46357</v>
      </c>
      <c r="CP575" s="163">
        <f t="shared" si="6518"/>
        <v>46387</v>
      </c>
      <c r="CQ575" s="167">
        <f t="shared" si="6519"/>
        <v>0</v>
      </c>
    </row>
    <row r="576" s="89" customFormat="1" ht="24" customHeight="1" outlineLevel="2" spans="1:95">
      <c r="A576" s="128"/>
      <c r="B576" s="129"/>
      <c r="C576" s="130"/>
      <c r="D576" s="128"/>
      <c r="E576" s="129"/>
      <c r="F576" s="129"/>
      <c r="G576" s="129"/>
      <c r="H576" s="131"/>
      <c r="I576" s="131"/>
      <c r="J576" s="131">
        <f t="shared" si="6007"/>
        <v>0</v>
      </c>
      <c r="K576" s="131">
        <f t="shared" si="6520"/>
        <v>3</v>
      </c>
      <c r="L576" s="156"/>
      <c r="M576" s="157">
        <f>IFERROR(VLOOKUP($L576,'2-2 引出数据_合同数据仓库'!$B$5:$BP$200,3,FALSE),0)</f>
        <v>0</v>
      </c>
      <c r="N576" s="131"/>
      <c r="O576" s="157">
        <f>IFERROR(VLOOKUP((LEFT(VLOOKUP($L576,'2-2 引出数据_合同数据仓库'!$B$5:$BP$200,64,FALSE),15)&amp;(RIGHT(VLOOKUP($L576,'2-2 引出数据_合同数据仓库'!$B$5:$BP$200,64,FALSE),4)+1)),'2-2 引出数据_合同数据仓库'!$B$5:$BP$200,3,FALSE),0)</f>
        <v>0</v>
      </c>
      <c r="P576" s="131"/>
      <c r="Q576" s="131">
        <f>IFERROR(VLOOKUP($L576,'2-2 引出数据_合同数据仓库'!$B$5:$BP$200,28,FALSE),0)</f>
        <v>0</v>
      </c>
      <c r="R576" s="131">
        <f>IFERROR(VLOOKUP($L576,'2-2 引出数据_合同数据仓库'!$B$5:$BP$200,29,FALSE),0)</f>
        <v>0</v>
      </c>
      <c r="S576" s="131">
        <f>IFERROR(VLOOKUP($L576,'2-2 引出数据_合同数据仓库'!$B$5:$BP$200,4,FALSE),0)</f>
        <v>0</v>
      </c>
      <c r="T576" s="131"/>
      <c r="U576" s="131">
        <f>IFERROR(VLOOKUP($L576,'2-2 引出数据_合同数据仓库'!$B$5:$BP$200,15,FALSE),0)</f>
        <v>0</v>
      </c>
      <c r="V576" s="131">
        <f t="shared" si="6449"/>
        <v>0</v>
      </c>
      <c r="W576" s="131"/>
      <c r="X576" s="163">
        <v>45658</v>
      </c>
      <c r="Y576" s="163">
        <f t="shared" si="6450"/>
        <v>45688</v>
      </c>
      <c r="Z576" s="167">
        <f t="shared" si="6451"/>
        <v>0</v>
      </c>
      <c r="AA576" s="163">
        <f t="shared" si="6452"/>
        <v>45689</v>
      </c>
      <c r="AB576" s="163">
        <f t="shared" si="6453"/>
        <v>45716</v>
      </c>
      <c r="AC576" s="167">
        <f t="shared" si="6454"/>
        <v>0</v>
      </c>
      <c r="AD576" s="163">
        <f t="shared" si="6455"/>
        <v>45717</v>
      </c>
      <c r="AE576" s="163">
        <f t="shared" si="6456"/>
        <v>45747</v>
      </c>
      <c r="AF576" s="167">
        <f t="shared" si="6457"/>
        <v>0</v>
      </c>
      <c r="AG576" s="163">
        <f t="shared" si="6458"/>
        <v>45748</v>
      </c>
      <c r="AH576" s="163">
        <f t="shared" si="6459"/>
        <v>45777</v>
      </c>
      <c r="AI576" s="167">
        <f t="shared" si="6460"/>
        <v>0</v>
      </c>
      <c r="AJ576" s="163">
        <f t="shared" si="6461"/>
        <v>45778</v>
      </c>
      <c r="AK576" s="163">
        <f t="shared" si="6462"/>
        <v>45808</v>
      </c>
      <c r="AL576" s="167">
        <f t="shared" si="6463"/>
        <v>0</v>
      </c>
      <c r="AM576" s="163">
        <f t="shared" si="6464"/>
        <v>45809</v>
      </c>
      <c r="AN576" s="163">
        <f t="shared" si="6465"/>
        <v>45838</v>
      </c>
      <c r="AO576" s="167">
        <f t="shared" si="6466"/>
        <v>0</v>
      </c>
      <c r="AP576" s="163">
        <f t="shared" si="6467"/>
        <v>45839</v>
      </c>
      <c r="AQ576" s="163">
        <f t="shared" si="6468"/>
        <v>45869</v>
      </c>
      <c r="AR576" s="167">
        <f t="shared" si="6469"/>
        <v>0</v>
      </c>
      <c r="AS576" s="163">
        <f t="shared" si="6470"/>
        <v>45870</v>
      </c>
      <c r="AT576" s="163">
        <f t="shared" si="6471"/>
        <v>45900</v>
      </c>
      <c r="AU576" s="167">
        <f t="shared" si="6472"/>
        <v>0</v>
      </c>
      <c r="AV576" s="163">
        <f t="shared" si="6473"/>
        <v>45901</v>
      </c>
      <c r="AW576" s="163">
        <f t="shared" si="6474"/>
        <v>45930</v>
      </c>
      <c r="AX576" s="167">
        <f t="shared" si="6475"/>
        <v>0</v>
      </c>
      <c r="AY576" s="163">
        <f t="shared" si="6476"/>
        <v>45931</v>
      </c>
      <c r="AZ576" s="163">
        <f t="shared" si="6477"/>
        <v>45961</v>
      </c>
      <c r="BA576" s="167">
        <f t="shared" si="6478"/>
        <v>0</v>
      </c>
      <c r="BB576" s="163">
        <f t="shared" si="6479"/>
        <v>45962</v>
      </c>
      <c r="BC576" s="163">
        <f t="shared" si="6480"/>
        <v>45991</v>
      </c>
      <c r="BD576" s="167">
        <f t="shared" si="6481"/>
        <v>0</v>
      </c>
      <c r="BE576" s="163">
        <f t="shared" si="6482"/>
        <v>45992</v>
      </c>
      <c r="BF576" s="163">
        <f t="shared" si="6483"/>
        <v>46022</v>
      </c>
      <c r="BG576" s="167">
        <f t="shared" si="6484"/>
        <v>0</v>
      </c>
      <c r="BH576" s="163">
        <v>46023</v>
      </c>
      <c r="BI576" s="163">
        <f t="shared" si="6485"/>
        <v>46053</v>
      </c>
      <c r="BJ576" s="167">
        <f t="shared" si="6486"/>
        <v>0</v>
      </c>
      <c r="BK576" s="163">
        <f t="shared" si="6487"/>
        <v>46054</v>
      </c>
      <c r="BL576" s="163">
        <f t="shared" si="6488"/>
        <v>46081</v>
      </c>
      <c r="BM576" s="167">
        <f t="shared" si="6489"/>
        <v>0</v>
      </c>
      <c r="BN576" s="163">
        <f t="shared" si="6490"/>
        <v>46082</v>
      </c>
      <c r="BO576" s="163">
        <f t="shared" si="6491"/>
        <v>46112</v>
      </c>
      <c r="BP576" s="167">
        <f t="shared" si="6492"/>
        <v>0</v>
      </c>
      <c r="BQ576" s="163">
        <f t="shared" si="6493"/>
        <v>46113</v>
      </c>
      <c r="BR576" s="163">
        <f t="shared" si="6494"/>
        <v>46142</v>
      </c>
      <c r="BS576" s="167">
        <f t="shared" si="6495"/>
        <v>0</v>
      </c>
      <c r="BT576" s="163">
        <f t="shared" si="6496"/>
        <v>46143</v>
      </c>
      <c r="BU576" s="163">
        <f t="shared" si="6497"/>
        <v>46173</v>
      </c>
      <c r="BV576" s="167">
        <f t="shared" si="6498"/>
        <v>0</v>
      </c>
      <c r="BW576" s="163">
        <f t="shared" si="6499"/>
        <v>46174</v>
      </c>
      <c r="BX576" s="163">
        <f t="shared" si="6500"/>
        <v>46203</v>
      </c>
      <c r="BY576" s="167">
        <f t="shared" si="6501"/>
        <v>0</v>
      </c>
      <c r="BZ576" s="163">
        <f t="shared" si="6502"/>
        <v>46204</v>
      </c>
      <c r="CA576" s="163">
        <f t="shared" si="6503"/>
        <v>46234</v>
      </c>
      <c r="CB576" s="167">
        <f t="shared" si="6504"/>
        <v>0</v>
      </c>
      <c r="CC576" s="163">
        <f t="shared" si="6505"/>
        <v>46235</v>
      </c>
      <c r="CD576" s="163">
        <f t="shared" si="6506"/>
        <v>46265</v>
      </c>
      <c r="CE576" s="167">
        <f t="shared" si="6507"/>
        <v>0</v>
      </c>
      <c r="CF576" s="163">
        <f t="shared" si="6508"/>
        <v>46266</v>
      </c>
      <c r="CG576" s="163">
        <f t="shared" si="6509"/>
        <v>46295</v>
      </c>
      <c r="CH576" s="167">
        <f t="shared" si="6510"/>
        <v>0</v>
      </c>
      <c r="CI576" s="163">
        <f t="shared" si="6511"/>
        <v>46296</v>
      </c>
      <c r="CJ576" s="163">
        <f t="shared" si="6512"/>
        <v>46326</v>
      </c>
      <c r="CK576" s="167">
        <f t="shared" si="6513"/>
        <v>0</v>
      </c>
      <c r="CL576" s="163">
        <f t="shared" si="6514"/>
        <v>46327</v>
      </c>
      <c r="CM576" s="163">
        <f t="shared" si="6515"/>
        <v>46356</v>
      </c>
      <c r="CN576" s="167">
        <f t="shared" si="6516"/>
        <v>0</v>
      </c>
      <c r="CO576" s="163">
        <f t="shared" si="6517"/>
        <v>46357</v>
      </c>
      <c r="CP576" s="163">
        <f t="shared" si="6518"/>
        <v>46387</v>
      </c>
      <c r="CQ576" s="167">
        <f t="shared" si="6519"/>
        <v>0</v>
      </c>
    </row>
    <row r="577" s="89" customFormat="1" ht="24" customHeight="1" outlineLevel="2" collapsed="1" spans="1:95">
      <c r="A577" s="128"/>
      <c r="B577" s="129"/>
      <c r="C577" s="130"/>
      <c r="D577" s="128"/>
      <c r="E577" s="129"/>
      <c r="F577" s="129"/>
      <c r="G577" s="129"/>
      <c r="H577" s="131"/>
      <c r="I577" s="131"/>
      <c r="J577" s="131">
        <f t="shared" si="6007"/>
        <v>0</v>
      </c>
      <c r="K577" s="131">
        <f t="shared" si="6520"/>
        <v>4</v>
      </c>
      <c r="L577" s="156"/>
      <c r="M577" s="157">
        <f>IFERROR(VLOOKUP($L577,'2-2 引出数据_合同数据仓库'!$B$5:$BP$200,3,FALSE),0)</f>
        <v>0</v>
      </c>
      <c r="N577" s="131"/>
      <c r="O577" s="157">
        <f>IFERROR(VLOOKUP((LEFT(VLOOKUP($L577,'2-2 引出数据_合同数据仓库'!$B$5:$BP$200,64,FALSE),15)&amp;(RIGHT(VLOOKUP($L577,'2-2 引出数据_合同数据仓库'!$B$5:$BP$200,64,FALSE),4)+1)),'2-2 引出数据_合同数据仓库'!$B$5:$BP$200,3,FALSE),0)</f>
        <v>0</v>
      </c>
      <c r="P577" s="131"/>
      <c r="Q577" s="131">
        <f>IFERROR(VLOOKUP($L577,'2-2 引出数据_合同数据仓库'!$B$5:$BP$200,28,FALSE),0)</f>
        <v>0</v>
      </c>
      <c r="R577" s="131">
        <f>IFERROR(VLOOKUP($L577,'2-2 引出数据_合同数据仓库'!$B$5:$BP$200,29,FALSE),0)</f>
        <v>0</v>
      </c>
      <c r="S577" s="131">
        <f>IFERROR(VLOOKUP($L577,'2-2 引出数据_合同数据仓库'!$B$5:$BP$200,4,FALSE),0)</f>
        <v>0</v>
      </c>
      <c r="T577" s="131"/>
      <c r="U577" s="131">
        <f>IFERROR(VLOOKUP($L577,'2-2 引出数据_合同数据仓库'!$B$5:$BP$200,15,FALSE),0)</f>
        <v>0</v>
      </c>
      <c r="V577" s="131">
        <f t="shared" si="6449"/>
        <v>0</v>
      </c>
      <c r="W577" s="131"/>
      <c r="X577" s="163">
        <v>45658</v>
      </c>
      <c r="Y577" s="163">
        <f t="shared" si="6450"/>
        <v>45688</v>
      </c>
      <c r="Z577" s="167">
        <f t="shared" si="6451"/>
        <v>0</v>
      </c>
      <c r="AA577" s="163">
        <f t="shared" si="6452"/>
        <v>45689</v>
      </c>
      <c r="AB577" s="163">
        <f t="shared" si="6453"/>
        <v>45716</v>
      </c>
      <c r="AC577" s="167">
        <f t="shared" si="6454"/>
        <v>0</v>
      </c>
      <c r="AD577" s="163">
        <f t="shared" si="6455"/>
        <v>45717</v>
      </c>
      <c r="AE577" s="163">
        <f t="shared" si="6456"/>
        <v>45747</v>
      </c>
      <c r="AF577" s="167">
        <f t="shared" si="6457"/>
        <v>0</v>
      </c>
      <c r="AG577" s="163">
        <f t="shared" si="6458"/>
        <v>45748</v>
      </c>
      <c r="AH577" s="163">
        <f t="shared" si="6459"/>
        <v>45777</v>
      </c>
      <c r="AI577" s="167">
        <f t="shared" si="6460"/>
        <v>0</v>
      </c>
      <c r="AJ577" s="163">
        <f t="shared" si="6461"/>
        <v>45778</v>
      </c>
      <c r="AK577" s="163">
        <f t="shared" si="6462"/>
        <v>45808</v>
      </c>
      <c r="AL577" s="167">
        <f t="shared" si="6463"/>
        <v>0</v>
      </c>
      <c r="AM577" s="163">
        <f t="shared" si="6464"/>
        <v>45809</v>
      </c>
      <c r="AN577" s="163">
        <f t="shared" si="6465"/>
        <v>45838</v>
      </c>
      <c r="AO577" s="167">
        <f t="shared" si="6466"/>
        <v>0</v>
      </c>
      <c r="AP577" s="163">
        <f t="shared" si="6467"/>
        <v>45839</v>
      </c>
      <c r="AQ577" s="163">
        <f t="shared" si="6468"/>
        <v>45869</v>
      </c>
      <c r="AR577" s="167">
        <f t="shared" si="6469"/>
        <v>0</v>
      </c>
      <c r="AS577" s="163">
        <f t="shared" si="6470"/>
        <v>45870</v>
      </c>
      <c r="AT577" s="163">
        <f t="shared" si="6471"/>
        <v>45900</v>
      </c>
      <c r="AU577" s="167">
        <f t="shared" si="6472"/>
        <v>0</v>
      </c>
      <c r="AV577" s="163">
        <f t="shared" si="6473"/>
        <v>45901</v>
      </c>
      <c r="AW577" s="163">
        <f t="shared" si="6474"/>
        <v>45930</v>
      </c>
      <c r="AX577" s="167">
        <f t="shared" si="6475"/>
        <v>0</v>
      </c>
      <c r="AY577" s="163">
        <f t="shared" si="6476"/>
        <v>45931</v>
      </c>
      <c r="AZ577" s="163">
        <f t="shared" si="6477"/>
        <v>45961</v>
      </c>
      <c r="BA577" s="167">
        <f t="shared" si="6478"/>
        <v>0</v>
      </c>
      <c r="BB577" s="163">
        <f t="shared" si="6479"/>
        <v>45962</v>
      </c>
      <c r="BC577" s="163">
        <f t="shared" si="6480"/>
        <v>45991</v>
      </c>
      <c r="BD577" s="167">
        <f t="shared" si="6481"/>
        <v>0</v>
      </c>
      <c r="BE577" s="163">
        <f t="shared" si="6482"/>
        <v>45992</v>
      </c>
      <c r="BF577" s="163">
        <f t="shared" si="6483"/>
        <v>46022</v>
      </c>
      <c r="BG577" s="167">
        <f t="shared" si="6484"/>
        <v>0</v>
      </c>
      <c r="BH577" s="163">
        <v>46023</v>
      </c>
      <c r="BI577" s="163">
        <f t="shared" si="6485"/>
        <v>46053</v>
      </c>
      <c r="BJ577" s="167">
        <f t="shared" si="6486"/>
        <v>0</v>
      </c>
      <c r="BK577" s="163">
        <f t="shared" si="6487"/>
        <v>46054</v>
      </c>
      <c r="BL577" s="163">
        <f t="shared" si="6488"/>
        <v>46081</v>
      </c>
      <c r="BM577" s="167">
        <f t="shared" si="6489"/>
        <v>0</v>
      </c>
      <c r="BN577" s="163">
        <f t="shared" si="6490"/>
        <v>46082</v>
      </c>
      <c r="BO577" s="163">
        <f t="shared" si="6491"/>
        <v>46112</v>
      </c>
      <c r="BP577" s="167">
        <f t="shared" si="6492"/>
        <v>0</v>
      </c>
      <c r="BQ577" s="163">
        <f t="shared" si="6493"/>
        <v>46113</v>
      </c>
      <c r="BR577" s="163">
        <f t="shared" si="6494"/>
        <v>46142</v>
      </c>
      <c r="BS577" s="167">
        <f t="shared" si="6495"/>
        <v>0</v>
      </c>
      <c r="BT577" s="163">
        <f t="shared" si="6496"/>
        <v>46143</v>
      </c>
      <c r="BU577" s="163">
        <f t="shared" si="6497"/>
        <v>46173</v>
      </c>
      <c r="BV577" s="167">
        <f t="shared" si="6498"/>
        <v>0</v>
      </c>
      <c r="BW577" s="163">
        <f t="shared" si="6499"/>
        <v>46174</v>
      </c>
      <c r="BX577" s="163">
        <f t="shared" si="6500"/>
        <v>46203</v>
      </c>
      <c r="BY577" s="167">
        <f t="shared" si="6501"/>
        <v>0</v>
      </c>
      <c r="BZ577" s="163">
        <f t="shared" si="6502"/>
        <v>46204</v>
      </c>
      <c r="CA577" s="163">
        <f t="shared" si="6503"/>
        <v>46234</v>
      </c>
      <c r="CB577" s="167">
        <f t="shared" si="6504"/>
        <v>0</v>
      </c>
      <c r="CC577" s="163">
        <f t="shared" si="6505"/>
        <v>46235</v>
      </c>
      <c r="CD577" s="163">
        <f t="shared" si="6506"/>
        <v>46265</v>
      </c>
      <c r="CE577" s="167">
        <f t="shared" si="6507"/>
        <v>0</v>
      </c>
      <c r="CF577" s="163">
        <f t="shared" si="6508"/>
        <v>46266</v>
      </c>
      <c r="CG577" s="163">
        <f t="shared" si="6509"/>
        <v>46295</v>
      </c>
      <c r="CH577" s="167">
        <f t="shared" si="6510"/>
        <v>0</v>
      </c>
      <c r="CI577" s="163">
        <f t="shared" si="6511"/>
        <v>46296</v>
      </c>
      <c r="CJ577" s="163">
        <f t="shared" si="6512"/>
        <v>46326</v>
      </c>
      <c r="CK577" s="167">
        <f t="shared" si="6513"/>
        <v>0</v>
      </c>
      <c r="CL577" s="163">
        <f t="shared" si="6514"/>
        <v>46327</v>
      </c>
      <c r="CM577" s="163">
        <f t="shared" si="6515"/>
        <v>46356</v>
      </c>
      <c r="CN577" s="167">
        <f t="shared" si="6516"/>
        <v>0</v>
      </c>
      <c r="CO577" s="163">
        <f t="shared" si="6517"/>
        <v>46357</v>
      </c>
      <c r="CP577" s="163">
        <f t="shared" si="6518"/>
        <v>46387</v>
      </c>
      <c r="CQ577" s="167">
        <f t="shared" si="6519"/>
        <v>0</v>
      </c>
    </row>
    <row r="578" s="89" customFormat="1" ht="24" hidden="1" customHeight="1" outlineLevel="4" spans="1:95">
      <c r="A578" s="132" t="s">
        <v>2813</v>
      </c>
      <c r="B578" s="133"/>
      <c r="C578" s="133"/>
      <c r="D578" s="133"/>
      <c r="E578" s="133"/>
      <c r="F578" s="133"/>
      <c r="G578" s="134"/>
      <c r="H578" s="135"/>
      <c r="I578" s="135"/>
      <c r="J578" s="135"/>
      <c r="K578" s="135"/>
      <c r="L578" s="158"/>
      <c r="M578" s="158"/>
      <c r="N578" s="158"/>
      <c r="O578" s="158"/>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c r="CL578" s="135"/>
      <c r="CM578" s="135"/>
      <c r="CN578" s="135"/>
      <c r="CO578" s="135"/>
      <c r="CP578" s="135"/>
      <c r="CQ578" s="135"/>
    </row>
    <row r="579" ht="24" customHeight="1" outlineLevel="1" spans="1:95">
      <c r="A579" s="14"/>
      <c r="B579" s="118" t="s">
        <v>792</v>
      </c>
      <c r="C579" s="119" t="s">
        <v>2274</v>
      </c>
      <c r="D579" s="14" t="s">
        <v>2275</v>
      </c>
      <c r="E579" s="118"/>
      <c r="F579" s="118"/>
      <c r="G579" s="118"/>
      <c r="H579" s="120">
        <f>X579+AA579+AD579+AG579+AJ579+AM579+AP579+AS579+AV579+AY579+BB579+BE579</f>
        <v>0</v>
      </c>
      <c r="I579" s="120">
        <f>Y579+AB579+AE579+AH579+AK579+AN579+AQ579+AT579+AW579+AZ579+BC579+BF579</f>
        <v>0</v>
      </c>
      <c r="J579" s="120">
        <f t="shared" si="6007"/>
        <v>0</v>
      </c>
      <c r="K579" s="120"/>
      <c r="L579" s="153"/>
      <c r="M579" s="153"/>
      <c r="N579" s="153"/>
      <c r="O579" s="153"/>
      <c r="P579" s="120"/>
      <c r="Q579" s="120"/>
      <c r="R579" s="120"/>
      <c r="S579" s="120"/>
      <c r="T579" s="120"/>
      <c r="U579" s="120"/>
      <c r="V579" s="120"/>
      <c r="W579" s="120"/>
      <c r="X579" s="120">
        <f>VLOOKUP($C579,'1 预算编制表单'!$C:$BJ,27,FALSE)</f>
        <v>0</v>
      </c>
      <c r="Y579" s="120">
        <f>X579-Z579</f>
        <v>0</v>
      </c>
      <c r="Z579" s="120">
        <f>SUM(Z580:Z584)</f>
        <v>0</v>
      </c>
      <c r="AA579" s="120">
        <f>VLOOKUP($C579,'1 预算编制表单'!$C:$BJ,30,FALSE)</f>
        <v>0</v>
      </c>
      <c r="AB579" s="120">
        <f>AA579-AC579</f>
        <v>0</v>
      </c>
      <c r="AC579" s="120">
        <f>SUM(AC580:AC584)</f>
        <v>0</v>
      </c>
      <c r="AD579" s="120">
        <f>VLOOKUP($C579,'1 预算编制表单'!$C:$BJ,33,FALSE)</f>
        <v>0</v>
      </c>
      <c r="AE579" s="120">
        <f>AD579-AF579</f>
        <v>0</v>
      </c>
      <c r="AF579" s="120">
        <f>SUM(AF580:AF584)</f>
        <v>0</v>
      </c>
      <c r="AG579" s="120">
        <f>VLOOKUP($C579,'1 预算编制表单'!$C:$BJ,36,FALSE)</f>
        <v>0</v>
      </c>
      <c r="AH579" s="120">
        <f>AG579-AI579</f>
        <v>0</v>
      </c>
      <c r="AI579" s="120">
        <f>SUM(AI580:AI584)</f>
        <v>0</v>
      </c>
      <c r="AJ579" s="120">
        <f>VLOOKUP($C579,'1 预算编制表单'!$C:$BJ,39,FALSE)</f>
        <v>0</v>
      </c>
      <c r="AK579" s="120">
        <f>AJ579-AL579</f>
        <v>0</v>
      </c>
      <c r="AL579" s="120">
        <f>SUM(AL580:AL584)</f>
        <v>0</v>
      </c>
      <c r="AM579" s="120">
        <f>VLOOKUP($C579,'1 预算编制表单'!$C:$BJ,42,FALSE)</f>
        <v>0</v>
      </c>
      <c r="AN579" s="120">
        <f>AM579-AO579</f>
        <v>0</v>
      </c>
      <c r="AO579" s="120">
        <f>SUM(AO580:AO584)</f>
        <v>0</v>
      </c>
      <c r="AP579" s="120">
        <f>VLOOKUP($C579,'1 预算编制表单'!$C:$BJ,45,FALSE)</f>
        <v>0</v>
      </c>
      <c r="AQ579" s="120">
        <f>AP579-AR579</f>
        <v>0</v>
      </c>
      <c r="AR579" s="120">
        <f>SUM(AR580:AR584)</f>
        <v>0</v>
      </c>
      <c r="AS579" s="120">
        <f>VLOOKUP($C579,'1 预算编制表单'!$C:$BJ,48,FALSE)</f>
        <v>0</v>
      </c>
      <c r="AT579" s="120">
        <f>AS579-AU579</f>
        <v>0</v>
      </c>
      <c r="AU579" s="120">
        <f>SUM(AU580:AU584)</f>
        <v>0</v>
      </c>
      <c r="AV579" s="120">
        <f>VLOOKUP($C579,'1 预算编制表单'!$C:$BJ,51,FALSE)</f>
        <v>0</v>
      </c>
      <c r="AW579" s="120">
        <f>AV579-AX579</f>
        <v>0</v>
      </c>
      <c r="AX579" s="120">
        <f>SUM(AX580:AX584)</f>
        <v>0</v>
      </c>
      <c r="AY579" s="120">
        <f>VLOOKUP($C579,'1 预算编制表单'!$C:$BJ,54,FALSE)</f>
        <v>0</v>
      </c>
      <c r="AZ579" s="120">
        <f>AY579-BA579</f>
        <v>0</v>
      </c>
      <c r="BA579" s="120">
        <f>SUM(BA580:BA584)</f>
        <v>0</v>
      </c>
      <c r="BB579" s="120">
        <f>VLOOKUP($C579,'1 预算编制表单'!$C:$BJ,57,FALSE)</f>
        <v>0</v>
      </c>
      <c r="BC579" s="120">
        <f>BB579-BD579</f>
        <v>0</v>
      </c>
      <c r="BD579" s="120">
        <f>SUM(BD580:BD584)</f>
        <v>0</v>
      </c>
      <c r="BE579" s="120">
        <f>VLOOKUP($C579,'1 预算编制表单'!$C:$BJ,60,FALSE)</f>
        <v>0</v>
      </c>
      <c r="BF579" s="120">
        <f>BE579-BG579</f>
        <v>0</v>
      </c>
      <c r="BG579" s="120">
        <f>SUM(BG580:BG584)</f>
        <v>0</v>
      </c>
      <c r="BH579" s="120">
        <f>VLOOKUP($C579,'1 预算编制表单'!$C:$BJ,27,FALSE)</f>
        <v>0</v>
      </c>
      <c r="BI579" s="120">
        <f>BH579-BJ579</f>
        <v>0</v>
      </c>
      <c r="BJ579" s="120">
        <f>SUM(BJ580:BJ584)</f>
        <v>0</v>
      </c>
      <c r="BK579" s="120">
        <f>VLOOKUP($C579,'1 预算编制表单'!$C:$BJ,30,FALSE)</f>
        <v>0</v>
      </c>
      <c r="BL579" s="120">
        <f>BK579-BM579</f>
        <v>0</v>
      </c>
      <c r="BM579" s="120">
        <f>SUM(BM580:BM584)</f>
        <v>0</v>
      </c>
      <c r="BN579" s="120">
        <f>VLOOKUP($C579,'1 预算编制表单'!$C:$BJ,33,FALSE)</f>
        <v>0</v>
      </c>
      <c r="BO579" s="120">
        <f>BN579-BP579</f>
        <v>0</v>
      </c>
      <c r="BP579" s="120">
        <f>SUM(BP580:BP584)</f>
        <v>0</v>
      </c>
      <c r="BQ579" s="120">
        <f>VLOOKUP($C579,'1 预算编制表单'!$C:$BJ,36,FALSE)</f>
        <v>0</v>
      </c>
      <c r="BR579" s="120">
        <f>BQ579-BS579</f>
        <v>0</v>
      </c>
      <c r="BS579" s="120">
        <f>SUM(BS580:BS584)</f>
        <v>0</v>
      </c>
      <c r="BT579" s="120">
        <f>VLOOKUP($C579,'1 预算编制表单'!$C:$BJ,39,FALSE)</f>
        <v>0</v>
      </c>
      <c r="BU579" s="120">
        <f>BT579-BV579</f>
        <v>0</v>
      </c>
      <c r="BV579" s="120">
        <f>SUM(BV580:BV584)</f>
        <v>0</v>
      </c>
      <c r="BW579" s="120">
        <f>VLOOKUP($C579,'1 预算编制表单'!$C:$BJ,42,FALSE)</f>
        <v>0</v>
      </c>
      <c r="BX579" s="120">
        <f>BW579-BY579</f>
        <v>0</v>
      </c>
      <c r="BY579" s="120">
        <f>SUM(BY580:BY584)</f>
        <v>0</v>
      </c>
      <c r="BZ579" s="120">
        <f>VLOOKUP($C579,'1 预算编制表单'!$C:$BJ,45,FALSE)</f>
        <v>0</v>
      </c>
      <c r="CA579" s="120">
        <f>BZ579-CB579</f>
        <v>0</v>
      </c>
      <c r="CB579" s="120">
        <f>SUM(CB580:CB584)</f>
        <v>0</v>
      </c>
      <c r="CC579" s="120">
        <f>VLOOKUP($C579,'1 预算编制表单'!$C:$BJ,48,FALSE)</f>
        <v>0</v>
      </c>
      <c r="CD579" s="120">
        <f>CC579-CE579</f>
        <v>0</v>
      </c>
      <c r="CE579" s="120">
        <f>SUM(CE580:CE584)</f>
        <v>0</v>
      </c>
      <c r="CF579" s="120">
        <f>VLOOKUP($C579,'1 预算编制表单'!$C:$BJ,51,FALSE)</f>
        <v>0</v>
      </c>
      <c r="CG579" s="120">
        <f>CF579-CH579</f>
        <v>0</v>
      </c>
      <c r="CH579" s="120">
        <f>SUM(CH580:CH584)</f>
        <v>0</v>
      </c>
      <c r="CI579" s="120">
        <f>VLOOKUP($C579,'1 预算编制表单'!$C:$BJ,54,FALSE)</f>
        <v>0</v>
      </c>
      <c r="CJ579" s="120">
        <f>CI579-CK579</f>
        <v>0</v>
      </c>
      <c r="CK579" s="120">
        <f>SUM(CK580:CK584)</f>
        <v>0</v>
      </c>
      <c r="CL579" s="120">
        <f>VLOOKUP($C579,'1 预算编制表单'!$C:$BJ,57,FALSE)</f>
        <v>0</v>
      </c>
      <c r="CM579" s="120">
        <f>CL579-CN579</f>
        <v>0</v>
      </c>
      <c r="CN579" s="120">
        <f>SUM(CN580:CN584)</f>
        <v>0</v>
      </c>
      <c r="CO579" s="120">
        <f>VLOOKUP($C579,'1 预算编制表单'!$C:$BJ,60,FALSE)</f>
        <v>0</v>
      </c>
      <c r="CP579" s="120">
        <f>CO579-CQ579</f>
        <v>0</v>
      </c>
      <c r="CQ579" s="120">
        <f>SUM(CQ580:CQ584)</f>
        <v>0</v>
      </c>
    </row>
    <row r="580" s="89" customFormat="1" ht="24" customHeight="1" outlineLevel="2" spans="1:95">
      <c r="A580" s="128"/>
      <c r="B580" s="129"/>
      <c r="C580" s="130"/>
      <c r="D580" s="128"/>
      <c r="E580" s="129"/>
      <c r="F580" s="129"/>
      <c r="G580" s="129"/>
      <c r="H580" s="131"/>
      <c r="I580" s="131"/>
      <c r="J580" s="131">
        <f t="shared" si="6007"/>
        <v>0</v>
      </c>
      <c r="K580" s="131">
        <v>1</v>
      </c>
      <c r="L580" s="156"/>
      <c r="M580" s="157">
        <f>IFERROR(VLOOKUP($L580,'2-2 引出数据_合同数据仓库'!$B$5:$BP$200,3,FALSE),0)</f>
        <v>0</v>
      </c>
      <c r="N580" s="131"/>
      <c r="O580" s="157">
        <f>IFERROR(VLOOKUP((LEFT(VLOOKUP($L580,'2-2 引出数据_合同数据仓库'!$B$5:$BP$200,64,FALSE),15)&amp;(RIGHT(VLOOKUP($L580,'2-2 引出数据_合同数据仓库'!$B$5:$BP$200,64,FALSE),4)+1)),'2-2 引出数据_合同数据仓库'!$B$5:$BP$200,3,FALSE),0)</f>
        <v>0</v>
      </c>
      <c r="P580" s="131"/>
      <c r="Q580" s="131">
        <f>IFERROR(VLOOKUP($L580,'2-2 引出数据_合同数据仓库'!$B$5:$BP$200,28,FALSE),0)</f>
        <v>0</v>
      </c>
      <c r="R580" s="131">
        <f>IFERROR(VLOOKUP($L580,'2-2 引出数据_合同数据仓库'!$B$5:$BP$200,29,FALSE),0)</f>
        <v>0</v>
      </c>
      <c r="S580" s="131">
        <f>IFERROR(VLOOKUP($L580,'2-2 引出数据_合同数据仓库'!$B$5:$BP$200,4,FALSE),0)</f>
        <v>0</v>
      </c>
      <c r="T580" s="131"/>
      <c r="U580" s="131">
        <f>IFERROR(VLOOKUP($L580,'2-2 引出数据_合同数据仓库'!$B$5:$BP$200,15,FALSE),0)</f>
        <v>0</v>
      </c>
      <c r="V580" s="131">
        <f t="shared" ref="V580:V583" si="6521">U580/(S580-R580+1)*365</f>
        <v>0</v>
      </c>
      <c r="W580" s="131"/>
      <c r="X580" s="163">
        <v>45658</v>
      </c>
      <c r="Y580" s="163">
        <f t="shared" ref="Y580:Y583" si="6522">X580+30</f>
        <v>45688</v>
      </c>
      <c r="Z580" s="167">
        <f t="shared" ref="Z580:Z583" si="6523">IFERROR(IF(($R580-Y580)&gt;=0,0,IF(($S580-X580)&lt;0,0,IF(AND(($S580-Y580)&gt;0,(X580-$R580)&gt;0),$V580/365*(Y580-X580+1),IF(AND(($S580-Y580)&lt;=0,(X580-$R580)&gt;0),$V580/365*($S580-X580+1),$V580/365*(Y580-$R580+1))))),0)</f>
        <v>0</v>
      </c>
      <c r="AA580" s="163">
        <f t="shared" ref="AA580:AA583" si="6524">Y580+1</f>
        <v>45689</v>
      </c>
      <c r="AB580" s="163">
        <f t="shared" ref="AB580:AB583" si="6525">AA580+27</f>
        <v>45716</v>
      </c>
      <c r="AC580" s="167">
        <f t="shared" ref="AC580:AC583" si="6526">IFERROR(IF(($R580-AB580)&gt;=0,0,IF(($S580-AA580)&lt;0,0,IF(AND(($S580-AB580)&gt;0,(AA580-$R580)&gt;0),$V580/365*(AB580-AA580+1),IF(AND(($S580-AB580)&lt;=0,(AA580-$R580)&gt;0),$V580/365*($S580-AA580+1),$V580/365*(AB580-$R580+1))))),0)</f>
        <v>0</v>
      </c>
      <c r="AD580" s="163">
        <f t="shared" ref="AD580:AD583" si="6527">AB580+1</f>
        <v>45717</v>
      </c>
      <c r="AE580" s="163">
        <f t="shared" ref="AE580:AE583" si="6528">AD580+30</f>
        <v>45747</v>
      </c>
      <c r="AF580" s="167">
        <f t="shared" ref="AF580:AF583" si="6529">IFERROR(IF(($R580-AE580)&gt;=0,0,IF(($S580-AD580)&lt;0,0,IF(AND(($S580-AE580)&gt;0,(AD580-$R580)&gt;0),$V580/365*(AE580-AD580+1),IF(AND(($S580-AE580)&lt;=0,(AD580-$R580)&gt;0),$V580/365*($S580-AD580+1),$V580/365*(AE580-$R580+1))))),0)</f>
        <v>0</v>
      </c>
      <c r="AG580" s="163">
        <f t="shared" ref="AG580:AG583" si="6530">AE580+1</f>
        <v>45748</v>
      </c>
      <c r="AH580" s="163">
        <f t="shared" ref="AH580:AH583" si="6531">AG580+29</f>
        <v>45777</v>
      </c>
      <c r="AI580" s="167">
        <f t="shared" ref="AI580:AI583" si="6532">IFERROR(IF(($R580-AH580)&gt;=0,0,IF(($S580-AG580)&lt;0,0,IF(AND(($S580-AH580)&gt;0,(AG580-$R580)&gt;0),$V580/365*(AH580-AG580+1),IF(AND(($S580-AH580)&lt;=0,(AG580-$R580)&gt;0),$V580/365*($S580-AG580+1),$V580/365*(AH580-$R580+1))))),0)</f>
        <v>0</v>
      </c>
      <c r="AJ580" s="163">
        <f t="shared" ref="AJ580:AJ583" si="6533">AH580+1</f>
        <v>45778</v>
      </c>
      <c r="AK580" s="163">
        <f t="shared" ref="AK580:AK583" si="6534">AJ580+30</f>
        <v>45808</v>
      </c>
      <c r="AL580" s="167">
        <f t="shared" ref="AL580:AL583" si="6535">IFERROR(IF(($R580-AK580)&gt;=0,0,IF(($S580-AJ580)&lt;0,0,IF(AND(($S580-AK580)&gt;0,(AJ580-$R580)&gt;0),$V580/365*(AK580-AJ580+1),IF(AND(($S580-AK580)&lt;=0,(AJ580-$R580)&gt;0),$V580/365*($S580-AJ580+1),$V580/365*(AK580-$R580+1))))),0)</f>
        <v>0</v>
      </c>
      <c r="AM580" s="163">
        <f t="shared" ref="AM580:AM583" si="6536">AK580+1</f>
        <v>45809</v>
      </c>
      <c r="AN580" s="163">
        <f t="shared" ref="AN580:AN583" si="6537">AM580+29</f>
        <v>45838</v>
      </c>
      <c r="AO580" s="167">
        <f t="shared" ref="AO580:AO583" si="6538">IFERROR(IF(($R580-AN580)&gt;=0,0,IF(($S580-AM580)&lt;0,0,IF(AND(($S580-AN580)&gt;0,(AM580-$R580)&gt;0),$V580/365*(AN580-AM580+1),IF(AND(($S580-AN580)&lt;=0,(AM580-$R580)&gt;0),$V580/365*($S580-AM580+1),$V580/365*(AN580-$R580+1))))),0)</f>
        <v>0</v>
      </c>
      <c r="AP580" s="163">
        <f t="shared" ref="AP580:AP583" si="6539">AN580+1</f>
        <v>45839</v>
      </c>
      <c r="AQ580" s="163">
        <f t="shared" ref="AQ580:AQ583" si="6540">AP580+30</f>
        <v>45869</v>
      </c>
      <c r="AR580" s="167">
        <f t="shared" ref="AR580:AR583" si="6541">IFERROR(IF(($R580-AQ580)&gt;=0,0,IF(($S580-AP580)&lt;0,0,IF(AND(($S580-AQ580)&gt;0,(AP580-$R580)&gt;0),$V580/365*(AQ580-AP580+1),IF(AND(($S580-AQ580)&lt;=0,(AP580-$R580)&gt;0),$V580/365*($S580-AP580+1),$V580/365*(AQ580-$R580+1))))),0)</f>
        <v>0</v>
      </c>
      <c r="AS580" s="163">
        <f t="shared" ref="AS580:AS583" si="6542">AQ580+1</f>
        <v>45870</v>
      </c>
      <c r="AT580" s="163">
        <f t="shared" ref="AT580:AT583" si="6543">AS580+30</f>
        <v>45900</v>
      </c>
      <c r="AU580" s="167">
        <f t="shared" ref="AU580:AU583" si="6544">IFERROR(IF(($R580-AT580)&gt;=0,0,IF(($S580-AS580)&lt;0,0,IF(AND(($S580-AT580)&gt;0,(AS580-$R580)&gt;0),$V580/365*(AT580-AS580+1),IF(AND(($S580-AT580)&lt;=0,(AS580-$R580)&gt;0),$V580/365*($S580-AS580+1),$V580/365*(AT580-$R580+1))))),0)</f>
        <v>0</v>
      </c>
      <c r="AV580" s="163">
        <f t="shared" ref="AV580:AV583" si="6545">AT580+1</f>
        <v>45901</v>
      </c>
      <c r="AW580" s="163">
        <f t="shared" ref="AW580:AW583" si="6546">AV580+29</f>
        <v>45930</v>
      </c>
      <c r="AX580" s="167">
        <f t="shared" ref="AX580:AX583" si="6547">IFERROR(IF(($R580-AW580)&gt;=0,0,IF(($S580-AV580)&lt;0,0,IF(AND(($S580-AW580)&gt;0,(AV580-$R580)&gt;0),$V580/365*(AW580-AV580+1),IF(AND(($S580-AW580)&lt;=0,(AV580-$R580)&gt;0),$V580/365*($S580-AV580+1),$V580/365*(AW580-$R580+1))))),0)</f>
        <v>0</v>
      </c>
      <c r="AY580" s="163">
        <f t="shared" ref="AY580:AY583" si="6548">AW580+1</f>
        <v>45931</v>
      </c>
      <c r="AZ580" s="163">
        <f t="shared" ref="AZ580:AZ583" si="6549">AY580+30</f>
        <v>45961</v>
      </c>
      <c r="BA580" s="167">
        <f t="shared" ref="BA580:BA583" si="6550">IFERROR(IF(($R580-AZ580)&gt;=0,0,IF(($S580-AY580)&lt;0,0,IF(AND(($S580-AZ580)&gt;0,(AY580-$R580)&gt;0),$V580/365*(AZ580-AY580+1),IF(AND(($S580-AZ580)&lt;=0,(AY580-$R580)&gt;0),$V580/365*($S580-AY580+1),$V580/365*(AZ580-$R580+1))))),0)</f>
        <v>0</v>
      </c>
      <c r="BB580" s="163">
        <f t="shared" ref="BB580:BB583" si="6551">AZ580+1</f>
        <v>45962</v>
      </c>
      <c r="BC580" s="163">
        <f t="shared" ref="BC580:BC583" si="6552">BB580+29</f>
        <v>45991</v>
      </c>
      <c r="BD580" s="167">
        <f t="shared" ref="BD580:BD583" si="6553">IFERROR(IF(($R580-BC580)&gt;=0,0,IF(($S580-BB580)&lt;0,0,IF(AND(($S580-BC580)&gt;0,(BB580-$R580)&gt;0),$V580/365*(BC580-BB580+1),IF(AND(($S580-BC580)&lt;=0,(BB580-$R580)&gt;0),$V580/365*($S580-BB580+1),$V580/365*(BC580-$R580+1))))),0)</f>
        <v>0</v>
      </c>
      <c r="BE580" s="163">
        <f t="shared" ref="BE580:BE583" si="6554">BC580+1</f>
        <v>45992</v>
      </c>
      <c r="BF580" s="163">
        <f t="shared" ref="BF580:BF583" si="6555">BE580+30</f>
        <v>46022</v>
      </c>
      <c r="BG580" s="167">
        <f t="shared" ref="BG580:BG583" si="6556">IFERROR(IF(($R580-BF580)&gt;=0,0,IF(($S580-BE580)&lt;0,0,IF(AND(($S580-BF580)&gt;0,(BE580-$R580)&gt;0),$V580/365*(BF580-BE580+1),IF(AND(($S580-BF580)&lt;=0,(BE580-$R580)&gt;0),$V580/365*($S580-BE580+1),$V580/365*(BF580-$R580+1))))),0)</f>
        <v>0</v>
      </c>
      <c r="BH580" s="163">
        <v>46023</v>
      </c>
      <c r="BI580" s="163">
        <f t="shared" ref="BI580:BI583" si="6557">BH580+30</f>
        <v>46053</v>
      </c>
      <c r="BJ580" s="167">
        <f t="shared" ref="BJ580:BJ583" si="6558">IFERROR(IF(($R580-BI580)&gt;=0,0,IF(($S580-BH580)&lt;0,0,IF(AND(($S580-BI580)&gt;0,(BH580-$R580)&gt;0),$V580/365*(BI580-BH580+1),IF(AND(($S580-BI580)&lt;=0,(BH580-$R580)&gt;0),$V580/365*($S580-BH580+1),$V580/365*(BI580-$R580+1))))),0)</f>
        <v>0</v>
      </c>
      <c r="BK580" s="163">
        <f t="shared" ref="BK580:BK583" si="6559">BI580+1</f>
        <v>46054</v>
      </c>
      <c r="BL580" s="163">
        <f t="shared" ref="BL580:BL583" si="6560">BK580+27</f>
        <v>46081</v>
      </c>
      <c r="BM580" s="167">
        <f t="shared" ref="BM580:BM583" si="6561">IFERROR(IF(($R580-BL580)&gt;=0,0,IF(($S580-BK580)&lt;0,0,IF(AND(($S580-BL580)&gt;0,(BK580-$R580)&gt;0),$V580/365*(BL580-BK580+1),IF(AND(($S580-BL580)&lt;=0,(BK580-$R580)&gt;0),$V580/365*($S580-BK580+1),$V580/365*(BL580-$R580+1))))),0)</f>
        <v>0</v>
      </c>
      <c r="BN580" s="163">
        <f t="shared" ref="BN580:BN583" si="6562">BL580+1</f>
        <v>46082</v>
      </c>
      <c r="BO580" s="163">
        <f t="shared" ref="BO580:BO583" si="6563">BN580+30</f>
        <v>46112</v>
      </c>
      <c r="BP580" s="167">
        <f t="shared" ref="BP580:BP583" si="6564">IFERROR(IF(($R580-BO580)&gt;=0,0,IF(($S580-BN580)&lt;0,0,IF(AND(($S580-BO580)&gt;0,(BN580-$R580)&gt;0),$V580/365*(BO580-BN580+1),IF(AND(($S580-BO580)&lt;=0,(BN580-$R580)&gt;0),$V580/365*($S580-BN580+1),$V580/365*(BO580-$R580+1))))),0)</f>
        <v>0</v>
      </c>
      <c r="BQ580" s="163">
        <f t="shared" ref="BQ580:BQ583" si="6565">BO580+1</f>
        <v>46113</v>
      </c>
      <c r="BR580" s="163">
        <f t="shared" ref="BR580:BR583" si="6566">BQ580+29</f>
        <v>46142</v>
      </c>
      <c r="BS580" s="167">
        <f t="shared" ref="BS580:BS583" si="6567">IFERROR(IF(($R580-BR580)&gt;=0,0,IF(($S580-BQ580)&lt;0,0,IF(AND(($S580-BR580)&gt;0,(BQ580-$R580)&gt;0),$V580/365*(BR580-BQ580+1),IF(AND(($S580-BR580)&lt;=0,(BQ580-$R580)&gt;0),$V580/365*($S580-BQ580+1),$V580/365*(BR580-$R580+1))))),0)</f>
        <v>0</v>
      </c>
      <c r="BT580" s="163">
        <f t="shared" ref="BT580:BT583" si="6568">BR580+1</f>
        <v>46143</v>
      </c>
      <c r="BU580" s="163">
        <f t="shared" ref="BU580:BU583" si="6569">BT580+30</f>
        <v>46173</v>
      </c>
      <c r="BV580" s="167">
        <f t="shared" ref="BV580:BV583" si="6570">IFERROR(IF(($R580-BU580)&gt;=0,0,IF(($S580-BT580)&lt;0,0,IF(AND(($S580-BU580)&gt;0,(BT580-$R580)&gt;0),$V580/365*(BU580-BT580+1),IF(AND(($S580-BU580)&lt;=0,(BT580-$R580)&gt;0),$V580/365*($S580-BT580+1),$V580/365*(BU580-$R580+1))))),0)</f>
        <v>0</v>
      </c>
      <c r="BW580" s="163">
        <f t="shared" ref="BW580:BW583" si="6571">BU580+1</f>
        <v>46174</v>
      </c>
      <c r="BX580" s="163">
        <f t="shared" ref="BX580:BX583" si="6572">BW580+29</f>
        <v>46203</v>
      </c>
      <c r="BY580" s="167">
        <f t="shared" ref="BY580:BY583" si="6573">IFERROR(IF(($R580-BX580)&gt;=0,0,IF(($S580-BW580)&lt;0,0,IF(AND(($S580-BX580)&gt;0,(BW580-$R580)&gt;0),$V580/365*(BX580-BW580+1),IF(AND(($S580-BX580)&lt;=0,(BW580-$R580)&gt;0),$V580/365*($S580-BW580+1),$V580/365*(BX580-$R580+1))))),0)</f>
        <v>0</v>
      </c>
      <c r="BZ580" s="163">
        <f t="shared" ref="BZ580:BZ583" si="6574">BX580+1</f>
        <v>46204</v>
      </c>
      <c r="CA580" s="163">
        <f t="shared" ref="CA580:CA583" si="6575">BZ580+30</f>
        <v>46234</v>
      </c>
      <c r="CB580" s="167">
        <f t="shared" ref="CB580:CB583" si="6576">IFERROR(IF(($R580-CA580)&gt;=0,0,IF(($S580-BZ580)&lt;0,0,IF(AND(($S580-CA580)&gt;0,(BZ580-$R580)&gt;0),$V580/365*(CA580-BZ580+1),IF(AND(($S580-CA580)&lt;=0,(BZ580-$R580)&gt;0),$V580/365*($S580-BZ580+1),$V580/365*(CA580-$R580+1))))),0)</f>
        <v>0</v>
      </c>
      <c r="CC580" s="163">
        <f t="shared" ref="CC580:CC583" si="6577">CA580+1</f>
        <v>46235</v>
      </c>
      <c r="CD580" s="163">
        <f t="shared" ref="CD580:CD583" si="6578">CC580+30</f>
        <v>46265</v>
      </c>
      <c r="CE580" s="167">
        <f t="shared" ref="CE580:CE583" si="6579">IFERROR(IF(($R580-CD580)&gt;=0,0,IF(($S580-CC580)&lt;0,0,IF(AND(($S580-CD580)&gt;0,(CC580-$R580)&gt;0),$V580/365*(CD580-CC580+1),IF(AND(($S580-CD580)&lt;=0,(CC580-$R580)&gt;0),$V580/365*($S580-CC580+1),$V580/365*(CD580-$R580+1))))),0)</f>
        <v>0</v>
      </c>
      <c r="CF580" s="163">
        <f t="shared" ref="CF580:CF583" si="6580">CD580+1</f>
        <v>46266</v>
      </c>
      <c r="CG580" s="163">
        <f t="shared" ref="CG580:CG583" si="6581">CF580+29</f>
        <v>46295</v>
      </c>
      <c r="CH580" s="167">
        <f t="shared" ref="CH580:CH583" si="6582">IFERROR(IF(($R580-CG580)&gt;=0,0,IF(($S580-CF580)&lt;0,0,IF(AND(($S580-CG580)&gt;0,(CF580-$R580)&gt;0),$V580/365*(CG580-CF580+1),IF(AND(($S580-CG580)&lt;=0,(CF580-$R580)&gt;0),$V580/365*($S580-CF580+1),$V580/365*(CG580-$R580+1))))),0)</f>
        <v>0</v>
      </c>
      <c r="CI580" s="163">
        <f t="shared" ref="CI580:CI583" si="6583">CG580+1</f>
        <v>46296</v>
      </c>
      <c r="CJ580" s="163">
        <f t="shared" ref="CJ580:CJ583" si="6584">CI580+30</f>
        <v>46326</v>
      </c>
      <c r="CK580" s="167">
        <f t="shared" ref="CK580:CK583" si="6585">IFERROR(IF(($R580-CJ580)&gt;=0,0,IF(($S580-CI580)&lt;0,0,IF(AND(($S580-CJ580)&gt;0,(CI580-$R580)&gt;0),$V580/365*(CJ580-CI580+1),IF(AND(($S580-CJ580)&lt;=0,(CI580-$R580)&gt;0),$V580/365*($S580-CI580+1),$V580/365*(CJ580-$R580+1))))),0)</f>
        <v>0</v>
      </c>
      <c r="CL580" s="163">
        <f t="shared" ref="CL580:CL583" si="6586">CJ580+1</f>
        <v>46327</v>
      </c>
      <c r="CM580" s="163">
        <f t="shared" ref="CM580:CM583" si="6587">CL580+29</f>
        <v>46356</v>
      </c>
      <c r="CN580" s="167">
        <f t="shared" ref="CN580:CN583" si="6588">IFERROR(IF(($R580-CM580)&gt;=0,0,IF(($S580-CL580)&lt;0,0,IF(AND(($S580-CM580)&gt;0,(CL580-$R580)&gt;0),$V580/365*(CM580-CL580+1),IF(AND(($S580-CM580)&lt;=0,(CL580-$R580)&gt;0),$V580/365*($S580-CL580+1),$V580/365*(CM580-$R580+1))))),0)</f>
        <v>0</v>
      </c>
      <c r="CO580" s="163">
        <f t="shared" ref="CO580:CO583" si="6589">CM580+1</f>
        <v>46357</v>
      </c>
      <c r="CP580" s="163">
        <f t="shared" ref="CP580:CP583" si="6590">CO580+30</f>
        <v>46387</v>
      </c>
      <c r="CQ580" s="167">
        <f t="shared" ref="CQ580:CQ583" si="6591">IFERROR(IF(($R580-CP580)&gt;=0,0,IF(($S580-CO580)&lt;0,0,IF(AND(($S580-CP580)&gt;0,(CO580-$R580)&gt;0),$V580/365*(CP580-CO580+1),IF(AND(($S580-CP580)&lt;=0,(CO580-$R580)&gt;0),$V580/365*($S580-CO580+1),$V580/365*(CP580-$R580+1))))),0)</f>
        <v>0</v>
      </c>
    </row>
    <row r="581" s="89" customFormat="1" ht="24" customHeight="1" outlineLevel="2" spans="1:95">
      <c r="A581" s="128"/>
      <c r="B581" s="129"/>
      <c r="C581" s="130"/>
      <c r="D581" s="128"/>
      <c r="E581" s="129"/>
      <c r="F581" s="129"/>
      <c r="G581" s="129"/>
      <c r="H581" s="131"/>
      <c r="I581" s="131"/>
      <c r="J581" s="131">
        <f t="shared" si="6007"/>
        <v>0</v>
      </c>
      <c r="K581" s="131">
        <f t="shared" ref="K581:K583" si="6592">K580+1</f>
        <v>2</v>
      </c>
      <c r="L581" s="156"/>
      <c r="M581" s="157">
        <f>IFERROR(VLOOKUP($L581,'2-2 引出数据_合同数据仓库'!$B$5:$BP$200,3,FALSE),0)</f>
        <v>0</v>
      </c>
      <c r="N581" s="131"/>
      <c r="O581" s="157">
        <f>IFERROR(VLOOKUP((LEFT(VLOOKUP($L581,'2-2 引出数据_合同数据仓库'!$B$5:$BP$200,64,FALSE),15)&amp;(RIGHT(VLOOKUP($L581,'2-2 引出数据_合同数据仓库'!$B$5:$BP$200,64,FALSE),4)+1)),'2-2 引出数据_合同数据仓库'!$B$5:$BP$200,3,FALSE),0)</f>
        <v>0</v>
      </c>
      <c r="P581" s="131"/>
      <c r="Q581" s="131">
        <f>IFERROR(VLOOKUP($L581,'2-2 引出数据_合同数据仓库'!$B$5:$BP$200,28,FALSE),0)</f>
        <v>0</v>
      </c>
      <c r="R581" s="131">
        <f>IFERROR(VLOOKUP($L581,'2-2 引出数据_合同数据仓库'!$B$5:$BP$200,29,FALSE),0)</f>
        <v>0</v>
      </c>
      <c r="S581" s="131">
        <f>IFERROR(VLOOKUP($L581,'2-2 引出数据_合同数据仓库'!$B$5:$BP$200,4,FALSE),0)</f>
        <v>0</v>
      </c>
      <c r="T581" s="131"/>
      <c r="U581" s="131">
        <f>IFERROR(VLOOKUP($L581,'2-2 引出数据_合同数据仓库'!$B$5:$BP$200,15,FALSE),0)</f>
        <v>0</v>
      </c>
      <c r="V581" s="131">
        <f t="shared" si="6521"/>
        <v>0</v>
      </c>
      <c r="W581" s="131"/>
      <c r="X581" s="163">
        <v>45658</v>
      </c>
      <c r="Y581" s="163">
        <f t="shared" si="6522"/>
        <v>45688</v>
      </c>
      <c r="Z581" s="167">
        <f t="shared" si="6523"/>
        <v>0</v>
      </c>
      <c r="AA581" s="163">
        <f t="shared" si="6524"/>
        <v>45689</v>
      </c>
      <c r="AB581" s="163">
        <f t="shared" si="6525"/>
        <v>45716</v>
      </c>
      <c r="AC581" s="167">
        <f t="shared" si="6526"/>
        <v>0</v>
      </c>
      <c r="AD581" s="163">
        <f t="shared" si="6527"/>
        <v>45717</v>
      </c>
      <c r="AE581" s="163">
        <f t="shared" si="6528"/>
        <v>45747</v>
      </c>
      <c r="AF581" s="167">
        <f t="shared" si="6529"/>
        <v>0</v>
      </c>
      <c r="AG581" s="163">
        <f t="shared" si="6530"/>
        <v>45748</v>
      </c>
      <c r="AH581" s="163">
        <f t="shared" si="6531"/>
        <v>45777</v>
      </c>
      <c r="AI581" s="167">
        <f t="shared" si="6532"/>
        <v>0</v>
      </c>
      <c r="AJ581" s="163">
        <f t="shared" si="6533"/>
        <v>45778</v>
      </c>
      <c r="AK581" s="163">
        <f t="shared" si="6534"/>
        <v>45808</v>
      </c>
      <c r="AL581" s="167">
        <f t="shared" si="6535"/>
        <v>0</v>
      </c>
      <c r="AM581" s="163">
        <f t="shared" si="6536"/>
        <v>45809</v>
      </c>
      <c r="AN581" s="163">
        <f t="shared" si="6537"/>
        <v>45838</v>
      </c>
      <c r="AO581" s="167">
        <f t="shared" si="6538"/>
        <v>0</v>
      </c>
      <c r="AP581" s="163">
        <f t="shared" si="6539"/>
        <v>45839</v>
      </c>
      <c r="AQ581" s="163">
        <f t="shared" si="6540"/>
        <v>45869</v>
      </c>
      <c r="AR581" s="167">
        <f t="shared" si="6541"/>
        <v>0</v>
      </c>
      <c r="AS581" s="163">
        <f t="shared" si="6542"/>
        <v>45870</v>
      </c>
      <c r="AT581" s="163">
        <f t="shared" si="6543"/>
        <v>45900</v>
      </c>
      <c r="AU581" s="167">
        <f t="shared" si="6544"/>
        <v>0</v>
      </c>
      <c r="AV581" s="163">
        <f t="shared" si="6545"/>
        <v>45901</v>
      </c>
      <c r="AW581" s="163">
        <f t="shared" si="6546"/>
        <v>45930</v>
      </c>
      <c r="AX581" s="167">
        <f t="shared" si="6547"/>
        <v>0</v>
      </c>
      <c r="AY581" s="163">
        <f t="shared" si="6548"/>
        <v>45931</v>
      </c>
      <c r="AZ581" s="163">
        <f t="shared" si="6549"/>
        <v>45961</v>
      </c>
      <c r="BA581" s="167">
        <f t="shared" si="6550"/>
        <v>0</v>
      </c>
      <c r="BB581" s="163">
        <f t="shared" si="6551"/>
        <v>45962</v>
      </c>
      <c r="BC581" s="163">
        <f t="shared" si="6552"/>
        <v>45991</v>
      </c>
      <c r="BD581" s="167">
        <f t="shared" si="6553"/>
        <v>0</v>
      </c>
      <c r="BE581" s="163">
        <f t="shared" si="6554"/>
        <v>45992</v>
      </c>
      <c r="BF581" s="163">
        <f t="shared" si="6555"/>
        <v>46022</v>
      </c>
      <c r="BG581" s="167">
        <f t="shared" si="6556"/>
        <v>0</v>
      </c>
      <c r="BH581" s="163">
        <v>46023</v>
      </c>
      <c r="BI581" s="163">
        <f t="shared" si="6557"/>
        <v>46053</v>
      </c>
      <c r="BJ581" s="167">
        <f t="shared" si="6558"/>
        <v>0</v>
      </c>
      <c r="BK581" s="163">
        <f t="shared" si="6559"/>
        <v>46054</v>
      </c>
      <c r="BL581" s="163">
        <f t="shared" si="6560"/>
        <v>46081</v>
      </c>
      <c r="BM581" s="167">
        <f t="shared" si="6561"/>
        <v>0</v>
      </c>
      <c r="BN581" s="163">
        <f t="shared" si="6562"/>
        <v>46082</v>
      </c>
      <c r="BO581" s="163">
        <f t="shared" si="6563"/>
        <v>46112</v>
      </c>
      <c r="BP581" s="167">
        <f t="shared" si="6564"/>
        <v>0</v>
      </c>
      <c r="BQ581" s="163">
        <f t="shared" si="6565"/>
        <v>46113</v>
      </c>
      <c r="BR581" s="163">
        <f t="shared" si="6566"/>
        <v>46142</v>
      </c>
      <c r="BS581" s="167">
        <f t="shared" si="6567"/>
        <v>0</v>
      </c>
      <c r="BT581" s="163">
        <f t="shared" si="6568"/>
        <v>46143</v>
      </c>
      <c r="BU581" s="163">
        <f t="shared" si="6569"/>
        <v>46173</v>
      </c>
      <c r="BV581" s="167">
        <f t="shared" si="6570"/>
        <v>0</v>
      </c>
      <c r="BW581" s="163">
        <f t="shared" si="6571"/>
        <v>46174</v>
      </c>
      <c r="BX581" s="163">
        <f t="shared" si="6572"/>
        <v>46203</v>
      </c>
      <c r="BY581" s="167">
        <f t="shared" si="6573"/>
        <v>0</v>
      </c>
      <c r="BZ581" s="163">
        <f t="shared" si="6574"/>
        <v>46204</v>
      </c>
      <c r="CA581" s="163">
        <f t="shared" si="6575"/>
        <v>46234</v>
      </c>
      <c r="CB581" s="167">
        <f t="shared" si="6576"/>
        <v>0</v>
      </c>
      <c r="CC581" s="163">
        <f t="shared" si="6577"/>
        <v>46235</v>
      </c>
      <c r="CD581" s="163">
        <f t="shared" si="6578"/>
        <v>46265</v>
      </c>
      <c r="CE581" s="167">
        <f t="shared" si="6579"/>
        <v>0</v>
      </c>
      <c r="CF581" s="163">
        <f t="shared" si="6580"/>
        <v>46266</v>
      </c>
      <c r="CG581" s="163">
        <f t="shared" si="6581"/>
        <v>46295</v>
      </c>
      <c r="CH581" s="167">
        <f t="shared" si="6582"/>
        <v>0</v>
      </c>
      <c r="CI581" s="163">
        <f t="shared" si="6583"/>
        <v>46296</v>
      </c>
      <c r="CJ581" s="163">
        <f t="shared" si="6584"/>
        <v>46326</v>
      </c>
      <c r="CK581" s="167">
        <f t="shared" si="6585"/>
        <v>0</v>
      </c>
      <c r="CL581" s="163">
        <f t="shared" si="6586"/>
        <v>46327</v>
      </c>
      <c r="CM581" s="163">
        <f t="shared" si="6587"/>
        <v>46356</v>
      </c>
      <c r="CN581" s="167">
        <f t="shared" si="6588"/>
        <v>0</v>
      </c>
      <c r="CO581" s="163">
        <f t="shared" si="6589"/>
        <v>46357</v>
      </c>
      <c r="CP581" s="163">
        <f t="shared" si="6590"/>
        <v>46387</v>
      </c>
      <c r="CQ581" s="167">
        <f t="shared" si="6591"/>
        <v>0</v>
      </c>
    </row>
    <row r="582" s="89" customFormat="1" ht="24" customHeight="1" outlineLevel="2" spans="1:95">
      <c r="A582" s="128"/>
      <c r="B582" s="129"/>
      <c r="C582" s="130"/>
      <c r="D582" s="128"/>
      <c r="E582" s="129"/>
      <c r="F582" s="129"/>
      <c r="G582" s="129"/>
      <c r="H582" s="131"/>
      <c r="I582" s="131"/>
      <c r="J582" s="131">
        <f t="shared" si="6007"/>
        <v>0</v>
      </c>
      <c r="K582" s="131">
        <f t="shared" si="6592"/>
        <v>3</v>
      </c>
      <c r="L582" s="156"/>
      <c r="M582" s="157">
        <f>IFERROR(VLOOKUP($L582,'2-2 引出数据_合同数据仓库'!$B$5:$BP$200,3,FALSE),0)</f>
        <v>0</v>
      </c>
      <c r="N582" s="131"/>
      <c r="O582" s="157">
        <f>IFERROR(VLOOKUP((LEFT(VLOOKUP($L582,'2-2 引出数据_合同数据仓库'!$B$5:$BP$200,64,FALSE),15)&amp;(RIGHT(VLOOKUP($L582,'2-2 引出数据_合同数据仓库'!$B$5:$BP$200,64,FALSE),4)+1)),'2-2 引出数据_合同数据仓库'!$B$5:$BP$200,3,FALSE),0)</f>
        <v>0</v>
      </c>
      <c r="P582" s="131"/>
      <c r="Q582" s="131">
        <f>IFERROR(VLOOKUP($L582,'2-2 引出数据_合同数据仓库'!$B$5:$BP$200,28,FALSE),0)</f>
        <v>0</v>
      </c>
      <c r="R582" s="131">
        <f>IFERROR(VLOOKUP($L582,'2-2 引出数据_合同数据仓库'!$B$5:$BP$200,29,FALSE),0)</f>
        <v>0</v>
      </c>
      <c r="S582" s="131">
        <f>IFERROR(VLOOKUP($L582,'2-2 引出数据_合同数据仓库'!$B$5:$BP$200,4,FALSE),0)</f>
        <v>0</v>
      </c>
      <c r="T582" s="131"/>
      <c r="U582" s="131">
        <f>IFERROR(VLOOKUP($L582,'2-2 引出数据_合同数据仓库'!$B$5:$BP$200,15,FALSE),0)</f>
        <v>0</v>
      </c>
      <c r="V582" s="131">
        <f t="shared" si="6521"/>
        <v>0</v>
      </c>
      <c r="W582" s="131"/>
      <c r="X582" s="163">
        <v>45658</v>
      </c>
      <c r="Y582" s="163">
        <f t="shared" si="6522"/>
        <v>45688</v>
      </c>
      <c r="Z582" s="167">
        <f t="shared" si="6523"/>
        <v>0</v>
      </c>
      <c r="AA582" s="163">
        <f t="shared" si="6524"/>
        <v>45689</v>
      </c>
      <c r="AB582" s="163">
        <f t="shared" si="6525"/>
        <v>45716</v>
      </c>
      <c r="AC582" s="167">
        <f t="shared" si="6526"/>
        <v>0</v>
      </c>
      <c r="AD582" s="163">
        <f t="shared" si="6527"/>
        <v>45717</v>
      </c>
      <c r="AE582" s="163">
        <f t="shared" si="6528"/>
        <v>45747</v>
      </c>
      <c r="AF582" s="167">
        <f t="shared" si="6529"/>
        <v>0</v>
      </c>
      <c r="AG582" s="163">
        <f t="shared" si="6530"/>
        <v>45748</v>
      </c>
      <c r="AH582" s="163">
        <f t="shared" si="6531"/>
        <v>45777</v>
      </c>
      <c r="AI582" s="167">
        <f t="shared" si="6532"/>
        <v>0</v>
      </c>
      <c r="AJ582" s="163">
        <f t="shared" si="6533"/>
        <v>45778</v>
      </c>
      <c r="AK582" s="163">
        <f t="shared" si="6534"/>
        <v>45808</v>
      </c>
      <c r="AL582" s="167">
        <f t="shared" si="6535"/>
        <v>0</v>
      </c>
      <c r="AM582" s="163">
        <f t="shared" si="6536"/>
        <v>45809</v>
      </c>
      <c r="AN582" s="163">
        <f t="shared" si="6537"/>
        <v>45838</v>
      </c>
      <c r="AO582" s="167">
        <f t="shared" si="6538"/>
        <v>0</v>
      </c>
      <c r="AP582" s="163">
        <f t="shared" si="6539"/>
        <v>45839</v>
      </c>
      <c r="AQ582" s="163">
        <f t="shared" si="6540"/>
        <v>45869</v>
      </c>
      <c r="AR582" s="167">
        <f t="shared" si="6541"/>
        <v>0</v>
      </c>
      <c r="AS582" s="163">
        <f t="shared" si="6542"/>
        <v>45870</v>
      </c>
      <c r="AT582" s="163">
        <f t="shared" si="6543"/>
        <v>45900</v>
      </c>
      <c r="AU582" s="167">
        <f t="shared" si="6544"/>
        <v>0</v>
      </c>
      <c r="AV582" s="163">
        <f t="shared" si="6545"/>
        <v>45901</v>
      </c>
      <c r="AW582" s="163">
        <f t="shared" si="6546"/>
        <v>45930</v>
      </c>
      <c r="AX582" s="167">
        <f t="shared" si="6547"/>
        <v>0</v>
      </c>
      <c r="AY582" s="163">
        <f t="shared" si="6548"/>
        <v>45931</v>
      </c>
      <c r="AZ582" s="163">
        <f t="shared" si="6549"/>
        <v>45961</v>
      </c>
      <c r="BA582" s="167">
        <f t="shared" si="6550"/>
        <v>0</v>
      </c>
      <c r="BB582" s="163">
        <f t="shared" si="6551"/>
        <v>45962</v>
      </c>
      <c r="BC582" s="163">
        <f t="shared" si="6552"/>
        <v>45991</v>
      </c>
      <c r="BD582" s="167">
        <f t="shared" si="6553"/>
        <v>0</v>
      </c>
      <c r="BE582" s="163">
        <f t="shared" si="6554"/>
        <v>45992</v>
      </c>
      <c r="BF582" s="163">
        <f t="shared" si="6555"/>
        <v>46022</v>
      </c>
      <c r="BG582" s="167">
        <f t="shared" si="6556"/>
        <v>0</v>
      </c>
      <c r="BH582" s="163">
        <v>46023</v>
      </c>
      <c r="BI582" s="163">
        <f t="shared" si="6557"/>
        <v>46053</v>
      </c>
      <c r="BJ582" s="167">
        <f t="shared" si="6558"/>
        <v>0</v>
      </c>
      <c r="BK582" s="163">
        <f t="shared" si="6559"/>
        <v>46054</v>
      </c>
      <c r="BL582" s="163">
        <f t="shared" si="6560"/>
        <v>46081</v>
      </c>
      <c r="BM582" s="167">
        <f t="shared" si="6561"/>
        <v>0</v>
      </c>
      <c r="BN582" s="163">
        <f t="shared" si="6562"/>
        <v>46082</v>
      </c>
      <c r="BO582" s="163">
        <f t="shared" si="6563"/>
        <v>46112</v>
      </c>
      <c r="BP582" s="167">
        <f t="shared" si="6564"/>
        <v>0</v>
      </c>
      <c r="BQ582" s="163">
        <f t="shared" si="6565"/>
        <v>46113</v>
      </c>
      <c r="BR582" s="163">
        <f t="shared" si="6566"/>
        <v>46142</v>
      </c>
      <c r="BS582" s="167">
        <f t="shared" si="6567"/>
        <v>0</v>
      </c>
      <c r="BT582" s="163">
        <f t="shared" si="6568"/>
        <v>46143</v>
      </c>
      <c r="BU582" s="163">
        <f t="shared" si="6569"/>
        <v>46173</v>
      </c>
      <c r="BV582" s="167">
        <f t="shared" si="6570"/>
        <v>0</v>
      </c>
      <c r="BW582" s="163">
        <f t="shared" si="6571"/>
        <v>46174</v>
      </c>
      <c r="BX582" s="163">
        <f t="shared" si="6572"/>
        <v>46203</v>
      </c>
      <c r="BY582" s="167">
        <f t="shared" si="6573"/>
        <v>0</v>
      </c>
      <c r="BZ582" s="163">
        <f t="shared" si="6574"/>
        <v>46204</v>
      </c>
      <c r="CA582" s="163">
        <f t="shared" si="6575"/>
        <v>46234</v>
      </c>
      <c r="CB582" s="167">
        <f t="shared" si="6576"/>
        <v>0</v>
      </c>
      <c r="CC582" s="163">
        <f t="shared" si="6577"/>
        <v>46235</v>
      </c>
      <c r="CD582" s="163">
        <f t="shared" si="6578"/>
        <v>46265</v>
      </c>
      <c r="CE582" s="167">
        <f t="shared" si="6579"/>
        <v>0</v>
      </c>
      <c r="CF582" s="163">
        <f t="shared" si="6580"/>
        <v>46266</v>
      </c>
      <c r="CG582" s="163">
        <f t="shared" si="6581"/>
        <v>46295</v>
      </c>
      <c r="CH582" s="167">
        <f t="shared" si="6582"/>
        <v>0</v>
      </c>
      <c r="CI582" s="163">
        <f t="shared" si="6583"/>
        <v>46296</v>
      </c>
      <c r="CJ582" s="163">
        <f t="shared" si="6584"/>
        <v>46326</v>
      </c>
      <c r="CK582" s="167">
        <f t="shared" si="6585"/>
        <v>0</v>
      </c>
      <c r="CL582" s="163">
        <f t="shared" si="6586"/>
        <v>46327</v>
      </c>
      <c r="CM582" s="163">
        <f t="shared" si="6587"/>
        <v>46356</v>
      </c>
      <c r="CN582" s="167">
        <f t="shared" si="6588"/>
        <v>0</v>
      </c>
      <c r="CO582" s="163">
        <f t="shared" si="6589"/>
        <v>46357</v>
      </c>
      <c r="CP582" s="163">
        <f t="shared" si="6590"/>
        <v>46387</v>
      </c>
      <c r="CQ582" s="167">
        <f t="shared" si="6591"/>
        <v>0</v>
      </c>
    </row>
    <row r="583" s="89" customFormat="1" ht="24" customHeight="1" outlineLevel="2" collapsed="1" spans="1:95">
      <c r="A583" s="128"/>
      <c r="B583" s="129"/>
      <c r="C583" s="130"/>
      <c r="D583" s="128"/>
      <c r="E583" s="129"/>
      <c r="F583" s="129"/>
      <c r="G583" s="129"/>
      <c r="H583" s="131"/>
      <c r="I583" s="131"/>
      <c r="J583" s="131">
        <f t="shared" si="6007"/>
        <v>0</v>
      </c>
      <c r="K583" s="131">
        <f t="shared" si="6592"/>
        <v>4</v>
      </c>
      <c r="L583" s="156"/>
      <c r="M583" s="157">
        <f>IFERROR(VLOOKUP($L583,'2-2 引出数据_合同数据仓库'!$B$5:$BP$200,3,FALSE),0)</f>
        <v>0</v>
      </c>
      <c r="N583" s="131"/>
      <c r="O583" s="157">
        <f>IFERROR(VLOOKUP((LEFT(VLOOKUP($L583,'2-2 引出数据_合同数据仓库'!$B$5:$BP$200,64,FALSE),15)&amp;(RIGHT(VLOOKUP($L583,'2-2 引出数据_合同数据仓库'!$B$5:$BP$200,64,FALSE),4)+1)),'2-2 引出数据_合同数据仓库'!$B$5:$BP$200,3,FALSE),0)</f>
        <v>0</v>
      </c>
      <c r="P583" s="131"/>
      <c r="Q583" s="131">
        <f>IFERROR(VLOOKUP($L583,'2-2 引出数据_合同数据仓库'!$B$5:$BP$200,28,FALSE),0)</f>
        <v>0</v>
      </c>
      <c r="R583" s="131">
        <f>IFERROR(VLOOKUP($L583,'2-2 引出数据_合同数据仓库'!$B$5:$BP$200,29,FALSE),0)</f>
        <v>0</v>
      </c>
      <c r="S583" s="131">
        <f>IFERROR(VLOOKUP($L583,'2-2 引出数据_合同数据仓库'!$B$5:$BP$200,4,FALSE),0)</f>
        <v>0</v>
      </c>
      <c r="T583" s="131"/>
      <c r="U583" s="131">
        <f>IFERROR(VLOOKUP($L583,'2-2 引出数据_合同数据仓库'!$B$5:$BP$200,15,FALSE),0)</f>
        <v>0</v>
      </c>
      <c r="V583" s="131">
        <f t="shared" si="6521"/>
        <v>0</v>
      </c>
      <c r="W583" s="131"/>
      <c r="X583" s="163">
        <v>45658</v>
      </c>
      <c r="Y583" s="163">
        <f t="shared" si="6522"/>
        <v>45688</v>
      </c>
      <c r="Z583" s="167">
        <f t="shared" si="6523"/>
        <v>0</v>
      </c>
      <c r="AA583" s="163">
        <f t="shared" si="6524"/>
        <v>45689</v>
      </c>
      <c r="AB583" s="163">
        <f t="shared" si="6525"/>
        <v>45716</v>
      </c>
      <c r="AC583" s="167">
        <f t="shared" si="6526"/>
        <v>0</v>
      </c>
      <c r="AD583" s="163">
        <f t="shared" si="6527"/>
        <v>45717</v>
      </c>
      <c r="AE583" s="163">
        <f t="shared" si="6528"/>
        <v>45747</v>
      </c>
      <c r="AF583" s="167">
        <f t="shared" si="6529"/>
        <v>0</v>
      </c>
      <c r="AG583" s="163">
        <f t="shared" si="6530"/>
        <v>45748</v>
      </c>
      <c r="AH583" s="163">
        <f t="shared" si="6531"/>
        <v>45777</v>
      </c>
      <c r="AI583" s="167">
        <f t="shared" si="6532"/>
        <v>0</v>
      </c>
      <c r="AJ583" s="163">
        <f t="shared" si="6533"/>
        <v>45778</v>
      </c>
      <c r="AK583" s="163">
        <f t="shared" si="6534"/>
        <v>45808</v>
      </c>
      <c r="AL583" s="167">
        <f t="shared" si="6535"/>
        <v>0</v>
      </c>
      <c r="AM583" s="163">
        <f t="shared" si="6536"/>
        <v>45809</v>
      </c>
      <c r="AN583" s="163">
        <f t="shared" si="6537"/>
        <v>45838</v>
      </c>
      <c r="AO583" s="167">
        <f t="shared" si="6538"/>
        <v>0</v>
      </c>
      <c r="AP583" s="163">
        <f t="shared" si="6539"/>
        <v>45839</v>
      </c>
      <c r="AQ583" s="163">
        <f t="shared" si="6540"/>
        <v>45869</v>
      </c>
      <c r="AR583" s="167">
        <f t="shared" si="6541"/>
        <v>0</v>
      </c>
      <c r="AS583" s="163">
        <f t="shared" si="6542"/>
        <v>45870</v>
      </c>
      <c r="AT583" s="163">
        <f t="shared" si="6543"/>
        <v>45900</v>
      </c>
      <c r="AU583" s="167">
        <f t="shared" si="6544"/>
        <v>0</v>
      </c>
      <c r="AV583" s="163">
        <f t="shared" si="6545"/>
        <v>45901</v>
      </c>
      <c r="AW583" s="163">
        <f t="shared" si="6546"/>
        <v>45930</v>
      </c>
      <c r="AX583" s="167">
        <f t="shared" si="6547"/>
        <v>0</v>
      </c>
      <c r="AY583" s="163">
        <f t="shared" si="6548"/>
        <v>45931</v>
      </c>
      <c r="AZ583" s="163">
        <f t="shared" si="6549"/>
        <v>45961</v>
      </c>
      <c r="BA583" s="167">
        <f t="shared" si="6550"/>
        <v>0</v>
      </c>
      <c r="BB583" s="163">
        <f t="shared" si="6551"/>
        <v>45962</v>
      </c>
      <c r="BC583" s="163">
        <f t="shared" si="6552"/>
        <v>45991</v>
      </c>
      <c r="BD583" s="167">
        <f t="shared" si="6553"/>
        <v>0</v>
      </c>
      <c r="BE583" s="163">
        <f t="shared" si="6554"/>
        <v>45992</v>
      </c>
      <c r="BF583" s="163">
        <f t="shared" si="6555"/>
        <v>46022</v>
      </c>
      <c r="BG583" s="167">
        <f t="shared" si="6556"/>
        <v>0</v>
      </c>
      <c r="BH583" s="163">
        <v>46023</v>
      </c>
      <c r="BI583" s="163">
        <f t="shared" si="6557"/>
        <v>46053</v>
      </c>
      <c r="BJ583" s="167">
        <f t="shared" si="6558"/>
        <v>0</v>
      </c>
      <c r="BK583" s="163">
        <f t="shared" si="6559"/>
        <v>46054</v>
      </c>
      <c r="BL583" s="163">
        <f t="shared" si="6560"/>
        <v>46081</v>
      </c>
      <c r="BM583" s="167">
        <f t="shared" si="6561"/>
        <v>0</v>
      </c>
      <c r="BN583" s="163">
        <f t="shared" si="6562"/>
        <v>46082</v>
      </c>
      <c r="BO583" s="163">
        <f t="shared" si="6563"/>
        <v>46112</v>
      </c>
      <c r="BP583" s="167">
        <f t="shared" si="6564"/>
        <v>0</v>
      </c>
      <c r="BQ583" s="163">
        <f t="shared" si="6565"/>
        <v>46113</v>
      </c>
      <c r="BR583" s="163">
        <f t="shared" si="6566"/>
        <v>46142</v>
      </c>
      <c r="BS583" s="167">
        <f t="shared" si="6567"/>
        <v>0</v>
      </c>
      <c r="BT583" s="163">
        <f t="shared" si="6568"/>
        <v>46143</v>
      </c>
      <c r="BU583" s="163">
        <f t="shared" si="6569"/>
        <v>46173</v>
      </c>
      <c r="BV583" s="167">
        <f t="shared" si="6570"/>
        <v>0</v>
      </c>
      <c r="BW583" s="163">
        <f t="shared" si="6571"/>
        <v>46174</v>
      </c>
      <c r="BX583" s="163">
        <f t="shared" si="6572"/>
        <v>46203</v>
      </c>
      <c r="BY583" s="167">
        <f t="shared" si="6573"/>
        <v>0</v>
      </c>
      <c r="BZ583" s="163">
        <f t="shared" si="6574"/>
        <v>46204</v>
      </c>
      <c r="CA583" s="163">
        <f t="shared" si="6575"/>
        <v>46234</v>
      </c>
      <c r="CB583" s="167">
        <f t="shared" si="6576"/>
        <v>0</v>
      </c>
      <c r="CC583" s="163">
        <f t="shared" si="6577"/>
        <v>46235</v>
      </c>
      <c r="CD583" s="163">
        <f t="shared" si="6578"/>
        <v>46265</v>
      </c>
      <c r="CE583" s="167">
        <f t="shared" si="6579"/>
        <v>0</v>
      </c>
      <c r="CF583" s="163">
        <f t="shared" si="6580"/>
        <v>46266</v>
      </c>
      <c r="CG583" s="163">
        <f t="shared" si="6581"/>
        <v>46295</v>
      </c>
      <c r="CH583" s="167">
        <f t="shared" si="6582"/>
        <v>0</v>
      </c>
      <c r="CI583" s="163">
        <f t="shared" si="6583"/>
        <v>46296</v>
      </c>
      <c r="CJ583" s="163">
        <f t="shared" si="6584"/>
        <v>46326</v>
      </c>
      <c r="CK583" s="167">
        <f t="shared" si="6585"/>
        <v>0</v>
      </c>
      <c r="CL583" s="163">
        <f t="shared" si="6586"/>
        <v>46327</v>
      </c>
      <c r="CM583" s="163">
        <f t="shared" si="6587"/>
        <v>46356</v>
      </c>
      <c r="CN583" s="167">
        <f t="shared" si="6588"/>
        <v>0</v>
      </c>
      <c r="CO583" s="163">
        <f t="shared" si="6589"/>
        <v>46357</v>
      </c>
      <c r="CP583" s="163">
        <f t="shared" si="6590"/>
        <v>46387</v>
      </c>
      <c r="CQ583" s="167">
        <f t="shared" si="6591"/>
        <v>0</v>
      </c>
    </row>
    <row r="584" s="89" customFormat="1" ht="24" hidden="1" customHeight="1" outlineLevel="4" spans="1:95">
      <c r="A584" s="132" t="s">
        <v>2813</v>
      </c>
      <c r="B584" s="133"/>
      <c r="C584" s="133"/>
      <c r="D584" s="133"/>
      <c r="E584" s="133"/>
      <c r="F584" s="133"/>
      <c r="G584" s="134"/>
      <c r="H584" s="135"/>
      <c r="I584" s="135"/>
      <c r="J584" s="135"/>
      <c r="K584" s="135"/>
      <c r="L584" s="158"/>
      <c r="M584" s="158"/>
      <c r="N584" s="158"/>
      <c r="O584" s="158"/>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c r="CL584" s="135"/>
      <c r="CM584" s="135"/>
      <c r="CN584" s="135"/>
      <c r="CO584" s="135"/>
      <c r="CP584" s="135"/>
      <c r="CQ584" s="135"/>
    </row>
    <row r="585" ht="24" customHeight="1" outlineLevel="1" spans="1:95">
      <c r="A585" s="14"/>
      <c r="B585" s="118" t="s">
        <v>792</v>
      </c>
      <c r="C585" s="119" t="s">
        <v>2280</v>
      </c>
      <c r="D585" s="14" t="s">
        <v>2281</v>
      </c>
      <c r="E585" s="118"/>
      <c r="F585" s="118"/>
      <c r="G585" s="118"/>
      <c r="H585" s="120">
        <f>X585+AA585+AD585+AG585+AJ585+AM585+AP585+AS585+AV585+AY585+BB585+BE585</f>
        <v>0</v>
      </c>
      <c r="I585" s="120">
        <f>Y585+AB585+AE585+AH585+AK585+AN585+AQ585+AT585+AW585+AZ585+BC585+BF585</f>
        <v>0</v>
      </c>
      <c r="J585" s="120">
        <f t="shared" si="6007"/>
        <v>0</v>
      </c>
      <c r="K585" s="120"/>
      <c r="L585" s="153"/>
      <c r="M585" s="153"/>
      <c r="N585" s="153"/>
      <c r="O585" s="153"/>
      <c r="P585" s="120"/>
      <c r="Q585" s="120"/>
      <c r="R585" s="120"/>
      <c r="S585" s="120"/>
      <c r="T585" s="120"/>
      <c r="U585" s="120"/>
      <c r="V585" s="120"/>
      <c r="W585" s="120"/>
      <c r="X585" s="120">
        <f>VLOOKUP($C585,'1 预算编制表单'!$C:$BJ,27,FALSE)</f>
        <v>0</v>
      </c>
      <c r="Y585" s="120">
        <f>X585-Z585</f>
        <v>0</v>
      </c>
      <c r="Z585" s="120">
        <f>SUM(Z586:Z590)</f>
        <v>0</v>
      </c>
      <c r="AA585" s="120">
        <f>VLOOKUP($C585,'1 预算编制表单'!$C:$BJ,30,FALSE)</f>
        <v>0</v>
      </c>
      <c r="AB585" s="120">
        <f>AA585-AC585</f>
        <v>0</v>
      </c>
      <c r="AC585" s="120">
        <f>SUM(AC586:AC590)</f>
        <v>0</v>
      </c>
      <c r="AD585" s="120">
        <f>VLOOKUP($C585,'1 预算编制表单'!$C:$BJ,33,FALSE)</f>
        <v>0</v>
      </c>
      <c r="AE585" s="120">
        <f>AD585-AF585</f>
        <v>0</v>
      </c>
      <c r="AF585" s="120">
        <f>SUM(AF586:AF590)</f>
        <v>0</v>
      </c>
      <c r="AG585" s="120">
        <f>VLOOKUP($C585,'1 预算编制表单'!$C:$BJ,36,FALSE)</f>
        <v>0</v>
      </c>
      <c r="AH585" s="120">
        <f>AG585-AI585</f>
        <v>0</v>
      </c>
      <c r="AI585" s="120">
        <f>SUM(AI586:AI590)</f>
        <v>0</v>
      </c>
      <c r="AJ585" s="120">
        <f>VLOOKUP($C585,'1 预算编制表单'!$C:$BJ,39,FALSE)</f>
        <v>0</v>
      </c>
      <c r="AK585" s="120">
        <f>AJ585-AL585</f>
        <v>0</v>
      </c>
      <c r="AL585" s="120">
        <f>SUM(AL586:AL590)</f>
        <v>0</v>
      </c>
      <c r="AM585" s="120">
        <f>VLOOKUP($C585,'1 预算编制表单'!$C:$BJ,42,FALSE)</f>
        <v>0</v>
      </c>
      <c r="AN585" s="120">
        <f>AM585-AO585</f>
        <v>0</v>
      </c>
      <c r="AO585" s="120">
        <f>SUM(AO586:AO590)</f>
        <v>0</v>
      </c>
      <c r="AP585" s="120">
        <f>VLOOKUP($C585,'1 预算编制表单'!$C:$BJ,45,FALSE)</f>
        <v>0</v>
      </c>
      <c r="AQ585" s="120">
        <f>AP585-AR585</f>
        <v>0</v>
      </c>
      <c r="AR585" s="120">
        <f>SUM(AR586:AR590)</f>
        <v>0</v>
      </c>
      <c r="AS585" s="120">
        <f>VLOOKUP($C585,'1 预算编制表单'!$C:$BJ,48,FALSE)</f>
        <v>0</v>
      </c>
      <c r="AT585" s="120">
        <f>AS585-AU585</f>
        <v>0</v>
      </c>
      <c r="AU585" s="120">
        <f>SUM(AU586:AU590)</f>
        <v>0</v>
      </c>
      <c r="AV585" s="120">
        <f>VLOOKUP($C585,'1 预算编制表单'!$C:$BJ,51,FALSE)</f>
        <v>0</v>
      </c>
      <c r="AW585" s="120">
        <f>AV585-AX585</f>
        <v>0</v>
      </c>
      <c r="AX585" s="120">
        <f>SUM(AX586:AX590)</f>
        <v>0</v>
      </c>
      <c r="AY585" s="120">
        <f>VLOOKUP($C585,'1 预算编制表单'!$C:$BJ,54,FALSE)</f>
        <v>0</v>
      </c>
      <c r="AZ585" s="120">
        <f>AY585-BA585</f>
        <v>0</v>
      </c>
      <c r="BA585" s="120">
        <f>SUM(BA586:BA590)</f>
        <v>0</v>
      </c>
      <c r="BB585" s="120">
        <f>VLOOKUP($C585,'1 预算编制表单'!$C:$BJ,57,FALSE)</f>
        <v>0</v>
      </c>
      <c r="BC585" s="120">
        <f>BB585-BD585</f>
        <v>0</v>
      </c>
      <c r="BD585" s="120">
        <f>SUM(BD586:BD590)</f>
        <v>0</v>
      </c>
      <c r="BE585" s="120">
        <f>VLOOKUP($C585,'1 预算编制表单'!$C:$BJ,60,FALSE)</f>
        <v>0</v>
      </c>
      <c r="BF585" s="120">
        <f>BE585-BG585</f>
        <v>0</v>
      </c>
      <c r="BG585" s="120">
        <f>SUM(BG586:BG590)</f>
        <v>0</v>
      </c>
      <c r="BH585" s="120">
        <f>VLOOKUP($C585,'1 预算编制表单'!$C:$BJ,27,FALSE)</f>
        <v>0</v>
      </c>
      <c r="BI585" s="120">
        <f>BH585-BJ585</f>
        <v>0</v>
      </c>
      <c r="BJ585" s="120">
        <f>SUM(BJ586:BJ590)</f>
        <v>0</v>
      </c>
      <c r="BK585" s="120">
        <f>VLOOKUP($C585,'1 预算编制表单'!$C:$BJ,30,FALSE)</f>
        <v>0</v>
      </c>
      <c r="BL585" s="120">
        <f>BK585-BM585</f>
        <v>0</v>
      </c>
      <c r="BM585" s="120">
        <f>SUM(BM586:BM590)</f>
        <v>0</v>
      </c>
      <c r="BN585" s="120">
        <f>VLOOKUP($C585,'1 预算编制表单'!$C:$BJ,33,FALSE)</f>
        <v>0</v>
      </c>
      <c r="BO585" s="120">
        <f>BN585-BP585</f>
        <v>0</v>
      </c>
      <c r="BP585" s="120">
        <f>SUM(BP586:BP590)</f>
        <v>0</v>
      </c>
      <c r="BQ585" s="120">
        <f>VLOOKUP($C585,'1 预算编制表单'!$C:$BJ,36,FALSE)</f>
        <v>0</v>
      </c>
      <c r="BR585" s="120">
        <f>BQ585-BS585</f>
        <v>0</v>
      </c>
      <c r="BS585" s="120">
        <f>SUM(BS586:BS590)</f>
        <v>0</v>
      </c>
      <c r="BT585" s="120">
        <f>VLOOKUP($C585,'1 预算编制表单'!$C:$BJ,39,FALSE)</f>
        <v>0</v>
      </c>
      <c r="BU585" s="120">
        <f>BT585-BV585</f>
        <v>0</v>
      </c>
      <c r="BV585" s="120">
        <f>SUM(BV586:BV590)</f>
        <v>0</v>
      </c>
      <c r="BW585" s="120">
        <f>VLOOKUP($C585,'1 预算编制表单'!$C:$BJ,42,FALSE)</f>
        <v>0</v>
      </c>
      <c r="BX585" s="120">
        <f>BW585-BY585</f>
        <v>0</v>
      </c>
      <c r="BY585" s="120">
        <f>SUM(BY586:BY590)</f>
        <v>0</v>
      </c>
      <c r="BZ585" s="120">
        <f>VLOOKUP($C585,'1 预算编制表单'!$C:$BJ,45,FALSE)</f>
        <v>0</v>
      </c>
      <c r="CA585" s="120">
        <f>BZ585-CB585</f>
        <v>0</v>
      </c>
      <c r="CB585" s="120">
        <f>SUM(CB586:CB590)</f>
        <v>0</v>
      </c>
      <c r="CC585" s="120">
        <f>VLOOKUP($C585,'1 预算编制表单'!$C:$BJ,48,FALSE)</f>
        <v>0</v>
      </c>
      <c r="CD585" s="120">
        <f>CC585-CE585</f>
        <v>0</v>
      </c>
      <c r="CE585" s="120">
        <f>SUM(CE586:CE590)</f>
        <v>0</v>
      </c>
      <c r="CF585" s="120">
        <f>VLOOKUP($C585,'1 预算编制表单'!$C:$BJ,51,FALSE)</f>
        <v>0</v>
      </c>
      <c r="CG585" s="120">
        <f>CF585-CH585</f>
        <v>0</v>
      </c>
      <c r="CH585" s="120">
        <f>SUM(CH586:CH590)</f>
        <v>0</v>
      </c>
      <c r="CI585" s="120">
        <f>VLOOKUP($C585,'1 预算编制表单'!$C:$BJ,54,FALSE)</f>
        <v>0</v>
      </c>
      <c r="CJ585" s="120">
        <f>CI585-CK585</f>
        <v>0</v>
      </c>
      <c r="CK585" s="120">
        <f>SUM(CK586:CK590)</f>
        <v>0</v>
      </c>
      <c r="CL585" s="120">
        <f>VLOOKUP($C585,'1 预算编制表单'!$C:$BJ,57,FALSE)</f>
        <v>0</v>
      </c>
      <c r="CM585" s="120">
        <f>CL585-CN585</f>
        <v>0</v>
      </c>
      <c r="CN585" s="120">
        <f>SUM(CN586:CN590)</f>
        <v>0</v>
      </c>
      <c r="CO585" s="120">
        <f>VLOOKUP($C585,'1 预算编制表单'!$C:$BJ,60,FALSE)</f>
        <v>0</v>
      </c>
      <c r="CP585" s="120">
        <f>CO585-CQ585</f>
        <v>0</v>
      </c>
      <c r="CQ585" s="120">
        <f>SUM(CQ586:CQ590)</f>
        <v>0</v>
      </c>
    </row>
    <row r="586" s="89" customFormat="1" ht="24" customHeight="1" outlineLevel="2" spans="1:95">
      <c r="A586" s="128"/>
      <c r="B586" s="129"/>
      <c r="C586" s="130"/>
      <c r="D586" s="128"/>
      <c r="E586" s="129"/>
      <c r="F586" s="129"/>
      <c r="G586" s="129"/>
      <c r="H586" s="131"/>
      <c r="I586" s="131"/>
      <c r="J586" s="131">
        <f t="shared" si="6007"/>
        <v>0</v>
      </c>
      <c r="K586" s="131">
        <v>1</v>
      </c>
      <c r="L586" s="156"/>
      <c r="M586" s="157">
        <f>IFERROR(VLOOKUP($L586,'2-2 引出数据_合同数据仓库'!$B$5:$BP$200,3,FALSE),0)</f>
        <v>0</v>
      </c>
      <c r="N586" s="131"/>
      <c r="O586" s="157">
        <f>IFERROR(VLOOKUP((LEFT(VLOOKUP($L586,'2-2 引出数据_合同数据仓库'!$B$5:$BP$200,64,FALSE),15)&amp;(RIGHT(VLOOKUP($L586,'2-2 引出数据_合同数据仓库'!$B$5:$BP$200,64,FALSE),4)+1)),'2-2 引出数据_合同数据仓库'!$B$5:$BP$200,3,FALSE),0)</f>
        <v>0</v>
      </c>
      <c r="P586" s="131"/>
      <c r="Q586" s="131">
        <f>IFERROR(VLOOKUP($L586,'2-2 引出数据_合同数据仓库'!$B$5:$BP$200,28,FALSE),0)</f>
        <v>0</v>
      </c>
      <c r="R586" s="131">
        <f>IFERROR(VLOOKUP($L586,'2-2 引出数据_合同数据仓库'!$B$5:$BP$200,29,FALSE),0)</f>
        <v>0</v>
      </c>
      <c r="S586" s="131">
        <f>IFERROR(VLOOKUP($L586,'2-2 引出数据_合同数据仓库'!$B$5:$BP$200,4,FALSE),0)</f>
        <v>0</v>
      </c>
      <c r="T586" s="131"/>
      <c r="U586" s="131">
        <f>IFERROR(VLOOKUP($L586,'2-2 引出数据_合同数据仓库'!$B$5:$BP$200,15,FALSE),0)</f>
        <v>0</v>
      </c>
      <c r="V586" s="131">
        <f t="shared" ref="V586:V589" si="6593">U586/(S586-R586+1)*365</f>
        <v>0</v>
      </c>
      <c r="W586" s="131"/>
      <c r="X586" s="163">
        <v>45658</v>
      </c>
      <c r="Y586" s="163">
        <f t="shared" ref="Y586:Y589" si="6594">X586+30</f>
        <v>45688</v>
      </c>
      <c r="Z586" s="167">
        <f t="shared" ref="Z586:Z589" si="6595">IFERROR(IF(($R586-Y586)&gt;=0,0,IF(($S586-X586)&lt;0,0,IF(AND(($S586-Y586)&gt;0,(X586-$R586)&gt;0),$V586/365*(Y586-X586+1),IF(AND(($S586-Y586)&lt;=0,(X586-$R586)&gt;0),$V586/365*($S586-X586+1),$V586/365*(Y586-$R586+1))))),0)</f>
        <v>0</v>
      </c>
      <c r="AA586" s="163">
        <f t="shared" ref="AA586:AA589" si="6596">Y586+1</f>
        <v>45689</v>
      </c>
      <c r="AB586" s="163">
        <f t="shared" ref="AB586:AB589" si="6597">AA586+27</f>
        <v>45716</v>
      </c>
      <c r="AC586" s="167">
        <f t="shared" ref="AC586:AC589" si="6598">IFERROR(IF(($R586-AB586)&gt;=0,0,IF(($S586-AA586)&lt;0,0,IF(AND(($S586-AB586)&gt;0,(AA586-$R586)&gt;0),$V586/365*(AB586-AA586+1),IF(AND(($S586-AB586)&lt;=0,(AA586-$R586)&gt;0),$V586/365*($S586-AA586+1),$V586/365*(AB586-$R586+1))))),0)</f>
        <v>0</v>
      </c>
      <c r="AD586" s="163">
        <f t="shared" ref="AD586:AD589" si="6599">AB586+1</f>
        <v>45717</v>
      </c>
      <c r="AE586" s="163">
        <f t="shared" ref="AE586:AE589" si="6600">AD586+30</f>
        <v>45747</v>
      </c>
      <c r="AF586" s="167">
        <f t="shared" ref="AF586:AF589" si="6601">IFERROR(IF(($R586-AE586)&gt;=0,0,IF(($S586-AD586)&lt;0,0,IF(AND(($S586-AE586)&gt;0,(AD586-$R586)&gt;0),$V586/365*(AE586-AD586+1),IF(AND(($S586-AE586)&lt;=0,(AD586-$R586)&gt;0),$V586/365*($S586-AD586+1),$V586/365*(AE586-$R586+1))))),0)</f>
        <v>0</v>
      </c>
      <c r="AG586" s="163">
        <f t="shared" ref="AG586:AG589" si="6602">AE586+1</f>
        <v>45748</v>
      </c>
      <c r="AH586" s="163">
        <f t="shared" ref="AH586:AH589" si="6603">AG586+29</f>
        <v>45777</v>
      </c>
      <c r="AI586" s="167">
        <f t="shared" ref="AI586:AI589" si="6604">IFERROR(IF(($R586-AH586)&gt;=0,0,IF(($S586-AG586)&lt;0,0,IF(AND(($S586-AH586)&gt;0,(AG586-$R586)&gt;0),$V586/365*(AH586-AG586+1),IF(AND(($S586-AH586)&lt;=0,(AG586-$R586)&gt;0),$V586/365*($S586-AG586+1),$V586/365*(AH586-$R586+1))))),0)</f>
        <v>0</v>
      </c>
      <c r="AJ586" s="163">
        <f t="shared" ref="AJ586:AJ589" si="6605">AH586+1</f>
        <v>45778</v>
      </c>
      <c r="AK586" s="163">
        <f t="shared" ref="AK586:AK589" si="6606">AJ586+30</f>
        <v>45808</v>
      </c>
      <c r="AL586" s="167">
        <f t="shared" ref="AL586:AL589" si="6607">IFERROR(IF(($R586-AK586)&gt;=0,0,IF(($S586-AJ586)&lt;0,0,IF(AND(($S586-AK586)&gt;0,(AJ586-$R586)&gt;0),$V586/365*(AK586-AJ586+1),IF(AND(($S586-AK586)&lt;=0,(AJ586-$R586)&gt;0),$V586/365*($S586-AJ586+1),$V586/365*(AK586-$R586+1))))),0)</f>
        <v>0</v>
      </c>
      <c r="AM586" s="163">
        <f t="shared" ref="AM586:AM589" si="6608">AK586+1</f>
        <v>45809</v>
      </c>
      <c r="AN586" s="163">
        <f t="shared" ref="AN586:AN589" si="6609">AM586+29</f>
        <v>45838</v>
      </c>
      <c r="AO586" s="167">
        <f t="shared" ref="AO586:AO589" si="6610">IFERROR(IF(($R586-AN586)&gt;=0,0,IF(($S586-AM586)&lt;0,0,IF(AND(($S586-AN586)&gt;0,(AM586-$R586)&gt;0),$V586/365*(AN586-AM586+1),IF(AND(($S586-AN586)&lt;=0,(AM586-$R586)&gt;0),$V586/365*($S586-AM586+1),$V586/365*(AN586-$R586+1))))),0)</f>
        <v>0</v>
      </c>
      <c r="AP586" s="163">
        <f t="shared" ref="AP586:AP589" si="6611">AN586+1</f>
        <v>45839</v>
      </c>
      <c r="AQ586" s="163">
        <f t="shared" ref="AQ586:AQ589" si="6612">AP586+30</f>
        <v>45869</v>
      </c>
      <c r="AR586" s="167">
        <f t="shared" ref="AR586:AR589" si="6613">IFERROR(IF(($R586-AQ586)&gt;=0,0,IF(($S586-AP586)&lt;0,0,IF(AND(($S586-AQ586)&gt;0,(AP586-$R586)&gt;0),$V586/365*(AQ586-AP586+1),IF(AND(($S586-AQ586)&lt;=0,(AP586-$R586)&gt;0),$V586/365*($S586-AP586+1),$V586/365*(AQ586-$R586+1))))),0)</f>
        <v>0</v>
      </c>
      <c r="AS586" s="163">
        <f t="shared" ref="AS586:AS589" si="6614">AQ586+1</f>
        <v>45870</v>
      </c>
      <c r="AT586" s="163">
        <f t="shared" ref="AT586:AT589" si="6615">AS586+30</f>
        <v>45900</v>
      </c>
      <c r="AU586" s="167">
        <f t="shared" ref="AU586:AU589" si="6616">IFERROR(IF(($R586-AT586)&gt;=0,0,IF(($S586-AS586)&lt;0,0,IF(AND(($S586-AT586)&gt;0,(AS586-$R586)&gt;0),$V586/365*(AT586-AS586+1),IF(AND(($S586-AT586)&lt;=0,(AS586-$R586)&gt;0),$V586/365*($S586-AS586+1),$V586/365*(AT586-$R586+1))))),0)</f>
        <v>0</v>
      </c>
      <c r="AV586" s="163">
        <f t="shared" ref="AV586:AV589" si="6617">AT586+1</f>
        <v>45901</v>
      </c>
      <c r="AW586" s="163">
        <f t="shared" ref="AW586:AW589" si="6618">AV586+29</f>
        <v>45930</v>
      </c>
      <c r="AX586" s="167">
        <f t="shared" ref="AX586:AX589" si="6619">IFERROR(IF(($R586-AW586)&gt;=0,0,IF(($S586-AV586)&lt;0,0,IF(AND(($S586-AW586)&gt;0,(AV586-$R586)&gt;0),$V586/365*(AW586-AV586+1),IF(AND(($S586-AW586)&lt;=0,(AV586-$R586)&gt;0),$V586/365*($S586-AV586+1),$V586/365*(AW586-$R586+1))))),0)</f>
        <v>0</v>
      </c>
      <c r="AY586" s="163">
        <f t="shared" ref="AY586:AY589" si="6620">AW586+1</f>
        <v>45931</v>
      </c>
      <c r="AZ586" s="163">
        <f t="shared" ref="AZ586:AZ589" si="6621">AY586+30</f>
        <v>45961</v>
      </c>
      <c r="BA586" s="167">
        <f t="shared" ref="BA586:BA589" si="6622">IFERROR(IF(($R586-AZ586)&gt;=0,0,IF(($S586-AY586)&lt;0,0,IF(AND(($S586-AZ586)&gt;0,(AY586-$R586)&gt;0),$V586/365*(AZ586-AY586+1),IF(AND(($S586-AZ586)&lt;=0,(AY586-$R586)&gt;0),$V586/365*($S586-AY586+1),$V586/365*(AZ586-$R586+1))))),0)</f>
        <v>0</v>
      </c>
      <c r="BB586" s="163">
        <f t="shared" ref="BB586:BB589" si="6623">AZ586+1</f>
        <v>45962</v>
      </c>
      <c r="BC586" s="163">
        <f t="shared" ref="BC586:BC589" si="6624">BB586+29</f>
        <v>45991</v>
      </c>
      <c r="BD586" s="167">
        <f t="shared" ref="BD586:BD589" si="6625">IFERROR(IF(($R586-BC586)&gt;=0,0,IF(($S586-BB586)&lt;0,0,IF(AND(($S586-BC586)&gt;0,(BB586-$R586)&gt;0),$V586/365*(BC586-BB586+1),IF(AND(($S586-BC586)&lt;=0,(BB586-$R586)&gt;0),$V586/365*($S586-BB586+1),$V586/365*(BC586-$R586+1))))),0)</f>
        <v>0</v>
      </c>
      <c r="BE586" s="163">
        <f t="shared" ref="BE586:BE589" si="6626">BC586+1</f>
        <v>45992</v>
      </c>
      <c r="BF586" s="163">
        <f t="shared" ref="BF586:BF589" si="6627">BE586+30</f>
        <v>46022</v>
      </c>
      <c r="BG586" s="167">
        <f t="shared" ref="BG586:BG589" si="6628">IFERROR(IF(($R586-BF586)&gt;=0,0,IF(($S586-BE586)&lt;0,0,IF(AND(($S586-BF586)&gt;0,(BE586-$R586)&gt;0),$V586/365*(BF586-BE586+1),IF(AND(($S586-BF586)&lt;=0,(BE586-$R586)&gt;0),$V586/365*($S586-BE586+1),$V586/365*(BF586-$R586+1))))),0)</f>
        <v>0</v>
      </c>
      <c r="BH586" s="163">
        <v>46023</v>
      </c>
      <c r="BI586" s="163">
        <f t="shared" ref="BI586:BI589" si="6629">BH586+30</f>
        <v>46053</v>
      </c>
      <c r="BJ586" s="167">
        <f t="shared" ref="BJ586:BJ589" si="6630">IFERROR(IF(($R586-BI586)&gt;=0,0,IF(($S586-BH586)&lt;0,0,IF(AND(($S586-BI586)&gt;0,(BH586-$R586)&gt;0),$V586/365*(BI586-BH586+1),IF(AND(($S586-BI586)&lt;=0,(BH586-$R586)&gt;0),$V586/365*($S586-BH586+1),$V586/365*(BI586-$R586+1))))),0)</f>
        <v>0</v>
      </c>
      <c r="BK586" s="163">
        <f t="shared" ref="BK586:BK589" si="6631">BI586+1</f>
        <v>46054</v>
      </c>
      <c r="BL586" s="163">
        <f t="shared" ref="BL586:BL589" si="6632">BK586+27</f>
        <v>46081</v>
      </c>
      <c r="BM586" s="167">
        <f t="shared" ref="BM586:BM589" si="6633">IFERROR(IF(($R586-BL586)&gt;=0,0,IF(($S586-BK586)&lt;0,0,IF(AND(($S586-BL586)&gt;0,(BK586-$R586)&gt;0),$V586/365*(BL586-BK586+1),IF(AND(($S586-BL586)&lt;=0,(BK586-$R586)&gt;0),$V586/365*($S586-BK586+1),$V586/365*(BL586-$R586+1))))),0)</f>
        <v>0</v>
      </c>
      <c r="BN586" s="163">
        <f t="shared" ref="BN586:BN589" si="6634">BL586+1</f>
        <v>46082</v>
      </c>
      <c r="BO586" s="163">
        <f t="shared" ref="BO586:BO589" si="6635">BN586+30</f>
        <v>46112</v>
      </c>
      <c r="BP586" s="167">
        <f t="shared" ref="BP586:BP589" si="6636">IFERROR(IF(($R586-BO586)&gt;=0,0,IF(($S586-BN586)&lt;0,0,IF(AND(($S586-BO586)&gt;0,(BN586-$R586)&gt;0),$V586/365*(BO586-BN586+1),IF(AND(($S586-BO586)&lt;=0,(BN586-$R586)&gt;0),$V586/365*($S586-BN586+1),$V586/365*(BO586-$R586+1))))),0)</f>
        <v>0</v>
      </c>
      <c r="BQ586" s="163">
        <f t="shared" ref="BQ586:BQ589" si="6637">BO586+1</f>
        <v>46113</v>
      </c>
      <c r="BR586" s="163">
        <f t="shared" ref="BR586:BR589" si="6638">BQ586+29</f>
        <v>46142</v>
      </c>
      <c r="BS586" s="167">
        <f t="shared" ref="BS586:BS589" si="6639">IFERROR(IF(($R586-BR586)&gt;=0,0,IF(($S586-BQ586)&lt;0,0,IF(AND(($S586-BR586)&gt;0,(BQ586-$R586)&gt;0),$V586/365*(BR586-BQ586+1),IF(AND(($S586-BR586)&lt;=0,(BQ586-$R586)&gt;0),$V586/365*($S586-BQ586+1),$V586/365*(BR586-$R586+1))))),0)</f>
        <v>0</v>
      </c>
      <c r="BT586" s="163">
        <f t="shared" ref="BT586:BT589" si="6640">BR586+1</f>
        <v>46143</v>
      </c>
      <c r="BU586" s="163">
        <f t="shared" ref="BU586:BU589" si="6641">BT586+30</f>
        <v>46173</v>
      </c>
      <c r="BV586" s="167">
        <f t="shared" ref="BV586:BV589" si="6642">IFERROR(IF(($R586-BU586)&gt;=0,0,IF(($S586-BT586)&lt;0,0,IF(AND(($S586-BU586)&gt;0,(BT586-$R586)&gt;0),$V586/365*(BU586-BT586+1),IF(AND(($S586-BU586)&lt;=0,(BT586-$R586)&gt;0),$V586/365*($S586-BT586+1),$V586/365*(BU586-$R586+1))))),0)</f>
        <v>0</v>
      </c>
      <c r="BW586" s="163">
        <f t="shared" ref="BW586:BW589" si="6643">BU586+1</f>
        <v>46174</v>
      </c>
      <c r="BX586" s="163">
        <f t="shared" ref="BX586:BX589" si="6644">BW586+29</f>
        <v>46203</v>
      </c>
      <c r="BY586" s="167">
        <f t="shared" ref="BY586:BY589" si="6645">IFERROR(IF(($R586-BX586)&gt;=0,0,IF(($S586-BW586)&lt;0,0,IF(AND(($S586-BX586)&gt;0,(BW586-$R586)&gt;0),$V586/365*(BX586-BW586+1),IF(AND(($S586-BX586)&lt;=0,(BW586-$R586)&gt;0),$V586/365*($S586-BW586+1),$V586/365*(BX586-$R586+1))))),0)</f>
        <v>0</v>
      </c>
      <c r="BZ586" s="163">
        <f t="shared" ref="BZ586:BZ589" si="6646">BX586+1</f>
        <v>46204</v>
      </c>
      <c r="CA586" s="163">
        <f t="shared" ref="CA586:CA589" si="6647">BZ586+30</f>
        <v>46234</v>
      </c>
      <c r="CB586" s="167">
        <f t="shared" ref="CB586:CB589" si="6648">IFERROR(IF(($R586-CA586)&gt;=0,0,IF(($S586-BZ586)&lt;0,0,IF(AND(($S586-CA586)&gt;0,(BZ586-$R586)&gt;0),$V586/365*(CA586-BZ586+1),IF(AND(($S586-CA586)&lt;=0,(BZ586-$R586)&gt;0),$V586/365*($S586-BZ586+1),$V586/365*(CA586-$R586+1))))),0)</f>
        <v>0</v>
      </c>
      <c r="CC586" s="163">
        <f t="shared" ref="CC586:CC589" si="6649">CA586+1</f>
        <v>46235</v>
      </c>
      <c r="CD586" s="163">
        <f t="shared" ref="CD586:CD589" si="6650">CC586+30</f>
        <v>46265</v>
      </c>
      <c r="CE586" s="167">
        <f t="shared" ref="CE586:CE589" si="6651">IFERROR(IF(($R586-CD586)&gt;=0,0,IF(($S586-CC586)&lt;0,0,IF(AND(($S586-CD586)&gt;0,(CC586-$R586)&gt;0),$V586/365*(CD586-CC586+1),IF(AND(($S586-CD586)&lt;=0,(CC586-$R586)&gt;0),$V586/365*($S586-CC586+1),$V586/365*(CD586-$R586+1))))),0)</f>
        <v>0</v>
      </c>
      <c r="CF586" s="163">
        <f t="shared" ref="CF586:CF589" si="6652">CD586+1</f>
        <v>46266</v>
      </c>
      <c r="CG586" s="163">
        <f t="shared" ref="CG586:CG589" si="6653">CF586+29</f>
        <v>46295</v>
      </c>
      <c r="CH586" s="167">
        <f t="shared" ref="CH586:CH589" si="6654">IFERROR(IF(($R586-CG586)&gt;=0,0,IF(($S586-CF586)&lt;0,0,IF(AND(($S586-CG586)&gt;0,(CF586-$R586)&gt;0),$V586/365*(CG586-CF586+1),IF(AND(($S586-CG586)&lt;=0,(CF586-$R586)&gt;0),$V586/365*($S586-CF586+1),$V586/365*(CG586-$R586+1))))),0)</f>
        <v>0</v>
      </c>
      <c r="CI586" s="163">
        <f t="shared" ref="CI586:CI589" si="6655">CG586+1</f>
        <v>46296</v>
      </c>
      <c r="CJ586" s="163">
        <f t="shared" ref="CJ586:CJ589" si="6656">CI586+30</f>
        <v>46326</v>
      </c>
      <c r="CK586" s="167">
        <f t="shared" ref="CK586:CK589" si="6657">IFERROR(IF(($R586-CJ586)&gt;=0,0,IF(($S586-CI586)&lt;0,0,IF(AND(($S586-CJ586)&gt;0,(CI586-$R586)&gt;0),$V586/365*(CJ586-CI586+1),IF(AND(($S586-CJ586)&lt;=0,(CI586-$R586)&gt;0),$V586/365*($S586-CI586+1),$V586/365*(CJ586-$R586+1))))),0)</f>
        <v>0</v>
      </c>
      <c r="CL586" s="163">
        <f t="shared" ref="CL586:CL589" si="6658">CJ586+1</f>
        <v>46327</v>
      </c>
      <c r="CM586" s="163">
        <f t="shared" ref="CM586:CM589" si="6659">CL586+29</f>
        <v>46356</v>
      </c>
      <c r="CN586" s="167">
        <f t="shared" ref="CN586:CN589" si="6660">IFERROR(IF(($R586-CM586)&gt;=0,0,IF(($S586-CL586)&lt;0,0,IF(AND(($S586-CM586)&gt;0,(CL586-$R586)&gt;0),$V586/365*(CM586-CL586+1),IF(AND(($S586-CM586)&lt;=0,(CL586-$R586)&gt;0),$V586/365*($S586-CL586+1),$V586/365*(CM586-$R586+1))))),0)</f>
        <v>0</v>
      </c>
      <c r="CO586" s="163">
        <f t="shared" ref="CO586:CO589" si="6661">CM586+1</f>
        <v>46357</v>
      </c>
      <c r="CP586" s="163">
        <f t="shared" ref="CP586:CP589" si="6662">CO586+30</f>
        <v>46387</v>
      </c>
      <c r="CQ586" s="167">
        <f t="shared" ref="CQ586:CQ589" si="6663">IFERROR(IF(($R586-CP586)&gt;=0,0,IF(($S586-CO586)&lt;0,0,IF(AND(($S586-CP586)&gt;0,(CO586-$R586)&gt;0),$V586/365*(CP586-CO586+1),IF(AND(($S586-CP586)&lt;=0,(CO586-$R586)&gt;0),$V586/365*($S586-CO586+1),$V586/365*(CP586-$R586+1))))),0)</f>
        <v>0</v>
      </c>
    </row>
    <row r="587" s="89" customFormat="1" ht="24" customHeight="1" outlineLevel="2" spans="1:95">
      <c r="A587" s="128"/>
      <c r="B587" s="129"/>
      <c r="C587" s="130"/>
      <c r="D587" s="128"/>
      <c r="E587" s="129"/>
      <c r="F587" s="129"/>
      <c r="G587" s="129"/>
      <c r="H587" s="131"/>
      <c r="I587" s="131"/>
      <c r="J587" s="131">
        <f t="shared" ref="J587:J605" si="6664">Z587+AC587+AF587+AI587+AL587+AO587+AR587+AU587+AX587+BA587+BD587+BG587</f>
        <v>0</v>
      </c>
      <c r="K587" s="131">
        <f t="shared" ref="K587:K589" si="6665">K586+1</f>
        <v>2</v>
      </c>
      <c r="L587" s="156"/>
      <c r="M587" s="157">
        <f>IFERROR(VLOOKUP($L587,'2-2 引出数据_合同数据仓库'!$B$5:$BP$200,3,FALSE),0)</f>
        <v>0</v>
      </c>
      <c r="N587" s="131"/>
      <c r="O587" s="157">
        <f>IFERROR(VLOOKUP((LEFT(VLOOKUP($L587,'2-2 引出数据_合同数据仓库'!$B$5:$BP$200,64,FALSE),15)&amp;(RIGHT(VLOOKUP($L587,'2-2 引出数据_合同数据仓库'!$B$5:$BP$200,64,FALSE),4)+1)),'2-2 引出数据_合同数据仓库'!$B$5:$BP$200,3,FALSE),0)</f>
        <v>0</v>
      </c>
      <c r="P587" s="131"/>
      <c r="Q587" s="131">
        <f>IFERROR(VLOOKUP($L587,'2-2 引出数据_合同数据仓库'!$B$5:$BP$200,28,FALSE),0)</f>
        <v>0</v>
      </c>
      <c r="R587" s="131">
        <f>IFERROR(VLOOKUP($L587,'2-2 引出数据_合同数据仓库'!$B$5:$BP$200,29,FALSE),0)</f>
        <v>0</v>
      </c>
      <c r="S587" s="131">
        <f>IFERROR(VLOOKUP($L587,'2-2 引出数据_合同数据仓库'!$B$5:$BP$200,4,FALSE),0)</f>
        <v>0</v>
      </c>
      <c r="T587" s="131"/>
      <c r="U587" s="131">
        <f>IFERROR(VLOOKUP($L587,'2-2 引出数据_合同数据仓库'!$B$5:$BP$200,15,FALSE),0)</f>
        <v>0</v>
      </c>
      <c r="V587" s="131">
        <f t="shared" si="6593"/>
        <v>0</v>
      </c>
      <c r="W587" s="131"/>
      <c r="X587" s="163">
        <v>45658</v>
      </c>
      <c r="Y587" s="163">
        <f t="shared" si="6594"/>
        <v>45688</v>
      </c>
      <c r="Z587" s="167">
        <f t="shared" si="6595"/>
        <v>0</v>
      </c>
      <c r="AA587" s="163">
        <f t="shared" si="6596"/>
        <v>45689</v>
      </c>
      <c r="AB587" s="163">
        <f t="shared" si="6597"/>
        <v>45716</v>
      </c>
      <c r="AC587" s="167">
        <f t="shared" si="6598"/>
        <v>0</v>
      </c>
      <c r="AD587" s="163">
        <f t="shared" si="6599"/>
        <v>45717</v>
      </c>
      <c r="AE587" s="163">
        <f t="shared" si="6600"/>
        <v>45747</v>
      </c>
      <c r="AF587" s="167">
        <f t="shared" si="6601"/>
        <v>0</v>
      </c>
      <c r="AG587" s="163">
        <f t="shared" si="6602"/>
        <v>45748</v>
      </c>
      <c r="AH587" s="163">
        <f t="shared" si="6603"/>
        <v>45777</v>
      </c>
      <c r="AI587" s="167">
        <f t="shared" si="6604"/>
        <v>0</v>
      </c>
      <c r="AJ587" s="163">
        <f t="shared" si="6605"/>
        <v>45778</v>
      </c>
      <c r="AK587" s="163">
        <f t="shared" si="6606"/>
        <v>45808</v>
      </c>
      <c r="AL587" s="167">
        <f t="shared" si="6607"/>
        <v>0</v>
      </c>
      <c r="AM587" s="163">
        <f t="shared" si="6608"/>
        <v>45809</v>
      </c>
      <c r="AN587" s="163">
        <f t="shared" si="6609"/>
        <v>45838</v>
      </c>
      <c r="AO587" s="167">
        <f t="shared" si="6610"/>
        <v>0</v>
      </c>
      <c r="AP587" s="163">
        <f t="shared" si="6611"/>
        <v>45839</v>
      </c>
      <c r="AQ587" s="163">
        <f t="shared" si="6612"/>
        <v>45869</v>
      </c>
      <c r="AR587" s="167">
        <f t="shared" si="6613"/>
        <v>0</v>
      </c>
      <c r="AS587" s="163">
        <f t="shared" si="6614"/>
        <v>45870</v>
      </c>
      <c r="AT587" s="163">
        <f t="shared" si="6615"/>
        <v>45900</v>
      </c>
      <c r="AU587" s="167">
        <f t="shared" si="6616"/>
        <v>0</v>
      </c>
      <c r="AV587" s="163">
        <f t="shared" si="6617"/>
        <v>45901</v>
      </c>
      <c r="AW587" s="163">
        <f t="shared" si="6618"/>
        <v>45930</v>
      </c>
      <c r="AX587" s="167">
        <f t="shared" si="6619"/>
        <v>0</v>
      </c>
      <c r="AY587" s="163">
        <f t="shared" si="6620"/>
        <v>45931</v>
      </c>
      <c r="AZ587" s="163">
        <f t="shared" si="6621"/>
        <v>45961</v>
      </c>
      <c r="BA587" s="167">
        <f t="shared" si="6622"/>
        <v>0</v>
      </c>
      <c r="BB587" s="163">
        <f t="shared" si="6623"/>
        <v>45962</v>
      </c>
      <c r="BC587" s="163">
        <f t="shared" si="6624"/>
        <v>45991</v>
      </c>
      <c r="BD587" s="167">
        <f t="shared" si="6625"/>
        <v>0</v>
      </c>
      <c r="BE587" s="163">
        <f t="shared" si="6626"/>
        <v>45992</v>
      </c>
      <c r="BF587" s="163">
        <f t="shared" si="6627"/>
        <v>46022</v>
      </c>
      <c r="BG587" s="167">
        <f t="shared" si="6628"/>
        <v>0</v>
      </c>
      <c r="BH587" s="163">
        <v>46023</v>
      </c>
      <c r="BI587" s="163">
        <f t="shared" si="6629"/>
        <v>46053</v>
      </c>
      <c r="BJ587" s="167">
        <f t="shared" si="6630"/>
        <v>0</v>
      </c>
      <c r="BK587" s="163">
        <f t="shared" si="6631"/>
        <v>46054</v>
      </c>
      <c r="BL587" s="163">
        <f t="shared" si="6632"/>
        <v>46081</v>
      </c>
      <c r="BM587" s="167">
        <f t="shared" si="6633"/>
        <v>0</v>
      </c>
      <c r="BN587" s="163">
        <f t="shared" si="6634"/>
        <v>46082</v>
      </c>
      <c r="BO587" s="163">
        <f t="shared" si="6635"/>
        <v>46112</v>
      </c>
      <c r="BP587" s="167">
        <f t="shared" si="6636"/>
        <v>0</v>
      </c>
      <c r="BQ587" s="163">
        <f t="shared" si="6637"/>
        <v>46113</v>
      </c>
      <c r="BR587" s="163">
        <f t="shared" si="6638"/>
        <v>46142</v>
      </c>
      <c r="BS587" s="167">
        <f t="shared" si="6639"/>
        <v>0</v>
      </c>
      <c r="BT587" s="163">
        <f t="shared" si="6640"/>
        <v>46143</v>
      </c>
      <c r="BU587" s="163">
        <f t="shared" si="6641"/>
        <v>46173</v>
      </c>
      <c r="BV587" s="167">
        <f t="shared" si="6642"/>
        <v>0</v>
      </c>
      <c r="BW587" s="163">
        <f t="shared" si="6643"/>
        <v>46174</v>
      </c>
      <c r="BX587" s="163">
        <f t="shared" si="6644"/>
        <v>46203</v>
      </c>
      <c r="BY587" s="167">
        <f t="shared" si="6645"/>
        <v>0</v>
      </c>
      <c r="BZ587" s="163">
        <f t="shared" si="6646"/>
        <v>46204</v>
      </c>
      <c r="CA587" s="163">
        <f t="shared" si="6647"/>
        <v>46234</v>
      </c>
      <c r="CB587" s="167">
        <f t="shared" si="6648"/>
        <v>0</v>
      </c>
      <c r="CC587" s="163">
        <f t="shared" si="6649"/>
        <v>46235</v>
      </c>
      <c r="CD587" s="163">
        <f t="shared" si="6650"/>
        <v>46265</v>
      </c>
      <c r="CE587" s="167">
        <f t="shared" si="6651"/>
        <v>0</v>
      </c>
      <c r="CF587" s="163">
        <f t="shared" si="6652"/>
        <v>46266</v>
      </c>
      <c r="CG587" s="163">
        <f t="shared" si="6653"/>
        <v>46295</v>
      </c>
      <c r="CH587" s="167">
        <f t="shared" si="6654"/>
        <v>0</v>
      </c>
      <c r="CI587" s="163">
        <f t="shared" si="6655"/>
        <v>46296</v>
      </c>
      <c r="CJ587" s="163">
        <f t="shared" si="6656"/>
        <v>46326</v>
      </c>
      <c r="CK587" s="167">
        <f t="shared" si="6657"/>
        <v>0</v>
      </c>
      <c r="CL587" s="163">
        <f t="shared" si="6658"/>
        <v>46327</v>
      </c>
      <c r="CM587" s="163">
        <f t="shared" si="6659"/>
        <v>46356</v>
      </c>
      <c r="CN587" s="167">
        <f t="shared" si="6660"/>
        <v>0</v>
      </c>
      <c r="CO587" s="163">
        <f t="shared" si="6661"/>
        <v>46357</v>
      </c>
      <c r="CP587" s="163">
        <f t="shared" si="6662"/>
        <v>46387</v>
      </c>
      <c r="CQ587" s="167">
        <f t="shared" si="6663"/>
        <v>0</v>
      </c>
    </row>
    <row r="588" s="89" customFormat="1" ht="24" customHeight="1" outlineLevel="2" spans="1:95">
      <c r="A588" s="128"/>
      <c r="B588" s="129"/>
      <c r="C588" s="130"/>
      <c r="D588" s="128"/>
      <c r="E588" s="129"/>
      <c r="F588" s="129"/>
      <c r="G588" s="129"/>
      <c r="H588" s="131"/>
      <c r="I588" s="131"/>
      <c r="J588" s="131">
        <f t="shared" si="6664"/>
        <v>0</v>
      </c>
      <c r="K588" s="131">
        <f t="shared" si="6665"/>
        <v>3</v>
      </c>
      <c r="L588" s="156"/>
      <c r="M588" s="157">
        <f>IFERROR(VLOOKUP($L588,'2-2 引出数据_合同数据仓库'!$B$5:$BP$200,3,FALSE),0)</f>
        <v>0</v>
      </c>
      <c r="N588" s="131"/>
      <c r="O588" s="157">
        <f>IFERROR(VLOOKUP((LEFT(VLOOKUP($L588,'2-2 引出数据_合同数据仓库'!$B$5:$BP$200,64,FALSE),15)&amp;(RIGHT(VLOOKUP($L588,'2-2 引出数据_合同数据仓库'!$B$5:$BP$200,64,FALSE),4)+1)),'2-2 引出数据_合同数据仓库'!$B$5:$BP$200,3,FALSE),0)</f>
        <v>0</v>
      </c>
      <c r="P588" s="131"/>
      <c r="Q588" s="131">
        <f>IFERROR(VLOOKUP($L588,'2-2 引出数据_合同数据仓库'!$B$5:$BP$200,28,FALSE),0)</f>
        <v>0</v>
      </c>
      <c r="R588" s="131">
        <f>IFERROR(VLOOKUP($L588,'2-2 引出数据_合同数据仓库'!$B$5:$BP$200,29,FALSE),0)</f>
        <v>0</v>
      </c>
      <c r="S588" s="131">
        <f>IFERROR(VLOOKUP($L588,'2-2 引出数据_合同数据仓库'!$B$5:$BP$200,4,FALSE),0)</f>
        <v>0</v>
      </c>
      <c r="T588" s="131"/>
      <c r="U588" s="131">
        <f>IFERROR(VLOOKUP($L588,'2-2 引出数据_合同数据仓库'!$B$5:$BP$200,15,FALSE),0)</f>
        <v>0</v>
      </c>
      <c r="V588" s="131">
        <f t="shared" si="6593"/>
        <v>0</v>
      </c>
      <c r="W588" s="131"/>
      <c r="X588" s="163">
        <v>45658</v>
      </c>
      <c r="Y588" s="163">
        <f t="shared" si="6594"/>
        <v>45688</v>
      </c>
      <c r="Z588" s="167">
        <f t="shared" si="6595"/>
        <v>0</v>
      </c>
      <c r="AA588" s="163">
        <f t="shared" si="6596"/>
        <v>45689</v>
      </c>
      <c r="AB588" s="163">
        <f t="shared" si="6597"/>
        <v>45716</v>
      </c>
      <c r="AC588" s="167">
        <f t="shared" si="6598"/>
        <v>0</v>
      </c>
      <c r="AD588" s="163">
        <f t="shared" si="6599"/>
        <v>45717</v>
      </c>
      <c r="AE588" s="163">
        <f t="shared" si="6600"/>
        <v>45747</v>
      </c>
      <c r="AF588" s="167">
        <f t="shared" si="6601"/>
        <v>0</v>
      </c>
      <c r="AG588" s="163">
        <f t="shared" si="6602"/>
        <v>45748</v>
      </c>
      <c r="AH588" s="163">
        <f t="shared" si="6603"/>
        <v>45777</v>
      </c>
      <c r="AI588" s="167">
        <f t="shared" si="6604"/>
        <v>0</v>
      </c>
      <c r="AJ588" s="163">
        <f t="shared" si="6605"/>
        <v>45778</v>
      </c>
      <c r="AK588" s="163">
        <f t="shared" si="6606"/>
        <v>45808</v>
      </c>
      <c r="AL588" s="167">
        <f t="shared" si="6607"/>
        <v>0</v>
      </c>
      <c r="AM588" s="163">
        <f t="shared" si="6608"/>
        <v>45809</v>
      </c>
      <c r="AN588" s="163">
        <f t="shared" si="6609"/>
        <v>45838</v>
      </c>
      <c r="AO588" s="167">
        <f t="shared" si="6610"/>
        <v>0</v>
      </c>
      <c r="AP588" s="163">
        <f t="shared" si="6611"/>
        <v>45839</v>
      </c>
      <c r="AQ588" s="163">
        <f t="shared" si="6612"/>
        <v>45869</v>
      </c>
      <c r="AR588" s="167">
        <f t="shared" si="6613"/>
        <v>0</v>
      </c>
      <c r="AS588" s="163">
        <f t="shared" si="6614"/>
        <v>45870</v>
      </c>
      <c r="AT588" s="163">
        <f t="shared" si="6615"/>
        <v>45900</v>
      </c>
      <c r="AU588" s="167">
        <f t="shared" si="6616"/>
        <v>0</v>
      </c>
      <c r="AV588" s="163">
        <f t="shared" si="6617"/>
        <v>45901</v>
      </c>
      <c r="AW588" s="163">
        <f t="shared" si="6618"/>
        <v>45930</v>
      </c>
      <c r="AX588" s="167">
        <f t="shared" si="6619"/>
        <v>0</v>
      </c>
      <c r="AY588" s="163">
        <f t="shared" si="6620"/>
        <v>45931</v>
      </c>
      <c r="AZ588" s="163">
        <f t="shared" si="6621"/>
        <v>45961</v>
      </c>
      <c r="BA588" s="167">
        <f t="shared" si="6622"/>
        <v>0</v>
      </c>
      <c r="BB588" s="163">
        <f t="shared" si="6623"/>
        <v>45962</v>
      </c>
      <c r="BC588" s="163">
        <f t="shared" si="6624"/>
        <v>45991</v>
      </c>
      <c r="BD588" s="167">
        <f t="shared" si="6625"/>
        <v>0</v>
      </c>
      <c r="BE588" s="163">
        <f t="shared" si="6626"/>
        <v>45992</v>
      </c>
      <c r="BF588" s="163">
        <f t="shared" si="6627"/>
        <v>46022</v>
      </c>
      <c r="BG588" s="167">
        <f t="shared" si="6628"/>
        <v>0</v>
      </c>
      <c r="BH588" s="163">
        <v>46023</v>
      </c>
      <c r="BI588" s="163">
        <f t="shared" si="6629"/>
        <v>46053</v>
      </c>
      <c r="BJ588" s="167">
        <f t="shared" si="6630"/>
        <v>0</v>
      </c>
      <c r="BK588" s="163">
        <f t="shared" si="6631"/>
        <v>46054</v>
      </c>
      <c r="BL588" s="163">
        <f t="shared" si="6632"/>
        <v>46081</v>
      </c>
      <c r="BM588" s="167">
        <f t="shared" si="6633"/>
        <v>0</v>
      </c>
      <c r="BN588" s="163">
        <f t="shared" si="6634"/>
        <v>46082</v>
      </c>
      <c r="BO588" s="163">
        <f t="shared" si="6635"/>
        <v>46112</v>
      </c>
      <c r="BP588" s="167">
        <f t="shared" si="6636"/>
        <v>0</v>
      </c>
      <c r="BQ588" s="163">
        <f t="shared" si="6637"/>
        <v>46113</v>
      </c>
      <c r="BR588" s="163">
        <f t="shared" si="6638"/>
        <v>46142</v>
      </c>
      <c r="BS588" s="167">
        <f t="shared" si="6639"/>
        <v>0</v>
      </c>
      <c r="BT588" s="163">
        <f t="shared" si="6640"/>
        <v>46143</v>
      </c>
      <c r="BU588" s="163">
        <f t="shared" si="6641"/>
        <v>46173</v>
      </c>
      <c r="BV588" s="167">
        <f t="shared" si="6642"/>
        <v>0</v>
      </c>
      <c r="BW588" s="163">
        <f t="shared" si="6643"/>
        <v>46174</v>
      </c>
      <c r="BX588" s="163">
        <f t="shared" si="6644"/>
        <v>46203</v>
      </c>
      <c r="BY588" s="167">
        <f t="shared" si="6645"/>
        <v>0</v>
      </c>
      <c r="BZ588" s="163">
        <f t="shared" si="6646"/>
        <v>46204</v>
      </c>
      <c r="CA588" s="163">
        <f t="shared" si="6647"/>
        <v>46234</v>
      </c>
      <c r="CB588" s="167">
        <f t="shared" si="6648"/>
        <v>0</v>
      </c>
      <c r="CC588" s="163">
        <f t="shared" si="6649"/>
        <v>46235</v>
      </c>
      <c r="CD588" s="163">
        <f t="shared" si="6650"/>
        <v>46265</v>
      </c>
      <c r="CE588" s="167">
        <f t="shared" si="6651"/>
        <v>0</v>
      </c>
      <c r="CF588" s="163">
        <f t="shared" si="6652"/>
        <v>46266</v>
      </c>
      <c r="CG588" s="163">
        <f t="shared" si="6653"/>
        <v>46295</v>
      </c>
      <c r="CH588" s="167">
        <f t="shared" si="6654"/>
        <v>0</v>
      </c>
      <c r="CI588" s="163">
        <f t="shared" si="6655"/>
        <v>46296</v>
      </c>
      <c r="CJ588" s="163">
        <f t="shared" si="6656"/>
        <v>46326</v>
      </c>
      <c r="CK588" s="167">
        <f t="shared" si="6657"/>
        <v>0</v>
      </c>
      <c r="CL588" s="163">
        <f t="shared" si="6658"/>
        <v>46327</v>
      </c>
      <c r="CM588" s="163">
        <f t="shared" si="6659"/>
        <v>46356</v>
      </c>
      <c r="CN588" s="167">
        <f t="shared" si="6660"/>
        <v>0</v>
      </c>
      <c r="CO588" s="163">
        <f t="shared" si="6661"/>
        <v>46357</v>
      </c>
      <c r="CP588" s="163">
        <f t="shared" si="6662"/>
        <v>46387</v>
      </c>
      <c r="CQ588" s="167">
        <f t="shared" si="6663"/>
        <v>0</v>
      </c>
    </row>
    <row r="589" s="89" customFormat="1" ht="24" customHeight="1" outlineLevel="2" collapsed="1" spans="1:95">
      <c r="A589" s="128"/>
      <c r="B589" s="129"/>
      <c r="C589" s="130"/>
      <c r="D589" s="128"/>
      <c r="E589" s="129"/>
      <c r="F589" s="129"/>
      <c r="G589" s="129"/>
      <c r="H589" s="131"/>
      <c r="I589" s="131"/>
      <c r="J589" s="131">
        <f t="shared" si="6664"/>
        <v>0</v>
      </c>
      <c r="K589" s="131">
        <f t="shared" si="6665"/>
        <v>4</v>
      </c>
      <c r="L589" s="156"/>
      <c r="M589" s="157">
        <f>IFERROR(VLOOKUP($L589,'2-2 引出数据_合同数据仓库'!$B$5:$BP$200,3,FALSE),0)</f>
        <v>0</v>
      </c>
      <c r="N589" s="131"/>
      <c r="O589" s="157">
        <f>IFERROR(VLOOKUP((LEFT(VLOOKUP($L589,'2-2 引出数据_合同数据仓库'!$B$5:$BP$200,64,FALSE),15)&amp;(RIGHT(VLOOKUP($L589,'2-2 引出数据_合同数据仓库'!$B$5:$BP$200,64,FALSE),4)+1)),'2-2 引出数据_合同数据仓库'!$B$5:$BP$200,3,FALSE),0)</f>
        <v>0</v>
      </c>
      <c r="P589" s="131"/>
      <c r="Q589" s="131">
        <f>IFERROR(VLOOKUP($L589,'2-2 引出数据_合同数据仓库'!$B$5:$BP$200,28,FALSE),0)</f>
        <v>0</v>
      </c>
      <c r="R589" s="131">
        <f>IFERROR(VLOOKUP($L589,'2-2 引出数据_合同数据仓库'!$B$5:$BP$200,29,FALSE),0)</f>
        <v>0</v>
      </c>
      <c r="S589" s="131">
        <f>IFERROR(VLOOKUP($L589,'2-2 引出数据_合同数据仓库'!$B$5:$BP$200,4,FALSE),0)</f>
        <v>0</v>
      </c>
      <c r="T589" s="131"/>
      <c r="U589" s="131">
        <f>IFERROR(VLOOKUP($L589,'2-2 引出数据_合同数据仓库'!$B$5:$BP$200,15,FALSE),0)</f>
        <v>0</v>
      </c>
      <c r="V589" s="131">
        <f t="shared" si="6593"/>
        <v>0</v>
      </c>
      <c r="W589" s="131"/>
      <c r="X589" s="163">
        <v>45658</v>
      </c>
      <c r="Y589" s="163">
        <f t="shared" si="6594"/>
        <v>45688</v>
      </c>
      <c r="Z589" s="167">
        <f t="shared" si="6595"/>
        <v>0</v>
      </c>
      <c r="AA589" s="163">
        <f t="shared" si="6596"/>
        <v>45689</v>
      </c>
      <c r="AB589" s="163">
        <f t="shared" si="6597"/>
        <v>45716</v>
      </c>
      <c r="AC589" s="167">
        <f t="shared" si="6598"/>
        <v>0</v>
      </c>
      <c r="AD589" s="163">
        <f t="shared" si="6599"/>
        <v>45717</v>
      </c>
      <c r="AE589" s="163">
        <f t="shared" si="6600"/>
        <v>45747</v>
      </c>
      <c r="AF589" s="167">
        <f t="shared" si="6601"/>
        <v>0</v>
      </c>
      <c r="AG589" s="163">
        <f t="shared" si="6602"/>
        <v>45748</v>
      </c>
      <c r="AH589" s="163">
        <f t="shared" si="6603"/>
        <v>45777</v>
      </c>
      <c r="AI589" s="167">
        <f t="shared" si="6604"/>
        <v>0</v>
      </c>
      <c r="AJ589" s="163">
        <f t="shared" si="6605"/>
        <v>45778</v>
      </c>
      <c r="AK589" s="163">
        <f t="shared" si="6606"/>
        <v>45808</v>
      </c>
      <c r="AL589" s="167">
        <f t="shared" si="6607"/>
        <v>0</v>
      </c>
      <c r="AM589" s="163">
        <f t="shared" si="6608"/>
        <v>45809</v>
      </c>
      <c r="AN589" s="163">
        <f t="shared" si="6609"/>
        <v>45838</v>
      </c>
      <c r="AO589" s="167">
        <f t="shared" si="6610"/>
        <v>0</v>
      </c>
      <c r="AP589" s="163">
        <f t="shared" si="6611"/>
        <v>45839</v>
      </c>
      <c r="AQ589" s="163">
        <f t="shared" si="6612"/>
        <v>45869</v>
      </c>
      <c r="AR589" s="167">
        <f t="shared" si="6613"/>
        <v>0</v>
      </c>
      <c r="AS589" s="163">
        <f t="shared" si="6614"/>
        <v>45870</v>
      </c>
      <c r="AT589" s="163">
        <f t="shared" si="6615"/>
        <v>45900</v>
      </c>
      <c r="AU589" s="167">
        <f t="shared" si="6616"/>
        <v>0</v>
      </c>
      <c r="AV589" s="163">
        <f t="shared" si="6617"/>
        <v>45901</v>
      </c>
      <c r="AW589" s="163">
        <f t="shared" si="6618"/>
        <v>45930</v>
      </c>
      <c r="AX589" s="167">
        <f t="shared" si="6619"/>
        <v>0</v>
      </c>
      <c r="AY589" s="163">
        <f t="shared" si="6620"/>
        <v>45931</v>
      </c>
      <c r="AZ589" s="163">
        <f t="shared" si="6621"/>
        <v>45961</v>
      </c>
      <c r="BA589" s="167">
        <f t="shared" si="6622"/>
        <v>0</v>
      </c>
      <c r="BB589" s="163">
        <f t="shared" si="6623"/>
        <v>45962</v>
      </c>
      <c r="BC589" s="163">
        <f t="shared" si="6624"/>
        <v>45991</v>
      </c>
      <c r="BD589" s="167">
        <f t="shared" si="6625"/>
        <v>0</v>
      </c>
      <c r="BE589" s="163">
        <f t="shared" si="6626"/>
        <v>45992</v>
      </c>
      <c r="BF589" s="163">
        <f t="shared" si="6627"/>
        <v>46022</v>
      </c>
      <c r="BG589" s="167">
        <f t="shared" si="6628"/>
        <v>0</v>
      </c>
      <c r="BH589" s="163">
        <v>46023</v>
      </c>
      <c r="BI589" s="163">
        <f t="shared" si="6629"/>
        <v>46053</v>
      </c>
      <c r="BJ589" s="167">
        <f t="shared" si="6630"/>
        <v>0</v>
      </c>
      <c r="BK589" s="163">
        <f t="shared" si="6631"/>
        <v>46054</v>
      </c>
      <c r="BL589" s="163">
        <f t="shared" si="6632"/>
        <v>46081</v>
      </c>
      <c r="BM589" s="167">
        <f t="shared" si="6633"/>
        <v>0</v>
      </c>
      <c r="BN589" s="163">
        <f t="shared" si="6634"/>
        <v>46082</v>
      </c>
      <c r="BO589" s="163">
        <f t="shared" si="6635"/>
        <v>46112</v>
      </c>
      <c r="BP589" s="167">
        <f t="shared" si="6636"/>
        <v>0</v>
      </c>
      <c r="BQ589" s="163">
        <f t="shared" si="6637"/>
        <v>46113</v>
      </c>
      <c r="BR589" s="163">
        <f t="shared" si="6638"/>
        <v>46142</v>
      </c>
      <c r="BS589" s="167">
        <f t="shared" si="6639"/>
        <v>0</v>
      </c>
      <c r="BT589" s="163">
        <f t="shared" si="6640"/>
        <v>46143</v>
      </c>
      <c r="BU589" s="163">
        <f t="shared" si="6641"/>
        <v>46173</v>
      </c>
      <c r="BV589" s="167">
        <f t="shared" si="6642"/>
        <v>0</v>
      </c>
      <c r="BW589" s="163">
        <f t="shared" si="6643"/>
        <v>46174</v>
      </c>
      <c r="BX589" s="163">
        <f t="shared" si="6644"/>
        <v>46203</v>
      </c>
      <c r="BY589" s="167">
        <f t="shared" si="6645"/>
        <v>0</v>
      </c>
      <c r="BZ589" s="163">
        <f t="shared" si="6646"/>
        <v>46204</v>
      </c>
      <c r="CA589" s="163">
        <f t="shared" si="6647"/>
        <v>46234</v>
      </c>
      <c r="CB589" s="167">
        <f t="shared" si="6648"/>
        <v>0</v>
      </c>
      <c r="CC589" s="163">
        <f t="shared" si="6649"/>
        <v>46235</v>
      </c>
      <c r="CD589" s="163">
        <f t="shared" si="6650"/>
        <v>46265</v>
      </c>
      <c r="CE589" s="167">
        <f t="shared" si="6651"/>
        <v>0</v>
      </c>
      <c r="CF589" s="163">
        <f t="shared" si="6652"/>
        <v>46266</v>
      </c>
      <c r="CG589" s="163">
        <f t="shared" si="6653"/>
        <v>46295</v>
      </c>
      <c r="CH589" s="167">
        <f t="shared" si="6654"/>
        <v>0</v>
      </c>
      <c r="CI589" s="163">
        <f t="shared" si="6655"/>
        <v>46296</v>
      </c>
      <c r="CJ589" s="163">
        <f t="shared" si="6656"/>
        <v>46326</v>
      </c>
      <c r="CK589" s="167">
        <f t="shared" si="6657"/>
        <v>0</v>
      </c>
      <c r="CL589" s="163">
        <f t="shared" si="6658"/>
        <v>46327</v>
      </c>
      <c r="CM589" s="163">
        <f t="shared" si="6659"/>
        <v>46356</v>
      </c>
      <c r="CN589" s="167">
        <f t="shared" si="6660"/>
        <v>0</v>
      </c>
      <c r="CO589" s="163">
        <f t="shared" si="6661"/>
        <v>46357</v>
      </c>
      <c r="CP589" s="163">
        <f t="shared" si="6662"/>
        <v>46387</v>
      </c>
      <c r="CQ589" s="167">
        <f t="shared" si="6663"/>
        <v>0</v>
      </c>
    </row>
    <row r="590" s="89" customFormat="1" ht="24" hidden="1" customHeight="1" outlineLevel="4" spans="1:95">
      <c r="A590" s="132" t="s">
        <v>2813</v>
      </c>
      <c r="B590" s="133"/>
      <c r="C590" s="133"/>
      <c r="D590" s="133"/>
      <c r="E590" s="133"/>
      <c r="F590" s="133"/>
      <c r="G590" s="134"/>
      <c r="H590" s="135"/>
      <c r="I590" s="135"/>
      <c r="J590" s="135"/>
      <c r="K590" s="135"/>
      <c r="L590" s="158"/>
      <c r="M590" s="158"/>
      <c r="N590" s="135"/>
      <c r="O590" s="158"/>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c r="CL590" s="135"/>
      <c r="CM590" s="135"/>
      <c r="CN590" s="135"/>
      <c r="CO590" s="135"/>
      <c r="CP590" s="135"/>
      <c r="CQ590" s="135"/>
    </row>
    <row r="591" ht="24" customHeight="1" outlineLevel="1" spans="1:95">
      <c r="A591" s="14"/>
      <c r="B591" s="118" t="s">
        <v>792</v>
      </c>
      <c r="C591" s="119" t="s">
        <v>2293</v>
      </c>
      <c r="D591" s="14" t="s">
        <v>2294</v>
      </c>
      <c r="E591" s="14"/>
      <c r="F591" s="14"/>
      <c r="G591" s="118" t="s">
        <v>1844</v>
      </c>
      <c r="H591" s="120">
        <f t="shared" ref="H591:H605" si="6666">X591+AA591+AD591+AG591+AJ591+AM591+AP591+AS591+AV591+AY591+BB591+BE591</f>
        <v>660377.358490566</v>
      </c>
      <c r="I591" s="120">
        <f t="shared" ref="I591:I605" si="6667">Y591+AB591+AE591+AH591+AK591+AN591+AQ591+AT591+AW591+AZ591+BC591+BF591</f>
        <v>660377.358490566</v>
      </c>
      <c r="J591" s="120">
        <f t="shared" si="6664"/>
        <v>0</v>
      </c>
      <c r="K591" s="120"/>
      <c r="L591" s="153"/>
      <c r="M591" s="153"/>
      <c r="N591" s="153"/>
      <c r="O591" s="153"/>
      <c r="P591" s="120"/>
      <c r="Q591" s="120"/>
      <c r="R591" s="120"/>
      <c r="S591" s="120"/>
      <c r="T591" s="120"/>
      <c r="U591" s="120"/>
      <c r="V591" s="120"/>
      <c r="W591" s="120"/>
      <c r="X591" s="120">
        <f>VLOOKUP($C591,'1 预算编制表单'!$C:$BJ,27,FALSE)</f>
        <v>55031.4465408805</v>
      </c>
      <c r="Y591" s="120">
        <f>X591-Z591</f>
        <v>55031.4465408805</v>
      </c>
      <c r="Z591" s="120">
        <f>SUM(Z592:Z596)</f>
        <v>0</v>
      </c>
      <c r="AA591" s="120">
        <f>VLOOKUP($C591,'1 预算编制表单'!$C:$BJ,30,FALSE)</f>
        <v>55031.4465408805</v>
      </c>
      <c r="AB591" s="120">
        <f>AA591-AC591</f>
        <v>55031.4465408805</v>
      </c>
      <c r="AC591" s="120">
        <f>SUM(AC592:AC596)</f>
        <v>0</v>
      </c>
      <c r="AD591" s="120">
        <f>VLOOKUP($C591,'1 预算编制表单'!$C:$BJ,33,FALSE)</f>
        <v>55031.4465408805</v>
      </c>
      <c r="AE591" s="120">
        <f>AD591-AF591</f>
        <v>55031.4465408805</v>
      </c>
      <c r="AF591" s="120">
        <f>SUM(AF592:AF596)</f>
        <v>0</v>
      </c>
      <c r="AG591" s="120">
        <f>VLOOKUP($C591,'1 预算编制表单'!$C:$BJ,36,FALSE)</f>
        <v>55031.4465408805</v>
      </c>
      <c r="AH591" s="120">
        <f>AG591-AI591</f>
        <v>55031.4465408805</v>
      </c>
      <c r="AI591" s="120">
        <f>SUM(AI592:AI596)</f>
        <v>0</v>
      </c>
      <c r="AJ591" s="120">
        <f>VLOOKUP($C591,'1 预算编制表单'!$C:$BJ,39,FALSE)</f>
        <v>55031.4465408805</v>
      </c>
      <c r="AK591" s="120">
        <f>AJ591-AL591</f>
        <v>55031.4465408805</v>
      </c>
      <c r="AL591" s="120">
        <f>SUM(AL592:AL596)</f>
        <v>0</v>
      </c>
      <c r="AM591" s="120">
        <f>VLOOKUP($C591,'1 预算编制表单'!$C:$BJ,42,FALSE)</f>
        <v>55031.4465408805</v>
      </c>
      <c r="AN591" s="120">
        <f>AM591-AO591</f>
        <v>55031.4465408805</v>
      </c>
      <c r="AO591" s="120">
        <f>SUM(AO592:AO596)</f>
        <v>0</v>
      </c>
      <c r="AP591" s="120">
        <f>VLOOKUP($C591,'1 预算编制表单'!$C:$BJ,45,FALSE)</f>
        <v>55031.4465408805</v>
      </c>
      <c r="AQ591" s="120">
        <f>AP591-AR591</f>
        <v>55031.4465408805</v>
      </c>
      <c r="AR591" s="120">
        <f>SUM(AR592:AR596)</f>
        <v>0</v>
      </c>
      <c r="AS591" s="120">
        <f>VLOOKUP($C591,'1 预算编制表单'!$C:$BJ,48,FALSE)</f>
        <v>55031.4465408805</v>
      </c>
      <c r="AT591" s="120">
        <f>AS591-AU591</f>
        <v>55031.4465408805</v>
      </c>
      <c r="AU591" s="120">
        <f>SUM(AU592:AU596)</f>
        <v>0</v>
      </c>
      <c r="AV591" s="120">
        <f>VLOOKUP($C591,'1 预算编制表单'!$C:$BJ,51,FALSE)</f>
        <v>55031.4465408805</v>
      </c>
      <c r="AW591" s="120">
        <f>AV591-AX591</f>
        <v>55031.4465408805</v>
      </c>
      <c r="AX591" s="120">
        <f>SUM(AX592:AX596)</f>
        <v>0</v>
      </c>
      <c r="AY591" s="120">
        <f>VLOOKUP($C591,'1 预算编制表单'!$C:$BJ,54,FALSE)</f>
        <v>55031.4465408805</v>
      </c>
      <c r="AZ591" s="120">
        <f>AY591-BA591</f>
        <v>55031.4465408805</v>
      </c>
      <c r="BA591" s="120">
        <f>SUM(BA592:BA596)</f>
        <v>0</v>
      </c>
      <c r="BB591" s="120">
        <f>VLOOKUP($C591,'1 预算编制表单'!$C:$BJ,57,FALSE)</f>
        <v>55031.4465408805</v>
      </c>
      <c r="BC591" s="120">
        <f>BB591-BD591</f>
        <v>55031.4465408805</v>
      </c>
      <c r="BD591" s="120">
        <f>SUM(BD592:BD596)</f>
        <v>0</v>
      </c>
      <c r="BE591" s="120">
        <f>VLOOKUP($C591,'1 预算编制表单'!$C:$BJ,60,FALSE)</f>
        <v>55031.4465408805</v>
      </c>
      <c r="BF591" s="120">
        <f>BE591-BG591</f>
        <v>55031.4465408805</v>
      </c>
      <c r="BG591" s="120">
        <f>SUM(BG592:BG596)</f>
        <v>0</v>
      </c>
      <c r="BH591" s="120">
        <f>VLOOKUP($C591,'1 预算编制表单'!$C:$BJ,27,FALSE)</f>
        <v>55031.4465408805</v>
      </c>
      <c r="BI591" s="120">
        <f>BH591-BJ591</f>
        <v>55031.4465408805</v>
      </c>
      <c r="BJ591" s="120">
        <f>SUM(BJ592:BJ596)</f>
        <v>0</v>
      </c>
      <c r="BK591" s="120">
        <f>VLOOKUP($C591,'1 预算编制表单'!$C:$BJ,30,FALSE)</f>
        <v>55031.4465408805</v>
      </c>
      <c r="BL591" s="120">
        <f>BK591-BM591</f>
        <v>55031.4465408805</v>
      </c>
      <c r="BM591" s="120">
        <f>SUM(BM592:BM596)</f>
        <v>0</v>
      </c>
      <c r="BN591" s="120">
        <f>VLOOKUP($C591,'1 预算编制表单'!$C:$BJ,33,FALSE)</f>
        <v>55031.4465408805</v>
      </c>
      <c r="BO591" s="120">
        <f>BN591-BP591</f>
        <v>55031.4465408805</v>
      </c>
      <c r="BP591" s="120">
        <f>SUM(BP592:BP596)</f>
        <v>0</v>
      </c>
      <c r="BQ591" s="120">
        <f>VLOOKUP($C591,'1 预算编制表单'!$C:$BJ,36,FALSE)</f>
        <v>55031.4465408805</v>
      </c>
      <c r="BR591" s="120">
        <f>BQ591-BS591</f>
        <v>55031.4465408805</v>
      </c>
      <c r="BS591" s="120">
        <f>SUM(BS592:BS596)</f>
        <v>0</v>
      </c>
      <c r="BT591" s="120">
        <f>VLOOKUP($C591,'1 预算编制表单'!$C:$BJ,39,FALSE)</f>
        <v>55031.4465408805</v>
      </c>
      <c r="BU591" s="120">
        <f>BT591-BV591</f>
        <v>55031.4465408805</v>
      </c>
      <c r="BV591" s="120">
        <f>SUM(BV592:BV596)</f>
        <v>0</v>
      </c>
      <c r="BW591" s="120">
        <f>VLOOKUP($C591,'1 预算编制表单'!$C:$BJ,42,FALSE)</f>
        <v>55031.4465408805</v>
      </c>
      <c r="BX591" s="120">
        <f>BW591-BY591</f>
        <v>55031.4465408805</v>
      </c>
      <c r="BY591" s="120">
        <f>SUM(BY592:BY596)</f>
        <v>0</v>
      </c>
      <c r="BZ591" s="120">
        <f>VLOOKUP($C591,'1 预算编制表单'!$C:$BJ,45,FALSE)</f>
        <v>55031.4465408805</v>
      </c>
      <c r="CA591" s="120">
        <f>BZ591-CB591</f>
        <v>55031.4465408805</v>
      </c>
      <c r="CB591" s="120">
        <f>SUM(CB592:CB596)</f>
        <v>0</v>
      </c>
      <c r="CC591" s="120">
        <f>VLOOKUP($C591,'1 预算编制表单'!$C:$BJ,48,FALSE)</f>
        <v>55031.4465408805</v>
      </c>
      <c r="CD591" s="120">
        <f>CC591-CE591</f>
        <v>55031.4465408805</v>
      </c>
      <c r="CE591" s="120">
        <f>SUM(CE592:CE596)</f>
        <v>0</v>
      </c>
      <c r="CF591" s="120">
        <f>VLOOKUP($C591,'1 预算编制表单'!$C:$BJ,51,FALSE)</f>
        <v>55031.4465408805</v>
      </c>
      <c r="CG591" s="120">
        <f>CF591-CH591</f>
        <v>55031.4465408805</v>
      </c>
      <c r="CH591" s="120">
        <f>SUM(CH592:CH596)</f>
        <v>0</v>
      </c>
      <c r="CI591" s="120">
        <f>VLOOKUP($C591,'1 预算编制表单'!$C:$BJ,54,FALSE)</f>
        <v>55031.4465408805</v>
      </c>
      <c r="CJ591" s="120">
        <f>CI591-CK591</f>
        <v>55031.4465408805</v>
      </c>
      <c r="CK591" s="120">
        <f>SUM(CK592:CK596)</f>
        <v>0</v>
      </c>
      <c r="CL591" s="120">
        <f>VLOOKUP($C591,'1 预算编制表单'!$C:$BJ,57,FALSE)</f>
        <v>55031.4465408805</v>
      </c>
      <c r="CM591" s="120">
        <f>CL591-CN591</f>
        <v>55031.4465408805</v>
      </c>
      <c r="CN591" s="120">
        <f>SUM(CN592:CN596)</f>
        <v>0</v>
      </c>
      <c r="CO591" s="120">
        <f>VLOOKUP($C591,'1 预算编制表单'!$C:$BJ,60,FALSE)</f>
        <v>55031.4465408805</v>
      </c>
      <c r="CP591" s="120">
        <f>CO591-CQ591</f>
        <v>55031.4465408805</v>
      </c>
      <c r="CQ591" s="120">
        <f>SUM(CQ592:CQ596)</f>
        <v>0</v>
      </c>
    </row>
    <row r="592" s="89" customFormat="1" ht="24" customHeight="1" outlineLevel="2" spans="1:95">
      <c r="A592" s="128"/>
      <c r="B592" s="129"/>
      <c r="C592" s="130"/>
      <c r="D592" s="128"/>
      <c r="E592" s="129"/>
      <c r="F592" s="129"/>
      <c r="G592" s="129"/>
      <c r="H592" s="131"/>
      <c r="I592" s="131"/>
      <c r="J592" s="131">
        <f t="shared" si="6664"/>
        <v>0</v>
      </c>
      <c r="K592" s="131">
        <v>1</v>
      </c>
      <c r="L592" s="156"/>
      <c r="M592" s="157">
        <f>IFERROR(VLOOKUP($L592,'2-2 引出数据_合同数据仓库'!$B$5:$BP$200,3,FALSE),0)</f>
        <v>0</v>
      </c>
      <c r="N592" s="131"/>
      <c r="O592" s="157">
        <f>IFERROR(VLOOKUP((LEFT(VLOOKUP($L592,'2-2 引出数据_合同数据仓库'!$B$5:$BP$200,64,FALSE),15)&amp;(RIGHT(VLOOKUP($L592,'2-2 引出数据_合同数据仓库'!$B$5:$BP$200,64,FALSE),4)+1)),'2-2 引出数据_合同数据仓库'!$B$5:$BP$200,3,FALSE),0)</f>
        <v>0</v>
      </c>
      <c r="P592" s="131"/>
      <c r="Q592" s="131">
        <f>IFERROR(VLOOKUP($L592,'2-2 引出数据_合同数据仓库'!$B$5:$BP$200,28,FALSE),0)</f>
        <v>0</v>
      </c>
      <c r="R592" s="131">
        <f>IFERROR(VLOOKUP($L592,'2-2 引出数据_合同数据仓库'!$B$5:$BP$200,29,FALSE),0)</f>
        <v>0</v>
      </c>
      <c r="S592" s="131">
        <f>IFERROR(VLOOKUP($L592,'2-2 引出数据_合同数据仓库'!$B$5:$BP$200,4,FALSE),0)</f>
        <v>0</v>
      </c>
      <c r="T592" s="131"/>
      <c r="U592" s="131">
        <f>IFERROR(VLOOKUP($L592,'2-2 引出数据_合同数据仓库'!$B$5:$BP$200,15,FALSE),0)</f>
        <v>0</v>
      </c>
      <c r="V592" s="131">
        <f t="shared" ref="V592:V595" si="6668">U592/(S592-R592+1)*365</f>
        <v>0</v>
      </c>
      <c r="W592" s="131"/>
      <c r="X592" s="163">
        <v>45658</v>
      </c>
      <c r="Y592" s="163">
        <f t="shared" ref="Y592:Y595" si="6669">X592+30</f>
        <v>45688</v>
      </c>
      <c r="Z592" s="167">
        <f t="shared" ref="Z592:Z595" si="6670">IFERROR(IF(($R592-Y592)&gt;=0,0,IF(($S592-X592)&lt;0,0,IF(AND(($S592-Y592)&gt;0,(X592-$R592)&gt;0),$V592/365*(Y592-X592+1),IF(AND(($S592-Y592)&lt;=0,(X592-$R592)&gt;0),$V592/365*($S592-X592+1),$V592/365*(Y592-$R592+1))))),0)</f>
        <v>0</v>
      </c>
      <c r="AA592" s="163">
        <f t="shared" ref="AA592:AA595" si="6671">Y592+1</f>
        <v>45689</v>
      </c>
      <c r="AB592" s="163">
        <f t="shared" ref="AB592:AB595" si="6672">AA592+27</f>
        <v>45716</v>
      </c>
      <c r="AC592" s="167">
        <f t="shared" ref="AC592:AC595" si="6673">IFERROR(IF(($R592-AB592)&gt;=0,0,IF(($S592-AA592)&lt;0,0,IF(AND(($S592-AB592)&gt;0,(AA592-$R592)&gt;0),$V592/365*(AB592-AA592+1),IF(AND(($S592-AB592)&lt;=0,(AA592-$R592)&gt;0),$V592/365*($S592-AA592+1),$V592/365*(AB592-$R592+1))))),0)</f>
        <v>0</v>
      </c>
      <c r="AD592" s="163">
        <f t="shared" ref="AD592:AD595" si="6674">AB592+1</f>
        <v>45717</v>
      </c>
      <c r="AE592" s="163">
        <f t="shared" ref="AE592:AE595" si="6675">AD592+30</f>
        <v>45747</v>
      </c>
      <c r="AF592" s="167">
        <f t="shared" ref="AF592:AF595" si="6676">IFERROR(IF(($R592-AE592)&gt;=0,0,IF(($S592-AD592)&lt;0,0,IF(AND(($S592-AE592)&gt;0,(AD592-$R592)&gt;0),$V592/365*(AE592-AD592+1),IF(AND(($S592-AE592)&lt;=0,(AD592-$R592)&gt;0),$V592/365*($S592-AD592+1),$V592/365*(AE592-$R592+1))))),0)</f>
        <v>0</v>
      </c>
      <c r="AG592" s="163">
        <f t="shared" ref="AG592:AG595" si="6677">AE592+1</f>
        <v>45748</v>
      </c>
      <c r="AH592" s="163">
        <f t="shared" ref="AH592:AH595" si="6678">AG592+29</f>
        <v>45777</v>
      </c>
      <c r="AI592" s="167">
        <f t="shared" ref="AI592:AI595" si="6679">IFERROR(IF(($R592-AH592)&gt;=0,0,IF(($S592-AG592)&lt;0,0,IF(AND(($S592-AH592)&gt;0,(AG592-$R592)&gt;0),$V592/365*(AH592-AG592+1),IF(AND(($S592-AH592)&lt;=0,(AG592-$R592)&gt;0),$V592/365*($S592-AG592+1),$V592/365*(AH592-$R592+1))))),0)</f>
        <v>0</v>
      </c>
      <c r="AJ592" s="163">
        <f t="shared" ref="AJ592:AJ595" si="6680">AH592+1</f>
        <v>45778</v>
      </c>
      <c r="AK592" s="163">
        <f t="shared" ref="AK592:AK595" si="6681">AJ592+30</f>
        <v>45808</v>
      </c>
      <c r="AL592" s="167">
        <f t="shared" ref="AL592:AL595" si="6682">IFERROR(IF(($R592-AK592)&gt;=0,0,IF(($S592-AJ592)&lt;0,0,IF(AND(($S592-AK592)&gt;0,(AJ592-$R592)&gt;0),$V592/365*(AK592-AJ592+1),IF(AND(($S592-AK592)&lt;=0,(AJ592-$R592)&gt;0),$V592/365*($S592-AJ592+1),$V592/365*(AK592-$R592+1))))),0)</f>
        <v>0</v>
      </c>
      <c r="AM592" s="163">
        <f t="shared" ref="AM592:AM595" si="6683">AK592+1</f>
        <v>45809</v>
      </c>
      <c r="AN592" s="163">
        <f t="shared" ref="AN592:AN595" si="6684">AM592+29</f>
        <v>45838</v>
      </c>
      <c r="AO592" s="167">
        <f t="shared" ref="AO592:AO595" si="6685">IFERROR(IF(($R592-AN592)&gt;=0,0,IF(($S592-AM592)&lt;0,0,IF(AND(($S592-AN592)&gt;0,(AM592-$R592)&gt;0),$V592/365*(AN592-AM592+1),IF(AND(($S592-AN592)&lt;=0,(AM592-$R592)&gt;0),$V592/365*($S592-AM592+1),$V592/365*(AN592-$R592+1))))),0)</f>
        <v>0</v>
      </c>
      <c r="AP592" s="163">
        <f t="shared" ref="AP592:AP595" si="6686">AN592+1</f>
        <v>45839</v>
      </c>
      <c r="AQ592" s="163">
        <f t="shared" ref="AQ592:AQ595" si="6687">AP592+30</f>
        <v>45869</v>
      </c>
      <c r="AR592" s="167">
        <f t="shared" ref="AR592:AR595" si="6688">IFERROR(IF(($R592-AQ592)&gt;=0,0,IF(($S592-AP592)&lt;0,0,IF(AND(($S592-AQ592)&gt;0,(AP592-$R592)&gt;0),$V592/365*(AQ592-AP592+1),IF(AND(($S592-AQ592)&lt;=0,(AP592-$R592)&gt;0),$V592/365*($S592-AP592+1),$V592/365*(AQ592-$R592+1))))),0)</f>
        <v>0</v>
      </c>
      <c r="AS592" s="163">
        <f t="shared" ref="AS592:AS595" si="6689">AQ592+1</f>
        <v>45870</v>
      </c>
      <c r="AT592" s="163">
        <f t="shared" ref="AT592:AT595" si="6690">AS592+30</f>
        <v>45900</v>
      </c>
      <c r="AU592" s="167">
        <f t="shared" ref="AU592:AU595" si="6691">IFERROR(IF(($R592-AT592)&gt;=0,0,IF(($S592-AS592)&lt;0,0,IF(AND(($S592-AT592)&gt;0,(AS592-$R592)&gt;0),$V592/365*(AT592-AS592+1),IF(AND(($S592-AT592)&lt;=0,(AS592-$R592)&gt;0),$V592/365*($S592-AS592+1),$V592/365*(AT592-$R592+1))))),0)</f>
        <v>0</v>
      </c>
      <c r="AV592" s="163">
        <f t="shared" ref="AV592:AV595" si="6692">AT592+1</f>
        <v>45901</v>
      </c>
      <c r="AW592" s="163">
        <f t="shared" ref="AW592:AW595" si="6693">AV592+29</f>
        <v>45930</v>
      </c>
      <c r="AX592" s="167">
        <f t="shared" ref="AX592:AX595" si="6694">IFERROR(IF(($R592-AW592)&gt;=0,0,IF(($S592-AV592)&lt;0,0,IF(AND(($S592-AW592)&gt;0,(AV592-$R592)&gt;0),$V592/365*(AW592-AV592+1),IF(AND(($S592-AW592)&lt;=0,(AV592-$R592)&gt;0),$V592/365*($S592-AV592+1),$V592/365*(AW592-$R592+1))))),0)</f>
        <v>0</v>
      </c>
      <c r="AY592" s="163">
        <f t="shared" ref="AY592:AY595" si="6695">AW592+1</f>
        <v>45931</v>
      </c>
      <c r="AZ592" s="163">
        <f t="shared" ref="AZ592:AZ595" si="6696">AY592+30</f>
        <v>45961</v>
      </c>
      <c r="BA592" s="167">
        <f t="shared" ref="BA592:BA595" si="6697">IFERROR(IF(($R592-AZ592)&gt;=0,0,IF(($S592-AY592)&lt;0,0,IF(AND(($S592-AZ592)&gt;0,(AY592-$R592)&gt;0),$V592/365*(AZ592-AY592+1),IF(AND(($S592-AZ592)&lt;=0,(AY592-$R592)&gt;0),$V592/365*($S592-AY592+1),$V592/365*(AZ592-$R592+1))))),0)</f>
        <v>0</v>
      </c>
      <c r="BB592" s="163">
        <f t="shared" ref="BB592:BB595" si="6698">AZ592+1</f>
        <v>45962</v>
      </c>
      <c r="BC592" s="163">
        <f t="shared" ref="BC592:BC595" si="6699">BB592+29</f>
        <v>45991</v>
      </c>
      <c r="BD592" s="167">
        <f t="shared" ref="BD592:BD595" si="6700">IFERROR(IF(($R592-BC592)&gt;=0,0,IF(($S592-BB592)&lt;0,0,IF(AND(($S592-BC592)&gt;0,(BB592-$R592)&gt;0),$V592/365*(BC592-BB592+1),IF(AND(($S592-BC592)&lt;=0,(BB592-$R592)&gt;0),$V592/365*($S592-BB592+1),$V592/365*(BC592-$R592+1))))),0)</f>
        <v>0</v>
      </c>
      <c r="BE592" s="163">
        <f t="shared" ref="BE592:BE595" si="6701">BC592+1</f>
        <v>45992</v>
      </c>
      <c r="BF592" s="163">
        <f t="shared" ref="BF592:BF595" si="6702">BE592+30</f>
        <v>46022</v>
      </c>
      <c r="BG592" s="167">
        <f t="shared" ref="BG592:BG595" si="6703">IFERROR(IF(($R592-BF592)&gt;=0,0,IF(($S592-BE592)&lt;0,0,IF(AND(($S592-BF592)&gt;0,(BE592-$R592)&gt;0),$V592/365*(BF592-BE592+1),IF(AND(($S592-BF592)&lt;=0,(BE592-$R592)&gt;0),$V592/365*($S592-BE592+1),$V592/365*(BF592-$R592+1))))),0)</f>
        <v>0</v>
      </c>
      <c r="BH592" s="163">
        <v>46023</v>
      </c>
      <c r="BI592" s="163">
        <f t="shared" ref="BI592:BI595" si="6704">BH592+30</f>
        <v>46053</v>
      </c>
      <c r="BJ592" s="167">
        <f t="shared" ref="BJ592:BJ595" si="6705">IFERROR(IF(($R592-BI592)&gt;=0,0,IF(($S592-BH592)&lt;0,0,IF(AND(($S592-BI592)&gt;0,(BH592-$R592)&gt;0),$V592/365*(BI592-BH592+1),IF(AND(($S592-BI592)&lt;=0,(BH592-$R592)&gt;0),$V592/365*($S592-BH592+1),$V592/365*(BI592-$R592+1))))),0)</f>
        <v>0</v>
      </c>
      <c r="BK592" s="163">
        <f t="shared" ref="BK592:BK595" si="6706">BI592+1</f>
        <v>46054</v>
      </c>
      <c r="BL592" s="163">
        <f t="shared" ref="BL592:BL595" si="6707">BK592+27</f>
        <v>46081</v>
      </c>
      <c r="BM592" s="167">
        <f t="shared" ref="BM592:BM595" si="6708">IFERROR(IF(($R592-BL592)&gt;=0,0,IF(($S592-BK592)&lt;0,0,IF(AND(($S592-BL592)&gt;0,(BK592-$R592)&gt;0),$V592/365*(BL592-BK592+1),IF(AND(($S592-BL592)&lt;=0,(BK592-$R592)&gt;0),$V592/365*($S592-BK592+1),$V592/365*(BL592-$R592+1))))),0)</f>
        <v>0</v>
      </c>
      <c r="BN592" s="163">
        <f t="shared" ref="BN592:BN595" si="6709">BL592+1</f>
        <v>46082</v>
      </c>
      <c r="BO592" s="163">
        <f t="shared" ref="BO592:BO595" si="6710">BN592+30</f>
        <v>46112</v>
      </c>
      <c r="BP592" s="167">
        <f t="shared" ref="BP592:BP595" si="6711">IFERROR(IF(($R592-BO592)&gt;=0,0,IF(($S592-BN592)&lt;0,0,IF(AND(($S592-BO592)&gt;0,(BN592-$R592)&gt;0),$V592/365*(BO592-BN592+1),IF(AND(($S592-BO592)&lt;=0,(BN592-$R592)&gt;0),$V592/365*($S592-BN592+1),$V592/365*(BO592-$R592+1))))),0)</f>
        <v>0</v>
      </c>
      <c r="BQ592" s="163">
        <f t="shared" ref="BQ592:BQ595" si="6712">BO592+1</f>
        <v>46113</v>
      </c>
      <c r="BR592" s="163">
        <f t="shared" ref="BR592:BR595" si="6713">BQ592+29</f>
        <v>46142</v>
      </c>
      <c r="BS592" s="167">
        <f t="shared" ref="BS592:BS595" si="6714">IFERROR(IF(($R592-BR592)&gt;=0,0,IF(($S592-BQ592)&lt;0,0,IF(AND(($S592-BR592)&gt;0,(BQ592-$R592)&gt;0),$V592/365*(BR592-BQ592+1),IF(AND(($S592-BR592)&lt;=0,(BQ592-$R592)&gt;0),$V592/365*($S592-BQ592+1),$V592/365*(BR592-$R592+1))))),0)</f>
        <v>0</v>
      </c>
      <c r="BT592" s="163">
        <f t="shared" ref="BT592:BT595" si="6715">BR592+1</f>
        <v>46143</v>
      </c>
      <c r="BU592" s="163">
        <f t="shared" ref="BU592:BU595" si="6716">BT592+30</f>
        <v>46173</v>
      </c>
      <c r="BV592" s="167">
        <f t="shared" ref="BV592:BV595" si="6717">IFERROR(IF(($R592-BU592)&gt;=0,0,IF(($S592-BT592)&lt;0,0,IF(AND(($S592-BU592)&gt;0,(BT592-$R592)&gt;0),$V592/365*(BU592-BT592+1),IF(AND(($S592-BU592)&lt;=0,(BT592-$R592)&gt;0),$V592/365*($S592-BT592+1),$V592/365*(BU592-$R592+1))))),0)</f>
        <v>0</v>
      </c>
      <c r="BW592" s="163">
        <f t="shared" ref="BW592:BW595" si="6718">BU592+1</f>
        <v>46174</v>
      </c>
      <c r="BX592" s="163">
        <f t="shared" ref="BX592:BX595" si="6719">BW592+29</f>
        <v>46203</v>
      </c>
      <c r="BY592" s="167">
        <f t="shared" ref="BY592:BY595" si="6720">IFERROR(IF(($R592-BX592)&gt;=0,0,IF(($S592-BW592)&lt;0,0,IF(AND(($S592-BX592)&gt;0,(BW592-$R592)&gt;0),$V592/365*(BX592-BW592+1),IF(AND(($S592-BX592)&lt;=0,(BW592-$R592)&gt;0),$V592/365*($S592-BW592+1),$V592/365*(BX592-$R592+1))))),0)</f>
        <v>0</v>
      </c>
      <c r="BZ592" s="163">
        <f t="shared" ref="BZ592:BZ595" si="6721">BX592+1</f>
        <v>46204</v>
      </c>
      <c r="CA592" s="163">
        <f t="shared" ref="CA592:CA595" si="6722">BZ592+30</f>
        <v>46234</v>
      </c>
      <c r="CB592" s="167">
        <f t="shared" ref="CB592:CB595" si="6723">IFERROR(IF(($R592-CA592)&gt;=0,0,IF(($S592-BZ592)&lt;0,0,IF(AND(($S592-CA592)&gt;0,(BZ592-$R592)&gt;0),$V592/365*(CA592-BZ592+1),IF(AND(($S592-CA592)&lt;=0,(BZ592-$R592)&gt;0),$V592/365*($S592-BZ592+1),$V592/365*(CA592-$R592+1))))),0)</f>
        <v>0</v>
      </c>
      <c r="CC592" s="163">
        <f t="shared" ref="CC592:CC595" si="6724">CA592+1</f>
        <v>46235</v>
      </c>
      <c r="CD592" s="163">
        <f t="shared" ref="CD592:CD595" si="6725">CC592+30</f>
        <v>46265</v>
      </c>
      <c r="CE592" s="167">
        <f t="shared" ref="CE592:CE595" si="6726">IFERROR(IF(($R592-CD592)&gt;=0,0,IF(($S592-CC592)&lt;0,0,IF(AND(($S592-CD592)&gt;0,(CC592-$R592)&gt;0),$V592/365*(CD592-CC592+1),IF(AND(($S592-CD592)&lt;=0,(CC592-$R592)&gt;0),$V592/365*($S592-CC592+1),$V592/365*(CD592-$R592+1))))),0)</f>
        <v>0</v>
      </c>
      <c r="CF592" s="163">
        <f t="shared" ref="CF592:CF595" si="6727">CD592+1</f>
        <v>46266</v>
      </c>
      <c r="CG592" s="163">
        <f t="shared" ref="CG592:CG595" si="6728">CF592+29</f>
        <v>46295</v>
      </c>
      <c r="CH592" s="167">
        <f t="shared" ref="CH592:CH595" si="6729">IFERROR(IF(($R592-CG592)&gt;=0,0,IF(($S592-CF592)&lt;0,0,IF(AND(($S592-CG592)&gt;0,(CF592-$R592)&gt;0),$V592/365*(CG592-CF592+1),IF(AND(($S592-CG592)&lt;=0,(CF592-$R592)&gt;0),$V592/365*($S592-CF592+1),$V592/365*(CG592-$R592+1))))),0)</f>
        <v>0</v>
      </c>
      <c r="CI592" s="163">
        <f t="shared" ref="CI592:CI595" si="6730">CG592+1</f>
        <v>46296</v>
      </c>
      <c r="CJ592" s="163">
        <f t="shared" ref="CJ592:CJ595" si="6731">CI592+30</f>
        <v>46326</v>
      </c>
      <c r="CK592" s="167">
        <f t="shared" ref="CK592:CK595" si="6732">IFERROR(IF(($R592-CJ592)&gt;=0,0,IF(($S592-CI592)&lt;0,0,IF(AND(($S592-CJ592)&gt;0,(CI592-$R592)&gt;0),$V592/365*(CJ592-CI592+1),IF(AND(($S592-CJ592)&lt;=0,(CI592-$R592)&gt;0),$V592/365*($S592-CI592+1),$V592/365*(CJ592-$R592+1))))),0)</f>
        <v>0</v>
      </c>
      <c r="CL592" s="163">
        <f t="shared" ref="CL592:CL595" si="6733">CJ592+1</f>
        <v>46327</v>
      </c>
      <c r="CM592" s="163">
        <f t="shared" ref="CM592:CM595" si="6734">CL592+29</f>
        <v>46356</v>
      </c>
      <c r="CN592" s="167">
        <f t="shared" ref="CN592:CN595" si="6735">IFERROR(IF(($R592-CM592)&gt;=0,0,IF(($S592-CL592)&lt;0,0,IF(AND(($S592-CM592)&gt;0,(CL592-$R592)&gt;0),$V592/365*(CM592-CL592+1),IF(AND(($S592-CM592)&lt;=0,(CL592-$R592)&gt;0),$V592/365*($S592-CL592+1),$V592/365*(CM592-$R592+1))))),0)</f>
        <v>0</v>
      </c>
      <c r="CO592" s="163">
        <f t="shared" ref="CO592:CO595" si="6736">CM592+1</f>
        <v>46357</v>
      </c>
      <c r="CP592" s="163">
        <f t="shared" ref="CP592:CP595" si="6737">CO592+30</f>
        <v>46387</v>
      </c>
      <c r="CQ592" s="167">
        <f t="shared" ref="CQ592:CQ595" si="6738">IFERROR(IF(($R592-CP592)&gt;=0,0,IF(($S592-CO592)&lt;0,0,IF(AND(($S592-CP592)&gt;0,(CO592-$R592)&gt;0),$V592/365*(CP592-CO592+1),IF(AND(($S592-CP592)&lt;=0,(CO592-$R592)&gt;0),$V592/365*($S592-CO592+1),$V592/365*(CP592-$R592+1))))),0)</f>
        <v>0</v>
      </c>
    </row>
    <row r="593" s="89" customFormat="1" ht="24" customHeight="1" outlineLevel="2" spans="1:95">
      <c r="A593" s="128"/>
      <c r="B593" s="129"/>
      <c r="C593" s="130"/>
      <c r="D593" s="128"/>
      <c r="E593" s="129"/>
      <c r="F593" s="129"/>
      <c r="G593" s="129"/>
      <c r="H593" s="131"/>
      <c r="I593" s="131"/>
      <c r="J593" s="131">
        <f t="shared" si="6664"/>
        <v>0</v>
      </c>
      <c r="K593" s="131">
        <f t="shared" ref="K593:K595" si="6739">K592+1</f>
        <v>2</v>
      </c>
      <c r="L593" s="156"/>
      <c r="M593" s="157">
        <f>IFERROR(VLOOKUP($L593,'2-2 引出数据_合同数据仓库'!$B$5:$BP$200,3,FALSE),0)</f>
        <v>0</v>
      </c>
      <c r="N593" s="131"/>
      <c r="O593" s="157">
        <f>IFERROR(VLOOKUP((LEFT(VLOOKUP($L593,'2-2 引出数据_合同数据仓库'!$B$5:$BP$200,64,FALSE),15)&amp;(RIGHT(VLOOKUP($L593,'2-2 引出数据_合同数据仓库'!$B$5:$BP$200,64,FALSE),4)+1)),'2-2 引出数据_合同数据仓库'!$B$5:$BP$200,3,FALSE),0)</f>
        <v>0</v>
      </c>
      <c r="P593" s="131"/>
      <c r="Q593" s="131">
        <f>IFERROR(VLOOKUP($L593,'2-2 引出数据_合同数据仓库'!$B$5:$BP$200,28,FALSE),0)</f>
        <v>0</v>
      </c>
      <c r="R593" s="131">
        <f>IFERROR(VLOOKUP($L593,'2-2 引出数据_合同数据仓库'!$B$5:$BP$200,29,FALSE),0)</f>
        <v>0</v>
      </c>
      <c r="S593" s="131">
        <f>IFERROR(VLOOKUP($L593,'2-2 引出数据_合同数据仓库'!$B$5:$BP$200,4,FALSE),0)</f>
        <v>0</v>
      </c>
      <c r="T593" s="131"/>
      <c r="U593" s="131">
        <f>IFERROR(VLOOKUP($L593,'2-2 引出数据_合同数据仓库'!$B$5:$BP$200,15,FALSE),0)</f>
        <v>0</v>
      </c>
      <c r="V593" s="131">
        <f t="shared" si="6668"/>
        <v>0</v>
      </c>
      <c r="W593" s="131"/>
      <c r="X593" s="163">
        <v>45658</v>
      </c>
      <c r="Y593" s="163">
        <f t="shared" si="6669"/>
        <v>45688</v>
      </c>
      <c r="Z593" s="167">
        <f t="shared" si="6670"/>
        <v>0</v>
      </c>
      <c r="AA593" s="163">
        <f t="shared" si="6671"/>
        <v>45689</v>
      </c>
      <c r="AB593" s="163">
        <f t="shared" si="6672"/>
        <v>45716</v>
      </c>
      <c r="AC593" s="167">
        <f t="shared" si="6673"/>
        <v>0</v>
      </c>
      <c r="AD593" s="163">
        <f t="shared" si="6674"/>
        <v>45717</v>
      </c>
      <c r="AE593" s="163">
        <f t="shared" si="6675"/>
        <v>45747</v>
      </c>
      <c r="AF593" s="167">
        <f t="shared" si="6676"/>
        <v>0</v>
      </c>
      <c r="AG593" s="163">
        <f t="shared" si="6677"/>
        <v>45748</v>
      </c>
      <c r="AH593" s="163">
        <f t="shared" si="6678"/>
        <v>45777</v>
      </c>
      <c r="AI593" s="167">
        <f t="shared" si="6679"/>
        <v>0</v>
      </c>
      <c r="AJ593" s="163">
        <f t="shared" si="6680"/>
        <v>45778</v>
      </c>
      <c r="AK593" s="163">
        <f t="shared" si="6681"/>
        <v>45808</v>
      </c>
      <c r="AL593" s="167">
        <f t="shared" si="6682"/>
        <v>0</v>
      </c>
      <c r="AM593" s="163">
        <f t="shared" si="6683"/>
        <v>45809</v>
      </c>
      <c r="AN593" s="163">
        <f t="shared" si="6684"/>
        <v>45838</v>
      </c>
      <c r="AO593" s="167">
        <f t="shared" si="6685"/>
        <v>0</v>
      </c>
      <c r="AP593" s="163">
        <f t="shared" si="6686"/>
        <v>45839</v>
      </c>
      <c r="AQ593" s="163">
        <f t="shared" si="6687"/>
        <v>45869</v>
      </c>
      <c r="AR593" s="167">
        <f t="shared" si="6688"/>
        <v>0</v>
      </c>
      <c r="AS593" s="163">
        <f t="shared" si="6689"/>
        <v>45870</v>
      </c>
      <c r="AT593" s="163">
        <f t="shared" si="6690"/>
        <v>45900</v>
      </c>
      <c r="AU593" s="167">
        <f t="shared" si="6691"/>
        <v>0</v>
      </c>
      <c r="AV593" s="163">
        <f t="shared" si="6692"/>
        <v>45901</v>
      </c>
      <c r="AW593" s="163">
        <f t="shared" si="6693"/>
        <v>45930</v>
      </c>
      <c r="AX593" s="167">
        <f t="shared" si="6694"/>
        <v>0</v>
      </c>
      <c r="AY593" s="163">
        <f t="shared" si="6695"/>
        <v>45931</v>
      </c>
      <c r="AZ593" s="163">
        <f t="shared" si="6696"/>
        <v>45961</v>
      </c>
      <c r="BA593" s="167">
        <f t="shared" si="6697"/>
        <v>0</v>
      </c>
      <c r="BB593" s="163">
        <f t="shared" si="6698"/>
        <v>45962</v>
      </c>
      <c r="BC593" s="163">
        <f t="shared" si="6699"/>
        <v>45991</v>
      </c>
      <c r="BD593" s="167">
        <f t="shared" si="6700"/>
        <v>0</v>
      </c>
      <c r="BE593" s="163">
        <f t="shared" si="6701"/>
        <v>45992</v>
      </c>
      <c r="BF593" s="163">
        <f t="shared" si="6702"/>
        <v>46022</v>
      </c>
      <c r="BG593" s="167">
        <f t="shared" si="6703"/>
        <v>0</v>
      </c>
      <c r="BH593" s="163">
        <v>46023</v>
      </c>
      <c r="BI593" s="163">
        <f t="shared" si="6704"/>
        <v>46053</v>
      </c>
      <c r="BJ593" s="167">
        <f t="shared" si="6705"/>
        <v>0</v>
      </c>
      <c r="BK593" s="163">
        <f t="shared" si="6706"/>
        <v>46054</v>
      </c>
      <c r="BL593" s="163">
        <f t="shared" si="6707"/>
        <v>46081</v>
      </c>
      <c r="BM593" s="167">
        <f t="shared" si="6708"/>
        <v>0</v>
      </c>
      <c r="BN593" s="163">
        <f t="shared" si="6709"/>
        <v>46082</v>
      </c>
      <c r="BO593" s="163">
        <f t="shared" si="6710"/>
        <v>46112</v>
      </c>
      <c r="BP593" s="167">
        <f t="shared" si="6711"/>
        <v>0</v>
      </c>
      <c r="BQ593" s="163">
        <f t="shared" si="6712"/>
        <v>46113</v>
      </c>
      <c r="BR593" s="163">
        <f t="shared" si="6713"/>
        <v>46142</v>
      </c>
      <c r="BS593" s="167">
        <f t="shared" si="6714"/>
        <v>0</v>
      </c>
      <c r="BT593" s="163">
        <f t="shared" si="6715"/>
        <v>46143</v>
      </c>
      <c r="BU593" s="163">
        <f t="shared" si="6716"/>
        <v>46173</v>
      </c>
      <c r="BV593" s="167">
        <f t="shared" si="6717"/>
        <v>0</v>
      </c>
      <c r="BW593" s="163">
        <f t="shared" si="6718"/>
        <v>46174</v>
      </c>
      <c r="BX593" s="163">
        <f t="shared" si="6719"/>
        <v>46203</v>
      </c>
      <c r="BY593" s="167">
        <f t="shared" si="6720"/>
        <v>0</v>
      </c>
      <c r="BZ593" s="163">
        <f t="shared" si="6721"/>
        <v>46204</v>
      </c>
      <c r="CA593" s="163">
        <f t="shared" si="6722"/>
        <v>46234</v>
      </c>
      <c r="CB593" s="167">
        <f t="shared" si="6723"/>
        <v>0</v>
      </c>
      <c r="CC593" s="163">
        <f t="shared" si="6724"/>
        <v>46235</v>
      </c>
      <c r="CD593" s="163">
        <f t="shared" si="6725"/>
        <v>46265</v>
      </c>
      <c r="CE593" s="167">
        <f t="shared" si="6726"/>
        <v>0</v>
      </c>
      <c r="CF593" s="163">
        <f t="shared" si="6727"/>
        <v>46266</v>
      </c>
      <c r="CG593" s="163">
        <f t="shared" si="6728"/>
        <v>46295</v>
      </c>
      <c r="CH593" s="167">
        <f t="shared" si="6729"/>
        <v>0</v>
      </c>
      <c r="CI593" s="163">
        <f t="shared" si="6730"/>
        <v>46296</v>
      </c>
      <c r="CJ593" s="163">
        <f t="shared" si="6731"/>
        <v>46326</v>
      </c>
      <c r="CK593" s="167">
        <f t="shared" si="6732"/>
        <v>0</v>
      </c>
      <c r="CL593" s="163">
        <f t="shared" si="6733"/>
        <v>46327</v>
      </c>
      <c r="CM593" s="163">
        <f t="shared" si="6734"/>
        <v>46356</v>
      </c>
      <c r="CN593" s="167">
        <f t="shared" si="6735"/>
        <v>0</v>
      </c>
      <c r="CO593" s="163">
        <f t="shared" si="6736"/>
        <v>46357</v>
      </c>
      <c r="CP593" s="163">
        <f t="shared" si="6737"/>
        <v>46387</v>
      </c>
      <c r="CQ593" s="167">
        <f t="shared" si="6738"/>
        <v>0</v>
      </c>
    </row>
    <row r="594" s="89" customFormat="1" ht="24" customHeight="1" outlineLevel="2" spans="1:95">
      <c r="A594" s="128"/>
      <c r="B594" s="129"/>
      <c r="C594" s="130"/>
      <c r="D594" s="128"/>
      <c r="E594" s="129"/>
      <c r="F594" s="129"/>
      <c r="G594" s="129"/>
      <c r="H594" s="131"/>
      <c r="I594" s="131"/>
      <c r="J594" s="131">
        <f t="shared" si="6664"/>
        <v>0</v>
      </c>
      <c r="K594" s="131">
        <f t="shared" si="6739"/>
        <v>3</v>
      </c>
      <c r="L594" s="156"/>
      <c r="M594" s="157">
        <f>IFERROR(VLOOKUP($L594,'2-2 引出数据_合同数据仓库'!$B$5:$BP$200,3,FALSE),0)</f>
        <v>0</v>
      </c>
      <c r="N594" s="131"/>
      <c r="O594" s="157">
        <f>IFERROR(VLOOKUP((LEFT(VLOOKUP($L594,'2-2 引出数据_合同数据仓库'!$B$5:$BP$200,64,FALSE),15)&amp;(RIGHT(VLOOKUP($L594,'2-2 引出数据_合同数据仓库'!$B$5:$BP$200,64,FALSE),4)+1)),'2-2 引出数据_合同数据仓库'!$B$5:$BP$200,3,FALSE),0)</f>
        <v>0</v>
      </c>
      <c r="P594" s="131"/>
      <c r="Q594" s="131">
        <f>IFERROR(VLOOKUP($L594,'2-2 引出数据_合同数据仓库'!$B$5:$BP$200,28,FALSE),0)</f>
        <v>0</v>
      </c>
      <c r="R594" s="131">
        <f>IFERROR(VLOOKUP($L594,'2-2 引出数据_合同数据仓库'!$B$5:$BP$200,29,FALSE),0)</f>
        <v>0</v>
      </c>
      <c r="S594" s="131">
        <f>IFERROR(VLOOKUP($L594,'2-2 引出数据_合同数据仓库'!$B$5:$BP$200,4,FALSE),0)</f>
        <v>0</v>
      </c>
      <c r="T594" s="131"/>
      <c r="U594" s="131">
        <f>IFERROR(VLOOKUP($L594,'2-2 引出数据_合同数据仓库'!$B$5:$BP$200,15,FALSE),0)</f>
        <v>0</v>
      </c>
      <c r="V594" s="131">
        <f t="shared" si="6668"/>
        <v>0</v>
      </c>
      <c r="W594" s="131"/>
      <c r="X594" s="163">
        <v>45658</v>
      </c>
      <c r="Y594" s="163">
        <f t="shared" si="6669"/>
        <v>45688</v>
      </c>
      <c r="Z594" s="167">
        <f t="shared" si="6670"/>
        <v>0</v>
      </c>
      <c r="AA594" s="163">
        <f t="shared" si="6671"/>
        <v>45689</v>
      </c>
      <c r="AB594" s="163">
        <f t="shared" si="6672"/>
        <v>45716</v>
      </c>
      <c r="AC594" s="167">
        <f t="shared" si="6673"/>
        <v>0</v>
      </c>
      <c r="AD594" s="163">
        <f t="shared" si="6674"/>
        <v>45717</v>
      </c>
      <c r="AE594" s="163">
        <f t="shared" si="6675"/>
        <v>45747</v>
      </c>
      <c r="AF594" s="167">
        <f t="shared" si="6676"/>
        <v>0</v>
      </c>
      <c r="AG594" s="163">
        <f t="shared" si="6677"/>
        <v>45748</v>
      </c>
      <c r="AH594" s="163">
        <f t="shared" si="6678"/>
        <v>45777</v>
      </c>
      <c r="AI594" s="167">
        <f t="shared" si="6679"/>
        <v>0</v>
      </c>
      <c r="AJ594" s="163">
        <f t="shared" si="6680"/>
        <v>45778</v>
      </c>
      <c r="AK594" s="163">
        <f t="shared" si="6681"/>
        <v>45808</v>
      </c>
      <c r="AL594" s="167">
        <f t="shared" si="6682"/>
        <v>0</v>
      </c>
      <c r="AM594" s="163">
        <f t="shared" si="6683"/>
        <v>45809</v>
      </c>
      <c r="AN594" s="163">
        <f t="shared" si="6684"/>
        <v>45838</v>
      </c>
      <c r="AO594" s="167">
        <f t="shared" si="6685"/>
        <v>0</v>
      </c>
      <c r="AP594" s="163">
        <f t="shared" si="6686"/>
        <v>45839</v>
      </c>
      <c r="AQ594" s="163">
        <f t="shared" si="6687"/>
        <v>45869</v>
      </c>
      <c r="AR594" s="167">
        <f t="shared" si="6688"/>
        <v>0</v>
      </c>
      <c r="AS594" s="163">
        <f t="shared" si="6689"/>
        <v>45870</v>
      </c>
      <c r="AT594" s="163">
        <f t="shared" si="6690"/>
        <v>45900</v>
      </c>
      <c r="AU594" s="167">
        <f t="shared" si="6691"/>
        <v>0</v>
      </c>
      <c r="AV594" s="163">
        <f t="shared" si="6692"/>
        <v>45901</v>
      </c>
      <c r="AW594" s="163">
        <f t="shared" si="6693"/>
        <v>45930</v>
      </c>
      <c r="AX594" s="167">
        <f t="shared" si="6694"/>
        <v>0</v>
      </c>
      <c r="AY594" s="163">
        <f t="shared" si="6695"/>
        <v>45931</v>
      </c>
      <c r="AZ594" s="163">
        <f t="shared" si="6696"/>
        <v>45961</v>
      </c>
      <c r="BA594" s="167">
        <f t="shared" si="6697"/>
        <v>0</v>
      </c>
      <c r="BB594" s="163">
        <f t="shared" si="6698"/>
        <v>45962</v>
      </c>
      <c r="BC594" s="163">
        <f t="shared" si="6699"/>
        <v>45991</v>
      </c>
      <c r="BD594" s="167">
        <f t="shared" si="6700"/>
        <v>0</v>
      </c>
      <c r="BE594" s="163">
        <f t="shared" si="6701"/>
        <v>45992</v>
      </c>
      <c r="BF594" s="163">
        <f t="shared" si="6702"/>
        <v>46022</v>
      </c>
      <c r="BG594" s="167">
        <f t="shared" si="6703"/>
        <v>0</v>
      </c>
      <c r="BH594" s="163">
        <v>46023</v>
      </c>
      <c r="BI594" s="163">
        <f t="shared" si="6704"/>
        <v>46053</v>
      </c>
      <c r="BJ594" s="167">
        <f t="shared" si="6705"/>
        <v>0</v>
      </c>
      <c r="BK594" s="163">
        <f t="shared" si="6706"/>
        <v>46054</v>
      </c>
      <c r="BL594" s="163">
        <f t="shared" si="6707"/>
        <v>46081</v>
      </c>
      <c r="BM594" s="167">
        <f t="shared" si="6708"/>
        <v>0</v>
      </c>
      <c r="BN594" s="163">
        <f t="shared" si="6709"/>
        <v>46082</v>
      </c>
      <c r="BO594" s="163">
        <f t="shared" si="6710"/>
        <v>46112</v>
      </c>
      <c r="BP594" s="167">
        <f t="shared" si="6711"/>
        <v>0</v>
      </c>
      <c r="BQ594" s="163">
        <f t="shared" si="6712"/>
        <v>46113</v>
      </c>
      <c r="BR594" s="163">
        <f t="shared" si="6713"/>
        <v>46142</v>
      </c>
      <c r="BS594" s="167">
        <f t="shared" si="6714"/>
        <v>0</v>
      </c>
      <c r="BT594" s="163">
        <f t="shared" si="6715"/>
        <v>46143</v>
      </c>
      <c r="BU594" s="163">
        <f t="shared" si="6716"/>
        <v>46173</v>
      </c>
      <c r="BV594" s="167">
        <f t="shared" si="6717"/>
        <v>0</v>
      </c>
      <c r="BW594" s="163">
        <f t="shared" si="6718"/>
        <v>46174</v>
      </c>
      <c r="BX594" s="163">
        <f t="shared" si="6719"/>
        <v>46203</v>
      </c>
      <c r="BY594" s="167">
        <f t="shared" si="6720"/>
        <v>0</v>
      </c>
      <c r="BZ594" s="163">
        <f t="shared" si="6721"/>
        <v>46204</v>
      </c>
      <c r="CA594" s="163">
        <f t="shared" si="6722"/>
        <v>46234</v>
      </c>
      <c r="CB594" s="167">
        <f t="shared" si="6723"/>
        <v>0</v>
      </c>
      <c r="CC594" s="163">
        <f t="shared" si="6724"/>
        <v>46235</v>
      </c>
      <c r="CD594" s="163">
        <f t="shared" si="6725"/>
        <v>46265</v>
      </c>
      <c r="CE594" s="167">
        <f t="shared" si="6726"/>
        <v>0</v>
      </c>
      <c r="CF594" s="163">
        <f t="shared" si="6727"/>
        <v>46266</v>
      </c>
      <c r="CG594" s="163">
        <f t="shared" si="6728"/>
        <v>46295</v>
      </c>
      <c r="CH594" s="167">
        <f t="shared" si="6729"/>
        <v>0</v>
      </c>
      <c r="CI594" s="163">
        <f t="shared" si="6730"/>
        <v>46296</v>
      </c>
      <c r="CJ594" s="163">
        <f t="shared" si="6731"/>
        <v>46326</v>
      </c>
      <c r="CK594" s="167">
        <f t="shared" si="6732"/>
        <v>0</v>
      </c>
      <c r="CL594" s="163">
        <f t="shared" si="6733"/>
        <v>46327</v>
      </c>
      <c r="CM594" s="163">
        <f t="shared" si="6734"/>
        <v>46356</v>
      </c>
      <c r="CN594" s="167">
        <f t="shared" si="6735"/>
        <v>0</v>
      </c>
      <c r="CO594" s="163">
        <f t="shared" si="6736"/>
        <v>46357</v>
      </c>
      <c r="CP594" s="163">
        <f t="shared" si="6737"/>
        <v>46387</v>
      </c>
      <c r="CQ594" s="167">
        <f t="shared" si="6738"/>
        <v>0</v>
      </c>
    </row>
    <row r="595" s="89" customFormat="1" ht="24" customHeight="1" outlineLevel="2" collapsed="1" spans="1:95">
      <c r="A595" s="128"/>
      <c r="B595" s="129"/>
      <c r="C595" s="130"/>
      <c r="D595" s="128"/>
      <c r="E595" s="129"/>
      <c r="F595" s="129"/>
      <c r="G595" s="129"/>
      <c r="H595" s="131"/>
      <c r="I595" s="131"/>
      <c r="J595" s="131">
        <f t="shared" si="6664"/>
        <v>0</v>
      </c>
      <c r="K595" s="131">
        <f t="shared" si="6739"/>
        <v>4</v>
      </c>
      <c r="L595" s="156"/>
      <c r="M595" s="157">
        <f>IFERROR(VLOOKUP($L595,'2-2 引出数据_合同数据仓库'!$B$5:$BP$200,3,FALSE),0)</f>
        <v>0</v>
      </c>
      <c r="N595" s="131"/>
      <c r="O595" s="157">
        <f>IFERROR(VLOOKUP((LEFT(VLOOKUP($L595,'2-2 引出数据_合同数据仓库'!$B$5:$BP$200,64,FALSE),15)&amp;(RIGHT(VLOOKUP($L595,'2-2 引出数据_合同数据仓库'!$B$5:$BP$200,64,FALSE),4)+1)),'2-2 引出数据_合同数据仓库'!$B$5:$BP$200,3,FALSE),0)</f>
        <v>0</v>
      </c>
      <c r="P595" s="131"/>
      <c r="Q595" s="131">
        <f>IFERROR(VLOOKUP($L595,'2-2 引出数据_合同数据仓库'!$B$5:$BP$200,28,FALSE),0)</f>
        <v>0</v>
      </c>
      <c r="R595" s="131">
        <f>IFERROR(VLOOKUP($L595,'2-2 引出数据_合同数据仓库'!$B$5:$BP$200,29,FALSE),0)</f>
        <v>0</v>
      </c>
      <c r="S595" s="131">
        <f>IFERROR(VLOOKUP($L595,'2-2 引出数据_合同数据仓库'!$B$5:$BP$200,4,FALSE),0)</f>
        <v>0</v>
      </c>
      <c r="T595" s="131"/>
      <c r="U595" s="131">
        <f>IFERROR(VLOOKUP($L595,'2-2 引出数据_合同数据仓库'!$B$5:$BP$200,15,FALSE),0)</f>
        <v>0</v>
      </c>
      <c r="V595" s="131">
        <f t="shared" si="6668"/>
        <v>0</v>
      </c>
      <c r="W595" s="131"/>
      <c r="X595" s="163">
        <v>45658</v>
      </c>
      <c r="Y595" s="163">
        <f t="shared" si="6669"/>
        <v>45688</v>
      </c>
      <c r="Z595" s="167">
        <f t="shared" si="6670"/>
        <v>0</v>
      </c>
      <c r="AA595" s="163">
        <f t="shared" si="6671"/>
        <v>45689</v>
      </c>
      <c r="AB595" s="163">
        <f t="shared" si="6672"/>
        <v>45716</v>
      </c>
      <c r="AC595" s="167">
        <f t="shared" si="6673"/>
        <v>0</v>
      </c>
      <c r="AD595" s="163">
        <f t="shared" si="6674"/>
        <v>45717</v>
      </c>
      <c r="AE595" s="163">
        <f t="shared" si="6675"/>
        <v>45747</v>
      </c>
      <c r="AF595" s="167">
        <f t="shared" si="6676"/>
        <v>0</v>
      </c>
      <c r="AG595" s="163">
        <f t="shared" si="6677"/>
        <v>45748</v>
      </c>
      <c r="AH595" s="163">
        <f t="shared" si="6678"/>
        <v>45777</v>
      </c>
      <c r="AI595" s="167">
        <f t="shared" si="6679"/>
        <v>0</v>
      </c>
      <c r="AJ595" s="163">
        <f t="shared" si="6680"/>
        <v>45778</v>
      </c>
      <c r="AK595" s="163">
        <f t="shared" si="6681"/>
        <v>45808</v>
      </c>
      <c r="AL595" s="167">
        <f t="shared" si="6682"/>
        <v>0</v>
      </c>
      <c r="AM595" s="163">
        <f t="shared" si="6683"/>
        <v>45809</v>
      </c>
      <c r="AN595" s="163">
        <f t="shared" si="6684"/>
        <v>45838</v>
      </c>
      <c r="AO595" s="167">
        <f t="shared" si="6685"/>
        <v>0</v>
      </c>
      <c r="AP595" s="163">
        <f t="shared" si="6686"/>
        <v>45839</v>
      </c>
      <c r="AQ595" s="163">
        <f t="shared" si="6687"/>
        <v>45869</v>
      </c>
      <c r="AR595" s="167">
        <f t="shared" si="6688"/>
        <v>0</v>
      </c>
      <c r="AS595" s="163">
        <f t="shared" si="6689"/>
        <v>45870</v>
      </c>
      <c r="AT595" s="163">
        <f t="shared" si="6690"/>
        <v>45900</v>
      </c>
      <c r="AU595" s="167">
        <f t="shared" si="6691"/>
        <v>0</v>
      </c>
      <c r="AV595" s="163">
        <f t="shared" si="6692"/>
        <v>45901</v>
      </c>
      <c r="AW595" s="163">
        <f t="shared" si="6693"/>
        <v>45930</v>
      </c>
      <c r="AX595" s="167">
        <f t="shared" si="6694"/>
        <v>0</v>
      </c>
      <c r="AY595" s="163">
        <f t="shared" si="6695"/>
        <v>45931</v>
      </c>
      <c r="AZ595" s="163">
        <f t="shared" si="6696"/>
        <v>45961</v>
      </c>
      <c r="BA595" s="167">
        <f t="shared" si="6697"/>
        <v>0</v>
      </c>
      <c r="BB595" s="163">
        <f t="shared" si="6698"/>
        <v>45962</v>
      </c>
      <c r="BC595" s="163">
        <f t="shared" si="6699"/>
        <v>45991</v>
      </c>
      <c r="BD595" s="167">
        <f t="shared" si="6700"/>
        <v>0</v>
      </c>
      <c r="BE595" s="163">
        <f t="shared" si="6701"/>
        <v>45992</v>
      </c>
      <c r="BF595" s="163">
        <f t="shared" si="6702"/>
        <v>46022</v>
      </c>
      <c r="BG595" s="167">
        <f t="shared" si="6703"/>
        <v>0</v>
      </c>
      <c r="BH595" s="163">
        <v>46023</v>
      </c>
      <c r="BI595" s="163">
        <f t="shared" si="6704"/>
        <v>46053</v>
      </c>
      <c r="BJ595" s="167">
        <f t="shared" si="6705"/>
        <v>0</v>
      </c>
      <c r="BK595" s="163">
        <f t="shared" si="6706"/>
        <v>46054</v>
      </c>
      <c r="BL595" s="163">
        <f t="shared" si="6707"/>
        <v>46081</v>
      </c>
      <c r="BM595" s="167">
        <f t="shared" si="6708"/>
        <v>0</v>
      </c>
      <c r="BN595" s="163">
        <f t="shared" si="6709"/>
        <v>46082</v>
      </c>
      <c r="BO595" s="163">
        <f t="shared" si="6710"/>
        <v>46112</v>
      </c>
      <c r="BP595" s="167">
        <f t="shared" si="6711"/>
        <v>0</v>
      </c>
      <c r="BQ595" s="163">
        <f t="shared" si="6712"/>
        <v>46113</v>
      </c>
      <c r="BR595" s="163">
        <f t="shared" si="6713"/>
        <v>46142</v>
      </c>
      <c r="BS595" s="167">
        <f t="shared" si="6714"/>
        <v>0</v>
      </c>
      <c r="BT595" s="163">
        <f t="shared" si="6715"/>
        <v>46143</v>
      </c>
      <c r="BU595" s="163">
        <f t="shared" si="6716"/>
        <v>46173</v>
      </c>
      <c r="BV595" s="167">
        <f t="shared" si="6717"/>
        <v>0</v>
      </c>
      <c r="BW595" s="163">
        <f t="shared" si="6718"/>
        <v>46174</v>
      </c>
      <c r="BX595" s="163">
        <f t="shared" si="6719"/>
        <v>46203</v>
      </c>
      <c r="BY595" s="167">
        <f t="shared" si="6720"/>
        <v>0</v>
      </c>
      <c r="BZ595" s="163">
        <f t="shared" si="6721"/>
        <v>46204</v>
      </c>
      <c r="CA595" s="163">
        <f t="shared" si="6722"/>
        <v>46234</v>
      </c>
      <c r="CB595" s="167">
        <f t="shared" si="6723"/>
        <v>0</v>
      </c>
      <c r="CC595" s="163">
        <f t="shared" si="6724"/>
        <v>46235</v>
      </c>
      <c r="CD595" s="163">
        <f t="shared" si="6725"/>
        <v>46265</v>
      </c>
      <c r="CE595" s="167">
        <f t="shared" si="6726"/>
        <v>0</v>
      </c>
      <c r="CF595" s="163">
        <f t="shared" si="6727"/>
        <v>46266</v>
      </c>
      <c r="CG595" s="163">
        <f t="shared" si="6728"/>
        <v>46295</v>
      </c>
      <c r="CH595" s="167">
        <f t="shared" si="6729"/>
        <v>0</v>
      </c>
      <c r="CI595" s="163">
        <f t="shared" si="6730"/>
        <v>46296</v>
      </c>
      <c r="CJ595" s="163">
        <f t="shared" si="6731"/>
        <v>46326</v>
      </c>
      <c r="CK595" s="167">
        <f t="shared" si="6732"/>
        <v>0</v>
      </c>
      <c r="CL595" s="163">
        <f t="shared" si="6733"/>
        <v>46327</v>
      </c>
      <c r="CM595" s="163">
        <f t="shared" si="6734"/>
        <v>46356</v>
      </c>
      <c r="CN595" s="167">
        <f t="shared" si="6735"/>
        <v>0</v>
      </c>
      <c r="CO595" s="163">
        <f t="shared" si="6736"/>
        <v>46357</v>
      </c>
      <c r="CP595" s="163">
        <f t="shared" si="6737"/>
        <v>46387</v>
      </c>
      <c r="CQ595" s="167">
        <f t="shared" si="6738"/>
        <v>0</v>
      </c>
    </row>
    <row r="596" s="89" customFormat="1" ht="24" hidden="1" customHeight="1" outlineLevel="4" spans="1:95">
      <c r="A596" s="132" t="s">
        <v>2813</v>
      </c>
      <c r="B596" s="133"/>
      <c r="C596" s="133"/>
      <c r="D596" s="133"/>
      <c r="E596" s="133"/>
      <c r="F596" s="133"/>
      <c r="G596" s="134"/>
      <c r="H596" s="135"/>
      <c r="I596" s="135"/>
      <c r="J596" s="135"/>
      <c r="K596" s="135"/>
      <c r="L596" s="158"/>
      <c r="M596" s="158"/>
      <c r="N596" s="135"/>
      <c r="O596" s="158"/>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c r="CL596" s="135"/>
      <c r="CM596" s="135"/>
      <c r="CN596" s="135"/>
      <c r="CO596" s="135"/>
      <c r="CP596" s="135"/>
      <c r="CQ596" s="135"/>
    </row>
    <row r="597" ht="24" customHeight="1" spans="1:95">
      <c r="A597" s="114"/>
      <c r="B597" s="115" t="s">
        <v>787</v>
      </c>
      <c r="C597" s="116">
        <v>1.4</v>
      </c>
      <c r="D597" s="114" t="s">
        <v>215</v>
      </c>
      <c r="E597" s="114"/>
      <c r="F597" s="114"/>
      <c r="G597" s="115"/>
      <c r="H597" s="173">
        <f t="shared" si="6666"/>
        <v>0</v>
      </c>
      <c r="I597" s="173">
        <f t="shared" si="6667"/>
        <v>0</v>
      </c>
      <c r="J597" s="173">
        <f t="shared" si="6664"/>
        <v>0</v>
      </c>
      <c r="K597" s="173"/>
      <c r="L597" s="174"/>
      <c r="M597" s="174"/>
      <c r="N597" s="173"/>
      <c r="O597" s="174"/>
      <c r="P597" s="173"/>
      <c r="Q597" s="173"/>
      <c r="R597" s="173"/>
      <c r="S597" s="173"/>
      <c r="T597" s="173"/>
      <c r="U597" s="173"/>
      <c r="V597" s="173"/>
      <c r="W597" s="173"/>
      <c r="X597" s="173">
        <f>VLOOKUP($C597,'1 预算编制表单'!$C:$BJ,27,FALSE)</f>
        <v>0</v>
      </c>
      <c r="Y597" s="173">
        <f t="shared" ref="Y597:BG597" si="6740">Y598+Y599+Y600+Y601+Y602</f>
        <v>0</v>
      </c>
      <c r="Z597" s="173">
        <f t="shared" si="6740"/>
        <v>0</v>
      </c>
      <c r="AA597" s="173">
        <f>VLOOKUP($C597,'1 预算编制表单'!$C:$BJ,30,FALSE)</f>
        <v>0</v>
      </c>
      <c r="AB597" s="173">
        <f t="shared" si="6740"/>
        <v>0</v>
      </c>
      <c r="AC597" s="173">
        <f t="shared" si="6740"/>
        <v>0</v>
      </c>
      <c r="AD597" s="173">
        <f>VLOOKUP($C597,'1 预算编制表单'!$C:$BJ,33,FALSE)</f>
        <v>0</v>
      </c>
      <c r="AE597" s="173">
        <f t="shared" si="6740"/>
        <v>0</v>
      </c>
      <c r="AF597" s="173">
        <f t="shared" si="6740"/>
        <v>0</v>
      </c>
      <c r="AG597" s="173">
        <f>VLOOKUP($C597,'1 预算编制表单'!$C:$BJ,36,FALSE)</f>
        <v>0</v>
      </c>
      <c r="AH597" s="173">
        <f t="shared" si="6740"/>
        <v>0</v>
      </c>
      <c r="AI597" s="173">
        <f t="shared" si="6740"/>
        <v>0</v>
      </c>
      <c r="AJ597" s="173">
        <f>VLOOKUP($C597,'1 预算编制表单'!$C:$BJ,39,FALSE)</f>
        <v>0</v>
      </c>
      <c r="AK597" s="173">
        <f t="shared" si="6740"/>
        <v>0</v>
      </c>
      <c r="AL597" s="173">
        <f t="shared" si="6740"/>
        <v>0</v>
      </c>
      <c r="AM597" s="173">
        <f>VLOOKUP($C597,'1 预算编制表单'!$C:$BJ,42,FALSE)</f>
        <v>0</v>
      </c>
      <c r="AN597" s="173">
        <f t="shared" si="6740"/>
        <v>0</v>
      </c>
      <c r="AO597" s="173">
        <f t="shared" si="6740"/>
        <v>0</v>
      </c>
      <c r="AP597" s="173">
        <f>VLOOKUP($C597,'1 预算编制表单'!$C:$BJ,45,FALSE)</f>
        <v>0</v>
      </c>
      <c r="AQ597" s="173">
        <f t="shared" si="6740"/>
        <v>0</v>
      </c>
      <c r="AR597" s="173">
        <f t="shared" si="6740"/>
        <v>0</v>
      </c>
      <c r="AS597" s="173">
        <f>VLOOKUP($C597,'1 预算编制表单'!$C:$BJ,48,FALSE)</f>
        <v>0</v>
      </c>
      <c r="AT597" s="173">
        <f t="shared" si="6740"/>
        <v>0</v>
      </c>
      <c r="AU597" s="173">
        <f t="shared" si="6740"/>
        <v>0</v>
      </c>
      <c r="AV597" s="173">
        <f>VLOOKUP($C597,'1 预算编制表单'!$C:$BJ,51,FALSE)</f>
        <v>0</v>
      </c>
      <c r="AW597" s="173">
        <f t="shared" si="6740"/>
        <v>0</v>
      </c>
      <c r="AX597" s="173">
        <f t="shared" si="6740"/>
        <v>0</v>
      </c>
      <c r="AY597" s="173">
        <f>VLOOKUP($C597,'1 预算编制表单'!$C:$BJ,54,FALSE)</f>
        <v>0</v>
      </c>
      <c r="AZ597" s="173">
        <f t="shared" si="6740"/>
        <v>0</v>
      </c>
      <c r="BA597" s="173">
        <f t="shared" si="6740"/>
        <v>0</v>
      </c>
      <c r="BB597" s="173">
        <f>VLOOKUP($C597,'1 预算编制表单'!$C:$BJ,57,FALSE)</f>
        <v>0</v>
      </c>
      <c r="BC597" s="173">
        <f t="shared" si="6740"/>
        <v>0</v>
      </c>
      <c r="BD597" s="173">
        <f t="shared" si="6740"/>
        <v>0</v>
      </c>
      <c r="BE597" s="173">
        <f>VLOOKUP($C597,'1 预算编制表单'!$C:$BJ,60,FALSE)</f>
        <v>0</v>
      </c>
      <c r="BF597" s="173">
        <f t="shared" si="6740"/>
        <v>0</v>
      </c>
      <c r="BG597" s="173">
        <f t="shared" si="6740"/>
        <v>0</v>
      </c>
      <c r="BH597" s="173">
        <f>VLOOKUP($C597,'1 预算编制表单'!$C:$BJ,27,FALSE)</f>
        <v>0</v>
      </c>
      <c r="BI597" s="173">
        <f t="shared" ref="BI597:BM597" si="6741">BI598+BI599+BI600+BI601+BI602</f>
        <v>0</v>
      </c>
      <c r="BJ597" s="173">
        <f t="shared" si="6741"/>
        <v>0</v>
      </c>
      <c r="BK597" s="173">
        <f>VLOOKUP($C597,'1 预算编制表单'!$C:$BJ,30,FALSE)</f>
        <v>0</v>
      </c>
      <c r="BL597" s="173">
        <f t="shared" si="6741"/>
        <v>0</v>
      </c>
      <c r="BM597" s="173">
        <f t="shared" si="6741"/>
        <v>0</v>
      </c>
      <c r="BN597" s="173">
        <f>VLOOKUP($C597,'1 预算编制表单'!$C:$BJ,33,FALSE)</f>
        <v>0</v>
      </c>
      <c r="BO597" s="173">
        <f t="shared" ref="BO597:BS597" si="6742">BO598+BO599+BO600+BO601+BO602</f>
        <v>0</v>
      </c>
      <c r="BP597" s="173">
        <f t="shared" si="6742"/>
        <v>0</v>
      </c>
      <c r="BQ597" s="173">
        <f>VLOOKUP($C597,'1 预算编制表单'!$C:$BJ,36,FALSE)</f>
        <v>0</v>
      </c>
      <c r="BR597" s="173">
        <f t="shared" si="6742"/>
        <v>0</v>
      </c>
      <c r="BS597" s="173">
        <f t="shared" si="6742"/>
        <v>0</v>
      </c>
      <c r="BT597" s="173">
        <f>VLOOKUP($C597,'1 预算编制表单'!$C:$BJ,39,FALSE)</f>
        <v>0</v>
      </c>
      <c r="BU597" s="173">
        <f t="shared" ref="BU597:BY597" si="6743">BU598+BU599+BU600+BU601+BU602</f>
        <v>0</v>
      </c>
      <c r="BV597" s="173">
        <f t="shared" si="6743"/>
        <v>0</v>
      </c>
      <c r="BW597" s="173">
        <f>VLOOKUP($C597,'1 预算编制表单'!$C:$BJ,42,FALSE)</f>
        <v>0</v>
      </c>
      <c r="BX597" s="173">
        <f t="shared" si="6743"/>
        <v>0</v>
      </c>
      <c r="BY597" s="173">
        <f t="shared" si="6743"/>
        <v>0</v>
      </c>
      <c r="BZ597" s="173">
        <f>VLOOKUP($C597,'1 预算编制表单'!$C:$BJ,45,FALSE)</f>
        <v>0</v>
      </c>
      <c r="CA597" s="173">
        <f t="shared" ref="CA597:CE597" si="6744">CA598+CA599+CA600+CA601+CA602</f>
        <v>0</v>
      </c>
      <c r="CB597" s="173">
        <f t="shared" si="6744"/>
        <v>0</v>
      </c>
      <c r="CC597" s="173">
        <f>VLOOKUP($C597,'1 预算编制表单'!$C:$BJ,48,FALSE)</f>
        <v>0</v>
      </c>
      <c r="CD597" s="173">
        <f t="shared" si="6744"/>
        <v>0</v>
      </c>
      <c r="CE597" s="173">
        <f t="shared" si="6744"/>
        <v>0</v>
      </c>
      <c r="CF597" s="173">
        <f>VLOOKUP($C597,'1 预算编制表单'!$C:$BJ,51,FALSE)</f>
        <v>0</v>
      </c>
      <c r="CG597" s="173">
        <f t="shared" ref="CG597:CK597" si="6745">CG598+CG599+CG600+CG601+CG602</f>
        <v>0</v>
      </c>
      <c r="CH597" s="173">
        <f t="shared" si="6745"/>
        <v>0</v>
      </c>
      <c r="CI597" s="173">
        <f>VLOOKUP($C597,'1 预算编制表单'!$C:$BJ,54,FALSE)</f>
        <v>0</v>
      </c>
      <c r="CJ597" s="173">
        <f t="shared" si="6745"/>
        <v>0</v>
      </c>
      <c r="CK597" s="173">
        <f t="shared" si="6745"/>
        <v>0</v>
      </c>
      <c r="CL597" s="173">
        <f>VLOOKUP($C597,'1 预算编制表单'!$C:$BJ,57,FALSE)</f>
        <v>0</v>
      </c>
      <c r="CM597" s="173">
        <f t="shared" ref="CM597:CQ597" si="6746">CM598+CM599+CM600+CM601+CM602</f>
        <v>0</v>
      </c>
      <c r="CN597" s="173">
        <f t="shared" si="6746"/>
        <v>0</v>
      </c>
      <c r="CO597" s="173">
        <f>VLOOKUP($C597,'1 预算编制表单'!$C:$BJ,60,FALSE)</f>
        <v>0</v>
      </c>
      <c r="CP597" s="173">
        <f t="shared" si="6746"/>
        <v>0</v>
      </c>
      <c r="CQ597" s="173">
        <f t="shared" si="6746"/>
        <v>0</v>
      </c>
    </row>
    <row r="598" s="92" customFormat="1" ht="24" customHeight="1" outlineLevel="1" spans="1:95">
      <c r="A598" s="175"/>
      <c r="B598" s="176" t="s">
        <v>787</v>
      </c>
      <c r="C598" s="177" t="s">
        <v>84</v>
      </c>
      <c r="D598" s="175" t="s">
        <v>85</v>
      </c>
      <c r="E598" s="176" t="s">
        <v>2295</v>
      </c>
      <c r="F598" s="176"/>
      <c r="G598" s="176" t="s">
        <v>1844</v>
      </c>
      <c r="H598" s="178">
        <f t="shared" si="6666"/>
        <v>0</v>
      </c>
      <c r="I598" s="178">
        <f t="shared" si="6667"/>
        <v>0</v>
      </c>
      <c r="J598" s="178">
        <f t="shared" si="6664"/>
        <v>0</v>
      </c>
      <c r="K598" s="178"/>
      <c r="L598" s="179"/>
      <c r="M598" s="179"/>
      <c r="N598" s="178"/>
      <c r="O598" s="179"/>
      <c r="P598" s="178"/>
      <c r="Q598" s="178"/>
      <c r="R598" s="178"/>
      <c r="S598" s="178"/>
      <c r="T598" s="178"/>
      <c r="U598" s="178"/>
      <c r="V598" s="178"/>
      <c r="W598" s="178"/>
      <c r="X598" s="178">
        <f>VLOOKUP($C598,'1 预算编制表单'!$C:$BJ,27,FALSE)</f>
        <v>0</v>
      </c>
      <c r="Y598" s="178">
        <f t="shared" ref="Y598:Y602" si="6747">X598-Z598</f>
        <v>0</v>
      </c>
      <c r="Z598" s="178">
        <f>报销单计算表!B10</f>
        <v>0</v>
      </c>
      <c r="AA598" s="178">
        <f>VLOOKUP($C598,'1 预算编制表单'!$C:$BJ,30,FALSE)</f>
        <v>0</v>
      </c>
      <c r="AB598" s="178">
        <f t="shared" ref="AB598:AB602" si="6748">AA598-AC598</f>
        <v>0</v>
      </c>
      <c r="AC598" s="178">
        <f>报销单计算表!C10</f>
        <v>0</v>
      </c>
      <c r="AD598" s="178">
        <f>VLOOKUP($C598,'1 预算编制表单'!$C:$BJ,33,FALSE)</f>
        <v>0</v>
      </c>
      <c r="AE598" s="178">
        <f t="shared" ref="AE598:AE602" si="6749">AD598-AF598</f>
        <v>0</v>
      </c>
      <c r="AF598" s="178">
        <f>报销单计算表!D10</f>
        <v>0</v>
      </c>
      <c r="AG598" s="178">
        <f>VLOOKUP($C598,'1 预算编制表单'!$C:$BJ,36,FALSE)</f>
        <v>0</v>
      </c>
      <c r="AH598" s="178">
        <f t="shared" ref="AH598:AH602" si="6750">AG598-AI598</f>
        <v>0</v>
      </c>
      <c r="AI598" s="178">
        <f>报销单计算表!E10</f>
        <v>0</v>
      </c>
      <c r="AJ598" s="178">
        <f>VLOOKUP($C598,'1 预算编制表单'!$C:$BJ,39,FALSE)</f>
        <v>0</v>
      </c>
      <c r="AK598" s="178">
        <f t="shared" ref="AK598:AK602" si="6751">AJ598-AL598</f>
        <v>0</v>
      </c>
      <c r="AL598" s="178">
        <f>报销单计算表!F10</f>
        <v>0</v>
      </c>
      <c r="AM598" s="178">
        <f>VLOOKUP($C598,'1 预算编制表单'!$C:$BJ,42,FALSE)</f>
        <v>0</v>
      </c>
      <c r="AN598" s="178">
        <f t="shared" ref="AN598:AN602" si="6752">AM598-AO598</f>
        <v>0</v>
      </c>
      <c r="AO598" s="178">
        <f>报销单计算表!G10</f>
        <v>0</v>
      </c>
      <c r="AP598" s="178">
        <f>VLOOKUP($C598,'1 预算编制表单'!$C:$BJ,45,FALSE)</f>
        <v>0</v>
      </c>
      <c r="AQ598" s="178">
        <f t="shared" ref="AQ598:AQ602" si="6753">AP598-AR598</f>
        <v>0</v>
      </c>
      <c r="AR598" s="178">
        <f>报销单计算表!H10</f>
        <v>0</v>
      </c>
      <c r="AS598" s="178">
        <f>VLOOKUP($C598,'1 预算编制表单'!$C:$BJ,48,FALSE)</f>
        <v>0</v>
      </c>
      <c r="AT598" s="178">
        <f t="shared" ref="AT598:AT602" si="6754">AS598-AU598</f>
        <v>0</v>
      </c>
      <c r="AU598" s="178">
        <f>报销单计算表!I10</f>
        <v>0</v>
      </c>
      <c r="AV598" s="178">
        <f>VLOOKUP($C598,'1 预算编制表单'!$C:$BJ,51,FALSE)</f>
        <v>0</v>
      </c>
      <c r="AW598" s="178">
        <f t="shared" ref="AW598:AW602" si="6755">AV598-AX598</f>
        <v>0</v>
      </c>
      <c r="AX598" s="178">
        <f>报销单计算表!J10</f>
        <v>0</v>
      </c>
      <c r="AY598" s="178">
        <f>VLOOKUP($C598,'1 预算编制表单'!$C:$BJ,54,FALSE)</f>
        <v>0</v>
      </c>
      <c r="AZ598" s="178">
        <f t="shared" ref="AZ598:AZ602" si="6756">AY598-BA598</f>
        <v>0</v>
      </c>
      <c r="BA598" s="178">
        <f>报销单计算表!K10</f>
        <v>0</v>
      </c>
      <c r="BB598" s="178">
        <f>VLOOKUP($C598,'1 预算编制表单'!$C:$BJ,57,FALSE)</f>
        <v>0</v>
      </c>
      <c r="BC598" s="178">
        <f t="shared" ref="BC598:BC602" si="6757">BB598-BD598</f>
        <v>0</v>
      </c>
      <c r="BD598" s="178">
        <f>报销单计算表!L10</f>
        <v>0</v>
      </c>
      <c r="BE598" s="178">
        <f>VLOOKUP($C598,'1 预算编制表单'!$C:$BJ,60,FALSE)</f>
        <v>0</v>
      </c>
      <c r="BF598" s="178">
        <f t="shared" ref="BF598:BF602" si="6758">BE598-BG598</f>
        <v>0</v>
      </c>
      <c r="BG598" s="178">
        <f>报销单计算表!M10</f>
        <v>0</v>
      </c>
      <c r="BH598" s="178">
        <f>VLOOKUP($C598,'1 预算编制表单'!$C:$BJ,27,FALSE)</f>
        <v>0</v>
      </c>
      <c r="BI598" s="178">
        <f t="shared" ref="BI598:BI602" si="6759">BH598-BJ598</f>
        <v>0</v>
      </c>
      <c r="BJ598" s="178"/>
      <c r="BK598" s="178">
        <f>VLOOKUP($C598,'1 预算编制表单'!$C:$BJ,30,FALSE)</f>
        <v>0</v>
      </c>
      <c r="BL598" s="178">
        <f t="shared" ref="BL598:BL602" si="6760">BK598-BM598</f>
        <v>0</v>
      </c>
      <c r="BM598" s="178"/>
      <c r="BN598" s="178">
        <f>VLOOKUP($C598,'1 预算编制表单'!$C:$BJ,33,FALSE)</f>
        <v>0</v>
      </c>
      <c r="BO598" s="178">
        <f t="shared" ref="BO598:BO602" si="6761">BN598-BP598</f>
        <v>0</v>
      </c>
      <c r="BP598" s="178"/>
      <c r="BQ598" s="178">
        <f>VLOOKUP($C598,'1 预算编制表单'!$C:$BJ,36,FALSE)</f>
        <v>0</v>
      </c>
      <c r="BR598" s="178">
        <f t="shared" ref="BR598:BR602" si="6762">BQ598-BS598</f>
        <v>0</v>
      </c>
      <c r="BS598" s="178"/>
      <c r="BT598" s="178">
        <f>VLOOKUP($C598,'1 预算编制表单'!$C:$BJ,39,FALSE)</f>
        <v>0</v>
      </c>
      <c r="BU598" s="178">
        <f t="shared" ref="BU598:BU602" si="6763">BT598-BV598</f>
        <v>0</v>
      </c>
      <c r="BV598" s="178"/>
      <c r="BW598" s="178">
        <f>VLOOKUP($C598,'1 预算编制表单'!$C:$BJ,42,FALSE)</f>
        <v>0</v>
      </c>
      <c r="BX598" s="178">
        <f t="shared" ref="BX598:BX602" si="6764">BW598-BY598</f>
        <v>0</v>
      </c>
      <c r="BY598" s="178"/>
      <c r="BZ598" s="178">
        <f>VLOOKUP($C598,'1 预算编制表单'!$C:$BJ,45,FALSE)</f>
        <v>0</v>
      </c>
      <c r="CA598" s="178">
        <f t="shared" ref="CA598:CA602" si="6765">BZ598-CB598</f>
        <v>0</v>
      </c>
      <c r="CB598" s="178"/>
      <c r="CC598" s="178">
        <f>VLOOKUP($C598,'1 预算编制表单'!$C:$BJ,48,FALSE)</f>
        <v>0</v>
      </c>
      <c r="CD598" s="178">
        <f t="shared" ref="CD598:CD602" si="6766">CC598-CE598</f>
        <v>0</v>
      </c>
      <c r="CE598" s="178"/>
      <c r="CF598" s="178">
        <f>VLOOKUP($C598,'1 预算编制表单'!$C:$BJ,51,FALSE)</f>
        <v>0</v>
      </c>
      <c r="CG598" s="178">
        <f t="shared" ref="CG598:CG602" si="6767">CF598-CH598</f>
        <v>0</v>
      </c>
      <c r="CH598" s="178"/>
      <c r="CI598" s="178">
        <f>VLOOKUP($C598,'1 预算编制表单'!$C:$BJ,54,FALSE)</f>
        <v>0</v>
      </c>
      <c r="CJ598" s="178">
        <f t="shared" ref="CJ598:CJ602" si="6768">CI598-CK598</f>
        <v>0</v>
      </c>
      <c r="CK598" s="178"/>
      <c r="CL598" s="178">
        <f>VLOOKUP($C598,'1 预算编制表单'!$C:$BJ,57,FALSE)</f>
        <v>0</v>
      </c>
      <c r="CM598" s="178">
        <f t="shared" ref="CM598:CM602" si="6769">CL598-CN598</f>
        <v>0</v>
      </c>
      <c r="CN598" s="178"/>
      <c r="CO598" s="178">
        <f>VLOOKUP($C598,'1 预算编制表单'!$C:$BJ,60,FALSE)</f>
        <v>0</v>
      </c>
      <c r="CP598" s="178">
        <f t="shared" ref="CP598:CP602" si="6770">CO598-CQ598</f>
        <v>0</v>
      </c>
      <c r="CQ598" s="178"/>
    </row>
    <row r="599" s="92" customFormat="1" ht="24" customHeight="1" outlineLevel="1" spans="1:95">
      <c r="A599" s="175"/>
      <c r="B599" s="176" t="s">
        <v>787</v>
      </c>
      <c r="C599" s="177" t="s">
        <v>88</v>
      </c>
      <c r="D599" s="175" t="s">
        <v>89</v>
      </c>
      <c r="E599" s="176" t="s">
        <v>2299</v>
      </c>
      <c r="F599" s="176"/>
      <c r="G599" s="176" t="s">
        <v>1844</v>
      </c>
      <c r="H599" s="178">
        <f t="shared" si="6666"/>
        <v>0</v>
      </c>
      <c r="I599" s="178">
        <f t="shared" si="6667"/>
        <v>0</v>
      </c>
      <c r="J599" s="178">
        <f t="shared" si="6664"/>
        <v>0</v>
      </c>
      <c r="K599" s="178"/>
      <c r="L599" s="179"/>
      <c r="M599" s="179"/>
      <c r="N599" s="178"/>
      <c r="O599" s="179"/>
      <c r="P599" s="178"/>
      <c r="Q599" s="178"/>
      <c r="R599" s="178"/>
      <c r="S599" s="178"/>
      <c r="T599" s="178"/>
      <c r="U599" s="178"/>
      <c r="V599" s="178"/>
      <c r="W599" s="178"/>
      <c r="X599" s="178">
        <f>VLOOKUP($C599,'1 预算编制表单'!$C:$BJ,27,FALSE)</f>
        <v>0</v>
      </c>
      <c r="Y599" s="178">
        <f t="shared" si="6747"/>
        <v>0</v>
      </c>
      <c r="Z599" s="178">
        <f>报销单计算表!B11</f>
        <v>0</v>
      </c>
      <c r="AA599" s="178">
        <f>VLOOKUP($C599,'1 预算编制表单'!$C:$BJ,30,FALSE)</f>
        <v>0</v>
      </c>
      <c r="AB599" s="178">
        <f t="shared" si="6748"/>
        <v>0</v>
      </c>
      <c r="AC599" s="178">
        <f>报销单计算表!C11</f>
        <v>0</v>
      </c>
      <c r="AD599" s="178">
        <f>VLOOKUP($C599,'1 预算编制表单'!$C:$BJ,33,FALSE)</f>
        <v>0</v>
      </c>
      <c r="AE599" s="178">
        <f t="shared" si="6749"/>
        <v>0</v>
      </c>
      <c r="AF599" s="178">
        <f>报销单计算表!D11</f>
        <v>0</v>
      </c>
      <c r="AG599" s="178">
        <f>VLOOKUP($C599,'1 预算编制表单'!$C:$BJ,36,FALSE)</f>
        <v>0</v>
      </c>
      <c r="AH599" s="178">
        <f t="shared" si="6750"/>
        <v>0</v>
      </c>
      <c r="AI599" s="178">
        <f>报销单计算表!E11</f>
        <v>0</v>
      </c>
      <c r="AJ599" s="178">
        <f>VLOOKUP($C599,'1 预算编制表单'!$C:$BJ,39,FALSE)</f>
        <v>0</v>
      </c>
      <c r="AK599" s="178">
        <f t="shared" si="6751"/>
        <v>0</v>
      </c>
      <c r="AL599" s="178">
        <f>报销单计算表!F11</f>
        <v>0</v>
      </c>
      <c r="AM599" s="178">
        <f>VLOOKUP($C599,'1 预算编制表单'!$C:$BJ,42,FALSE)</f>
        <v>0</v>
      </c>
      <c r="AN599" s="178">
        <f t="shared" si="6752"/>
        <v>0</v>
      </c>
      <c r="AO599" s="178">
        <f>报销单计算表!G11</f>
        <v>0</v>
      </c>
      <c r="AP599" s="178">
        <f>VLOOKUP($C599,'1 预算编制表单'!$C:$BJ,45,FALSE)</f>
        <v>0</v>
      </c>
      <c r="AQ599" s="178">
        <f t="shared" si="6753"/>
        <v>0</v>
      </c>
      <c r="AR599" s="178">
        <f>报销单计算表!H11</f>
        <v>0</v>
      </c>
      <c r="AS599" s="178">
        <f>VLOOKUP($C599,'1 预算编制表单'!$C:$BJ,48,FALSE)</f>
        <v>0</v>
      </c>
      <c r="AT599" s="178">
        <f t="shared" si="6754"/>
        <v>0</v>
      </c>
      <c r="AU599" s="178">
        <f>报销单计算表!I11</f>
        <v>0</v>
      </c>
      <c r="AV599" s="178">
        <f>VLOOKUP($C599,'1 预算编制表单'!$C:$BJ,51,FALSE)</f>
        <v>0</v>
      </c>
      <c r="AW599" s="178">
        <f t="shared" si="6755"/>
        <v>0</v>
      </c>
      <c r="AX599" s="178">
        <f>报销单计算表!J11</f>
        <v>0</v>
      </c>
      <c r="AY599" s="178">
        <f>VLOOKUP($C599,'1 预算编制表单'!$C:$BJ,54,FALSE)</f>
        <v>0</v>
      </c>
      <c r="AZ599" s="178">
        <f t="shared" si="6756"/>
        <v>0</v>
      </c>
      <c r="BA599" s="178">
        <f>报销单计算表!K11</f>
        <v>0</v>
      </c>
      <c r="BB599" s="178">
        <f>VLOOKUP($C599,'1 预算编制表单'!$C:$BJ,57,FALSE)</f>
        <v>0</v>
      </c>
      <c r="BC599" s="178">
        <f t="shared" si="6757"/>
        <v>0</v>
      </c>
      <c r="BD599" s="178">
        <f>报销单计算表!L11</f>
        <v>0</v>
      </c>
      <c r="BE599" s="178">
        <f>VLOOKUP($C599,'1 预算编制表单'!$C:$BJ,60,FALSE)</f>
        <v>0</v>
      </c>
      <c r="BF599" s="178">
        <f t="shared" si="6758"/>
        <v>0</v>
      </c>
      <c r="BG599" s="178">
        <f>报销单计算表!M11</f>
        <v>0</v>
      </c>
      <c r="BH599" s="178">
        <f>VLOOKUP($C599,'1 预算编制表单'!$C:$BJ,27,FALSE)</f>
        <v>0</v>
      </c>
      <c r="BI599" s="178">
        <f t="shared" si="6759"/>
        <v>0</v>
      </c>
      <c r="BJ599" s="178"/>
      <c r="BK599" s="178">
        <f>VLOOKUP($C599,'1 预算编制表单'!$C:$BJ,30,FALSE)</f>
        <v>0</v>
      </c>
      <c r="BL599" s="178">
        <f t="shared" si="6760"/>
        <v>0</v>
      </c>
      <c r="BM599" s="178"/>
      <c r="BN599" s="178">
        <f>VLOOKUP($C599,'1 预算编制表单'!$C:$BJ,33,FALSE)</f>
        <v>0</v>
      </c>
      <c r="BO599" s="178">
        <f t="shared" si="6761"/>
        <v>0</v>
      </c>
      <c r="BP599" s="178"/>
      <c r="BQ599" s="178">
        <f>VLOOKUP($C599,'1 预算编制表单'!$C:$BJ,36,FALSE)</f>
        <v>0</v>
      </c>
      <c r="BR599" s="178">
        <f t="shared" si="6762"/>
        <v>0</v>
      </c>
      <c r="BS599" s="178"/>
      <c r="BT599" s="178">
        <f>VLOOKUP($C599,'1 预算编制表单'!$C:$BJ,39,FALSE)</f>
        <v>0</v>
      </c>
      <c r="BU599" s="178">
        <f t="shared" si="6763"/>
        <v>0</v>
      </c>
      <c r="BV599" s="178"/>
      <c r="BW599" s="178">
        <f>VLOOKUP($C599,'1 预算编制表单'!$C:$BJ,42,FALSE)</f>
        <v>0</v>
      </c>
      <c r="BX599" s="178">
        <f t="shared" si="6764"/>
        <v>0</v>
      </c>
      <c r="BY599" s="178"/>
      <c r="BZ599" s="178">
        <f>VLOOKUP($C599,'1 预算编制表单'!$C:$BJ,45,FALSE)</f>
        <v>0</v>
      </c>
      <c r="CA599" s="178">
        <f t="shared" si="6765"/>
        <v>0</v>
      </c>
      <c r="CB599" s="178"/>
      <c r="CC599" s="178">
        <f>VLOOKUP($C599,'1 预算编制表单'!$C:$BJ,48,FALSE)</f>
        <v>0</v>
      </c>
      <c r="CD599" s="178">
        <f t="shared" si="6766"/>
        <v>0</v>
      </c>
      <c r="CE599" s="178"/>
      <c r="CF599" s="178">
        <f>VLOOKUP($C599,'1 预算编制表单'!$C:$BJ,51,FALSE)</f>
        <v>0</v>
      </c>
      <c r="CG599" s="178">
        <f t="shared" si="6767"/>
        <v>0</v>
      </c>
      <c r="CH599" s="178"/>
      <c r="CI599" s="178">
        <f>VLOOKUP($C599,'1 预算编制表单'!$C:$BJ,54,FALSE)</f>
        <v>0</v>
      </c>
      <c r="CJ599" s="178">
        <f t="shared" si="6768"/>
        <v>0</v>
      </c>
      <c r="CK599" s="178"/>
      <c r="CL599" s="178">
        <f>VLOOKUP($C599,'1 预算编制表单'!$C:$BJ,57,FALSE)</f>
        <v>0</v>
      </c>
      <c r="CM599" s="178">
        <f t="shared" si="6769"/>
        <v>0</v>
      </c>
      <c r="CN599" s="178"/>
      <c r="CO599" s="178">
        <f>VLOOKUP($C599,'1 预算编制表单'!$C:$BJ,60,FALSE)</f>
        <v>0</v>
      </c>
      <c r="CP599" s="178">
        <f t="shared" si="6770"/>
        <v>0</v>
      </c>
      <c r="CQ599" s="178"/>
    </row>
    <row r="600" s="92" customFormat="1" ht="24" customHeight="1" outlineLevel="1" spans="1:95">
      <c r="A600" s="175"/>
      <c r="B600" s="176" t="s">
        <v>787</v>
      </c>
      <c r="C600" s="177" t="s">
        <v>96</v>
      </c>
      <c r="D600" s="175" t="s">
        <v>97</v>
      </c>
      <c r="E600" s="176" t="s">
        <v>2303</v>
      </c>
      <c r="F600" s="176"/>
      <c r="G600" s="176" t="s">
        <v>1844</v>
      </c>
      <c r="H600" s="178">
        <f t="shared" si="6666"/>
        <v>0</v>
      </c>
      <c r="I600" s="178">
        <f t="shared" si="6667"/>
        <v>0</v>
      </c>
      <c r="J600" s="178">
        <f t="shared" si="6664"/>
        <v>0</v>
      </c>
      <c r="K600" s="178"/>
      <c r="L600" s="179"/>
      <c r="M600" s="179"/>
      <c r="N600" s="178"/>
      <c r="O600" s="179"/>
      <c r="P600" s="178"/>
      <c r="Q600" s="178"/>
      <c r="R600" s="178"/>
      <c r="S600" s="178"/>
      <c r="T600" s="178"/>
      <c r="U600" s="178"/>
      <c r="V600" s="178"/>
      <c r="W600" s="178"/>
      <c r="X600" s="178">
        <f>VLOOKUP($C600,'1 预算编制表单'!$C:$BJ,27,FALSE)</f>
        <v>0</v>
      </c>
      <c r="Y600" s="178">
        <f t="shared" si="6747"/>
        <v>0</v>
      </c>
      <c r="Z600" s="178">
        <f>报销单计算表!B12</f>
        <v>0</v>
      </c>
      <c r="AA600" s="178">
        <f>VLOOKUP($C600,'1 预算编制表单'!$C:$BJ,30,FALSE)</f>
        <v>0</v>
      </c>
      <c r="AB600" s="178">
        <f t="shared" si="6748"/>
        <v>0</v>
      </c>
      <c r="AC600" s="178">
        <f>报销单计算表!C12</f>
        <v>0</v>
      </c>
      <c r="AD600" s="178">
        <f>VLOOKUP($C600,'1 预算编制表单'!$C:$BJ,33,FALSE)</f>
        <v>0</v>
      </c>
      <c r="AE600" s="178">
        <f t="shared" si="6749"/>
        <v>0</v>
      </c>
      <c r="AF600" s="178">
        <f>报销单计算表!D12</f>
        <v>0</v>
      </c>
      <c r="AG600" s="178">
        <f>VLOOKUP($C600,'1 预算编制表单'!$C:$BJ,36,FALSE)</f>
        <v>0</v>
      </c>
      <c r="AH600" s="178">
        <f t="shared" si="6750"/>
        <v>0</v>
      </c>
      <c r="AI600" s="178">
        <f>报销单计算表!E12</f>
        <v>0</v>
      </c>
      <c r="AJ600" s="178">
        <f>VLOOKUP($C600,'1 预算编制表单'!$C:$BJ,39,FALSE)</f>
        <v>0</v>
      </c>
      <c r="AK600" s="178">
        <f t="shared" si="6751"/>
        <v>0</v>
      </c>
      <c r="AL600" s="178">
        <f>报销单计算表!F12</f>
        <v>0</v>
      </c>
      <c r="AM600" s="178">
        <f>VLOOKUP($C600,'1 预算编制表单'!$C:$BJ,42,FALSE)</f>
        <v>0</v>
      </c>
      <c r="AN600" s="178">
        <f t="shared" si="6752"/>
        <v>0</v>
      </c>
      <c r="AO600" s="178">
        <f>报销单计算表!G12</f>
        <v>0</v>
      </c>
      <c r="AP600" s="178">
        <f>VLOOKUP($C600,'1 预算编制表单'!$C:$BJ,45,FALSE)</f>
        <v>0</v>
      </c>
      <c r="AQ600" s="178">
        <f t="shared" si="6753"/>
        <v>0</v>
      </c>
      <c r="AR600" s="178">
        <f>报销单计算表!H12</f>
        <v>0</v>
      </c>
      <c r="AS600" s="178">
        <f>VLOOKUP($C600,'1 预算编制表单'!$C:$BJ,48,FALSE)</f>
        <v>0</v>
      </c>
      <c r="AT600" s="178">
        <f t="shared" si="6754"/>
        <v>0</v>
      </c>
      <c r="AU600" s="178">
        <f>报销单计算表!I12</f>
        <v>0</v>
      </c>
      <c r="AV600" s="178">
        <f>VLOOKUP($C600,'1 预算编制表单'!$C:$BJ,51,FALSE)</f>
        <v>0</v>
      </c>
      <c r="AW600" s="178">
        <f t="shared" si="6755"/>
        <v>0</v>
      </c>
      <c r="AX600" s="178">
        <f>报销单计算表!J12</f>
        <v>0</v>
      </c>
      <c r="AY600" s="178">
        <f>VLOOKUP($C600,'1 预算编制表单'!$C:$BJ,54,FALSE)</f>
        <v>0</v>
      </c>
      <c r="AZ600" s="178">
        <f t="shared" si="6756"/>
        <v>0</v>
      </c>
      <c r="BA600" s="178">
        <f>报销单计算表!K12</f>
        <v>0</v>
      </c>
      <c r="BB600" s="178">
        <f>VLOOKUP($C600,'1 预算编制表单'!$C:$BJ,57,FALSE)</f>
        <v>0</v>
      </c>
      <c r="BC600" s="178">
        <f t="shared" si="6757"/>
        <v>0</v>
      </c>
      <c r="BD600" s="178">
        <f>报销单计算表!L12</f>
        <v>0</v>
      </c>
      <c r="BE600" s="178">
        <f>VLOOKUP($C600,'1 预算编制表单'!$C:$BJ,60,FALSE)</f>
        <v>0</v>
      </c>
      <c r="BF600" s="178">
        <f t="shared" si="6758"/>
        <v>0</v>
      </c>
      <c r="BG600" s="178">
        <f>报销单计算表!M12</f>
        <v>0</v>
      </c>
      <c r="BH600" s="178">
        <f>VLOOKUP($C600,'1 预算编制表单'!$C:$BJ,27,FALSE)</f>
        <v>0</v>
      </c>
      <c r="BI600" s="178">
        <f t="shared" si="6759"/>
        <v>0</v>
      </c>
      <c r="BJ600" s="178"/>
      <c r="BK600" s="178">
        <f>VLOOKUP($C600,'1 预算编制表单'!$C:$BJ,30,FALSE)</f>
        <v>0</v>
      </c>
      <c r="BL600" s="178">
        <f t="shared" si="6760"/>
        <v>0</v>
      </c>
      <c r="BM600" s="178"/>
      <c r="BN600" s="178">
        <f>VLOOKUP($C600,'1 预算编制表单'!$C:$BJ,33,FALSE)</f>
        <v>0</v>
      </c>
      <c r="BO600" s="178">
        <f t="shared" si="6761"/>
        <v>0</v>
      </c>
      <c r="BP600" s="178"/>
      <c r="BQ600" s="178">
        <f>VLOOKUP($C600,'1 预算编制表单'!$C:$BJ,36,FALSE)</f>
        <v>0</v>
      </c>
      <c r="BR600" s="178">
        <f t="shared" si="6762"/>
        <v>0</v>
      </c>
      <c r="BS600" s="178"/>
      <c r="BT600" s="178">
        <f>VLOOKUP($C600,'1 预算编制表单'!$C:$BJ,39,FALSE)</f>
        <v>0</v>
      </c>
      <c r="BU600" s="178">
        <f t="shared" si="6763"/>
        <v>0</v>
      </c>
      <c r="BV600" s="178"/>
      <c r="BW600" s="178">
        <f>VLOOKUP($C600,'1 预算编制表单'!$C:$BJ,42,FALSE)</f>
        <v>0</v>
      </c>
      <c r="BX600" s="178">
        <f t="shared" si="6764"/>
        <v>0</v>
      </c>
      <c r="BY600" s="178"/>
      <c r="BZ600" s="178">
        <f>VLOOKUP($C600,'1 预算编制表单'!$C:$BJ,45,FALSE)</f>
        <v>0</v>
      </c>
      <c r="CA600" s="178">
        <f t="shared" si="6765"/>
        <v>0</v>
      </c>
      <c r="CB600" s="178"/>
      <c r="CC600" s="178">
        <f>VLOOKUP($C600,'1 预算编制表单'!$C:$BJ,48,FALSE)</f>
        <v>0</v>
      </c>
      <c r="CD600" s="178">
        <f t="shared" si="6766"/>
        <v>0</v>
      </c>
      <c r="CE600" s="178"/>
      <c r="CF600" s="178">
        <f>VLOOKUP($C600,'1 预算编制表单'!$C:$BJ,51,FALSE)</f>
        <v>0</v>
      </c>
      <c r="CG600" s="178">
        <f t="shared" si="6767"/>
        <v>0</v>
      </c>
      <c r="CH600" s="178"/>
      <c r="CI600" s="178">
        <f>VLOOKUP($C600,'1 预算编制表单'!$C:$BJ,54,FALSE)</f>
        <v>0</v>
      </c>
      <c r="CJ600" s="178">
        <f t="shared" si="6768"/>
        <v>0</v>
      </c>
      <c r="CK600" s="178"/>
      <c r="CL600" s="178">
        <f>VLOOKUP($C600,'1 预算编制表单'!$C:$BJ,57,FALSE)</f>
        <v>0</v>
      </c>
      <c r="CM600" s="178">
        <f t="shared" si="6769"/>
        <v>0</v>
      </c>
      <c r="CN600" s="178"/>
      <c r="CO600" s="178">
        <f>VLOOKUP($C600,'1 预算编制表单'!$C:$BJ,60,FALSE)</f>
        <v>0</v>
      </c>
      <c r="CP600" s="178">
        <f t="shared" si="6770"/>
        <v>0</v>
      </c>
      <c r="CQ600" s="178"/>
    </row>
    <row r="601" s="92" customFormat="1" ht="24" customHeight="1" outlineLevel="1" spans="1:95">
      <c r="A601" s="175"/>
      <c r="B601" s="176" t="s">
        <v>787</v>
      </c>
      <c r="C601" s="177" t="s">
        <v>92</v>
      </c>
      <c r="D601" s="175" t="s">
        <v>93</v>
      </c>
      <c r="E601" s="176" t="s">
        <v>2305</v>
      </c>
      <c r="F601" s="176" t="s">
        <v>1618</v>
      </c>
      <c r="G601" s="176" t="s">
        <v>1844</v>
      </c>
      <c r="H601" s="178">
        <f t="shared" si="6666"/>
        <v>0</v>
      </c>
      <c r="I601" s="178">
        <f t="shared" si="6667"/>
        <v>0</v>
      </c>
      <c r="J601" s="178">
        <f t="shared" si="6664"/>
        <v>0</v>
      </c>
      <c r="K601" s="178"/>
      <c r="L601" s="179"/>
      <c r="M601" s="179"/>
      <c r="N601" s="178"/>
      <c r="O601" s="179"/>
      <c r="P601" s="178"/>
      <c r="Q601" s="178"/>
      <c r="R601" s="178"/>
      <c r="S601" s="178"/>
      <c r="T601" s="178"/>
      <c r="U601" s="178"/>
      <c r="V601" s="178"/>
      <c r="W601" s="178"/>
      <c r="X601" s="178">
        <f>VLOOKUP($C601,'1 预算编制表单'!$C:$BJ,27,FALSE)</f>
        <v>0</v>
      </c>
      <c r="Y601" s="178">
        <f t="shared" si="6747"/>
        <v>0</v>
      </c>
      <c r="Z601" s="178">
        <f>报销单计算表!B13</f>
        <v>0</v>
      </c>
      <c r="AA601" s="178">
        <f>VLOOKUP($C601,'1 预算编制表单'!$C:$BJ,30,FALSE)</f>
        <v>0</v>
      </c>
      <c r="AB601" s="178">
        <f t="shared" si="6748"/>
        <v>0</v>
      </c>
      <c r="AC601" s="178">
        <f>报销单计算表!C13</f>
        <v>0</v>
      </c>
      <c r="AD601" s="178">
        <f>VLOOKUP($C601,'1 预算编制表单'!$C:$BJ,33,FALSE)</f>
        <v>0</v>
      </c>
      <c r="AE601" s="178">
        <f t="shared" si="6749"/>
        <v>0</v>
      </c>
      <c r="AF601" s="178">
        <f>报销单计算表!D13</f>
        <v>0</v>
      </c>
      <c r="AG601" s="178">
        <f>VLOOKUP($C601,'1 预算编制表单'!$C:$BJ,36,FALSE)</f>
        <v>0</v>
      </c>
      <c r="AH601" s="178">
        <f t="shared" si="6750"/>
        <v>0</v>
      </c>
      <c r="AI601" s="178">
        <f>报销单计算表!E13</f>
        <v>0</v>
      </c>
      <c r="AJ601" s="178">
        <f>VLOOKUP($C601,'1 预算编制表单'!$C:$BJ,39,FALSE)</f>
        <v>0</v>
      </c>
      <c r="AK601" s="178">
        <f t="shared" si="6751"/>
        <v>0</v>
      </c>
      <c r="AL601" s="178">
        <f>报销单计算表!F13</f>
        <v>0</v>
      </c>
      <c r="AM601" s="178">
        <f>VLOOKUP($C601,'1 预算编制表单'!$C:$BJ,42,FALSE)</f>
        <v>0</v>
      </c>
      <c r="AN601" s="178">
        <f t="shared" si="6752"/>
        <v>0</v>
      </c>
      <c r="AO601" s="178">
        <f>报销单计算表!G13</f>
        <v>0</v>
      </c>
      <c r="AP601" s="178">
        <f>VLOOKUP($C601,'1 预算编制表单'!$C:$BJ,45,FALSE)</f>
        <v>0</v>
      </c>
      <c r="AQ601" s="178">
        <f t="shared" si="6753"/>
        <v>0</v>
      </c>
      <c r="AR601" s="178">
        <f>报销单计算表!H13</f>
        <v>0</v>
      </c>
      <c r="AS601" s="178">
        <f>VLOOKUP($C601,'1 预算编制表单'!$C:$BJ,48,FALSE)</f>
        <v>0</v>
      </c>
      <c r="AT601" s="178">
        <f t="shared" si="6754"/>
        <v>0</v>
      </c>
      <c r="AU601" s="178">
        <f>报销单计算表!I13</f>
        <v>0</v>
      </c>
      <c r="AV601" s="178">
        <f>VLOOKUP($C601,'1 预算编制表单'!$C:$BJ,51,FALSE)</f>
        <v>0</v>
      </c>
      <c r="AW601" s="178">
        <f t="shared" si="6755"/>
        <v>0</v>
      </c>
      <c r="AX601" s="178">
        <f>报销单计算表!J13</f>
        <v>0</v>
      </c>
      <c r="AY601" s="178">
        <f>VLOOKUP($C601,'1 预算编制表单'!$C:$BJ,54,FALSE)</f>
        <v>0</v>
      </c>
      <c r="AZ601" s="178">
        <f t="shared" si="6756"/>
        <v>0</v>
      </c>
      <c r="BA601" s="178">
        <f>报销单计算表!K13</f>
        <v>0</v>
      </c>
      <c r="BB601" s="178">
        <f>VLOOKUP($C601,'1 预算编制表单'!$C:$BJ,57,FALSE)</f>
        <v>0</v>
      </c>
      <c r="BC601" s="178">
        <f t="shared" si="6757"/>
        <v>0</v>
      </c>
      <c r="BD601" s="178">
        <f>报销单计算表!L13</f>
        <v>0</v>
      </c>
      <c r="BE601" s="178">
        <f>VLOOKUP($C601,'1 预算编制表单'!$C:$BJ,60,FALSE)</f>
        <v>0</v>
      </c>
      <c r="BF601" s="178">
        <f t="shared" si="6758"/>
        <v>0</v>
      </c>
      <c r="BG601" s="178">
        <f>报销单计算表!M13</f>
        <v>0</v>
      </c>
      <c r="BH601" s="178">
        <f>VLOOKUP($C601,'1 预算编制表单'!$C:$BJ,27,FALSE)</f>
        <v>0</v>
      </c>
      <c r="BI601" s="178">
        <f t="shared" si="6759"/>
        <v>0</v>
      </c>
      <c r="BJ601" s="178"/>
      <c r="BK601" s="178">
        <f>VLOOKUP($C601,'1 预算编制表单'!$C:$BJ,30,FALSE)</f>
        <v>0</v>
      </c>
      <c r="BL601" s="178">
        <f t="shared" si="6760"/>
        <v>0</v>
      </c>
      <c r="BM601" s="178"/>
      <c r="BN601" s="178">
        <f>VLOOKUP($C601,'1 预算编制表单'!$C:$BJ,33,FALSE)</f>
        <v>0</v>
      </c>
      <c r="BO601" s="178">
        <f t="shared" si="6761"/>
        <v>0</v>
      </c>
      <c r="BP601" s="178"/>
      <c r="BQ601" s="178">
        <f>VLOOKUP($C601,'1 预算编制表单'!$C:$BJ,36,FALSE)</f>
        <v>0</v>
      </c>
      <c r="BR601" s="178">
        <f t="shared" si="6762"/>
        <v>0</v>
      </c>
      <c r="BS601" s="178"/>
      <c r="BT601" s="178">
        <f>VLOOKUP($C601,'1 预算编制表单'!$C:$BJ,39,FALSE)</f>
        <v>0</v>
      </c>
      <c r="BU601" s="178">
        <f t="shared" si="6763"/>
        <v>0</v>
      </c>
      <c r="BV601" s="178"/>
      <c r="BW601" s="178">
        <f>VLOOKUP($C601,'1 预算编制表单'!$C:$BJ,42,FALSE)</f>
        <v>0</v>
      </c>
      <c r="BX601" s="178">
        <f t="shared" si="6764"/>
        <v>0</v>
      </c>
      <c r="BY601" s="178"/>
      <c r="BZ601" s="178">
        <f>VLOOKUP($C601,'1 预算编制表单'!$C:$BJ,45,FALSE)</f>
        <v>0</v>
      </c>
      <c r="CA601" s="178">
        <f t="shared" si="6765"/>
        <v>0</v>
      </c>
      <c r="CB601" s="178"/>
      <c r="CC601" s="178">
        <f>VLOOKUP($C601,'1 预算编制表单'!$C:$BJ,48,FALSE)</f>
        <v>0</v>
      </c>
      <c r="CD601" s="178">
        <f t="shared" si="6766"/>
        <v>0</v>
      </c>
      <c r="CE601" s="178"/>
      <c r="CF601" s="178">
        <f>VLOOKUP($C601,'1 预算编制表单'!$C:$BJ,51,FALSE)</f>
        <v>0</v>
      </c>
      <c r="CG601" s="178">
        <f t="shared" si="6767"/>
        <v>0</v>
      </c>
      <c r="CH601" s="178"/>
      <c r="CI601" s="178">
        <f>VLOOKUP($C601,'1 预算编制表单'!$C:$BJ,54,FALSE)</f>
        <v>0</v>
      </c>
      <c r="CJ601" s="178">
        <f t="shared" si="6768"/>
        <v>0</v>
      </c>
      <c r="CK601" s="178"/>
      <c r="CL601" s="178">
        <f>VLOOKUP($C601,'1 预算编制表单'!$C:$BJ,57,FALSE)</f>
        <v>0</v>
      </c>
      <c r="CM601" s="178">
        <f t="shared" si="6769"/>
        <v>0</v>
      </c>
      <c r="CN601" s="178"/>
      <c r="CO601" s="178">
        <f>VLOOKUP($C601,'1 预算编制表单'!$C:$BJ,60,FALSE)</f>
        <v>0</v>
      </c>
      <c r="CP601" s="178">
        <f t="shared" si="6770"/>
        <v>0</v>
      </c>
      <c r="CQ601" s="178"/>
    </row>
    <row r="602" ht="24" customHeight="1" outlineLevel="1" spans="1:95">
      <c r="A602" s="14"/>
      <c r="B602" s="118" t="s">
        <v>787</v>
      </c>
      <c r="C602" s="119" t="s">
        <v>100</v>
      </c>
      <c r="D602" s="14" t="s">
        <v>101</v>
      </c>
      <c r="E602" s="118" t="s">
        <v>2308</v>
      </c>
      <c r="F602" s="118"/>
      <c r="G602" s="118" t="s">
        <v>1844</v>
      </c>
      <c r="H602" s="120">
        <f t="shared" si="6666"/>
        <v>0</v>
      </c>
      <c r="I602" s="120">
        <f t="shared" si="6667"/>
        <v>0</v>
      </c>
      <c r="J602" s="120">
        <f t="shared" si="6664"/>
        <v>0</v>
      </c>
      <c r="K602" s="120"/>
      <c r="L602" s="153"/>
      <c r="M602" s="153"/>
      <c r="N602" s="120"/>
      <c r="O602" s="153"/>
      <c r="P602" s="120"/>
      <c r="Q602" s="120"/>
      <c r="R602" s="120"/>
      <c r="S602" s="120"/>
      <c r="T602" s="120"/>
      <c r="U602" s="120"/>
      <c r="V602" s="120"/>
      <c r="W602" s="120"/>
      <c r="X602" s="120">
        <f>VLOOKUP($C602,'1 预算编制表单'!$C:$BJ,27,FALSE)</f>
        <v>0</v>
      </c>
      <c r="Y602" s="120">
        <f t="shared" si="6747"/>
        <v>0</v>
      </c>
      <c r="Z602" s="120"/>
      <c r="AA602" s="120">
        <f>VLOOKUP($C602,'1 预算编制表单'!$C:$BJ,30,FALSE)</f>
        <v>0</v>
      </c>
      <c r="AB602" s="120">
        <f t="shared" si="6748"/>
        <v>0</v>
      </c>
      <c r="AC602" s="120"/>
      <c r="AD602" s="120">
        <f>VLOOKUP($C602,'1 预算编制表单'!$C:$BJ,33,FALSE)</f>
        <v>0</v>
      </c>
      <c r="AE602" s="120">
        <f t="shared" si="6749"/>
        <v>0</v>
      </c>
      <c r="AF602" s="120"/>
      <c r="AG602" s="120">
        <f>VLOOKUP($C602,'1 预算编制表单'!$C:$BJ,36,FALSE)</f>
        <v>0</v>
      </c>
      <c r="AH602" s="120">
        <f t="shared" si="6750"/>
        <v>0</v>
      </c>
      <c r="AI602" s="120"/>
      <c r="AJ602" s="120">
        <f>VLOOKUP($C602,'1 预算编制表单'!$C:$BJ,39,FALSE)</f>
        <v>0</v>
      </c>
      <c r="AK602" s="120">
        <f t="shared" si="6751"/>
        <v>0</v>
      </c>
      <c r="AL602" s="120"/>
      <c r="AM602" s="120">
        <f>VLOOKUP($C602,'1 预算编制表单'!$C:$BJ,42,FALSE)</f>
        <v>0</v>
      </c>
      <c r="AN602" s="120">
        <f t="shared" si="6752"/>
        <v>0</v>
      </c>
      <c r="AO602" s="120"/>
      <c r="AP602" s="120">
        <f>VLOOKUP($C602,'1 预算编制表单'!$C:$BJ,45,FALSE)</f>
        <v>0</v>
      </c>
      <c r="AQ602" s="120">
        <f t="shared" si="6753"/>
        <v>0</v>
      </c>
      <c r="AR602" s="120"/>
      <c r="AS602" s="120">
        <f>VLOOKUP($C602,'1 预算编制表单'!$C:$BJ,48,FALSE)</f>
        <v>0</v>
      </c>
      <c r="AT602" s="120">
        <f t="shared" si="6754"/>
        <v>0</v>
      </c>
      <c r="AU602" s="120"/>
      <c r="AV602" s="120">
        <f>VLOOKUP($C602,'1 预算编制表单'!$C:$BJ,51,FALSE)</f>
        <v>0</v>
      </c>
      <c r="AW602" s="120">
        <f t="shared" si="6755"/>
        <v>0</v>
      </c>
      <c r="AX602" s="120"/>
      <c r="AY602" s="120">
        <f>VLOOKUP($C602,'1 预算编制表单'!$C:$BJ,54,FALSE)</f>
        <v>0</v>
      </c>
      <c r="AZ602" s="120">
        <f t="shared" si="6756"/>
        <v>0</v>
      </c>
      <c r="BA602" s="120"/>
      <c r="BB602" s="120">
        <f>VLOOKUP($C602,'1 预算编制表单'!$C:$BJ,57,FALSE)</f>
        <v>0</v>
      </c>
      <c r="BC602" s="120">
        <f t="shared" si="6757"/>
        <v>0</v>
      </c>
      <c r="BD602" s="120"/>
      <c r="BE602" s="120">
        <f>VLOOKUP($C602,'1 预算编制表单'!$C:$BJ,60,FALSE)</f>
        <v>0</v>
      </c>
      <c r="BF602" s="120">
        <f t="shared" si="6758"/>
        <v>0</v>
      </c>
      <c r="BG602" s="120"/>
      <c r="BH602" s="120">
        <f>VLOOKUP($C602,'1 预算编制表单'!$C:$BJ,27,FALSE)</f>
        <v>0</v>
      </c>
      <c r="BI602" s="120">
        <f t="shared" si="6759"/>
        <v>0</v>
      </c>
      <c r="BJ602" s="120"/>
      <c r="BK602" s="120">
        <f>VLOOKUP($C602,'1 预算编制表单'!$C:$BJ,30,FALSE)</f>
        <v>0</v>
      </c>
      <c r="BL602" s="120">
        <f t="shared" si="6760"/>
        <v>0</v>
      </c>
      <c r="BM602" s="120"/>
      <c r="BN602" s="120">
        <f>VLOOKUP($C602,'1 预算编制表单'!$C:$BJ,33,FALSE)</f>
        <v>0</v>
      </c>
      <c r="BO602" s="120">
        <f t="shared" si="6761"/>
        <v>0</v>
      </c>
      <c r="BP602" s="120"/>
      <c r="BQ602" s="120">
        <f>VLOOKUP($C602,'1 预算编制表单'!$C:$BJ,36,FALSE)</f>
        <v>0</v>
      </c>
      <c r="BR602" s="120">
        <f t="shared" si="6762"/>
        <v>0</v>
      </c>
      <c r="BS602" s="120"/>
      <c r="BT602" s="120">
        <f>VLOOKUP($C602,'1 预算编制表单'!$C:$BJ,39,FALSE)</f>
        <v>0</v>
      </c>
      <c r="BU602" s="120">
        <f t="shared" si="6763"/>
        <v>0</v>
      </c>
      <c r="BV602" s="120"/>
      <c r="BW602" s="120">
        <f>VLOOKUP($C602,'1 预算编制表单'!$C:$BJ,42,FALSE)</f>
        <v>0</v>
      </c>
      <c r="BX602" s="120">
        <f t="shared" si="6764"/>
        <v>0</v>
      </c>
      <c r="BY602" s="120"/>
      <c r="BZ602" s="120">
        <f>VLOOKUP($C602,'1 预算编制表单'!$C:$BJ,45,FALSE)</f>
        <v>0</v>
      </c>
      <c r="CA602" s="120">
        <f t="shared" si="6765"/>
        <v>0</v>
      </c>
      <c r="CB602" s="120"/>
      <c r="CC602" s="120">
        <f>VLOOKUP($C602,'1 预算编制表单'!$C:$BJ,48,FALSE)</f>
        <v>0</v>
      </c>
      <c r="CD602" s="120">
        <f t="shared" si="6766"/>
        <v>0</v>
      </c>
      <c r="CE602" s="120"/>
      <c r="CF602" s="120">
        <f>VLOOKUP($C602,'1 预算编制表单'!$C:$BJ,51,FALSE)</f>
        <v>0</v>
      </c>
      <c r="CG602" s="120">
        <f t="shared" si="6767"/>
        <v>0</v>
      </c>
      <c r="CH602" s="120"/>
      <c r="CI602" s="120">
        <f>VLOOKUP($C602,'1 预算编制表单'!$C:$BJ,54,FALSE)</f>
        <v>0</v>
      </c>
      <c r="CJ602" s="120">
        <f t="shared" si="6768"/>
        <v>0</v>
      </c>
      <c r="CK602" s="120"/>
      <c r="CL602" s="120">
        <f>VLOOKUP($C602,'1 预算编制表单'!$C:$BJ,57,FALSE)</f>
        <v>0</v>
      </c>
      <c r="CM602" s="120">
        <f t="shared" si="6769"/>
        <v>0</v>
      </c>
      <c r="CN602" s="120"/>
      <c r="CO602" s="120">
        <f>VLOOKUP($C602,'1 预算编制表单'!$C:$BJ,60,FALSE)</f>
        <v>0</v>
      </c>
      <c r="CP602" s="120">
        <f t="shared" si="6770"/>
        <v>0</v>
      </c>
      <c r="CQ602" s="120"/>
    </row>
    <row r="603" ht="24" customHeight="1" spans="1:95">
      <c r="A603" s="114"/>
      <c r="B603" s="115" t="s">
        <v>787</v>
      </c>
      <c r="C603" s="116">
        <v>1.5</v>
      </c>
      <c r="D603" s="114" t="s">
        <v>216</v>
      </c>
      <c r="E603" s="114"/>
      <c r="F603" s="114"/>
      <c r="G603" s="115"/>
      <c r="H603" s="173">
        <f t="shared" si="6666"/>
        <v>146494.98</v>
      </c>
      <c r="I603" s="173">
        <f t="shared" si="6667"/>
        <v>26137.26</v>
      </c>
      <c r="J603" s="173">
        <f t="shared" si="6664"/>
        <v>120357.72</v>
      </c>
      <c r="K603" s="173"/>
      <c r="L603" s="174"/>
      <c r="M603" s="174"/>
      <c r="N603" s="173"/>
      <c r="O603" s="174"/>
      <c r="P603" s="173"/>
      <c r="Q603" s="173"/>
      <c r="R603" s="173"/>
      <c r="S603" s="173"/>
      <c r="T603" s="173"/>
      <c r="U603" s="173"/>
      <c r="V603" s="173"/>
      <c r="W603" s="173"/>
      <c r="X603" s="173">
        <f>VLOOKUP($C603,'1 预算编制表单'!$C:$BJ,27,FALSE)</f>
        <v>12207.915</v>
      </c>
      <c r="Y603" s="173">
        <f t="shared" ref="Y603:BG603" si="6771">Y604+Y605+Y608+Y609+Y611+Y612+Y613+Y614+Y615</f>
        <v>-42464.085</v>
      </c>
      <c r="Z603" s="173">
        <f t="shared" si="6771"/>
        <v>54672</v>
      </c>
      <c r="AA603" s="173">
        <f>VLOOKUP($C603,'1 预算编制表单'!$C:$BJ,30,FALSE)</f>
        <v>12207.915</v>
      </c>
      <c r="AB603" s="173">
        <f t="shared" si="6771"/>
        <v>-19699.975</v>
      </c>
      <c r="AC603" s="173">
        <f t="shared" si="6771"/>
        <v>31907.89</v>
      </c>
      <c r="AD603" s="173">
        <f>VLOOKUP($C603,'1 预算编制表单'!$C:$BJ,33,FALSE)</f>
        <v>12207.915</v>
      </c>
      <c r="AE603" s="173">
        <f t="shared" si="6771"/>
        <v>-12948.485</v>
      </c>
      <c r="AF603" s="173">
        <f t="shared" si="6771"/>
        <v>25156.4</v>
      </c>
      <c r="AG603" s="173">
        <f>VLOOKUP($C603,'1 预算编制表单'!$C:$BJ,36,FALSE)</f>
        <v>12207.915</v>
      </c>
      <c r="AH603" s="173">
        <f t="shared" si="6771"/>
        <v>11883.435</v>
      </c>
      <c r="AI603" s="173">
        <f t="shared" si="6771"/>
        <v>324.48</v>
      </c>
      <c r="AJ603" s="173">
        <f>VLOOKUP($C603,'1 预算编制表单'!$C:$BJ,39,FALSE)</f>
        <v>12207.915</v>
      </c>
      <c r="AK603" s="173">
        <f t="shared" si="6771"/>
        <v>8783.915</v>
      </c>
      <c r="AL603" s="173">
        <f t="shared" si="6771"/>
        <v>3424</v>
      </c>
      <c r="AM603" s="173">
        <f>VLOOKUP($C603,'1 预算编制表单'!$C:$BJ,42,FALSE)</f>
        <v>12207.915</v>
      </c>
      <c r="AN603" s="173">
        <f t="shared" si="6771"/>
        <v>7334.965</v>
      </c>
      <c r="AO603" s="173">
        <f t="shared" si="6771"/>
        <v>4872.95</v>
      </c>
      <c r="AP603" s="173">
        <f>VLOOKUP($C603,'1 预算编制表单'!$C:$BJ,45,FALSE)</f>
        <v>12207.915</v>
      </c>
      <c r="AQ603" s="173">
        <f t="shared" si="6771"/>
        <v>12207.915</v>
      </c>
      <c r="AR603" s="173">
        <f t="shared" si="6771"/>
        <v>0</v>
      </c>
      <c r="AS603" s="173">
        <f>VLOOKUP($C603,'1 预算编制表单'!$C:$BJ,48,FALSE)</f>
        <v>12207.915</v>
      </c>
      <c r="AT603" s="173">
        <f t="shared" si="6771"/>
        <v>12207.915</v>
      </c>
      <c r="AU603" s="173">
        <f t="shared" si="6771"/>
        <v>0</v>
      </c>
      <c r="AV603" s="173">
        <f>VLOOKUP($C603,'1 预算编制表单'!$C:$BJ,51,FALSE)</f>
        <v>12207.915</v>
      </c>
      <c r="AW603" s="173">
        <f t="shared" si="6771"/>
        <v>12207.915</v>
      </c>
      <c r="AX603" s="173">
        <f t="shared" si="6771"/>
        <v>0</v>
      </c>
      <c r="AY603" s="173">
        <f>VLOOKUP($C603,'1 预算编制表单'!$C:$BJ,54,FALSE)</f>
        <v>12207.915</v>
      </c>
      <c r="AZ603" s="173">
        <f t="shared" si="6771"/>
        <v>12207.915</v>
      </c>
      <c r="BA603" s="173">
        <f t="shared" si="6771"/>
        <v>0</v>
      </c>
      <c r="BB603" s="173">
        <f>VLOOKUP($C603,'1 预算编制表单'!$C:$BJ,57,FALSE)</f>
        <v>12207.915</v>
      </c>
      <c r="BC603" s="173">
        <f t="shared" si="6771"/>
        <v>12207.915</v>
      </c>
      <c r="BD603" s="173">
        <f t="shared" si="6771"/>
        <v>0</v>
      </c>
      <c r="BE603" s="173">
        <f>VLOOKUP($C603,'1 预算编制表单'!$C:$BJ,60,FALSE)</f>
        <v>12207.915</v>
      </c>
      <c r="BF603" s="173">
        <f t="shared" si="6771"/>
        <v>12207.915</v>
      </c>
      <c r="BG603" s="173">
        <f t="shared" si="6771"/>
        <v>0</v>
      </c>
      <c r="BH603" s="173">
        <f>VLOOKUP($C603,'1 预算编制表单'!$C:$BJ,27,FALSE)</f>
        <v>12207.915</v>
      </c>
      <c r="BI603" s="173">
        <f t="shared" ref="BI603:BM603" si="6772">BI604+BI605+BI608+BI609+BI611+BI612+BI613+BI614+BI615</f>
        <v>12207.915</v>
      </c>
      <c r="BJ603" s="173">
        <f t="shared" si="6772"/>
        <v>0</v>
      </c>
      <c r="BK603" s="173">
        <f>VLOOKUP($C603,'1 预算编制表单'!$C:$BJ,30,FALSE)</f>
        <v>12207.915</v>
      </c>
      <c r="BL603" s="173">
        <f t="shared" si="6772"/>
        <v>12207.915</v>
      </c>
      <c r="BM603" s="173">
        <f t="shared" si="6772"/>
        <v>0</v>
      </c>
      <c r="BN603" s="173">
        <f>VLOOKUP($C603,'1 预算编制表单'!$C:$BJ,33,FALSE)</f>
        <v>12207.915</v>
      </c>
      <c r="BO603" s="173">
        <f t="shared" ref="BO603:BS603" si="6773">BO604+BO605+BO608+BO609+BO611+BO612+BO613+BO614+BO615</f>
        <v>12207.915</v>
      </c>
      <c r="BP603" s="173">
        <f t="shared" si="6773"/>
        <v>0</v>
      </c>
      <c r="BQ603" s="173">
        <f>VLOOKUP($C603,'1 预算编制表单'!$C:$BJ,36,FALSE)</f>
        <v>12207.915</v>
      </c>
      <c r="BR603" s="173">
        <f t="shared" si="6773"/>
        <v>12207.915</v>
      </c>
      <c r="BS603" s="173">
        <f t="shared" si="6773"/>
        <v>0</v>
      </c>
      <c r="BT603" s="173">
        <f>VLOOKUP($C603,'1 预算编制表单'!$C:$BJ,39,FALSE)</f>
        <v>12207.915</v>
      </c>
      <c r="BU603" s="173">
        <f t="shared" ref="BU603:BY603" si="6774">BU604+BU605+BU608+BU609+BU611+BU612+BU613+BU614+BU615</f>
        <v>12207.915</v>
      </c>
      <c r="BV603" s="173">
        <f t="shared" si="6774"/>
        <v>0</v>
      </c>
      <c r="BW603" s="173">
        <f>VLOOKUP($C603,'1 预算编制表单'!$C:$BJ,42,FALSE)</f>
        <v>12207.915</v>
      </c>
      <c r="BX603" s="173">
        <f t="shared" si="6774"/>
        <v>12207.915</v>
      </c>
      <c r="BY603" s="173">
        <f t="shared" si="6774"/>
        <v>0</v>
      </c>
      <c r="BZ603" s="173">
        <f>VLOOKUP($C603,'1 预算编制表单'!$C:$BJ,45,FALSE)</f>
        <v>12207.915</v>
      </c>
      <c r="CA603" s="173">
        <f t="shared" ref="CA603:CE603" si="6775">CA604+CA605+CA608+CA609+CA611+CA612+CA613+CA614+CA615</f>
        <v>12207.915</v>
      </c>
      <c r="CB603" s="173">
        <f t="shared" si="6775"/>
        <v>0</v>
      </c>
      <c r="CC603" s="173">
        <f>VLOOKUP($C603,'1 预算编制表单'!$C:$BJ,48,FALSE)</f>
        <v>12207.915</v>
      </c>
      <c r="CD603" s="173">
        <f t="shared" si="6775"/>
        <v>12207.915</v>
      </c>
      <c r="CE603" s="173">
        <f t="shared" si="6775"/>
        <v>0</v>
      </c>
      <c r="CF603" s="173">
        <f>VLOOKUP($C603,'1 预算编制表单'!$C:$BJ,51,FALSE)</f>
        <v>12207.915</v>
      </c>
      <c r="CG603" s="173">
        <f t="shared" ref="CG603:CK603" si="6776">CG604+CG605+CG608+CG609+CG611+CG612+CG613+CG614+CG615</f>
        <v>12207.915</v>
      </c>
      <c r="CH603" s="173">
        <f t="shared" si="6776"/>
        <v>0</v>
      </c>
      <c r="CI603" s="173">
        <f>VLOOKUP($C603,'1 预算编制表单'!$C:$BJ,54,FALSE)</f>
        <v>12207.915</v>
      </c>
      <c r="CJ603" s="173">
        <f t="shared" si="6776"/>
        <v>12207.915</v>
      </c>
      <c r="CK603" s="173">
        <f t="shared" si="6776"/>
        <v>0</v>
      </c>
      <c r="CL603" s="173">
        <f>VLOOKUP($C603,'1 预算编制表单'!$C:$BJ,57,FALSE)</f>
        <v>12207.915</v>
      </c>
      <c r="CM603" s="173">
        <f t="shared" ref="CM603:CQ603" si="6777">CM604+CM605+CM608+CM609+CM611+CM612+CM613+CM614+CM615</f>
        <v>12207.915</v>
      </c>
      <c r="CN603" s="173">
        <f t="shared" si="6777"/>
        <v>0</v>
      </c>
      <c r="CO603" s="173">
        <f>VLOOKUP($C603,'1 预算编制表单'!$C:$BJ,60,FALSE)</f>
        <v>12207.915</v>
      </c>
      <c r="CP603" s="173">
        <f t="shared" si="6777"/>
        <v>12207.915</v>
      </c>
      <c r="CQ603" s="173">
        <f t="shared" si="6777"/>
        <v>0</v>
      </c>
    </row>
    <row r="604" ht="24" customHeight="1" outlineLevel="1" spans="1:95">
      <c r="A604" s="14"/>
      <c r="B604" s="118" t="s">
        <v>787</v>
      </c>
      <c r="C604" s="119" t="s">
        <v>135</v>
      </c>
      <c r="D604" s="14" t="s">
        <v>136</v>
      </c>
      <c r="E604" s="118" t="s">
        <v>2309</v>
      </c>
      <c r="F604" s="118"/>
      <c r="G604" s="118" t="s">
        <v>936</v>
      </c>
      <c r="H604" s="120">
        <f t="shared" si="6666"/>
        <v>0</v>
      </c>
      <c r="I604" s="120">
        <f t="shared" si="6667"/>
        <v>0</v>
      </c>
      <c r="J604" s="120">
        <f t="shared" si="6664"/>
        <v>0</v>
      </c>
      <c r="K604" s="120"/>
      <c r="L604" s="153"/>
      <c r="M604" s="153"/>
      <c r="N604" s="120"/>
      <c r="O604" s="153"/>
      <c r="P604" s="120"/>
      <c r="Q604" s="120"/>
      <c r="R604" s="120"/>
      <c r="S604" s="120"/>
      <c r="T604" s="120"/>
      <c r="U604" s="120"/>
      <c r="V604" s="120"/>
      <c r="W604" s="120"/>
      <c r="X604" s="120">
        <f>VLOOKUP($C604,'1 预算编制表单'!$C:$BJ,27,FALSE)</f>
        <v>0</v>
      </c>
      <c r="Y604" s="120">
        <f>X604-Z604</f>
        <v>0</v>
      </c>
      <c r="Z604" s="120"/>
      <c r="AA604" s="120">
        <f>VLOOKUP($C604,'1 预算编制表单'!$C:$BJ,30,FALSE)</f>
        <v>0</v>
      </c>
      <c r="AB604" s="120">
        <f>AA604-AC604</f>
        <v>0</v>
      </c>
      <c r="AC604" s="120"/>
      <c r="AD604" s="120">
        <f>VLOOKUP($C604,'1 预算编制表单'!$C:$BJ,33,FALSE)</f>
        <v>0</v>
      </c>
      <c r="AE604" s="120">
        <f>AD604-AF604</f>
        <v>0</v>
      </c>
      <c r="AF604" s="120"/>
      <c r="AG604" s="120">
        <f>VLOOKUP($C604,'1 预算编制表单'!$C:$BJ,36,FALSE)</f>
        <v>0</v>
      </c>
      <c r="AH604" s="120">
        <f>AG604-AI604</f>
        <v>0</v>
      </c>
      <c r="AI604" s="120"/>
      <c r="AJ604" s="120">
        <f>VLOOKUP($C604,'1 预算编制表单'!$C:$BJ,39,FALSE)</f>
        <v>0</v>
      </c>
      <c r="AK604" s="120">
        <f>AJ604-AL604</f>
        <v>0</v>
      </c>
      <c r="AL604" s="120"/>
      <c r="AM604" s="120">
        <f>VLOOKUP($C604,'1 预算编制表单'!$C:$BJ,42,FALSE)</f>
        <v>0</v>
      </c>
      <c r="AN604" s="120">
        <f>AM604-AO604</f>
        <v>0</v>
      </c>
      <c r="AO604" s="120"/>
      <c r="AP604" s="120">
        <f>VLOOKUP($C604,'1 预算编制表单'!$C:$BJ,45,FALSE)</f>
        <v>0</v>
      </c>
      <c r="AQ604" s="120">
        <f>AP604-AR604</f>
        <v>0</v>
      </c>
      <c r="AR604" s="120"/>
      <c r="AS604" s="120">
        <f>VLOOKUP($C604,'1 预算编制表单'!$C:$BJ,48,FALSE)</f>
        <v>0</v>
      </c>
      <c r="AT604" s="120">
        <f>AS604-AU604</f>
        <v>0</v>
      </c>
      <c r="AU604" s="120"/>
      <c r="AV604" s="120">
        <f>VLOOKUP($C604,'1 预算编制表单'!$C:$BJ,51,FALSE)</f>
        <v>0</v>
      </c>
      <c r="AW604" s="120">
        <f>AV604-AX604</f>
        <v>0</v>
      </c>
      <c r="AX604" s="120"/>
      <c r="AY604" s="120">
        <f>VLOOKUP($C604,'1 预算编制表单'!$C:$BJ,54,FALSE)</f>
        <v>0</v>
      </c>
      <c r="AZ604" s="120">
        <f>AY604-BA604</f>
        <v>0</v>
      </c>
      <c r="BA604" s="120"/>
      <c r="BB604" s="120">
        <f>VLOOKUP($C604,'1 预算编制表单'!$C:$BJ,57,FALSE)</f>
        <v>0</v>
      </c>
      <c r="BC604" s="120">
        <f>BB604-BD604</f>
        <v>0</v>
      </c>
      <c r="BD604" s="120"/>
      <c r="BE604" s="120">
        <f>VLOOKUP($C604,'1 预算编制表单'!$C:$BJ,60,FALSE)</f>
        <v>0</v>
      </c>
      <c r="BF604" s="120">
        <f>BE604-BG604</f>
        <v>0</v>
      </c>
      <c r="BG604" s="120"/>
      <c r="BH604" s="120">
        <f>VLOOKUP($C604,'1 预算编制表单'!$C:$BJ,27,FALSE)</f>
        <v>0</v>
      </c>
      <c r="BI604" s="120">
        <f>BH604-BJ604</f>
        <v>0</v>
      </c>
      <c r="BJ604" s="120"/>
      <c r="BK604" s="120">
        <f>VLOOKUP($C604,'1 预算编制表单'!$C:$BJ,30,FALSE)</f>
        <v>0</v>
      </c>
      <c r="BL604" s="120">
        <f>BK604-BM604</f>
        <v>0</v>
      </c>
      <c r="BM604" s="120"/>
      <c r="BN604" s="120">
        <f>VLOOKUP($C604,'1 预算编制表单'!$C:$BJ,33,FALSE)</f>
        <v>0</v>
      </c>
      <c r="BO604" s="120">
        <f>BN604-BP604</f>
        <v>0</v>
      </c>
      <c r="BP604" s="120"/>
      <c r="BQ604" s="120">
        <f>VLOOKUP($C604,'1 预算编制表单'!$C:$BJ,36,FALSE)</f>
        <v>0</v>
      </c>
      <c r="BR604" s="120">
        <f>BQ604-BS604</f>
        <v>0</v>
      </c>
      <c r="BS604" s="120"/>
      <c r="BT604" s="120">
        <f>VLOOKUP($C604,'1 预算编制表单'!$C:$BJ,39,FALSE)</f>
        <v>0</v>
      </c>
      <c r="BU604" s="120">
        <f>BT604-BV604</f>
        <v>0</v>
      </c>
      <c r="BV604" s="120"/>
      <c r="BW604" s="120">
        <f>VLOOKUP($C604,'1 预算编制表单'!$C:$BJ,42,FALSE)</f>
        <v>0</v>
      </c>
      <c r="BX604" s="120">
        <f>BW604-BY604</f>
        <v>0</v>
      </c>
      <c r="BY604" s="120"/>
      <c r="BZ604" s="120">
        <f>VLOOKUP($C604,'1 预算编制表单'!$C:$BJ,45,FALSE)</f>
        <v>0</v>
      </c>
      <c r="CA604" s="120">
        <f>BZ604-CB604</f>
        <v>0</v>
      </c>
      <c r="CB604" s="120"/>
      <c r="CC604" s="120">
        <f>VLOOKUP($C604,'1 预算编制表单'!$C:$BJ,48,FALSE)</f>
        <v>0</v>
      </c>
      <c r="CD604" s="120">
        <f>CC604-CE604</f>
        <v>0</v>
      </c>
      <c r="CE604" s="120"/>
      <c r="CF604" s="120">
        <f>VLOOKUP($C604,'1 预算编制表单'!$C:$BJ,51,FALSE)</f>
        <v>0</v>
      </c>
      <c r="CG604" s="120">
        <f>CF604-CH604</f>
        <v>0</v>
      </c>
      <c r="CH604" s="120"/>
      <c r="CI604" s="120">
        <f>VLOOKUP($C604,'1 预算编制表单'!$C:$BJ,54,FALSE)</f>
        <v>0</v>
      </c>
      <c r="CJ604" s="120">
        <f>CI604-CK604</f>
        <v>0</v>
      </c>
      <c r="CK604" s="120"/>
      <c r="CL604" s="120">
        <f>VLOOKUP($C604,'1 预算编制表单'!$C:$BJ,57,FALSE)</f>
        <v>0</v>
      </c>
      <c r="CM604" s="120">
        <f>CL604-CN604</f>
        <v>0</v>
      </c>
      <c r="CN604" s="120"/>
      <c r="CO604" s="120">
        <f>VLOOKUP($C604,'1 预算编制表单'!$C:$BJ,60,FALSE)</f>
        <v>0</v>
      </c>
      <c r="CP604" s="120">
        <f>CO604-CQ604</f>
        <v>0</v>
      </c>
      <c r="CQ604" s="120"/>
    </row>
    <row r="605" ht="24" customHeight="1" outlineLevel="1" spans="1:95">
      <c r="A605" s="14"/>
      <c r="B605" s="118" t="s">
        <v>787</v>
      </c>
      <c r="C605" s="119" t="s">
        <v>137</v>
      </c>
      <c r="D605" s="14" t="s">
        <v>2879</v>
      </c>
      <c r="E605" s="118" t="s">
        <v>2310</v>
      </c>
      <c r="F605" s="118"/>
      <c r="G605" s="118" t="s">
        <v>1844</v>
      </c>
      <c r="H605" s="120">
        <f t="shared" si="6666"/>
        <v>40894.98</v>
      </c>
      <c r="I605" s="120">
        <f t="shared" si="6667"/>
        <v>29726.26</v>
      </c>
      <c r="J605" s="120">
        <f t="shared" si="6664"/>
        <v>11168.72</v>
      </c>
      <c r="K605" s="120"/>
      <c r="L605" s="153"/>
      <c r="M605" s="153"/>
      <c r="N605" s="120"/>
      <c r="O605" s="153"/>
      <c r="P605" s="120"/>
      <c r="Q605" s="120"/>
      <c r="R605" s="120"/>
      <c r="S605" s="120"/>
      <c r="T605" s="120"/>
      <c r="U605" s="120"/>
      <c r="V605" s="120"/>
      <c r="W605" s="120"/>
      <c r="X605" s="123">
        <f>SUM(X606:X607)</f>
        <v>3407.915</v>
      </c>
      <c r="Y605" s="123">
        <f>X605-Z605</f>
        <v>3407.915</v>
      </c>
      <c r="Z605" s="123">
        <f>SUM(Z606:Z607)</f>
        <v>0</v>
      </c>
      <c r="AA605" s="123">
        <f>AA606</f>
        <v>3407.915</v>
      </c>
      <c r="AB605" s="123">
        <f>AA605-AC605</f>
        <v>-3499.975</v>
      </c>
      <c r="AC605" s="123">
        <f>SUM(AC606:AC607)</f>
        <v>6907.89</v>
      </c>
      <c r="AD605" s="123">
        <f>AD606</f>
        <v>3407.915</v>
      </c>
      <c r="AE605" s="123">
        <f>AD605-AF605</f>
        <v>3251.515</v>
      </c>
      <c r="AF605" s="123">
        <f>SUM(AF606:AF607)</f>
        <v>156.4</v>
      </c>
      <c r="AG605" s="123">
        <f>AG606</f>
        <v>3407.915</v>
      </c>
      <c r="AH605" s="123">
        <f>AG605-AI605</f>
        <v>3083.435</v>
      </c>
      <c r="AI605" s="123">
        <f>SUM(AI606:AI607)</f>
        <v>324.48</v>
      </c>
      <c r="AJ605" s="123">
        <f>AJ606</f>
        <v>3407.915</v>
      </c>
      <c r="AK605" s="123">
        <f>AJ605-AL605</f>
        <v>-16.085</v>
      </c>
      <c r="AL605" s="123">
        <f>SUM(AL606:AL607)</f>
        <v>3424</v>
      </c>
      <c r="AM605" s="123">
        <f>AM606</f>
        <v>3407.915</v>
      </c>
      <c r="AN605" s="123">
        <f>AM605-AO605</f>
        <v>3051.965</v>
      </c>
      <c r="AO605" s="123">
        <f>SUM(AO606:AO607)</f>
        <v>355.95</v>
      </c>
      <c r="AP605" s="123">
        <f>AP606</f>
        <v>3407.915</v>
      </c>
      <c r="AQ605" s="123">
        <f>AP605-AR605</f>
        <v>3407.915</v>
      </c>
      <c r="AR605" s="123">
        <f>SUM(AR606:AR607)</f>
        <v>0</v>
      </c>
      <c r="AS605" s="123">
        <f>AS606</f>
        <v>3407.915</v>
      </c>
      <c r="AT605" s="123">
        <f>AS605-AU605</f>
        <v>3407.915</v>
      </c>
      <c r="AU605" s="123">
        <f>SUM(AU606:AU607)</f>
        <v>0</v>
      </c>
      <c r="AV605" s="123">
        <f>AV606</f>
        <v>3407.915</v>
      </c>
      <c r="AW605" s="123">
        <f>AV605-AX605</f>
        <v>3407.915</v>
      </c>
      <c r="AX605" s="123">
        <f>SUM(AX606:AX607)</f>
        <v>0</v>
      </c>
      <c r="AY605" s="123">
        <f>AY606</f>
        <v>3407.915</v>
      </c>
      <c r="AZ605" s="123">
        <f>AY605-BA605</f>
        <v>3407.915</v>
      </c>
      <c r="BA605" s="123">
        <f>SUM(BA606:BA607)</f>
        <v>0</v>
      </c>
      <c r="BB605" s="123">
        <f>BB606</f>
        <v>3407.915</v>
      </c>
      <c r="BC605" s="123">
        <f>BB605-BD605</f>
        <v>3407.915</v>
      </c>
      <c r="BD605" s="123">
        <f>SUM(BD606:BD607)</f>
        <v>0</v>
      </c>
      <c r="BE605" s="123">
        <f>BE606</f>
        <v>3407.915</v>
      </c>
      <c r="BF605" s="123">
        <f>BE605-BG605</f>
        <v>3407.915</v>
      </c>
      <c r="BG605" s="123">
        <f>SUM(BG606:BG607)</f>
        <v>0</v>
      </c>
      <c r="BH605" s="120">
        <f>VLOOKUP($C605,'1 预算编制表单'!$C:$BJ,27,FALSE)</f>
        <v>3407.915</v>
      </c>
      <c r="BI605" s="120">
        <f>BH605-BJ605</f>
        <v>3407.915</v>
      </c>
      <c r="BJ605" s="120"/>
      <c r="BK605" s="120">
        <f>VLOOKUP($C605,'1 预算编制表单'!$C:$BJ,30,FALSE)</f>
        <v>3407.915</v>
      </c>
      <c r="BL605" s="120">
        <f>BK605-BM605</f>
        <v>3407.915</v>
      </c>
      <c r="BM605" s="120"/>
      <c r="BN605" s="120">
        <f>VLOOKUP($C605,'1 预算编制表单'!$C:$BJ,33,FALSE)</f>
        <v>3407.915</v>
      </c>
      <c r="BO605" s="120">
        <f>BN605-BP605</f>
        <v>3407.915</v>
      </c>
      <c r="BP605" s="120"/>
      <c r="BQ605" s="120">
        <f>VLOOKUP($C605,'1 预算编制表单'!$C:$BJ,36,FALSE)</f>
        <v>3407.915</v>
      </c>
      <c r="BR605" s="120">
        <f>BQ605-BS605</f>
        <v>3407.915</v>
      </c>
      <c r="BS605" s="120"/>
      <c r="BT605" s="120">
        <f>VLOOKUP($C605,'1 预算编制表单'!$C:$BJ,39,FALSE)</f>
        <v>3407.915</v>
      </c>
      <c r="BU605" s="120">
        <f>BT605-BV605</f>
        <v>3407.915</v>
      </c>
      <c r="BV605" s="120"/>
      <c r="BW605" s="120">
        <f>VLOOKUP($C605,'1 预算编制表单'!$C:$BJ,42,FALSE)</f>
        <v>3407.915</v>
      </c>
      <c r="BX605" s="120">
        <f>BW605-BY605</f>
        <v>3407.915</v>
      </c>
      <c r="BY605" s="120"/>
      <c r="BZ605" s="120">
        <f>VLOOKUP($C605,'1 预算编制表单'!$C:$BJ,45,FALSE)</f>
        <v>3407.915</v>
      </c>
      <c r="CA605" s="120">
        <f>BZ605-CB605</f>
        <v>3407.915</v>
      </c>
      <c r="CB605" s="120"/>
      <c r="CC605" s="120">
        <f>VLOOKUP($C605,'1 预算编制表单'!$C:$BJ,48,FALSE)</f>
        <v>3407.915</v>
      </c>
      <c r="CD605" s="120">
        <f>CC605-CE605</f>
        <v>3407.915</v>
      </c>
      <c r="CE605" s="120"/>
      <c r="CF605" s="120">
        <f>VLOOKUP($C605,'1 预算编制表单'!$C:$BJ,51,FALSE)</f>
        <v>3407.915</v>
      </c>
      <c r="CG605" s="120">
        <f>CF605-CH605</f>
        <v>3407.915</v>
      </c>
      <c r="CH605" s="120"/>
      <c r="CI605" s="120">
        <f>VLOOKUP($C605,'1 预算编制表单'!$C:$BJ,54,FALSE)</f>
        <v>3407.915</v>
      </c>
      <c r="CJ605" s="120">
        <f>CI605-CK605</f>
        <v>3407.915</v>
      </c>
      <c r="CK605" s="120"/>
      <c r="CL605" s="120">
        <f>VLOOKUP($C605,'1 预算编制表单'!$C:$BJ,57,FALSE)</f>
        <v>3407.915</v>
      </c>
      <c r="CM605" s="120">
        <f>CL605-CN605</f>
        <v>3407.915</v>
      </c>
      <c r="CN605" s="120"/>
      <c r="CO605" s="120">
        <f>VLOOKUP($C605,'1 预算编制表单'!$C:$BJ,60,FALSE)</f>
        <v>3407.915</v>
      </c>
      <c r="CP605" s="120">
        <f>CO605-CQ605</f>
        <v>3407.915</v>
      </c>
      <c r="CQ605" s="120"/>
    </row>
    <row r="606" s="91" customFormat="1" ht="24" customHeight="1" outlineLevel="2" spans="1:95">
      <c r="A606" s="137"/>
      <c r="B606" s="138"/>
      <c r="C606" s="139" t="s">
        <v>2880</v>
      </c>
      <c r="D606" s="137" t="s">
        <v>138</v>
      </c>
      <c r="E606" s="138"/>
      <c r="F606" s="138"/>
      <c r="G606" s="118"/>
      <c r="H606" s="140"/>
      <c r="I606" s="140"/>
      <c r="J606" s="140"/>
      <c r="K606" s="140"/>
      <c r="L606" s="161"/>
      <c r="M606" s="161"/>
      <c r="N606" s="140"/>
      <c r="O606" s="161"/>
      <c r="P606" s="140"/>
      <c r="Q606" s="140"/>
      <c r="R606" s="140"/>
      <c r="S606" s="140"/>
      <c r="T606" s="140"/>
      <c r="U606" s="140"/>
      <c r="V606" s="140"/>
      <c r="W606" s="140"/>
      <c r="X606" s="140">
        <f>VLOOKUP($C605,'1 预算编制表单'!$C:$BJ,27,FALSE)</f>
        <v>3407.915</v>
      </c>
      <c r="Y606" s="140">
        <f>X606-Z606</f>
        <v>3407.915</v>
      </c>
      <c r="Z606" s="140">
        <f>SUMIF(物资过程计算表!$B:$B,$C605,物资过程计算表!$D:$D)</f>
        <v>0</v>
      </c>
      <c r="AA606" s="140">
        <f>VLOOKUP($C605,'1 预算编制表单'!$C:$BJ,30,FALSE)</f>
        <v>3407.915</v>
      </c>
      <c r="AB606" s="140"/>
      <c r="AC606" s="140">
        <f>SUMIF(物资过程计算表!$B:$B,$C605,物资过程计算表!E:E)</f>
        <v>6907.89</v>
      </c>
      <c r="AD606" s="140">
        <f>VLOOKUP($C605,'1 预算编制表单'!$C:$BJ,33,FALSE)</f>
        <v>3407.915</v>
      </c>
      <c r="AE606" s="140"/>
      <c r="AF606" s="140">
        <f>SUMIF(物资过程计算表!$B:$B,$C605,物资过程计算表!F:F)</f>
        <v>156.4</v>
      </c>
      <c r="AG606" s="140">
        <f>VLOOKUP($C605,'1 预算编制表单'!$C:$BJ,36,FALSE)</f>
        <v>3407.915</v>
      </c>
      <c r="AH606" s="140"/>
      <c r="AI606" s="140">
        <f>SUMIF(物资过程计算表!$B:$B,$C605,物资过程计算表!G:G)</f>
        <v>324.48</v>
      </c>
      <c r="AJ606" s="140">
        <f>VLOOKUP($C605,'1 预算编制表单'!$C:$BJ,39,FALSE)</f>
        <v>3407.915</v>
      </c>
      <c r="AK606" s="140"/>
      <c r="AL606" s="140">
        <f>SUMIF(物资过程计算表!$B:$B,$C605,物资过程计算表!H:H)</f>
        <v>424</v>
      </c>
      <c r="AM606" s="140">
        <f>VLOOKUP($C605,'1 预算编制表单'!$C:$BJ,42,FALSE)</f>
        <v>3407.915</v>
      </c>
      <c r="AN606" s="140"/>
      <c r="AO606" s="140">
        <f>SUMIF(物资过程计算表!$B:$B,$C605,物资过程计算表!I:I)</f>
        <v>355.95</v>
      </c>
      <c r="AP606" s="140">
        <f>VLOOKUP($C605,'1 预算编制表单'!$C:$BJ,45,FALSE)</f>
        <v>3407.915</v>
      </c>
      <c r="AQ606" s="140"/>
      <c r="AR606" s="140">
        <f>SUMIF(物资过程计算表!$B:$B,$C605,物资过程计算表!J:J)</f>
        <v>0</v>
      </c>
      <c r="AS606" s="140">
        <f>VLOOKUP($C605,'1 预算编制表单'!$C:$BJ,48,FALSE)</f>
        <v>3407.915</v>
      </c>
      <c r="AT606" s="140"/>
      <c r="AU606" s="140">
        <f>SUMIF(物资过程计算表!$B:$B,$C605,物资过程计算表!K:K)</f>
        <v>0</v>
      </c>
      <c r="AV606" s="140">
        <f>VLOOKUP($C605,'1 预算编制表单'!$C:$BJ,51,FALSE)</f>
        <v>3407.915</v>
      </c>
      <c r="AW606" s="140"/>
      <c r="AX606" s="140">
        <f>SUMIF(物资过程计算表!$B:$B,$C605,物资过程计算表!L:L)</f>
        <v>0</v>
      </c>
      <c r="AY606" s="140">
        <f>VLOOKUP($C605,'1 预算编制表单'!$C:$BJ,54,FALSE)</f>
        <v>3407.915</v>
      </c>
      <c r="AZ606" s="140"/>
      <c r="BA606" s="140">
        <f>SUMIF(物资过程计算表!$B:$B,$C605,物资过程计算表!M:M)</f>
        <v>0</v>
      </c>
      <c r="BB606" s="140">
        <f>VLOOKUP($C605,'1 预算编制表单'!$C:$BJ,57,FALSE)</f>
        <v>3407.915</v>
      </c>
      <c r="BC606" s="140"/>
      <c r="BD606" s="140">
        <f>SUMIF(物资过程计算表!$B:$B,$C605,物资过程计算表!N:N)</f>
        <v>0</v>
      </c>
      <c r="BE606" s="140">
        <f>VLOOKUP($C605,'1 预算编制表单'!$C:$BJ,60,FALSE)</f>
        <v>3407.915</v>
      </c>
      <c r="BF606" s="140"/>
      <c r="BG606" s="140">
        <f>SUMIF(物资过程计算表!$B:$B,$C605,物资过程计算表!O:O)</f>
        <v>0</v>
      </c>
      <c r="BH606" s="140"/>
      <c r="BI606" s="140"/>
      <c r="BJ606" s="140"/>
      <c r="BK606" s="140"/>
      <c r="BL606" s="140"/>
      <c r="BM606" s="140"/>
      <c r="BN606" s="140"/>
      <c r="BO606" s="140"/>
      <c r="BP606" s="140"/>
      <c r="BQ606" s="140"/>
      <c r="BR606" s="140"/>
      <c r="BS606" s="140"/>
      <c r="BT606" s="140"/>
      <c r="BU606" s="140"/>
      <c r="BV606" s="140"/>
      <c r="BW606" s="140"/>
      <c r="BX606" s="140"/>
      <c r="BY606" s="140"/>
      <c r="BZ606" s="140"/>
      <c r="CA606" s="140"/>
      <c r="CB606" s="140"/>
      <c r="CC606" s="140"/>
      <c r="CD606" s="140"/>
      <c r="CE606" s="140"/>
      <c r="CF606" s="140"/>
      <c r="CG606" s="140"/>
      <c r="CH606" s="140"/>
      <c r="CI606" s="140"/>
      <c r="CJ606" s="140"/>
      <c r="CK606" s="140"/>
      <c r="CL606" s="140"/>
      <c r="CM606" s="140"/>
      <c r="CN606" s="140"/>
      <c r="CO606" s="140"/>
      <c r="CP606" s="140"/>
      <c r="CQ606" s="140"/>
    </row>
    <row r="607" s="91" customFormat="1" ht="24" customHeight="1" outlineLevel="2" spans="1:95">
      <c r="A607" s="137"/>
      <c r="B607" s="138"/>
      <c r="C607" s="139" t="s">
        <v>2881</v>
      </c>
      <c r="D607" s="137" t="s">
        <v>2882</v>
      </c>
      <c r="E607" s="138"/>
      <c r="F607" s="138"/>
      <c r="G607" s="118"/>
      <c r="H607" s="140"/>
      <c r="I607" s="140"/>
      <c r="J607" s="140"/>
      <c r="K607" s="140"/>
      <c r="L607" s="161"/>
      <c r="M607" s="161"/>
      <c r="N607" s="140"/>
      <c r="O607" s="161"/>
      <c r="P607" s="140"/>
      <c r="Q607" s="140"/>
      <c r="R607" s="140"/>
      <c r="S607" s="140"/>
      <c r="T607" s="140"/>
      <c r="U607" s="140"/>
      <c r="V607" s="140"/>
      <c r="W607" s="140"/>
      <c r="X607" s="140"/>
      <c r="Y607" s="140"/>
      <c r="Z607" s="140">
        <f>报销单计算表!B2</f>
        <v>0</v>
      </c>
      <c r="AA607" s="140"/>
      <c r="AB607" s="140"/>
      <c r="AC607" s="140">
        <f>报销单计算表!C2</f>
        <v>0</v>
      </c>
      <c r="AD607" s="140"/>
      <c r="AE607" s="140"/>
      <c r="AF607" s="140">
        <f>报销单计算表!D2</f>
        <v>0</v>
      </c>
      <c r="AG607" s="140"/>
      <c r="AH607" s="140"/>
      <c r="AI607" s="140">
        <f>报销单计算表!E2</f>
        <v>0</v>
      </c>
      <c r="AJ607" s="140"/>
      <c r="AK607" s="140"/>
      <c r="AL607" s="140">
        <f>报销单计算表!F2</f>
        <v>3000</v>
      </c>
      <c r="AM607" s="140"/>
      <c r="AN607" s="140"/>
      <c r="AO607" s="140">
        <f>报销单计算表!G2</f>
        <v>0</v>
      </c>
      <c r="AP607" s="140"/>
      <c r="AQ607" s="140"/>
      <c r="AR607" s="140">
        <f>报销单计算表!H2</f>
        <v>0</v>
      </c>
      <c r="AS607" s="140"/>
      <c r="AT607" s="140"/>
      <c r="AU607" s="140">
        <f>报销单计算表!I2</f>
        <v>0</v>
      </c>
      <c r="AV607" s="140"/>
      <c r="AW607" s="140"/>
      <c r="AX607" s="140">
        <f>报销单计算表!J2</f>
        <v>0</v>
      </c>
      <c r="AY607" s="140"/>
      <c r="AZ607" s="140"/>
      <c r="BA607" s="140">
        <f>报销单计算表!K2</f>
        <v>0</v>
      </c>
      <c r="BB607" s="140"/>
      <c r="BC607" s="140"/>
      <c r="BD607" s="140">
        <f>报销单计算表!L2</f>
        <v>0</v>
      </c>
      <c r="BE607" s="140"/>
      <c r="BF607" s="140"/>
      <c r="BG607" s="140">
        <f>报销单计算表!M2</f>
        <v>0</v>
      </c>
      <c r="BH607" s="140"/>
      <c r="BI607" s="140"/>
      <c r="BJ607" s="140"/>
      <c r="BK607" s="140"/>
      <c r="BL607" s="140"/>
      <c r="BM607" s="140"/>
      <c r="BN607" s="140"/>
      <c r="BO607" s="140"/>
      <c r="BP607" s="140"/>
      <c r="BQ607" s="140"/>
      <c r="BR607" s="140"/>
      <c r="BS607" s="140"/>
      <c r="BT607" s="140"/>
      <c r="BU607" s="140"/>
      <c r="BV607" s="140"/>
      <c r="BW607" s="140"/>
      <c r="BX607" s="140"/>
      <c r="BY607" s="140"/>
      <c r="BZ607" s="140"/>
      <c r="CA607" s="140"/>
      <c r="CB607" s="140"/>
      <c r="CC607" s="140"/>
      <c r="CD607" s="140"/>
      <c r="CE607" s="140"/>
      <c r="CF607" s="140"/>
      <c r="CG607" s="140"/>
      <c r="CH607" s="140"/>
      <c r="CI607" s="140"/>
      <c r="CJ607" s="140"/>
      <c r="CK607" s="140"/>
      <c r="CL607" s="140"/>
      <c r="CM607" s="140"/>
      <c r="CN607" s="140"/>
      <c r="CO607" s="140"/>
      <c r="CP607" s="140"/>
      <c r="CQ607" s="140"/>
    </row>
    <row r="608" s="92" customFormat="1" ht="24" customHeight="1" outlineLevel="1" spans="1:95">
      <c r="A608" s="175"/>
      <c r="B608" s="176" t="s">
        <v>787</v>
      </c>
      <c r="C608" s="177" t="s">
        <v>141</v>
      </c>
      <c r="D608" s="175" t="s">
        <v>142</v>
      </c>
      <c r="E608" s="176" t="s">
        <v>2311</v>
      </c>
      <c r="F608" s="176"/>
      <c r="G608" s="176" t="s">
        <v>1844</v>
      </c>
      <c r="H608" s="178">
        <f t="shared" ref="H608:J609" si="6778">X608+AA608+AD608+AG608+AJ608+AM608+AP608+AS608+AV608+AY608+BB608+BE608</f>
        <v>0</v>
      </c>
      <c r="I608" s="178">
        <f t="shared" si="6778"/>
        <v>0</v>
      </c>
      <c r="J608" s="178">
        <f t="shared" si="6778"/>
        <v>0</v>
      </c>
      <c r="K608" s="178"/>
      <c r="L608" s="179"/>
      <c r="M608" s="179"/>
      <c r="N608" s="178"/>
      <c r="O608" s="179"/>
      <c r="P608" s="178"/>
      <c r="Q608" s="178"/>
      <c r="R608" s="178"/>
      <c r="S608" s="178"/>
      <c r="T608" s="178"/>
      <c r="U608" s="178"/>
      <c r="V608" s="178"/>
      <c r="W608" s="178"/>
      <c r="X608" s="178">
        <f>VLOOKUP($C608,'1 预算编制表单'!$C:$BJ,27,FALSE)</f>
        <v>0</v>
      </c>
      <c r="Y608" s="178">
        <f>X608-Z608</f>
        <v>0</v>
      </c>
      <c r="Z608" s="178">
        <f>报销单计算表!B5</f>
        <v>0</v>
      </c>
      <c r="AA608" s="178">
        <f>VLOOKUP($C608,'1 预算编制表单'!$C:$BJ,30,FALSE)</f>
        <v>0</v>
      </c>
      <c r="AB608" s="178">
        <f>AA608-AC608</f>
        <v>0</v>
      </c>
      <c r="AC608" s="178">
        <f>报销单计算表!C5</f>
        <v>0</v>
      </c>
      <c r="AD608" s="178">
        <f>VLOOKUP($C608,'1 预算编制表单'!$C:$BJ,33,FALSE)</f>
        <v>0</v>
      </c>
      <c r="AE608" s="178">
        <f>AD608-AF608</f>
        <v>0</v>
      </c>
      <c r="AF608" s="178">
        <f>报销单计算表!D5</f>
        <v>0</v>
      </c>
      <c r="AG608" s="178">
        <f>VLOOKUP($C608,'1 预算编制表单'!$C:$BJ,36,FALSE)</f>
        <v>0</v>
      </c>
      <c r="AH608" s="178">
        <f>AG608-AI608</f>
        <v>0</v>
      </c>
      <c r="AI608" s="178">
        <f>报销单计算表!E5</f>
        <v>0</v>
      </c>
      <c r="AJ608" s="178">
        <f>VLOOKUP($C608,'1 预算编制表单'!$C:$BJ,39,FALSE)</f>
        <v>0</v>
      </c>
      <c r="AK608" s="178">
        <f>AJ608-AL608</f>
        <v>0</v>
      </c>
      <c r="AL608" s="178">
        <f>报销单计算表!F5</f>
        <v>0</v>
      </c>
      <c r="AM608" s="178">
        <f>VLOOKUP($C608,'1 预算编制表单'!$C:$BJ,42,FALSE)</f>
        <v>0</v>
      </c>
      <c r="AN608" s="178">
        <f>AM608-AO608</f>
        <v>0</v>
      </c>
      <c r="AO608" s="178">
        <f>报销单计算表!G5</f>
        <v>0</v>
      </c>
      <c r="AP608" s="178">
        <f>VLOOKUP($C608,'1 预算编制表单'!$C:$BJ,45,FALSE)</f>
        <v>0</v>
      </c>
      <c r="AQ608" s="178">
        <f>AP608-AR608</f>
        <v>0</v>
      </c>
      <c r="AR608" s="178">
        <f>报销单计算表!H5</f>
        <v>0</v>
      </c>
      <c r="AS608" s="178">
        <f>VLOOKUP($C608,'1 预算编制表单'!$C:$BJ,48,FALSE)</f>
        <v>0</v>
      </c>
      <c r="AT608" s="178">
        <f>AS608-AU608</f>
        <v>0</v>
      </c>
      <c r="AU608" s="178">
        <f>报销单计算表!I5</f>
        <v>0</v>
      </c>
      <c r="AV608" s="178">
        <f>VLOOKUP($C608,'1 预算编制表单'!$C:$BJ,51,FALSE)</f>
        <v>0</v>
      </c>
      <c r="AW608" s="178">
        <f>AV608-AX608</f>
        <v>0</v>
      </c>
      <c r="AX608" s="178">
        <f>报销单计算表!J5</f>
        <v>0</v>
      </c>
      <c r="AY608" s="178">
        <f>VLOOKUP($C608,'1 预算编制表单'!$C:$BJ,54,FALSE)</f>
        <v>0</v>
      </c>
      <c r="AZ608" s="178">
        <f>AY608-BA608</f>
        <v>0</v>
      </c>
      <c r="BA608" s="178">
        <f>报销单计算表!K5</f>
        <v>0</v>
      </c>
      <c r="BB608" s="178">
        <f>VLOOKUP($C608,'1 预算编制表单'!$C:$BJ,57,FALSE)</f>
        <v>0</v>
      </c>
      <c r="BC608" s="178">
        <f>BB608-BD608</f>
        <v>0</v>
      </c>
      <c r="BD608" s="178">
        <f>报销单计算表!L5</f>
        <v>0</v>
      </c>
      <c r="BE608" s="178">
        <f>VLOOKUP($C608,'1 预算编制表单'!$C:$BJ,60,FALSE)</f>
        <v>0</v>
      </c>
      <c r="BF608" s="178">
        <f>BE608-BG608</f>
        <v>0</v>
      </c>
      <c r="BG608" s="178">
        <f>报销单计算表!M5</f>
        <v>0</v>
      </c>
      <c r="BH608" s="178">
        <f>VLOOKUP($C608,'1 预算编制表单'!$C:$BJ,27,FALSE)</f>
        <v>0</v>
      </c>
      <c r="BI608" s="178">
        <f>BH608-BJ608</f>
        <v>0</v>
      </c>
      <c r="BJ608" s="178"/>
      <c r="BK608" s="178">
        <f>VLOOKUP($C608,'1 预算编制表单'!$C:$BJ,30,FALSE)</f>
        <v>0</v>
      </c>
      <c r="BL608" s="178">
        <f>BK608-BM608</f>
        <v>0</v>
      </c>
      <c r="BM608" s="178"/>
      <c r="BN608" s="178">
        <f>VLOOKUP($C608,'1 预算编制表单'!$C:$BJ,33,FALSE)</f>
        <v>0</v>
      </c>
      <c r="BO608" s="178">
        <f>BN608-BP608</f>
        <v>0</v>
      </c>
      <c r="BP608" s="178"/>
      <c r="BQ608" s="178">
        <f>VLOOKUP($C608,'1 预算编制表单'!$C:$BJ,36,FALSE)</f>
        <v>0</v>
      </c>
      <c r="BR608" s="178">
        <f>BQ608-BS608</f>
        <v>0</v>
      </c>
      <c r="BS608" s="178"/>
      <c r="BT608" s="178">
        <f>VLOOKUP($C608,'1 预算编制表单'!$C:$BJ,39,FALSE)</f>
        <v>0</v>
      </c>
      <c r="BU608" s="178">
        <f>BT608-BV608</f>
        <v>0</v>
      </c>
      <c r="BV608" s="178"/>
      <c r="BW608" s="178">
        <f>VLOOKUP($C608,'1 预算编制表单'!$C:$BJ,42,FALSE)</f>
        <v>0</v>
      </c>
      <c r="BX608" s="178">
        <f>BW608-BY608</f>
        <v>0</v>
      </c>
      <c r="BY608" s="178"/>
      <c r="BZ608" s="178">
        <f>VLOOKUP($C608,'1 预算编制表单'!$C:$BJ,45,FALSE)</f>
        <v>0</v>
      </c>
      <c r="CA608" s="178">
        <f>BZ608-CB608</f>
        <v>0</v>
      </c>
      <c r="CB608" s="178"/>
      <c r="CC608" s="178">
        <f>VLOOKUP($C608,'1 预算编制表单'!$C:$BJ,48,FALSE)</f>
        <v>0</v>
      </c>
      <c r="CD608" s="178">
        <f>CC608-CE608</f>
        <v>0</v>
      </c>
      <c r="CE608" s="178"/>
      <c r="CF608" s="178">
        <f>VLOOKUP($C608,'1 预算编制表单'!$C:$BJ,51,FALSE)</f>
        <v>0</v>
      </c>
      <c r="CG608" s="178">
        <f>CF608-CH608</f>
        <v>0</v>
      </c>
      <c r="CH608" s="178"/>
      <c r="CI608" s="178">
        <f>VLOOKUP($C608,'1 预算编制表单'!$C:$BJ,54,FALSE)</f>
        <v>0</v>
      </c>
      <c r="CJ608" s="178">
        <f>CI608-CK608</f>
        <v>0</v>
      </c>
      <c r="CK608" s="178"/>
      <c r="CL608" s="178">
        <f>VLOOKUP($C608,'1 预算编制表单'!$C:$BJ,57,FALSE)</f>
        <v>0</v>
      </c>
      <c r="CM608" s="178">
        <f>CL608-CN608</f>
        <v>0</v>
      </c>
      <c r="CN608" s="178"/>
      <c r="CO608" s="178">
        <f>VLOOKUP($C608,'1 预算编制表单'!$C:$BJ,60,FALSE)</f>
        <v>0</v>
      </c>
      <c r="CP608" s="178">
        <f>CO608-CQ608</f>
        <v>0</v>
      </c>
      <c r="CQ608" s="178"/>
    </row>
    <row r="609" s="92" customFormat="1" ht="24" customHeight="1" outlineLevel="1" spans="1:95">
      <c r="A609" s="175"/>
      <c r="B609" s="176" t="s">
        <v>787</v>
      </c>
      <c r="C609" s="177" t="s">
        <v>102</v>
      </c>
      <c r="D609" s="175" t="s">
        <v>103</v>
      </c>
      <c r="E609" s="176" t="s">
        <v>2312</v>
      </c>
      <c r="F609" s="176"/>
      <c r="G609" s="176" t="s">
        <v>1844</v>
      </c>
      <c r="H609" s="178">
        <f t="shared" si="6778"/>
        <v>0</v>
      </c>
      <c r="I609" s="178">
        <f t="shared" si="6778"/>
        <v>0</v>
      </c>
      <c r="J609" s="178">
        <f t="shared" si="6778"/>
        <v>0</v>
      </c>
      <c r="K609" s="178"/>
      <c r="L609" s="179"/>
      <c r="M609" s="179"/>
      <c r="N609" s="178"/>
      <c r="O609" s="179"/>
      <c r="P609" s="178"/>
      <c r="Q609" s="178"/>
      <c r="R609" s="178"/>
      <c r="S609" s="178"/>
      <c r="T609" s="178"/>
      <c r="U609" s="178"/>
      <c r="V609" s="178"/>
      <c r="W609" s="178"/>
      <c r="X609" s="178">
        <f>VLOOKUP($C609,'1 预算编制表单'!$C:$BJ,27,FALSE)</f>
        <v>0</v>
      </c>
      <c r="Y609" s="178">
        <f>X609-Z609</f>
        <v>0</v>
      </c>
      <c r="Z609" s="178">
        <f>报销单计算表!B3+Z610</f>
        <v>0</v>
      </c>
      <c r="AA609" s="178">
        <f>VLOOKUP($C609,'1 预算编制表单'!$C:$BJ,30,FALSE)</f>
        <v>0</v>
      </c>
      <c r="AB609" s="178">
        <f>AA609-AC609</f>
        <v>0</v>
      </c>
      <c r="AC609" s="178">
        <f>报销单计算表!C3+AC610</f>
        <v>0</v>
      </c>
      <c r="AD609" s="178">
        <f>VLOOKUP($C609,'1 预算编制表单'!$C:$BJ,33,FALSE)</f>
        <v>0</v>
      </c>
      <c r="AE609" s="178">
        <f>AD609-AF609</f>
        <v>0</v>
      </c>
      <c r="AF609" s="178">
        <f>报销单计算表!D3+AF610</f>
        <v>0</v>
      </c>
      <c r="AG609" s="178">
        <f>VLOOKUP($C609,'1 预算编制表单'!$C:$BJ,36,FALSE)</f>
        <v>0</v>
      </c>
      <c r="AH609" s="178">
        <f>AG609-AI609</f>
        <v>0</v>
      </c>
      <c r="AI609" s="178">
        <f>报销单计算表!E3+AI610</f>
        <v>0</v>
      </c>
      <c r="AJ609" s="178">
        <f>VLOOKUP($C609,'1 预算编制表单'!$C:$BJ,39,FALSE)</f>
        <v>0</v>
      </c>
      <c r="AK609" s="178">
        <f>AJ609-AL609</f>
        <v>0</v>
      </c>
      <c r="AL609" s="178">
        <f>报销单计算表!F3+AL610</f>
        <v>0</v>
      </c>
      <c r="AM609" s="178">
        <f>VLOOKUP($C609,'1 预算编制表单'!$C:$BJ,42,FALSE)</f>
        <v>0</v>
      </c>
      <c r="AN609" s="178">
        <f>AM609-AO609</f>
        <v>0</v>
      </c>
      <c r="AO609" s="178">
        <f>报销单计算表!G3+AO610</f>
        <v>0</v>
      </c>
      <c r="AP609" s="178">
        <f>VLOOKUP($C609,'1 预算编制表单'!$C:$BJ,45,FALSE)</f>
        <v>0</v>
      </c>
      <c r="AQ609" s="178">
        <f>AP609-AR609</f>
        <v>0</v>
      </c>
      <c r="AR609" s="178">
        <f>报销单计算表!H3+AR610</f>
        <v>0</v>
      </c>
      <c r="AS609" s="178">
        <f>VLOOKUP($C609,'1 预算编制表单'!$C:$BJ,48,FALSE)</f>
        <v>0</v>
      </c>
      <c r="AT609" s="178">
        <f>AS609-AU609</f>
        <v>0</v>
      </c>
      <c r="AU609" s="178">
        <f>报销单计算表!I3+AU610</f>
        <v>0</v>
      </c>
      <c r="AV609" s="178">
        <f>VLOOKUP($C609,'1 预算编制表单'!$C:$BJ,51,FALSE)</f>
        <v>0</v>
      </c>
      <c r="AW609" s="178">
        <f>AV609-AX609</f>
        <v>0</v>
      </c>
      <c r="AX609" s="178">
        <f>报销单计算表!J3+AX610</f>
        <v>0</v>
      </c>
      <c r="AY609" s="178">
        <f>VLOOKUP($C609,'1 预算编制表单'!$C:$BJ,54,FALSE)</f>
        <v>0</v>
      </c>
      <c r="AZ609" s="178">
        <f>AY609-BA609</f>
        <v>0</v>
      </c>
      <c r="BA609" s="178">
        <f>报销单计算表!K3+BA610</f>
        <v>0</v>
      </c>
      <c r="BB609" s="178">
        <f>VLOOKUP($C609,'1 预算编制表单'!$C:$BJ,57,FALSE)</f>
        <v>0</v>
      </c>
      <c r="BC609" s="178">
        <f>BB609-BD609</f>
        <v>0</v>
      </c>
      <c r="BD609" s="178">
        <f>报销单计算表!L3+BD610</f>
        <v>0</v>
      </c>
      <c r="BE609" s="178">
        <f>VLOOKUP($C609,'1 预算编制表单'!$C:$BJ,60,FALSE)</f>
        <v>0</v>
      </c>
      <c r="BF609" s="178">
        <f>BE609-BG609</f>
        <v>0</v>
      </c>
      <c r="BG609" s="178">
        <f>报销单计算表!M3+BG610</f>
        <v>0</v>
      </c>
      <c r="BH609" s="178">
        <f>VLOOKUP($C609,'1 预算编制表单'!$C:$BJ,27,FALSE)</f>
        <v>0</v>
      </c>
      <c r="BI609" s="178">
        <f>BH609-BJ609</f>
        <v>0</v>
      </c>
      <c r="BJ609" s="178"/>
      <c r="BK609" s="178">
        <f>VLOOKUP($C609,'1 预算编制表单'!$C:$BJ,30,FALSE)</f>
        <v>0</v>
      </c>
      <c r="BL609" s="178">
        <f>BK609-BM609</f>
        <v>0</v>
      </c>
      <c r="BM609" s="178"/>
      <c r="BN609" s="178">
        <f>VLOOKUP($C609,'1 预算编制表单'!$C:$BJ,33,FALSE)</f>
        <v>0</v>
      </c>
      <c r="BO609" s="178">
        <f>BN609-BP609</f>
        <v>0</v>
      </c>
      <c r="BP609" s="178"/>
      <c r="BQ609" s="178">
        <f>VLOOKUP($C609,'1 预算编制表单'!$C:$BJ,36,FALSE)</f>
        <v>0</v>
      </c>
      <c r="BR609" s="178">
        <f>BQ609-BS609</f>
        <v>0</v>
      </c>
      <c r="BS609" s="178"/>
      <c r="BT609" s="178">
        <f>VLOOKUP($C609,'1 预算编制表单'!$C:$BJ,39,FALSE)</f>
        <v>0</v>
      </c>
      <c r="BU609" s="178">
        <f>BT609-BV609</f>
        <v>0</v>
      </c>
      <c r="BV609" s="178"/>
      <c r="BW609" s="178">
        <f>VLOOKUP($C609,'1 预算编制表单'!$C:$BJ,42,FALSE)</f>
        <v>0</v>
      </c>
      <c r="BX609" s="178">
        <f>BW609-BY609</f>
        <v>0</v>
      </c>
      <c r="BY609" s="178"/>
      <c r="BZ609" s="178">
        <f>VLOOKUP($C609,'1 预算编制表单'!$C:$BJ,45,FALSE)</f>
        <v>0</v>
      </c>
      <c r="CA609" s="178">
        <f>BZ609-CB609</f>
        <v>0</v>
      </c>
      <c r="CB609" s="178"/>
      <c r="CC609" s="178">
        <f>VLOOKUP($C609,'1 预算编制表单'!$C:$BJ,48,FALSE)</f>
        <v>0</v>
      </c>
      <c r="CD609" s="178">
        <f>CC609-CE609</f>
        <v>0</v>
      </c>
      <c r="CE609" s="178"/>
      <c r="CF609" s="178">
        <f>VLOOKUP($C609,'1 预算编制表单'!$C:$BJ,51,FALSE)</f>
        <v>0</v>
      </c>
      <c r="CG609" s="178">
        <f>CF609-CH609</f>
        <v>0</v>
      </c>
      <c r="CH609" s="178"/>
      <c r="CI609" s="178">
        <f>VLOOKUP($C609,'1 预算编制表单'!$C:$BJ,54,FALSE)</f>
        <v>0</v>
      </c>
      <c r="CJ609" s="178">
        <f>CI609-CK609</f>
        <v>0</v>
      </c>
      <c r="CK609" s="178"/>
      <c r="CL609" s="178">
        <f>VLOOKUP($C609,'1 预算编制表单'!$C:$BJ,57,FALSE)</f>
        <v>0</v>
      </c>
      <c r="CM609" s="178">
        <f>CL609-CN609</f>
        <v>0</v>
      </c>
      <c r="CN609" s="178"/>
      <c r="CO609" s="178">
        <f>VLOOKUP($C609,'1 预算编制表单'!$C:$BJ,60,FALSE)</f>
        <v>0</v>
      </c>
      <c r="CP609" s="178">
        <f>CO609-CQ609</f>
        <v>0</v>
      </c>
      <c r="CQ609" s="178"/>
    </row>
    <row r="610" s="48" customFormat="1" ht="24" customHeight="1" outlineLevel="2" spans="1:95">
      <c r="A610" s="137"/>
      <c r="B610" s="138"/>
      <c r="C610" s="139" t="s">
        <v>2883</v>
      </c>
      <c r="D610" s="137" t="s">
        <v>2884</v>
      </c>
      <c r="E610" s="138"/>
      <c r="F610" s="138"/>
      <c r="G610" s="176"/>
      <c r="H610" s="140"/>
      <c r="I610" s="140"/>
      <c r="J610" s="140"/>
      <c r="K610" s="140"/>
      <c r="L610" s="161"/>
      <c r="M610" s="161"/>
      <c r="N610" s="140"/>
      <c r="O610" s="161"/>
      <c r="P610" s="140"/>
      <c r="Q610" s="140"/>
      <c r="R610" s="140"/>
      <c r="S610" s="140"/>
      <c r="T610" s="140"/>
      <c r="U610" s="140"/>
      <c r="V610" s="140"/>
      <c r="W610" s="140"/>
      <c r="X610" s="140"/>
      <c r="Y610" s="140"/>
      <c r="Z610" s="140">
        <f>报销单计算表!B6</f>
        <v>0</v>
      </c>
      <c r="AA610" s="140"/>
      <c r="AB610" s="140"/>
      <c r="AC610" s="140">
        <f>报销单计算表!C6</f>
        <v>0</v>
      </c>
      <c r="AD610" s="140"/>
      <c r="AE610" s="140"/>
      <c r="AF610" s="140">
        <f>报销单计算表!D6</f>
        <v>0</v>
      </c>
      <c r="AG610" s="140"/>
      <c r="AH610" s="140"/>
      <c r="AI610" s="140">
        <f>报销单计算表!E6</f>
        <v>0</v>
      </c>
      <c r="AJ610" s="140"/>
      <c r="AK610" s="140"/>
      <c r="AL610" s="140">
        <f>报销单计算表!F6</f>
        <v>0</v>
      </c>
      <c r="AM610" s="140"/>
      <c r="AN610" s="140"/>
      <c r="AO610" s="140">
        <f>报销单计算表!G6</f>
        <v>0</v>
      </c>
      <c r="AP610" s="140"/>
      <c r="AQ610" s="140"/>
      <c r="AR610" s="140">
        <f>报销单计算表!H6</f>
        <v>0</v>
      </c>
      <c r="AS610" s="140"/>
      <c r="AT610" s="140"/>
      <c r="AU610" s="140">
        <f>报销单计算表!I6</f>
        <v>0</v>
      </c>
      <c r="AV610" s="140"/>
      <c r="AW610" s="140"/>
      <c r="AX610" s="140">
        <f>报销单计算表!J6</f>
        <v>0</v>
      </c>
      <c r="AY610" s="140"/>
      <c r="AZ610" s="140"/>
      <c r="BA610" s="140">
        <f>报销单计算表!K6</f>
        <v>0</v>
      </c>
      <c r="BB610" s="140"/>
      <c r="BC610" s="140"/>
      <c r="BD610" s="140">
        <f>报销单计算表!L6</f>
        <v>0</v>
      </c>
      <c r="BE610" s="140"/>
      <c r="BF610" s="140"/>
      <c r="BG610" s="140">
        <f>报销单计算表!M6</f>
        <v>0</v>
      </c>
      <c r="BH610" s="140"/>
      <c r="BI610" s="140"/>
      <c r="BJ610" s="140"/>
      <c r="BK610" s="140"/>
      <c r="BL610" s="140"/>
      <c r="BM610" s="140"/>
      <c r="BN610" s="140"/>
      <c r="BO610" s="140"/>
      <c r="BP610" s="140"/>
      <c r="BQ610" s="140"/>
      <c r="BR610" s="140"/>
      <c r="BS610" s="140"/>
      <c r="BT610" s="140"/>
      <c r="BU610" s="140"/>
      <c r="BV610" s="140"/>
      <c r="BW610" s="140"/>
      <c r="BX610" s="140"/>
      <c r="BY610" s="140"/>
      <c r="BZ610" s="140"/>
      <c r="CA610" s="140"/>
      <c r="CB610" s="140"/>
      <c r="CC610" s="140"/>
      <c r="CD610" s="140"/>
      <c r="CE610" s="140"/>
      <c r="CF610" s="140"/>
      <c r="CG610" s="140"/>
      <c r="CH610" s="140"/>
      <c r="CI610" s="140"/>
      <c r="CJ610" s="140"/>
      <c r="CK610" s="140"/>
      <c r="CL610" s="140"/>
      <c r="CM610" s="140"/>
      <c r="CN610" s="140"/>
      <c r="CO610" s="140"/>
      <c r="CP610" s="140"/>
      <c r="CQ610" s="140"/>
    </row>
    <row r="611" ht="24" customHeight="1" outlineLevel="1" spans="1:95">
      <c r="A611" s="14"/>
      <c r="B611" s="118" t="s">
        <v>787</v>
      </c>
      <c r="C611" s="119" t="s">
        <v>143</v>
      </c>
      <c r="D611" s="14" t="s">
        <v>144</v>
      </c>
      <c r="E611" s="118"/>
      <c r="F611" s="118"/>
      <c r="G611" s="118" t="s">
        <v>1844</v>
      </c>
      <c r="H611" s="120">
        <f t="shared" ref="H611:H621" si="6779">X611+AA611+AD611+AG611+AJ611+AM611+AP611+AS611+AV611+AY611+BB611+BE611</f>
        <v>0</v>
      </c>
      <c r="I611" s="120">
        <f t="shared" ref="I611:I621" si="6780">Y611+AB611+AE611+AH611+AK611+AN611+AQ611+AT611+AW611+AZ611+BC611+BF611</f>
        <v>0</v>
      </c>
      <c r="J611" s="120">
        <f t="shared" ref="J611:J621" si="6781">Z611+AC611+AF611+AI611+AL611+AO611+AR611+AU611+AX611+BA611+BD611+BG611</f>
        <v>0</v>
      </c>
      <c r="K611" s="120"/>
      <c r="L611" s="153"/>
      <c r="M611" s="153"/>
      <c r="N611" s="120"/>
      <c r="O611" s="153"/>
      <c r="P611" s="120"/>
      <c r="Q611" s="120"/>
      <c r="R611" s="120"/>
      <c r="S611" s="120"/>
      <c r="T611" s="120"/>
      <c r="U611" s="120"/>
      <c r="V611" s="120"/>
      <c r="W611" s="120"/>
      <c r="X611" s="120">
        <f>VLOOKUP($C611,'1 预算编制表单'!$C:$BJ,27,FALSE)</f>
        <v>0</v>
      </c>
      <c r="Y611" s="120">
        <f>X611-Z611</f>
        <v>0</v>
      </c>
      <c r="Z611" s="120"/>
      <c r="AA611" s="120">
        <f>VLOOKUP($C611,'1 预算编制表单'!$C:$BJ,30,FALSE)</f>
        <v>0</v>
      </c>
      <c r="AB611" s="120">
        <f>AA611-AC611</f>
        <v>0</v>
      </c>
      <c r="AC611" s="120"/>
      <c r="AD611" s="120">
        <f>VLOOKUP($C611,'1 预算编制表单'!$C:$BJ,33,FALSE)</f>
        <v>0</v>
      </c>
      <c r="AE611" s="120">
        <f>AD611-AF611</f>
        <v>0</v>
      </c>
      <c r="AF611" s="120"/>
      <c r="AG611" s="120">
        <f>VLOOKUP($C611,'1 预算编制表单'!$C:$BJ,36,FALSE)</f>
        <v>0</v>
      </c>
      <c r="AH611" s="120">
        <f>AG611-AI611</f>
        <v>0</v>
      </c>
      <c r="AI611" s="120"/>
      <c r="AJ611" s="120">
        <f>VLOOKUP($C611,'1 预算编制表单'!$C:$BJ,39,FALSE)</f>
        <v>0</v>
      </c>
      <c r="AK611" s="120">
        <f>AJ611-AL611</f>
        <v>0</v>
      </c>
      <c r="AL611" s="120"/>
      <c r="AM611" s="120">
        <f>VLOOKUP($C611,'1 预算编制表单'!$C:$BJ,42,FALSE)</f>
        <v>0</v>
      </c>
      <c r="AN611" s="120">
        <f>AM611-AO611</f>
        <v>0</v>
      </c>
      <c r="AO611" s="120"/>
      <c r="AP611" s="120">
        <f>VLOOKUP($C611,'1 预算编制表单'!$C:$BJ,45,FALSE)</f>
        <v>0</v>
      </c>
      <c r="AQ611" s="120">
        <f>AP611-AR611</f>
        <v>0</v>
      </c>
      <c r="AR611" s="120"/>
      <c r="AS611" s="120">
        <f>VLOOKUP($C611,'1 预算编制表单'!$C:$BJ,48,FALSE)</f>
        <v>0</v>
      </c>
      <c r="AT611" s="120">
        <f>AS611-AU611</f>
        <v>0</v>
      </c>
      <c r="AU611" s="120"/>
      <c r="AV611" s="120">
        <f>VLOOKUP($C611,'1 预算编制表单'!$C:$BJ,51,FALSE)</f>
        <v>0</v>
      </c>
      <c r="AW611" s="120">
        <f>AV611-AX611</f>
        <v>0</v>
      </c>
      <c r="AX611" s="120"/>
      <c r="AY611" s="120">
        <f>VLOOKUP($C611,'1 预算编制表单'!$C:$BJ,54,FALSE)</f>
        <v>0</v>
      </c>
      <c r="AZ611" s="120">
        <f>AY611-BA611</f>
        <v>0</v>
      </c>
      <c r="BA611" s="120"/>
      <c r="BB611" s="120">
        <f>VLOOKUP($C611,'1 预算编制表单'!$C:$BJ,57,FALSE)</f>
        <v>0</v>
      </c>
      <c r="BC611" s="120">
        <f>BB611-BD611</f>
        <v>0</v>
      </c>
      <c r="BD611" s="120"/>
      <c r="BE611" s="120">
        <f>VLOOKUP($C611,'1 预算编制表单'!$C:$BJ,60,FALSE)</f>
        <v>0</v>
      </c>
      <c r="BF611" s="120">
        <f>BE611-BG611</f>
        <v>0</v>
      </c>
      <c r="BG611" s="120"/>
      <c r="BH611" s="120">
        <f>VLOOKUP($C611,'1 预算编制表单'!$C:$BJ,27,FALSE)</f>
        <v>0</v>
      </c>
      <c r="BI611" s="120">
        <f>BH611-BJ611</f>
        <v>0</v>
      </c>
      <c r="BJ611" s="120"/>
      <c r="BK611" s="120">
        <f>VLOOKUP($C611,'1 预算编制表单'!$C:$BJ,30,FALSE)</f>
        <v>0</v>
      </c>
      <c r="BL611" s="120">
        <f>BK611-BM611</f>
        <v>0</v>
      </c>
      <c r="BM611" s="120"/>
      <c r="BN611" s="120">
        <f>VLOOKUP($C611,'1 预算编制表单'!$C:$BJ,33,FALSE)</f>
        <v>0</v>
      </c>
      <c r="BO611" s="120">
        <f>BN611-BP611</f>
        <v>0</v>
      </c>
      <c r="BP611" s="120"/>
      <c r="BQ611" s="120">
        <f>VLOOKUP($C611,'1 预算编制表单'!$C:$BJ,36,FALSE)</f>
        <v>0</v>
      </c>
      <c r="BR611" s="120">
        <f>BQ611-BS611</f>
        <v>0</v>
      </c>
      <c r="BS611" s="120"/>
      <c r="BT611" s="120">
        <f>VLOOKUP($C611,'1 预算编制表单'!$C:$BJ,39,FALSE)</f>
        <v>0</v>
      </c>
      <c r="BU611" s="120">
        <f>BT611-BV611</f>
        <v>0</v>
      </c>
      <c r="BV611" s="120"/>
      <c r="BW611" s="120">
        <f>VLOOKUP($C611,'1 预算编制表单'!$C:$BJ,42,FALSE)</f>
        <v>0</v>
      </c>
      <c r="BX611" s="120">
        <f>BW611-BY611</f>
        <v>0</v>
      </c>
      <c r="BY611" s="120"/>
      <c r="BZ611" s="120">
        <f>VLOOKUP($C611,'1 预算编制表单'!$C:$BJ,45,FALSE)</f>
        <v>0</v>
      </c>
      <c r="CA611" s="120">
        <f>BZ611-CB611</f>
        <v>0</v>
      </c>
      <c r="CB611" s="120"/>
      <c r="CC611" s="120">
        <f>VLOOKUP($C611,'1 预算编制表单'!$C:$BJ,48,FALSE)</f>
        <v>0</v>
      </c>
      <c r="CD611" s="120">
        <f>CC611-CE611</f>
        <v>0</v>
      </c>
      <c r="CE611" s="120"/>
      <c r="CF611" s="120">
        <f>VLOOKUP($C611,'1 预算编制表单'!$C:$BJ,51,FALSE)</f>
        <v>0</v>
      </c>
      <c r="CG611" s="120">
        <f>CF611-CH611</f>
        <v>0</v>
      </c>
      <c r="CH611" s="120"/>
      <c r="CI611" s="120">
        <f>VLOOKUP($C611,'1 预算编制表单'!$C:$BJ,54,FALSE)</f>
        <v>0</v>
      </c>
      <c r="CJ611" s="120">
        <f>CI611-CK611</f>
        <v>0</v>
      </c>
      <c r="CK611" s="120"/>
      <c r="CL611" s="120">
        <f>VLOOKUP($C611,'1 预算编制表单'!$C:$BJ,57,FALSE)</f>
        <v>0</v>
      </c>
      <c r="CM611" s="120">
        <f>CL611-CN611</f>
        <v>0</v>
      </c>
      <c r="CN611" s="120"/>
      <c r="CO611" s="120">
        <f>VLOOKUP($C611,'1 预算编制表单'!$C:$BJ,60,FALSE)</f>
        <v>0</v>
      </c>
      <c r="CP611" s="120">
        <f>CO611-CQ611</f>
        <v>0</v>
      </c>
      <c r="CQ611" s="120"/>
    </row>
    <row r="612" s="92" customFormat="1" ht="24" customHeight="1" outlineLevel="1" spans="1:95">
      <c r="A612" s="175"/>
      <c r="B612" s="176" t="s">
        <v>787</v>
      </c>
      <c r="C612" s="177" t="s">
        <v>147</v>
      </c>
      <c r="D612" s="175" t="s">
        <v>148</v>
      </c>
      <c r="E612" s="176" t="s">
        <v>2313</v>
      </c>
      <c r="F612" s="176"/>
      <c r="G612" s="176" t="s">
        <v>1844</v>
      </c>
      <c r="H612" s="178">
        <f t="shared" si="6779"/>
        <v>30600</v>
      </c>
      <c r="I612" s="178">
        <f t="shared" si="6780"/>
        <v>30600</v>
      </c>
      <c r="J612" s="178">
        <f t="shared" si="6781"/>
        <v>0</v>
      </c>
      <c r="K612" s="178"/>
      <c r="L612" s="179"/>
      <c r="M612" s="179"/>
      <c r="N612" s="178"/>
      <c r="O612" s="179"/>
      <c r="P612" s="178"/>
      <c r="Q612" s="178"/>
      <c r="R612" s="178"/>
      <c r="S612" s="178"/>
      <c r="T612" s="178"/>
      <c r="U612" s="178"/>
      <c r="V612" s="178"/>
      <c r="W612" s="178"/>
      <c r="X612" s="178">
        <f>VLOOKUP($C612,'1 预算编制表单'!$C:$BJ,27,FALSE)</f>
        <v>2550</v>
      </c>
      <c r="Y612" s="178">
        <f>X612-Z612</f>
        <v>2550</v>
      </c>
      <c r="Z612" s="178">
        <f>报销单计算表!B4</f>
        <v>0</v>
      </c>
      <c r="AA612" s="178">
        <f>VLOOKUP($C612,'1 预算编制表单'!$C:$BJ,30,FALSE)</f>
        <v>2550</v>
      </c>
      <c r="AB612" s="178">
        <f>AA612-AC612</f>
        <v>2550</v>
      </c>
      <c r="AC612" s="178">
        <f>报销单计算表!C4</f>
        <v>0</v>
      </c>
      <c r="AD612" s="178">
        <f>VLOOKUP($C612,'1 预算编制表单'!$C:$BJ,33,FALSE)</f>
        <v>2550</v>
      </c>
      <c r="AE612" s="178">
        <f>AD612-AF612</f>
        <v>2550</v>
      </c>
      <c r="AF612" s="178">
        <f>报销单计算表!D4</f>
        <v>0</v>
      </c>
      <c r="AG612" s="178">
        <f>VLOOKUP($C612,'1 预算编制表单'!$C:$BJ,36,FALSE)</f>
        <v>2550</v>
      </c>
      <c r="AH612" s="178">
        <f>AG612-AI612</f>
        <v>2550</v>
      </c>
      <c r="AI612" s="178">
        <f>报销单计算表!E4</f>
        <v>0</v>
      </c>
      <c r="AJ612" s="178">
        <f>VLOOKUP($C612,'1 预算编制表单'!$C:$BJ,39,FALSE)</f>
        <v>2550</v>
      </c>
      <c r="AK612" s="178">
        <f>AJ612-AL612</f>
        <v>2550</v>
      </c>
      <c r="AL612" s="178">
        <f>报销单计算表!F4</f>
        <v>0</v>
      </c>
      <c r="AM612" s="178">
        <f>VLOOKUP($C612,'1 预算编制表单'!$C:$BJ,42,FALSE)</f>
        <v>2550</v>
      </c>
      <c r="AN612" s="178">
        <f>AM612-AO612</f>
        <v>2550</v>
      </c>
      <c r="AO612" s="178">
        <f>报销单计算表!G4</f>
        <v>0</v>
      </c>
      <c r="AP612" s="178">
        <f>VLOOKUP($C612,'1 预算编制表单'!$C:$BJ,45,FALSE)</f>
        <v>2550</v>
      </c>
      <c r="AQ612" s="178">
        <f>AP612-AR612</f>
        <v>2550</v>
      </c>
      <c r="AR612" s="178">
        <f>报销单计算表!H4</f>
        <v>0</v>
      </c>
      <c r="AS612" s="178">
        <f>VLOOKUP($C612,'1 预算编制表单'!$C:$BJ,48,FALSE)</f>
        <v>2550</v>
      </c>
      <c r="AT612" s="178">
        <f>AS612-AU612</f>
        <v>2550</v>
      </c>
      <c r="AU612" s="178">
        <f>报销单计算表!I4</f>
        <v>0</v>
      </c>
      <c r="AV612" s="178">
        <f>VLOOKUP($C612,'1 预算编制表单'!$C:$BJ,51,FALSE)</f>
        <v>2550</v>
      </c>
      <c r="AW612" s="178">
        <f>AV612-AX612</f>
        <v>2550</v>
      </c>
      <c r="AX612" s="178">
        <f>报销单计算表!J4</f>
        <v>0</v>
      </c>
      <c r="AY612" s="178">
        <f>VLOOKUP($C612,'1 预算编制表单'!$C:$BJ,54,FALSE)</f>
        <v>2550</v>
      </c>
      <c r="AZ612" s="178">
        <f>AY612-BA612</f>
        <v>2550</v>
      </c>
      <c r="BA612" s="178">
        <f>报销单计算表!K4</f>
        <v>0</v>
      </c>
      <c r="BB612" s="178">
        <f>VLOOKUP($C612,'1 预算编制表单'!$C:$BJ,57,FALSE)</f>
        <v>2550</v>
      </c>
      <c r="BC612" s="178">
        <f>BB612-BD612</f>
        <v>2550</v>
      </c>
      <c r="BD612" s="178">
        <f>报销单计算表!L4</f>
        <v>0</v>
      </c>
      <c r="BE612" s="178">
        <f>VLOOKUP($C612,'1 预算编制表单'!$C:$BJ,60,FALSE)</f>
        <v>2550</v>
      </c>
      <c r="BF612" s="178">
        <f>BE612-BG612</f>
        <v>2550</v>
      </c>
      <c r="BG612" s="178">
        <f>报销单计算表!M4</f>
        <v>0</v>
      </c>
      <c r="BH612" s="178">
        <f>VLOOKUP($C612,'1 预算编制表单'!$C:$BJ,27,FALSE)</f>
        <v>2550</v>
      </c>
      <c r="BI612" s="178">
        <f>BH612-BJ612</f>
        <v>2550</v>
      </c>
      <c r="BJ612" s="178"/>
      <c r="BK612" s="178">
        <f>VLOOKUP($C612,'1 预算编制表单'!$C:$BJ,30,FALSE)</f>
        <v>2550</v>
      </c>
      <c r="BL612" s="178">
        <f>BK612-BM612</f>
        <v>2550</v>
      </c>
      <c r="BM612" s="178"/>
      <c r="BN612" s="178">
        <f>VLOOKUP($C612,'1 预算编制表单'!$C:$BJ,33,FALSE)</f>
        <v>2550</v>
      </c>
      <c r="BO612" s="178">
        <f>BN612-BP612</f>
        <v>2550</v>
      </c>
      <c r="BP612" s="178"/>
      <c r="BQ612" s="178">
        <f>VLOOKUP($C612,'1 预算编制表单'!$C:$BJ,36,FALSE)</f>
        <v>2550</v>
      </c>
      <c r="BR612" s="178">
        <f>BQ612-BS612</f>
        <v>2550</v>
      </c>
      <c r="BS612" s="178"/>
      <c r="BT612" s="178">
        <f>VLOOKUP($C612,'1 预算编制表单'!$C:$BJ,39,FALSE)</f>
        <v>2550</v>
      </c>
      <c r="BU612" s="178">
        <f>BT612-BV612</f>
        <v>2550</v>
      </c>
      <c r="BV612" s="178"/>
      <c r="BW612" s="178">
        <f>VLOOKUP($C612,'1 预算编制表单'!$C:$BJ,42,FALSE)</f>
        <v>2550</v>
      </c>
      <c r="BX612" s="178">
        <f>BW612-BY612</f>
        <v>2550</v>
      </c>
      <c r="BY612" s="178"/>
      <c r="BZ612" s="178">
        <f>VLOOKUP($C612,'1 预算编制表单'!$C:$BJ,45,FALSE)</f>
        <v>2550</v>
      </c>
      <c r="CA612" s="178">
        <f>BZ612-CB612</f>
        <v>2550</v>
      </c>
      <c r="CB612" s="178"/>
      <c r="CC612" s="178">
        <f>VLOOKUP($C612,'1 预算编制表单'!$C:$BJ,48,FALSE)</f>
        <v>2550</v>
      </c>
      <c r="CD612" s="178">
        <f>CC612-CE612</f>
        <v>2550</v>
      </c>
      <c r="CE612" s="178"/>
      <c r="CF612" s="178">
        <f>VLOOKUP($C612,'1 预算编制表单'!$C:$BJ,51,FALSE)</f>
        <v>2550</v>
      </c>
      <c r="CG612" s="178">
        <f>CF612-CH612</f>
        <v>2550</v>
      </c>
      <c r="CH612" s="178"/>
      <c r="CI612" s="178">
        <f>VLOOKUP($C612,'1 预算编制表单'!$C:$BJ,54,FALSE)</f>
        <v>2550</v>
      </c>
      <c r="CJ612" s="178">
        <f>CI612-CK612</f>
        <v>2550</v>
      </c>
      <c r="CK612" s="178"/>
      <c r="CL612" s="178">
        <f>VLOOKUP($C612,'1 预算编制表单'!$C:$BJ,57,FALSE)</f>
        <v>2550</v>
      </c>
      <c r="CM612" s="178">
        <f>CL612-CN612</f>
        <v>2550</v>
      </c>
      <c r="CN612" s="178"/>
      <c r="CO612" s="178">
        <f>VLOOKUP($C612,'1 预算编制表单'!$C:$BJ,60,FALSE)</f>
        <v>2550</v>
      </c>
      <c r="CP612" s="178">
        <f>CO612-CQ612</f>
        <v>2550</v>
      </c>
      <c r="CQ612" s="178"/>
    </row>
    <row r="613" ht="24" customHeight="1" outlineLevel="1" spans="1:95">
      <c r="A613" s="14"/>
      <c r="B613" s="118" t="s">
        <v>787</v>
      </c>
      <c r="C613" s="119" t="s">
        <v>153</v>
      </c>
      <c r="D613" s="14" t="s">
        <v>154</v>
      </c>
      <c r="E613" s="118" t="s">
        <v>2314</v>
      </c>
      <c r="F613" s="118"/>
      <c r="G613" s="118" t="s">
        <v>1844</v>
      </c>
      <c r="H613" s="120">
        <f t="shared" si="6779"/>
        <v>75000</v>
      </c>
      <c r="I613" s="120">
        <f t="shared" si="6780"/>
        <v>75000</v>
      </c>
      <c r="J613" s="120">
        <f t="shared" si="6781"/>
        <v>0</v>
      </c>
      <c r="K613" s="120"/>
      <c r="L613" s="153"/>
      <c r="M613" s="153"/>
      <c r="N613" s="120"/>
      <c r="O613" s="153"/>
      <c r="P613" s="120"/>
      <c r="Q613" s="120"/>
      <c r="R613" s="120"/>
      <c r="S613" s="120"/>
      <c r="T613" s="120"/>
      <c r="U613" s="120"/>
      <c r="V613" s="120"/>
      <c r="W613" s="120"/>
      <c r="X613" s="120">
        <f>VLOOKUP($C613,'1 预算编制表单'!$C:$BJ,27,FALSE)</f>
        <v>6250</v>
      </c>
      <c r="Y613" s="120">
        <f>X613-Z613</f>
        <v>6250</v>
      </c>
      <c r="Z613" s="120"/>
      <c r="AA613" s="120">
        <f>VLOOKUP($C613,'1 预算编制表单'!$C:$BJ,30,FALSE)</f>
        <v>6250</v>
      </c>
      <c r="AB613" s="120">
        <f>AA613-AC613</f>
        <v>6250</v>
      </c>
      <c r="AC613" s="120"/>
      <c r="AD613" s="120">
        <f>VLOOKUP($C613,'1 预算编制表单'!$C:$BJ,33,FALSE)</f>
        <v>6250</v>
      </c>
      <c r="AE613" s="120">
        <f>AD613-AF613</f>
        <v>6250</v>
      </c>
      <c r="AF613" s="120"/>
      <c r="AG613" s="120">
        <f>VLOOKUP($C613,'1 预算编制表单'!$C:$BJ,36,FALSE)</f>
        <v>6250</v>
      </c>
      <c r="AH613" s="120">
        <f>AG613-AI613</f>
        <v>6250</v>
      </c>
      <c r="AI613" s="120"/>
      <c r="AJ613" s="120">
        <f>VLOOKUP($C613,'1 预算编制表单'!$C:$BJ,39,FALSE)</f>
        <v>6250</v>
      </c>
      <c r="AK613" s="120">
        <f>AJ613-AL613</f>
        <v>6250</v>
      </c>
      <c r="AL613" s="120"/>
      <c r="AM613" s="120">
        <f>VLOOKUP($C613,'1 预算编制表单'!$C:$BJ,42,FALSE)</f>
        <v>6250</v>
      </c>
      <c r="AN613" s="120">
        <f>AM613-AO613</f>
        <v>6250</v>
      </c>
      <c r="AO613" s="120"/>
      <c r="AP613" s="120">
        <f>VLOOKUP($C613,'1 预算编制表单'!$C:$BJ,45,FALSE)</f>
        <v>6250</v>
      </c>
      <c r="AQ613" s="120">
        <f>AP613-AR613</f>
        <v>6250</v>
      </c>
      <c r="AR613" s="120"/>
      <c r="AS613" s="120">
        <f>VLOOKUP($C613,'1 预算编制表单'!$C:$BJ,48,FALSE)</f>
        <v>6250</v>
      </c>
      <c r="AT613" s="120">
        <f>AS613-AU613</f>
        <v>6250</v>
      </c>
      <c r="AU613" s="120"/>
      <c r="AV613" s="120">
        <f>VLOOKUP($C613,'1 预算编制表单'!$C:$BJ,51,FALSE)</f>
        <v>6250</v>
      </c>
      <c r="AW613" s="120">
        <f>AV613-AX613</f>
        <v>6250</v>
      </c>
      <c r="AX613" s="120"/>
      <c r="AY613" s="120">
        <f>VLOOKUP($C613,'1 预算编制表单'!$C:$BJ,54,FALSE)</f>
        <v>6250</v>
      </c>
      <c r="AZ613" s="120">
        <f>AY613-BA613</f>
        <v>6250</v>
      </c>
      <c r="BA613" s="120"/>
      <c r="BB613" s="120">
        <f>VLOOKUP($C613,'1 预算编制表单'!$C:$BJ,57,FALSE)</f>
        <v>6250</v>
      </c>
      <c r="BC613" s="120">
        <f>BB613-BD613</f>
        <v>6250</v>
      </c>
      <c r="BD613" s="120"/>
      <c r="BE613" s="120">
        <f>VLOOKUP($C613,'1 预算编制表单'!$C:$BJ,60,FALSE)</f>
        <v>6250</v>
      </c>
      <c r="BF613" s="120">
        <f>BE613-BG613</f>
        <v>6250</v>
      </c>
      <c r="BG613" s="120"/>
      <c r="BH613" s="120">
        <f>VLOOKUP($C613,'1 预算编制表单'!$C:$BJ,27,FALSE)</f>
        <v>6250</v>
      </c>
      <c r="BI613" s="120">
        <f>BH613-BJ613</f>
        <v>6250</v>
      </c>
      <c r="BJ613" s="120"/>
      <c r="BK613" s="120">
        <f>VLOOKUP($C613,'1 预算编制表单'!$C:$BJ,30,FALSE)</f>
        <v>6250</v>
      </c>
      <c r="BL613" s="120">
        <f>BK613-BM613</f>
        <v>6250</v>
      </c>
      <c r="BM613" s="120"/>
      <c r="BN613" s="120">
        <f>VLOOKUP($C613,'1 预算编制表单'!$C:$BJ,33,FALSE)</f>
        <v>6250</v>
      </c>
      <c r="BO613" s="120">
        <f>BN613-BP613</f>
        <v>6250</v>
      </c>
      <c r="BP613" s="120"/>
      <c r="BQ613" s="120">
        <f>VLOOKUP($C613,'1 预算编制表单'!$C:$BJ,36,FALSE)</f>
        <v>6250</v>
      </c>
      <c r="BR613" s="120">
        <f>BQ613-BS613</f>
        <v>6250</v>
      </c>
      <c r="BS613" s="120"/>
      <c r="BT613" s="120">
        <f>VLOOKUP($C613,'1 预算编制表单'!$C:$BJ,39,FALSE)</f>
        <v>6250</v>
      </c>
      <c r="BU613" s="120">
        <f>BT613-BV613</f>
        <v>6250</v>
      </c>
      <c r="BV613" s="120"/>
      <c r="BW613" s="120">
        <f>VLOOKUP($C613,'1 预算编制表单'!$C:$BJ,42,FALSE)</f>
        <v>6250</v>
      </c>
      <c r="BX613" s="120">
        <f>BW613-BY613</f>
        <v>6250</v>
      </c>
      <c r="BY613" s="120"/>
      <c r="BZ613" s="120">
        <f>VLOOKUP($C613,'1 预算编制表单'!$C:$BJ,45,FALSE)</f>
        <v>6250</v>
      </c>
      <c r="CA613" s="120">
        <f>BZ613-CB613</f>
        <v>6250</v>
      </c>
      <c r="CB613" s="120"/>
      <c r="CC613" s="120">
        <f>VLOOKUP($C613,'1 预算编制表单'!$C:$BJ,48,FALSE)</f>
        <v>6250</v>
      </c>
      <c r="CD613" s="120">
        <f>CC613-CE613</f>
        <v>6250</v>
      </c>
      <c r="CE613" s="120"/>
      <c r="CF613" s="120">
        <f>VLOOKUP($C613,'1 预算编制表单'!$C:$BJ,51,FALSE)</f>
        <v>6250</v>
      </c>
      <c r="CG613" s="120">
        <f>CF613-CH613</f>
        <v>6250</v>
      </c>
      <c r="CH613" s="120"/>
      <c r="CI613" s="120">
        <f>VLOOKUP($C613,'1 预算编制表单'!$C:$BJ,54,FALSE)</f>
        <v>6250</v>
      </c>
      <c r="CJ613" s="120">
        <f>CI613-CK613</f>
        <v>6250</v>
      </c>
      <c r="CK613" s="120"/>
      <c r="CL613" s="120">
        <f>VLOOKUP($C613,'1 预算编制表单'!$C:$BJ,57,FALSE)</f>
        <v>6250</v>
      </c>
      <c r="CM613" s="120">
        <f>CL613-CN613</f>
        <v>6250</v>
      </c>
      <c r="CN613" s="120"/>
      <c r="CO613" s="120">
        <f>VLOOKUP($C613,'1 预算编制表单'!$C:$BJ,60,FALSE)</f>
        <v>6250</v>
      </c>
      <c r="CP613" s="120">
        <f>CO613-CQ613</f>
        <v>6250</v>
      </c>
      <c r="CQ613" s="120"/>
    </row>
    <row r="614" ht="24" customHeight="1" outlineLevel="1" spans="1:95">
      <c r="A614" s="14"/>
      <c r="B614" s="118" t="s">
        <v>787</v>
      </c>
      <c r="C614" s="119" t="s">
        <v>157</v>
      </c>
      <c r="D614" s="14" t="s">
        <v>158</v>
      </c>
      <c r="E614" s="118" t="s">
        <v>2315</v>
      </c>
      <c r="F614" s="118"/>
      <c r="G614" s="118" t="s">
        <v>1844</v>
      </c>
      <c r="H614" s="120">
        <f t="shared" si="6779"/>
        <v>0</v>
      </c>
      <c r="I614" s="120">
        <f t="shared" si="6780"/>
        <v>0</v>
      </c>
      <c r="J614" s="120">
        <f t="shared" si="6781"/>
        <v>0</v>
      </c>
      <c r="K614" s="120"/>
      <c r="L614" s="153"/>
      <c r="M614" s="153"/>
      <c r="N614" s="120"/>
      <c r="O614" s="153"/>
      <c r="P614" s="120"/>
      <c r="Q614" s="120"/>
      <c r="R614" s="120"/>
      <c r="S614" s="120"/>
      <c r="T614" s="120"/>
      <c r="U614" s="120"/>
      <c r="V614" s="120"/>
      <c r="W614" s="120"/>
      <c r="X614" s="120">
        <f>VLOOKUP($C614,'1 预算编制表单'!$C:$BJ,27,FALSE)</f>
        <v>0</v>
      </c>
      <c r="Y614" s="120">
        <f>X614-Z614</f>
        <v>0</v>
      </c>
      <c r="Z614" s="120"/>
      <c r="AA614" s="120">
        <f>VLOOKUP($C614,'1 预算编制表单'!$C:$BJ,30,FALSE)</f>
        <v>0</v>
      </c>
      <c r="AB614" s="120">
        <f>AA614-AC614</f>
        <v>0</v>
      </c>
      <c r="AC614" s="120"/>
      <c r="AD614" s="120">
        <f>VLOOKUP($C614,'1 预算编制表单'!$C:$BJ,33,FALSE)</f>
        <v>0</v>
      </c>
      <c r="AE614" s="120">
        <f>AD614-AF614</f>
        <v>0</v>
      </c>
      <c r="AF614" s="120"/>
      <c r="AG614" s="120">
        <f>VLOOKUP($C614,'1 预算编制表单'!$C:$BJ,36,FALSE)</f>
        <v>0</v>
      </c>
      <c r="AH614" s="120">
        <f>AG614-AI614</f>
        <v>0</v>
      </c>
      <c r="AI614" s="120"/>
      <c r="AJ614" s="120">
        <f>VLOOKUP($C614,'1 预算编制表单'!$C:$BJ,39,FALSE)</f>
        <v>0</v>
      </c>
      <c r="AK614" s="120">
        <f>AJ614-AL614</f>
        <v>0</v>
      </c>
      <c r="AL614" s="120"/>
      <c r="AM614" s="120">
        <f>VLOOKUP($C614,'1 预算编制表单'!$C:$BJ,42,FALSE)</f>
        <v>0</v>
      </c>
      <c r="AN614" s="120">
        <f>AM614-AO614</f>
        <v>0</v>
      </c>
      <c r="AO614" s="120"/>
      <c r="AP614" s="120">
        <f>VLOOKUP($C614,'1 预算编制表单'!$C:$BJ,45,FALSE)</f>
        <v>0</v>
      </c>
      <c r="AQ614" s="120">
        <f>AP614-AR614</f>
        <v>0</v>
      </c>
      <c r="AR614" s="120"/>
      <c r="AS614" s="120">
        <f>VLOOKUP($C614,'1 预算编制表单'!$C:$BJ,48,FALSE)</f>
        <v>0</v>
      </c>
      <c r="AT614" s="120">
        <f>AS614-AU614</f>
        <v>0</v>
      </c>
      <c r="AU614" s="120"/>
      <c r="AV614" s="120">
        <f>VLOOKUP($C614,'1 预算编制表单'!$C:$BJ,51,FALSE)</f>
        <v>0</v>
      </c>
      <c r="AW614" s="120">
        <f>AV614-AX614</f>
        <v>0</v>
      </c>
      <c r="AX614" s="120"/>
      <c r="AY614" s="120">
        <f>VLOOKUP($C614,'1 预算编制表单'!$C:$BJ,54,FALSE)</f>
        <v>0</v>
      </c>
      <c r="AZ614" s="120">
        <f>AY614-BA614</f>
        <v>0</v>
      </c>
      <c r="BA614" s="120"/>
      <c r="BB614" s="120">
        <f>VLOOKUP($C614,'1 预算编制表单'!$C:$BJ,57,FALSE)</f>
        <v>0</v>
      </c>
      <c r="BC614" s="120">
        <f>BB614-BD614</f>
        <v>0</v>
      </c>
      <c r="BD614" s="120"/>
      <c r="BE614" s="120">
        <f>VLOOKUP($C614,'1 预算编制表单'!$C:$BJ,60,FALSE)</f>
        <v>0</v>
      </c>
      <c r="BF614" s="120">
        <f>BE614-BG614</f>
        <v>0</v>
      </c>
      <c r="BG614" s="120"/>
      <c r="BH614" s="120">
        <f>VLOOKUP($C614,'1 预算编制表单'!$C:$BJ,27,FALSE)</f>
        <v>0</v>
      </c>
      <c r="BI614" s="120">
        <f>BH614-BJ614</f>
        <v>0</v>
      </c>
      <c r="BJ614" s="120"/>
      <c r="BK614" s="120">
        <f>VLOOKUP($C614,'1 预算编制表单'!$C:$BJ,30,FALSE)</f>
        <v>0</v>
      </c>
      <c r="BL614" s="120">
        <f>BK614-BM614</f>
        <v>0</v>
      </c>
      <c r="BM614" s="120"/>
      <c r="BN614" s="120">
        <f>VLOOKUP($C614,'1 预算编制表单'!$C:$BJ,33,FALSE)</f>
        <v>0</v>
      </c>
      <c r="BO614" s="120">
        <f>BN614-BP614</f>
        <v>0</v>
      </c>
      <c r="BP614" s="120"/>
      <c r="BQ614" s="120">
        <f>VLOOKUP($C614,'1 预算编制表单'!$C:$BJ,36,FALSE)</f>
        <v>0</v>
      </c>
      <c r="BR614" s="120">
        <f>BQ614-BS614</f>
        <v>0</v>
      </c>
      <c r="BS614" s="120"/>
      <c r="BT614" s="120">
        <f>VLOOKUP($C614,'1 预算编制表单'!$C:$BJ,39,FALSE)</f>
        <v>0</v>
      </c>
      <c r="BU614" s="120">
        <f>BT614-BV614</f>
        <v>0</v>
      </c>
      <c r="BV614" s="120"/>
      <c r="BW614" s="120">
        <f>VLOOKUP($C614,'1 预算编制表单'!$C:$BJ,42,FALSE)</f>
        <v>0</v>
      </c>
      <c r="BX614" s="120">
        <f>BW614-BY614</f>
        <v>0</v>
      </c>
      <c r="BY614" s="120"/>
      <c r="BZ614" s="120">
        <f>VLOOKUP($C614,'1 预算编制表单'!$C:$BJ,45,FALSE)</f>
        <v>0</v>
      </c>
      <c r="CA614" s="120">
        <f>BZ614-CB614</f>
        <v>0</v>
      </c>
      <c r="CB614" s="120"/>
      <c r="CC614" s="120">
        <f>VLOOKUP($C614,'1 预算编制表单'!$C:$BJ,48,FALSE)</f>
        <v>0</v>
      </c>
      <c r="CD614" s="120">
        <f>CC614-CE614</f>
        <v>0</v>
      </c>
      <c r="CE614" s="120"/>
      <c r="CF614" s="120">
        <f>VLOOKUP($C614,'1 预算编制表单'!$C:$BJ,51,FALSE)</f>
        <v>0</v>
      </c>
      <c r="CG614" s="120">
        <f>CF614-CH614</f>
        <v>0</v>
      </c>
      <c r="CH614" s="120"/>
      <c r="CI614" s="120">
        <f>VLOOKUP($C614,'1 预算编制表单'!$C:$BJ,54,FALSE)</f>
        <v>0</v>
      </c>
      <c r="CJ614" s="120">
        <f>CI614-CK614</f>
        <v>0</v>
      </c>
      <c r="CK614" s="120"/>
      <c r="CL614" s="120">
        <f>VLOOKUP($C614,'1 预算编制表单'!$C:$BJ,57,FALSE)</f>
        <v>0</v>
      </c>
      <c r="CM614" s="120">
        <f>CL614-CN614</f>
        <v>0</v>
      </c>
      <c r="CN614" s="120"/>
      <c r="CO614" s="120">
        <f>VLOOKUP($C614,'1 预算编制表单'!$C:$BJ,60,FALSE)</f>
        <v>0</v>
      </c>
      <c r="CP614" s="120">
        <f>CO614-CQ614</f>
        <v>0</v>
      </c>
      <c r="CQ614" s="120"/>
    </row>
    <row r="615" s="92" customFormat="1" ht="24" customHeight="1" outlineLevel="1" spans="1:95">
      <c r="A615" s="175"/>
      <c r="B615" s="176" t="s">
        <v>787</v>
      </c>
      <c r="C615" s="177" t="s">
        <v>78</v>
      </c>
      <c r="D615" s="175" t="s">
        <v>79</v>
      </c>
      <c r="E615" s="176" t="s">
        <v>2316</v>
      </c>
      <c r="F615" s="176"/>
      <c r="G615" s="176" t="s">
        <v>1844</v>
      </c>
      <c r="H615" s="178">
        <f t="shared" si="6779"/>
        <v>0</v>
      </c>
      <c r="I615" s="178">
        <f t="shared" si="6780"/>
        <v>-109189</v>
      </c>
      <c r="J615" s="178">
        <f t="shared" si="6781"/>
        <v>109189</v>
      </c>
      <c r="K615" s="178"/>
      <c r="L615" s="179"/>
      <c r="M615" s="179"/>
      <c r="N615" s="178"/>
      <c r="O615" s="179"/>
      <c r="P615" s="178"/>
      <c r="Q615" s="178"/>
      <c r="R615" s="178"/>
      <c r="S615" s="178"/>
      <c r="T615" s="178"/>
      <c r="U615" s="178"/>
      <c r="V615" s="178"/>
      <c r="W615" s="178"/>
      <c r="X615" s="178">
        <f>VLOOKUP($C615,'1 预算编制表单'!$C:$BJ,27,FALSE)</f>
        <v>0</v>
      </c>
      <c r="Y615" s="178">
        <f>X615-Z615</f>
        <v>-54672</v>
      </c>
      <c r="Z615" s="178">
        <f>报销单计算表!B8</f>
        <v>54672</v>
      </c>
      <c r="AA615" s="178">
        <f>VLOOKUP($C615,'1 预算编制表单'!$C:$BJ,30,FALSE)</f>
        <v>0</v>
      </c>
      <c r="AB615" s="178">
        <f>AA615-AC615</f>
        <v>-25000</v>
      </c>
      <c r="AC615" s="178">
        <f>报销单计算表!C8</f>
        <v>25000</v>
      </c>
      <c r="AD615" s="178">
        <f>VLOOKUP($C615,'1 预算编制表单'!$C:$BJ,33,FALSE)</f>
        <v>0</v>
      </c>
      <c r="AE615" s="178">
        <f>AD615-AF615</f>
        <v>-25000</v>
      </c>
      <c r="AF615" s="178">
        <f>报销单计算表!D8</f>
        <v>25000</v>
      </c>
      <c r="AG615" s="178">
        <f>VLOOKUP($C615,'1 预算编制表单'!$C:$BJ,36,FALSE)</f>
        <v>0</v>
      </c>
      <c r="AH615" s="178">
        <f>AG615-AI615</f>
        <v>0</v>
      </c>
      <c r="AI615" s="178">
        <f>报销单计算表!E8</f>
        <v>0</v>
      </c>
      <c r="AJ615" s="178">
        <f>VLOOKUP($C615,'1 预算编制表单'!$C:$BJ,39,FALSE)</f>
        <v>0</v>
      </c>
      <c r="AK615" s="178">
        <f>AJ615-AL615</f>
        <v>0</v>
      </c>
      <c r="AL615" s="178">
        <f>报销单计算表!F8</f>
        <v>0</v>
      </c>
      <c r="AM615" s="178">
        <f>VLOOKUP($C615,'1 预算编制表单'!$C:$BJ,42,FALSE)</f>
        <v>0</v>
      </c>
      <c r="AN615" s="178">
        <f>AM615-AO615</f>
        <v>-4517</v>
      </c>
      <c r="AO615" s="178">
        <f>报销单计算表!G8</f>
        <v>4517</v>
      </c>
      <c r="AP615" s="178">
        <f>VLOOKUP($C615,'1 预算编制表单'!$C:$BJ,45,FALSE)</f>
        <v>0</v>
      </c>
      <c r="AQ615" s="178">
        <f>AP615-AR615</f>
        <v>0</v>
      </c>
      <c r="AR615" s="178">
        <f>报销单计算表!H8</f>
        <v>0</v>
      </c>
      <c r="AS615" s="178">
        <f>VLOOKUP($C615,'1 预算编制表单'!$C:$BJ,48,FALSE)</f>
        <v>0</v>
      </c>
      <c r="AT615" s="178">
        <f>AS615-AU615</f>
        <v>0</v>
      </c>
      <c r="AU615" s="178">
        <f>报销单计算表!I8</f>
        <v>0</v>
      </c>
      <c r="AV615" s="178">
        <f>VLOOKUP($C615,'1 预算编制表单'!$C:$BJ,51,FALSE)</f>
        <v>0</v>
      </c>
      <c r="AW615" s="178">
        <f>AV615-AX615</f>
        <v>0</v>
      </c>
      <c r="AX615" s="178">
        <f>报销单计算表!J8</f>
        <v>0</v>
      </c>
      <c r="AY615" s="178">
        <f>VLOOKUP($C615,'1 预算编制表单'!$C:$BJ,54,FALSE)</f>
        <v>0</v>
      </c>
      <c r="AZ615" s="178">
        <f>AY615-BA615</f>
        <v>0</v>
      </c>
      <c r="BA615" s="178">
        <f>报销单计算表!K8</f>
        <v>0</v>
      </c>
      <c r="BB615" s="178">
        <f>VLOOKUP($C615,'1 预算编制表单'!$C:$BJ,57,FALSE)</f>
        <v>0</v>
      </c>
      <c r="BC615" s="178">
        <f>BB615-BD615</f>
        <v>0</v>
      </c>
      <c r="BD615" s="178">
        <f>报销单计算表!L8</f>
        <v>0</v>
      </c>
      <c r="BE615" s="178">
        <f>VLOOKUP($C615,'1 预算编制表单'!$C:$BJ,60,FALSE)</f>
        <v>0</v>
      </c>
      <c r="BF615" s="178">
        <f>BE615-BG615</f>
        <v>0</v>
      </c>
      <c r="BG615" s="178">
        <f>报销单计算表!M8</f>
        <v>0</v>
      </c>
      <c r="BH615" s="178">
        <f>VLOOKUP($C615,'1 预算编制表单'!$C:$BJ,27,FALSE)</f>
        <v>0</v>
      </c>
      <c r="BI615" s="178">
        <f>BH615-BJ615</f>
        <v>0</v>
      </c>
      <c r="BJ615" s="178"/>
      <c r="BK615" s="178">
        <f>VLOOKUP($C615,'1 预算编制表单'!$C:$BJ,30,FALSE)</f>
        <v>0</v>
      </c>
      <c r="BL615" s="178">
        <f>BK615-BM615</f>
        <v>0</v>
      </c>
      <c r="BM615" s="178"/>
      <c r="BN615" s="178">
        <f>VLOOKUP($C615,'1 预算编制表单'!$C:$BJ,33,FALSE)</f>
        <v>0</v>
      </c>
      <c r="BO615" s="178">
        <f>BN615-BP615</f>
        <v>0</v>
      </c>
      <c r="BP615" s="178"/>
      <c r="BQ615" s="178">
        <f>VLOOKUP($C615,'1 预算编制表单'!$C:$BJ,36,FALSE)</f>
        <v>0</v>
      </c>
      <c r="BR615" s="178">
        <f>BQ615-BS615</f>
        <v>0</v>
      </c>
      <c r="BS615" s="178"/>
      <c r="BT615" s="178">
        <f>VLOOKUP($C615,'1 预算编制表单'!$C:$BJ,39,FALSE)</f>
        <v>0</v>
      </c>
      <c r="BU615" s="178">
        <f>BT615-BV615</f>
        <v>0</v>
      </c>
      <c r="BV615" s="178"/>
      <c r="BW615" s="178">
        <f>VLOOKUP($C615,'1 预算编制表单'!$C:$BJ,42,FALSE)</f>
        <v>0</v>
      </c>
      <c r="BX615" s="178">
        <f>BW615-BY615</f>
        <v>0</v>
      </c>
      <c r="BY615" s="178"/>
      <c r="BZ615" s="178">
        <f>VLOOKUP($C615,'1 预算编制表单'!$C:$BJ,45,FALSE)</f>
        <v>0</v>
      </c>
      <c r="CA615" s="178">
        <f>BZ615-CB615</f>
        <v>0</v>
      </c>
      <c r="CB615" s="178"/>
      <c r="CC615" s="178">
        <f>VLOOKUP($C615,'1 预算编制表单'!$C:$BJ,48,FALSE)</f>
        <v>0</v>
      </c>
      <c r="CD615" s="178">
        <f>CC615-CE615</f>
        <v>0</v>
      </c>
      <c r="CE615" s="178"/>
      <c r="CF615" s="178">
        <f>VLOOKUP($C615,'1 预算编制表单'!$C:$BJ,51,FALSE)</f>
        <v>0</v>
      </c>
      <c r="CG615" s="178">
        <f>CF615-CH615</f>
        <v>0</v>
      </c>
      <c r="CH615" s="178"/>
      <c r="CI615" s="178">
        <f>VLOOKUP($C615,'1 预算编制表单'!$C:$BJ,54,FALSE)</f>
        <v>0</v>
      </c>
      <c r="CJ615" s="178">
        <f>CI615-CK615</f>
        <v>0</v>
      </c>
      <c r="CK615" s="178"/>
      <c r="CL615" s="178">
        <f>VLOOKUP($C615,'1 预算编制表单'!$C:$BJ,57,FALSE)</f>
        <v>0</v>
      </c>
      <c r="CM615" s="178">
        <f>CL615-CN615</f>
        <v>0</v>
      </c>
      <c r="CN615" s="178"/>
      <c r="CO615" s="178">
        <f>VLOOKUP($C615,'1 预算编制表单'!$C:$BJ,60,FALSE)</f>
        <v>0</v>
      </c>
      <c r="CP615" s="178">
        <f>CO615-CQ615</f>
        <v>0</v>
      </c>
      <c r="CQ615" s="178"/>
    </row>
    <row r="616" ht="24" customHeight="1" spans="1:95">
      <c r="A616" s="114"/>
      <c r="B616" s="115" t="s">
        <v>787</v>
      </c>
      <c r="C616" s="116">
        <v>1.6</v>
      </c>
      <c r="D616" s="114" t="s">
        <v>217</v>
      </c>
      <c r="E616" s="114"/>
      <c r="F616" s="114" t="s">
        <v>2317</v>
      </c>
      <c r="G616" s="115"/>
      <c r="H616" s="173">
        <f t="shared" si="6779"/>
        <v>1257459.96226415</v>
      </c>
      <c r="I616" s="173">
        <f t="shared" si="6780"/>
        <v>1109711.51226415</v>
      </c>
      <c r="J616" s="173">
        <f t="shared" si="6781"/>
        <v>147748.45</v>
      </c>
      <c r="K616" s="173"/>
      <c r="L616" s="174"/>
      <c r="M616" s="174"/>
      <c r="N616" s="173"/>
      <c r="O616" s="174"/>
      <c r="P616" s="173"/>
      <c r="Q616" s="173"/>
      <c r="R616" s="173"/>
      <c r="S616" s="173"/>
      <c r="T616" s="173"/>
      <c r="U616" s="173"/>
      <c r="V616" s="173"/>
      <c r="W616" s="173"/>
      <c r="X616" s="173">
        <f>VLOOKUP($C616,'1 预算编制表单'!$C:$BJ,27,FALSE)</f>
        <v>1170301.46226415</v>
      </c>
      <c r="Y616" s="173">
        <f t="shared" ref="Y616:AC616" si="6782">Y617+Y618+Y619+Y620+Y621</f>
        <v>1114452.69226415</v>
      </c>
      <c r="Z616" s="173">
        <f t="shared" si="6782"/>
        <v>55848.77</v>
      </c>
      <c r="AA616" s="173">
        <f>VLOOKUP($C616,'1 预算编制表单'!$C:$BJ,30,FALSE)</f>
        <v>7923.5</v>
      </c>
      <c r="AB616" s="173">
        <f t="shared" si="6782"/>
        <v>-64173.4</v>
      </c>
      <c r="AC616" s="173">
        <f t="shared" si="6782"/>
        <v>72096.9</v>
      </c>
      <c r="AD616" s="173">
        <f>VLOOKUP($C616,'1 预算编制表单'!$C:$BJ,33,FALSE)</f>
        <v>7923.5</v>
      </c>
      <c r="AE616" s="173">
        <f t="shared" ref="AE616:AI616" si="6783">AE617+AE618+AE619+AE620+AE621</f>
        <v>-271.549999999999</v>
      </c>
      <c r="AF616" s="173">
        <f t="shared" si="6783"/>
        <v>8195.05</v>
      </c>
      <c r="AG616" s="173">
        <f>VLOOKUP($C616,'1 预算编制表单'!$C:$BJ,36,FALSE)</f>
        <v>7923.5</v>
      </c>
      <c r="AH616" s="173">
        <f t="shared" si="6783"/>
        <v>4551.28</v>
      </c>
      <c r="AI616" s="173">
        <f t="shared" si="6783"/>
        <v>3372.22</v>
      </c>
      <c r="AJ616" s="173">
        <f>VLOOKUP($C616,'1 预算编制表单'!$C:$BJ,39,FALSE)</f>
        <v>7923.5</v>
      </c>
      <c r="AK616" s="173">
        <f t="shared" ref="AK616:AO616" si="6784">AK617+AK618+AK619+AK620+AK621</f>
        <v>5285.41</v>
      </c>
      <c r="AL616" s="173">
        <f t="shared" si="6784"/>
        <v>2638.09</v>
      </c>
      <c r="AM616" s="173">
        <f>VLOOKUP($C616,'1 预算编制表单'!$C:$BJ,42,FALSE)</f>
        <v>7923.5</v>
      </c>
      <c r="AN616" s="173">
        <f t="shared" si="6784"/>
        <v>2326.08</v>
      </c>
      <c r="AO616" s="173">
        <f t="shared" si="6784"/>
        <v>5597.42</v>
      </c>
      <c r="AP616" s="173">
        <f>VLOOKUP($C616,'1 预算编制表单'!$C:$BJ,45,FALSE)</f>
        <v>7923.5</v>
      </c>
      <c r="AQ616" s="173">
        <f t="shared" ref="AQ616:AU616" si="6785">AQ617+AQ618+AQ619+AQ620+AQ621</f>
        <v>7923.5</v>
      </c>
      <c r="AR616" s="173">
        <f t="shared" si="6785"/>
        <v>0</v>
      </c>
      <c r="AS616" s="173">
        <f>VLOOKUP($C616,'1 预算编制表单'!$C:$BJ,48,FALSE)</f>
        <v>7923.5</v>
      </c>
      <c r="AT616" s="173">
        <f t="shared" si="6785"/>
        <v>7923.5</v>
      </c>
      <c r="AU616" s="173">
        <f t="shared" si="6785"/>
        <v>0</v>
      </c>
      <c r="AV616" s="173">
        <f>VLOOKUP($C616,'1 预算编制表单'!$C:$BJ,51,FALSE)</f>
        <v>7923.5</v>
      </c>
      <c r="AW616" s="173">
        <f t="shared" ref="AW616:BA616" si="6786">AW617+AW618+AW619+AW620+AW621</f>
        <v>7923.5</v>
      </c>
      <c r="AX616" s="173">
        <f t="shared" si="6786"/>
        <v>0</v>
      </c>
      <c r="AY616" s="173">
        <f>VLOOKUP($C616,'1 预算编制表单'!$C:$BJ,54,FALSE)</f>
        <v>7923.5</v>
      </c>
      <c r="AZ616" s="173">
        <f t="shared" si="6786"/>
        <v>7923.5</v>
      </c>
      <c r="BA616" s="173">
        <f t="shared" si="6786"/>
        <v>0</v>
      </c>
      <c r="BB616" s="173">
        <f>VLOOKUP($C616,'1 预算编制表单'!$C:$BJ,57,FALSE)</f>
        <v>7923.5</v>
      </c>
      <c r="BC616" s="173">
        <f t="shared" ref="BC616:BG616" si="6787">BC617+BC618+BC619+BC620+BC621</f>
        <v>7923.5</v>
      </c>
      <c r="BD616" s="173">
        <f t="shared" si="6787"/>
        <v>0</v>
      </c>
      <c r="BE616" s="173">
        <f>VLOOKUP($C616,'1 预算编制表单'!$C:$BJ,60,FALSE)</f>
        <v>7923.5</v>
      </c>
      <c r="BF616" s="173">
        <f t="shared" si="6787"/>
        <v>7923.5</v>
      </c>
      <c r="BG616" s="173">
        <f t="shared" si="6787"/>
        <v>0</v>
      </c>
      <c r="BH616" s="173">
        <f>VLOOKUP($C616,'1 预算编制表单'!$C:$BJ,27,FALSE)</f>
        <v>1170301.46226415</v>
      </c>
      <c r="BI616" s="173">
        <f t="shared" ref="BI616:BM616" si="6788">BI617+BI618+BI619+BI620+BI621</f>
        <v>1170301.46226415</v>
      </c>
      <c r="BJ616" s="173">
        <f t="shared" si="6788"/>
        <v>0</v>
      </c>
      <c r="BK616" s="173">
        <f>VLOOKUP($C616,'1 预算编制表单'!$C:$BJ,30,FALSE)</f>
        <v>7923.5</v>
      </c>
      <c r="BL616" s="173">
        <f t="shared" si="6788"/>
        <v>7923.5</v>
      </c>
      <c r="BM616" s="173">
        <f t="shared" si="6788"/>
        <v>0</v>
      </c>
      <c r="BN616" s="173">
        <f>VLOOKUP($C616,'1 预算编制表单'!$C:$BJ,33,FALSE)</f>
        <v>7923.5</v>
      </c>
      <c r="BO616" s="173">
        <f t="shared" ref="BO616:BS616" si="6789">BO617+BO618+BO619+BO620+BO621</f>
        <v>7923.5</v>
      </c>
      <c r="BP616" s="173">
        <f t="shared" si="6789"/>
        <v>0</v>
      </c>
      <c r="BQ616" s="173">
        <f>VLOOKUP($C616,'1 预算编制表单'!$C:$BJ,36,FALSE)</f>
        <v>7923.5</v>
      </c>
      <c r="BR616" s="173">
        <f t="shared" si="6789"/>
        <v>7923.5</v>
      </c>
      <c r="BS616" s="173">
        <f t="shared" si="6789"/>
        <v>0</v>
      </c>
      <c r="BT616" s="173">
        <f>VLOOKUP($C616,'1 预算编制表单'!$C:$BJ,39,FALSE)</f>
        <v>7923.5</v>
      </c>
      <c r="BU616" s="173">
        <f t="shared" ref="BU616:BY616" si="6790">BU617+BU618+BU619+BU620+BU621</f>
        <v>7923.5</v>
      </c>
      <c r="BV616" s="173">
        <f t="shared" si="6790"/>
        <v>0</v>
      </c>
      <c r="BW616" s="173">
        <f>VLOOKUP($C616,'1 预算编制表单'!$C:$BJ,42,FALSE)</f>
        <v>7923.5</v>
      </c>
      <c r="BX616" s="173">
        <f t="shared" si="6790"/>
        <v>7923.5</v>
      </c>
      <c r="BY616" s="173">
        <f t="shared" si="6790"/>
        <v>0</v>
      </c>
      <c r="BZ616" s="173">
        <f>VLOOKUP($C616,'1 预算编制表单'!$C:$BJ,45,FALSE)</f>
        <v>7923.5</v>
      </c>
      <c r="CA616" s="173">
        <f t="shared" ref="CA616:CE616" si="6791">CA617+CA618+CA619+CA620+CA621</f>
        <v>7923.5</v>
      </c>
      <c r="CB616" s="173">
        <f t="shared" si="6791"/>
        <v>0</v>
      </c>
      <c r="CC616" s="173">
        <f>VLOOKUP($C616,'1 预算编制表单'!$C:$BJ,48,FALSE)</f>
        <v>7923.5</v>
      </c>
      <c r="CD616" s="173">
        <f t="shared" si="6791"/>
        <v>7923.5</v>
      </c>
      <c r="CE616" s="173">
        <f t="shared" si="6791"/>
        <v>0</v>
      </c>
      <c r="CF616" s="173">
        <f>VLOOKUP($C616,'1 预算编制表单'!$C:$BJ,51,FALSE)</f>
        <v>7923.5</v>
      </c>
      <c r="CG616" s="173">
        <f t="shared" ref="CG616:CK616" si="6792">CG617+CG618+CG619+CG620+CG621</f>
        <v>7923.5</v>
      </c>
      <c r="CH616" s="173">
        <f t="shared" si="6792"/>
        <v>0</v>
      </c>
      <c r="CI616" s="173">
        <f>VLOOKUP($C616,'1 预算编制表单'!$C:$BJ,54,FALSE)</f>
        <v>7923.5</v>
      </c>
      <c r="CJ616" s="173">
        <f t="shared" si="6792"/>
        <v>7923.5</v>
      </c>
      <c r="CK616" s="173">
        <f t="shared" si="6792"/>
        <v>0</v>
      </c>
      <c r="CL616" s="173">
        <f>VLOOKUP($C616,'1 预算编制表单'!$C:$BJ,57,FALSE)</f>
        <v>7923.5</v>
      </c>
      <c r="CM616" s="173">
        <f t="shared" ref="CM616:CQ616" si="6793">CM617+CM618+CM619+CM620+CM621</f>
        <v>7923.5</v>
      </c>
      <c r="CN616" s="173">
        <f t="shared" si="6793"/>
        <v>0</v>
      </c>
      <c r="CO616" s="173">
        <f>VLOOKUP($C616,'1 预算编制表单'!$C:$BJ,60,FALSE)</f>
        <v>7923.5</v>
      </c>
      <c r="CP616" s="173">
        <f t="shared" si="6793"/>
        <v>7923.5</v>
      </c>
      <c r="CQ616" s="173">
        <f t="shared" si="6793"/>
        <v>0</v>
      </c>
    </row>
    <row r="617" ht="24" customHeight="1" outlineLevel="1" spans="1:95">
      <c r="A617" s="14"/>
      <c r="B617" s="118" t="s">
        <v>787</v>
      </c>
      <c r="C617" s="119" t="s">
        <v>2318</v>
      </c>
      <c r="D617" s="14" t="s">
        <v>2319</v>
      </c>
      <c r="E617" s="14"/>
      <c r="F617" s="14"/>
      <c r="G617" s="118"/>
      <c r="H617" s="120">
        <f t="shared" si="6779"/>
        <v>95082</v>
      </c>
      <c r="I617" s="120">
        <f t="shared" si="6780"/>
        <v>-52666.45</v>
      </c>
      <c r="J617" s="120">
        <f t="shared" si="6781"/>
        <v>147748.45</v>
      </c>
      <c r="K617" s="120"/>
      <c r="L617" s="153"/>
      <c r="M617" s="153"/>
      <c r="N617" s="120"/>
      <c r="O617" s="153"/>
      <c r="P617" s="120"/>
      <c r="Q617" s="120"/>
      <c r="R617" s="120"/>
      <c r="S617" s="120"/>
      <c r="T617" s="120"/>
      <c r="U617" s="120"/>
      <c r="V617" s="120"/>
      <c r="W617" s="120"/>
      <c r="X617" s="123">
        <f>VLOOKUP($C617,'1 预算编制表单'!$C:$BJ,27,FALSE)</f>
        <v>7923.5</v>
      </c>
      <c r="Y617" s="123">
        <f>X617-Z617</f>
        <v>-47925.27</v>
      </c>
      <c r="Z617" s="123">
        <f>SUMIF(物资过程计算表!$B:$B,$C617,物资过程计算表!$D:$D)</f>
        <v>55848.77</v>
      </c>
      <c r="AA617" s="123">
        <f>VLOOKUP($C617,'1 预算编制表单'!$C:$BJ,30,FALSE)</f>
        <v>7923.5</v>
      </c>
      <c r="AB617" s="123">
        <f>AA617-AC617</f>
        <v>-64173.4</v>
      </c>
      <c r="AC617" s="123">
        <f>SUMIF(物资过程计算表!$B:$B,$C617,物资过程计算表!E:E)</f>
        <v>72096.9</v>
      </c>
      <c r="AD617" s="123">
        <f>VLOOKUP($C617,'1 预算编制表单'!$C:$BJ,33,FALSE)</f>
        <v>7923.5</v>
      </c>
      <c r="AE617" s="123">
        <f>AD617-AF617</f>
        <v>-271.549999999999</v>
      </c>
      <c r="AF617" s="123">
        <f>SUMIF(物资过程计算表!$B:$B,$C617,物资过程计算表!F:F)</f>
        <v>8195.05</v>
      </c>
      <c r="AG617" s="123">
        <f>VLOOKUP($C617,'1 预算编制表单'!$C:$BJ,36,FALSE)</f>
        <v>7923.5</v>
      </c>
      <c r="AH617" s="123">
        <f>AG617-AI617</f>
        <v>4551.28</v>
      </c>
      <c r="AI617" s="123">
        <f>SUMIF(物资过程计算表!$B:$B,$C617,物资过程计算表!G:G)</f>
        <v>3372.22</v>
      </c>
      <c r="AJ617" s="123">
        <f>VLOOKUP($C617,'1 预算编制表单'!$C:$BJ,39,FALSE)</f>
        <v>7923.5</v>
      </c>
      <c r="AK617" s="123">
        <f>AJ617-AL617</f>
        <v>5285.41</v>
      </c>
      <c r="AL617" s="123">
        <f>SUMIF(物资过程计算表!$B:$B,$C617,物资过程计算表!H:H)</f>
        <v>2638.09</v>
      </c>
      <c r="AM617" s="123">
        <f>VLOOKUP($C617,'1 预算编制表单'!$C:$BJ,42,FALSE)</f>
        <v>7923.5</v>
      </c>
      <c r="AN617" s="123">
        <f>AM617-AO617</f>
        <v>2326.08</v>
      </c>
      <c r="AO617" s="123">
        <f>SUMIF(物资过程计算表!$B:$B,$C617,物资过程计算表!I:I)</f>
        <v>5597.42</v>
      </c>
      <c r="AP617" s="123">
        <f>VLOOKUP($C617,'1 预算编制表单'!$C:$BJ,45,FALSE)</f>
        <v>7923.5</v>
      </c>
      <c r="AQ617" s="123">
        <f>AP617-AR617</f>
        <v>7923.5</v>
      </c>
      <c r="AR617" s="123">
        <f>SUMIF(物资过程计算表!$B:$B,$C617,物资过程计算表!J:J)</f>
        <v>0</v>
      </c>
      <c r="AS617" s="123">
        <f>VLOOKUP($C617,'1 预算编制表单'!$C:$BJ,48,FALSE)</f>
        <v>7923.5</v>
      </c>
      <c r="AT617" s="123">
        <f>AS617-AU617</f>
        <v>7923.5</v>
      </c>
      <c r="AU617" s="123">
        <f>SUMIF(物资过程计算表!$B:$B,$C617,物资过程计算表!K:K)</f>
        <v>0</v>
      </c>
      <c r="AV617" s="123">
        <f>VLOOKUP($C617,'1 预算编制表单'!$C:$BJ,51,FALSE)</f>
        <v>7923.5</v>
      </c>
      <c r="AW617" s="123">
        <f>AV617-AX617</f>
        <v>7923.5</v>
      </c>
      <c r="AX617" s="123">
        <f>SUMIF(物资过程计算表!$B:$B,$C617,物资过程计算表!L:L)</f>
        <v>0</v>
      </c>
      <c r="AY617" s="123">
        <f>VLOOKUP($C617,'1 预算编制表单'!$C:$BJ,54,FALSE)</f>
        <v>7923.5</v>
      </c>
      <c r="AZ617" s="123">
        <f>AY617-BA617</f>
        <v>7923.5</v>
      </c>
      <c r="BA617" s="123">
        <f>SUMIF(物资过程计算表!$B:$B,$C617,物资过程计算表!M:M)</f>
        <v>0</v>
      </c>
      <c r="BB617" s="123">
        <f>VLOOKUP($C617,'1 预算编制表单'!$C:$BJ,57,FALSE)</f>
        <v>7923.5</v>
      </c>
      <c r="BC617" s="123">
        <f>BB617-BD617</f>
        <v>7923.5</v>
      </c>
      <c r="BD617" s="123">
        <f>SUMIF(物资过程计算表!$B:$B,$C617,物资过程计算表!N:N)</f>
        <v>0</v>
      </c>
      <c r="BE617" s="123">
        <f>VLOOKUP($C617,'1 预算编制表单'!$C:$BJ,60,FALSE)</f>
        <v>7923.5</v>
      </c>
      <c r="BF617" s="123">
        <f>BE617-BG617</f>
        <v>7923.5</v>
      </c>
      <c r="BG617" s="123">
        <f>SUMIF(物资过程计算表!$B:$B,$C617,物资过程计算表!O:O)</f>
        <v>0</v>
      </c>
      <c r="BH617" s="120">
        <f>VLOOKUP($C617,'1 预算编制表单'!$C:$BJ,27,FALSE)</f>
        <v>7923.5</v>
      </c>
      <c r="BI617" s="120">
        <f t="shared" ref="BI617:BI621" si="6794">BH617-BJ617</f>
        <v>7923.5</v>
      </c>
      <c r="BJ617" s="120"/>
      <c r="BK617" s="120">
        <f>VLOOKUP($C617,'1 预算编制表单'!$C:$BJ,30,FALSE)</f>
        <v>7923.5</v>
      </c>
      <c r="BL617" s="120">
        <f t="shared" ref="BL617:BL621" si="6795">BK617-BM617</f>
        <v>7923.5</v>
      </c>
      <c r="BM617" s="120"/>
      <c r="BN617" s="120">
        <f>VLOOKUP($C617,'1 预算编制表单'!$C:$BJ,33,FALSE)</f>
        <v>7923.5</v>
      </c>
      <c r="BO617" s="120">
        <f t="shared" ref="BO617:BO621" si="6796">BN617-BP617</f>
        <v>7923.5</v>
      </c>
      <c r="BP617" s="120"/>
      <c r="BQ617" s="120">
        <f>VLOOKUP($C617,'1 预算编制表单'!$C:$BJ,36,FALSE)</f>
        <v>7923.5</v>
      </c>
      <c r="BR617" s="120">
        <f t="shared" ref="BR617:BR621" si="6797">BQ617-BS617</f>
        <v>7923.5</v>
      </c>
      <c r="BS617" s="120"/>
      <c r="BT617" s="120">
        <f>VLOOKUP($C617,'1 预算编制表单'!$C:$BJ,39,FALSE)</f>
        <v>7923.5</v>
      </c>
      <c r="BU617" s="120">
        <f t="shared" ref="BU617:BU621" si="6798">BT617-BV617</f>
        <v>7923.5</v>
      </c>
      <c r="BV617" s="120"/>
      <c r="BW617" s="120">
        <f>VLOOKUP($C617,'1 预算编制表单'!$C:$BJ,42,FALSE)</f>
        <v>7923.5</v>
      </c>
      <c r="BX617" s="120">
        <f t="shared" ref="BX617:BX621" si="6799">BW617-BY617</f>
        <v>7923.5</v>
      </c>
      <c r="BY617" s="120"/>
      <c r="BZ617" s="120">
        <f>VLOOKUP($C617,'1 预算编制表单'!$C:$BJ,45,FALSE)</f>
        <v>7923.5</v>
      </c>
      <c r="CA617" s="120">
        <f t="shared" ref="CA617:CA621" si="6800">BZ617-CB617</f>
        <v>7923.5</v>
      </c>
      <c r="CB617" s="120"/>
      <c r="CC617" s="120">
        <f>VLOOKUP($C617,'1 预算编制表单'!$C:$BJ,48,FALSE)</f>
        <v>7923.5</v>
      </c>
      <c r="CD617" s="120">
        <f t="shared" ref="CD617:CD621" si="6801">CC617-CE617</f>
        <v>7923.5</v>
      </c>
      <c r="CE617" s="120"/>
      <c r="CF617" s="120">
        <f>VLOOKUP($C617,'1 预算编制表单'!$C:$BJ,51,FALSE)</f>
        <v>7923.5</v>
      </c>
      <c r="CG617" s="120">
        <f t="shared" ref="CG617:CG621" si="6802">CF617-CH617</f>
        <v>7923.5</v>
      </c>
      <c r="CH617" s="120"/>
      <c r="CI617" s="120">
        <f>VLOOKUP($C617,'1 预算编制表单'!$C:$BJ,54,FALSE)</f>
        <v>7923.5</v>
      </c>
      <c r="CJ617" s="120">
        <f t="shared" ref="CJ617:CJ621" si="6803">CI617-CK617</f>
        <v>7923.5</v>
      </c>
      <c r="CK617" s="120"/>
      <c r="CL617" s="120">
        <f>VLOOKUP($C617,'1 预算编制表单'!$C:$BJ,57,FALSE)</f>
        <v>7923.5</v>
      </c>
      <c r="CM617" s="120">
        <f t="shared" ref="CM617:CM621" si="6804">CL617-CN617</f>
        <v>7923.5</v>
      </c>
      <c r="CN617" s="120"/>
      <c r="CO617" s="120">
        <f>VLOOKUP($C617,'1 预算编制表单'!$C:$BJ,60,FALSE)</f>
        <v>7923.5</v>
      </c>
      <c r="CP617" s="120">
        <f t="shared" ref="CP617:CP621" si="6805">CO617-CQ617</f>
        <v>7923.5</v>
      </c>
      <c r="CQ617" s="120"/>
    </row>
    <row r="618" ht="24" customHeight="1" outlineLevel="1" spans="1:95">
      <c r="A618" s="14"/>
      <c r="B618" s="118" t="s">
        <v>787</v>
      </c>
      <c r="C618" s="119" t="s">
        <v>2372</v>
      </c>
      <c r="D618" s="14" t="s">
        <v>2373</v>
      </c>
      <c r="E618" s="118" t="s">
        <v>2374</v>
      </c>
      <c r="F618" s="118" t="s">
        <v>1618</v>
      </c>
      <c r="G618" s="118" t="s">
        <v>936</v>
      </c>
      <c r="H618" s="120">
        <f t="shared" si="6779"/>
        <v>60000</v>
      </c>
      <c r="I618" s="120">
        <f t="shared" si="6780"/>
        <v>60000</v>
      </c>
      <c r="J618" s="120">
        <f t="shared" si="6781"/>
        <v>0</v>
      </c>
      <c r="K618" s="120"/>
      <c r="L618" s="153"/>
      <c r="M618" s="153"/>
      <c r="N618" s="120"/>
      <c r="O618" s="153"/>
      <c r="P618" s="120"/>
      <c r="Q618" s="120"/>
      <c r="R618" s="120"/>
      <c r="S618" s="120"/>
      <c r="T618" s="120"/>
      <c r="U618" s="120"/>
      <c r="V618" s="120"/>
      <c r="W618" s="120"/>
      <c r="X618" s="120">
        <f>VLOOKUP($C618,'1 预算编制表单'!$C:$BJ,27,FALSE)</f>
        <v>60000</v>
      </c>
      <c r="Y618" s="120">
        <f t="shared" ref="Y618:Y621" si="6806">X618-Z618</f>
        <v>60000</v>
      </c>
      <c r="Z618" s="120"/>
      <c r="AA618" s="120">
        <f>VLOOKUP($C618,'1 预算编制表单'!$C:$BJ,30,FALSE)</f>
        <v>0</v>
      </c>
      <c r="AB618" s="120">
        <f t="shared" ref="AB618:AB621" si="6807">AA618-AC618</f>
        <v>0</v>
      </c>
      <c r="AC618" s="120"/>
      <c r="AD618" s="120">
        <f>VLOOKUP($C618,'1 预算编制表单'!$C:$BJ,33,FALSE)</f>
        <v>0</v>
      </c>
      <c r="AE618" s="120">
        <f t="shared" ref="AE618:AE621" si="6808">AD618-AF618</f>
        <v>0</v>
      </c>
      <c r="AF618" s="120"/>
      <c r="AG618" s="120">
        <f>VLOOKUP($C618,'1 预算编制表单'!$C:$BJ,36,FALSE)</f>
        <v>0</v>
      </c>
      <c r="AH618" s="120">
        <f t="shared" ref="AH618:AH621" si="6809">AG618-AI618</f>
        <v>0</v>
      </c>
      <c r="AI618" s="120"/>
      <c r="AJ618" s="120">
        <f>VLOOKUP($C618,'1 预算编制表单'!$C:$BJ,39,FALSE)</f>
        <v>0</v>
      </c>
      <c r="AK618" s="120">
        <f t="shared" ref="AK618:AK621" si="6810">AJ618-AL618</f>
        <v>0</v>
      </c>
      <c r="AL618" s="120"/>
      <c r="AM618" s="120">
        <f>VLOOKUP($C618,'1 预算编制表单'!$C:$BJ,42,FALSE)</f>
        <v>0</v>
      </c>
      <c r="AN618" s="120">
        <f t="shared" ref="AN618:AN621" si="6811">AM618-AO618</f>
        <v>0</v>
      </c>
      <c r="AO618" s="120"/>
      <c r="AP618" s="120">
        <f>VLOOKUP($C618,'1 预算编制表单'!$C:$BJ,45,FALSE)</f>
        <v>0</v>
      </c>
      <c r="AQ618" s="120">
        <f t="shared" ref="AQ618:AQ621" si="6812">AP618-AR618</f>
        <v>0</v>
      </c>
      <c r="AR618" s="120"/>
      <c r="AS618" s="120">
        <f>VLOOKUP($C618,'1 预算编制表单'!$C:$BJ,48,FALSE)</f>
        <v>0</v>
      </c>
      <c r="AT618" s="120">
        <f t="shared" ref="AT618:AT621" si="6813">AS618-AU618</f>
        <v>0</v>
      </c>
      <c r="AU618" s="120"/>
      <c r="AV618" s="120">
        <f>VLOOKUP($C618,'1 预算编制表单'!$C:$BJ,51,FALSE)</f>
        <v>0</v>
      </c>
      <c r="AW618" s="120">
        <f t="shared" ref="AW618:AW621" si="6814">AV618-AX618</f>
        <v>0</v>
      </c>
      <c r="AX618" s="120"/>
      <c r="AY618" s="120">
        <f>VLOOKUP($C618,'1 预算编制表单'!$C:$BJ,54,FALSE)</f>
        <v>0</v>
      </c>
      <c r="AZ618" s="120">
        <f t="shared" ref="AZ618:AZ621" si="6815">AY618-BA618</f>
        <v>0</v>
      </c>
      <c r="BA618" s="120"/>
      <c r="BB618" s="120">
        <f>VLOOKUP($C618,'1 预算编制表单'!$C:$BJ,57,FALSE)</f>
        <v>0</v>
      </c>
      <c r="BC618" s="120">
        <f t="shared" ref="BC618:BC621" si="6816">BB618-BD618</f>
        <v>0</v>
      </c>
      <c r="BD618" s="120"/>
      <c r="BE618" s="120">
        <f>VLOOKUP($C618,'1 预算编制表单'!$C:$BJ,60,FALSE)</f>
        <v>0</v>
      </c>
      <c r="BF618" s="120">
        <f t="shared" ref="BF618:BF621" si="6817">BE618-BG618</f>
        <v>0</v>
      </c>
      <c r="BG618" s="120"/>
      <c r="BH618" s="120">
        <f>VLOOKUP($C618,'1 预算编制表单'!$C:$BJ,27,FALSE)</f>
        <v>60000</v>
      </c>
      <c r="BI618" s="120">
        <f t="shared" si="6794"/>
        <v>60000</v>
      </c>
      <c r="BJ618" s="120"/>
      <c r="BK618" s="120">
        <f>VLOOKUP($C618,'1 预算编制表单'!$C:$BJ,30,FALSE)</f>
        <v>0</v>
      </c>
      <c r="BL618" s="120">
        <f t="shared" si="6795"/>
        <v>0</v>
      </c>
      <c r="BM618" s="120"/>
      <c r="BN618" s="120">
        <f>VLOOKUP($C618,'1 预算编制表单'!$C:$BJ,33,FALSE)</f>
        <v>0</v>
      </c>
      <c r="BO618" s="120">
        <f t="shared" si="6796"/>
        <v>0</v>
      </c>
      <c r="BP618" s="120"/>
      <c r="BQ618" s="120">
        <f>VLOOKUP($C618,'1 预算编制表单'!$C:$BJ,36,FALSE)</f>
        <v>0</v>
      </c>
      <c r="BR618" s="120">
        <f t="shared" si="6797"/>
        <v>0</v>
      </c>
      <c r="BS618" s="120"/>
      <c r="BT618" s="120">
        <f>VLOOKUP($C618,'1 预算编制表单'!$C:$BJ,39,FALSE)</f>
        <v>0</v>
      </c>
      <c r="BU618" s="120">
        <f t="shared" si="6798"/>
        <v>0</v>
      </c>
      <c r="BV618" s="120"/>
      <c r="BW618" s="120">
        <f>VLOOKUP($C618,'1 预算编制表单'!$C:$BJ,42,FALSE)</f>
        <v>0</v>
      </c>
      <c r="BX618" s="120">
        <f t="shared" si="6799"/>
        <v>0</v>
      </c>
      <c r="BY618" s="120"/>
      <c r="BZ618" s="120">
        <f>VLOOKUP($C618,'1 预算编制表单'!$C:$BJ,45,FALSE)</f>
        <v>0</v>
      </c>
      <c r="CA618" s="120">
        <f t="shared" si="6800"/>
        <v>0</v>
      </c>
      <c r="CB618" s="120"/>
      <c r="CC618" s="120">
        <f>VLOOKUP($C618,'1 预算编制表单'!$C:$BJ,48,FALSE)</f>
        <v>0</v>
      </c>
      <c r="CD618" s="120">
        <f t="shared" si="6801"/>
        <v>0</v>
      </c>
      <c r="CE618" s="120"/>
      <c r="CF618" s="120">
        <f>VLOOKUP($C618,'1 预算编制表单'!$C:$BJ,51,FALSE)</f>
        <v>0</v>
      </c>
      <c r="CG618" s="120">
        <f t="shared" si="6802"/>
        <v>0</v>
      </c>
      <c r="CH618" s="120"/>
      <c r="CI618" s="120">
        <f>VLOOKUP($C618,'1 预算编制表单'!$C:$BJ,54,FALSE)</f>
        <v>0</v>
      </c>
      <c r="CJ618" s="120">
        <f t="shared" si="6803"/>
        <v>0</v>
      </c>
      <c r="CK618" s="120"/>
      <c r="CL618" s="120">
        <f>VLOOKUP($C618,'1 预算编制表单'!$C:$BJ,57,FALSE)</f>
        <v>0</v>
      </c>
      <c r="CM618" s="120">
        <f t="shared" si="6804"/>
        <v>0</v>
      </c>
      <c r="CN618" s="120"/>
      <c r="CO618" s="120">
        <f>VLOOKUP($C618,'1 预算编制表单'!$C:$BJ,60,FALSE)</f>
        <v>0</v>
      </c>
      <c r="CP618" s="120">
        <f t="shared" si="6805"/>
        <v>0</v>
      </c>
      <c r="CQ618" s="120"/>
    </row>
    <row r="619" ht="24" customHeight="1" outlineLevel="1" spans="1:95">
      <c r="A619" s="14"/>
      <c r="B619" s="118" t="s">
        <v>787</v>
      </c>
      <c r="C619" s="119" t="s">
        <v>2375</v>
      </c>
      <c r="D619" s="14" t="s">
        <v>2376</v>
      </c>
      <c r="E619" s="118" t="s">
        <v>2377</v>
      </c>
      <c r="F619" s="118" t="s">
        <v>1618</v>
      </c>
      <c r="G619" s="118" t="s">
        <v>936</v>
      </c>
      <c r="H619" s="120">
        <f t="shared" si="6779"/>
        <v>0</v>
      </c>
      <c r="I619" s="120">
        <f t="shared" si="6780"/>
        <v>0</v>
      </c>
      <c r="J619" s="120">
        <f t="shared" si="6781"/>
        <v>0</v>
      </c>
      <c r="K619" s="120"/>
      <c r="L619" s="153"/>
      <c r="M619" s="153"/>
      <c r="N619" s="120"/>
      <c r="O619" s="153"/>
      <c r="P619" s="120"/>
      <c r="Q619" s="120"/>
      <c r="R619" s="120"/>
      <c r="S619" s="120"/>
      <c r="T619" s="120"/>
      <c r="U619" s="120"/>
      <c r="V619" s="120"/>
      <c r="W619" s="120"/>
      <c r="X619" s="120">
        <f>VLOOKUP($C619,'1 预算编制表单'!$C:$BJ,27,FALSE)</f>
        <v>0</v>
      </c>
      <c r="Y619" s="120">
        <f t="shared" si="6806"/>
        <v>0</v>
      </c>
      <c r="Z619" s="120"/>
      <c r="AA619" s="120">
        <f>VLOOKUP($C619,'1 预算编制表单'!$C:$BJ,30,FALSE)</f>
        <v>0</v>
      </c>
      <c r="AB619" s="120">
        <f t="shared" si="6807"/>
        <v>0</v>
      </c>
      <c r="AC619" s="120"/>
      <c r="AD619" s="120">
        <f>VLOOKUP($C619,'1 预算编制表单'!$C:$BJ,33,FALSE)</f>
        <v>0</v>
      </c>
      <c r="AE619" s="120">
        <f t="shared" si="6808"/>
        <v>0</v>
      </c>
      <c r="AF619" s="120"/>
      <c r="AG619" s="120">
        <f>VLOOKUP($C619,'1 预算编制表单'!$C:$BJ,36,FALSE)</f>
        <v>0</v>
      </c>
      <c r="AH619" s="120">
        <f t="shared" si="6809"/>
        <v>0</v>
      </c>
      <c r="AI619" s="120"/>
      <c r="AJ619" s="120">
        <f>VLOOKUP($C619,'1 预算编制表单'!$C:$BJ,39,FALSE)</f>
        <v>0</v>
      </c>
      <c r="AK619" s="120">
        <f t="shared" si="6810"/>
        <v>0</v>
      </c>
      <c r="AL619" s="120"/>
      <c r="AM619" s="120">
        <f>VLOOKUP($C619,'1 预算编制表单'!$C:$BJ,42,FALSE)</f>
        <v>0</v>
      </c>
      <c r="AN619" s="120">
        <f t="shared" si="6811"/>
        <v>0</v>
      </c>
      <c r="AO619" s="120"/>
      <c r="AP619" s="120">
        <f>VLOOKUP($C619,'1 预算编制表单'!$C:$BJ,45,FALSE)</f>
        <v>0</v>
      </c>
      <c r="AQ619" s="120">
        <f t="shared" si="6812"/>
        <v>0</v>
      </c>
      <c r="AR619" s="120"/>
      <c r="AS619" s="120">
        <f>VLOOKUP($C619,'1 预算编制表单'!$C:$BJ,48,FALSE)</f>
        <v>0</v>
      </c>
      <c r="AT619" s="120">
        <f t="shared" si="6813"/>
        <v>0</v>
      </c>
      <c r="AU619" s="120"/>
      <c r="AV619" s="120">
        <f>VLOOKUP($C619,'1 预算编制表单'!$C:$BJ,51,FALSE)</f>
        <v>0</v>
      </c>
      <c r="AW619" s="120">
        <f t="shared" si="6814"/>
        <v>0</v>
      </c>
      <c r="AX619" s="120"/>
      <c r="AY619" s="120">
        <f>VLOOKUP($C619,'1 预算编制表单'!$C:$BJ,54,FALSE)</f>
        <v>0</v>
      </c>
      <c r="AZ619" s="120">
        <f t="shared" si="6815"/>
        <v>0</v>
      </c>
      <c r="BA619" s="120"/>
      <c r="BB619" s="120">
        <f>VLOOKUP($C619,'1 预算编制表单'!$C:$BJ,57,FALSE)</f>
        <v>0</v>
      </c>
      <c r="BC619" s="120">
        <f t="shared" si="6816"/>
        <v>0</v>
      </c>
      <c r="BD619" s="120"/>
      <c r="BE619" s="120">
        <f>VLOOKUP($C619,'1 预算编制表单'!$C:$BJ,60,FALSE)</f>
        <v>0</v>
      </c>
      <c r="BF619" s="120">
        <f t="shared" si="6817"/>
        <v>0</v>
      </c>
      <c r="BG619" s="120"/>
      <c r="BH619" s="120">
        <f>VLOOKUP($C619,'1 预算编制表单'!$C:$BJ,27,FALSE)</f>
        <v>0</v>
      </c>
      <c r="BI619" s="120">
        <f t="shared" si="6794"/>
        <v>0</v>
      </c>
      <c r="BJ619" s="120"/>
      <c r="BK619" s="120">
        <f>VLOOKUP($C619,'1 预算编制表单'!$C:$BJ,30,FALSE)</f>
        <v>0</v>
      </c>
      <c r="BL619" s="120">
        <f t="shared" si="6795"/>
        <v>0</v>
      </c>
      <c r="BM619" s="120"/>
      <c r="BN619" s="120">
        <f>VLOOKUP($C619,'1 预算编制表单'!$C:$BJ,33,FALSE)</f>
        <v>0</v>
      </c>
      <c r="BO619" s="120">
        <f t="shared" si="6796"/>
        <v>0</v>
      </c>
      <c r="BP619" s="120"/>
      <c r="BQ619" s="120">
        <f>VLOOKUP($C619,'1 预算编制表单'!$C:$BJ,36,FALSE)</f>
        <v>0</v>
      </c>
      <c r="BR619" s="120">
        <f t="shared" si="6797"/>
        <v>0</v>
      </c>
      <c r="BS619" s="120"/>
      <c r="BT619" s="120">
        <f>VLOOKUP($C619,'1 预算编制表单'!$C:$BJ,39,FALSE)</f>
        <v>0</v>
      </c>
      <c r="BU619" s="120">
        <f t="shared" si="6798"/>
        <v>0</v>
      </c>
      <c r="BV619" s="120"/>
      <c r="BW619" s="120">
        <f>VLOOKUP($C619,'1 预算编制表单'!$C:$BJ,42,FALSE)</f>
        <v>0</v>
      </c>
      <c r="BX619" s="120">
        <f t="shared" si="6799"/>
        <v>0</v>
      </c>
      <c r="BY619" s="120"/>
      <c r="BZ619" s="120">
        <f>VLOOKUP($C619,'1 预算编制表单'!$C:$BJ,45,FALSE)</f>
        <v>0</v>
      </c>
      <c r="CA619" s="120">
        <f t="shared" si="6800"/>
        <v>0</v>
      </c>
      <c r="CB619" s="120"/>
      <c r="CC619" s="120">
        <f>VLOOKUP($C619,'1 预算编制表单'!$C:$BJ,48,FALSE)</f>
        <v>0</v>
      </c>
      <c r="CD619" s="120">
        <f t="shared" si="6801"/>
        <v>0</v>
      </c>
      <c r="CE619" s="120"/>
      <c r="CF619" s="120">
        <f>VLOOKUP($C619,'1 预算编制表单'!$C:$BJ,51,FALSE)</f>
        <v>0</v>
      </c>
      <c r="CG619" s="120">
        <f t="shared" si="6802"/>
        <v>0</v>
      </c>
      <c r="CH619" s="120"/>
      <c r="CI619" s="120">
        <f>VLOOKUP($C619,'1 预算编制表单'!$C:$BJ,54,FALSE)</f>
        <v>0</v>
      </c>
      <c r="CJ619" s="120">
        <f t="shared" si="6803"/>
        <v>0</v>
      </c>
      <c r="CK619" s="120"/>
      <c r="CL619" s="120">
        <f>VLOOKUP($C619,'1 预算编制表单'!$C:$BJ,57,FALSE)</f>
        <v>0</v>
      </c>
      <c r="CM619" s="120">
        <f t="shared" si="6804"/>
        <v>0</v>
      </c>
      <c r="CN619" s="120"/>
      <c r="CO619" s="120">
        <f>VLOOKUP($C619,'1 预算编制表单'!$C:$BJ,60,FALSE)</f>
        <v>0</v>
      </c>
      <c r="CP619" s="120">
        <f t="shared" si="6805"/>
        <v>0</v>
      </c>
      <c r="CQ619" s="120"/>
    </row>
    <row r="620" ht="24" customHeight="1" outlineLevel="1" spans="1:95">
      <c r="A620" s="14"/>
      <c r="B620" s="118" t="s">
        <v>787</v>
      </c>
      <c r="C620" s="119" t="s">
        <v>2378</v>
      </c>
      <c r="D620" s="14" t="s">
        <v>2379</v>
      </c>
      <c r="E620" s="14"/>
      <c r="F620" s="118" t="s">
        <v>1618</v>
      </c>
      <c r="G620" s="118" t="s">
        <v>936</v>
      </c>
      <c r="H620" s="120">
        <f t="shared" si="6779"/>
        <v>742377.962264151</v>
      </c>
      <c r="I620" s="120">
        <f t="shared" si="6780"/>
        <v>742377.962264151</v>
      </c>
      <c r="J620" s="120">
        <f t="shared" si="6781"/>
        <v>0</v>
      </c>
      <c r="K620" s="120"/>
      <c r="L620" s="153"/>
      <c r="M620" s="153"/>
      <c r="N620" s="120"/>
      <c r="O620" s="153"/>
      <c r="P620" s="120"/>
      <c r="Q620" s="120"/>
      <c r="R620" s="120"/>
      <c r="S620" s="120"/>
      <c r="T620" s="120"/>
      <c r="U620" s="120"/>
      <c r="V620" s="120"/>
      <c r="W620" s="120"/>
      <c r="X620" s="120">
        <f>VLOOKUP($C620,'1 预算编制表单'!$C:$BJ,27,FALSE)</f>
        <v>742377.962264151</v>
      </c>
      <c r="Y620" s="120">
        <f t="shared" si="6806"/>
        <v>742377.962264151</v>
      </c>
      <c r="Z620" s="120"/>
      <c r="AA620" s="120">
        <f>VLOOKUP($C620,'1 预算编制表单'!$C:$BJ,30,FALSE)</f>
        <v>0</v>
      </c>
      <c r="AB620" s="120">
        <f t="shared" si="6807"/>
        <v>0</v>
      </c>
      <c r="AC620" s="120"/>
      <c r="AD620" s="120">
        <f>VLOOKUP($C620,'1 预算编制表单'!$C:$BJ,33,FALSE)</f>
        <v>0</v>
      </c>
      <c r="AE620" s="120">
        <f t="shared" si="6808"/>
        <v>0</v>
      </c>
      <c r="AF620" s="120"/>
      <c r="AG620" s="120">
        <f>VLOOKUP($C620,'1 预算编制表单'!$C:$BJ,36,FALSE)</f>
        <v>0</v>
      </c>
      <c r="AH620" s="120">
        <f t="shared" si="6809"/>
        <v>0</v>
      </c>
      <c r="AI620" s="120"/>
      <c r="AJ620" s="120">
        <f>VLOOKUP($C620,'1 预算编制表单'!$C:$BJ,39,FALSE)</f>
        <v>0</v>
      </c>
      <c r="AK620" s="120">
        <f t="shared" si="6810"/>
        <v>0</v>
      </c>
      <c r="AL620" s="120"/>
      <c r="AM620" s="120">
        <f>VLOOKUP($C620,'1 预算编制表单'!$C:$BJ,42,FALSE)</f>
        <v>0</v>
      </c>
      <c r="AN620" s="120">
        <f t="shared" si="6811"/>
        <v>0</v>
      </c>
      <c r="AO620" s="120"/>
      <c r="AP620" s="120">
        <f>VLOOKUP($C620,'1 预算编制表单'!$C:$BJ,45,FALSE)</f>
        <v>0</v>
      </c>
      <c r="AQ620" s="120">
        <f t="shared" si="6812"/>
        <v>0</v>
      </c>
      <c r="AR620" s="120"/>
      <c r="AS620" s="120">
        <f>VLOOKUP($C620,'1 预算编制表单'!$C:$BJ,48,FALSE)</f>
        <v>0</v>
      </c>
      <c r="AT620" s="120">
        <f t="shared" si="6813"/>
        <v>0</v>
      </c>
      <c r="AU620" s="120"/>
      <c r="AV620" s="120">
        <f>VLOOKUP($C620,'1 预算编制表单'!$C:$BJ,51,FALSE)</f>
        <v>0</v>
      </c>
      <c r="AW620" s="120">
        <f t="shared" si="6814"/>
        <v>0</v>
      </c>
      <c r="AX620" s="120"/>
      <c r="AY620" s="120">
        <f>VLOOKUP($C620,'1 预算编制表单'!$C:$BJ,54,FALSE)</f>
        <v>0</v>
      </c>
      <c r="AZ620" s="120">
        <f t="shared" si="6815"/>
        <v>0</v>
      </c>
      <c r="BA620" s="120"/>
      <c r="BB620" s="120">
        <f>VLOOKUP($C620,'1 预算编制表单'!$C:$BJ,57,FALSE)</f>
        <v>0</v>
      </c>
      <c r="BC620" s="120">
        <f t="shared" si="6816"/>
        <v>0</v>
      </c>
      <c r="BD620" s="120"/>
      <c r="BE620" s="120">
        <f>VLOOKUP($C620,'1 预算编制表单'!$C:$BJ,60,FALSE)</f>
        <v>0</v>
      </c>
      <c r="BF620" s="120">
        <f t="shared" si="6817"/>
        <v>0</v>
      </c>
      <c r="BG620" s="120"/>
      <c r="BH620" s="120">
        <f>VLOOKUP($C620,'1 预算编制表单'!$C:$BJ,27,FALSE)</f>
        <v>742377.962264151</v>
      </c>
      <c r="BI620" s="120">
        <f t="shared" si="6794"/>
        <v>742377.962264151</v>
      </c>
      <c r="BJ620" s="120"/>
      <c r="BK620" s="120">
        <f>VLOOKUP($C620,'1 预算编制表单'!$C:$BJ,30,FALSE)</f>
        <v>0</v>
      </c>
      <c r="BL620" s="120">
        <f t="shared" si="6795"/>
        <v>0</v>
      </c>
      <c r="BM620" s="120"/>
      <c r="BN620" s="120">
        <f>VLOOKUP($C620,'1 预算编制表单'!$C:$BJ,33,FALSE)</f>
        <v>0</v>
      </c>
      <c r="BO620" s="120">
        <f t="shared" si="6796"/>
        <v>0</v>
      </c>
      <c r="BP620" s="120"/>
      <c r="BQ620" s="120">
        <f>VLOOKUP($C620,'1 预算编制表单'!$C:$BJ,36,FALSE)</f>
        <v>0</v>
      </c>
      <c r="BR620" s="120">
        <f t="shared" si="6797"/>
        <v>0</v>
      </c>
      <c r="BS620" s="120"/>
      <c r="BT620" s="120">
        <f>VLOOKUP($C620,'1 预算编制表单'!$C:$BJ,39,FALSE)</f>
        <v>0</v>
      </c>
      <c r="BU620" s="120">
        <f t="shared" si="6798"/>
        <v>0</v>
      </c>
      <c r="BV620" s="120"/>
      <c r="BW620" s="120">
        <f>VLOOKUP($C620,'1 预算编制表单'!$C:$BJ,42,FALSE)</f>
        <v>0</v>
      </c>
      <c r="BX620" s="120">
        <f t="shared" si="6799"/>
        <v>0</v>
      </c>
      <c r="BY620" s="120"/>
      <c r="BZ620" s="120">
        <f>VLOOKUP($C620,'1 预算编制表单'!$C:$BJ,45,FALSE)</f>
        <v>0</v>
      </c>
      <c r="CA620" s="120">
        <f t="shared" si="6800"/>
        <v>0</v>
      </c>
      <c r="CB620" s="120"/>
      <c r="CC620" s="120">
        <f>VLOOKUP($C620,'1 预算编制表单'!$C:$BJ,48,FALSE)</f>
        <v>0</v>
      </c>
      <c r="CD620" s="120">
        <f t="shared" si="6801"/>
        <v>0</v>
      </c>
      <c r="CE620" s="120"/>
      <c r="CF620" s="120">
        <f>VLOOKUP($C620,'1 预算编制表单'!$C:$BJ,51,FALSE)</f>
        <v>0</v>
      </c>
      <c r="CG620" s="120">
        <f t="shared" si="6802"/>
        <v>0</v>
      </c>
      <c r="CH620" s="120"/>
      <c r="CI620" s="120">
        <f>VLOOKUP($C620,'1 预算编制表单'!$C:$BJ,54,FALSE)</f>
        <v>0</v>
      </c>
      <c r="CJ620" s="120">
        <f t="shared" si="6803"/>
        <v>0</v>
      </c>
      <c r="CK620" s="120"/>
      <c r="CL620" s="120">
        <f>VLOOKUP($C620,'1 预算编制表单'!$C:$BJ,57,FALSE)</f>
        <v>0</v>
      </c>
      <c r="CM620" s="120">
        <f t="shared" si="6804"/>
        <v>0</v>
      </c>
      <c r="CN620" s="120"/>
      <c r="CO620" s="120">
        <f>VLOOKUP($C620,'1 预算编制表单'!$C:$BJ,60,FALSE)</f>
        <v>0</v>
      </c>
      <c r="CP620" s="120">
        <f t="shared" si="6805"/>
        <v>0</v>
      </c>
      <c r="CQ620" s="120"/>
    </row>
    <row r="621" ht="24" customHeight="1" outlineLevel="1" spans="1:95">
      <c r="A621" s="14"/>
      <c r="B621" s="118" t="s">
        <v>787</v>
      </c>
      <c r="C621" s="119" t="s">
        <v>2380</v>
      </c>
      <c r="D621" s="14" t="s">
        <v>2381</v>
      </c>
      <c r="E621" s="14"/>
      <c r="F621" s="118" t="s">
        <v>1618</v>
      </c>
      <c r="G621" s="118" t="s">
        <v>936</v>
      </c>
      <c r="H621" s="120">
        <f t="shared" si="6779"/>
        <v>360000</v>
      </c>
      <c r="I621" s="120">
        <f t="shared" si="6780"/>
        <v>360000</v>
      </c>
      <c r="J621" s="120">
        <f t="shared" si="6781"/>
        <v>0</v>
      </c>
      <c r="K621" s="120"/>
      <c r="L621" s="153"/>
      <c r="M621" s="153"/>
      <c r="N621" s="120"/>
      <c r="O621" s="153"/>
      <c r="P621" s="120"/>
      <c r="Q621" s="120"/>
      <c r="R621" s="120"/>
      <c r="S621" s="120"/>
      <c r="T621" s="120"/>
      <c r="U621" s="120"/>
      <c r="V621" s="120"/>
      <c r="W621" s="120"/>
      <c r="X621" s="120">
        <f>VLOOKUP($C621,'1 预算编制表单'!$C:$BJ,27,FALSE)</f>
        <v>360000</v>
      </c>
      <c r="Y621" s="120">
        <f t="shared" si="6806"/>
        <v>360000</v>
      </c>
      <c r="Z621" s="120"/>
      <c r="AA621" s="120">
        <f>VLOOKUP($C621,'1 预算编制表单'!$C:$BJ,30,FALSE)</f>
        <v>0</v>
      </c>
      <c r="AB621" s="120">
        <f t="shared" si="6807"/>
        <v>0</v>
      </c>
      <c r="AC621" s="120"/>
      <c r="AD621" s="120">
        <f>VLOOKUP($C621,'1 预算编制表单'!$C:$BJ,33,FALSE)</f>
        <v>0</v>
      </c>
      <c r="AE621" s="120">
        <f t="shared" si="6808"/>
        <v>0</v>
      </c>
      <c r="AF621" s="120"/>
      <c r="AG621" s="120">
        <f>VLOOKUP($C621,'1 预算编制表单'!$C:$BJ,36,FALSE)</f>
        <v>0</v>
      </c>
      <c r="AH621" s="120">
        <f t="shared" si="6809"/>
        <v>0</v>
      </c>
      <c r="AI621" s="120"/>
      <c r="AJ621" s="120">
        <f>VLOOKUP($C621,'1 预算编制表单'!$C:$BJ,39,FALSE)</f>
        <v>0</v>
      </c>
      <c r="AK621" s="120">
        <f t="shared" si="6810"/>
        <v>0</v>
      </c>
      <c r="AL621" s="120"/>
      <c r="AM621" s="120">
        <f>VLOOKUP($C621,'1 预算编制表单'!$C:$BJ,42,FALSE)</f>
        <v>0</v>
      </c>
      <c r="AN621" s="120">
        <f t="shared" si="6811"/>
        <v>0</v>
      </c>
      <c r="AO621" s="120"/>
      <c r="AP621" s="120">
        <f>VLOOKUP($C621,'1 预算编制表单'!$C:$BJ,45,FALSE)</f>
        <v>0</v>
      </c>
      <c r="AQ621" s="120">
        <f t="shared" si="6812"/>
        <v>0</v>
      </c>
      <c r="AR621" s="120"/>
      <c r="AS621" s="120">
        <f>VLOOKUP($C621,'1 预算编制表单'!$C:$BJ,48,FALSE)</f>
        <v>0</v>
      </c>
      <c r="AT621" s="120">
        <f t="shared" si="6813"/>
        <v>0</v>
      </c>
      <c r="AU621" s="120"/>
      <c r="AV621" s="120">
        <f>VLOOKUP($C621,'1 预算编制表单'!$C:$BJ,51,FALSE)</f>
        <v>0</v>
      </c>
      <c r="AW621" s="120">
        <f t="shared" si="6814"/>
        <v>0</v>
      </c>
      <c r="AX621" s="120"/>
      <c r="AY621" s="120">
        <f>VLOOKUP($C621,'1 预算编制表单'!$C:$BJ,54,FALSE)</f>
        <v>0</v>
      </c>
      <c r="AZ621" s="120">
        <f t="shared" si="6815"/>
        <v>0</v>
      </c>
      <c r="BA621" s="120"/>
      <c r="BB621" s="120">
        <f>VLOOKUP($C621,'1 预算编制表单'!$C:$BJ,57,FALSE)</f>
        <v>0</v>
      </c>
      <c r="BC621" s="120">
        <f t="shared" si="6816"/>
        <v>0</v>
      </c>
      <c r="BD621" s="120"/>
      <c r="BE621" s="120">
        <f>VLOOKUP($C621,'1 预算编制表单'!$C:$BJ,60,FALSE)</f>
        <v>0</v>
      </c>
      <c r="BF621" s="120">
        <f t="shared" si="6817"/>
        <v>0</v>
      </c>
      <c r="BG621" s="120"/>
      <c r="BH621" s="120">
        <f>VLOOKUP($C621,'1 预算编制表单'!$C:$BJ,27,FALSE)</f>
        <v>360000</v>
      </c>
      <c r="BI621" s="120">
        <f t="shared" si="6794"/>
        <v>360000</v>
      </c>
      <c r="BJ621" s="120"/>
      <c r="BK621" s="120">
        <f>VLOOKUP($C621,'1 预算编制表单'!$C:$BJ,30,FALSE)</f>
        <v>0</v>
      </c>
      <c r="BL621" s="120">
        <f t="shared" si="6795"/>
        <v>0</v>
      </c>
      <c r="BM621" s="120"/>
      <c r="BN621" s="120">
        <f>VLOOKUP($C621,'1 预算编制表单'!$C:$BJ,33,FALSE)</f>
        <v>0</v>
      </c>
      <c r="BO621" s="120">
        <f t="shared" si="6796"/>
        <v>0</v>
      </c>
      <c r="BP621" s="120"/>
      <c r="BQ621" s="120">
        <f>VLOOKUP($C621,'1 预算编制表单'!$C:$BJ,36,FALSE)</f>
        <v>0</v>
      </c>
      <c r="BR621" s="120">
        <f t="shared" si="6797"/>
        <v>0</v>
      </c>
      <c r="BS621" s="120"/>
      <c r="BT621" s="120">
        <f>VLOOKUP($C621,'1 预算编制表单'!$C:$BJ,39,FALSE)</f>
        <v>0</v>
      </c>
      <c r="BU621" s="120">
        <f t="shared" si="6798"/>
        <v>0</v>
      </c>
      <c r="BV621" s="120"/>
      <c r="BW621" s="120">
        <f>VLOOKUP($C621,'1 预算编制表单'!$C:$BJ,42,FALSE)</f>
        <v>0</v>
      </c>
      <c r="BX621" s="120">
        <f t="shared" si="6799"/>
        <v>0</v>
      </c>
      <c r="BY621" s="120"/>
      <c r="BZ621" s="120">
        <f>VLOOKUP($C621,'1 预算编制表单'!$C:$BJ,45,FALSE)</f>
        <v>0</v>
      </c>
      <c r="CA621" s="120">
        <f t="shared" si="6800"/>
        <v>0</v>
      </c>
      <c r="CB621" s="120"/>
      <c r="CC621" s="120">
        <f>VLOOKUP($C621,'1 预算编制表单'!$C:$BJ,48,FALSE)</f>
        <v>0</v>
      </c>
      <c r="CD621" s="120">
        <f t="shared" si="6801"/>
        <v>0</v>
      </c>
      <c r="CE621" s="120"/>
      <c r="CF621" s="120">
        <f>VLOOKUP($C621,'1 预算编制表单'!$C:$BJ,51,FALSE)</f>
        <v>0</v>
      </c>
      <c r="CG621" s="120">
        <f t="shared" si="6802"/>
        <v>0</v>
      </c>
      <c r="CH621" s="120"/>
      <c r="CI621" s="120">
        <f>VLOOKUP($C621,'1 预算编制表单'!$C:$BJ,54,FALSE)</f>
        <v>0</v>
      </c>
      <c r="CJ621" s="120">
        <f t="shared" si="6803"/>
        <v>0</v>
      </c>
      <c r="CK621" s="120"/>
      <c r="CL621" s="120">
        <f>VLOOKUP($C621,'1 预算编制表单'!$C:$BJ,57,FALSE)</f>
        <v>0</v>
      </c>
      <c r="CM621" s="120">
        <f t="shared" si="6804"/>
        <v>0</v>
      </c>
      <c r="CN621" s="120"/>
      <c r="CO621" s="120">
        <f>VLOOKUP($C621,'1 预算编制表单'!$C:$BJ,60,FALSE)</f>
        <v>0</v>
      </c>
      <c r="CP621" s="120">
        <f t="shared" si="6805"/>
        <v>0</v>
      </c>
      <c r="CQ621" s="120"/>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973"/>
  <sheetViews>
    <sheetView zoomScale="70" zoomScaleNormal="70" workbookViewId="0">
      <selection activeCell="Q5" sqref="Q5"/>
    </sheetView>
  </sheetViews>
  <sheetFormatPr defaultColWidth="9" defaultRowHeight="13.5"/>
  <cols>
    <col min="1" max="16384" width="9" style="82"/>
  </cols>
  <sheetData>
    <row r="1" ht="32.45" customHeight="1" spans="1:13">
      <c r="A1" s="83" t="s">
        <v>2885</v>
      </c>
      <c r="B1" s="58"/>
      <c r="C1" s="58"/>
      <c r="D1" s="58"/>
      <c r="E1" s="58"/>
      <c r="F1" s="58"/>
      <c r="G1" s="58"/>
      <c r="H1" s="58"/>
      <c r="I1" s="58"/>
      <c r="J1" s="58"/>
      <c r="K1" s="58"/>
      <c r="L1" s="58"/>
      <c r="M1" s="58"/>
    </row>
    <row r="2" ht="14.25" spans="1:13">
      <c r="A2" s="83" t="s">
        <v>2886</v>
      </c>
      <c r="B2" s="58"/>
      <c r="C2" s="58"/>
      <c r="D2" s="58"/>
      <c r="E2" s="58"/>
      <c r="F2" s="58"/>
      <c r="G2" s="58"/>
      <c r="H2" s="58"/>
      <c r="I2" s="58"/>
      <c r="J2" s="58"/>
      <c r="K2" s="58"/>
      <c r="L2" s="58"/>
      <c r="M2" s="58"/>
    </row>
    <row r="3" ht="14.25" spans="1:13">
      <c r="A3" s="83" t="s">
        <v>2887</v>
      </c>
      <c r="B3" s="58"/>
      <c r="C3" s="58"/>
      <c r="D3" s="58"/>
      <c r="E3" s="58"/>
      <c r="F3" s="58"/>
      <c r="G3" s="58"/>
      <c r="H3" s="58"/>
      <c r="I3" s="58"/>
      <c r="J3" s="58"/>
      <c r="K3" s="58"/>
      <c r="L3" s="58"/>
      <c r="M3" s="58"/>
    </row>
    <row r="4" ht="28.5" spans="1:13">
      <c r="A4" s="84" t="s">
        <v>2888</v>
      </c>
      <c r="B4" s="84" t="s">
        <v>2889</v>
      </c>
      <c r="C4" s="84" t="s">
        <v>2890</v>
      </c>
      <c r="D4" s="84" t="s">
        <v>2891</v>
      </c>
      <c r="E4" s="84" t="s">
        <v>2892</v>
      </c>
      <c r="F4" s="84" t="s">
        <v>2893</v>
      </c>
      <c r="G4" s="84" t="s">
        <v>1235</v>
      </c>
      <c r="H4" s="84" t="s">
        <v>2894</v>
      </c>
      <c r="I4" s="84" t="s">
        <v>2895</v>
      </c>
      <c r="J4" s="84" t="s">
        <v>2896</v>
      </c>
      <c r="K4" s="84" t="s">
        <v>2897</v>
      </c>
      <c r="L4" s="84" t="s">
        <v>2898</v>
      </c>
      <c r="M4" s="84" t="s">
        <v>2899</v>
      </c>
    </row>
    <row r="5" ht="242.25" spans="1:13">
      <c r="A5" s="85" t="s">
        <v>2900</v>
      </c>
      <c r="B5" s="85" t="s">
        <v>2901</v>
      </c>
      <c r="C5" s="85" t="s">
        <v>2902</v>
      </c>
      <c r="D5" s="85" t="s">
        <v>2903</v>
      </c>
      <c r="E5" s="85" t="s">
        <v>2902</v>
      </c>
      <c r="F5" s="86">
        <v>16673.8</v>
      </c>
      <c r="G5" s="86">
        <v>1</v>
      </c>
      <c r="H5" s="86">
        <v>16673.8</v>
      </c>
      <c r="I5" s="86">
        <v>16673.8</v>
      </c>
      <c r="J5" s="85" t="s">
        <v>2904</v>
      </c>
      <c r="K5" s="85" t="s">
        <v>2905</v>
      </c>
      <c r="L5" s="85" t="s">
        <v>2906</v>
      </c>
      <c r="M5" s="85" t="s">
        <v>2907</v>
      </c>
    </row>
    <row r="6" ht="242.25" spans="1:13">
      <c r="A6" s="85" t="s">
        <v>2908</v>
      </c>
      <c r="B6" s="85" t="s">
        <v>2909</v>
      </c>
      <c r="C6" s="85" t="s">
        <v>2910</v>
      </c>
      <c r="D6" s="85" t="s">
        <v>2911</v>
      </c>
      <c r="E6" s="85" t="s">
        <v>2912</v>
      </c>
      <c r="F6" s="86">
        <v>11600</v>
      </c>
      <c r="G6" s="86">
        <v>1</v>
      </c>
      <c r="H6" s="86">
        <v>11600</v>
      </c>
      <c r="I6" s="86">
        <v>11600</v>
      </c>
      <c r="J6" s="85" t="s">
        <v>2913</v>
      </c>
      <c r="K6" s="85" t="s">
        <v>2914</v>
      </c>
      <c r="L6" s="85" t="s">
        <v>2906</v>
      </c>
      <c r="M6" s="85" t="s">
        <v>2915</v>
      </c>
    </row>
    <row r="7" ht="242.25" spans="1:13">
      <c r="A7" s="85" t="s">
        <v>2916</v>
      </c>
      <c r="B7" s="85" t="s">
        <v>2917</v>
      </c>
      <c r="C7" s="85" t="s">
        <v>2918</v>
      </c>
      <c r="D7" s="85" t="s">
        <v>2919</v>
      </c>
      <c r="E7" s="85" t="s">
        <v>2918</v>
      </c>
      <c r="F7" s="86">
        <v>4700</v>
      </c>
      <c r="G7" s="86">
        <v>1</v>
      </c>
      <c r="H7" s="86">
        <v>4700</v>
      </c>
      <c r="I7" s="86">
        <v>4700</v>
      </c>
      <c r="J7" s="85" t="s">
        <v>2920</v>
      </c>
      <c r="K7" s="85" t="s">
        <v>2921</v>
      </c>
      <c r="L7" s="85" t="s">
        <v>2906</v>
      </c>
      <c r="M7" s="85" t="s">
        <v>2922</v>
      </c>
    </row>
    <row r="8" ht="242.25" spans="1:13">
      <c r="A8" s="85" t="s">
        <v>2923</v>
      </c>
      <c r="B8" s="85" t="s">
        <v>2901</v>
      </c>
      <c r="C8" s="85" t="s">
        <v>2902</v>
      </c>
      <c r="D8" s="85" t="s">
        <v>2903</v>
      </c>
      <c r="E8" s="85" t="s">
        <v>2902</v>
      </c>
      <c r="F8" s="86">
        <v>9998.7</v>
      </c>
      <c r="G8" s="86">
        <v>1</v>
      </c>
      <c r="H8" s="86">
        <v>9998.7</v>
      </c>
      <c r="I8" s="86">
        <v>9998.7</v>
      </c>
      <c r="J8" s="85" t="s">
        <v>2924</v>
      </c>
      <c r="K8" s="85" t="s">
        <v>2925</v>
      </c>
      <c r="L8" s="85" t="s">
        <v>2906</v>
      </c>
      <c r="M8" s="85" t="s">
        <v>2926</v>
      </c>
    </row>
    <row r="9" ht="242.25" spans="1:13">
      <c r="A9" s="85" t="s">
        <v>2927</v>
      </c>
      <c r="B9" s="85" t="s">
        <v>2909</v>
      </c>
      <c r="C9" s="85" t="s">
        <v>2910</v>
      </c>
      <c r="D9" s="85" t="s">
        <v>2911</v>
      </c>
      <c r="E9" s="85" t="s">
        <v>2912</v>
      </c>
      <c r="F9" s="86">
        <v>3891.5</v>
      </c>
      <c r="G9" s="86">
        <v>1</v>
      </c>
      <c r="H9" s="86">
        <v>3891.5</v>
      </c>
      <c r="I9" s="86">
        <v>3891.5</v>
      </c>
      <c r="J9" s="85" t="s">
        <v>2928</v>
      </c>
      <c r="K9" s="85" t="s">
        <v>2929</v>
      </c>
      <c r="L9" s="85" t="s">
        <v>2906</v>
      </c>
      <c r="M9" s="85" t="s">
        <v>2930</v>
      </c>
    </row>
    <row r="10" ht="242.25" spans="1:13">
      <c r="A10" s="85" t="s">
        <v>2931</v>
      </c>
      <c r="B10" s="85" t="s">
        <v>2909</v>
      </c>
      <c r="C10" s="85" t="s">
        <v>2910</v>
      </c>
      <c r="D10" s="85" t="s">
        <v>2911</v>
      </c>
      <c r="E10" s="85" t="s">
        <v>2912</v>
      </c>
      <c r="F10" s="86">
        <v>31840.8</v>
      </c>
      <c r="G10" s="86">
        <v>1</v>
      </c>
      <c r="H10" s="86">
        <v>31840.8</v>
      </c>
      <c r="I10" s="86">
        <v>31840.8</v>
      </c>
      <c r="J10" s="85" t="s">
        <v>2932</v>
      </c>
      <c r="K10" s="85" t="s">
        <v>2929</v>
      </c>
      <c r="L10" s="85" t="s">
        <v>2906</v>
      </c>
      <c r="M10" s="85" t="s">
        <v>2933</v>
      </c>
    </row>
    <row r="11" ht="242.25" spans="1:13">
      <c r="A11" s="85" t="s">
        <v>2934</v>
      </c>
      <c r="B11" s="85" t="s">
        <v>2909</v>
      </c>
      <c r="C11" s="85" t="s">
        <v>2910</v>
      </c>
      <c r="D11" s="85" t="s">
        <v>2911</v>
      </c>
      <c r="E11" s="85" t="s">
        <v>2912</v>
      </c>
      <c r="F11" s="86">
        <v>5793.94</v>
      </c>
      <c r="G11" s="86">
        <v>1</v>
      </c>
      <c r="H11" s="86">
        <v>5793.94</v>
      </c>
      <c r="I11" s="86">
        <v>5793.94</v>
      </c>
      <c r="J11" s="85" t="s">
        <v>2935</v>
      </c>
      <c r="K11" s="85" t="s">
        <v>2929</v>
      </c>
      <c r="L11" s="85" t="s">
        <v>2906</v>
      </c>
      <c r="M11" s="85" t="s">
        <v>2936</v>
      </c>
    </row>
    <row r="12" ht="242.25" spans="1:13">
      <c r="A12" s="85" t="s">
        <v>2937</v>
      </c>
      <c r="B12" s="85" t="s">
        <v>2909</v>
      </c>
      <c r="C12" s="85" t="s">
        <v>2910</v>
      </c>
      <c r="D12" s="85" t="s">
        <v>2911</v>
      </c>
      <c r="E12" s="85" t="s">
        <v>2912</v>
      </c>
      <c r="F12" s="86">
        <v>32300</v>
      </c>
      <c r="G12" s="86">
        <v>1</v>
      </c>
      <c r="H12" s="86">
        <v>32300</v>
      </c>
      <c r="I12" s="86">
        <v>32300</v>
      </c>
      <c r="J12" s="85" t="s">
        <v>2938</v>
      </c>
      <c r="K12" s="85" t="s">
        <v>2929</v>
      </c>
      <c r="L12" s="85" t="s">
        <v>2906</v>
      </c>
      <c r="M12" s="85" t="s">
        <v>2939</v>
      </c>
    </row>
    <row r="13" ht="242.25" spans="1:13">
      <c r="A13" s="85" t="s">
        <v>2940</v>
      </c>
      <c r="B13" s="85" t="s">
        <v>2909</v>
      </c>
      <c r="C13" s="85" t="s">
        <v>2910</v>
      </c>
      <c r="D13" s="85" t="s">
        <v>2911</v>
      </c>
      <c r="E13" s="85" t="s">
        <v>2912</v>
      </c>
      <c r="F13" s="86">
        <v>475</v>
      </c>
      <c r="G13" s="86">
        <v>30</v>
      </c>
      <c r="H13" s="86">
        <v>14250</v>
      </c>
      <c r="I13" s="86">
        <v>14250</v>
      </c>
      <c r="J13" s="85" t="s">
        <v>2941</v>
      </c>
      <c r="K13" s="85" t="s">
        <v>2942</v>
      </c>
      <c r="L13" s="85" t="s">
        <v>2906</v>
      </c>
      <c r="M13" s="85" t="s">
        <v>2943</v>
      </c>
    </row>
    <row r="14" ht="242.25" spans="1:13">
      <c r="A14" s="85" t="s">
        <v>2944</v>
      </c>
      <c r="B14" s="85" t="s">
        <v>2909</v>
      </c>
      <c r="C14" s="85" t="s">
        <v>2910</v>
      </c>
      <c r="D14" s="85" t="s">
        <v>2911</v>
      </c>
      <c r="E14" s="85" t="s">
        <v>2912</v>
      </c>
      <c r="F14" s="86">
        <v>48</v>
      </c>
      <c r="G14" s="86">
        <v>400</v>
      </c>
      <c r="H14" s="86">
        <v>19200</v>
      </c>
      <c r="I14" s="86">
        <v>19200</v>
      </c>
      <c r="J14" s="85" t="s">
        <v>2945</v>
      </c>
      <c r="K14" s="85" t="s">
        <v>2942</v>
      </c>
      <c r="L14" s="85" t="s">
        <v>2906</v>
      </c>
      <c r="M14" s="85" t="s">
        <v>2946</v>
      </c>
    </row>
    <row r="15" ht="242.25" spans="1:13">
      <c r="A15" s="85" t="s">
        <v>2947</v>
      </c>
      <c r="B15" s="85" t="s">
        <v>2948</v>
      </c>
      <c r="C15" s="85" t="s">
        <v>2949</v>
      </c>
      <c r="D15" s="85" t="s">
        <v>2950</v>
      </c>
      <c r="E15" s="85" t="s">
        <v>1720</v>
      </c>
      <c r="F15" s="86">
        <v>4207.9</v>
      </c>
      <c r="G15" s="86">
        <v>1</v>
      </c>
      <c r="H15" s="86">
        <v>4207.9</v>
      </c>
      <c r="I15" s="86">
        <v>4207.9</v>
      </c>
      <c r="J15" s="85" t="s">
        <v>2935</v>
      </c>
      <c r="K15" s="85" t="s">
        <v>2951</v>
      </c>
      <c r="L15" s="85" t="s">
        <v>2906</v>
      </c>
      <c r="M15" s="85" t="s">
        <v>2952</v>
      </c>
    </row>
    <row r="16" ht="242.25" spans="1:13">
      <c r="A16" s="85" t="s">
        <v>2953</v>
      </c>
      <c r="B16" s="85" t="s">
        <v>2954</v>
      </c>
      <c r="C16" s="85" t="s">
        <v>2955</v>
      </c>
      <c r="D16" s="85" t="s">
        <v>2956</v>
      </c>
      <c r="E16" s="85" t="s">
        <v>2957</v>
      </c>
      <c r="F16" s="86">
        <v>48.27</v>
      </c>
      <c r="G16" s="86">
        <v>1</v>
      </c>
      <c r="H16" s="86">
        <v>48.27</v>
      </c>
      <c r="I16" s="86">
        <v>11063.49</v>
      </c>
      <c r="J16" s="85" t="s">
        <v>2958</v>
      </c>
      <c r="K16" s="85" t="s">
        <v>2959</v>
      </c>
      <c r="L16" s="85" t="s">
        <v>2906</v>
      </c>
      <c r="M16" s="85" t="s">
        <v>2960</v>
      </c>
    </row>
    <row r="17" ht="242.25" spans="1:13">
      <c r="A17" s="85" t="s">
        <v>2961</v>
      </c>
      <c r="B17" s="85" t="s">
        <v>2962</v>
      </c>
      <c r="C17" s="85" t="s">
        <v>2963</v>
      </c>
      <c r="D17" s="85" t="s">
        <v>2964</v>
      </c>
      <c r="E17" s="85" t="s">
        <v>2963</v>
      </c>
      <c r="F17" s="86">
        <v>97.2</v>
      </c>
      <c r="G17" s="86">
        <v>10</v>
      </c>
      <c r="H17" s="86">
        <v>972</v>
      </c>
      <c r="I17" s="86">
        <v>7587.61</v>
      </c>
      <c r="J17" s="85" t="s">
        <v>2965</v>
      </c>
      <c r="K17" s="85" t="s">
        <v>2959</v>
      </c>
      <c r="L17" s="85" t="s">
        <v>2906</v>
      </c>
      <c r="M17" s="85" t="s">
        <v>2966</v>
      </c>
    </row>
    <row r="18" ht="242.25" spans="1:13">
      <c r="A18" s="85" t="s">
        <v>2961</v>
      </c>
      <c r="B18" s="85" t="s">
        <v>2967</v>
      </c>
      <c r="C18" s="85" t="s">
        <v>2968</v>
      </c>
      <c r="D18" s="85" t="s">
        <v>2969</v>
      </c>
      <c r="E18" s="85" t="s">
        <v>2968</v>
      </c>
      <c r="F18" s="86">
        <v>9.81</v>
      </c>
      <c r="G18" s="86">
        <v>30</v>
      </c>
      <c r="H18" s="86">
        <v>294.3</v>
      </c>
      <c r="I18" s="86">
        <v>7587.61</v>
      </c>
      <c r="J18" s="85" t="s">
        <v>2965</v>
      </c>
      <c r="K18" s="85" t="s">
        <v>2959</v>
      </c>
      <c r="L18" s="85" t="s">
        <v>2906</v>
      </c>
      <c r="M18" s="85" t="s">
        <v>2970</v>
      </c>
    </row>
    <row r="19" ht="242.25" spans="1:13">
      <c r="A19" s="85" t="s">
        <v>2961</v>
      </c>
      <c r="B19" s="85" t="s">
        <v>2971</v>
      </c>
      <c r="C19" s="85" t="s">
        <v>2972</v>
      </c>
      <c r="D19" s="85" t="s">
        <v>2973</v>
      </c>
      <c r="E19" s="85" t="s">
        <v>2972</v>
      </c>
      <c r="F19" s="86">
        <v>109.2</v>
      </c>
      <c r="G19" s="86">
        <v>12</v>
      </c>
      <c r="H19" s="86">
        <v>1310.4</v>
      </c>
      <c r="I19" s="86">
        <v>7587.61</v>
      </c>
      <c r="J19" s="85" t="s">
        <v>2965</v>
      </c>
      <c r="K19" s="85" t="s">
        <v>2959</v>
      </c>
      <c r="L19" s="85" t="s">
        <v>2906</v>
      </c>
      <c r="M19" s="85" t="s">
        <v>2974</v>
      </c>
    </row>
    <row r="20" ht="242.25" spans="1:13">
      <c r="A20" s="85" t="s">
        <v>2953</v>
      </c>
      <c r="B20" s="85" t="s">
        <v>2975</v>
      </c>
      <c r="C20" s="85" t="s">
        <v>2976</v>
      </c>
      <c r="D20" s="85" t="s">
        <v>2977</v>
      </c>
      <c r="E20" s="85" t="s">
        <v>2978</v>
      </c>
      <c r="F20" s="86">
        <v>8.64</v>
      </c>
      <c r="G20" s="86">
        <v>100</v>
      </c>
      <c r="H20" s="86">
        <v>864</v>
      </c>
      <c r="I20" s="86">
        <v>11063.49</v>
      </c>
      <c r="J20" s="85" t="s">
        <v>2958</v>
      </c>
      <c r="K20" s="85" t="s">
        <v>2959</v>
      </c>
      <c r="L20" s="85" t="s">
        <v>2906</v>
      </c>
      <c r="M20" s="85" t="s">
        <v>2979</v>
      </c>
    </row>
    <row r="21" ht="242.25" spans="1:13">
      <c r="A21" s="85" t="s">
        <v>2953</v>
      </c>
      <c r="B21" s="85" t="s">
        <v>2980</v>
      </c>
      <c r="C21" s="85" t="s">
        <v>2981</v>
      </c>
      <c r="D21" s="85" t="s">
        <v>2982</v>
      </c>
      <c r="E21" s="85" t="s">
        <v>2983</v>
      </c>
      <c r="F21" s="86">
        <v>35</v>
      </c>
      <c r="G21" s="86">
        <v>3</v>
      </c>
      <c r="H21" s="86">
        <v>105</v>
      </c>
      <c r="I21" s="86">
        <v>11063.49</v>
      </c>
      <c r="J21" s="85" t="s">
        <v>2958</v>
      </c>
      <c r="K21" s="85" t="s">
        <v>2959</v>
      </c>
      <c r="L21" s="85" t="s">
        <v>2906</v>
      </c>
      <c r="M21" s="85" t="s">
        <v>2984</v>
      </c>
    </row>
    <row r="22" ht="242.25" spans="1:13">
      <c r="A22" s="85" t="s">
        <v>2953</v>
      </c>
      <c r="B22" s="85" t="s">
        <v>2985</v>
      </c>
      <c r="C22" s="85" t="s">
        <v>2986</v>
      </c>
      <c r="D22" s="85" t="s">
        <v>2987</v>
      </c>
      <c r="E22" s="85" t="s">
        <v>2988</v>
      </c>
      <c r="F22" s="86">
        <v>3.95</v>
      </c>
      <c r="G22" s="86">
        <v>60</v>
      </c>
      <c r="H22" s="86">
        <v>237</v>
      </c>
      <c r="I22" s="86">
        <v>11063.49</v>
      </c>
      <c r="J22" s="85" t="s">
        <v>2958</v>
      </c>
      <c r="K22" s="85" t="s">
        <v>2959</v>
      </c>
      <c r="L22" s="85" t="s">
        <v>2906</v>
      </c>
      <c r="M22" s="85" t="s">
        <v>2989</v>
      </c>
    </row>
    <row r="23" ht="242.25" spans="1:13">
      <c r="A23" s="85" t="s">
        <v>2953</v>
      </c>
      <c r="B23" s="85" t="s">
        <v>2990</v>
      </c>
      <c r="C23" s="85" t="s">
        <v>2991</v>
      </c>
      <c r="D23" s="85" t="s">
        <v>2992</v>
      </c>
      <c r="E23" s="85" t="s">
        <v>1815</v>
      </c>
      <c r="F23" s="86">
        <v>46.5</v>
      </c>
      <c r="G23" s="86">
        <v>20</v>
      </c>
      <c r="H23" s="86">
        <v>930</v>
      </c>
      <c r="I23" s="86">
        <v>11063.49</v>
      </c>
      <c r="J23" s="85" t="s">
        <v>2958</v>
      </c>
      <c r="K23" s="85" t="s">
        <v>2959</v>
      </c>
      <c r="L23" s="85" t="s">
        <v>2906</v>
      </c>
      <c r="M23" s="85" t="s">
        <v>2993</v>
      </c>
    </row>
    <row r="24" ht="242.25" spans="1:13">
      <c r="A24" s="85" t="s">
        <v>2994</v>
      </c>
      <c r="B24" s="85" t="s">
        <v>2995</v>
      </c>
      <c r="C24" s="85" t="s">
        <v>2996</v>
      </c>
      <c r="D24" s="85" t="s">
        <v>2997</v>
      </c>
      <c r="E24" s="85" t="s">
        <v>2998</v>
      </c>
      <c r="F24" s="86">
        <v>14</v>
      </c>
      <c r="G24" s="86">
        <v>90</v>
      </c>
      <c r="H24" s="86">
        <v>1260</v>
      </c>
      <c r="I24" s="86">
        <v>2520</v>
      </c>
      <c r="J24" s="85" t="s">
        <v>2999</v>
      </c>
      <c r="K24" s="85" t="s">
        <v>2959</v>
      </c>
      <c r="L24" s="85" t="s">
        <v>2906</v>
      </c>
      <c r="M24" s="85" t="s">
        <v>3000</v>
      </c>
    </row>
    <row r="25" ht="242.25" spans="1:13">
      <c r="A25" s="85" t="s">
        <v>2961</v>
      </c>
      <c r="B25" s="85" t="s">
        <v>3001</v>
      </c>
      <c r="C25" s="85" t="s">
        <v>3002</v>
      </c>
      <c r="D25" s="85" t="s">
        <v>3003</v>
      </c>
      <c r="E25" s="85" t="s">
        <v>3002</v>
      </c>
      <c r="F25" s="86">
        <v>14.5</v>
      </c>
      <c r="G25" s="86">
        <v>20</v>
      </c>
      <c r="H25" s="86">
        <v>290</v>
      </c>
      <c r="I25" s="86">
        <v>7587.61</v>
      </c>
      <c r="J25" s="85" t="s">
        <v>2965</v>
      </c>
      <c r="K25" s="85" t="s">
        <v>2959</v>
      </c>
      <c r="L25" s="85" t="s">
        <v>2906</v>
      </c>
      <c r="M25" s="85" t="s">
        <v>3004</v>
      </c>
    </row>
    <row r="26" ht="242.25" spans="1:13">
      <c r="A26" s="85" t="s">
        <v>2961</v>
      </c>
      <c r="B26" s="85" t="s">
        <v>3005</v>
      </c>
      <c r="C26" s="85" t="s">
        <v>3006</v>
      </c>
      <c r="D26" s="85" t="s">
        <v>2973</v>
      </c>
      <c r="E26" s="85" t="s">
        <v>3006</v>
      </c>
      <c r="F26" s="86">
        <v>573.85</v>
      </c>
      <c r="G26" s="86">
        <v>5</v>
      </c>
      <c r="H26" s="86">
        <v>2869.25</v>
      </c>
      <c r="I26" s="86">
        <v>7587.61</v>
      </c>
      <c r="J26" s="85" t="s">
        <v>2965</v>
      </c>
      <c r="K26" s="85" t="s">
        <v>2959</v>
      </c>
      <c r="L26" s="85" t="s">
        <v>2906</v>
      </c>
      <c r="M26" s="85" t="s">
        <v>3007</v>
      </c>
    </row>
    <row r="27" ht="242.25" spans="1:13">
      <c r="A27" s="85" t="s">
        <v>2953</v>
      </c>
      <c r="B27" s="85" t="s">
        <v>3008</v>
      </c>
      <c r="C27" s="85" t="s">
        <v>3009</v>
      </c>
      <c r="D27" s="85" t="s">
        <v>2982</v>
      </c>
      <c r="E27" s="85" t="s">
        <v>3010</v>
      </c>
      <c r="F27" s="86">
        <v>21.8</v>
      </c>
      <c r="G27" s="86">
        <v>20</v>
      </c>
      <c r="H27" s="86">
        <v>436</v>
      </c>
      <c r="I27" s="86">
        <v>11063.49</v>
      </c>
      <c r="J27" s="85" t="s">
        <v>2958</v>
      </c>
      <c r="K27" s="85" t="s">
        <v>2959</v>
      </c>
      <c r="L27" s="85" t="s">
        <v>2906</v>
      </c>
      <c r="M27" s="85" t="s">
        <v>3011</v>
      </c>
    </row>
    <row r="28" ht="242.25" spans="1:13">
      <c r="A28" s="85" t="s">
        <v>2961</v>
      </c>
      <c r="B28" s="85" t="s">
        <v>3012</v>
      </c>
      <c r="C28" s="85" t="s">
        <v>3013</v>
      </c>
      <c r="D28" s="85" t="s">
        <v>3014</v>
      </c>
      <c r="E28" s="85" t="s">
        <v>3013</v>
      </c>
      <c r="F28" s="86">
        <v>17.8</v>
      </c>
      <c r="G28" s="86">
        <v>5</v>
      </c>
      <c r="H28" s="86">
        <v>89</v>
      </c>
      <c r="I28" s="86">
        <v>7587.61</v>
      </c>
      <c r="J28" s="85" t="s">
        <v>2965</v>
      </c>
      <c r="K28" s="85" t="s">
        <v>2959</v>
      </c>
      <c r="L28" s="85" t="s">
        <v>2906</v>
      </c>
      <c r="M28" s="85" t="s">
        <v>3015</v>
      </c>
    </row>
    <row r="29" ht="242.25" spans="1:13">
      <c r="A29" s="85" t="s">
        <v>2953</v>
      </c>
      <c r="B29" s="85" t="s">
        <v>3016</v>
      </c>
      <c r="C29" s="85" t="s">
        <v>3017</v>
      </c>
      <c r="D29" s="85" t="s">
        <v>3018</v>
      </c>
      <c r="E29" s="85" t="s">
        <v>3019</v>
      </c>
      <c r="F29" s="86">
        <v>880</v>
      </c>
      <c r="G29" s="86">
        <v>1</v>
      </c>
      <c r="H29" s="86">
        <v>880</v>
      </c>
      <c r="I29" s="86">
        <v>11063.49</v>
      </c>
      <c r="J29" s="85" t="s">
        <v>2958</v>
      </c>
      <c r="K29" s="85" t="s">
        <v>2959</v>
      </c>
      <c r="L29" s="85" t="s">
        <v>2906</v>
      </c>
      <c r="M29" s="85" t="s">
        <v>3020</v>
      </c>
    </row>
    <row r="30" ht="242.25" spans="1:13">
      <c r="A30" s="85" t="s">
        <v>3021</v>
      </c>
      <c r="B30" s="85" t="s">
        <v>3022</v>
      </c>
      <c r="C30" s="85" t="s">
        <v>3023</v>
      </c>
      <c r="D30" s="85" t="s">
        <v>3024</v>
      </c>
      <c r="E30" s="85" t="s">
        <v>1709</v>
      </c>
      <c r="F30" s="86">
        <v>12.43</v>
      </c>
      <c r="G30" s="86">
        <v>25</v>
      </c>
      <c r="H30" s="86">
        <v>310.75</v>
      </c>
      <c r="I30" s="86">
        <v>3028.4</v>
      </c>
      <c r="J30" s="85" t="s">
        <v>3025</v>
      </c>
      <c r="K30" s="85" t="s">
        <v>2959</v>
      </c>
      <c r="L30" s="85" t="s">
        <v>2906</v>
      </c>
      <c r="M30" s="85" t="s">
        <v>3026</v>
      </c>
    </row>
    <row r="31" ht="242.25" spans="1:13">
      <c r="A31" s="85" t="s">
        <v>3027</v>
      </c>
      <c r="B31" s="85" t="s">
        <v>3028</v>
      </c>
      <c r="C31" s="85" t="s">
        <v>3029</v>
      </c>
      <c r="D31" s="85" t="s">
        <v>3030</v>
      </c>
      <c r="E31" s="85" t="s">
        <v>1916</v>
      </c>
      <c r="F31" s="86">
        <v>65</v>
      </c>
      <c r="G31" s="86">
        <v>15</v>
      </c>
      <c r="H31" s="86">
        <v>975</v>
      </c>
      <c r="I31" s="86">
        <v>975</v>
      </c>
      <c r="J31" s="85" t="s">
        <v>3031</v>
      </c>
      <c r="K31" s="85" t="s">
        <v>2959</v>
      </c>
      <c r="L31" s="85" t="s">
        <v>2906</v>
      </c>
      <c r="M31" s="85" t="s">
        <v>3032</v>
      </c>
    </row>
    <row r="32" ht="242.25" spans="1:13">
      <c r="A32" s="85" t="s">
        <v>3021</v>
      </c>
      <c r="B32" s="85" t="s">
        <v>3033</v>
      </c>
      <c r="C32" s="85" t="s">
        <v>3034</v>
      </c>
      <c r="D32" s="85" t="s">
        <v>3024</v>
      </c>
      <c r="E32" s="85" t="s">
        <v>1709</v>
      </c>
      <c r="F32" s="86">
        <v>14.69</v>
      </c>
      <c r="G32" s="86">
        <v>150</v>
      </c>
      <c r="H32" s="86">
        <v>2203.5</v>
      </c>
      <c r="I32" s="86">
        <v>3028.4</v>
      </c>
      <c r="J32" s="85" t="s">
        <v>3025</v>
      </c>
      <c r="K32" s="85" t="s">
        <v>2959</v>
      </c>
      <c r="L32" s="85" t="s">
        <v>2906</v>
      </c>
      <c r="M32" s="85" t="s">
        <v>3035</v>
      </c>
    </row>
    <row r="33" ht="242.25" spans="1:13">
      <c r="A33" s="85" t="s">
        <v>2961</v>
      </c>
      <c r="B33" s="85" t="s">
        <v>3036</v>
      </c>
      <c r="C33" s="85" t="s">
        <v>3037</v>
      </c>
      <c r="D33" s="85" t="s">
        <v>2969</v>
      </c>
      <c r="E33" s="85" t="s">
        <v>3037</v>
      </c>
      <c r="F33" s="86">
        <v>4.49</v>
      </c>
      <c r="G33" s="86">
        <v>20</v>
      </c>
      <c r="H33" s="86">
        <v>89.8</v>
      </c>
      <c r="I33" s="86">
        <v>7587.61</v>
      </c>
      <c r="J33" s="85" t="s">
        <v>2965</v>
      </c>
      <c r="K33" s="85" t="s">
        <v>2959</v>
      </c>
      <c r="L33" s="85" t="s">
        <v>2906</v>
      </c>
      <c r="M33" s="85" t="s">
        <v>3038</v>
      </c>
    </row>
    <row r="34" ht="242.25" spans="1:13">
      <c r="A34" s="85" t="s">
        <v>3021</v>
      </c>
      <c r="B34" s="85" t="s">
        <v>3039</v>
      </c>
      <c r="C34" s="85" t="s">
        <v>3040</v>
      </c>
      <c r="D34" s="85" t="s">
        <v>3041</v>
      </c>
      <c r="E34" s="85" t="s">
        <v>3042</v>
      </c>
      <c r="F34" s="86">
        <v>15.82</v>
      </c>
      <c r="G34" s="86">
        <v>10</v>
      </c>
      <c r="H34" s="86">
        <v>158.2</v>
      </c>
      <c r="I34" s="86">
        <v>3028.4</v>
      </c>
      <c r="J34" s="85" t="s">
        <v>3025</v>
      </c>
      <c r="K34" s="85" t="s">
        <v>2959</v>
      </c>
      <c r="L34" s="85" t="s">
        <v>2906</v>
      </c>
      <c r="M34" s="85" t="s">
        <v>3043</v>
      </c>
    </row>
    <row r="35" ht="242.25" spans="1:13">
      <c r="A35" s="85" t="s">
        <v>2961</v>
      </c>
      <c r="B35" s="85" t="s">
        <v>3044</v>
      </c>
      <c r="C35" s="85" t="s">
        <v>3045</v>
      </c>
      <c r="D35" s="85" t="s">
        <v>3046</v>
      </c>
      <c r="E35" s="85" t="s">
        <v>3045</v>
      </c>
      <c r="F35" s="86">
        <v>41.31</v>
      </c>
      <c r="G35" s="86">
        <v>3</v>
      </c>
      <c r="H35" s="86">
        <v>123.93</v>
      </c>
      <c r="I35" s="86">
        <v>7587.61</v>
      </c>
      <c r="J35" s="85" t="s">
        <v>2965</v>
      </c>
      <c r="K35" s="85" t="s">
        <v>2959</v>
      </c>
      <c r="L35" s="85" t="s">
        <v>2906</v>
      </c>
      <c r="M35" s="85" t="s">
        <v>3047</v>
      </c>
    </row>
    <row r="36" ht="242.25" spans="1:13">
      <c r="A36" s="85" t="s">
        <v>2953</v>
      </c>
      <c r="B36" s="85" t="s">
        <v>3048</v>
      </c>
      <c r="C36" s="85" t="s">
        <v>3049</v>
      </c>
      <c r="D36" s="85" t="s">
        <v>2982</v>
      </c>
      <c r="E36" s="85" t="s">
        <v>3050</v>
      </c>
      <c r="F36" s="86">
        <v>4.5</v>
      </c>
      <c r="G36" s="86">
        <v>60</v>
      </c>
      <c r="H36" s="86">
        <v>270</v>
      </c>
      <c r="I36" s="86">
        <v>11063.49</v>
      </c>
      <c r="J36" s="85" t="s">
        <v>2958</v>
      </c>
      <c r="K36" s="85" t="s">
        <v>2959</v>
      </c>
      <c r="L36" s="85" t="s">
        <v>2906</v>
      </c>
      <c r="M36" s="85" t="s">
        <v>3051</v>
      </c>
    </row>
    <row r="37" ht="242.25" spans="1:13">
      <c r="A37" s="85" t="s">
        <v>2961</v>
      </c>
      <c r="B37" s="85" t="s">
        <v>3052</v>
      </c>
      <c r="C37" s="85" t="s">
        <v>3053</v>
      </c>
      <c r="D37" s="85" t="s">
        <v>3054</v>
      </c>
      <c r="E37" s="85" t="s">
        <v>3053</v>
      </c>
      <c r="F37" s="86">
        <v>28.04</v>
      </c>
      <c r="G37" s="86">
        <v>15</v>
      </c>
      <c r="H37" s="86">
        <v>420.6</v>
      </c>
      <c r="I37" s="86">
        <v>7587.61</v>
      </c>
      <c r="J37" s="85" t="s">
        <v>2965</v>
      </c>
      <c r="K37" s="85" t="s">
        <v>2959</v>
      </c>
      <c r="L37" s="85" t="s">
        <v>2906</v>
      </c>
      <c r="M37" s="85" t="s">
        <v>3055</v>
      </c>
    </row>
    <row r="38" ht="242.25" spans="1:13">
      <c r="A38" s="85" t="s">
        <v>2994</v>
      </c>
      <c r="B38" s="85" t="s">
        <v>3056</v>
      </c>
      <c r="C38" s="85" t="s">
        <v>3057</v>
      </c>
      <c r="D38" s="85" t="s">
        <v>2997</v>
      </c>
      <c r="E38" s="85" t="s">
        <v>2998</v>
      </c>
      <c r="F38" s="86">
        <v>14</v>
      </c>
      <c r="G38" s="86">
        <v>90</v>
      </c>
      <c r="H38" s="86">
        <v>1260</v>
      </c>
      <c r="I38" s="86">
        <v>2520</v>
      </c>
      <c r="J38" s="85" t="s">
        <v>2999</v>
      </c>
      <c r="K38" s="85" t="s">
        <v>2959</v>
      </c>
      <c r="L38" s="85" t="s">
        <v>2906</v>
      </c>
      <c r="M38" s="85" t="s">
        <v>3058</v>
      </c>
    </row>
    <row r="39" ht="242.25" spans="1:13">
      <c r="A39" s="85" t="s">
        <v>2961</v>
      </c>
      <c r="B39" s="85" t="s">
        <v>3059</v>
      </c>
      <c r="C39" s="85" t="s">
        <v>3060</v>
      </c>
      <c r="D39" s="85" t="s">
        <v>3061</v>
      </c>
      <c r="E39" s="85" t="s">
        <v>3060</v>
      </c>
      <c r="F39" s="86">
        <v>238.41</v>
      </c>
      <c r="G39" s="86">
        <v>3</v>
      </c>
      <c r="H39" s="86">
        <v>715.23</v>
      </c>
      <c r="I39" s="86">
        <v>7587.61</v>
      </c>
      <c r="J39" s="85" t="s">
        <v>2965</v>
      </c>
      <c r="K39" s="85" t="s">
        <v>2959</v>
      </c>
      <c r="L39" s="85" t="s">
        <v>2906</v>
      </c>
      <c r="M39" s="85" t="s">
        <v>3062</v>
      </c>
    </row>
    <row r="40" ht="242.25" spans="1:13">
      <c r="A40" s="85" t="s">
        <v>2953</v>
      </c>
      <c r="B40" s="85" t="s">
        <v>3063</v>
      </c>
      <c r="C40" s="85" t="s">
        <v>3064</v>
      </c>
      <c r="D40" s="85" t="s">
        <v>2992</v>
      </c>
      <c r="E40" s="85" t="s">
        <v>1815</v>
      </c>
      <c r="F40" s="86">
        <v>5.3</v>
      </c>
      <c r="G40" s="86">
        <v>650</v>
      </c>
      <c r="H40" s="86">
        <v>3445</v>
      </c>
      <c r="I40" s="86">
        <v>11063.49</v>
      </c>
      <c r="J40" s="85" t="s">
        <v>2958</v>
      </c>
      <c r="K40" s="85" t="s">
        <v>2959</v>
      </c>
      <c r="L40" s="85" t="s">
        <v>2906</v>
      </c>
      <c r="M40" s="85" t="s">
        <v>3065</v>
      </c>
    </row>
    <row r="41" ht="242.25" spans="1:13">
      <c r="A41" s="85" t="s">
        <v>3021</v>
      </c>
      <c r="B41" s="85" t="s">
        <v>3066</v>
      </c>
      <c r="C41" s="85" t="s">
        <v>3067</v>
      </c>
      <c r="D41" s="85" t="s">
        <v>3068</v>
      </c>
      <c r="E41" s="85" t="s">
        <v>3069</v>
      </c>
      <c r="F41" s="86">
        <v>16.95</v>
      </c>
      <c r="G41" s="86">
        <v>21</v>
      </c>
      <c r="H41" s="86">
        <v>355.95</v>
      </c>
      <c r="I41" s="86">
        <v>3028.4</v>
      </c>
      <c r="J41" s="85" t="s">
        <v>3025</v>
      </c>
      <c r="K41" s="85" t="s">
        <v>2959</v>
      </c>
      <c r="L41" s="85" t="s">
        <v>2906</v>
      </c>
      <c r="M41" s="85" t="s">
        <v>3070</v>
      </c>
    </row>
    <row r="42" ht="242.25" spans="1:13">
      <c r="A42" s="85" t="s">
        <v>3071</v>
      </c>
      <c r="B42" s="85" t="s">
        <v>3072</v>
      </c>
      <c r="C42" s="85" t="s">
        <v>3073</v>
      </c>
      <c r="D42" s="85" t="s">
        <v>3074</v>
      </c>
      <c r="E42" s="85" t="s">
        <v>1969</v>
      </c>
      <c r="F42" s="86">
        <v>445</v>
      </c>
      <c r="G42" s="86">
        <v>3</v>
      </c>
      <c r="H42" s="86">
        <v>1335</v>
      </c>
      <c r="I42" s="86">
        <v>1335</v>
      </c>
      <c r="J42" s="85" t="s">
        <v>3075</v>
      </c>
      <c r="K42" s="85" t="s">
        <v>2959</v>
      </c>
      <c r="L42" s="85" t="s">
        <v>2906</v>
      </c>
      <c r="M42" s="85" t="s">
        <v>3076</v>
      </c>
    </row>
    <row r="43" ht="242.25" spans="1:13">
      <c r="A43" s="85" t="s">
        <v>2953</v>
      </c>
      <c r="B43" s="85" t="s">
        <v>3077</v>
      </c>
      <c r="C43" s="85" t="s">
        <v>3078</v>
      </c>
      <c r="D43" s="85" t="s">
        <v>2992</v>
      </c>
      <c r="E43" s="85" t="s">
        <v>1815</v>
      </c>
      <c r="F43" s="86">
        <v>36</v>
      </c>
      <c r="G43" s="86">
        <v>40</v>
      </c>
      <c r="H43" s="86">
        <v>1440</v>
      </c>
      <c r="I43" s="86">
        <v>11063.49</v>
      </c>
      <c r="J43" s="85" t="s">
        <v>2958</v>
      </c>
      <c r="K43" s="85" t="s">
        <v>2959</v>
      </c>
      <c r="L43" s="85" t="s">
        <v>2906</v>
      </c>
      <c r="M43" s="85" t="s">
        <v>3079</v>
      </c>
    </row>
    <row r="44" ht="242.25" spans="1:13">
      <c r="A44" s="85" t="s">
        <v>2961</v>
      </c>
      <c r="B44" s="85" t="s">
        <v>3080</v>
      </c>
      <c r="C44" s="85" t="s">
        <v>3081</v>
      </c>
      <c r="D44" s="85" t="s">
        <v>3082</v>
      </c>
      <c r="E44" s="85" t="s">
        <v>3081</v>
      </c>
      <c r="F44" s="86">
        <v>41.31</v>
      </c>
      <c r="G44" s="86">
        <v>10</v>
      </c>
      <c r="H44" s="86">
        <v>413.1</v>
      </c>
      <c r="I44" s="86">
        <v>7587.61</v>
      </c>
      <c r="J44" s="85" t="s">
        <v>2965</v>
      </c>
      <c r="K44" s="85" t="s">
        <v>2959</v>
      </c>
      <c r="L44" s="85" t="s">
        <v>2906</v>
      </c>
      <c r="M44" s="85" t="s">
        <v>3083</v>
      </c>
    </row>
    <row r="45" ht="242.25" spans="1:13">
      <c r="A45" s="85" t="s">
        <v>2953</v>
      </c>
      <c r="B45" s="85" t="s">
        <v>3084</v>
      </c>
      <c r="C45" s="85" t="s">
        <v>3085</v>
      </c>
      <c r="D45" s="85" t="s">
        <v>3086</v>
      </c>
      <c r="E45" s="85" t="s">
        <v>3087</v>
      </c>
      <c r="F45" s="86">
        <v>25.61</v>
      </c>
      <c r="G45" s="86">
        <v>50</v>
      </c>
      <c r="H45" s="86">
        <v>1280.5</v>
      </c>
      <c r="I45" s="86">
        <v>11063.49</v>
      </c>
      <c r="J45" s="85" t="s">
        <v>2958</v>
      </c>
      <c r="K45" s="85" t="s">
        <v>2959</v>
      </c>
      <c r="L45" s="85" t="s">
        <v>2906</v>
      </c>
      <c r="M45" s="85" t="s">
        <v>3088</v>
      </c>
    </row>
    <row r="46" ht="242.25" spans="1:13">
      <c r="A46" s="85" t="s">
        <v>2953</v>
      </c>
      <c r="B46" s="85" t="s">
        <v>3089</v>
      </c>
      <c r="C46" s="85" t="s">
        <v>3090</v>
      </c>
      <c r="D46" s="85" t="s">
        <v>2992</v>
      </c>
      <c r="E46" s="85" t="s">
        <v>1815</v>
      </c>
      <c r="F46" s="86">
        <v>6.8</v>
      </c>
      <c r="G46" s="86">
        <v>100</v>
      </c>
      <c r="H46" s="86">
        <v>680</v>
      </c>
      <c r="I46" s="86">
        <v>11063.49</v>
      </c>
      <c r="J46" s="85" t="s">
        <v>2958</v>
      </c>
      <c r="K46" s="85" t="s">
        <v>2959</v>
      </c>
      <c r="L46" s="85" t="s">
        <v>2906</v>
      </c>
      <c r="M46" s="85" t="s">
        <v>3091</v>
      </c>
    </row>
    <row r="47" ht="242.25" spans="1:13">
      <c r="A47" s="85" t="s">
        <v>2953</v>
      </c>
      <c r="B47" s="85" t="s">
        <v>3092</v>
      </c>
      <c r="C47" s="85" t="s">
        <v>3093</v>
      </c>
      <c r="D47" s="85" t="s">
        <v>2982</v>
      </c>
      <c r="E47" s="85" t="s">
        <v>3094</v>
      </c>
      <c r="F47" s="86">
        <v>13.23</v>
      </c>
      <c r="G47" s="86">
        <v>20</v>
      </c>
      <c r="H47" s="86">
        <v>264.6</v>
      </c>
      <c r="I47" s="86">
        <v>11063.49</v>
      </c>
      <c r="J47" s="85" t="s">
        <v>2958</v>
      </c>
      <c r="K47" s="85" t="s">
        <v>2959</v>
      </c>
      <c r="L47" s="85" t="s">
        <v>2906</v>
      </c>
      <c r="M47" s="85" t="s">
        <v>3095</v>
      </c>
    </row>
    <row r="48" ht="242.25" spans="1:13">
      <c r="A48" s="85" t="s">
        <v>2953</v>
      </c>
      <c r="B48" s="85" t="s">
        <v>3096</v>
      </c>
      <c r="C48" s="85" t="s">
        <v>3097</v>
      </c>
      <c r="D48" s="85" t="s">
        <v>2982</v>
      </c>
      <c r="E48" s="85" t="s">
        <v>3098</v>
      </c>
      <c r="F48" s="86">
        <v>22.89</v>
      </c>
      <c r="G48" s="86">
        <v>8</v>
      </c>
      <c r="H48" s="86">
        <v>183.12</v>
      </c>
      <c r="I48" s="86">
        <v>11063.49</v>
      </c>
      <c r="J48" s="85" t="s">
        <v>2958</v>
      </c>
      <c r="K48" s="85" t="s">
        <v>2959</v>
      </c>
      <c r="L48" s="85" t="s">
        <v>2906</v>
      </c>
      <c r="M48" s="85" t="s">
        <v>3099</v>
      </c>
    </row>
    <row r="49" ht="242.25" spans="1:13">
      <c r="A49" s="85" t="s">
        <v>3100</v>
      </c>
      <c r="B49" s="85" t="s">
        <v>2909</v>
      </c>
      <c r="C49" s="85" t="s">
        <v>2910</v>
      </c>
      <c r="D49" s="85" t="s">
        <v>2911</v>
      </c>
      <c r="E49" s="85" t="s">
        <v>2912</v>
      </c>
      <c r="F49" s="86">
        <v>14505</v>
      </c>
      <c r="G49" s="86">
        <v>1</v>
      </c>
      <c r="H49" s="86">
        <v>14505</v>
      </c>
      <c r="I49" s="86">
        <v>14505</v>
      </c>
      <c r="J49" s="85" t="s">
        <v>2935</v>
      </c>
      <c r="K49" s="85" t="s">
        <v>3101</v>
      </c>
      <c r="L49" s="85" t="s">
        <v>2906</v>
      </c>
      <c r="M49" s="85" t="s">
        <v>3102</v>
      </c>
    </row>
    <row r="50" ht="256.5" spans="1:13">
      <c r="A50" s="85" t="s">
        <v>3103</v>
      </c>
      <c r="B50" s="85" t="s">
        <v>3104</v>
      </c>
      <c r="C50" s="85" t="s">
        <v>3105</v>
      </c>
      <c r="D50" s="85" t="s">
        <v>3106</v>
      </c>
      <c r="E50" s="85" t="s">
        <v>3107</v>
      </c>
      <c r="F50" s="86">
        <v>2400</v>
      </c>
      <c r="G50" s="86">
        <v>1</v>
      </c>
      <c r="H50" s="86">
        <v>2400</v>
      </c>
      <c r="I50" s="86">
        <v>2400</v>
      </c>
      <c r="J50" s="85" t="s">
        <v>3108</v>
      </c>
      <c r="K50" s="85" t="s">
        <v>3109</v>
      </c>
      <c r="L50" s="85" t="s">
        <v>2906</v>
      </c>
      <c r="M50" s="85" t="s">
        <v>3110</v>
      </c>
    </row>
    <row r="51" ht="242.25" spans="1:13">
      <c r="A51" s="85" t="s">
        <v>3111</v>
      </c>
      <c r="B51" s="85" t="s">
        <v>2909</v>
      </c>
      <c r="C51" s="85" t="s">
        <v>2910</v>
      </c>
      <c r="D51" s="85" t="s">
        <v>2911</v>
      </c>
      <c r="E51" s="85" t="s">
        <v>2912</v>
      </c>
      <c r="F51" s="86">
        <v>7187.93</v>
      </c>
      <c r="G51" s="86">
        <v>1</v>
      </c>
      <c r="H51" s="86">
        <v>7187.93</v>
      </c>
      <c r="I51" s="86">
        <v>7187.93</v>
      </c>
      <c r="J51" s="85" t="s">
        <v>3112</v>
      </c>
      <c r="K51" s="85" t="s">
        <v>3113</v>
      </c>
      <c r="L51" s="85" t="s">
        <v>2906</v>
      </c>
      <c r="M51" s="85" t="s">
        <v>3114</v>
      </c>
    </row>
    <row r="52" ht="242.25" spans="1:13">
      <c r="A52" s="85" t="s">
        <v>3115</v>
      </c>
      <c r="B52" s="85" t="s">
        <v>3116</v>
      </c>
      <c r="C52" s="85" t="s">
        <v>3117</v>
      </c>
      <c r="D52" s="85" t="s">
        <v>3118</v>
      </c>
      <c r="E52" s="85" t="s">
        <v>3117</v>
      </c>
      <c r="F52" s="86">
        <v>49400</v>
      </c>
      <c r="G52" s="86">
        <v>1</v>
      </c>
      <c r="H52" s="86">
        <v>49400</v>
      </c>
      <c r="I52" s="86">
        <v>49400</v>
      </c>
      <c r="J52" s="85" t="s">
        <v>3119</v>
      </c>
      <c r="K52" s="85" t="s">
        <v>3120</v>
      </c>
      <c r="L52" s="85" t="s">
        <v>2906</v>
      </c>
      <c r="M52" s="85" t="s">
        <v>3121</v>
      </c>
    </row>
    <row r="53" ht="242.25" spans="1:13">
      <c r="A53" s="85" t="s">
        <v>3122</v>
      </c>
      <c r="B53" s="85" t="s">
        <v>3123</v>
      </c>
      <c r="C53" s="85" t="s">
        <v>3124</v>
      </c>
      <c r="D53" s="85" t="s">
        <v>3125</v>
      </c>
      <c r="E53" s="85" t="s">
        <v>3124</v>
      </c>
      <c r="F53" s="86">
        <v>69199</v>
      </c>
      <c r="G53" s="86">
        <v>1</v>
      </c>
      <c r="H53" s="86">
        <v>69199</v>
      </c>
      <c r="I53" s="86">
        <v>69199</v>
      </c>
      <c r="J53" s="85" t="s">
        <v>3126</v>
      </c>
      <c r="K53" s="85" t="s">
        <v>3127</v>
      </c>
      <c r="L53" s="85" t="s">
        <v>2906</v>
      </c>
      <c r="M53" s="85" t="s">
        <v>3128</v>
      </c>
    </row>
    <row r="54" ht="242.25" spans="1:13">
      <c r="A54" s="85" t="s">
        <v>3129</v>
      </c>
      <c r="B54" s="85" t="s">
        <v>2901</v>
      </c>
      <c r="C54" s="85" t="s">
        <v>2902</v>
      </c>
      <c r="D54" s="85" t="s">
        <v>2903</v>
      </c>
      <c r="E54" s="85" t="s">
        <v>2902</v>
      </c>
      <c r="F54" s="86">
        <v>824</v>
      </c>
      <c r="G54" s="86">
        <v>1</v>
      </c>
      <c r="H54" s="86">
        <v>824</v>
      </c>
      <c r="I54" s="86">
        <v>824</v>
      </c>
      <c r="J54" s="85" t="s">
        <v>3130</v>
      </c>
      <c r="K54" s="85" t="s">
        <v>3131</v>
      </c>
      <c r="L54" s="85" t="s">
        <v>2906</v>
      </c>
      <c r="M54" s="85" t="s">
        <v>3132</v>
      </c>
    </row>
    <row r="55" ht="242.25" spans="1:13">
      <c r="A55" s="85" t="s">
        <v>3133</v>
      </c>
      <c r="B55" s="85" t="s">
        <v>2909</v>
      </c>
      <c r="C55" s="85" t="s">
        <v>2910</v>
      </c>
      <c r="D55" s="85" t="s">
        <v>2911</v>
      </c>
      <c r="E55" s="85" t="s">
        <v>2912</v>
      </c>
      <c r="F55" s="86">
        <v>29713.2</v>
      </c>
      <c r="G55" s="86">
        <v>1</v>
      </c>
      <c r="H55" s="86">
        <v>29713.2</v>
      </c>
      <c r="I55" s="86">
        <v>29713.2</v>
      </c>
      <c r="J55" s="85" t="s">
        <v>2938</v>
      </c>
      <c r="K55" s="85" t="s">
        <v>3134</v>
      </c>
      <c r="L55" s="85" t="s">
        <v>2906</v>
      </c>
      <c r="M55" s="85" t="s">
        <v>3135</v>
      </c>
    </row>
    <row r="56" ht="242.25" spans="1:13">
      <c r="A56" s="85" t="s">
        <v>3136</v>
      </c>
      <c r="B56" s="85" t="s">
        <v>2909</v>
      </c>
      <c r="C56" s="85" t="s">
        <v>2910</v>
      </c>
      <c r="D56" s="85" t="s">
        <v>2911</v>
      </c>
      <c r="E56" s="85" t="s">
        <v>2912</v>
      </c>
      <c r="F56" s="86">
        <v>34494.2</v>
      </c>
      <c r="G56" s="86">
        <v>1</v>
      </c>
      <c r="H56" s="86">
        <v>34494.2</v>
      </c>
      <c r="I56" s="86">
        <v>34494.2</v>
      </c>
      <c r="J56" s="85" t="s">
        <v>2932</v>
      </c>
      <c r="K56" s="85" t="s">
        <v>3134</v>
      </c>
      <c r="L56" s="85" t="s">
        <v>2906</v>
      </c>
      <c r="M56" s="85" t="s">
        <v>3137</v>
      </c>
    </row>
    <row r="57" ht="242.25" spans="1:13">
      <c r="A57" s="85" t="s">
        <v>3138</v>
      </c>
      <c r="B57" s="85" t="s">
        <v>2909</v>
      </c>
      <c r="C57" s="85" t="s">
        <v>2910</v>
      </c>
      <c r="D57" s="85" t="s">
        <v>2911</v>
      </c>
      <c r="E57" s="85" t="s">
        <v>2912</v>
      </c>
      <c r="F57" s="86">
        <v>5680</v>
      </c>
      <c r="G57" s="86">
        <v>1</v>
      </c>
      <c r="H57" s="86">
        <v>5680</v>
      </c>
      <c r="I57" s="86">
        <v>5680</v>
      </c>
      <c r="J57" s="85" t="s">
        <v>2928</v>
      </c>
      <c r="K57" s="85" t="s">
        <v>3134</v>
      </c>
      <c r="L57" s="85" t="s">
        <v>2906</v>
      </c>
      <c r="M57" s="85" t="s">
        <v>3139</v>
      </c>
    </row>
    <row r="58" ht="242.25" spans="1:13">
      <c r="A58" s="85" t="s">
        <v>3140</v>
      </c>
      <c r="B58" s="85" t="s">
        <v>2909</v>
      </c>
      <c r="C58" s="85" t="s">
        <v>2910</v>
      </c>
      <c r="D58" s="85" t="s">
        <v>2911</v>
      </c>
      <c r="E58" s="85" t="s">
        <v>2912</v>
      </c>
      <c r="F58" s="86">
        <v>4501.9</v>
      </c>
      <c r="G58" s="86">
        <v>1</v>
      </c>
      <c r="H58" s="86">
        <v>4501.9</v>
      </c>
      <c r="I58" s="86">
        <v>4501.9</v>
      </c>
      <c r="J58" s="85" t="s">
        <v>2935</v>
      </c>
      <c r="K58" s="85" t="s">
        <v>3134</v>
      </c>
      <c r="L58" s="85" t="s">
        <v>2906</v>
      </c>
      <c r="M58" s="85" t="s">
        <v>3141</v>
      </c>
    </row>
    <row r="59" ht="242.25" spans="1:13">
      <c r="A59" s="85" t="s">
        <v>3142</v>
      </c>
      <c r="B59" s="85" t="s">
        <v>2909</v>
      </c>
      <c r="C59" s="85" t="s">
        <v>2910</v>
      </c>
      <c r="D59" s="85" t="s">
        <v>2911</v>
      </c>
      <c r="E59" s="85" t="s">
        <v>2912</v>
      </c>
      <c r="F59" s="86">
        <v>10782.5</v>
      </c>
      <c r="G59" s="86">
        <v>1</v>
      </c>
      <c r="H59" s="86">
        <v>10782.5</v>
      </c>
      <c r="I59" s="86">
        <v>10782.5</v>
      </c>
      <c r="J59" s="85" t="s">
        <v>2935</v>
      </c>
      <c r="K59" s="85" t="s">
        <v>3143</v>
      </c>
      <c r="L59" s="85" t="s">
        <v>2906</v>
      </c>
      <c r="M59" s="85" t="s">
        <v>3144</v>
      </c>
    </row>
    <row r="60" ht="242.25" spans="1:13">
      <c r="A60" s="85" t="s">
        <v>3145</v>
      </c>
      <c r="B60" s="85" t="s">
        <v>3146</v>
      </c>
      <c r="C60" s="85" t="s">
        <v>3147</v>
      </c>
      <c r="D60" s="85" t="s">
        <v>3148</v>
      </c>
      <c r="E60" s="85" t="s">
        <v>3147</v>
      </c>
      <c r="F60" s="86">
        <v>4.41</v>
      </c>
      <c r="G60" s="86">
        <v>30</v>
      </c>
      <c r="H60" s="86">
        <v>132.3</v>
      </c>
      <c r="I60" s="86">
        <v>770.31</v>
      </c>
      <c r="J60" s="85" t="s">
        <v>2965</v>
      </c>
      <c r="K60" s="85" t="s">
        <v>3149</v>
      </c>
      <c r="L60" s="85" t="s">
        <v>2906</v>
      </c>
      <c r="M60" s="85" t="s">
        <v>3150</v>
      </c>
    </row>
    <row r="61" ht="327.75" spans="1:13">
      <c r="A61" s="85" t="s">
        <v>3145</v>
      </c>
      <c r="B61" s="85" t="s">
        <v>3151</v>
      </c>
      <c r="C61" s="85" t="s">
        <v>3152</v>
      </c>
      <c r="D61" s="85" t="s">
        <v>3153</v>
      </c>
      <c r="E61" s="85" t="s">
        <v>3152</v>
      </c>
      <c r="F61" s="86">
        <v>49.57</v>
      </c>
      <c r="G61" s="86">
        <v>3</v>
      </c>
      <c r="H61" s="86">
        <v>148.71</v>
      </c>
      <c r="I61" s="86">
        <v>770.31</v>
      </c>
      <c r="J61" s="85" t="s">
        <v>2965</v>
      </c>
      <c r="K61" s="85" t="s">
        <v>3149</v>
      </c>
      <c r="L61" s="85" t="s">
        <v>2906</v>
      </c>
      <c r="M61" s="85" t="s">
        <v>3154</v>
      </c>
    </row>
    <row r="62" ht="242.25" spans="1:13">
      <c r="A62" s="85" t="s">
        <v>3155</v>
      </c>
      <c r="B62" s="85" t="s">
        <v>3156</v>
      </c>
      <c r="C62" s="85" t="s">
        <v>3157</v>
      </c>
      <c r="D62" s="85" t="s">
        <v>3041</v>
      </c>
      <c r="E62" s="85" t="s">
        <v>3158</v>
      </c>
      <c r="F62" s="86">
        <v>339</v>
      </c>
      <c r="G62" s="86">
        <v>1</v>
      </c>
      <c r="H62" s="86">
        <v>339</v>
      </c>
      <c r="I62" s="86">
        <v>975.78</v>
      </c>
      <c r="J62" s="85" t="s">
        <v>3025</v>
      </c>
      <c r="K62" s="85" t="s">
        <v>3149</v>
      </c>
      <c r="L62" s="85" t="s">
        <v>2906</v>
      </c>
      <c r="M62" s="85" t="s">
        <v>3159</v>
      </c>
    </row>
    <row r="63" ht="242.25" spans="1:13">
      <c r="A63" s="85" t="s">
        <v>3145</v>
      </c>
      <c r="B63" s="85" t="s">
        <v>3160</v>
      </c>
      <c r="C63" s="85" t="s">
        <v>3161</v>
      </c>
      <c r="D63" s="85" t="s">
        <v>3046</v>
      </c>
      <c r="E63" s="85" t="s">
        <v>3161</v>
      </c>
      <c r="F63" s="86">
        <v>29.49</v>
      </c>
      <c r="G63" s="86">
        <v>10</v>
      </c>
      <c r="H63" s="86">
        <v>294.9</v>
      </c>
      <c r="I63" s="86">
        <v>770.31</v>
      </c>
      <c r="J63" s="85" t="s">
        <v>2965</v>
      </c>
      <c r="K63" s="85" t="s">
        <v>3149</v>
      </c>
      <c r="L63" s="85" t="s">
        <v>2906</v>
      </c>
      <c r="M63" s="85" t="s">
        <v>3162</v>
      </c>
    </row>
    <row r="64" ht="242.25" spans="1:13">
      <c r="A64" s="85" t="s">
        <v>3145</v>
      </c>
      <c r="B64" s="85" t="s">
        <v>3163</v>
      </c>
      <c r="C64" s="85" t="s">
        <v>3164</v>
      </c>
      <c r="D64" s="85" t="s">
        <v>3165</v>
      </c>
      <c r="E64" s="85" t="s">
        <v>3164</v>
      </c>
      <c r="F64" s="86">
        <v>24.3</v>
      </c>
      <c r="G64" s="86">
        <v>8</v>
      </c>
      <c r="H64" s="86">
        <v>194.4</v>
      </c>
      <c r="I64" s="86">
        <v>770.31</v>
      </c>
      <c r="J64" s="85" t="s">
        <v>2965</v>
      </c>
      <c r="K64" s="85" t="s">
        <v>3149</v>
      </c>
      <c r="L64" s="85" t="s">
        <v>2906</v>
      </c>
      <c r="M64" s="85" t="s">
        <v>3166</v>
      </c>
    </row>
    <row r="65" ht="242.25" spans="1:13">
      <c r="A65" s="85" t="s">
        <v>3155</v>
      </c>
      <c r="B65" s="85" t="s">
        <v>3167</v>
      </c>
      <c r="C65" s="85" t="s">
        <v>3168</v>
      </c>
      <c r="D65" s="85" t="s">
        <v>3169</v>
      </c>
      <c r="E65" s="85" t="s">
        <v>3170</v>
      </c>
      <c r="F65" s="86">
        <v>0.21</v>
      </c>
      <c r="G65" s="86">
        <v>200</v>
      </c>
      <c r="H65" s="86">
        <v>42</v>
      </c>
      <c r="I65" s="86">
        <v>975.78</v>
      </c>
      <c r="J65" s="85" t="s">
        <v>3025</v>
      </c>
      <c r="K65" s="85" t="s">
        <v>3149</v>
      </c>
      <c r="L65" s="85" t="s">
        <v>2906</v>
      </c>
      <c r="M65" s="85" t="s">
        <v>3171</v>
      </c>
    </row>
    <row r="66" ht="242.25" spans="1:13">
      <c r="A66" s="85" t="s">
        <v>3155</v>
      </c>
      <c r="B66" s="85" t="s">
        <v>3172</v>
      </c>
      <c r="C66" s="85" t="s">
        <v>3173</v>
      </c>
      <c r="D66" s="85" t="s">
        <v>3041</v>
      </c>
      <c r="E66" s="85" t="s">
        <v>3158</v>
      </c>
      <c r="F66" s="86">
        <v>77.89</v>
      </c>
      <c r="G66" s="86">
        <v>6</v>
      </c>
      <c r="H66" s="86">
        <v>467.34</v>
      </c>
      <c r="I66" s="86">
        <v>975.78</v>
      </c>
      <c r="J66" s="85" t="s">
        <v>3025</v>
      </c>
      <c r="K66" s="85" t="s">
        <v>3149</v>
      </c>
      <c r="L66" s="85" t="s">
        <v>2906</v>
      </c>
      <c r="M66" s="85" t="s">
        <v>3174</v>
      </c>
    </row>
    <row r="67" ht="242.25" spans="1:13">
      <c r="A67" s="85" t="s">
        <v>3155</v>
      </c>
      <c r="B67" s="85" t="s">
        <v>3175</v>
      </c>
      <c r="C67" s="85" t="s">
        <v>3176</v>
      </c>
      <c r="D67" s="85" t="s">
        <v>3177</v>
      </c>
      <c r="E67" s="85" t="s">
        <v>3178</v>
      </c>
      <c r="F67" s="86">
        <v>10.62</v>
      </c>
      <c r="G67" s="86">
        <v>12</v>
      </c>
      <c r="H67" s="86">
        <v>127.44</v>
      </c>
      <c r="I67" s="86">
        <v>975.78</v>
      </c>
      <c r="J67" s="85" t="s">
        <v>3025</v>
      </c>
      <c r="K67" s="85" t="s">
        <v>3149</v>
      </c>
      <c r="L67" s="85" t="s">
        <v>2906</v>
      </c>
      <c r="M67" s="85" t="s">
        <v>3179</v>
      </c>
    </row>
    <row r="68" ht="242.25" spans="1:13">
      <c r="A68" s="85" t="s">
        <v>3180</v>
      </c>
      <c r="B68" s="85" t="s">
        <v>3181</v>
      </c>
      <c r="C68" s="85" t="s">
        <v>3182</v>
      </c>
      <c r="D68" s="85" t="s">
        <v>3183</v>
      </c>
      <c r="E68" s="85" t="s">
        <v>3182</v>
      </c>
      <c r="F68" s="86">
        <v>10.68</v>
      </c>
      <c r="G68" s="86">
        <v>1</v>
      </c>
      <c r="H68" s="86">
        <v>10.68</v>
      </c>
      <c r="I68" s="86">
        <v>3935.39</v>
      </c>
      <c r="J68" s="85" t="s">
        <v>2965</v>
      </c>
      <c r="K68" s="85" t="s">
        <v>3184</v>
      </c>
      <c r="L68" s="85" t="s">
        <v>2906</v>
      </c>
      <c r="M68" s="85" t="s">
        <v>3185</v>
      </c>
    </row>
    <row r="69" ht="242.25" spans="1:13">
      <c r="A69" s="85" t="s">
        <v>3186</v>
      </c>
      <c r="B69" s="85" t="s">
        <v>3187</v>
      </c>
      <c r="C69" s="85" t="s">
        <v>3188</v>
      </c>
      <c r="D69" s="85" t="s">
        <v>3189</v>
      </c>
      <c r="E69" s="85" t="s">
        <v>3190</v>
      </c>
      <c r="F69" s="86">
        <v>233</v>
      </c>
      <c r="G69" s="86">
        <v>2</v>
      </c>
      <c r="H69" s="86">
        <v>466</v>
      </c>
      <c r="I69" s="86">
        <v>9674.11</v>
      </c>
      <c r="J69" s="85" t="s">
        <v>2958</v>
      </c>
      <c r="K69" s="85" t="s">
        <v>3184</v>
      </c>
      <c r="L69" s="85" t="s">
        <v>2906</v>
      </c>
      <c r="M69" s="85" t="s">
        <v>3191</v>
      </c>
    </row>
    <row r="70" ht="242.25" spans="1:13">
      <c r="A70" s="85" t="s">
        <v>3180</v>
      </c>
      <c r="B70" s="85" t="s">
        <v>3192</v>
      </c>
      <c r="C70" s="85" t="s">
        <v>3193</v>
      </c>
      <c r="D70" s="85" t="s">
        <v>3153</v>
      </c>
      <c r="E70" s="85" t="s">
        <v>3193</v>
      </c>
      <c r="F70" s="86">
        <v>25.53</v>
      </c>
      <c r="G70" s="86">
        <v>1</v>
      </c>
      <c r="H70" s="86">
        <v>25.53</v>
      </c>
      <c r="I70" s="86">
        <v>3935.39</v>
      </c>
      <c r="J70" s="85" t="s">
        <v>2965</v>
      </c>
      <c r="K70" s="85" t="s">
        <v>3184</v>
      </c>
      <c r="L70" s="85" t="s">
        <v>2906</v>
      </c>
      <c r="M70" s="85" t="s">
        <v>3194</v>
      </c>
    </row>
    <row r="71" ht="242.25" spans="1:13">
      <c r="A71" s="85" t="s">
        <v>3180</v>
      </c>
      <c r="B71" s="85" t="s">
        <v>3195</v>
      </c>
      <c r="C71" s="85" t="s">
        <v>3196</v>
      </c>
      <c r="D71" s="85" t="s">
        <v>3197</v>
      </c>
      <c r="E71" s="85" t="s">
        <v>3196</v>
      </c>
      <c r="F71" s="86">
        <v>14.07</v>
      </c>
      <c r="G71" s="86">
        <v>7</v>
      </c>
      <c r="H71" s="86">
        <v>98.49</v>
      </c>
      <c r="I71" s="86">
        <v>3935.39</v>
      </c>
      <c r="J71" s="85" t="s">
        <v>2965</v>
      </c>
      <c r="K71" s="85" t="s">
        <v>3184</v>
      </c>
      <c r="L71" s="85" t="s">
        <v>2906</v>
      </c>
      <c r="M71" s="85" t="s">
        <v>3198</v>
      </c>
    </row>
    <row r="72" ht="242.25" spans="1:13">
      <c r="A72" s="85" t="s">
        <v>3186</v>
      </c>
      <c r="B72" s="85" t="s">
        <v>3199</v>
      </c>
      <c r="C72" s="85" t="s">
        <v>3200</v>
      </c>
      <c r="D72" s="85" t="s">
        <v>3201</v>
      </c>
      <c r="E72" s="85" t="s">
        <v>3202</v>
      </c>
      <c r="F72" s="86">
        <v>15.68</v>
      </c>
      <c r="G72" s="86">
        <v>2</v>
      </c>
      <c r="H72" s="86">
        <v>31.36</v>
      </c>
      <c r="I72" s="86">
        <v>9674.11</v>
      </c>
      <c r="J72" s="85" t="s">
        <v>2958</v>
      </c>
      <c r="K72" s="85" t="s">
        <v>3184</v>
      </c>
      <c r="L72" s="85" t="s">
        <v>2906</v>
      </c>
      <c r="M72" s="85" t="s">
        <v>3203</v>
      </c>
    </row>
    <row r="73" ht="242.25" spans="1:13">
      <c r="A73" s="85" t="s">
        <v>3180</v>
      </c>
      <c r="B73" s="85" t="s">
        <v>3204</v>
      </c>
      <c r="C73" s="85" t="s">
        <v>3205</v>
      </c>
      <c r="D73" s="85" t="s">
        <v>3054</v>
      </c>
      <c r="E73" s="85" t="s">
        <v>3205</v>
      </c>
      <c r="F73" s="86">
        <v>40.38</v>
      </c>
      <c r="G73" s="86">
        <v>5</v>
      </c>
      <c r="H73" s="86">
        <v>201.9</v>
      </c>
      <c r="I73" s="86">
        <v>3935.39</v>
      </c>
      <c r="J73" s="85" t="s">
        <v>2965</v>
      </c>
      <c r="K73" s="85" t="s">
        <v>3184</v>
      </c>
      <c r="L73" s="85" t="s">
        <v>2906</v>
      </c>
      <c r="M73" s="85" t="s">
        <v>3206</v>
      </c>
    </row>
    <row r="74" ht="242.25" spans="1:13">
      <c r="A74" s="85" t="s">
        <v>3186</v>
      </c>
      <c r="B74" s="85" t="s">
        <v>3207</v>
      </c>
      <c r="C74" s="85" t="s">
        <v>3208</v>
      </c>
      <c r="D74" s="85" t="s">
        <v>3201</v>
      </c>
      <c r="E74" s="85" t="s">
        <v>3209</v>
      </c>
      <c r="F74" s="86">
        <v>153</v>
      </c>
      <c r="G74" s="86">
        <v>2</v>
      </c>
      <c r="H74" s="86">
        <v>306</v>
      </c>
      <c r="I74" s="86">
        <v>9674.11</v>
      </c>
      <c r="J74" s="85" t="s">
        <v>2958</v>
      </c>
      <c r="K74" s="85" t="s">
        <v>3184</v>
      </c>
      <c r="L74" s="85" t="s">
        <v>2906</v>
      </c>
      <c r="M74" s="85" t="s">
        <v>3210</v>
      </c>
    </row>
    <row r="75" ht="242.25" spans="1:13">
      <c r="A75" s="85" t="s">
        <v>3180</v>
      </c>
      <c r="B75" s="85" t="s">
        <v>3211</v>
      </c>
      <c r="C75" s="85" t="s">
        <v>3212</v>
      </c>
      <c r="D75" s="85" t="s">
        <v>3213</v>
      </c>
      <c r="E75" s="85" t="s">
        <v>3212</v>
      </c>
      <c r="F75" s="86">
        <v>35.1</v>
      </c>
      <c r="G75" s="86">
        <v>1</v>
      </c>
      <c r="H75" s="86">
        <v>35.1</v>
      </c>
      <c r="I75" s="86">
        <v>3935.39</v>
      </c>
      <c r="J75" s="85" t="s">
        <v>2965</v>
      </c>
      <c r="K75" s="85" t="s">
        <v>3184</v>
      </c>
      <c r="L75" s="85" t="s">
        <v>2906</v>
      </c>
      <c r="M75" s="85" t="s">
        <v>3214</v>
      </c>
    </row>
    <row r="76" ht="242.25" spans="1:13">
      <c r="A76" s="85" t="s">
        <v>3186</v>
      </c>
      <c r="B76" s="85" t="s">
        <v>3215</v>
      </c>
      <c r="C76" s="85" t="s">
        <v>3216</v>
      </c>
      <c r="D76" s="85" t="s">
        <v>3201</v>
      </c>
      <c r="E76" s="85" t="s">
        <v>3217</v>
      </c>
      <c r="F76" s="86">
        <v>37</v>
      </c>
      <c r="G76" s="86">
        <v>20</v>
      </c>
      <c r="H76" s="86">
        <v>740</v>
      </c>
      <c r="I76" s="86">
        <v>9674.11</v>
      </c>
      <c r="J76" s="85" t="s">
        <v>2958</v>
      </c>
      <c r="K76" s="85" t="s">
        <v>3184</v>
      </c>
      <c r="L76" s="85" t="s">
        <v>2906</v>
      </c>
      <c r="M76" s="85" t="s">
        <v>3218</v>
      </c>
    </row>
    <row r="77" ht="242.25" spans="1:13">
      <c r="A77" s="85" t="s">
        <v>3186</v>
      </c>
      <c r="B77" s="85" t="s">
        <v>2990</v>
      </c>
      <c r="C77" s="85" t="s">
        <v>2991</v>
      </c>
      <c r="D77" s="85" t="s">
        <v>2992</v>
      </c>
      <c r="E77" s="85" t="s">
        <v>1815</v>
      </c>
      <c r="F77" s="86">
        <v>46.5</v>
      </c>
      <c r="G77" s="86">
        <v>32</v>
      </c>
      <c r="H77" s="86">
        <v>1488</v>
      </c>
      <c r="I77" s="86">
        <v>9674.11</v>
      </c>
      <c r="J77" s="85" t="s">
        <v>2958</v>
      </c>
      <c r="K77" s="85" t="s">
        <v>3184</v>
      </c>
      <c r="L77" s="85" t="s">
        <v>2906</v>
      </c>
      <c r="M77" s="85" t="s">
        <v>3219</v>
      </c>
    </row>
    <row r="78" ht="242.25" spans="1:13">
      <c r="A78" s="85" t="s">
        <v>3186</v>
      </c>
      <c r="B78" s="85" t="s">
        <v>3220</v>
      </c>
      <c r="C78" s="85" t="s">
        <v>3221</v>
      </c>
      <c r="D78" s="85" t="s">
        <v>3201</v>
      </c>
      <c r="E78" s="85" t="s">
        <v>3222</v>
      </c>
      <c r="F78" s="86">
        <v>6.75</v>
      </c>
      <c r="G78" s="86">
        <v>3</v>
      </c>
      <c r="H78" s="86">
        <v>20.25</v>
      </c>
      <c r="I78" s="86">
        <v>9674.11</v>
      </c>
      <c r="J78" s="85" t="s">
        <v>2958</v>
      </c>
      <c r="K78" s="85" t="s">
        <v>3184</v>
      </c>
      <c r="L78" s="85" t="s">
        <v>2906</v>
      </c>
      <c r="M78" s="85" t="s">
        <v>3223</v>
      </c>
    </row>
    <row r="79" ht="242.25" spans="1:13">
      <c r="A79" s="85" t="s">
        <v>3186</v>
      </c>
      <c r="B79" s="85" t="s">
        <v>3224</v>
      </c>
      <c r="C79" s="85" t="s">
        <v>3225</v>
      </c>
      <c r="D79" s="85" t="s">
        <v>3201</v>
      </c>
      <c r="E79" s="85" t="s">
        <v>3226</v>
      </c>
      <c r="F79" s="86">
        <v>6.3</v>
      </c>
      <c r="G79" s="86">
        <v>3</v>
      </c>
      <c r="H79" s="86">
        <v>18.9</v>
      </c>
      <c r="I79" s="86">
        <v>9674.11</v>
      </c>
      <c r="J79" s="85" t="s">
        <v>2958</v>
      </c>
      <c r="K79" s="85" t="s">
        <v>3184</v>
      </c>
      <c r="L79" s="85" t="s">
        <v>2906</v>
      </c>
      <c r="M79" s="85" t="s">
        <v>3227</v>
      </c>
    </row>
    <row r="80" ht="242.25" spans="1:13">
      <c r="A80" s="85" t="s">
        <v>3180</v>
      </c>
      <c r="B80" s="85" t="s">
        <v>3228</v>
      </c>
      <c r="C80" s="85" t="s">
        <v>3229</v>
      </c>
      <c r="D80" s="85" t="s">
        <v>3230</v>
      </c>
      <c r="E80" s="85" t="s">
        <v>3229</v>
      </c>
      <c r="F80" s="86">
        <v>6.26</v>
      </c>
      <c r="G80" s="86">
        <v>10</v>
      </c>
      <c r="H80" s="86">
        <v>62.6</v>
      </c>
      <c r="I80" s="86">
        <v>3935.39</v>
      </c>
      <c r="J80" s="85" t="s">
        <v>2965</v>
      </c>
      <c r="K80" s="85" t="s">
        <v>3184</v>
      </c>
      <c r="L80" s="85" t="s">
        <v>2906</v>
      </c>
      <c r="M80" s="85" t="s">
        <v>3231</v>
      </c>
    </row>
    <row r="81" ht="242.25" spans="1:13">
      <c r="A81" s="85" t="s">
        <v>3180</v>
      </c>
      <c r="B81" s="85" t="s">
        <v>3232</v>
      </c>
      <c r="C81" s="85" t="s">
        <v>3233</v>
      </c>
      <c r="D81" s="85" t="s">
        <v>3213</v>
      </c>
      <c r="E81" s="85" t="s">
        <v>3233</v>
      </c>
      <c r="F81" s="86">
        <v>6.13</v>
      </c>
      <c r="G81" s="86">
        <v>1</v>
      </c>
      <c r="H81" s="86">
        <v>6.13</v>
      </c>
      <c r="I81" s="86">
        <v>3935.39</v>
      </c>
      <c r="J81" s="85" t="s">
        <v>2965</v>
      </c>
      <c r="K81" s="85" t="s">
        <v>3184</v>
      </c>
      <c r="L81" s="85" t="s">
        <v>2906</v>
      </c>
      <c r="M81" s="85" t="s">
        <v>3234</v>
      </c>
    </row>
    <row r="82" ht="242.25" spans="1:13">
      <c r="A82" s="85" t="s">
        <v>3186</v>
      </c>
      <c r="B82" s="85" t="s">
        <v>3092</v>
      </c>
      <c r="C82" s="85" t="s">
        <v>3093</v>
      </c>
      <c r="D82" s="85" t="s">
        <v>2982</v>
      </c>
      <c r="E82" s="85" t="s">
        <v>3094</v>
      </c>
      <c r="F82" s="86">
        <v>13.23</v>
      </c>
      <c r="G82" s="86">
        <v>20</v>
      </c>
      <c r="H82" s="86">
        <v>264.6</v>
      </c>
      <c r="I82" s="86">
        <v>9674.11</v>
      </c>
      <c r="J82" s="85" t="s">
        <v>2958</v>
      </c>
      <c r="K82" s="85" t="s">
        <v>3184</v>
      </c>
      <c r="L82" s="85" t="s">
        <v>2906</v>
      </c>
      <c r="M82" s="85" t="s">
        <v>3235</v>
      </c>
    </row>
    <row r="83" ht="242.25" spans="1:13">
      <c r="A83" s="85" t="s">
        <v>3180</v>
      </c>
      <c r="B83" s="85" t="s">
        <v>3236</v>
      </c>
      <c r="C83" s="85" t="s">
        <v>3237</v>
      </c>
      <c r="D83" s="85" t="s">
        <v>3183</v>
      </c>
      <c r="E83" s="85" t="s">
        <v>3237</v>
      </c>
      <c r="F83" s="86">
        <v>55.72</v>
      </c>
      <c r="G83" s="86">
        <v>4</v>
      </c>
      <c r="H83" s="86">
        <v>222.88</v>
      </c>
      <c r="I83" s="86">
        <v>3935.39</v>
      </c>
      <c r="J83" s="85" t="s">
        <v>2965</v>
      </c>
      <c r="K83" s="85" t="s">
        <v>3184</v>
      </c>
      <c r="L83" s="85" t="s">
        <v>2906</v>
      </c>
      <c r="M83" s="85" t="s">
        <v>3238</v>
      </c>
    </row>
    <row r="84" ht="242.25" spans="1:13">
      <c r="A84" s="85" t="s">
        <v>3186</v>
      </c>
      <c r="B84" s="85" t="s">
        <v>3239</v>
      </c>
      <c r="C84" s="85" t="s">
        <v>3240</v>
      </c>
      <c r="D84" s="85" t="s">
        <v>3241</v>
      </c>
      <c r="E84" s="85" t="s">
        <v>3242</v>
      </c>
      <c r="F84" s="86">
        <v>4.5</v>
      </c>
      <c r="G84" s="86">
        <v>4</v>
      </c>
      <c r="H84" s="86">
        <v>18</v>
      </c>
      <c r="I84" s="86">
        <v>9674.11</v>
      </c>
      <c r="J84" s="85" t="s">
        <v>2958</v>
      </c>
      <c r="K84" s="85" t="s">
        <v>3184</v>
      </c>
      <c r="L84" s="85" t="s">
        <v>2906</v>
      </c>
      <c r="M84" s="85" t="s">
        <v>3243</v>
      </c>
    </row>
    <row r="85" ht="242.25" spans="1:13">
      <c r="A85" s="85" t="s">
        <v>3186</v>
      </c>
      <c r="B85" s="85" t="s">
        <v>2975</v>
      </c>
      <c r="C85" s="85" t="s">
        <v>2976</v>
      </c>
      <c r="D85" s="85" t="s">
        <v>2977</v>
      </c>
      <c r="E85" s="85" t="s">
        <v>2978</v>
      </c>
      <c r="F85" s="86">
        <v>8.64</v>
      </c>
      <c r="G85" s="86">
        <v>200</v>
      </c>
      <c r="H85" s="86">
        <v>1728</v>
      </c>
      <c r="I85" s="86">
        <v>9674.11</v>
      </c>
      <c r="J85" s="85" t="s">
        <v>2958</v>
      </c>
      <c r="K85" s="85" t="s">
        <v>3184</v>
      </c>
      <c r="L85" s="85" t="s">
        <v>2906</v>
      </c>
      <c r="M85" s="85" t="s">
        <v>3244</v>
      </c>
    </row>
    <row r="86" ht="242.25" spans="1:13">
      <c r="A86" s="85" t="s">
        <v>3186</v>
      </c>
      <c r="B86" s="85" t="s">
        <v>3245</v>
      </c>
      <c r="C86" s="85" t="s">
        <v>3246</v>
      </c>
      <c r="D86" s="85" t="s">
        <v>3241</v>
      </c>
      <c r="E86" s="85" t="s">
        <v>3247</v>
      </c>
      <c r="F86" s="86">
        <v>13.25</v>
      </c>
      <c r="G86" s="86">
        <v>4</v>
      </c>
      <c r="H86" s="86">
        <v>53</v>
      </c>
      <c r="I86" s="86">
        <v>9674.11</v>
      </c>
      <c r="J86" s="85" t="s">
        <v>2958</v>
      </c>
      <c r="K86" s="85" t="s">
        <v>3184</v>
      </c>
      <c r="L86" s="85" t="s">
        <v>2906</v>
      </c>
      <c r="M86" s="85" t="s">
        <v>3248</v>
      </c>
    </row>
    <row r="87" ht="242.25" spans="1:13">
      <c r="A87" s="85" t="s">
        <v>3180</v>
      </c>
      <c r="B87" s="85" t="s">
        <v>3249</v>
      </c>
      <c r="C87" s="85" t="s">
        <v>3250</v>
      </c>
      <c r="D87" s="85" t="s">
        <v>3251</v>
      </c>
      <c r="E87" s="85" t="s">
        <v>3250</v>
      </c>
      <c r="F87" s="86">
        <v>5.75</v>
      </c>
      <c r="G87" s="86">
        <v>50</v>
      </c>
      <c r="H87" s="86">
        <v>287.5</v>
      </c>
      <c r="I87" s="86">
        <v>3935.39</v>
      </c>
      <c r="J87" s="85" t="s">
        <v>2965</v>
      </c>
      <c r="K87" s="85" t="s">
        <v>3184</v>
      </c>
      <c r="L87" s="85" t="s">
        <v>2906</v>
      </c>
      <c r="M87" s="85" t="s">
        <v>3252</v>
      </c>
    </row>
    <row r="88" ht="242.25" spans="1:13">
      <c r="A88" s="85" t="s">
        <v>3180</v>
      </c>
      <c r="B88" s="85" t="s">
        <v>3253</v>
      </c>
      <c r="C88" s="85" t="s">
        <v>3254</v>
      </c>
      <c r="D88" s="85" t="s">
        <v>3255</v>
      </c>
      <c r="E88" s="85" t="s">
        <v>3254</v>
      </c>
      <c r="F88" s="86">
        <v>30.98</v>
      </c>
      <c r="G88" s="86">
        <v>5</v>
      </c>
      <c r="H88" s="86">
        <v>154.9</v>
      </c>
      <c r="I88" s="86">
        <v>3935.39</v>
      </c>
      <c r="J88" s="85" t="s">
        <v>2965</v>
      </c>
      <c r="K88" s="85" t="s">
        <v>3184</v>
      </c>
      <c r="L88" s="85" t="s">
        <v>2906</v>
      </c>
      <c r="M88" s="85" t="s">
        <v>3256</v>
      </c>
    </row>
    <row r="89" ht="242.25" spans="1:13">
      <c r="A89" s="85" t="s">
        <v>3186</v>
      </c>
      <c r="B89" s="85" t="s">
        <v>3089</v>
      </c>
      <c r="C89" s="85" t="s">
        <v>3090</v>
      </c>
      <c r="D89" s="85" t="s">
        <v>2992</v>
      </c>
      <c r="E89" s="85" t="s">
        <v>1815</v>
      </c>
      <c r="F89" s="86">
        <v>6.8</v>
      </c>
      <c r="G89" s="86">
        <v>200</v>
      </c>
      <c r="H89" s="86">
        <v>1360</v>
      </c>
      <c r="I89" s="86">
        <v>9674.11</v>
      </c>
      <c r="J89" s="85" t="s">
        <v>2958</v>
      </c>
      <c r="K89" s="85" t="s">
        <v>3184</v>
      </c>
      <c r="L89" s="85" t="s">
        <v>2906</v>
      </c>
      <c r="M89" s="85" t="s">
        <v>3257</v>
      </c>
    </row>
    <row r="90" ht="242.25" spans="1:13">
      <c r="A90" s="85" t="s">
        <v>3258</v>
      </c>
      <c r="B90" s="85" t="s">
        <v>3259</v>
      </c>
      <c r="C90" s="85" t="s">
        <v>3260</v>
      </c>
      <c r="D90" s="85" t="s">
        <v>3261</v>
      </c>
      <c r="E90" s="85" t="s">
        <v>3262</v>
      </c>
      <c r="F90" s="86">
        <v>23.8</v>
      </c>
      <c r="G90" s="86">
        <v>50</v>
      </c>
      <c r="H90" s="86">
        <v>1190</v>
      </c>
      <c r="I90" s="86">
        <v>1190</v>
      </c>
      <c r="J90" s="85" t="s">
        <v>2999</v>
      </c>
      <c r="K90" s="85" t="s">
        <v>3184</v>
      </c>
      <c r="L90" s="85" t="s">
        <v>2906</v>
      </c>
      <c r="M90" s="85" t="s">
        <v>3263</v>
      </c>
    </row>
    <row r="91" ht="242.25" spans="1:13">
      <c r="A91" s="85" t="s">
        <v>3180</v>
      </c>
      <c r="B91" s="85" t="s">
        <v>3264</v>
      </c>
      <c r="C91" s="85" t="s">
        <v>3265</v>
      </c>
      <c r="D91" s="85" t="s">
        <v>3014</v>
      </c>
      <c r="E91" s="85" t="s">
        <v>3265</v>
      </c>
      <c r="F91" s="86">
        <v>80.46</v>
      </c>
      <c r="G91" s="86">
        <v>1</v>
      </c>
      <c r="H91" s="86">
        <v>80.46</v>
      </c>
      <c r="I91" s="86">
        <v>3935.39</v>
      </c>
      <c r="J91" s="85" t="s">
        <v>2965</v>
      </c>
      <c r="K91" s="85" t="s">
        <v>3184</v>
      </c>
      <c r="L91" s="85" t="s">
        <v>2906</v>
      </c>
      <c r="M91" s="85" t="s">
        <v>3266</v>
      </c>
    </row>
    <row r="92" ht="242.25" spans="1:13">
      <c r="A92" s="85" t="s">
        <v>3180</v>
      </c>
      <c r="B92" s="85" t="s">
        <v>3267</v>
      </c>
      <c r="C92" s="85" t="s">
        <v>3268</v>
      </c>
      <c r="D92" s="85" t="s">
        <v>3269</v>
      </c>
      <c r="E92" s="85" t="s">
        <v>3268</v>
      </c>
      <c r="F92" s="86">
        <v>26.01</v>
      </c>
      <c r="G92" s="86">
        <v>4</v>
      </c>
      <c r="H92" s="86">
        <v>104.04</v>
      </c>
      <c r="I92" s="86">
        <v>3935.39</v>
      </c>
      <c r="J92" s="85" t="s">
        <v>2965</v>
      </c>
      <c r="K92" s="85" t="s">
        <v>3184</v>
      </c>
      <c r="L92" s="85" t="s">
        <v>2906</v>
      </c>
      <c r="M92" s="85" t="s">
        <v>3270</v>
      </c>
    </row>
    <row r="93" ht="242.25" spans="1:13">
      <c r="A93" s="85" t="s">
        <v>3180</v>
      </c>
      <c r="B93" s="85" t="s">
        <v>3271</v>
      </c>
      <c r="C93" s="85" t="s">
        <v>3272</v>
      </c>
      <c r="D93" s="85" t="s">
        <v>3273</v>
      </c>
      <c r="E93" s="85" t="s">
        <v>3272</v>
      </c>
      <c r="F93" s="86">
        <v>4.06</v>
      </c>
      <c r="G93" s="86">
        <v>24</v>
      </c>
      <c r="H93" s="86">
        <v>97.44</v>
      </c>
      <c r="I93" s="86">
        <v>3935.39</v>
      </c>
      <c r="J93" s="85" t="s">
        <v>2965</v>
      </c>
      <c r="K93" s="85" t="s">
        <v>3184</v>
      </c>
      <c r="L93" s="85" t="s">
        <v>2906</v>
      </c>
      <c r="M93" s="85" t="s">
        <v>3274</v>
      </c>
    </row>
    <row r="94" ht="327.75" spans="1:13">
      <c r="A94" s="85" t="s">
        <v>3180</v>
      </c>
      <c r="B94" s="85" t="s">
        <v>3275</v>
      </c>
      <c r="C94" s="85" t="s">
        <v>3276</v>
      </c>
      <c r="D94" s="85" t="s">
        <v>3153</v>
      </c>
      <c r="E94" s="85" t="s">
        <v>3276</v>
      </c>
      <c r="F94" s="86">
        <v>128.39</v>
      </c>
      <c r="G94" s="86">
        <v>6</v>
      </c>
      <c r="H94" s="86">
        <v>770.34</v>
      </c>
      <c r="I94" s="86">
        <v>3935.39</v>
      </c>
      <c r="J94" s="85" t="s">
        <v>2965</v>
      </c>
      <c r="K94" s="85" t="s">
        <v>3184</v>
      </c>
      <c r="L94" s="85" t="s">
        <v>2906</v>
      </c>
      <c r="M94" s="85" t="s">
        <v>3277</v>
      </c>
    </row>
    <row r="95" ht="242.25" spans="1:13">
      <c r="A95" s="85" t="s">
        <v>3180</v>
      </c>
      <c r="B95" s="85" t="s">
        <v>3278</v>
      </c>
      <c r="C95" s="85" t="s">
        <v>3279</v>
      </c>
      <c r="D95" s="85" t="s">
        <v>3230</v>
      </c>
      <c r="E95" s="85" t="s">
        <v>3279</v>
      </c>
      <c r="F95" s="86">
        <v>5.87</v>
      </c>
      <c r="G95" s="86">
        <v>5</v>
      </c>
      <c r="H95" s="86">
        <v>29.35</v>
      </c>
      <c r="I95" s="86">
        <v>3935.39</v>
      </c>
      <c r="J95" s="85" t="s">
        <v>2965</v>
      </c>
      <c r="K95" s="85" t="s">
        <v>3184</v>
      </c>
      <c r="L95" s="85" t="s">
        <v>2906</v>
      </c>
      <c r="M95" s="85" t="s">
        <v>3280</v>
      </c>
    </row>
    <row r="96" ht="242.25" spans="1:13">
      <c r="A96" s="85" t="s">
        <v>3186</v>
      </c>
      <c r="B96" s="85" t="s">
        <v>3063</v>
      </c>
      <c r="C96" s="85" t="s">
        <v>3064</v>
      </c>
      <c r="D96" s="85" t="s">
        <v>2992</v>
      </c>
      <c r="E96" s="85" t="s">
        <v>1815</v>
      </c>
      <c r="F96" s="86">
        <v>5.3</v>
      </c>
      <c r="G96" s="86">
        <v>600</v>
      </c>
      <c r="H96" s="86">
        <v>3180</v>
      </c>
      <c r="I96" s="86">
        <v>9674.11</v>
      </c>
      <c r="J96" s="85" t="s">
        <v>2958</v>
      </c>
      <c r="K96" s="85" t="s">
        <v>3184</v>
      </c>
      <c r="L96" s="85" t="s">
        <v>2906</v>
      </c>
      <c r="M96" s="85" t="s">
        <v>3281</v>
      </c>
    </row>
    <row r="97" ht="242.25" spans="1:13">
      <c r="A97" s="85" t="s">
        <v>3180</v>
      </c>
      <c r="B97" s="85" t="s">
        <v>3282</v>
      </c>
      <c r="C97" s="85" t="s">
        <v>3283</v>
      </c>
      <c r="D97" s="85" t="s">
        <v>3284</v>
      </c>
      <c r="E97" s="85" t="s">
        <v>3283</v>
      </c>
      <c r="F97" s="86">
        <v>13.5</v>
      </c>
      <c r="G97" s="86">
        <v>10</v>
      </c>
      <c r="H97" s="86">
        <v>135</v>
      </c>
      <c r="I97" s="86">
        <v>3935.39</v>
      </c>
      <c r="J97" s="85" t="s">
        <v>2965</v>
      </c>
      <c r="K97" s="85" t="s">
        <v>3184</v>
      </c>
      <c r="L97" s="85" t="s">
        <v>2906</v>
      </c>
      <c r="M97" s="85" t="s">
        <v>3285</v>
      </c>
    </row>
    <row r="98" ht="242.25" spans="1:13">
      <c r="A98" s="85" t="s">
        <v>3180</v>
      </c>
      <c r="B98" s="85" t="s">
        <v>3286</v>
      </c>
      <c r="C98" s="85" t="s">
        <v>3287</v>
      </c>
      <c r="D98" s="85" t="s">
        <v>3288</v>
      </c>
      <c r="E98" s="85" t="s">
        <v>3287</v>
      </c>
      <c r="F98" s="86">
        <v>98.1</v>
      </c>
      <c r="G98" s="86">
        <v>4</v>
      </c>
      <c r="H98" s="86">
        <v>392.4</v>
      </c>
      <c r="I98" s="86">
        <v>3935.39</v>
      </c>
      <c r="J98" s="85" t="s">
        <v>2965</v>
      </c>
      <c r="K98" s="85" t="s">
        <v>3184</v>
      </c>
      <c r="L98" s="85" t="s">
        <v>2906</v>
      </c>
      <c r="M98" s="85" t="s">
        <v>3289</v>
      </c>
    </row>
    <row r="99" ht="242.25" spans="1:13">
      <c r="A99" s="85" t="s">
        <v>3180</v>
      </c>
      <c r="B99" s="85" t="s">
        <v>3290</v>
      </c>
      <c r="C99" s="85" t="s">
        <v>3291</v>
      </c>
      <c r="D99" s="85" t="s">
        <v>2973</v>
      </c>
      <c r="E99" s="85" t="s">
        <v>3291</v>
      </c>
      <c r="F99" s="86">
        <v>244.13</v>
      </c>
      <c r="G99" s="86">
        <v>5</v>
      </c>
      <c r="H99" s="86">
        <v>1220.65</v>
      </c>
      <c r="I99" s="86">
        <v>3935.39</v>
      </c>
      <c r="J99" s="85" t="s">
        <v>2965</v>
      </c>
      <c r="K99" s="85" t="s">
        <v>3184</v>
      </c>
      <c r="L99" s="85" t="s">
        <v>2906</v>
      </c>
      <c r="M99" s="85" t="s">
        <v>3292</v>
      </c>
    </row>
    <row r="100" ht="242.25" spans="1:13">
      <c r="A100" s="85" t="s">
        <v>3293</v>
      </c>
      <c r="B100" s="85" t="s">
        <v>2909</v>
      </c>
      <c r="C100" s="85" t="s">
        <v>2910</v>
      </c>
      <c r="D100" s="85" t="s">
        <v>2911</v>
      </c>
      <c r="E100" s="85" t="s">
        <v>2912</v>
      </c>
      <c r="F100" s="86">
        <v>45880</v>
      </c>
      <c r="G100" s="86">
        <v>1</v>
      </c>
      <c r="H100" s="86">
        <v>45880</v>
      </c>
      <c r="I100" s="86">
        <v>45880</v>
      </c>
      <c r="J100" s="85" t="s">
        <v>3294</v>
      </c>
      <c r="K100" s="85" t="s">
        <v>3295</v>
      </c>
      <c r="L100" s="85" t="s">
        <v>2906</v>
      </c>
      <c r="M100" s="85" t="s">
        <v>3296</v>
      </c>
    </row>
    <row r="101" ht="242.25" spans="1:13">
      <c r="A101" s="85" t="s">
        <v>3297</v>
      </c>
      <c r="B101" s="85" t="s">
        <v>2909</v>
      </c>
      <c r="C101" s="85" t="s">
        <v>2910</v>
      </c>
      <c r="D101" s="85" t="s">
        <v>2911</v>
      </c>
      <c r="E101" s="85" t="s">
        <v>2912</v>
      </c>
      <c r="F101" s="86">
        <v>14545.3</v>
      </c>
      <c r="G101" s="86">
        <v>1</v>
      </c>
      <c r="H101" s="86">
        <v>14545.3</v>
      </c>
      <c r="I101" s="86">
        <v>14545.3</v>
      </c>
      <c r="J101" s="85" t="s">
        <v>2935</v>
      </c>
      <c r="K101" s="85" t="s">
        <v>3298</v>
      </c>
      <c r="L101" s="85" t="s">
        <v>2906</v>
      </c>
      <c r="M101" s="85" t="s">
        <v>3299</v>
      </c>
    </row>
    <row r="102" ht="242.25" spans="1:13">
      <c r="A102" s="85" t="s">
        <v>3300</v>
      </c>
      <c r="B102" s="85" t="s">
        <v>2909</v>
      </c>
      <c r="C102" s="85" t="s">
        <v>2910</v>
      </c>
      <c r="D102" s="85" t="s">
        <v>2911</v>
      </c>
      <c r="E102" s="85" t="s">
        <v>2912</v>
      </c>
      <c r="F102" s="86">
        <v>15783.96</v>
      </c>
      <c r="G102" s="86">
        <v>1</v>
      </c>
      <c r="H102" s="86">
        <v>15783.96</v>
      </c>
      <c r="I102" s="86">
        <v>15783.96</v>
      </c>
      <c r="J102" s="85" t="s">
        <v>2935</v>
      </c>
      <c r="K102" s="85" t="s">
        <v>3301</v>
      </c>
      <c r="L102" s="85" t="s">
        <v>2906</v>
      </c>
      <c r="M102" s="85" t="s">
        <v>3302</v>
      </c>
    </row>
    <row r="103" ht="242.25" spans="1:13">
      <c r="A103" s="85" t="s">
        <v>3303</v>
      </c>
      <c r="B103" s="85" t="s">
        <v>2909</v>
      </c>
      <c r="C103" s="85" t="s">
        <v>2910</v>
      </c>
      <c r="D103" s="85" t="s">
        <v>2911</v>
      </c>
      <c r="E103" s="85" t="s">
        <v>2912</v>
      </c>
      <c r="F103" s="86">
        <v>2600</v>
      </c>
      <c r="G103" s="86">
        <v>1</v>
      </c>
      <c r="H103" s="86">
        <v>2600</v>
      </c>
      <c r="I103" s="86">
        <v>2600</v>
      </c>
      <c r="J103" s="85" t="s">
        <v>3304</v>
      </c>
      <c r="K103" s="85" t="s">
        <v>3301</v>
      </c>
      <c r="L103" s="85" t="s">
        <v>2906</v>
      </c>
      <c r="M103" s="85" t="s">
        <v>3305</v>
      </c>
    </row>
    <row r="104" ht="242.25" spans="1:13">
      <c r="A104" s="85" t="s">
        <v>3306</v>
      </c>
      <c r="B104" s="85" t="s">
        <v>2909</v>
      </c>
      <c r="C104" s="85" t="s">
        <v>2910</v>
      </c>
      <c r="D104" s="85" t="s">
        <v>2911</v>
      </c>
      <c r="E104" s="85" t="s">
        <v>2912</v>
      </c>
      <c r="F104" s="86">
        <v>1130</v>
      </c>
      <c r="G104" s="86">
        <v>1</v>
      </c>
      <c r="H104" s="86">
        <v>1130</v>
      </c>
      <c r="I104" s="86">
        <v>1130</v>
      </c>
      <c r="J104" s="85" t="s">
        <v>3307</v>
      </c>
      <c r="K104" s="85" t="s">
        <v>3301</v>
      </c>
      <c r="L104" s="85" t="s">
        <v>2906</v>
      </c>
      <c r="M104" s="85" t="s">
        <v>3308</v>
      </c>
    </row>
    <row r="105" ht="242.25" spans="1:13">
      <c r="A105" s="85" t="s">
        <v>3309</v>
      </c>
      <c r="B105" s="85" t="s">
        <v>2909</v>
      </c>
      <c r="C105" s="85" t="s">
        <v>2910</v>
      </c>
      <c r="D105" s="85" t="s">
        <v>2911</v>
      </c>
      <c r="E105" s="85" t="s">
        <v>2912</v>
      </c>
      <c r="F105" s="86">
        <v>31177.45</v>
      </c>
      <c r="G105" s="86">
        <v>1</v>
      </c>
      <c r="H105" s="86">
        <v>31177.45</v>
      </c>
      <c r="I105" s="86">
        <v>31177.45</v>
      </c>
      <c r="J105" s="85" t="s">
        <v>2932</v>
      </c>
      <c r="K105" s="85" t="s">
        <v>3301</v>
      </c>
      <c r="L105" s="85" t="s">
        <v>2906</v>
      </c>
      <c r="M105" s="85" t="s">
        <v>3310</v>
      </c>
    </row>
    <row r="106" ht="242.25" spans="1:13">
      <c r="A106" s="85" t="s">
        <v>3311</v>
      </c>
      <c r="B106" s="85" t="s">
        <v>2909</v>
      </c>
      <c r="C106" s="85" t="s">
        <v>2910</v>
      </c>
      <c r="D106" s="85" t="s">
        <v>2911</v>
      </c>
      <c r="E106" s="85" t="s">
        <v>2912</v>
      </c>
      <c r="F106" s="86">
        <v>30817.6</v>
      </c>
      <c r="G106" s="86">
        <v>1</v>
      </c>
      <c r="H106" s="86">
        <v>30817.6</v>
      </c>
      <c r="I106" s="86">
        <v>30817.6</v>
      </c>
      <c r="J106" s="85" t="s">
        <v>2938</v>
      </c>
      <c r="K106" s="85" t="s">
        <v>3301</v>
      </c>
      <c r="L106" s="85" t="s">
        <v>2906</v>
      </c>
      <c r="M106" s="85" t="s">
        <v>3312</v>
      </c>
    </row>
    <row r="107" ht="242.25" spans="1:13">
      <c r="A107" s="85" t="s">
        <v>3313</v>
      </c>
      <c r="B107" s="85" t="s">
        <v>2909</v>
      </c>
      <c r="C107" s="85" t="s">
        <v>2910</v>
      </c>
      <c r="D107" s="85" t="s">
        <v>2911</v>
      </c>
      <c r="E107" s="85" t="s">
        <v>2912</v>
      </c>
      <c r="F107" s="86">
        <v>6750</v>
      </c>
      <c r="G107" s="86">
        <v>1</v>
      </c>
      <c r="H107" s="86">
        <v>6750</v>
      </c>
      <c r="I107" s="86">
        <v>6750</v>
      </c>
      <c r="J107" s="85" t="s">
        <v>3314</v>
      </c>
      <c r="K107" s="85" t="s">
        <v>3301</v>
      </c>
      <c r="L107" s="85" t="s">
        <v>2906</v>
      </c>
      <c r="M107" s="85" t="s">
        <v>3315</v>
      </c>
    </row>
    <row r="108" ht="242.25" spans="1:13">
      <c r="A108" s="85" t="s">
        <v>3316</v>
      </c>
      <c r="B108" s="85" t="s">
        <v>2909</v>
      </c>
      <c r="C108" s="85" t="s">
        <v>2910</v>
      </c>
      <c r="D108" s="85" t="s">
        <v>2911</v>
      </c>
      <c r="E108" s="85" t="s">
        <v>2912</v>
      </c>
      <c r="F108" s="86">
        <v>30391.23</v>
      </c>
      <c r="G108" s="86">
        <v>1</v>
      </c>
      <c r="H108" s="86">
        <v>30391.23</v>
      </c>
      <c r="I108" s="86">
        <v>30391.23</v>
      </c>
      <c r="J108" s="85" t="s">
        <v>2928</v>
      </c>
      <c r="K108" s="85" t="s">
        <v>3317</v>
      </c>
      <c r="L108" s="85" t="s">
        <v>2906</v>
      </c>
      <c r="M108" s="85" t="s">
        <v>3318</v>
      </c>
    </row>
    <row r="109" ht="242.25" spans="1:13">
      <c r="A109" s="85" t="s">
        <v>3319</v>
      </c>
      <c r="B109" s="85" t="s">
        <v>3063</v>
      </c>
      <c r="C109" s="85" t="s">
        <v>3064</v>
      </c>
      <c r="D109" s="85" t="s">
        <v>2992</v>
      </c>
      <c r="E109" s="85" t="s">
        <v>1815</v>
      </c>
      <c r="F109" s="86">
        <v>5.3</v>
      </c>
      <c r="G109" s="86">
        <v>590</v>
      </c>
      <c r="H109" s="86">
        <v>3127</v>
      </c>
      <c r="I109" s="86">
        <v>10943.6</v>
      </c>
      <c r="J109" s="85" t="s">
        <v>2958</v>
      </c>
      <c r="K109" s="85" t="s">
        <v>3320</v>
      </c>
      <c r="L109" s="85" t="s">
        <v>2906</v>
      </c>
      <c r="M109" s="85" t="s">
        <v>3321</v>
      </c>
    </row>
    <row r="110" ht="242.25" spans="1:13">
      <c r="A110" s="85" t="s">
        <v>3322</v>
      </c>
      <c r="B110" s="85" t="s">
        <v>3323</v>
      </c>
      <c r="C110" s="85" t="s">
        <v>3324</v>
      </c>
      <c r="D110" s="85" t="s">
        <v>3325</v>
      </c>
      <c r="E110" s="85" t="s">
        <v>3324</v>
      </c>
      <c r="F110" s="86">
        <v>13.05</v>
      </c>
      <c r="G110" s="86">
        <v>2</v>
      </c>
      <c r="H110" s="86">
        <v>26.1</v>
      </c>
      <c r="I110" s="86">
        <v>13176.9</v>
      </c>
      <c r="J110" s="85" t="s">
        <v>2965</v>
      </c>
      <c r="K110" s="85" t="s">
        <v>3320</v>
      </c>
      <c r="L110" s="85" t="s">
        <v>2906</v>
      </c>
      <c r="M110" s="85" t="s">
        <v>3326</v>
      </c>
    </row>
    <row r="111" ht="242.25" spans="1:13">
      <c r="A111" s="85" t="s">
        <v>3322</v>
      </c>
      <c r="B111" s="85" t="s">
        <v>3327</v>
      </c>
      <c r="C111" s="85" t="s">
        <v>3328</v>
      </c>
      <c r="D111" s="85" t="s">
        <v>3329</v>
      </c>
      <c r="E111" s="85" t="s">
        <v>3328</v>
      </c>
      <c r="F111" s="86">
        <v>100.57</v>
      </c>
      <c r="G111" s="86">
        <v>1</v>
      </c>
      <c r="H111" s="86">
        <v>100.57</v>
      </c>
      <c r="I111" s="86">
        <v>13176.9</v>
      </c>
      <c r="J111" s="85" t="s">
        <v>2965</v>
      </c>
      <c r="K111" s="85" t="s">
        <v>3320</v>
      </c>
      <c r="L111" s="85" t="s">
        <v>2906</v>
      </c>
      <c r="M111" s="85" t="s">
        <v>3330</v>
      </c>
    </row>
    <row r="112" ht="242.25" spans="1:13">
      <c r="A112" s="85" t="s">
        <v>3322</v>
      </c>
      <c r="B112" s="85" t="s">
        <v>3331</v>
      </c>
      <c r="C112" s="85" t="s">
        <v>3332</v>
      </c>
      <c r="D112" s="85" t="s">
        <v>3333</v>
      </c>
      <c r="E112" s="85" t="s">
        <v>3332</v>
      </c>
      <c r="F112" s="86">
        <v>28.36</v>
      </c>
      <c r="G112" s="86">
        <v>3</v>
      </c>
      <c r="H112" s="86">
        <v>85.08</v>
      </c>
      <c r="I112" s="86">
        <v>13176.9</v>
      </c>
      <c r="J112" s="85" t="s">
        <v>2965</v>
      </c>
      <c r="K112" s="85" t="s">
        <v>3320</v>
      </c>
      <c r="L112" s="85" t="s">
        <v>2906</v>
      </c>
      <c r="M112" s="85" t="s">
        <v>3334</v>
      </c>
    </row>
    <row r="113" ht="242.25" spans="1:13">
      <c r="A113" s="85" t="s">
        <v>3319</v>
      </c>
      <c r="B113" s="85" t="s">
        <v>3335</v>
      </c>
      <c r="C113" s="85" t="s">
        <v>3336</v>
      </c>
      <c r="D113" s="85" t="s">
        <v>3337</v>
      </c>
      <c r="E113" s="85" t="s">
        <v>3338</v>
      </c>
      <c r="F113" s="86">
        <v>20.5</v>
      </c>
      <c r="G113" s="86">
        <v>20</v>
      </c>
      <c r="H113" s="86">
        <v>410</v>
      </c>
      <c r="I113" s="86">
        <v>10943.6</v>
      </c>
      <c r="J113" s="85" t="s">
        <v>2958</v>
      </c>
      <c r="K113" s="85" t="s">
        <v>3320</v>
      </c>
      <c r="L113" s="85" t="s">
        <v>2906</v>
      </c>
      <c r="M113" s="85" t="s">
        <v>3339</v>
      </c>
    </row>
    <row r="114" ht="242.25" spans="1:13">
      <c r="A114" s="85" t="s">
        <v>3319</v>
      </c>
      <c r="B114" s="85" t="s">
        <v>3092</v>
      </c>
      <c r="C114" s="85" t="s">
        <v>3093</v>
      </c>
      <c r="D114" s="85" t="s">
        <v>2982</v>
      </c>
      <c r="E114" s="85" t="s">
        <v>3094</v>
      </c>
      <c r="F114" s="86">
        <v>13.23</v>
      </c>
      <c r="G114" s="86">
        <v>20</v>
      </c>
      <c r="H114" s="86">
        <v>264.6</v>
      </c>
      <c r="I114" s="86">
        <v>10943.6</v>
      </c>
      <c r="J114" s="85" t="s">
        <v>2958</v>
      </c>
      <c r="K114" s="85" t="s">
        <v>3320</v>
      </c>
      <c r="L114" s="85" t="s">
        <v>2906</v>
      </c>
      <c r="M114" s="85" t="s">
        <v>3340</v>
      </c>
    </row>
    <row r="115" ht="242.25" spans="1:13">
      <c r="A115" s="85" t="s">
        <v>3322</v>
      </c>
      <c r="B115" s="85" t="s">
        <v>3341</v>
      </c>
      <c r="C115" s="85" t="s">
        <v>3342</v>
      </c>
      <c r="D115" s="85" t="s">
        <v>3197</v>
      </c>
      <c r="E115" s="85" t="s">
        <v>3342</v>
      </c>
      <c r="F115" s="86">
        <v>3</v>
      </c>
      <c r="G115" s="86">
        <v>10</v>
      </c>
      <c r="H115" s="86">
        <v>30</v>
      </c>
      <c r="I115" s="86">
        <v>13176.9</v>
      </c>
      <c r="J115" s="85" t="s">
        <v>2965</v>
      </c>
      <c r="K115" s="85" t="s">
        <v>3320</v>
      </c>
      <c r="L115" s="85" t="s">
        <v>2906</v>
      </c>
      <c r="M115" s="85" t="s">
        <v>3343</v>
      </c>
    </row>
    <row r="116" ht="242.25" spans="1:13">
      <c r="A116" s="85" t="s">
        <v>3322</v>
      </c>
      <c r="B116" s="85" t="s">
        <v>3344</v>
      </c>
      <c r="C116" s="85" t="s">
        <v>3345</v>
      </c>
      <c r="D116" s="85" t="s">
        <v>3054</v>
      </c>
      <c r="E116" s="85" t="s">
        <v>3345</v>
      </c>
      <c r="F116" s="86">
        <v>6.56</v>
      </c>
      <c r="G116" s="86">
        <v>30</v>
      </c>
      <c r="H116" s="86">
        <v>196.8</v>
      </c>
      <c r="I116" s="86">
        <v>13176.9</v>
      </c>
      <c r="J116" s="85" t="s">
        <v>2965</v>
      </c>
      <c r="K116" s="85" t="s">
        <v>3320</v>
      </c>
      <c r="L116" s="85" t="s">
        <v>2906</v>
      </c>
      <c r="M116" s="85" t="s">
        <v>3346</v>
      </c>
    </row>
    <row r="117" ht="242.25" spans="1:13">
      <c r="A117" s="85" t="s">
        <v>3322</v>
      </c>
      <c r="B117" s="85" t="s">
        <v>3347</v>
      </c>
      <c r="C117" s="85" t="s">
        <v>3348</v>
      </c>
      <c r="D117" s="85" t="s">
        <v>2973</v>
      </c>
      <c r="E117" s="85" t="s">
        <v>3348</v>
      </c>
      <c r="F117" s="86">
        <v>41.31</v>
      </c>
      <c r="G117" s="86">
        <v>2</v>
      </c>
      <c r="H117" s="86">
        <v>82.62</v>
      </c>
      <c r="I117" s="86">
        <v>13176.9</v>
      </c>
      <c r="J117" s="85" t="s">
        <v>2965</v>
      </c>
      <c r="K117" s="85" t="s">
        <v>3320</v>
      </c>
      <c r="L117" s="85" t="s">
        <v>2906</v>
      </c>
      <c r="M117" s="85" t="s">
        <v>3349</v>
      </c>
    </row>
    <row r="118" ht="242.25" spans="1:13">
      <c r="A118" s="85" t="s">
        <v>3322</v>
      </c>
      <c r="B118" s="85" t="s">
        <v>3350</v>
      </c>
      <c r="C118" s="85" t="s">
        <v>3351</v>
      </c>
      <c r="D118" s="85" t="s">
        <v>3352</v>
      </c>
      <c r="E118" s="85" t="s">
        <v>3351</v>
      </c>
      <c r="F118" s="86">
        <v>226.9</v>
      </c>
      <c r="G118" s="86">
        <v>1</v>
      </c>
      <c r="H118" s="86">
        <v>226.9</v>
      </c>
      <c r="I118" s="86">
        <v>13176.9</v>
      </c>
      <c r="J118" s="85" t="s">
        <v>2965</v>
      </c>
      <c r="K118" s="85" t="s">
        <v>3320</v>
      </c>
      <c r="L118" s="85" t="s">
        <v>2906</v>
      </c>
      <c r="M118" s="85" t="s">
        <v>3353</v>
      </c>
    </row>
    <row r="119" ht="242.25" spans="1:13">
      <c r="A119" s="85" t="s">
        <v>3322</v>
      </c>
      <c r="B119" s="85" t="s">
        <v>3354</v>
      </c>
      <c r="C119" s="85" t="s">
        <v>3355</v>
      </c>
      <c r="D119" s="85" t="s">
        <v>3356</v>
      </c>
      <c r="E119" s="85" t="s">
        <v>3355</v>
      </c>
      <c r="F119" s="86">
        <v>2.47</v>
      </c>
      <c r="G119" s="86">
        <v>60</v>
      </c>
      <c r="H119" s="86">
        <v>148.2</v>
      </c>
      <c r="I119" s="86">
        <v>13176.9</v>
      </c>
      <c r="J119" s="85" t="s">
        <v>2965</v>
      </c>
      <c r="K119" s="85" t="s">
        <v>3320</v>
      </c>
      <c r="L119" s="85" t="s">
        <v>2906</v>
      </c>
      <c r="M119" s="85" t="s">
        <v>3357</v>
      </c>
    </row>
    <row r="120" ht="242.25" spans="1:13">
      <c r="A120" s="85" t="s">
        <v>3322</v>
      </c>
      <c r="B120" s="85" t="s">
        <v>3358</v>
      </c>
      <c r="C120" s="85" t="s">
        <v>3359</v>
      </c>
      <c r="D120" s="85" t="s">
        <v>3003</v>
      </c>
      <c r="E120" s="85" t="s">
        <v>3359</v>
      </c>
      <c r="F120" s="86">
        <v>14.5</v>
      </c>
      <c r="G120" s="86">
        <v>20</v>
      </c>
      <c r="H120" s="86">
        <v>290</v>
      </c>
      <c r="I120" s="86">
        <v>13176.9</v>
      </c>
      <c r="J120" s="85" t="s">
        <v>2965</v>
      </c>
      <c r="K120" s="85" t="s">
        <v>3320</v>
      </c>
      <c r="L120" s="85" t="s">
        <v>2906</v>
      </c>
      <c r="M120" s="85" t="s">
        <v>3360</v>
      </c>
    </row>
    <row r="121" ht="242.25" spans="1:13">
      <c r="A121" s="85" t="s">
        <v>3322</v>
      </c>
      <c r="B121" s="85" t="s">
        <v>3361</v>
      </c>
      <c r="C121" s="85" t="s">
        <v>3362</v>
      </c>
      <c r="D121" s="85" t="s">
        <v>3363</v>
      </c>
      <c r="E121" s="85" t="s">
        <v>3362</v>
      </c>
      <c r="F121" s="86">
        <v>21.93</v>
      </c>
      <c r="G121" s="86">
        <v>3</v>
      </c>
      <c r="H121" s="86">
        <v>65.79</v>
      </c>
      <c r="I121" s="86">
        <v>13176.9</v>
      </c>
      <c r="J121" s="85" t="s">
        <v>2965</v>
      </c>
      <c r="K121" s="85" t="s">
        <v>3320</v>
      </c>
      <c r="L121" s="85" t="s">
        <v>2906</v>
      </c>
      <c r="M121" s="85" t="s">
        <v>3364</v>
      </c>
    </row>
    <row r="122" ht="242.25" spans="1:13">
      <c r="A122" s="85" t="s">
        <v>3322</v>
      </c>
      <c r="B122" s="85" t="s">
        <v>3365</v>
      </c>
      <c r="C122" s="85" t="s">
        <v>3366</v>
      </c>
      <c r="D122" s="85" t="s">
        <v>3367</v>
      </c>
      <c r="E122" s="85" t="s">
        <v>3366</v>
      </c>
      <c r="F122" s="86">
        <v>6.54</v>
      </c>
      <c r="G122" s="86">
        <v>2</v>
      </c>
      <c r="H122" s="86">
        <v>13.08</v>
      </c>
      <c r="I122" s="86">
        <v>13176.9</v>
      </c>
      <c r="J122" s="85" t="s">
        <v>2965</v>
      </c>
      <c r="K122" s="85" t="s">
        <v>3320</v>
      </c>
      <c r="L122" s="85" t="s">
        <v>2906</v>
      </c>
      <c r="M122" s="85" t="s">
        <v>3368</v>
      </c>
    </row>
    <row r="123" ht="242.25" spans="1:13">
      <c r="A123" s="85" t="s">
        <v>3322</v>
      </c>
      <c r="B123" s="85" t="s">
        <v>3369</v>
      </c>
      <c r="C123" s="85" t="s">
        <v>3370</v>
      </c>
      <c r="D123" s="85" t="s">
        <v>3371</v>
      </c>
      <c r="E123" s="85" t="s">
        <v>3370</v>
      </c>
      <c r="F123" s="86">
        <v>0.65</v>
      </c>
      <c r="G123" s="86">
        <v>100</v>
      </c>
      <c r="H123" s="86">
        <v>65</v>
      </c>
      <c r="I123" s="86">
        <v>13176.9</v>
      </c>
      <c r="J123" s="85" t="s">
        <v>2965</v>
      </c>
      <c r="K123" s="85" t="s">
        <v>3320</v>
      </c>
      <c r="L123" s="85" t="s">
        <v>2906</v>
      </c>
      <c r="M123" s="85" t="s">
        <v>3372</v>
      </c>
    </row>
    <row r="124" ht="242.25" spans="1:13">
      <c r="A124" s="85" t="s">
        <v>3322</v>
      </c>
      <c r="B124" s="85" t="s">
        <v>3373</v>
      </c>
      <c r="C124" s="85" t="s">
        <v>3374</v>
      </c>
      <c r="D124" s="85" t="s">
        <v>3046</v>
      </c>
      <c r="E124" s="85" t="s">
        <v>3374</v>
      </c>
      <c r="F124" s="86">
        <v>23.4</v>
      </c>
      <c r="G124" s="86">
        <v>3</v>
      </c>
      <c r="H124" s="86">
        <v>70.2</v>
      </c>
      <c r="I124" s="86">
        <v>13176.9</v>
      </c>
      <c r="J124" s="85" t="s">
        <v>2965</v>
      </c>
      <c r="K124" s="85" t="s">
        <v>3320</v>
      </c>
      <c r="L124" s="85" t="s">
        <v>2906</v>
      </c>
      <c r="M124" s="85" t="s">
        <v>3375</v>
      </c>
    </row>
    <row r="125" ht="242.25" spans="1:13">
      <c r="A125" s="85" t="s">
        <v>3322</v>
      </c>
      <c r="B125" s="85" t="s">
        <v>3376</v>
      </c>
      <c r="C125" s="85" t="s">
        <v>3377</v>
      </c>
      <c r="D125" s="85" t="s">
        <v>3378</v>
      </c>
      <c r="E125" s="85" t="s">
        <v>3377</v>
      </c>
      <c r="F125" s="86">
        <v>30.1</v>
      </c>
      <c r="G125" s="86">
        <v>3</v>
      </c>
      <c r="H125" s="86">
        <v>90.3</v>
      </c>
      <c r="I125" s="86">
        <v>13176.9</v>
      </c>
      <c r="J125" s="85" t="s">
        <v>2965</v>
      </c>
      <c r="K125" s="85" t="s">
        <v>3320</v>
      </c>
      <c r="L125" s="85" t="s">
        <v>2906</v>
      </c>
      <c r="M125" s="85" t="s">
        <v>3379</v>
      </c>
    </row>
    <row r="126" ht="242.25" spans="1:13">
      <c r="A126" s="85" t="s">
        <v>3322</v>
      </c>
      <c r="B126" s="85" t="s">
        <v>3380</v>
      </c>
      <c r="C126" s="85" t="s">
        <v>3381</v>
      </c>
      <c r="D126" s="85" t="s">
        <v>3382</v>
      </c>
      <c r="E126" s="85" t="s">
        <v>3381</v>
      </c>
      <c r="F126" s="86">
        <v>140.71</v>
      </c>
      <c r="G126" s="86">
        <v>4</v>
      </c>
      <c r="H126" s="86">
        <v>562.84</v>
      </c>
      <c r="I126" s="86">
        <v>13176.9</v>
      </c>
      <c r="J126" s="85" t="s">
        <v>2965</v>
      </c>
      <c r="K126" s="85" t="s">
        <v>3320</v>
      </c>
      <c r="L126" s="85" t="s">
        <v>2906</v>
      </c>
      <c r="M126" s="85" t="s">
        <v>3383</v>
      </c>
    </row>
    <row r="127" ht="242.25" spans="1:13">
      <c r="A127" s="85" t="s">
        <v>3322</v>
      </c>
      <c r="B127" s="85" t="s">
        <v>3384</v>
      </c>
      <c r="C127" s="85" t="s">
        <v>3385</v>
      </c>
      <c r="D127" s="85" t="s">
        <v>3386</v>
      </c>
      <c r="E127" s="85" t="s">
        <v>3385</v>
      </c>
      <c r="F127" s="86">
        <v>17.67</v>
      </c>
      <c r="G127" s="86">
        <v>3</v>
      </c>
      <c r="H127" s="86">
        <v>53.01</v>
      </c>
      <c r="I127" s="86">
        <v>13176.9</v>
      </c>
      <c r="J127" s="85" t="s">
        <v>2965</v>
      </c>
      <c r="K127" s="85" t="s">
        <v>3320</v>
      </c>
      <c r="L127" s="85" t="s">
        <v>2906</v>
      </c>
      <c r="M127" s="85" t="s">
        <v>3387</v>
      </c>
    </row>
    <row r="128" ht="242.25" spans="1:13">
      <c r="A128" s="85" t="s">
        <v>3322</v>
      </c>
      <c r="B128" s="85" t="s">
        <v>3388</v>
      </c>
      <c r="C128" s="85" t="s">
        <v>3389</v>
      </c>
      <c r="D128" s="85" t="s">
        <v>3390</v>
      </c>
      <c r="E128" s="85" t="s">
        <v>3389</v>
      </c>
      <c r="F128" s="86">
        <v>2.9</v>
      </c>
      <c r="G128" s="86">
        <v>12</v>
      </c>
      <c r="H128" s="86">
        <v>34.8</v>
      </c>
      <c r="I128" s="86">
        <v>13176.9</v>
      </c>
      <c r="J128" s="85" t="s">
        <v>2965</v>
      </c>
      <c r="K128" s="85" t="s">
        <v>3320</v>
      </c>
      <c r="L128" s="85" t="s">
        <v>2906</v>
      </c>
      <c r="M128" s="85" t="s">
        <v>3391</v>
      </c>
    </row>
    <row r="129" ht="242.25" spans="1:13">
      <c r="A129" s="85" t="s">
        <v>3322</v>
      </c>
      <c r="B129" s="85" t="s">
        <v>3392</v>
      </c>
      <c r="C129" s="85" t="s">
        <v>3393</v>
      </c>
      <c r="D129" s="85" t="s">
        <v>3394</v>
      </c>
      <c r="E129" s="85" t="s">
        <v>3393</v>
      </c>
      <c r="F129" s="86">
        <v>7.28</v>
      </c>
      <c r="G129" s="86">
        <v>2</v>
      </c>
      <c r="H129" s="86">
        <v>14.56</v>
      </c>
      <c r="I129" s="86">
        <v>13176.9</v>
      </c>
      <c r="J129" s="85" t="s">
        <v>2965</v>
      </c>
      <c r="K129" s="85" t="s">
        <v>3320</v>
      </c>
      <c r="L129" s="85" t="s">
        <v>2906</v>
      </c>
      <c r="M129" s="85" t="s">
        <v>3395</v>
      </c>
    </row>
    <row r="130" ht="242.25" spans="1:13">
      <c r="A130" s="85" t="s">
        <v>3322</v>
      </c>
      <c r="B130" s="85" t="s">
        <v>3396</v>
      </c>
      <c r="C130" s="85" t="s">
        <v>3397</v>
      </c>
      <c r="D130" s="85" t="s">
        <v>3398</v>
      </c>
      <c r="E130" s="85" t="s">
        <v>3397</v>
      </c>
      <c r="F130" s="86">
        <v>1079.1</v>
      </c>
      <c r="G130" s="86">
        <v>2</v>
      </c>
      <c r="H130" s="86">
        <v>2158.2</v>
      </c>
      <c r="I130" s="86">
        <v>13176.9</v>
      </c>
      <c r="J130" s="85" t="s">
        <v>2965</v>
      </c>
      <c r="K130" s="85" t="s">
        <v>3320</v>
      </c>
      <c r="L130" s="85" t="s">
        <v>2906</v>
      </c>
      <c r="M130" s="85" t="s">
        <v>3399</v>
      </c>
    </row>
    <row r="131" ht="242.25" spans="1:13">
      <c r="A131" s="85" t="s">
        <v>3322</v>
      </c>
      <c r="B131" s="85" t="s">
        <v>3400</v>
      </c>
      <c r="C131" s="85" t="s">
        <v>3401</v>
      </c>
      <c r="D131" s="85" t="s">
        <v>2973</v>
      </c>
      <c r="E131" s="85" t="s">
        <v>3401</v>
      </c>
      <c r="F131" s="86">
        <v>576.84</v>
      </c>
      <c r="G131" s="86">
        <v>1</v>
      </c>
      <c r="H131" s="86">
        <v>576.84</v>
      </c>
      <c r="I131" s="86">
        <v>13176.9</v>
      </c>
      <c r="J131" s="85" t="s">
        <v>2965</v>
      </c>
      <c r="K131" s="85" t="s">
        <v>3320</v>
      </c>
      <c r="L131" s="85" t="s">
        <v>2906</v>
      </c>
      <c r="M131" s="85" t="s">
        <v>3402</v>
      </c>
    </row>
    <row r="132" ht="242.25" spans="1:13">
      <c r="A132" s="85" t="s">
        <v>3319</v>
      </c>
      <c r="B132" s="85" t="s">
        <v>3077</v>
      </c>
      <c r="C132" s="85" t="s">
        <v>3078</v>
      </c>
      <c r="D132" s="85" t="s">
        <v>2992</v>
      </c>
      <c r="E132" s="85" t="s">
        <v>1815</v>
      </c>
      <c r="F132" s="86">
        <v>36</v>
      </c>
      <c r="G132" s="86">
        <v>40</v>
      </c>
      <c r="H132" s="86">
        <v>1440</v>
      </c>
      <c r="I132" s="86">
        <v>10943.6</v>
      </c>
      <c r="J132" s="85" t="s">
        <v>2958</v>
      </c>
      <c r="K132" s="85" t="s">
        <v>3320</v>
      </c>
      <c r="L132" s="85" t="s">
        <v>2906</v>
      </c>
      <c r="M132" s="85" t="s">
        <v>3403</v>
      </c>
    </row>
    <row r="133" ht="242.25" spans="1:13">
      <c r="A133" s="85" t="s">
        <v>3322</v>
      </c>
      <c r="B133" s="85" t="s">
        <v>3404</v>
      </c>
      <c r="C133" s="85" t="s">
        <v>3405</v>
      </c>
      <c r="D133" s="85" t="s">
        <v>3406</v>
      </c>
      <c r="E133" s="85" t="s">
        <v>3405</v>
      </c>
      <c r="F133" s="86">
        <v>128.7</v>
      </c>
      <c r="G133" s="86">
        <v>1</v>
      </c>
      <c r="H133" s="86">
        <v>128.7</v>
      </c>
      <c r="I133" s="86">
        <v>13176.9</v>
      </c>
      <c r="J133" s="85" t="s">
        <v>2965</v>
      </c>
      <c r="K133" s="85" t="s">
        <v>3320</v>
      </c>
      <c r="L133" s="85" t="s">
        <v>2906</v>
      </c>
      <c r="M133" s="85" t="s">
        <v>3407</v>
      </c>
    </row>
    <row r="134" ht="242.25" spans="1:13">
      <c r="A134" s="85" t="s">
        <v>3322</v>
      </c>
      <c r="B134" s="85" t="s">
        <v>3408</v>
      </c>
      <c r="C134" s="85" t="s">
        <v>3409</v>
      </c>
      <c r="D134" s="85" t="s">
        <v>3410</v>
      </c>
      <c r="E134" s="85" t="s">
        <v>3409</v>
      </c>
      <c r="F134" s="86">
        <v>4.07</v>
      </c>
      <c r="G134" s="86">
        <v>20</v>
      </c>
      <c r="H134" s="86">
        <v>81.4</v>
      </c>
      <c r="I134" s="86">
        <v>13176.9</v>
      </c>
      <c r="J134" s="85" t="s">
        <v>2965</v>
      </c>
      <c r="K134" s="85" t="s">
        <v>3320</v>
      </c>
      <c r="L134" s="85" t="s">
        <v>2906</v>
      </c>
      <c r="M134" s="85" t="s">
        <v>3411</v>
      </c>
    </row>
    <row r="135" ht="242.25" spans="1:13">
      <c r="A135" s="85" t="s">
        <v>3322</v>
      </c>
      <c r="B135" s="85" t="s">
        <v>3412</v>
      </c>
      <c r="C135" s="85" t="s">
        <v>3413</v>
      </c>
      <c r="D135" s="85" t="s">
        <v>3414</v>
      </c>
      <c r="E135" s="85" t="s">
        <v>3413</v>
      </c>
      <c r="F135" s="86">
        <v>3.2</v>
      </c>
      <c r="G135" s="86">
        <v>60</v>
      </c>
      <c r="H135" s="86">
        <v>192</v>
      </c>
      <c r="I135" s="86">
        <v>13176.9</v>
      </c>
      <c r="J135" s="85" t="s">
        <v>2965</v>
      </c>
      <c r="K135" s="85" t="s">
        <v>3320</v>
      </c>
      <c r="L135" s="85" t="s">
        <v>2906</v>
      </c>
      <c r="M135" s="85" t="s">
        <v>3415</v>
      </c>
    </row>
    <row r="136" ht="242.25" spans="1:13">
      <c r="A136" s="85" t="s">
        <v>3319</v>
      </c>
      <c r="B136" s="85" t="s">
        <v>3048</v>
      </c>
      <c r="C136" s="85" t="s">
        <v>3049</v>
      </c>
      <c r="D136" s="85" t="s">
        <v>2982</v>
      </c>
      <c r="E136" s="85" t="s">
        <v>3050</v>
      </c>
      <c r="F136" s="86">
        <v>4.5</v>
      </c>
      <c r="G136" s="86">
        <v>80</v>
      </c>
      <c r="H136" s="86">
        <v>360</v>
      </c>
      <c r="I136" s="86">
        <v>10943.6</v>
      </c>
      <c r="J136" s="85" t="s">
        <v>2958</v>
      </c>
      <c r="K136" s="85" t="s">
        <v>3320</v>
      </c>
      <c r="L136" s="85" t="s">
        <v>2906</v>
      </c>
      <c r="M136" s="85" t="s">
        <v>3416</v>
      </c>
    </row>
    <row r="137" ht="242.25" spans="1:13">
      <c r="A137" s="85" t="s">
        <v>3322</v>
      </c>
      <c r="B137" s="85" t="s">
        <v>3417</v>
      </c>
      <c r="C137" s="85" t="s">
        <v>3418</v>
      </c>
      <c r="D137" s="85" t="s">
        <v>3419</v>
      </c>
      <c r="E137" s="85" t="s">
        <v>3418</v>
      </c>
      <c r="F137" s="86">
        <v>2.79</v>
      </c>
      <c r="G137" s="86">
        <v>27</v>
      </c>
      <c r="H137" s="86">
        <v>75.33</v>
      </c>
      <c r="I137" s="86">
        <v>13176.9</v>
      </c>
      <c r="J137" s="85" t="s">
        <v>2965</v>
      </c>
      <c r="K137" s="85" t="s">
        <v>3320</v>
      </c>
      <c r="L137" s="85" t="s">
        <v>2906</v>
      </c>
      <c r="M137" s="85" t="s">
        <v>3420</v>
      </c>
    </row>
    <row r="138" ht="242.25" spans="1:13">
      <c r="A138" s="85" t="s">
        <v>3322</v>
      </c>
      <c r="B138" s="85" t="s">
        <v>3421</v>
      </c>
      <c r="C138" s="85" t="s">
        <v>3422</v>
      </c>
      <c r="D138" s="85" t="s">
        <v>3273</v>
      </c>
      <c r="E138" s="85" t="s">
        <v>3422</v>
      </c>
      <c r="F138" s="86">
        <v>4.9</v>
      </c>
      <c r="G138" s="86">
        <v>1</v>
      </c>
      <c r="H138" s="86">
        <v>4.9</v>
      </c>
      <c r="I138" s="86">
        <v>13176.9</v>
      </c>
      <c r="J138" s="85" t="s">
        <v>2965</v>
      </c>
      <c r="K138" s="85" t="s">
        <v>3320</v>
      </c>
      <c r="L138" s="85" t="s">
        <v>2906</v>
      </c>
      <c r="M138" s="85" t="s">
        <v>3423</v>
      </c>
    </row>
    <row r="139" ht="242.25" spans="1:13">
      <c r="A139" s="85" t="s">
        <v>3319</v>
      </c>
      <c r="B139" s="85" t="s">
        <v>3187</v>
      </c>
      <c r="C139" s="85" t="s">
        <v>3188</v>
      </c>
      <c r="D139" s="85" t="s">
        <v>3189</v>
      </c>
      <c r="E139" s="85" t="s">
        <v>3190</v>
      </c>
      <c r="F139" s="86">
        <v>233</v>
      </c>
      <c r="G139" s="86">
        <v>3</v>
      </c>
      <c r="H139" s="86">
        <v>699</v>
      </c>
      <c r="I139" s="86">
        <v>10943.6</v>
      </c>
      <c r="J139" s="85" t="s">
        <v>2958</v>
      </c>
      <c r="K139" s="85" t="s">
        <v>3320</v>
      </c>
      <c r="L139" s="85" t="s">
        <v>2906</v>
      </c>
      <c r="M139" s="85" t="s">
        <v>3424</v>
      </c>
    </row>
    <row r="140" ht="242.25" spans="1:13">
      <c r="A140" s="85" t="s">
        <v>3322</v>
      </c>
      <c r="B140" s="85" t="s">
        <v>3425</v>
      </c>
      <c r="C140" s="85" t="s">
        <v>3426</v>
      </c>
      <c r="D140" s="85" t="s">
        <v>3333</v>
      </c>
      <c r="E140" s="85" t="s">
        <v>3426</v>
      </c>
      <c r="F140" s="86">
        <v>20.93</v>
      </c>
      <c r="G140" s="86">
        <v>3</v>
      </c>
      <c r="H140" s="86">
        <v>62.79</v>
      </c>
      <c r="I140" s="86">
        <v>13176.9</v>
      </c>
      <c r="J140" s="85" t="s">
        <v>2965</v>
      </c>
      <c r="K140" s="85" t="s">
        <v>3320</v>
      </c>
      <c r="L140" s="85" t="s">
        <v>2906</v>
      </c>
      <c r="M140" s="85" t="s">
        <v>3427</v>
      </c>
    </row>
    <row r="141" ht="242.25" spans="1:13">
      <c r="A141" s="85" t="s">
        <v>3322</v>
      </c>
      <c r="B141" s="85" t="s">
        <v>3428</v>
      </c>
      <c r="C141" s="85" t="s">
        <v>3429</v>
      </c>
      <c r="D141" s="85" t="s">
        <v>3430</v>
      </c>
      <c r="E141" s="85" t="s">
        <v>3429</v>
      </c>
      <c r="F141" s="86">
        <v>65.18</v>
      </c>
      <c r="G141" s="86">
        <v>3</v>
      </c>
      <c r="H141" s="86">
        <v>195.54</v>
      </c>
      <c r="I141" s="86">
        <v>13176.9</v>
      </c>
      <c r="J141" s="85" t="s">
        <v>2965</v>
      </c>
      <c r="K141" s="85" t="s">
        <v>3320</v>
      </c>
      <c r="L141" s="85" t="s">
        <v>2906</v>
      </c>
      <c r="M141" s="85" t="s">
        <v>3431</v>
      </c>
    </row>
    <row r="142" ht="242.25" spans="1:13">
      <c r="A142" s="85" t="s">
        <v>3322</v>
      </c>
      <c r="B142" s="85" t="s">
        <v>3432</v>
      </c>
      <c r="C142" s="85" t="s">
        <v>3433</v>
      </c>
      <c r="D142" s="85" t="s">
        <v>3434</v>
      </c>
      <c r="E142" s="85" t="s">
        <v>3433</v>
      </c>
      <c r="F142" s="86">
        <v>27.07</v>
      </c>
      <c r="G142" s="86">
        <v>6</v>
      </c>
      <c r="H142" s="86">
        <v>162.42</v>
      </c>
      <c r="I142" s="86">
        <v>13176.9</v>
      </c>
      <c r="J142" s="85" t="s">
        <v>2965</v>
      </c>
      <c r="K142" s="85" t="s">
        <v>3320</v>
      </c>
      <c r="L142" s="85" t="s">
        <v>2906</v>
      </c>
      <c r="M142" s="85" t="s">
        <v>3435</v>
      </c>
    </row>
    <row r="143" ht="242.25" spans="1:13">
      <c r="A143" s="85" t="s">
        <v>3322</v>
      </c>
      <c r="B143" s="85" t="s">
        <v>3436</v>
      </c>
      <c r="C143" s="85" t="s">
        <v>3437</v>
      </c>
      <c r="D143" s="85" t="s">
        <v>3438</v>
      </c>
      <c r="E143" s="85" t="s">
        <v>3437</v>
      </c>
      <c r="F143" s="86">
        <v>8.81</v>
      </c>
      <c r="G143" s="86">
        <v>10</v>
      </c>
      <c r="H143" s="86">
        <v>88.1</v>
      </c>
      <c r="I143" s="86">
        <v>13176.9</v>
      </c>
      <c r="J143" s="85" t="s">
        <v>2965</v>
      </c>
      <c r="K143" s="85" t="s">
        <v>3320</v>
      </c>
      <c r="L143" s="85" t="s">
        <v>2906</v>
      </c>
      <c r="M143" s="85" t="s">
        <v>3439</v>
      </c>
    </row>
    <row r="144" ht="242.25" spans="1:13">
      <c r="A144" s="85" t="s">
        <v>3322</v>
      </c>
      <c r="B144" s="85" t="s">
        <v>3440</v>
      </c>
      <c r="C144" s="85" t="s">
        <v>3441</v>
      </c>
      <c r="D144" s="85" t="s">
        <v>3442</v>
      </c>
      <c r="E144" s="85" t="s">
        <v>3441</v>
      </c>
      <c r="F144" s="86">
        <v>14.81</v>
      </c>
      <c r="G144" s="86">
        <v>4</v>
      </c>
      <c r="H144" s="86">
        <v>59.24</v>
      </c>
      <c r="I144" s="86">
        <v>13176.9</v>
      </c>
      <c r="J144" s="85" t="s">
        <v>2965</v>
      </c>
      <c r="K144" s="85" t="s">
        <v>3320</v>
      </c>
      <c r="L144" s="85" t="s">
        <v>2906</v>
      </c>
      <c r="M144" s="85" t="s">
        <v>3443</v>
      </c>
    </row>
    <row r="145" ht="242.25" spans="1:13">
      <c r="A145" s="85" t="s">
        <v>3322</v>
      </c>
      <c r="B145" s="85" t="s">
        <v>3444</v>
      </c>
      <c r="C145" s="85" t="s">
        <v>3445</v>
      </c>
      <c r="D145" s="85" t="s">
        <v>3446</v>
      </c>
      <c r="E145" s="85" t="s">
        <v>3445</v>
      </c>
      <c r="F145" s="86">
        <v>23.32</v>
      </c>
      <c r="G145" s="86">
        <v>3</v>
      </c>
      <c r="H145" s="86">
        <v>69.96</v>
      </c>
      <c r="I145" s="86">
        <v>13176.9</v>
      </c>
      <c r="J145" s="85" t="s">
        <v>2965</v>
      </c>
      <c r="K145" s="85" t="s">
        <v>3320</v>
      </c>
      <c r="L145" s="85" t="s">
        <v>2906</v>
      </c>
      <c r="M145" s="85" t="s">
        <v>3447</v>
      </c>
    </row>
    <row r="146" ht="242.25" spans="1:13">
      <c r="A146" s="85" t="s">
        <v>3322</v>
      </c>
      <c r="B146" s="85" t="s">
        <v>3448</v>
      </c>
      <c r="C146" s="85" t="s">
        <v>3449</v>
      </c>
      <c r="D146" s="85" t="s">
        <v>3450</v>
      </c>
      <c r="E146" s="85" t="s">
        <v>3449</v>
      </c>
      <c r="F146" s="86">
        <v>15.39</v>
      </c>
      <c r="G146" s="86">
        <v>5</v>
      </c>
      <c r="H146" s="86">
        <v>76.95</v>
      </c>
      <c r="I146" s="86">
        <v>13176.9</v>
      </c>
      <c r="J146" s="85" t="s">
        <v>2965</v>
      </c>
      <c r="K146" s="85" t="s">
        <v>3320</v>
      </c>
      <c r="L146" s="85" t="s">
        <v>2906</v>
      </c>
      <c r="M146" s="85" t="s">
        <v>3451</v>
      </c>
    </row>
    <row r="147" ht="327.75" spans="1:13">
      <c r="A147" s="85" t="s">
        <v>3322</v>
      </c>
      <c r="B147" s="85" t="s">
        <v>3275</v>
      </c>
      <c r="C147" s="85" t="s">
        <v>3276</v>
      </c>
      <c r="D147" s="85" t="s">
        <v>3153</v>
      </c>
      <c r="E147" s="85" t="s">
        <v>3276</v>
      </c>
      <c r="F147" s="86">
        <v>128.39</v>
      </c>
      <c r="G147" s="86">
        <v>4</v>
      </c>
      <c r="H147" s="86">
        <v>513.56</v>
      </c>
      <c r="I147" s="86">
        <v>13176.9</v>
      </c>
      <c r="J147" s="85" t="s">
        <v>2965</v>
      </c>
      <c r="K147" s="85" t="s">
        <v>3320</v>
      </c>
      <c r="L147" s="85" t="s">
        <v>2906</v>
      </c>
      <c r="M147" s="85" t="s">
        <v>3452</v>
      </c>
    </row>
    <row r="148" ht="242.25" spans="1:13">
      <c r="A148" s="85" t="s">
        <v>3319</v>
      </c>
      <c r="B148" s="85" t="s">
        <v>3453</v>
      </c>
      <c r="C148" s="85" t="s">
        <v>3454</v>
      </c>
      <c r="D148" s="85" t="s">
        <v>3398</v>
      </c>
      <c r="E148" s="85" t="s">
        <v>3455</v>
      </c>
      <c r="F148" s="86">
        <v>41</v>
      </c>
      <c r="G148" s="86">
        <v>1</v>
      </c>
      <c r="H148" s="86">
        <v>41</v>
      </c>
      <c r="I148" s="86">
        <v>10943.6</v>
      </c>
      <c r="J148" s="85" t="s">
        <v>2958</v>
      </c>
      <c r="K148" s="85" t="s">
        <v>3320</v>
      </c>
      <c r="L148" s="85" t="s">
        <v>2906</v>
      </c>
      <c r="M148" s="85" t="s">
        <v>3456</v>
      </c>
    </row>
    <row r="149" ht="242.25" spans="1:13">
      <c r="A149" s="85" t="s">
        <v>3322</v>
      </c>
      <c r="B149" s="85" t="s">
        <v>3457</v>
      </c>
      <c r="C149" s="85" t="s">
        <v>3458</v>
      </c>
      <c r="D149" s="85" t="s">
        <v>3459</v>
      </c>
      <c r="E149" s="85" t="s">
        <v>3458</v>
      </c>
      <c r="F149" s="86">
        <v>17.56</v>
      </c>
      <c r="G149" s="86">
        <v>20</v>
      </c>
      <c r="H149" s="86">
        <v>351.2</v>
      </c>
      <c r="I149" s="86">
        <v>13176.9</v>
      </c>
      <c r="J149" s="85" t="s">
        <v>2965</v>
      </c>
      <c r="K149" s="85" t="s">
        <v>3320</v>
      </c>
      <c r="L149" s="85" t="s">
        <v>2906</v>
      </c>
      <c r="M149" s="85" t="s">
        <v>3460</v>
      </c>
    </row>
    <row r="150" ht="242.25" spans="1:13">
      <c r="A150" s="85" t="s">
        <v>3322</v>
      </c>
      <c r="B150" s="85" t="s">
        <v>3461</v>
      </c>
      <c r="C150" s="85" t="s">
        <v>3462</v>
      </c>
      <c r="D150" s="85" t="s">
        <v>3463</v>
      </c>
      <c r="E150" s="85" t="s">
        <v>3462</v>
      </c>
      <c r="F150" s="86">
        <v>60.63</v>
      </c>
      <c r="G150" s="86">
        <v>4</v>
      </c>
      <c r="H150" s="86">
        <v>242.52</v>
      </c>
      <c r="I150" s="86">
        <v>13176.9</v>
      </c>
      <c r="J150" s="85" t="s">
        <v>2965</v>
      </c>
      <c r="K150" s="85" t="s">
        <v>3320</v>
      </c>
      <c r="L150" s="85" t="s">
        <v>2906</v>
      </c>
      <c r="M150" s="85" t="s">
        <v>3464</v>
      </c>
    </row>
    <row r="151" ht="242.25" spans="1:13">
      <c r="A151" s="85" t="s">
        <v>3322</v>
      </c>
      <c r="B151" s="85" t="s">
        <v>3146</v>
      </c>
      <c r="C151" s="85" t="s">
        <v>3147</v>
      </c>
      <c r="D151" s="85" t="s">
        <v>3148</v>
      </c>
      <c r="E151" s="85" t="s">
        <v>3147</v>
      </c>
      <c r="F151" s="86">
        <v>4.41</v>
      </c>
      <c r="G151" s="86">
        <v>20</v>
      </c>
      <c r="H151" s="86">
        <v>88.2</v>
      </c>
      <c r="I151" s="86">
        <v>13176.9</v>
      </c>
      <c r="J151" s="85" t="s">
        <v>2965</v>
      </c>
      <c r="K151" s="85" t="s">
        <v>3320</v>
      </c>
      <c r="L151" s="85" t="s">
        <v>2906</v>
      </c>
      <c r="M151" s="85" t="s">
        <v>3465</v>
      </c>
    </row>
    <row r="152" ht="242.25" spans="1:13">
      <c r="A152" s="85" t="s">
        <v>3322</v>
      </c>
      <c r="B152" s="85" t="s">
        <v>3195</v>
      </c>
      <c r="C152" s="85" t="s">
        <v>3196</v>
      </c>
      <c r="D152" s="85" t="s">
        <v>3197</v>
      </c>
      <c r="E152" s="85" t="s">
        <v>3196</v>
      </c>
      <c r="F152" s="86">
        <v>14.07</v>
      </c>
      <c r="G152" s="86">
        <v>20</v>
      </c>
      <c r="H152" s="86">
        <v>281.4</v>
      </c>
      <c r="I152" s="86">
        <v>13176.9</v>
      </c>
      <c r="J152" s="85" t="s">
        <v>2965</v>
      </c>
      <c r="K152" s="85" t="s">
        <v>3320</v>
      </c>
      <c r="L152" s="85" t="s">
        <v>2906</v>
      </c>
      <c r="M152" s="85" t="s">
        <v>3466</v>
      </c>
    </row>
    <row r="153" ht="242.25" spans="1:13">
      <c r="A153" s="85" t="s">
        <v>3467</v>
      </c>
      <c r="B153" s="85" t="s">
        <v>3056</v>
      </c>
      <c r="C153" s="85" t="s">
        <v>3057</v>
      </c>
      <c r="D153" s="85" t="s">
        <v>2997</v>
      </c>
      <c r="E153" s="85" t="s">
        <v>2998</v>
      </c>
      <c r="F153" s="86">
        <v>14</v>
      </c>
      <c r="G153" s="86">
        <v>90</v>
      </c>
      <c r="H153" s="86">
        <v>1260</v>
      </c>
      <c r="I153" s="86">
        <v>1260</v>
      </c>
      <c r="J153" s="85" t="s">
        <v>2999</v>
      </c>
      <c r="K153" s="85" t="s">
        <v>3320</v>
      </c>
      <c r="L153" s="85" t="s">
        <v>2906</v>
      </c>
      <c r="M153" s="85" t="s">
        <v>3468</v>
      </c>
    </row>
    <row r="154" ht="242.25" spans="1:13">
      <c r="A154" s="85" t="s">
        <v>3322</v>
      </c>
      <c r="B154" s="85" t="s">
        <v>3469</v>
      </c>
      <c r="C154" s="85" t="s">
        <v>3470</v>
      </c>
      <c r="D154" s="85" t="s">
        <v>3471</v>
      </c>
      <c r="E154" s="85" t="s">
        <v>3470</v>
      </c>
      <c r="F154" s="86">
        <v>4.07</v>
      </c>
      <c r="G154" s="86">
        <v>4</v>
      </c>
      <c r="H154" s="86">
        <v>16.28</v>
      </c>
      <c r="I154" s="86">
        <v>13176.9</v>
      </c>
      <c r="J154" s="85" t="s">
        <v>2965</v>
      </c>
      <c r="K154" s="85" t="s">
        <v>3320</v>
      </c>
      <c r="L154" s="85" t="s">
        <v>2906</v>
      </c>
      <c r="M154" s="85" t="s">
        <v>3472</v>
      </c>
    </row>
    <row r="155" ht="242.25" spans="1:13">
      <c r="A155" s="85" t="s">
        <v>3322</v>
      </c>
      <c r="B155" s="85" t="s">
        <v>3473</v>
      </c>
      <c r="C155" s="85" t="s">
        <v>3474</v>
      </c>
      <c r="D155" s="85" t="s">
        <v>3352</v>
      </c>
      <c r="E155" s="85" t="s">
        <v>3474</v>
      </c>
      <c r="F155" s="86">
        <v>226.9</v>
      </c>
      <c r="G155" s="86">
        <v>1</v>
      </c>
      <c r="H155" s="86">
        <v>226.9</v>
      </c>
      <c r="I155" s="86">
        <v>13176.9</v>
      </c>
      <c r="J155" s="85" t="s">
        <v>2965</v>
      </c>
      <c r="K155" s="85" t="s">
        <v>3320</v>
      </c>
      <c r="L155" s="85" t="s">
        <v>2906</v>
      </c>
      <c r="M155" s="85" t="s">
        <v>3475</v>
      </c>
    </row>
    <row r="156" ht="242.25" spans="1:13">
      <c r="A156" s="85" t="s">
        <v>3322</v>
      </c>
      <c r="B156" s="85" t="s">
        <v>3476</v>
      </c>
      <c r="C156" s="85" t="s">
        <v>3477</v>
      </c>
      <c r="D156" s="85" t="s">
        <v>3352</v>
      </c>
      <c r="E156" s="85" t="s">
        <v>3477</v>
      </c>
      <c r="F156" s="86">
        <v>250.11</v>
      </c>
      <c r="G156" s="86">
        <v>1</v>
      </c>
      <c r="H156" s="86">
        <v>250.11</v>
      </c>
      <c r="I156" s="86">
        <v>13176.9</v>
      </c>
      <c r="J156" s="85" t="s">
        <v>2965</v>
      </c>
      <c r="K156" s="85" t="s">
        <v>3320</v>
      </c>
      <c r="L156" s="85" t="s">
        <v>2906</v>
      </c>
      <c r="M156" s="85" t="s">
        <v>3478</v>
      </c>
    </row>
    <row r="157" ht="242.25" spans="1:13">
      <c r="A157" s="85" t="s">
        <v>3322</v>
      </c>
      <c r="B157" s="85" t="s">
        <v>3479</v>
      </c>
      <c r="C157" s="85" t="s">
        <v>3480</v>
      </c>
      <c r="D157" s="85" t="s">
        <v>3382</v>
      </c>
      <c r="E157" s="85" t="s">
        <v>3480</v>
      </c>
      <c r="F157" s="86">
        <v>27.12</v>
      </c>
      <c r="G157" s="86">
        <v>4</v>
      </c>
      <c r="H157" s="86">
        <v>108.48</v>
      </c>
      <c r="I157" s="86">
        <v>13176.9</v>
      </c>
      <c r="J157" s="85" t="s">
        <v>2965</v>
      </c>
      <c r="K157" s="85" t="s">
        <v>3320</v>
      </c>
      <c r="L157" s="85" t="s">
        <v>2906</v>
      </c>
      <c r="M157" s="85" t="s">
        <v>3481</v>
      </c>
    </row>
    <row r="158" ht="242.25" spans="1:13">
      <c r="A158" s="85" t="s">
        <v>3322</v>
      </c>
      <c r="B158" s="85" t="s">
        <v>3482</v>
      </c>
      <c r="C158" s="85" t="s">
        <v>3483</v>
      </c>
      <c r="D158" s="85" t="s">
        <v>3484</v>
      </c>
      <c r="E158" s="85" t="s">
        <v>3483</v>
      </c>
      <c r="F158" s="86">
        <v>18.55</v>
      </c>
      <c r="G158" s="86">
        <v>2</v>
      </c>
      <c r="H158" s="86">
        <v>37.1</v>
      </c>
      <c r="I158" s="86">
        <v>13176.9</v>
      </c>
      <c r="J158" s="85" t="s">
        <v>2965</v>
      </c>
      <c r="K158" s="85" t="s">
        <v>3320</v>
      </c>
      <c r="L158" s="85" t="s">
        <v>2906</v>
      </c>
      <c r="M158" s="85" t="s">
        <v>3485</v>
      </c>
    </row>
    <row r="159" ht="242.25" spans="1:13">
      <c r="A159" s="85" t="s">
        <v>3322</v>
      </c>
      <c r="B159" s="85" t="s">
        <v>3001</v>
      </c>
      <c r="C159" s="85" t="s">
        <v>3002</v>
      </c>
      <c r="D159" s="85" t="s">
        <v>3003</v>
      </c>
      <c r="E159" s="85" t="s">
        <v>3002</v>
      </c>
      <c r="F159" s="86">
        <v>14.5</v>
      </c>
      <c r="G159" s="86">
        <v>20</v>
      </c>
      <c r="H159" s="86">
        <v>290</v>
      </c>
      <c r="I159" s="86">
        <v>13176.9</v>
      </c>
      <c r="J159" s="85" t="s">
        <v>2965</v>
      </c>
      <c r="K159" s="85" t="s">
        <v>3320</v>
      </c>
      <c r="L159" s="85" t="s">
        <v>2906</v>
      </c>
      <c r="M159" s="85" t="s">
        <v>3486</v>
      </c>
    </row>
    <row r="160" ht="242.25" spans="1:13">
      <c r="A160" s="85" t="s">
        <v>3322</v>
      </c>
      <c r="B160" s="85" t="s">
        <v>3487</v>
      </c>
      <c r="C160" s="85" t="s">
        <v>3488</v>
      </c>
      <c r="D160" s="85" t="s">
        <v>3082</v>
      </c>
      <c r="E160" s="85" t="s">
        <v>3488</v>
      </c>
      <c r="F160" s="86">
        <v>57.51</v>
      </c>
      <c r="G160" s="86">
        <v>50</v>
      </c>
      <c r="H160" s="86">
        <v>2875.5</v>
      </c>
      <c r="I160" s="86">
        <v>13176.9</v>
      </c>
      <c r="J160" s="85" t="s">
        <v>2965</v>
      </c>
      <c r="K160" s="85" t="s">
        <v>3320</v>
      </c>
      <c r="L160" s="85" t="s">
        <v>2906</v>
      </c>
      <c r="M160" s="85" t="s">
        <v>3489</v>
      </c>
    </row>
    <row r="161" ht="242.25" spans="1:13">
      <c r="A161" s="85" t="s">
        <v>3322</v>
      </c>
      <c r="B161" s="85" t="s">
        <v>3490</v>
      </c>
      <c r="C161" s="85" t="s">
        <v>3491</v>
      </c>
      <c r="D161" s="85" t="s">
        <v>3410</v>
      </c>
      <c r="E161" s="85" t="s">
        <v>3491</v>
      </c>
      <c r="F161" s="86">
        <v>4.07</v>
      </c>
      <c r="G161" s="86">
        <v>30</v>
      </c>
      <c r="H161" s="86">
        <v>122.1</v>
      </c>
      <c r="I161" s="86">
        <v>13176.9</v>
      </c>
      <c r="J161" s="85" t="s">
        <v>2965</v>
      </c>
      <c r="K161" s="85" t="s">
        <v>3320</v>
      </c>
      <c r="L161" s="85" t="s">
        <v>2906</v>
      </c>
      <c r="M161" s="85" t="s">
        <v>3492</v>
      </c>
    </row>
    <row r="162" ht="242.25" spans="1:13">
      <c r="A162" s="85" t="s">
        <v>3322</v>
      </c>
      <c r="B162" s="85" t="s">
        <v>3493</v>
      </c>
      <c r="C162" s="85" t="s">
        <v>3494</v>
      </c>
      <c r="D162" s="85" t="s">
        <v>3410</v>
      </c>
      <c r="E162" s="85" t="s">
        <v>3494</v>
      </c>
      <c r="F162" s="86">
        <v>5.54</v>
      </c>
      <c r="G162" s="86">
        <v>50</v>
      </c>
      <c r="H162" s="86">
        <v>277</v>
      </c>
      <c r="I162" s="86">
        <v>13176.9</v>
      </c>
      <c r="J162" s="85" t="s">
        <v>2965</v>
      </c>
      <c r="K162" s="85" t="s">
        <v>3320</v>
      </c>
      <c r="L162" s="85" t="s">
        <v>2906</v>
      </c>
      <c r="M162" s="85" t="s">
        <v>3495</v>
      </c>
    </row>
    <row r="163" ht="242.25" spans="1:13">
      <c r="A163" s="85" t="s">
        <v>3322</v>
      </c>
      <c r="B163" s="85" t="s">
        <v>3496</v>
      </c>
      <c r="C163" s="85" t="s">
        <v>3497</v>
      </c>
      <c r="D163" s="85" t="s">
        <v>3498</v>
      </c>
      <c r="E163" s="85" t="s">
        <v>3497</v>
      </c>
      <c r="F163" s="86">
        <v>396</v>
      </c>
      <c r="G163" s="86">
        <v>3</v>
      </c>
      <c r="H163" s="86">
        <v>1188</v>
      </c>
      <c r="I163" s="86">
        <v>13176.9</v>
      </c>
      <c r="J163" s="85" t="s">
        <v>2965</v>
      </c>
      <c r="K163" s="85" t="s">
        <v>3320</v>
      </c>
      <c r="L163" s="85" t="s">
        <v>2906</v>
      </c>
      <c r="M163" s="85" t="s">
        <v>3499</v>
      </c>
    </row>
    <row r="164" ht="242.25" spans="1:13">
      <c r="A164" s="85" t="s">
        <v>3319</v>
      </c>
      <c r="B164" s="85" t="s">
        <v>3500</v>
      </c>
      <c r="C164" s="85" t="s">
        <v>3501</v>
      </c>
      <c r="D164" s="85" t="s">
        <v>2992</v>
      </c>
      <c r="E164" s="85" t="s">
        <v>1815</v>
      </c>
      <c r="F164" s="86">
        <v>17.7</v>
      </c>
      <c r="G164" s="86">
        <v>260</v>
      </c>
      <c r="H164" s="86">
        <v>4602</v>
      </c>
      <c r="I164" s="86">
        <v>10943.6</v>
      </c>
      <c r="J164" s="85" t="s">
        <v>2958</v>
      </c>
      <c r="K164" s="85" t="s">
        <v>3320</v>
      </c>
      <c r="L164" s="85" t="s">
        <v>2906</v>
      </c>
      <c r="M164" s="85" t="s">
        <v>3502</v>
      </c>
    </row>
    <row r="165" ht="242.25" spans="1:13">
      <c r="A165" s="85" t="s">
        <v>3322</v>
      </c>
      <c r="B165" s="85" t="s">
        <v>3271</v>
      </c>
      <c r="C165" s="85" t="s">
        <v>3272</v>
      </c>
      <c r="D165" s="85" t="s">
        <v>3273</v>
      </c>
      <c r="E165" s="85" t="s">
        <v>3272</v>
      </c>
      <c r="F165" s="86">
        <v>4.06</v>
      </c>
      <c r="G165" s="86">
        <v>40</v>
      </c>
      <c r="H165" s="86">
        <v>162.4</v>
      </c>
      <c r="I165" s="86">
        <v>13176.9</v>
      </c>
      <c r="J165" s="85" t="s">
        <v>2965</v>
      </c>
      <c r="K165" s="85" t="s">
        <v>3320</v>
      </c>
      <c r="L165" s="85" t="s">
        <v>2906</v>
      </c>
      <c r="M165" s="85" t="s">
        <v>3503</v>
      </c>
    </row>
    <row r="166" ht="242.25" spans="1:13">
      <c r="A166" s="85" t="s">
        <v>3322</v>
      </c>
      <c r="B166" s="85" t="s">
        <v>3504</v>
      </c>
      <c r="C166" s="85" t="s">
        <v>3505</v>
      </c>
      <c r="D166" s="85" t="s">
        <v>3506</v>
      </c>
      <c r="E166" s="85" t="s">
        <v>3505</v>
      </c>
      <c r="F166" s="86">
        <v>19.31</v>
      </c>
      <c r="G166" s="86">
        <v>3</v>
      </c>
      <c r="H166" s="86">
        <v>57.93</v>
      </c>
      <c r="I166" s="86">
        <v>13176.9</v>
      </c>
      <c r="J166" s="85" t="s">
        <v>2965</v>
      </c>
      <c r="K166" s="85" t="s">
        <v>3320</v>
      </c>
      <c r="L166" s="85" t="s">
        <v>2906</v>
      </c>
      <c r="M166" s="85" t="s">
        <v>3507</v>
      </c>
    </row>
    <row r="167" ht="242.25" spans="1:13">
      <c r="A167" s="85" t="s">
        <v>3508</v>
      </c>
      <c r="B167" s="85" t="s">
        <v>3509</v>
      </c>
      <c r="C167" s="85" t="s">
        <v>3510</v>
      </c>
      <c r="D167" s="85" t="s">
        <v>3511</v>
      </c>
      <c r="E167" s="85" t="s">
        <v>3510</v>
      </c>
      <c r="F167" s="86">
        <v>4980</v>
      </c>
      <c r="G167" s="86">
        <v>1</v>
      </c>
      <c r="H167" s="86">
        <v>4980</v>
      </c>
      <c r="I167" s="86">
        <v>4980</v>
      </c>
      <c r="J167" s="85" t="s">
        <v>3512</v>
      </c>
      <c r="K167" s="85" t="s">
        <v>3513</v>
      </c>
      <c r="L167" s="85" t="s">
        <v>2906</v>
      </c>
      <c r="M167" s="85" t="s">
        <v>3514</v>
      </c>
    </row>
    <row r="168" ht="242.25" spans="1:13">
      <c r="A168" s="85" t="s">
        <v>3515</v>
      </c>
      <c r="B168" s="85" t="s">
        <v>3509</v>
      </c>
      <c r="C168" s="85" t="s">
        <v>3510</v>
      </c>
      <c r="D168" s="85" t="s">
        <v>3511</v>
      </c>
      <c r="E168" s="85" t="s">
        <v>3510</v>
      </c>
      <c r="F168" s="86">
        <v>13250</v>
      </c>
      <c r="G168" s="86">
        <v>1</v>
      </c>
      <c r="H168" s="86">
        <v>13250</v>
      </c>
      <c r="I168" s="86">
        <v>13250</v>
      </c>
      <c r="J168" s="85" t="s">
        <v>3516</v>
      </c>
      <c r="K168" s="85" t="s">
        <v>3517</v>
      </c>
      <c r="L168" s="85" t="s">
        <v>2906</v>
      </c>
      <c r="M168" s="85" t="s">
        <v>3518</v>
      </c>
    </row>
    <row r="169" ht="242.25" spans="1:13">
      <c r="A169" s="85" t="s">
        <v>3519</v>
      </c>
      <c r="B169" s="85" t="s">
        <v>3123</v>
      </c>
      <c r="C169" s="85" t="s">
        <v>3124</v>
      </c>
      <c r="D169" s="85" t="s">
        <v>3125</v>
      </c>
      <c r="E169" s="85" t="s">
        <v>3124</v>
      </c>
      <c r="F169" s="86">
        <v>250000</v>
      </c>
      <c r="G169" s="86">
        <v>1</v>
      </c>
      <c r="H169" s="86">
        <v>250000</v>
      </c>
      <c r="I169" s="86">
        <v>250000</v>
      </c>
      <c r="J169" s="85" t="s">
        <v>3520</v>
      </c>
      <c r="K169" s="85" t="s">
        <v>3521</v>
      </c>
      <c r="L169" s="85" t="s">
        <v>2906</v>
      </c>
      <c r="M169" s="85" t="s">
        <v>3522</v>
      </c>
    </row>
    <row r="170" ht="242.25" spans="1:13">
      <c r="A170" s="85" t="s">
        <v>3523</v>
      </c>
      <c r="B170" s="85" t="s">
        <v>3123</v>
      </c>
      <c r="C170" s="85" t="s">
        <v>3124</v>
      </c>
      <c r="D170" s="85" t="s">
        <v>3125</v>
      </c>
      <c r="E170" s="85" t="s">
        <v>3124</v>
      </c>
      <c r="F170" s="86">
        <v>250000</v>
      </c>
      <c r="G170" s="86">
        <v>1</v>
      </c>
      <c r="H170" s="86">
        <v>250000</v>
      </c>
      <c r="I170" s="86">
        <v>250000</v>
      </c>
      <c r="J170" s="85" t="s">
        <v>3524</v>
      </c>
      <c r="K170" s="85" t="s">
        <v>3521</v>
      </c>
      <c r="L170" s="85" t="s">
        <v>2906</v>
      </c>
      <c r="M170" s="85" t="s">
        <v>3525</v>
      </c>
    </row>
    <row r="171" ht="327.75" spans="1:13">
      <c r="A171" s="85" t="s">
        <v>3526</v>
      </c>
      <c r="B171" s="85" t="s">
        <v>3151</v>
      </c>
      <c r="C171" s="85" t="s">
        <v>3152</v>
      </c>
      <c r="D171" s="85" t="s">
        <v>3153</v>
      </c>
      <c r="E171" s="85" t="s">
        <v>3152</v>
      </c>
      <c r="F171" s="86">
        <v>49.57</v>
      </c>
      <c r="G171" s="86">
        <v>10</v>
      </c>
      <c r="H171" s="86">
        <v>495.7</v>
      </c>
      <c r="I171" s="86">
        <v>495.7</v>
      </c>
      <c r="J171" s="85" t="s">
        <v>2965</v>
      </c>
      <c r="K171" s="85" t="s">
        <v>3527</v>
      </c>
      <c r="L171" s="85" t="s">
        <v>2906</v>
      </c>
      <c r="M171" s="85" t="s">
        <v>3528</v>
      </c>
    </row>
    <row r="172" ht="242.25" spans="1:13">
      <c r="A172" s="85" t="s">
        <v>3529</v>
      </c>
      <c r="B172" s="85" t="s">
        <v>3530</v>
      </c>
      <c r="C172" s="85" t="s">
        <v>3531</v>
      </c>
      <c r="D172" s="85" t="s">
        <v>3532</v>
      </c>
      <c r="E172" s="85" t="s">
        <v>3533</v>
      </c>
      <c r="F172" s="86">
        <v>194.04</v>
      </c>
      <c r="G172" s="86">
        <v>10</v>
      </c>
      <c r="H172" s="86">
        <v>1940.4</v>
      </c>
      <c r="I172" s="86">
        <v>34196.4</v>
      </c>
      <c r="J172" s="85" t="s">
        <v>2938</v>
      </c>
      <c r="K172" s="85" t="s">
        <v>3534</v>
      </c>
      <c r="L172" s="85" t="s">
        <v>2906</v>
      </c>
      <c r="M172" s="85" t="s">
        <v>3535</v>
      </c>
    </row>
    <row r="173" ht="242.25" spans="1:13">
      <c r="A173" s="85" t="s">
        <v>3529</v>
      </c>
      <c r="B173" s="85" t="s">
        <v>3536</v>
      </c>
      <c r="C173" s="85" t="s">
        <v>3537</v>
      </c>
      <c r="D173" s="85" t="s">
        <v>3538</v>
      </c>
      <c r="E173" s="85" t="s">
        <v>3539</v>
      </c>
      <c r="F173" s="86">
        <v>274.4</v>
      </c>
      <c r="G173" s="86">
        <v>5</v>
      </c>
      <c r="H173" s="86">
        <v>1372</v>
      </c>
      <c r="I173" s="86">
        <v>34196.4</v>
      </c>
      <c r="J173" s="85" t="s">
        <v>2938</v>
      </c>
      <c r="K173" s="85" t="s">
        <v>3534</v>
      </c>
      <c r="L173" s="85" t="s">
        <v>2906</v>
      </c>
      <c r="M173" s="85" t="s">
        <v>3540</v>
      </c>
    </row>
    <row r="174" ht="242.25" spans="1:13">
      <c r="A174" s="85" t="s">
        <v>3529</v>
      </c>
      <c r="B174" s="85" t="s">
        <v>3541</v>
      </c>
      <c r="C174" s="85" t="s">
        <v>3542</v>
      </c>
      <c r="D174" s="85" t="s">
        <v>3543</v>
      </c>
      <c r="E174" s="85" t="s">
        <v>3544</v>
      </c>
      <c r="F174" s="86">
        <v>118</v>
      </c>
      <c r="G174" s="86">
        <v>238</v>
      </c>
      <c r="H174" s="86">
        <v>28084</v>
      </c>
      <c r="I174" s="86">
        <v>34196.4</v>
      </c>
      <c r="J174" s="85" t="s">
        <v>2938</v>
      </c>
      <c r="K174" s="85" t="s">
        <v>3534</v>
      </c>
      <c r="L174" s="85" t="s">
        <v>2906</v>
      </c>
      <c r="M174" s="85" t="s">
        <v>3545</v>
      </c>
    </row>
    <row r="175" ht="242.25" spans="1:13">
      <c r="A175" s="85" t="s">
        <v>3529</v>
      </c>
      <c r="B175" s="85" t="s">
        <v>3546</v>
      </c>
      <c r="C175" s="85" t="s">
        <v>3547</v>
      </c>
      <c r="D175" s="85" t="s">
        <v>3548</v>
      </c>
      <c r="E175" s="85" t="s">
        <v>1835</v>
      </c>
      <c r="F175" s="86">
        <v>350</v>
      </c>
      <c r="G175" s="86">
        <v>8</v>
      </c>
      <c r="H175" s="86">
        <v>2800</v>
      </c>
      <c r="I175" s="86">
        <v>34196.4</v>
      </c>
      <c r="J175" s="85" t="s">
        <v>2938</v>
      </c>
      <c r="K175" s="85" t="s">
        <v>3534</v>
      </c>
      <c r="L175" s="85" t="s">
        <v>2906</v>
      </c>
      <c r="M175" s="85" t="s">
        <v>3549</v>
      </c>
    </row>
    <row r="176" ht="242.25" spans="1:13">
      <c r="A176" s="85" t="s">
        <v>3550</v>
      </c>
      <c r="B176" s="85" t="s">
        <v>3160</v>
      </c>
      <c r="C176" s="85" t="s">
        <v>3161</v>
      </c>
      <c r="D176" s="85" t="s">
        <v>3046</v>
      </c>
      <c r="E176" s="85" t="s">
        <v>3161</v>
      </c>
      <c r="F176" s="86">
        <v>29.49</v>
      </c>
      <c r="G176" s="86">
        <v>15</v>
      </c>
      <c r="H176" s="86">
        <v>442.35</v>
      </c>
      <c r="I176" s="86">
        <v>16357.35</v>
      </c>
      <c r="J176" s="85" t="s">
        <v>2965</v>
      </c>
      <c r="K176" s="85" t="s">
        <v>3551</v>
      </c>
      <c r="L176" s="85" t="s">
        <v>2906</v>
      </c>
      <c r="M176" s="85" t="s">
        <v>3552</v>
      </c>
    </row>
    <row r="177" ht="242.25" spans="1:13">
      <c r="A177" s="85" t="s">
        <v>3550</v>
      </c>
      <c r="B177" s="85" t="s">
        <v>3553</v>
      </c>
      <c r="C177" s="85" t="s">
        <v>3554</v>
      </c>
      <c r="D177" s="85" t="s">
        <v>3406</v>
      </c>
      <c r="E177" s="85" t="s">
        <v>3554</v>
      </c>
      <c r="F177" s="86">
        <v>510.65</v>
      </c>
      <c r="G177" s="86">
        <v>1</v>
      </c>
      <c r="H177" s="86">
        <v>510.65</v>
      </c>
      <c r="I177" s="86">
        <v>16357.35</v>
      </c>
      <c r="J177" s="85" t="s">
        <v>2965</v>
      </c>
      <c r="K177" s="85" t="s">
        <v>3551</v>
      </c>
      <c r="L177" s="85" t="s">
        <v>2906</v>
      </c>
      <c r="M177" s="85" t="s">
        <v>3555</v>
      </c>
    </row>
    <row r="178" ht="242.25" spans="1:13">
      <c r="A178" s="85" t="s">
        <v>3550</v>
      </c>
      <c r="B178" s="85" t="s">
        <v>3556</v>
      </c>
      <c r="C178" s="85" t="s">
        <v>3557</v>
      </c>
      <c r="D178" s="85" t="s">
        <v>3288</v>
      </c>
      <c r="E178" s="85" t="s">
        <v>3557</v>
      </c>
      <c r="F178" s="86">
        <v>44</v>
      </c>
      <c r="G178" s="86">
        <v>1</v>
      </c>
      <c r="H178" s="86">
        <v>44</v>
      </c>
      <c r="I178" s="86">
        <v>16357.35</v>
      </c>
      <c r="J178" s="85" t="s">
        <v>2965</v>
      </c>
      <c r="K178" s="85" t="s">
        <v>3551</v>
      </c>
      <c r="L178" s="85" t="s">
        <v>2906</v>
      </c>
      <c r="M178" s="85" t="s">
        <v>3558</v>
      </c>
    </row>
    <row r="179" ht="242.25" spans="1:13">
      <c r="A179" s="85" t="s">
        <v>3550</v>
      </c>
      <c r="B179" s="85" t="s">
        <v>3559</v>
      </c>
      <c r="C179" s="85" t="s">
        <v>3560</v>
      </c>
      <c r="D179" s="85" t="s">
        <v>3561</v>
      </c>
      <c r="E179" s="85" t="s">
        <v>3560</v>
      </c>
      <c r="F179" s="86">
        <v>113.38</v>
      </c>
      <c r="G179" s="86">
        <v>2</v>
      </c>
      <c r="H179" s="86">
        <v>226.76</v>
      </c>
      <c r="I179" s="86">
        <v>16357.35</v>
      </c>
      <c r="J179" s="85" t="s">
        <v>2965</v>
      </c>
      <c r="K179" s="85" t="s">
        <v>3551</v>
      </c>
      <c r="L179" s="85" t="s">
        <v>2906</v>
      </c>
      <c r="M179" s="85" t="s">
        <v>3562</v>
      </c>
    </row>
    <row r="180" ht="242.25" spans="1:13">
      <c r="A180" s="85" t="s">
        <v>3563</v>
      </c>
      <c r="B180" s="85" t="s">
        <v>3564</v>
      </c>
      <c r="C180" s="85" t="s">
        <v>3565</v>
      </c>
      <c r="D180" s="85" t="s">
        <v>3566</v>
      </c>
      <c r="E180" s="85" t="s">
        <v>3567</v>
      </c>
      <c r="F180" s="86">
        <v>9.13</v>
      </c>
      <c r="G180" s="86">
        <v>30</v>
      </c>
      <c r="H180" s="86">
        <v>273.9</v>
      </c>
      <c r="I180" s="86">
        <v>13292.62</v>
      </c>
      <c r="J180" s="85" t="s">
        <v>2958</v>
      </c>
      <c r="K180" s="85" t="s">
        <v>3551</v>
      </c>
      <c r="L180" s="85" t="s">
        <v>2906</v>
      </c>
      <c r="M180" s="85" t="s">
        <v>3568</v>
      </c>
    </row>
    <row r="181" ht="242.25" spans="1:13">
      <c r="A181" s="85" t="s">
        <v>3563</v>
      </c>
      <c r="B181" s="85" t="s">
        <v>3569</v>
      </c>
      <c r="C181" s="85" t="s">
        <v>3570</v>
      </c>
      <c r="D181" s="85" t="s">
        <v>3201</v>
      </c>
      <c r="E181" s="85" t="s">
        <v>3209</v>
      </c>
      <c r="F181" s="86">
        <v>5.88</v>
      </c>
      <c r="G181" s="86">
        <v>150</v>
      </c>
      <c r="H181" s="86">
        <v>882</v>
      </c>
      <c r="I181" s="86">
        <v>13292.62</v>
      </c>
      <c r="J181" s="85" t="s">
        <v>2958</v>
      </c>
      <c r="K181" s="85" t="s">
        <v>3551</v>
      </c>
      <c r="L181" s="85" t="s">
        <v>2906</v>
      </c>
      <c r="M181" s="85" t="s">
        <v>3571</v>
      </c>
    </row>
    <row r="182" ht="242.25" spans="1:13">
      <c r="A182" s="85" t="s">
        <v>3563</v>
      </c>
      <c r="B182" s="85" t="s">
        <v>2985</v>
      </c>
      <c r="C182" s="85" t="s">
        <v>2986</v>
      </c>
      <c r="D182" s="85" t="s">
        <v>2987</v>
      </c>
      <c r="E182" s="85" t="s">
        <v>2988</v>
      </c>
      <c r="F182" s="86">
        <v>3.95</v>
      </c>
      <c r="G182" s="86">
        <v>60</v>
      </c>
      <c r="H182" s="86">
        <v>237</v>
      </c>
      <c r="I182" s="86">
        <v>13292.62</v>
      </c>
      <c r="J182" s="85" t="s">
        <v>2958</v>
      </c>
      <c r="K182" s="85" t="s">
        <v>3551</v>
      </c>
      <c r="L182" s="85" t="s">
        <v>2906</v>
      </c>
      <c r="M182" s="85" t="s">
        <v>3572</v>
      </c>
    </row>
    <row r="183" ht="242.25" spans="1:13">
      <c r="A183" s="85" t="s">
        <v>3550</v>
      </c>
      <c r="B183" s="85" t="s">
        <v>3573</v>
      </c>
      <c r="C183" s="85" t="s">
        <v>3574</v>
      </c>
      <c r="D183" s="85" t="s">
        <v>3575</v>
      </c>
      <c r="E183" s="85" t="s">
        <v>3574</v>
      </c>
      <c r="F183" s="86">
        <v>262.39</v>
      </c>
      <c r="G183" s="86">
        <v>5</v>
      </c>
      <c r="H183" s="86">
        <v>1311.95</v>
      </c>
      <c r="I183" s="86">
        <v>16357.35</v>
      </c>
      <c r="J183" s="85" t="s">
        <v>2965</v>
      </c>
      <c r="K183" s="85" t="s">
        <v>3551</v>
      </c>
      <c r="L183" s="85" t="s">
        <v>2906</v>
      </c>
      <c r="M183" s="85" t="s">
        <v>3576</v>
      </c>
    </row>
    <row r="184" ht="242.25" spans="1:13">
      <c r="A184" s="85" t="s">
        <v>3550</v>
      </c>
      <c r="B184" s="85" t="s">
        <v>3577</v>
      </c>
      <c r="C184" s="85" t="s">
        <v>3578</v>
      </c>
      <c r="D184" s="85" t="s">
        <v>3579</v>
      </c>
      <c r="E184" s="85" t="s">
        <v>3578</v>
      </c>
      <c r="F184" s="86">
        <v>233.73</v>
      </c>
      <c r="G184" s="86">
        <v>2</v>
      </c>
      <c r="H184" s="86">
        <v>467.46</v>
      </c>
      <c r="I184" s="86">
        <v>16357.35</v>
      </c>
      <c r="J184" s="85" t="s">
        <v>2965</v>
      </c>
      <c r="K184" s="85" t="s">
        <v>3551</v>
      </c>
      <c r="L184" s="85" t="s">
        <v>2906</v>
      </c>
      <c r="M184" s="85" t="s">
        <v>3580</v>
      </c>
    </row>
    <row r="185" ht="242.25" spans="1:13">
      <c r="A185" s="85" t="s">
        <v>3581</v>
      </c>
      <c r="B185" s="85" t="s">
        <v>3582</v>
      </c>
      <c r="C185" s="85" t="s">
        <v>3583</v>
      </c>
      <c r="D185" s="85" t="s">
        <v>3584</v>
      </c>
      <c r="E185" s="85" t="s">
        <v>3585</v>
      </c>
      <c r="F185" s="86">
        <v>160</v>
      </c>
      <c r="G185" s="86">
        <v>1</v>
      </c>
      <c r="H185" s="86">
        <v>160</v>
      </c>
      <c r="I185" s="86">
        <v>160</v>
      </c>
      <c r="J185" s="85" t="s">
        <v>2935</v>
      </c>
      <c r="K185" s="85" t="s">
        <v>3551</v>
      </c>
      <c r="L185" s="85" t="s">
        <v>2906</v>
      </c>
      <c r="M185" s="85" t="s">
        <v>3586</v>
      </c>
    </row>
    <row r="186" ht="242.25" spans="1:13">
      <c r="A186" s="85" t="s">
        <v>3587</v>
      </c>
      <c r="B186" s="85" t="s">
        <v>3588</v>
      </c>
      <c r="C186" s="85" t="s">
        <v>3589</v>
      </c>
      <c r="D186" s="85" t="s">
        <v>3074</v>
      </c>
      <c r="E186" s="85" t="s">
        <v>1969</v>
      </c>
      <c r="F186" s="86">
        <v>388</v>
      </c>
      <c r="G186" s="86">
        <v>10</v>
      </c>
      <c r="H186" s="86">
        <v>3880</v>
      </c>
      <c r="I186" s="86">
        <v>6136</v>
      </c>
      <c r="J186" s="85" t="s">
        <v>3075</v>
      </c>
      <c r="K186" s="85" t="s">
        <v>3551</v>
      </c>
      <c r="L186" s="85" t="s">
        <v>2906</v>
      </c>
      <c r="M186" s="85" t="s">
        <v>3590</v>
      </c>
    </row>
    <row r="187" ht="242.25" spans="1:13">
      <c r="A187" s="85" t="s">
        <v>3550</v>
      </c>
      <c r="B187" s="85" t="s">
        <v>3591</v>
      </c>
      <c r="C187" s="85" t="s">
        <v>3592</v>
      </c>
      <c r="D187" s="85" t="s">
        <v>3593</v>
      </c>
      <c r="E187" s="85" t="s">
        <v>3592</v>
      </c>
      <c r="F187" s="86">
        <v>1.49</v>
      </c>
      <c r="G187" s="86">
        <v>120</v>
      </c>
      <c r="H187" s="86">
        <v>178.8</v>
      </c>
      <c r="I187" s="86">
        <v>16357.35</v>
      </c>
      <c r="J187" s="85" t="s">
        <v>2965</v>
      </c>
      <c r="K187" s="85" t="s">
        <v>3551</v>
      </c>
      <c r="L187" s="85" t="s">
        <v>2906</v>
      </c>
      <c r="M187" s="85" t="s">
        <v>3594</v>
      </c>
    </row>
    <row r="188" ht="242.25" spans="1:13">
      <c r="A188" s="85" t="s">
        <v>3563</v>
      </c>
      <c r="B188" s="85" t="s">
        <v>3063</v>
      </c>
      <c r="C188" s="85" t="s">
        <v>3064</v>
      </c>
      <c r="D188" s="85" t="s">
        <v>2992</v>
      </c>
      <c r="E188" s="85" t="s">
        <v>1815</v>
      </c>
      <c r="F188" s="86">
        <v>5.3</v>
      </c>
      <c r="G188" s="86">
        <v>500</v>
      </c>
      <c r="H188" s="86">
        <v>2650</v>
      </c>
      <c r="I188" s="86">
        <v>13292.62</v>
      </c>
      <c r="J188" s="85" t="s">
        <v>2958</v>
      </c>
      <c r="K188" s="85" t="s">
        <v>3551</v>
      </c>
      <c r="L188" s="85" t="s">
        <v>2906</v>
      </c>
      <c r="M188" s="85" t="s">
        <v>3595</v>
      </c>
    </row>
    <row r="189" ht="242.25" spans="1:13">
      <c r="A189" s="85" t="s">
        <v>3550</v>
      </c>
      <c r="B189" s="85" t="s">
        <v>3596</v>
      </c>
      <c r="C189" s="85" t="s">
        <v>3597</v>
      </c>
      <c r="D189" s="85" t="s">
        <v>3352</v>
      </c>
      <c r="E189" s="85" t="s">
        <v>3597</v>
      </c>
      <c r="F189" s="86">
        <v>262.39</v>
      </c>
      <c r="G189" s="86">
        <v>5</v>
      </c>
      <c r="H189" s="86">
        <v>1311.95</v>
      </c>
      <c r="I189" s="86">
        <v>16357.35</v>
      </c>
      <c r="J189" s="85" t="s">
        <v>2965</v>
      </c>
      <c r="K189" s="85" t="s">
        <v>3551</v>
      </c>
      <c r="L189" s="85" t="s">
        <v>2906</v>
      </c>
      <c r="M189" s="85" t="s">
        <v>3598</v>
      </c>
    </row>
    <row r="190" ht="242.25" spans="1:13">
      <c r="A190" s="85" t="s">
        <v>3563</v>
      </c>
      <c r="B190" s="85" t="s">
        <v>3599</v>
      </c>
      <c r="C190" s="85" t="s">
        <v>3600</v>
      </c>
      <c r="D190" s="85" t="s">
        <v>2977</v>
      </c>
      <c r="E190" s="85" t="s">
        <v>3601</v>
      </c>
      <c r="F190" s="86">
        <v>12.3</v>
      </c>
      <c r="G190" s="86">
        <v>2</v>
      </c>
      <c r="H190" s="86">
        <v>24.6</v>
      </c>
      <c r="I190" s="86">
        <v>13292.62</v>
      </c>
      <c r="J190" s="85" t="s">
        <v>2958</v>
      </c>
      <c r="K190" s="85" t="s">
        <v>3551</v>
      </c>
      <c r="L190" s="85" t="s">
        <v>2906</v>
      </c>
      <c r="M190" s="85" t="s">
        <v>3602</v>
      </c>
    </row>
    <row r="191" ht="242.25" spans="1:13">
      <c r="A191" s="85" t="s">
        <v>3563</v>
      </c>
      <c r="B191" s="85" t="s">
        <v>3077</v>
      </c>
      <c r="C191" s="85" t="s">
        <v>3078</v>
      </c>
      <c r="D191" s="85" t="s">
        <v>2992</v>
      </c>
      <c r="E191" s="85" t="s">
        <v>1815</v>
      </c>
      <c r="F191" s="86">
        <v>36</v>
      </c>
      <c r="G191" s="86">
        <v>60</v>
      </c>
      <c r="H191" s="86">
        <v>2160</v>
      </c>
      <c r="I191" s="86">
        <v>13292.62</v>
      </c>
      <c r="J191" s="85" t="s">
        <v>2958</v>
      </c>
      <c r="K191" s="85" t="s">
        <v>3551</v>
      </c>
      <c r="L191" s="85" t="s">
        <v>2906</v>
      </c>
      <c r="M191" s="85" t="s">
        <v>3603</v>
      </c>
    </row>
    <row r="192" ht="242.25" spans="1:13">
      <c r="A192" s="85" t="s">
        <v>3550</v>
      </c>
      <c r="B192" s="85" t="s">
        <v>3604</v>
      </c>
      <c r="C192" s="85" t="s">
        <v>3605</v>
      </c>
      <c r="D192" s="85" t="s">
        <v>3575</v>
      </c>
      <c r="E192" s="85" t="s">
        <v>3605</v>
      </c>
      <c r="F192" s="86">
        <v>269.37</v>
      </c>
      <c r="G192" s="86">
        <v>5</v>
      </c>
      <c r="H192" s="86">
        <v>1346.85</v>
      </c>
      <c r="I192" s="86">
        <v>16357.35</v>
      </c>
      <c r="J192" s="85" t="s">
        <v>2965</v>
      </c>
      <c r="K192" s="85" t="s">
        <v>3551</v>
      </c>
      <c r="L192" s="85" t="s">
        <v>2906</v>
      </c>
      <c r="M192" s="85" t="s">
        <v>3606</v>
      </c>
    </row>
    <row r="193" ht="242.25" spans="1:13">
      <c r="A193" s="85" t="s">
        <v>3607</v>
      </c>
      <c r="B193" s="85" t="s">
        <v>3608</v>
      </c>
      <c r="C193" s="85" t="s">
        <v>3609</v>
      </c>
      <c r="D193" s="85" t="s">
        <v>3610</v>
      </c>
      <c r="E193" s="85" t="s">
        <v>3611</v>
      </c>
      <c r="F193" s="86">
        <v>38.42</v>
      </c>
      <c r="G193" s="86">
        <v>5</v>
      </c>
      <c r="H193" s="86">
        <v>192.1</v>
      </c>
      <c r="I193" s="86">
        <v>192.1</v>
      </c>
      <c r="J193" s="85" t="s">
        <v>3612</v>
      </c>
      <c r="K193" s="85" t="s">
        <v>3551</v>
      </c>
      <c r="L193" s="85" t="s">
        <v>2906</v>
      </c>
      <c r="M193" s="85" t="s">
        <v>3613</v>
      </c>
    </row>
    <row r="194" ht="242.25" spans="1:13">
      <c r="A194" s="85" t="s">
        <v>3614</v>
      </c>
      <c r="B194" s="85" t="s">
        <v>3615</v>
      </c>
      <c r="C194" s="85" t="s">
        <v>3616</v>
      </c>
      <c r="D194" s="85" t="s">
        <v>3617</v>
      </c>
      <c r="E194" s="85" t="s">
        <v>3618</v>
      </c>
      <c r="F194" s="86">
        <v>5.4</v>
      </c>
      <c r="G194" s="86">
        <v>50</v>
      </c>
      <c r="H194" s="86">
        <v>270</v>
      </c>
      <c r="I194" s="86">
        <v>270</v>
      </c>
      <c r="J194" s="85" t="s">
        <v>2999</v>
      </c>
      <c r="K194" s="85" t="s">
        <v>3551</v>
      </c>
      <c r="L194" s="85" t="s">
        <v>2906</v>
      </c>
      <c r="M194" s="85" t="s">
        <v>3619</v>
      </c>
    </row>
    <row r="195" ht="242.25" spans="1:13">
      <c r="A195" s="85" t="s">
        <v>3550</v>
      </c>
      <c r="B195" s="85" t="s">
        <v>3620</v>
      </c>
      <c r="C195" s="85" t="s">
        <v>3621</v>
      </c>
      <c r="D195" s="85" t="s">
        <v>3003</v>
      </c>
      <c r="E195" s="85" t="s">
        <v>3621</v>
      </c>
      <c r="F195" s="86">
        <v>101.61</v>
      </c>
      <c r="G195" s="86">
        <v>4</v>
      </c>
      <c r="H195" s="86">
        <v>406.44</v>
      </c>
      <c r="I195" s="86">
        <v>16357.35</v>
      </c>
      <c r="J195" s="85" t="s">
        <v>2965</v>
      </c>
      <c r="K195" s="85" t="s">
        <v>3551</v>
      </c>
      <c r="L195" s="85" t="s">
        <v>2906</v>
      </c>
      <c r="M195" s="85" t="s">
        <v>3622</v>
      </c>
    </row>
    <row r="196" ht="242.25" spans="1:13">
      <c r="A196" s="85" t="s">
        <v>3550</v>
      </c>
      <c r="B196" s="85" t="s">
        <v>3623</v>
      </c>
      <c r="C196" s="85" t="s">
        <v>3624</v>
      </c>
      <c r="D196" s="85" t="s">
        <v>3625</v>
      </c>
      <c r="E196" s="85" t="s">
        <v>3624</v>
      </c>
      <c r="F196" s="86">
        <v>24.55</v>
      </c>
      <c r="G196" s="86">
        <v>2</v>
      </c>
      <c r="H196" s="86">
        <v>49.1</v>
      </c>
      <c r="I196" s="86">
        <v>16357.35</v>
      </c>
      <c r="J196" s="85" t="s">
        <v>2965</v>
      </c>
      <c r="K196" s="85" t="s">
        <v>3551</v>
      </c>
      <c r="L196" s="85" t="s">
        <v>2906</v>
      </c>
      <c r="M196" s="85" t="s">
        <v>3626</v>
      </c>
    </row>
    <row r="197" ht="242.25" spans="1:13">
      <c r="A197" s="85" t="s">
        <v>3550</v>
      </c>
      <c r="B197" s="85" t="s">
        <v>3012</v>
      </c>
      <c r="C197" s="85" t="s">
        <v>3013</v>
      </c>
      <c r="D197" s="85" t="s">
        <v>3014</v>
      </c>
      <c r="E197" s="85" t="s">
        <v>3013</v>
      </c>
      <c r="F197" s="86">
        <v>17.8</v>
      </c>
      <c r="G197" s="86">
        <v>1</v>
      </c>
      <c r="H197" s="86">
        <v>17.8</v>
      </c>
      <c r="I197" s="86">
        <v>16357.35</v>
      </c>
      <c r="J197" s="85" t="s">
        <v>2965</v>
      </c>
      <c r="K197" s="85" t="s">
        <v>3551</v>
      </c>
      <c r="L197" s="85" t="s">
        <v>2906</v>
      </c>
      <c r="M197" s="85" t="s">
        <v>3627</v>
      </c>
    </row>
    <row r="198" ht="242.25" spans="1:13">
      <c r="A198" s="85" t="s">
        <v>3550</v>
      </c>
      <c r="B198" s="85" t="s">
        <v>3628</v>
      </c>
      <c r="C198" s="85" t="s">
        <v>3629</v>
      </c>
      <c r="D198" s="85" t="s">
        <v>3054</v>
      </c>
      <c r="E198" s="85" t="s">
        <v>3629</v>
      </c>
      <c r="F198" s="86">
        <v>38.61</v>
      </c>
      <c r="G198" s="86">
        <v>10</v>
      </c>
      <c r="H198" s="86">
        <v>386.1</v>
      </c>
      <c r="I198" s="86">
        <v>16357.35</v>
      </c>
      <c r="J198" s="85" t="s">
        <v>2965</v>
      </c>
      <c r="K198" s="85" t="s">
        <v>3551</v>
      </c>
      <c r="L198" s="85" t="s">
        <v>2906</v>
      </c>
      <c r="M198" s="85" t="s">
        <v>3630</v>
      </c>
    </row>
    <row r="199" ht="242.25" spans="1:13">
      <c r="A199" s="85" t="s">
        <v>3550</v>
      </c>
      <c r="B199" s="85" t="s">
        <v>3631</v>
      </c>
      <c r="C199" s="85" t="s">
        <v>3632</v>
      </c>
      <c r="D199" s="85" t="s">
        <v>3633</v>
      </c>
      <c r="E199" s="85" t="s">
        <v>3632</v>
      </c>
      <c r="F199" s="86">
        <v>19.71</v>
      </c>
      <c r="G199" s="86">
        <v>10</v>
      </c>
      <c r="H199" s="86">
        <v>197.1</v>
      </c>
      <c r="I199" s="86">
        <v>16357.35</v>
      </c>
      <c r="J199" s="85" t="s">
        <v>2965</v>
      </c>
      <c r="K199" s="85" t="s">
        <v>3551</v>
      </c>
      <c r="L199" s="85" t="s">
        <v>2906</v>
      </c>
      <c r="M199" s="85" t="s">
        <v>3634</v>
      </c>
    </row>
    <row r="200" ht="242.25" spans="1:13">
      <c r="A200" s="85" t="s">
        <v>3550</v>
      </c>
      <c r="B200" s="85" t="s">
        <v>3635</v>
      </c>
      <c r="C200" s="85" t="s">
        <v>3636</v>
      </c>
      <c r="D200" s="85" t="s">
        <v>3637</v>
      </c>
      <c r="E200" s="85" t="s">
        <v>3636</v>
      </c>
      <c r="F200" s="86">
        <v>67.41</v>
      </c>
      <c r="G200" s="86">
        <v>20</v>
      </c>
      <c r="H200" s="86">
        <v>1348.2</v>
      </c>
      <c r="I200" s="86">
        <v>16357.35</v>
      </c>
      <c r="J200" s="85" t="s">
        <v>2965</v>
      </c>
      <c r="K200" s="85" t="s">
        <v>3551</v>
      </c>
      <c r="L200" s="85" t="s">
        <v>2906</v>
      </c>
      <c r="M200" s="85" t="s">
        <v>3638</v>
      </c>
    </row>
    <row r="201" ht="242.25" spans="1:13">
      <c r="A201" s="85" t="s">
        <v>3550</v>
      </c>
      <c r="B201" s="85" t="s">
        <v>3639</v>
      </c>
      <c r="C201" s="85" t="s">
        <v>3640</v>
      </c>
      <c r="D201" s="85" t="s">
        <v>3641</v>
      </c>
      <c r="E201" s="85" t="s">
        <v>3640</v>
      </c>
      <c r="F201" s="86">
        <v>50.46</v>
      </c>
      <c r="G201" s="86">
        <v>2</v>
      </c>
      <c r="H201" s="86">
        <v>100.92</v>
      </c>
      <c r="I201" s="86">
        <v>16357.35</v>
      </c>
      <c r="J201" s="85" t="s">
        <v>2965</v>
      </c>
      <c r="K201" s="85" t="s">
        <v>3551</v>
      </c>
      <c r="L201" s="85" t="s">
        <v>2906</v>
      </c>
      <c r="M201" s="85" t="s">
        <v>3642</v>
      </c>
    </row>
    <row r="202" ht="242.25" spans="1:13">
      <c r="A202" s="85" t="s">
        <v>3563</v>
      </c>
      <c r="B202" s="85" t="s">
        <v>3643</v>
      </c>
      <c r="C202" s="85" t="s">
        <v>3644</v>
      </c>
      <c r="D202" s="85" t="s">
        <v>2982</v>
      </c>
      <c r="E202" s="85" t="s">
        <v>3645</v>
      </c>
      <c r="F202" s="86">
        <v>8</v>
      </c>
      <c r="G202" s="86">
        <v>100</v>
      </c>
      <c r="H202" s="86">
        <v>800</v>
      </c>
      <c r="I202" s="86">
        <v>13292.62</v>
      </c>
      <c r="J202" s="85" t="s">
        <v>2958</v>
      </c>
      <c r="K202" s="85" t="s">
        <v>3551</v>
      </c>
      <c r="L202" s="85" t="s">
        <v>2906</v>
      </c>
      <c r="M202" s="85" t="s">
        <v>3646</v>
      </c>
    </row>
    <row r="203" ht="242.25" spans="1:13">
      <c r="A203" s="85" t="s">
        <v>3550</v>
      </c>
      <c r="B203" s="85" t="s">
        <v>3647</v>
      </c>
      <c r="C203" s="85" t="s">
        <v>3648</v>
      </c>
      <c r="D203" s="85" t="s">
        <v>3641</v>
      </c>
      <c r="E203" s="85" t="s">
        <v>3648</v>
      </c>
      <c r="F203" s="86">
        <v>58.29</v>
      </c>
      <c r="G203" s="86">
        <v>2</v>
      </c>
      <c r="H203" s="86">
        <v>116.58</v>
      </c>
      <c r="I203" s="86">
        <v>16357.35</v>
      </c>
      <c r="J203" s="85" t="s">
        <v>2965</v>
      </c>
      <c r="K203" s="85" t="s">
        <v>3551</v>
      </c>
      <c r="L203" s="85" t="s">
        <v>2906</v>
      </c>
      <c r="M203" s="85" t="s">
        <v>3649</v>
      </c>
    </row>
    <row r="204" ht="242.25" spans="1:13">
      <c r="A204" s="85" t="s">
        <v>3550</v>
      </c>
      <c r="B204" s="85" t="s">
        <v>3650</v>
      </c>
      <c r="C204" s="85" t="s">
        <v>3651</v>
      </c>
      <c r="D204" s="85" t="s">
        <v>3652</v>
      </c>
      <c r="E204" s="85" t="s">
        <v>3651</v>
      </c>
      <c r="F204" s="86">
        <v>14.3</v>
      </c>
      <c r="G204" s="86">
        <v>20</v>
      </c>
      <c r="H204" s="86">
        <v>286</v>
      </c>
      <c r="I204" s="86">
        <v>16357.35</v>
      </c>
      <c r="J204" s="85" t="s">
        <v>2965</v>
      </c>
      <c r="K204" s="85" t="s">
        <v>3551</v>
      </c>
      <c r="L204" s="85" t="s">
        <v>2906</v>
      </c>
      <c r="M204" s="85" t="s">
        <v>3653</v>
      </c>
    </row>
    <row r="205" ht="242.25" spans="1:13">
      <c r="A205" s="85" t="s">
        <v>3563</v>
      </c>
      <c r="B205" s="85" t="s">
        <v>3654</v>
      </c>
      <c r="C205" s="85" t="s">
        <v>3655</v>
      </c>
      <c r="D205" s="85" t="s">
        <v>3656</v>
      </c>
      <c r="E205" s="85" t="s">
        <v>3657</v>
      </c>
      <c r="F205" s="86">
        <v>19.6</v>
      </c>
      <c r="G205" s="86">
        <v>20</v>
      </c>
      <c r="H205" s="86">
        <v>392</v>
      </c>
      <c r="I205" s="86">
        <v>13292.62</v>
      </c>
      <c r="J205" s="85" t="s">
        <v>2958</v>
      </c>
      <c r="K205" s="85" t="s">
        <v>3551</v>
      </c>
      <c r="L205" s="85" t="s">
        <v>2906</v>
      </c>
      <c r="M205" s="85" t="s">
        <v>3658</v>
      </c>
    </row>
    <row r="206" ht="242.25" spans="1:13">
      <c r="A206" s="85" t="s">
        <v>3563</v>
      </c>
      <c r="B206" s="85" t="s">
        <v>3500</v>
      </c>
      <c r="C206" s="85" t="s">
        <v>3501</v>
      </c>
      <c r="D206" s="85" t="s">
        <v>2992</v>
      </c>
      <c r="E206" s="85" t="s">
        <v>1815</v>
      </c>
      <c r="F206" s="86">
        <v>17.7</v>
      </c>
      <c r="G206" s="86">
        <v>64</v>
      </c>
      <c r="H206" s="86">
        <v>1132.8</v>
      </c>
      <c r="I206" s="86">
        <v>13292.62</v>
      </c>
      <c r="J206" s="85" t="s">
        <v>2958</v>
      </c>
      <c r="K206" s="85" t="s">
        <v>3551</v>
      </c>
      <c r="L206" s="85" t="s">
        <v>2906</v>
      </c>
      <c r="M206" s="85" t="s">
        <v>3659</v>
      </c>
    </row>
    <row r="207" ht="242.25" spans="1:13">
      <c r="A207" s="85" t="s">
        <v>3563</v>
      </c>
      <c r="B207" s="85" t="s">
        <v>3660</v>
      </c>
      <c r="C207" s="85" t="s">
        <v>3661</v>
      </c>
      <c r="D207" s="85" t="s">
        <v>3201</v>
      </c>
      <c r="E207" s="85" t="s">
        <v>3662</v>
      </c>
      <c r="F207" s="86">
        <v>4.84</v>
      </c>
      <c r="G207" s="86">
        <v>100</v>
      </c>
      <c r="H207" s="86">
        <v>484</v>
      </c>
      <c r="I207" s="86">
        <v>13292.62</v>
      </c>
      <c r="J207" s="85" t="s">
        <v>2958</v>
      </c>
      <c r="K207" s="85" t="s">
        <v>3551</v>
      </c>
      <c r="L207" s="85" t="s">
        <v>2906</v>
      </c>
      <c r="M207" s="85" t="s">
        <v>3663</v>
      </c>
    </row>
    <row r="208" ht="242.25" spans="1:13">
      <c r="A208" s="85" t="s">
        <v>3550</v>
      </c>
      <c r="B208" s="85" t="s">
        <v>3664</v>
      </c>
      <c r="C208" s="85" t="s">
        <v>3665</v>
      </c>
      <c r="D208" s="85" t="s">
        <v>2973</v>
      </c>
      <c r="E208" s="85" t="s">
        <v>3665</v>
      </c>
      <c r="F208" s="86">
        <v>314.1</v>
      </c>
      <c r="G208" s="86">
        <v>1</v>
      </c>
      <c r="H208" s="86">
        <v>314.1</v>
      </c>
      <c r="I208" s="86">
        <v>16357.35</v>
      </c>
      <c r="J208" s="85" t="s">
        <v>2965</v>
      </c>
      <c r="K208" s="85" t="s">
        <v>3551</v>
      </c>
      <c r="L208" s="85" t="s">
        <v>2906</v>
      </c>
      <c r="M208" s="85" t="s">
        <v>3666</v>
      </c>
    </row>
    <row r="209" ht="242.25" spans="1:13">
      <c r="A209" s="85" t="s">
        <v>3550</v>
      </c>
      <c r="B209" s="85" t="s">
        <v>3667</v>
      </c>
      <c r="C209" s="85" t="s">
        <v>3668</v>
      </c>
      <c r="D209" s="85" t="s">
        <v>3669</v>
      </c>
      <c r="E209" s="85" t="s">
        <v>3668</v>
      </c>
      <c r="F209" s="86">
        <v>21.25</v>
      </c>
      <c r="G209" s="86">
        <v>5</v>
      </c>
      <c r="H209" s="86">
        <v>106.25</v>
      </c>
      <c r="I209" s="86">
        <v>16357.35</v>
      </c>
      <c r="J209" s="85" t="s">
        <v>2965</v>
      </c>
      <c r="K209" s="85" t="s">
        <v>3551</v>
      </c>
      <c r="L209" s="85" t="s">
        <v>2906</v>
      </c>
      <c r="M209" s="85" t="s">
        <v>3670</v>
      </c>
    </row>
    <row r="210" ht="242.25" spans="1:13">
      <c r="A210" s="85" t="s">
        <v>3550</v>
      </c>
      <c r="B210" s="85" t="s">
        <v>3671</v>
      </c>
      <c r="C210" s="85" t="s">
        <v>3672</v>
      </c>
      <c r="D210" s="85" t="s">
        <v>3014</v>
      </c>
      <c r="E210" s="85" t="s">
        <v>3672</v>
      </c>
      <c r="F210" s="86">
        <v>14.31</v>
      </c>
      <c r="G210" s="86">
        <v>3</v>
      </c>
      <c r="H210" s="86">
        <v>42.93</v>
      </c>
      <c r="I210" s="86">
        <v>16357.35</v>
      </c>
      <c r="J210" s="85" t="s">
        <v>2965</v>
      </c>
      <c r="K210" s="85" t="s">
        <v>3551</v>
      </c>
      <c r="L210" s="85" t="s">
        <v>2906</v>
      </c>
      <c r="M210" s="85" t="s">
        <v>3673</v>
      </c>
    </row>
    <row r="211" ht="242.25" spans="1:13">
      <c r="A211" s="85" t="s">
        <v>3550</v>
      </c>
      <c r="B211" s="85" t="s">
        <v>3674</v>
      </c>
      <c r="C211" s="85" t="s">
        <v>3675</v>
      </c>
      <c r="D211" s="85" t="s">
        <v>3288</v>
      </c>
      <c r="E211" s="85" t="s">
        <v>3675</v>
      </c>
      <c r="F211" s="86">
        <v>23.94</v>
      </c>
      <c r="G211" s="86">
        <v>2</v>
      </c>
      <c r="H211" s="86">
        <v>47.88</v>
      </c>
      <c r="I211" s="86">
        <v>16357.35</v>
      </c>
      <c r="J211" s="85" t="s">
        <v>2965</v>
      </c>
      <c r="K211" s="85" t="s">
        <v>3551</v>
      </c>
      <c r="L211" s="85" t="s">
        <v>2906</v>
      </c>
      <c r="M211" s="85" t="s">
        <v>3676</v>
      </c>
    </row>
    <row r="212" ht="242.25" spans="1:13">
      <c r="A212" s="85" t="s">
        <v>3563</v>
      </c>
      <c r="B212" s="85" t="s">
        <v>3187</v>
      </c>
      <c r="C212" s="85" t="s">
        <v>3188</v>
      </c>
      <c r="D212" s="85" t="s">
        <v>3189</v>
      </c>
      <c r="E212" s="85" t="s">
        <v>3190</v>
      </c>
      <c r="F212" s="86">
        <v>233</v>
      </c>
      <c r="G212" s="86">
        <v>2</v>
      </c>
      <c r="H212" s="86">
        <v>466</v>
      </c>
      <c r="I212" s="86">
        <v>13292.62</v>
      </c>
      <c r="J212" s="85" t="s">
        <v>2958</v>
      </c>
      <c r="K212" s="85" t="s">
        <v>3551</v>
      </c>
      <c r="L212" s="85" t="s">
        <v>2906</v>
      </c>
      <c r="M212" s="85" t="s">
        <v>3677</v>
      </c>
    </row>
    <row r="213" ht="242.25" spans="1:13">
      <c r="A213" s="85" t="s">
        <v>3550</v>
      </c>
      <c r="B213" s="85" t="s">
        <v>3678</v>
      </c>
      <c r="C213" s="85" t="s">
        <v>3679</v>
      </c>
      <c r="D213" s="85" t="s">
        <v>3680</v>
      </c>
      <c r="E213" s="85" t="s">
        <v>3679</v>
      </c>
      <c r="F213" s="86">
        <v>1.08</v>
      </c>
      <c r="G213" s="86">
        <v>100</v>
      </c>
      <c r="H213" s="86">
        <v>108</v>
      </c>
      <c r="I213" s="86">
        <v>16357.35</v>
      </c>
      <c r="J213" s="85" t="s">
        <v>2965</v>
      </c>
      <c r="K213" s="85" t="s">
        <v>3551</v>
      </c>
      <c r="L213" s="85" t="s">
        <v>2906</v>
      </c>
      <c r="M213" s="85" t="s">
        <v>3681</v>
      </c>
    </row>
    <row r="214" ht="242.25" spans="1:13">
      <c r="A214" s="85" t="s">
        <v>3587</v>
      </c>
      <c r="B214" s="85" t="s">
        <v>3682</v>
      </c>
      <c r="C214" s="85" t="s">
        <v>3683</v>
      </c>
      <c r="D214" s="85" t="s">
        <v>3684</v>
      </c>
      <c r="E214" s="85" t="s">
        <v>3685</v>
      </c>
      <c r="F214" s="86">
        <v>16</v>
      </c>
      <c r="G214" s="86">
        <v>10</v>
      </c>
      <c r="H214" s="86">
        <v>160</v>
      </c>
      <c r="I214" s="86">
        <v>6136</v>
      </c>
      <c r="J214" s="85" t="s">
        <v>3075</v>
      </c>
      <c r="K214" s="85" t="s">
        <v>3551</v>
      </c>
      <c r="L214" s="85" t="s">
        <v>2906</v>
      </c>
      <c r="M214" s="85" t="s">
        <v>3686</v>
      </c>
    </row>
    <row r="215" ht="242.25" spans="1:13">
      <c r="A215" s="85" t="s">
        <v>3563</v>
      </c>
      <c r="B215" s="85" t="s">
        <v>3687</v>
      </c>
      <c r="C215" s="85" t="s">
        <v>3688</v>
      </c>
      <c r="D215" s="85" t="s">
        <v>3241</v>
      </c>
      <c r="E215" s="85" t="s">
        <v>3689</v>
      </c>
      <c r="F215" s="86">
        <v>8.79</v>
      </c>
      <c r="G215" s="86">
        <v>8</v>
      </c>
      <c r="H215" s="86">
        <v>70.32</v>
      </c>
      <c r="I215" s="86">
        <v>13292.62</v>
      </c>
      <c r="J215" s="85" t="s">
        <v>2958</v>
      </c>
      <c r="K215" s="85" t="s">
        <v>3551</v>
      </c>
      <c r="L215" s="85" t="s">
        <v>2906</v>
      </c>
      <c r="M215" s="85" t="s">
        <v>3690</v>
      </c>
    </row>
    <row r="216" ht="242.25" spans="1:13">
      <c r="A216" s="85" t="s">
        <v>3550</v>
      </c>
      <c r="B216" s="85" t="s">
        <v>3290</v>
      </c>
      <c r="C216" s="85" t="s">
        <v>3291</v>
      </c>
      <c r="D216" s="85" t="s">
        <v>2973</v>
      </c>
      <c r="E216" s="85" t="s">
        <v>3291</v>
      </c>
      <c r="F216" s="86">
        <v>244.13</v>
      </c>
      <c r="G216" s="86">
        <v>5</v>
      </c>
      <c r="H216" s="86">
        <v>1220.65</v>
      </c>
      <c r="I216" s="86">
        <v>16357.35</v>
      </c>
      <c r="J216" s="85" t="s">
        <v>2965</v>
      </c>
      <c r="K216" s="85" t="s">
        <v>3551</v>
      </c>
      <c r="L216" s="85" t="s">
        <v>2906</v>
      </c>
      <c r="M216" s="85" t="s">
        <v>3691</v>
      </c>
    </row>
    <row r="217" ht="242.25" spans="1:13">
      <c r="A217" s="85" t="s">
        <v>3563</v>
      </c>
      <c r="B217" s="85" t="s">
        <v>2990</v>
      </c>
      <c r="C217" s="85" t="s">
        <v>2991</v>
      </c>
      <c r="D217" s="85" t="s">
        <v>2992</v>
      </c>
      <c r="E217" s="85" t="s">
        <v>1815</v>
      </c>
      <c r="F217" s="86">
        <v>46.5</v>
      </c>
      <c r="G217" s="86">
        <v>80</v>
      </c>
      <c r="H217" s="86">
        <v>3720</v>
      </c>
      <c r="I217" s="86">
        <v>13292.62</v>
      </c>
      <c r="J217" s="85" t="s">
        <v>2958</v>
      </c>
      <c r="K217" s="85" t="s">
        <v>3551</v>
      </c>
      <c r="L217" s="85" t="s">
        <v>2906</v>
      </c>
      <c r="M217" s="85" t="s">
        <v>3692</v>
      </c>
    </row>
    <row r="218" ht="242.25" spans="1:13">
      <c r="A218" s="85" t="s">
        <v>3550</v>
      </c>
      <c r="B218" s="85" t="s">
        <v>3693</v>
      </c>
      <c r="C218" s="85" t="s">
        <v>3694</v>
      </c>
      <c r="D218" s="85" t="s">
        <v>3406</v>
      </c>
      <c r="E218" s="85" t="s">
        <v>3694</v>
      </c>
      <c r="F218" s="86">
        <v>158</v>
      </c>
      <c r="G218" s="86">
        <v>1</v>
      </c>
      <c r="H218" s="86">
        <v>158</v>
      </c>
      <c r="I218" s="86">
        <v>16357.35</v>
      </c>
      <c r="J218" s="85" t="s">
        <v>2965</v>
      </c>
      <c r="K218" s="85" t="s">
        <v>3551</v>
      </c>
      <c r="L218" s="85" t="s">
        <v>2906</v>
      </c>
      <c r="M218" s="85" t="s">
        <v>3695</v>
      </c>
    </row>
    <row r="219" ht="242.25" spans="1:13">
      <c r="A219" s="85" t="s">
        <v>3550</v>
      </c>
      <c r="B219" s="85" t="s">
        <v>3696</v>
      </c>
      <c r="C219" s="85" t="s">
        <v>3697</v>
      </c>
      <c r="D219" s="85" t="s">
        <v>3014</v>
      </c>
      <c r="E219" s="85" t="s">
        <v>3697</v>
      </c>
      <c r="F219" s="86">
        <v>40.5</v>
      </c>
      <c r="G219" s="86">
        <v>1</v>
      </c>
      <c r="H219" s="86">
        <v>40.5</v>
      </c>
      <c r="I219" s="86">
        <v>16357.35</v>
      </c>
      <c r="J219" s="85" t="s">
        <v>2965</v>
      </c>
      <c r="K219" s="85" t="s">
        <v>3551</v>
      </c>
      <c r="L219" s="85" t="s">
        <v>2906</v>
      </c>
      <c r="M219" s="85" t="s">
        <v>3698</v>
      </c>
    </row>
    <row r="220" ht="242.25" spans="1:13">
      <c r="A220" s="85" t="s">
        <v>3587</v>
      </c>
      <c r="B220" s="85" t="s">
        <v>3699</v>
      </c>
      <c r="C220" s="85" t="s">
        <v>3700</v>
      </c>
      <c r="D220" s="85" t="s">
        <v>3074</v>
      </c>
      <c r="E220" s="85" t="s">
        <v>1969</v>
      </c>
      <c r="F220" s="86">
        <v>209.6</v>
      </c>
      <c r="G220" s="86">
        <v>10</v>
      </c>
      <c r="H220" s="86">
        <v>2096</v>
      </c>
      <c r="I220" s="86">
        <v>6136</v>
      </c>
      <c r="J220" s="85" t="s">
        <v>3075</v>
      </c>
      <c r="K220" s="85" t="s">
        <v>3551</v>
      </c>
      <c r="L220" s="85" t="s">
        <v>2906</v>
      </c>
      <c r="M220" s="85" t="s">
        <v>3701</v>
      </c>
    </row>
    <row r="221" ht="242.25" spans="1:13">
      <c r="A221" s="85" t="s">
        <v>3550</v>
      </c>
      <c r="B221" s="85" t="s">
        <v>3702</v>
      </c>
      <c r="C221" s="85" t="s">
        <v>3703</v>
      </c>
      <c r="D221" s="85" t="s">
        <v>3704</v>
      </c>
      <c r="E221" s="85" t="s">
        <v>3703</v>
      </c>
      <c r="F221" s="86">
        <v>26.39</v>
      </c>
      <c r="G221" s="86">
        <v>30</v>
      </c>
      <c r="H221" s="86">
        <v>791.7</v>
      </c>
      <c r="I221" s="86">
        <v>16357.35</v>
      </c>
      <c r="J221" s="85" t="s">
        <v>2965</v>
      </c>
      <c r="K221" s="85" t="s">
        <v>3551</v>
      </c>
      <c r="L221" s="85" t="s">
        <v>2906</v>
      </c>
      <c r="M221" s="85" t="s">
        <v>3705</v>
      </c>
    </row>
    <row r="222" ht="242.25" spans="1:13">
      <c r="A222" s="85" t="s">
        <v>3550</v>
      </c>
      <c r="B222" s="85" t="s">
        <v>3706</v>
      </c>
      <c r="C222" s="85" t="s">
        <v>3707</v>
      </c>
      <c r="D222" s="85" t="s">
        <v>3708</v>
      </c>
      <c r="E222" s="85" t="s">
        <v>3707</v>
      </c>
      <c r="F222" s="86">
        <v>22.66</v>
      </c>
      <c r="G222" s="86">
        <v>5</v>
      </c>
      <c r="H222" s="86">
        <v>113.3</v>
      </c>
      <c r="I222" s="86">
        <v>16357.35</v>
      </c>
      <c r="J222" s="85" t="s">
        <v>2965</v>
      </c>
      <c r="K222" s="85" t="s">
        <v>3551</v>
      </c>
      <c r="L222" s="85" t="s">
        <v>2906</v>
      </c>
      <c r="M222" s="85" t="s">
        <v>3709</v>
      </c>
    </row>
    <row r="223" ht="242.25" spans="1:13">
      <c r="A223" s="85" t="s">
        <v>3550</v>
      </c>
      <c r="B223" s="85" t="s">
        <v>3710</v>
      </c>
      <c r="C223" s="85" t="s">
        <v>3711</v>
      </c>
      <c r="D223" s="85" t="s">
        <v>2973</v>
      </c>
      <c r="E223" s="85" t="s">
        <v>3711</v>
      </c>
      <c r="F223" s="86">
        <v>341.1</v>
      </c>
      <c r="G223" s="86">
        <v>2</v>
      </c>
      <c r="H223" s="86">
        <v>682.2</v>
      </c>
      <c r="I223" s="86">
        <v>16357.35</v>
      </c>
      <c r="J223" s="85" t="s">
        <v>2965</v>
      </c>
      <c r="K223" s="85" t="s">
        <v>3551</v>
      </c>
      <c r="L223" s="85" t="s">
        <v>2906</v>
      </c>
      <c r="M223" s="85" t="s">
        <v>3712</v>
      </c>
    </row>
    <row r="224" ht="242.25" spans="1:13">
      <c r="A224" s="85" t="s">
        <v>3550</v>
      </c>
      <c r="B224" s="85" t="s">
        <v>3195</v>
      </c>
      <c r="C224" s="85" t="s">
        <v>3196</v>
      </c>
      <c r="D224" s="85" t="s">
        <v>3197</v>
      </c>
      <c r="E224" s="85" t="s">
        <v>3196</v>
      </c>
      <c r="F224" s="86">
        <v>14.07</v>
      </c>
      <c r="G224" s="86">
        <v>10</v>
      </c>
      <c r="H224" s="86">
        <v>140.7</v>
      </c>
      <c r="I224" s="86">
        <v>16357.35</v>
      </c>
      <c r="J224" s="85" t="s">
        <v>2965</v>
      </c>
      <c r="K224" s="85" t="s">
        <v>3551</v>
      </c>
      <c r="L224" s="85" t="s">
        <v>2906</v>
      </c>
      <c r="M224" s="85" t="s">
        <v>3713</v>
      </c>
    </row>
    <row r="225" ht="242.25" spans="1:13">
      <c r="A225" s="85" t="s">
        <v>3550</v>
      </c>
      <c r="B225" s="85" t="s">
        <v>3714</v>
      </c>
      <c r="C225" s="85" t="s">
        <v>3715</v>
      </c>
      <c r="D225" s="85" t="s">
        <v>3288</v>
      </c>
      <c r="E225" s="85" t="s">
        <v>3715</v>
      </c>
      <c r="F225" s="86">
        <v>49.5</v>
      </c>
      <c r="G225" s="86">
        <v>3</v>
      </c>
      <c r="H225" s="86">
        <v>148.5</v>
      </c>
      <c r="I225" s="86">
        <v>16357.35</v>
      </c>
      <c r="J225" s="85" t="s">
        <v>2965</v>
      </c>
      <c r="K225" s="85" t="s">
        <v>3551</v>
      </c>
      <c r="L225" s="85" t="s">
        <v>2906</v>
      </c>
      <c r="M225" s="85" t="s">
        <v>3716</v>
      </c>
    </row>
    <row r="226" ht="242.25" spans="1:13">
      <c r="A226" s="85" t="s">
        <v>3550</v>
      </c>
      <c r="B226" s="85" t="s">
        <v>3717</v>
      </c>
      <c r="C226" s="85" t="s">
        <v>3718</v>
      </c>
      <c r="D226" s="85" t="s">
        <v>3014</v>
      </c>
      <c r="E226" s="85" t="s">
        <v>3718</v>
      </c>
      <c r="F226" s="86">
        <v>110</v>
      </c>
      <c r="G226" s="86">
        <v>5</v>
      </c>
      <c r="H226" s="86">
        <v>550</v>
      </c>
      <c r="I226" s="86">
        <v>16357.35</v>
      </c>
      <c r="J226" s="85" t="s">
        <v>2965</v>
      </c>
      <c r="K226" s="85" t="s">
        <v>3551</v>
      </c>
      <c r="L226" s="85" t="s">
        <v>2906</v>
      </c>
      <c r="M226" s="85" t="s">
        <v>3719</v>
      </c>
    </row>
    <row r="227" ht="242.25" spans="1:13">
      <c r="A227" s="85" t="s">
        <v>3550</v>
      </c>
      <c r="B227" s="85" t="s">
        <v>3720</v>
      </c>
      <c r="C227" s="85" t="s">
        <v>3721</v>
      </c>
      <c r="D227" s="85" t="s">
        <v>3722</v>
      </c>
      <c r="E227" s="85" t="s">
        <v>3721</v>
      </c>
      <c r="F227" s="86">
        <v>15.15</v>
      </c>
      <c r="G227" s="86">
        <v>30</v>
      </c>
      <c r="H227" s="86">
        <v>454.5</v>
      </c>
      <c r="I227" s="86">
        <v>16357.35</v>
      </c>
      <c r="J227" s="85" t="s">
        <v>2965</v>
      </c>
      <c r="K227" s="85" t="s">
        <v>3551</v>
      </c>
      <c r="L227" s="85" t="s">
        <v>2906</v>
      </c>
      <c r="M227" s="85" t="s">
        <v>3723</v>
      </c>
    </row>
    <row r="228" ht="242.25" spans="1:13">
      <c r="A228" s="85" t="s">
        <v>3550</v>
      </c>
      <c r="B228" s="85" t="s">
        <v>3724</v>
      </c>
      <c r="C228" s="85" t="s">
        <v>3725</v>
      </c>
      <c r="D228" s="85" t="s">
        <v>2977</v>
      </c>
      <c r="E228" s="85" t="s">
        <v>3725</v>
      </c>
      <c r="F228" s="86">
        <v>14.31</v>
      </c>
      <c r="G228" s="86">
        <v>100</v>
      </c>
      <c r="H228" s="86">
        <v>1431</v>
      </c>
      <c r="I228" s="86">
        <v>16357.35</v>
      </c>
      <c r="J228" s="85" t="s">
        <v>2965</v>
      </c>
      <c r="K228" s="85" t="s">
        <v>3551</v>
      </c>
      <c r="L228" s="85" t="s">
        <v>2906</v>
      </c>
      <c r="M228" s="85" t="s">
        <v>3726</v>
      </c>
    </row>
    <row r="229" ht="242.25" spans="1:13">
      <c r="A229" s="85" t="s">
        <v>3550</v>
      </c>
      <c r="B229" s="85" t="s">
        <v>3727</v>
      </c>
      <c r="C229" s="85" t="s">
        <v>3728</v>
      </c>
      <c r="D229" s="85" t="s">
        <v>3729</v>
      </c>
      <c r="E229" s="85" t="s">
        <v>3728</v>
      </c>
      <c r="F229" s="86">
        <v>0.02</v>
      </c>
      <c r="G229" s="86">
        <v>2000</v>
      </c>
      <c r="H229" s="86">
        <v>40</v>
      </c>
      <c r="I229" s="86">
        <v>16357.35</v>
      </c>
      <c r="J229" s="85" t="s">
        <v>2965</v>
      </c>
      <c r="K229" s="85" t="s">
        <v>3551</v>
      </c>
      <c r="L229" s="85" t="s">
        <v>2906</v>
      </c>
      <c r="M229" s="85" t="s">
        <v>3730</v>
      </c>
    </row>
    <row r="230" ht="242.25" spans="1:13">
      <c r="A230" s="85" t="s">
        <v>3550</v>
      </c>
      <c r="B230" s="85" t="s">
        <v>3731</v>
      </c>
      <c r="C230" s="85" t="s">
        <v>3732</v>
      </c>
      <c r="D230" s="85" t="s">
        <v>3733</v>
      </c>
      <c r="E230" s="85" t="s">
        <v>3732</v>
      </c>
      <c r="F230" s="86">
        <v>3.14</v>
      </c>
      <c r="G230" s="86">
        <v>5</v>
      </c>
      <c r="H230" s="86">
        <v>15.7</v>
      </c>
      <c r="I230" s="86">
        <v>16357.35</v>
      </c>
      <c r="J230" s="85" t="s">
        <v>2965</v>
      </c>
      <c r="K230" s="85" t="s">
        <v>3551</v>
      </c>
      <c r="L230" s="85" t="s">
        <v>2906</v>
      </c>
      <c r="M230" s="85" t="s">
        <v>3734</v>
      </c>
    </row>
    <row r="231" ht="242.25" spans="1:13">
      <c r="A231" s="85" t="s">
        <v>3550</v>
      </c>
      <c r="B231" s="85" t="s">
        <v>3735</v>
      </c>
      <c r="C231" s="85" t="s">
        <v>3736</v>
      </c>
      <c r="D231" s="85" t="s">
        <v>3737</v>
      </c>
      <c r="E231" s="85" t="s">
        <v>3736</v>
      </c>
      <c r="F231" s="86">
        <v>77.35</v>
      </c>
      <c r="G231" s="86">
        <v>1</v>
      </c>
      <c r="H231" s="86">
        <v>77.35</v>
      </c>
      <c r="I231" s="86">
        <v>16357.35</v>
      </c>
      <c r="J231" s="85" t="s">
        <v>2965</v>
      </c>
      <c r="K231" s="85" t="s">
        <v>3551</v>
      </c>
      <c r="L231" s="85" t="s">
        <v>2906</v>
      </c>
      <c r="M231" s="85" t="s">
        <v>3738</v>
      </c>
    </row>
    <row r="232" ht="242.25" spans="1:13">
      <c r="A232" s="85" t="s">
        <v>3550</v>
      </c>
      <c r="B232" s="85" t="s">
        <v>3739</v>
      </c>
      <c r="C232" s="85" t="s">
        <v>3740</v>
      </c>
      <c r="D232" s="85" t="s">
        <v>2977</v>
      </c>
      <c r="E232" s="85" t="s">
        <v>3740</v>
      </c>
      <c r="F232" s="86">
        <v>5.4</v>
      </c>
      <c r="G232" s="86">
        <v>30</v>
      </c>
      <c r="H232" s="86">
        <v>162</v>
      </c>
      <c r="I232" s="86">
        <v>16357.35</v>
      </c>
      <c r="J232" s="85" t="s">
        <v>2965</v>
      </c>
      <c r="K232" s="85" t="s">
        <v>3551</v>
      </c>
      <c r="L232" s="85" t="s">
        <v>2906</v>
      </c>
      <c r="M232" s="85" t="s">
        <v>3741</v>
      </c>
    </row>
    <row r="233" ht="327.75" spans="1:13">
      <c r="A233" s="85" t="s">
        <v>3550</v>
      </c>
      <c r="B233" s="85" t="s">
        <v>3151</v>
      </c>
      <c r="C233" s="85" t="s">
        <v>3152</v>
      </c>
      <c r="D233" s="85" t="s">
        <v>3153</v>
      </c>
      <c r="E233" s="85" t="s">
        <v>3152</v>
      </c>
      <c r="F233" s="86">
        <v>49.57</v>
      </c>
      <c r="G233" s="86">
        <v>5</v>
      </c>
      <c r="H233" s="86">
        <v>247.85</v>
      </c>
      <c r="I233" s="86">
        <v>16357.35</v>
      </c>
      <c r="J233" s="85" t="s">
        <v>2965</v>
      </c>
      <c r="K233" s="85" t="s">
        <v>3551</v>
      </c>
      <c r="L233" s="85" t="s">
        <v>2906</v>
      </c>
      <c r="M233" s="85" t="s">
        <v>3742</v>
      </c>
    </row>
    <row r="234" ht="242.25" spans="1:13">
      <c r="A234" s="85" t="s">
        <v>3550</v>
      </c>
      <c r="B234" s="85" t="s">
        <v>3059</v>
      </c>
      <c r="C234" s="85" t="s">
        <v>3060</v>
      </c>
      <c r="D234" s="85" t="s">
        <v>3061</v>
      </c>
      <c r="E234" s="85" t="s">
        <v>3060</v>
      </c>
      <c r="F234" s="86">
        <v>238.41</v>
      </c>
      <c r="G234" s="86">
        <v>3</v>
      </c>
      <c r="H234" s="86">
        <v>715.23</v>
      </c>
      <c r="I234" s="86">
        <v>16357.35</v>
      </c>
      <c r="J234" s="85" t="s">
        <v>2965</v>
      </c>
      <c r="K234" s="85" t="s">
        <v>3551</v>
      </c>
      <c r="L234" s="85" t="s">
        <v>2906</v>
      </c>
      <c r="M234" s="85" t="s">
        <v>3743</v>
      </c>
    </row>
    <row r="235" ht="242.25" spans="1:13">
      <c r="A235" s="85" t="s">
        <v>3744</v>
      </c>
      <c r="B235" s="85" t="s">
        <v>3745</v>
      </c>
      <c r="C235" s="85" t="s">
        <v>3746</v>
      </c>
      <c r="D235" s="85" t="s">
        <v>3747</v>
      </c>
      <c r="E235" s="85" t="s">
        <v>1827</v>
      </c>
      <c r="F235" s="86">
        <v>132.67</v>
      </c>
      <c r="G235" s="86">
        <v>220</v>
      </c>
      <c r="H235" s="86">
        <v>29187.4</v>
      </c>
      <c r="I235" s="86">
        <v>29187.4</v>
      </c>
      <c r="J235" s="85" t="s">
        <v>2932</v>
      </c>
      <c r="K235" s="85" t="s">
        <v>3748</v>
      </c>
      <c r="L235" s="85" t="s">
        <v>2906</v>
      </c>
      <c r="M235" s="85" t="s">
        <v>3749</v>
      </c>
    </row>
    <row r="236" ht="242.25" spans="1:13">
      <c r="A236" s="85" t="s">
        <v>3750</v>
      </c>
      <c r="B236" s="85" t="s">
        <v>3751</v>
      </c>
      <c r="C236" s="85" t="s">
        <v>3752</v>
      </c>
      <c r="D236" s="85" t="s">
        <v>3753</v>
      </c>
      <c r="E236" s="85" t="s">
        <v>3754</v>
      </c>
      <c r="F236" s="86">
        <v>254.95</v>
      </c>
      <c r="G236" s="86">
        <v>2</v>
      </c>
      <c r="H236" s="86">
        <v>509.9</v>
      </c>
      <c r="I236" s="86">
        <v>2893.59</v>
      </c>
      <c r="J236" s="85" t="s">
        <v>3112</v>
      </c>
      <c r="K236" s="85" t="s">
        <v>3755</v>
      </c>
      <c r="L236" s="85" t="s">
        <v>2906</v>
      </c>
      <c r="M236" s="85" t="s">
        <v>3756</v>
      </c>
    </row>
    <row r="237" ht="242.25" spans="1:13">
      <c r="A237" s="85" t="s">
        <v>3750</v>
      </c>
      <c r="B237" s="85" t="s">
        <v>3757</v>
      </c>
      <c r="C237" s="85" t="s">
        <v>3758</v>
      </c>
      <c r="D237" s="85" t="s">
        <v>3753</v>
      </c>
      <c r="E237" s="85" t="s">
        <v>3754</v>
      </c>
      <c r="F237" s="86">
        <v>150</v>
      </c>
      <c r="G237" s="86">
        <v>1</v>
      </c>
      <c r="H237" s="86">
        <v>150</v>
      </c>
      <c r="I237" s="86">
        <v>2893.59</v>
      </c>
      <c r="J237" s="85" t="s">
        <v>3112</v>
      </c>
      <c r="K237" s="85" t="s">
        <v>3755</v>
      </c>
      <c r="L237" s="85" t="s">
        <v>2906</v>
      </c>
      <c r="M237" s="85" t="s">
        <v>3759</v>
      </c>
    </row>
    <row r="238" ht="242.25" spans="1:13">
      <c r="A238" s="85" t="s">
        <v>3750</v>
      </c>
      <c r="B238" s="85" t="s">
        <v>3757</v>
      </c>
      <c r="C238" s="85" t="s">
        <v>3758</v>
      </c>
      <c r="D238" s="85" t="s">
        <v>3753</v>
      </c>
      <c r="E238" s="85" t="s">
        <v>3754</v>
      </c>
      <c r="F238" s="86">
        <v>183.57</v>
      </c>
      <c r="G238" s="86">
        <v>2</v>
      </c>
      <c r="H238" s="86">
        <v>367.14</v>
      </c>
      <c r="I238" s="86">
        <v>2893.59</v>
      </c>
      <c r="J238" s="85" t="s">
        <v>3112</v>
      </c>
      <c r="K238" s="85" t="s">
        <v>3755</v>
      </c>
      <c r="L238" s="85" t="s">
        <v>2906</v>
      </c>
      <c r="M238" s="85" t="s">
        <v>3760</v>
      </c>
    </row>
    <row r="239" ht="242.25" spans="1:13">
      <c r="A239" s="85" t="s">
        <v>3750</v>
      </c>
      <c r="B239" s="85" t="s">
        <v>3761</v>
      </c>
      <c r="C239" s="85" t="s">
        <v>3762</v>
      </c>
      <c r="D239" s="85" t="s">
        <v>3753</v>
      </c>
      <c r="E239" s="85" t="s">
        <v>3763</v>
      </c>
      <c r="F239" s="86">
        <v>387.53</v>
      </c>
      <c r="G239" s="86">
        <v>2</v>
      </c>
      <c r="H239" s="86">
        <v>775.06</v>
      </c>
      <c r="I239" s="86">
        <v>2893.59</v>
      </c>
      <c r="J239" s="85" t="s">
        <v>3112</v>
      </c>
      <c r="K239" s="85" t="s">
        <v>3755</v>
      </c>
      <c r="L239" s="85" t="s">
        <v>2906</v>
      </c>
      <c r="M239" s="85" t="s">
        <v>3764</v>
      </c>
    </row>
    <row r="240" ht="242.25" spans="1:13">
      <c r="A240" s="85" t="s">
        <v>3750</v>
      </c>
      <c r="B240" s="85" t="s">
        <v>3765</v>
      </c>
      <c r="C240" s="85" t="s">
        <v>3766</v>
      </c>
      <c r="D240" s="85" t="s">
        <v>3753</v>
      </c>
      <c r="E240" s="85" t="s">
        <v>3763</v>
      </c>
      <c r="F240" s="86">
        <v>500</v>
      </c>
      <c r="G240" s="86">
        <v>1</v>
      </c>
      <c r="H240" s="86">
        <v>500</v>
      </c>
      <c r="I240" s="86">
        <v>2893.59</v>
      </c>
      <c r="J240" s="85" t="s">
        <v>3112</v>
      </c>
      <c r="K240" s="85" t="s">
        <v>3755</v>
      </c>
      <c r="L240" s="85" t="s">
        <v>2906</v>
      </c>
      <c r="M240" s="85" t="s">
        <v>3767</v>
      </c>
    </row>
    <row r="241" ht="242.25" spans="1:13">
      <c r="A241" s="85" t="s">
        <v>3750</v>
      </c>
      <c r="B241" s="85" t="s">
        <v>3768</v>
      </c>
      <c r="C241" s="85" t="s">
        <v>3769</v>
      </c>
      <c r="D241" s="85" t="s">
        <v>3753</v>
      </c>
      <c r="E241" s="85" t="s">
        <v>3763</v>
      </c>
      <c r="F241" s="86">
        <v>591.49</v>
      </c>
      <c r="G241" s="86">
        <v>1</v>
      </c>
      <c r="H241" s="86">
        <v>591.49</v>
      </c>
      <c r="I241" s="86">
        <v>2893.59</v>
      </c>
      <c r="J241" s="85" t="s">
        <v>3112</v>
      </c>
      <c r="K241" s="85" t="s">
        <v>3755</v>
      </c>
      <c r="L241" s="85" t="s">
        <v>2906</v>
      </c>
      <c r="M241" s="85" t="s">
        <v>3770</v>
      </c>
    </row>
    <row r="242" ht="242.25" spans="1:13">
      <c r="A242" s="85" t="s">
        <v>3771</v>
      </c>
      <c r="B242" s="85" t="s">
        <v>3772</v>
      </c>
      <c r="C242" s="85" t="s">
        <v>3773</v>
      </c>
      <c r="D242" s="85" t="s">
        <v>3189</v>
      </c>
      <c r="E242" s="85" t="s">
        <v>3774</v>
      </c>
      <c r="F242" s="86">
        <v>27</v>
      </c>
      <c r="G242" s="86">
        <v>400</v>
      </c>
      <c r="H242" s="86">
        <v>10800</v>
      </c>
      <c r="I242" s="86">
        <v>10800</v>
      </c>
      <c r="J242" s="85" t="s">
        <v>3314</v>
      </c>
      <c r="K242" s="85" t="s">
        <v>3775</v>
      </c>
      <c r="L242" s="85" t="s">
        <v>2906</v>
      </c>
      <c r="M242" s="85" t="s">
        <v>3776</v>
      </c>
    </row>
    <row r="243" ht="242.25" spans="1:13">
      <c r="A243" s="85" t="s">
        <v>3777</v>
      </c>
      <c r="B243" s="85" t="s">
        <v>2901</v>
      </c>
      <c r="C243" s="85" t="s">
        <v>2902</v>
      </c>
      <c r="D243" s="85" t="s">
        <v>2903</v>
      </c>
      <c r="E243" s="85" t="s">
        <v>2902</v>
      </c>
      <c r="F243" s="86">
        <v>88949.87</v>
      </c>
      <c r="G243" s="86">
        <v>1</v>
      </c>
      <c r="H243" s="86">
        <v>88949.87</v>
      </c>
      <c r="I243" s="86">
        <v>88949.87</v>
      </c>
      <c r="J243" s="85" t="s">
        <v>3307</v>
      </c>
      <c r="K243" s="85" t="s">
        <v>3778</v>
      </c>
      <c r="L243" s="85" t="s">
        <v>2906</v>
      </c>
      <c r="M243" s="85" t="s">
        <v>3779</v>
      </c>
    </row>
    <row r="244" ht="242.25" spans="1:13">
      <c r="A244" s="85" t="s">
        <v>3780</v>
      </c>
      <c r="B244" s="85" t="s">
        <v>3781</v>
      </c>
      <c r="C244" s="85" t="s">
        <v>3782</v>
      </c>
      <c r="D244" s="85" t="s">
        <v>3783</v>
      </c>
      <c r="E244" s="85" t="s">
        <v>3784</v>
      </c>
      <c r="F244" s="86">
        <v>250</v>
      </c>
      <c r="G244" s="86">
        <v>6</v>
      </c>
      <c r="H244" s="86">
        <v>1500</v>
      </c>
      <c r="I244" s="86">
        <v>1500</v>
      </c>
      <c r="J244" s="85" t="s">
        <v>2935</v>
      </c>
      <c r="K244" s="85" t="s">
        <v>3785</v>
      </c>
      <c r="L244" s="85" t="s">
        <v>2906</v>
      </c>
      <c r="M244" s="85" t="s">
        <v>3786</v>
      </c>
    </row>
    <row r="245" ht="242.25" spans="1:13">
      <c r="A245" s="85" t="s">
        <v>3787</v>
      </c>
      <c r="B245" s="85" t="s">
        <v>3788</v>
      </c>
      <c r="C245" s="85" t="s">
        <v>3789</v>
      </c>
      <c r="D245" s="85" t="s">
        <v>3189</v>
      </c>
      <c r="E245" s="85" t="s">
        <v>3790</v>
      </c>
      <c r="F245" s="86">
        <v>100</v>
      </c>
      <c r="G245" s="86">
        <v>30</v>
      </c>
      <c r="H245" s="86">
        <v>3000</v>
      </c>
      <c r="I245" s="86">
        <v>3000</v>
      </c>
      <c r="J245" s="85" t="s">
        <v>3304</v>
      </c>
      <c r="K245" s="85" t="s">
        <v>3791</v>
      </c>
      <c r="L245" s="85" t="s">
        <v>2906</v>
      </c>
      <c r="M245" s="85" t="s">
        <v>3792</v>
      </c>
    </row>
    <row r="246" ht="242.25" spans="1:13">
      <c r="A246" s="85" t="s">
        <v>3793</v>
      </c>
      <c r="B246" s="85" t="s">
        <v>3794</v>
      </c>
      <c r="C246" s="85" t="s">
        <v>3795</v>
      </c>
      <c r="D246" s="85" t="s">
        <v>3796</v>
      </c>
      <c r="E246" s="85" t="s">
        <v>3795</v>
      </c>
      <c r="F246" s="86">
        <v>184000</v>
      </c>
      <c r="G246" s="86">
        <v>1</v>
      </c>
      <c r="H246" s="86">
        <v>184000</v>
      </c>
      <c r="I246" s="86">
        <v>184000</v>
      </c>
      <c r="J246" s="85" t="s">
        <v>3797</v>
      </c>
      <c r="K246" s="85" t="s">
        <v>3798</v>
      </c>
      <c r="L246" s="85" t="s">
        <v>2906</v>
      </c>
      <c r="M246" s="85" t="s">
        <v>3799</v>
      </c>
    </row>
    <row r="247" ht="242.25" spans="1:13">
      <c r="A247" s="85" t="s">
        <v>3800</v>
      </c>
      <c r="B247" s="85" t="s">
        <v>3801</v>
      </c>
      <c r="C247" s="85" t="s">
        <v>3802</v>
      </c>
      <c r="D247" s="85" t="s">
        <v>3803</v>
      </c>
      <c r="E247" s="85" t="s">
        <v>3804</v>
      </c>
      <c r="F247" s="86">
        <v>6.78</v>
      </c>
      <c r="G247" s="86">
        <v>1000</v>
      </c>
      <c r="H247" s="86">
        <v>6780</v>
      </c>
      <c r="I247" s="86">
        <v>6780</v>
      </c>
      <c r="J247" s="85" t="s">
        <v>3805</v>
      </c>
      <c r="K247" s="85" t="s">
        <v>3806</v>
      </c>
      <c r="L247" s="85" t="s">
        <v>2906</v>
      </c>
      <c r="M247" s="85" t="s">
        <v>3807</v>
      </c>
    </row>
    <row r="248" ht="242.25" spans="1:13">
      <c r="A248" s="85" t="s">
        <v>3808</v>
      </c>
      <c r="B248" s="85" t="s">
        <v>2901</v>
      </c>
      <c r="C248" s="85" t="s">
        <v>2902</v>
      </c>
      <c r="D248" s="85" t="s">
        <v>2903</v>
      </c>
      <c r="E248" s="85" t="s">
        <v>2902</v>
      </c>
      <c r="F248" s="86">
        <v>64749.08</v>
      </c>
      <c r="G248" s="86">
        <v>1</v>
      </c>
      <c r="H248" s="86">
        <v>64749.08</v>
      </c>
      <c r="I248" s="86">
        <v>64749.08</v>
      </c>
      <c r="J248" s="85" t="s">
        <v>2924</v>
      </c>
      <c r="K248" s="85" t="s">
        <v>3809</v>
      </c>
      <c r="L248" s="85" t="s">
        <v>2906</v>
      </c>
      <c r="M248" s="85" t="s">
        <v>3810</v>
      </c>
    </row>
    <row r="249" ht="242.25" spans="1:13">
      <c r="A249" s="85" t="s">
        <v>3811</v>
      </c>
      <c r="B249" s="85" t="s">
        <v>2901</v>
      </c>
      <c r="C249" s="85" t="s">
        <v>2902</v>
      </c>
      <c r="D249" s="85" t="s">
        <v>2903</v>
      </c>
      <c r="E249" s="85" t="s">
        <v>2902</v>
      </c>
      <c r="F249" s="86">
        <v>12560.07</v>
      </c>
      <c r="G249" s="86">
        <v>1</v>
      </c>
      <c r="H249" s="86">
        <v>12560.07</v>
      </c>
      <c r="I249" s="86">
        <v>12560.07</v>
      </c>
      <c r="J249" s="85" t="s">
        <v>3812</v>
      </c>
      <c r="K249" s="85" t="s">
        <v>3813</v>
      </c>
      <c r="L249" s="85" t="s">
        <v>2906</v>
      </c>
      <c r="M249" s="85" t="s">
        <v>3814</v>
      </c>
    </row>
    <row r="250" ht="242.25" spans="1:13">
      <c r="A250" s="85" t="s">
        <v>3815</v>
      </c>
      <c r="B250" s="85" t="s">
        <v>3123</v>
      </c>
      <c r="C250" s="85" t="s">
        <v>3124</v>
      </c>
      <c r="D250" s="85" t="s">
        <v>3125</v>
      </c>
      <c r="E250" s="85" t="s">
        <v>3124</v>
      </c>
      <c r="F250" s="86">
        <v>96818</v>
      </c>
      <c r="G250" s="86">
        <v>1</v>
      </c>
      <c r="H250" s="86">
        <v>96818</v>
      </c>
      <c r="I250" s="86">
        <v>96818</v>
      </c>
      <c r="J250" s="85" t="s">
        <v>3816</v>
      </c>
      <c r="K250" s="85" t="s">
        <v>3817</v>
      </c>
      <c r="L250" s="85" t="s">
        <v>2906</v>
      </c>
      <c r="M250" s="85" t="s">
        <v>3818</v>
      </c>
    </row>
    <row r="251" ht="242.25" spans="1:13">
      <c r="A251" s="85" t="s">
        <v>3819</v>
      </c>
      <c r="B251" s="85" t="s">
        <v>3820</v>
      </c>
      <c r="C251" s="85" t="s">
        <v>3821</v>
      </c>
      <c r="D251" s="85" t="s">
        <v>2911</v>
      </c>
      <c r="E251" s="85" t="s">
        <v>3822</v>
      </c>
      <c r="F251" s="86">
        <v>27426.97</v>
      </c>
      <c r="G251" s="86">
        <v>1</v>
      </c>
      <c r="H251" s="86">
        <v>27426.97</v>
      </c>
      <c r="I251" s="86">
        <v>27426.97</v>
      </c>
      <c r="J251" s="85" t="s">
        <v>3823</v>
      </c>
      <c r="K251" s="85" t="s">
        <v>3824</v>
      </c>
      <c r="L251" s="85" t="s">
        <v>2906</v>
      </c>
      <c r="M251" s="85" t="s">
        <v>3825</v>
      </c>
    </row>
    <row r="252" ht="242.25" spans="1:13">
      <c r="A252" s="85" t="s">
        <v>3826</v>
      </c>
      <c r="B252" s="85" t="s">
        <v>3751</v>
      </c>
      <c r="C252" s="85" t="s">
        <v>3752</v>
      </c>
      <c r="D252" s="85" t="s">
        <v>3753</v>
      </c>
      <c r="E252" s="85" t="s">
        <v>3754</v>
      </c>
      <c r="F252" s="86">
        <v>254.95</v>
      </c>
      <c r="G252" s="86">
        <v>1</v>
      </c>
      <c r="H252" s="86">
        <v>254.95</v>
      </c>
      <c r="I252" s="86">
        <v>938.52</v>
      </c>
      <c r="J252" s="85" t="s">
        <v>3112</v>
      </c>
      <c r="K252" s="85" t="s">
        <v>3827</v>
      </c>
      <c r="L252" s="85" t="s">
        <v>2906</v>
      </c>
      <c r="M252" s="85" t="s">
        <v>3828</v>
      </c>
    </row>
    <row r="253" ht="242.25" spans="1:13">
      <c r="A253" s="85" t="s">
        <v>3826</v>
      </c>
      <c r="B253" s="85" t="s">
        <v>3757</v>
      </c>
      <c r="C253" s="85" t="s">
        <v>3758</v>
      </c>
      <c r="D253" s="85" t="s">
        <v>3753</v>
      </c>
      <c r="E253" s="85" t="s">
        <v>3754</v>
      </c>
      <c r="F253" s="86">
        <v>183.57</v>
      </c>
      <c r="G253" s="86">
        <v>1</v>
      </c>
      <c r="H253" s="86">
        <v>183.57</v>
      </c>
      <c r="I253" s="86">
        <v>938.52</v>
      </c>
      <c r="J253" s="85" t="s">
        <v>3112</v>
      </c>
      <c r="K253" s="85" t="s">
        <v>3827</v>
      </c>
      <c r="L253" s="85" t="s">
        <v>2906</v>
      </c>
      <c r="M253" s="85" t="s">
        <v>3829</v>
      </c>
    </row>
    <row r="254" ht="242.25" spans="1:13">
      <c r="A254" s="85" t="s">
        <v>3826</v>
      </c>
      <c r="B254" s="85" t="s">
        <v>3765</v>
      </c>
      <c r="C254" s="85" t="s">
        <v>3766</v>
      </c>
      <c r="D254" s="85" t="s">
        <v>3753</v>
      </c>
      <c r="E254" s="85" t="s">
        <v>3763</v>
      </c>
      <c r="F254" s="86">
        <v>500</v>
      </c>
      <c r="G254" s="86">
        <v>1</v>
      </c>
      <c r="H254" s="86">
        <v>500</v>
      </c>
      <c r="I254" s="86">
        <v>938.52</v>
      </c>
      <c r="J254" s="85" t="s">
        <v>3112</v>
      </c>
      <c r="K254" s="85" t="s">
        <v>3827</v>
      </c>
      <c r="L254" s="85" t="s">
        <v>2906</v>
      </c>
      <c r="M254" s="85" t="s">
        <v>3830</v>
      </c>
    </row>
    <row r="255" ht="242.25" spans="1:13">
      <c r="A255" s="85" t="s">
        <v>3831</v>
      </c>
      <c r="B255" s="85" t="s">
        <v>3832</v>
      </c>
      <c r="C255" s="85" t="s">
        <v>3833</v>
      </c>
      <c r="D255" s="85" t="s">
        <v>3834</v>
      </c>
      <c r="E255" s="85" t="s">
        <v>3833</v>
      </c>
      <c r="F255" s="86">
        <v>1950</v>
      </c>
      <c r="G255" s="86">
        <v>1</v>
      </c>
      <c r="H255" s="86">
        <v>1950</v>
      </c>
      <c r="I255" s="86">
        <v>71420</v>
      </c>
      <c r="J255" s="85" t="s">
        <v>3294</v>
      </c>
      <c r="K255" s="85" t="s">
        <v>3835</v>
      </c>
      <c r="L255" s="85" t="s">
        <v>2906</v>
      </c>
      <c r="M255" s="85" t="s">
        <v>3836</v>
      </c>
    </row>
    <row r="256" ht="242.25" spans="1:13">
      <c r="A256" s="85" t="s">
        <v>3831</v>
      </c>
      <c r="B256" s="85" t="s">
        <v>3837</v>
      </c>
      <c r="C256" s="85" t="s">
        <v>3838</v>
      </c>
      <c r="D256" s="85" t="s">
        <v>3834</v>
      </c>
      <c r="E256" s="85" t="s">
        <v>3838</v>
      </c>
      <c r="F256" s="86">
        <v>1100</v>
      </c>
      <c r="G256" s="86">
        <v>1</v>
      </c>
      <c r="H256" s="86">
        <v>1100</v>
      </c>
      <c r="I256" s="86">
        <v>71420</v>
      </c>
      <c r="J256" s="85" t="s">
        <v>3294</v>
      </c>
      <c r="K256" s="85" t="s">
        <v>3835</v>
      </c>
      <c r="L256" s="85" t="s">
        <v>2906</v>
      </c>
      <c r="M256" s="85" t="s">
        <v>3839</v>
      </c>
    </row>
    <row r="257" ht="242.25" spans="1:13">
      <c r="A257" s="85" t="s">
        <v>3831</v>
      </c>
      <c r="B257" s="85" t="s">
        <v>3840</v>
      </c>
      <c r="C257" s="85" t="s">
        <v>3841</v>
      </c>
      <c r="D257" s="85" t="s">
        <v>3834</v>
      </c>
      <c r="E257" s="85" t="s">
        <v>3841</v>
      </c>
      <c r="F257" s="86">
        <v>600</v>
      </c>
      <c r="G257" s="86">
        <v>1</v>
      </c>
      <c r="H257" s="86">
        <v>600</v>
      </c>
      <c r="I257" s="86">
        <v>71420</v>
      </c>
      <c r="J257" s="85" t="s">
        <v>3294</v>
      </c>
      <c r="K257" s="85" t="s">
        <v>3835</v>
      </c>
      <c r="L257" s="85" t="s">
        <v>2906</v>
      </c>
      <c r="M257" s="85" t="s">
        <v>3842</v>
      </c>
    </row>
    <row r="258" ht="242.25" spans="1:13">
      <c r="A258" s="85" t="s">
        <v>3831</v>
      </c>
      <c r="B258" s="85" t="s">
        <v>3843</v>
      </c>
      <c r="C258" s="85" t="s">
        <v>3844</v>
      </c>
      <c r="D258" s="85" t="s">
        <v>3068</v>
      </c>
      <c r="E258" s="85" t="s">
        <v>3844</v>
      </c>
      <c r="F258" s="86">
        <v>2580</v>
      </c>
      <c r="G258" s="86">
        <v>1</v>
      </c>
      <c r="H258" s="86">
        <v>2580</v>
      </c>
      <c r="I258" s="86">
        <v>71420</v>
      </c>
      <c r="J258" s="85" t="s">
        <v>3294</v>
      </c>
      <c r="K258" s="85" t="s">
        <v>3835</v>
      </c>
      <c r="L258" s="85" t="s">
        <v>2906</v>
      </c>
      <c r="M258" s="85" t="s">
        <v>3845</v>
      </c>
    </row>
    <row r="259" ht="242.25" spans="1:13">
      <c r="A259" s="85" t="s">
        <v>3831</v>
      </c>
      <c r="B259" s="85" t="s">
        <v>3846</v>
      </c>
      <c r="C259" s="85" t="s">
        <v>3847</v>
      </c>
      <c r="D259" s="85" t="s">
        <v>3834</v>
      </c>
      <c r="E259" s="85" t="s">
        <v>3848</v>
      </c>
      <c r="F259" s="86">
        <v>1000</v>
      </c>
      <c r="G259" s="86">
        <v>1</v>
      </c>
      <c r="H259" s="86">
        <v>1000</v>
      </c>
      <c r="I259" s="86">
        <v>71420</v>
      </c>
      <c r="J259" s="85" t="s">
        <v>3294</v>
      </c>
      <c r="K259" s="85" t="s">
        <v>3835</v>
      </c>
      <c r="L259" s="85" t="s">
        <v>2906</v>
      </c>
      <c r="M259" s="85" t="s">
        <v>3849</v>
      </c>
    </row>
    <row r="260" ht="242.25" spans="1:13">
      <c r="A260" s="85" t="s">
        <v>3831</v>
      </c>
      <c r="B260" s="85" t="s">
        <v>3850</v>
      </c>
      <c r="C260" s="85" t="s">
        <v>3851</v>
      </c>
      <c r="D260" s="85" t="s">
        <v>3834</v>
      </c>
      <c r="E260" s="85" t="s">
        <v>2336</v>
      </c>
      <c r="F260" s="86">
        <v>4750</v>
      </c>
      <c r="G260" s="86">
        <v>1</v>
      </c>
      <c r="H260" s="86">
        <v>4750</v>
      </c>
      <c r="I260" s="86">
        <v>71420</v>
      </c>
      <c r="J260" s="85" t="s">
        <v>3294</v>
      </c>
      <c r="K260" s="85" t="s">
        <v>3835</v>
      </c>
      <c r="L260" s="85" t="s">
        <v>2906</v>
      </c>
      <c r="M260" s="85" t="s">
        <v>3852</v>
      </c>
    </row>
    <row r="261" ht="242.25" spans="1:13">
      <c r="A261" s="85" t="s">
        <v>3831</v>
      </c>
      <c r="B261" s="85" t="s">
        <v>3853</v>
      </c>
      <c r="C261" s="85" t="s">
        <v>3854</v>
      </c>
      <c r="D261" s="85" t="s">
        <v>3834</v>
      </c>
      <c r="E261" s="85" t="s">
        <v>3855</v>
      </c>
      <c r="F261" s="86">
        <v>1200</v>
      </c>
      <c r="G261" s="86">
        <v>11</v>
      </c>
      <c r="H261" s="86">
        <v>13200</v>
      </c>
      <c r="I261" s="86">
        <v>71420</v>
      </c>
      <c r="J261" s="85" t="s">
        <v>3294</v>
      </c>
      <c r="K261" s="85" t="s">
        <v>3835</v>
      </c>
      <c r="L261" s="85" t="s">
        <v>2906</v>
      </c>
      <c r="M261" s="85" t="s">
        <v>3856</v>
      </c>
    </row>
    <row r="262" ht="242.25" spans="1:13">
      <c r="A262" s="85" t="s">
        <v>3831</v>
      </c>
      <c r="B262" s="85" t="s">
        <v>3857</v>
      </c>
      <c r="C262" s="85" t="s">
        <v>3858</v>
      </c>
      <c r="D262" s="85" t="s">
        <v>3834</v>
      </c>
      <c r="E262" s="85" t="s">
        <v>2336</v>
      </c>
      <c r="F262" s="86">
        <v>5160</v>
      </c>
      <c r="G262" s="86">
        <v>1</v>
      </c>
      <c r="H262" s="86">
        <v>5160</v>
      </c>
      <c r="I262" s="86">
        <v>71420</v>
      </c>
      <c r="J262" s="85" t="s">
        <v>3294</v>
      </c>
      <c r="K262" s="85" t="s">
        <v>3835</v>
      </c>
      <c r="L262" s="85" t="s">
        <v>2906</v>
      </c>
      <c r="M262" s="85" t="s">
        <v>3859</v>
      </c>
    </row>
    <row r="263" ht="242.25" spans="1:13">
      <c r="A263" s="85" t="s">
        <v>3831</v>
      </c>
      <c r="B263" s="85" t="s">
        <v>3860</v>
      </c>
      <c r="C263" s="85" t="s">
        <v>3861</v>
      </c>
      <c r="D263" s="85" t="s">
        <v>3862</v>
      </c>
      <c r="E263" s="85" t="s">
        <v>3861</v>
      </c>
      <c r="F263" s="86">
        <v>2500</v>
      </c>
      <c r="G263" s="86">
        <v>1</v>
      </c>
      <c r="H263" s="86">
        <v>2500</v>
      </c>
      <c r="I263" s="86">
        <v>71420</v>
      </c>
      <c r="J263" s="85" t="s">
        <v>3294</v>
      </c>
      <c r="K263" s="85" t="s">
        <v>3835</v>
      </c>
      <c r="L263" s="85" t="s">
        <v>2906</v>
      </c>
      <c r="M263" s="85" t="s">
        <v>3863</v>
      </c>
    </row>
    <row r="264" ht="409.5" spans="1:13">
      <c r="A264" s="85" t="s">
        <v>3831</v>
      </c>
      <c r="B264" s="85" t="s">
        <v>3864</v>
      </c>
      <c r="C264" s="85" t="s">
        <v>3865</v>
      </c>
      <c r="D264" s="85" t="s">
        <v>3834</v>
      </c>
      <c r="E264" s="85" t="s">
        <v>2333</v>
      </c>
      <c r="F264" s="86">
        <v>5350</v>
      </c>
      <c r="G264" s="86">
        <v>1</v>
      </c>
      <c r="H264" s="86">
        <v>5350</v>
      </c>
      <c r="I264" s="86">
        <v>71420</v>
      </c>
      <c r="J264" s="85" t="s">
        <v>3294</v>
      </c>
      <c r="K264" s="85" t="s">
        <v>3835</v>
      </c>
      <c r="L264" s="85" t="s">
        <v>2906</v>
      </c>
      <c r="M264" s="85" t="s">
        <v>3866</v>
      </c>
    </row>
    <row r="265" ht="242.25" spans="1:13">
      <c r="A265" s="85" t="s">
        <v>3831</v>
      </c>
      <c r="B265" s="85" t="s">
        <v>3867</v>
      </c>
      <c r="C265" s="85" t="s">
        <v>3868</v>
      </c>
      <c r="D265" s="85" t="s">
        <v>3834</v>
      </c>
      <c r="E265" s="85" t="s">
        <v>3868</v>
      </c>
      <c r="F265" s="86">
        <v>1300</v>
      </c>
      <c r="G265" s="86">
        <v>2</v>
      </c>
      <c r="H265" s="86">
        <v>2600</v>
      </c>
      <c r="I265" s="86">
        <v>71420</v>
      </c>
      <c r="J265" s="85" t="s">
        <v>3294</v>
      </c>
      <c r="K265" s="85" t="s">
        <v>3835</v>
      </c>
      <c r="L265" s="85" t="s">
        <v>2906</v>
      </c>
      <c r="M265" s="85" t="s">
        <v>3869</v>
      </c>
    </row>
    <row r="266" ht="242.25" spans="1:13">
      <c r="A266" s="85" t="s">
        <v>3831</v>
      </c>
      <c r="B266" s="85" t="s">
        <v>3870</v>
      </c>
      <c r="C266" s="85" t="s">
        <v>3871</v>
      </c>
      <c r="D266" s="85" t="s">
        <v>3834</v>
      </c>
      <c r="E266" s="85" t="s">
        <v>2325</v>
      </c>
      <c r="F266" s="86">
        <v>860</v>
      </c>
      <c r="G266" s="86">
        <v>11</v>
      </c>
      <c r="H266" s="86">
        <v>9460</v>
      </c>
      <c r="I266" s="86">
        <v>71420</v>
      </c>
      <c r="J266" s="85" t="s">
        <v>3294</v>
      </c>
      <c r="K266" s="85" t="s">
        <v>3835</v>
      </c>
      <c r="L266" s="85" t="s">
        <v>2906</v>
      </c>
      <c r="M266" s="85" t="s">
        <v>3872</v>
      </c>
    </row>
    <row r="267" ht="242.25" spans="1:13">
      <c r="A267" s="85" t="s">
        <v>3831</v>
      </c>
      <c r="B267" s="85" t="s">
        <v>3873</v>
      </c>
      <c r="C267" s="85" t="s">
        <v>3874</v>
      </c>
      <c r="D267" s="85" t="s">
        <v>3834</v>
      </c>
      <c r="E267" s="85" t="s">
        <v>3874</v>
      </c>
      <c r="F267" s="86">
        <v>800</v>
      </c>
      <c r="G267" s="86">
        <v>4</v>
      </c>
      <c r="H267" s="86">
        <v>3200</v>
      </c>
      <c r="I267" s="86">
        <v>71420</v>
      </c>
      <c r="J267" s="85" t="s">
        <v>3294</v>
      </c>
      <c r="K267" s="85" t="s">
        <v>3835</v>
      </c>
      <c r="L267" s="85" t="s">
        <v>2906</v>
      </c>
      <c r="M267" s="85" t="s">
        <v>3875</v>
      </c>
    </row>
    <row r="268" ht="242.25" spans="1:13">
      <c r="A268" s="85" t="s">
        <v>3831</v>
      </c>
      <c r="B268" s="85" t="s">
        <v>3876</v>
      </c>
      <c r="C268" s="85" t="s">
        <v>3877</v>
      </c>
      <c r="D268" s="85" t="s">
        <v>3834</v>
      </c>
      <c r="E268" s="85" t="s">
        <v>3877</v>
      </c>
      <c r="F268" s="86">
        <v>1360</v>
      </c>
      <c r="G268" s="86">
        <v>1</v>
      </c>
      <c r="H268" s="86">
        <v>1360</v>
      </c>
      <c r="I268" s="86">
        <v>71420</v>
      </c>
      <c r="J268" s="85" t="s">
        <v>3294</v>
      </c>
      <c r="K268" s="85" t="s">
        <v>3835</v>
      </c>
      <c r="L268" s="85" t="s">
        <v>2906</v>
      </c>
      <c r="M268" s="85" t="s">
        <v>3878</v>
      </c>
    </row>
    <row r="269" ht="242.25" spans="1:13">
      <c r="A269" s="85" t="s">
        <v>3831</v>
      </c>
      <c r="B269" s="85" t="s">
        <v>3846</v>
      </c>
      <c r="C269" s="85" t="s">
        <v>3847</v>
      </c>
      <c r="D269" s="85" t="s">
        <v>3834</v>
      </c>
      <c r="E269" s="85" t="s">
        <v>3848</v>
      </c>
      <c r="F269" s="86">
        <v>860</v>
      </c>
      <c r="G269" s="86">
        <v>1</v>
      </c>
      <c r="H269" s="86">
        <v>860</v>
      </c>
      <c r="I269" s="86">
        <v>71420</v>
      </c>
      <c r="J269" s="85" t="s">
        <v>3294</v>
      </c>
      <c r="K269" s="85" t="s">
        <v>3835</v>
      </c>
      <c r="L269" s="85" t="s">
        <v>2906</v>
      </c>
      <c r="M269" s="85" t="s">
        <v>3879</v>
      </c>
    </row>
    <row r="270" ht="409.5" spans="1:13">
      <c r="A270" s="85" t="s">
        <v>3831</v>
      </c>
      <c r="B270" s="85" t="s">
        <v>3880</v>
      </c>
      <c r="C270" s="85" t="s">
        <v>3881</v>
      </c>
      <c r="D270" s="85" t="s">
        <v>3834</v>
      </c>
      <c r="E270" s="85" t="s">
        <v>2336</v>
      </c>
      <c r="F270" s="86">
        <v>4600</v>
      </c>
      <c r="G270" s="86">
        <v>1</v>
      </c>
      <c r="H270" s="86">
        <v>4600</v>
      </c>
      <c r="I270" s="86">
        <v>71420</v>
      </c>
      <c r="J270" s="85" t="s">
        <v>3294</v>
      </c>
      <c r="K270" s="85" t="s">
        <v>3835</v>
      </c>
      <c r="L270" s="85" t="s">
        <v>2906</v>
      </c>
      <c r="M270" s="85" t="s">
        <v>3882</v>
      </c>
    </row>
    <row r="271" ht="242.25" spans="1:13">
      <c r="A271" s="85" t="s">
        <v>3831</v>
      </c>
      <c r="B271" s="85" t="s">
        <v>3883</v>
      </c>
      <c r="C271" s="85" t="s">
        <v>3884</v>
      </c>
      <c r="D271" s="85" t="s">
        <v>3834</v>
      </c>
      <c r="E271" s="85" t="s">
        <v>2325</v>
      </c>
      <c r="F271" s="86">
        <v>600</v>
      </c>
      <c r="G271" s="86">
        <v>2</v>
      </c>
      <c r="H271" s="86">
        <v>1200</v>
      </c>
      <c r="I271" s="86">
        <v>71420</v>
      </c>
      <c r="J271" s="85" t="s">
        <v>3294</v>
      </c>
      <c r="K271" s="85" t="s">
        <v>3835</v>
      </c>
      <c r="L271" s="85" t="s">
        <v>2906</v>
      </c>
      <c r="M271" s="85" t="s">
        <v>3885</v>
      </c>
    </row>
    <row r="272" ht="242.25" spans="1:13">
      <c r="A272" s="85" t="s">
        <v>3831</v>
      </c>
      <c r="B272" s="85" t="s">
        <v>3886</v>
      </c>
      <c r="C272" s="85" t="s">
        <v>3887</v>
      </c>
      <c r="D272" s="85" t="s">
        <v>3834</v>
      </c>
      <c r="E272" s="85" t="s">
        <v>2336</v>
      </c>
      <c r="F272" s="86">
        <v>2750</v>
      </c>
      <c r="G272" s="86">
        <v>1</v>
      </c>
      <c r="H272" s="86">
        <v>2750</v>
      </c>
      <c r="I272" s="86">
        <v>71420</v>
      </c>
      <c r="J272" s="85" t="s">
        <v>3294</v>
      </c>
      <c r="K272" s="85" t="s">
        <v>3835</v>
      </c>
      <c r="L272" s="85" t="s">
        <v>2906</v>
      </c>
      <c r="M272" s="85" t="s">
        <v>3888</v>
      </c>
    </row>
    <row r="273" ht="242.25" spans="1:13">
      <c r="A273" s="85" t="s">
        <v>3831</v>
      </c>
      <c r="B273" s="85" t="s">
        <v>3889</v>
      </c>
      <c r="C273" s="85" t="s">
        <v>3890</v>
      </c>
      <c r="D273" s="85" t="s">
        <v>3834</v>
      </c>
      <c r="E273" s="85" t="s">
        <v>2325</v>
      </c>
      <c r="F273" s="86">
        <v>700</v>
      </c>
      <c r="G273" s="86">
        <v>9</v>
      </c>
      <c r="H273" s="86">
        <v>6300</v>
      </c>
      <c r="I273" s="86">
        <v>71420</v>
      </c>
      <c r="J273" s="85" t="s">
        <v>3294</v>
      </c>
      <c r="K273" s="85" t="s">
        <v>3835</v>
      </c>
      <c r="L273" s="85" t="s">
        <v>2906</v>
      </c>
      <c r="M273" s="85" t="s">
        <v>3891</v>
      </c>
    </row>
    <row r="274" ht="242.25" spans="1:13">
      <c r="A274" s="85" t="s">
        <v>3831</v>
      </c>
      <c r="B274" s="85" t="s">
        <v>3892</v>
      </c>
      <c r="C274" s="85" t="s">
        <v>3893</v>
      </c>
      <c r="D274" s="85" t="s">
        <v>3068</v>
      </c>
      <c r="E274" s="85" t="s">
        <v>2330</v>
      </c>
      <c r="F274" s="86">
        <v>900</v>
      </c>
      <c r="G274" s="86">
        <v>1</v>
      </c>
      <c r="H274" s="86">
        <v>900</v>
      </c>
      <c r="I274" s="86">
        <v>71420</v>
      </c>
      <c r="J274" s="85" t="s">
        <v>3294</v>
      </c>
      <c r="K274" s="85" t="s">
        <v>3835</v>
      </c>
      <c r="L274" s="85" t="s">
        <v>2906</v>
      </c>
      <c r="M274" s="85" t="s">
        <v>3894</v>
      </c>
    </row>
    <row r="275" ht="242.25" spans="1:13">
      <c r="A275" s="85" t="s">
        <v>3895</v>
      </c>
      <c r="B275" s="85" t="s">
        <v>3896</v>
      </c>
      <c r="C275" s="85" t="s">
        <v>1308</v>
      </c>
      <c r="D275" s="85" t="s">
        <v>3897</v>
      </c>
      <c r="E275" s="85" t="s">
        <v>1308</v>
      </c>
      <c r="F275" s="86">
        <v>433400.64</v>
      </c>
      <c r="G275" s="86">
        <v>1</v>
      </c>
      <c r="H275" s="86">
        <v>433400.64</v>
      </c>
      <c r="I275" s="86">
        <v>433400.64</v>
      </c>
      <c r="J275" s="85" t="s">
        <v>3898</v>
      </c>
      <c r="K275" s="85" t="s">
        <v>3899</v>
      </c>
      <c r="L275" s="85" t="s">
        <v>2906</v>
      </c>
      <c r="M275" s="85" t="s">
        <v>3900</v>
      </c>
    </row>
    <row r="276" ht="242.25" spans="1:13">
      <c r="A276" s="85" t="s">
        <v>3901</v>
      </c>
      <c r="B276" s="85" t="s">
        <v>3820</v>
      </c>
      <c r="C276" s="85" t="s">
        <v>3821</v>
      </c>
      <c r="D276" s="85" t="s">
        <v>2911</v>
      </c>
      <c r="E276" s="85" t="s">
        <v>3822</v>
      </c>
      <c r="F276" s="86">
        <v>31120</v>
      </c>
      <c r="G276" s="86">
        <v>1</v>
      </c>
      <c r="H276" s="86">
        <v>31120</v>
      </c>
      <c r="I276" s="86">
        <v>31120</v>
      </c>
      <c r="J276" s="85" t="s">
        <v>2935</v>
      </c>
      <c r="K276" s="85" t="s">
        <v>3902</v>
      </c>
      <c r="L276" s="85" t="s">
        <v>2906</v>
      </c>
      <c r="M276" s="85" t="s">
        <v>3903</v>
      </c>
    </row>
    <row r="277" ht="242.25" spans="1:13">
      <c r="A277" s="85" t="s">
        <v>3904</v>
      </c>
      <c r="B277" s="85" t="s">
        <v>3905</v>
      </c>
      <c r="C277" s="85" t="s">
        <v>3906</v>
      </c>
      <c r="D277" s="85" t="s">
        <v>3907</v>
      </c>
      <c r="E277" s="85" t="s">
        <v>3908</v>
      </c>
      <c r="F277" s="86">
        <v>30</v>
      </c>
      <c r="G277" s="86">
        <v>11</v>
      </c>
      <c r="H277" s="86">
        <v>330</v>
      </c>
      <c r="I277" s="86">
        <v>10468.9</v>
      </c>
      <c r="J277" s="85" t="s">
        <v>2935</v>
      </c>
      <c r="K277" s="85" t="s">
        <v>3909</v>
      </c>
      <c r="L277" s="85" t="s">
        <v>2906</v>
      </c>
      <c r="M277" s="85" t="s">
        <v>3910</v>
      </c>
    </row>
    <row r="278" ht="242.25" spans="1:13">
      <c r="A278" s="85" t="s">
        <v>3904</v>
      </c>
      <c r="B278" s="85" t="s">
        <v>3911</v>
      </c>
      <c r="C278" s="85" t="s">
        <v>3912</v>
      </c>
      <c r="D278" s="85" t="s">
        <v>3913</v>
      </c>
      <c r="E278" s="85" t="s">
        <v>1784</v>
      </c>
      <c r="F278" s="86">
        <v>2350</v>
      </c>
      <c r="G278" s="86">
        <v>1</v>
      </c>
      <c r="H278" s="86">
        <v>2350</v>
      </c>
      <c r="I278" s="86">
        <v>10468.9</v>
      </c>
      <c r="J278" s="85" t="s">
        <v>2935</v>
      </c>
      <c r="K278" s="85" t="s">
        <v>3909</v>
      </c>
      <c r="L278" s="85" t="s">
        <v>2906</v>
      </c>
      <c r="M278" s="85" t="s">
        <v>3914</v>
      </c>
    </row>
    <row r="279" ht="242.25" spans="1:13">
      <c r="A279" s="85" t="s">
        <v>3904</v>
      </c>
      <c r="B279" s="85" t="s">
        <v>3915</v>
      </c>
      <c r="C279" s="85" t="s">
        <v>3916</v>
      </c>
      <c r="D279" s="85" t="s">
        <v>3068</v>
      </c>
      <c r="E279" s="85" t="s">
        <v>3069</v>
      </c>
      <c r="F279" s="86">
        <v>235</v>
      </c>
      <c r="G279" s="86">
        <v>6</v>
      </c>
      <c r="H279" s="86">
        <v>1410</v>
      </c>
      <c r="I279" s="86">
        <v>10468.9</v>
      </c>
      <c r="J279" s="85" t="s">
        <v>2935</v>
      </c>
      <c r="K279" s="85" t="s">
        <v>3909</v>
      </c>
      <c r="L279" s="85" t="s">
        <v>2906</v>
      </c>
      <c r="M279" s="85" t="s">
        <v>3917</v>
      </c>
    </row>
    <row r="280" ht="242.25" spans="1:13">
      <c r="A280" s="85" t="s">
        <v>3904</v>
      </c>
      <c r="B280" s="85" t="s">
        <v>3918</v>
      </c>
      <c r="C280" s="85" t="s">
        <v>3919</v>
      </c>
      <c r="D280" s="85" t="s">
        <v>3189</v>
      </c>
      <c r="E280" s="85" t="s">
        <v>3920</v>
      </c>
      <c r="F280" s="86">
        <v>19</v>
      </c>
      <c r="G280" s="86">
        <v>31</v>
      </c>
      <c r="H280" s="86">
        <v>589</v>
      </c>
      <c r="I280" s="86">
        <v>10468.9</v>
      </c>
      <c r="J280" s="85" t="s">
        <v>2935</v>
      </c>
      <c r="K280" s="85" t="s">
        <v>3909</v>
      </c>
      <c r="L280" s="85" t="s">
        <v>2906</v>
      </c>
      <c r="M280" s="85" t="s">
        <v>3921</v>
      </c>
    </row>
    <row r="281" ht="242.25" spans="1:13">
      <c r="A281" s="85" t="s">
        <v>3904</v>
      </c>
      <c r="B281" s="85" t="s">
        <v>3922</v>
      </c>
      <c r="C281" s="85" t="s">
        <v>3923</v>
      </c>
      <c r="D281" s="85" t="s">
        <v>3189</v>
      </c>
      <c r="E281" s="85" t="s">
        <v>3924</v>
      </c>
      <c r="F281" s="86">
        <v>68</v>
      </c>
      <c r="G281" s="86">
        <v>2</v>
      </c>
      <c r="H281" s="86">
        <v>136</v>
      </c>
      <c r="I281" s="86">
        <v>10468.9</v>
      </c>
      <c r="J281" s="85" t="s">
        <v>2935</v>
      </c>
      <c r="K281" s="85" t="s">
        <v>3909</v>
      </c>
      <c r="L281" s="85" t="s">
        <v>2906</v>
      </c>
      <c r="M281" s="85" t="s">
        <v>3925</v>
      </c>
    </row>
    <row r="282" ht="242.25" spans="1:13">
      <c r="A282" s="85" t="s">
        <v>3904</v>
      </c>
      <c r="B282" s="85" t="s">
        <v>3926</v>
      </c>
      <c r="C282" s="85" t="s">
        <v>3927</v>
      </c>
      <c r="D282" s="85" t="s">
        <v>3928</v>
      </c>
      <c r="E282" s="85" t="s">
        <v>3929</v>
      </c>
      <c r="F282" s="86">
        <v>30</v>
      </c>
      <c r="G282" s="86">
        <v>20</v>
      </c>
      <c r="H282" s="86">
        <v>600</v>
      </c>
      <c r="I282" s="86">
        <v>10468.9</v>
      </c>
      <c r="J282" s="85" t="s">
        <v>2935</v>
      </c>
      <c r="K282" s="85" t="s">
        <v>3909</v>
      </c>
      <c r="L282" s="85" t="s">
        <v>2906</v>
      </c>
      <c r="M282" s="85" t="s">
        <v>3930</v>
      </c>
    </row>
    <row r="283" ht="242.25" spans="1:13">
      <c r="A283" s="85" t="s">
        <v>3904</v>
      </c>
      <c r="B283" s="85" t="s">
        <v>3931</v>
      </c>
      <c r="C283" s="85" t="s">
        <v>3932</v>
      </c>
      <c r="D283" s="85" t="s">
        <v>3189</v>
      </c>
      <c r="E283" s="85" t="s">
        <v>3933</v>
      </c>
      <c r="F283" s="86">
        <v>30.9</v>
      </c>
      <c r="G283" s="86">
        <v>3</v>
      </c>
      <c r="H283" s="86">
        <v>92.7</v>
      </c>
      <c r="I283" s="86">
        <v>10468.9</v>
      </c>
      <c r="J283" s="85" t="s">
        <v>2935</v>
      </c>
      <c r="K283" s="85" t="s">
        <v>3909</v>
      </c>
      <c r="L283" s="85" t="s">
        <v>2906</v>
      </c>
      <c r="M283" s="85" t="s">
        <v>3934</v>
      </c>
    </row>
    <row r="284" ht="242.25" spans="1:13">
      <c r="A284" s="85" t="s">
        <v>3904</v>
      </c>
      <c r="B284" s="85" t="s">
        <v>3935</v>
      </c>
      <c r="C284" s="85" t="s">
        <v>3936</v>
      </c>
      <c r="D284" s="85" t="s">
        <v>3398</v>
      </c>
      <c r="E284" s="85" t="s">
        <v>3936</v>
      </c>
      <c r="F284" s="86">
        <v>3752</v>
      </c>
      <c r="G284" s="86">
        <v>1</v>
      </c>
      <c r="H284" s="86">
        <v>3752</v>
      </c>
      <c r="I284" s="86">
        <v>10468.9</v>
      </c>
      <c r="J284" s="85" t="s">
        <v>2935</v>
      </c>
      <c r="K284" s="85" t="s">
        <v>3909</v>
      </c>
      <c r="L284" s="85" t="s">
        <v>2906</v>
      </c>
      <c r="M284" s="85" t="s">
        <v>3937</v>
      </c>
    </row>
    <row r="285" ht="242.25" spans="1:13">
      <c r="A285" s="85" t="s">
        <v>3904</v>
      </c>
      <c r="B285" s="85" t="s">
        <v>3938</v>
      </c>
      <c r="C285" s="85" t="s">
        <v>3939</v>
      </c>
      <c r="D285" s="85" t="s">
        <v>3722</v>
      </c>
      <c r="E285" s="85" t="s">
        <v>3940</v>
      </c>
      <c r="F285" s="86">
        <v>38.5</v>
      </c>
      <c r="G285" s="86">
        <v>20</v>
      </c>
      <c r="H285" s="86">
        <v>770</v>
      </c>
      <c r="I285" s="86">
        <v>10468.9</v>
      </c>
      <c r="J285" s="85" t="s">
        <v>2935</v>
      </c>
      <c r="K285" s="85" t="s">
        <v>3909</v>
      </c>
      <c r="L285" s="85" t="s">
        <v>2906</v>
      </c>
      <c r="M285" s="85" t="s">
        <v>3941</v>
      </c>
    </row>
    <row r="286" ht="242.25" spans="1:13">
      <c r="A286" s="85" t="s">
        <v>3904</v>
      </c>
      <c r="B286" s="85" t="s">
        <v>3942</v>
      </c>
      <c r="C286" s="85" t="s">
        <v>3943</v>
      </c>
      <c r="D286" s="85" t="s">
        <v>3944</v>
      </c>
      <c r="E286" s="85" t="s">
        <v>3943</v>
      </c>
      <c r="F286" s="86">
        <v>54.9</v>
      </c>
      <c r="G286" s="86">
        <v>8</v>
      </c>
      <c r="H286" s="86">
        <v>439.2</v>
      </c>
      <c r="I286" s="86">
        <v>10468.9</v>
      </c>
      <c r="J286" s="85" t="s">
        <v>2935</v>
      </c>
      <c r="K286" s="85" t="s">
        <v>3909</v>
      </c>
      <c r="L286" s="85" t="s">
        <v>2906</v>
      </c>
      <c r="M286" s="85" t="s">
        <v>3945</v>
      </c>
    </row>
    <row r="287" ht="242.25" spans="1:13">
      <c r="A287" s="85" t="s">
        <v>3946</v>
      </c>
      <c r="B287" s="85" t="s">
        <v>3123</v>
      </c>
      <c r="C287" s="85" t="s">
        <v>3124</v>
      </c>
      <c r="D287" s="85" t="s">
        <v>3125</v>
      </c>
      <c r="E287" s="85" t="s">
        <v>3124</v>
      </c>
      <c r="F287" s="86">
        <v>119800</v>
      </c>
      <c r="G287" s="86">
        <v>1</v>
      </c>
      <c r="H287" s="86">
        <v>119800</v>
      </c>
      <c r="I287" s="86">
        <v>119800</v>
      </c>
      <c r="J287" s="85" t="s">
        <v>3947</v>
      </c>
      <c r="K287" s="85" t="s">
        <v>3948</v>
      </c>
      <c r="L287" s="85" t="s">
        <v>2906</v>
      </c>
      <c r="M287" s="85" t="s">
        <v>3949</v>
      </c>
    </row>
    <row r="288" ht="242.25" spans="1:13">
      <c r="A288" s="85" t="s">
        <v>3950</v>
      </c>
      <c r="B288" s="85" t="s">
        <v>3509</v>
      </c>
      <c r="C288" s="85" t="s">
        <v>3510</v>
      </c>
      <c r="D288" s="85" t="s">
        <v>3511</v>
      </c>
      <c r="E288" s="85" t="s">
        <v>3510</v>
      </c>
      <c r="F288" s="86">
        <v>9736.4</v>
      </c>
      <c r="G288" s="86">
        <v>1</v>
      </c>
      <c r="H288" s="86">
        <v>9736.4</v>
      </c>
      <c r="I288" s="86">
        <v>9736.4</v>
      </c>
      <c r="J288" s="85" t="s">
        <v>3951</v>
      </c>
      <c r="K288" s="85" t="s">
        <v>3952</v>
      </c>
      <c r="L288" s="85" t="s">
        <v>2906</v>
      </c>
      <c r="M288" s="85" t="s">
        <v>3953</v>
      </c>
    </row>
    <row r="289" ht="242.25" spans="1:13">
      <c r="A289" s="85" t="s">
        <v>3954</v>
      </c>
      <c r="B289" s="85" t="s">
        <v>3404</v>
      </c>
      <c r="C289" s="85" t="s">
        <v>3405</v>
      </c>
      <c r="D289" s="85" t="s">
        <v>3406</v>
      </c>
      <c r="E289" s="85" t="s">
        <v>3405</v>
      </c>
      <c r="F289" s="86">
        <v>128.7</v>
      </c>
      <c r="G289" s="86">
        <v>3</v>
      </c>
      <c r="H289" s="86">
        <v>386.1</v>
      </c>
      <c r="I289" s="86">
        <v>12711.75</v>
      </c>
      <c r="J289" s="85" t="s">
        <v>2965</v>
      </c>
      <c r="K289" s="85" t="s">
        <v>3955</v>
      </c>
      <c r="L289" s="85" t="s">
        <v>2906</v>
      </c>
      <c r="M289" s="85" t="s">
        <v>3956</v>
      </c>
    </row>
    <row r="290" ht="242.25" spans="1:13">
      <c r="A290" s="85" t="s">
        <v>3954</v>
      </c>
      <c r="B290" s="85" t="s">
        <v>3957</v>
      </c>
      <c r="C290" s="85" t="s">
        <v>3958</v>
      </c>
      <c r="D290" s="85" t="s">
        <v>3959</v>
      </c>
      <c r="E290" s="85" t="s">
        <v>3958</v>
      </c>
      <c r="F290" s="86">
        <v>59.36</v>
      </c>
      <c r="G290" s="86">
        <v>25</v>
      </c>
      <c r="H290" s="86">
        <v>1484</v>
      </c>
      <c r="I290" s="86">
        <v>12711.75</v>
      </c>
      <c r="J290" s="85" t="s">
        <v>2965</v>
      </c>
      <c r="K290" s="85" t="s">
        <v>3955</v>
      </c>
      <c r="L290" s="85" t="s">
        <v>2906</v>
      </c>
      <c r="M290" s="85" t="s">
        <v>3960</v>
      </c>
    </row>
    <row r="291" ht="242.25" spans="1:13">
      <c r="A291" s="85" t="s">
        <v>3954</v>
      </c>
      <c r="B291" s="85" t="s">
        <v>3961</v>
      </c>
      <c r="C291" s="85" t="s">
        <v>3962</v>
      </c>
      <c r="D291" s="85" t="s">
        <v>3963</v>
      </c>
      <c r="E291" s="85" t="s">
        <v>3962</v>
      </c>
      <c r="F291" s="86">
        <v>1.28</v>
      </c>
      <c r="G291" s="86">
        <v>30</v>
      </c>
      <c r="H291" s="86">
        <v>38.4</v>
      </c>
      <c r="I291" s="86">
        <v>12711.75</v>
      </c>
      <c r="J291" s="85" t="s">
        <v>2965</v>
      </c>
      <c r="K291" s="85" t="s">
        <v>3955</v>
      </c>
      <c r="L291" s="85" t="s">
        <v>2906</v>
      </c>
      <c r="M291" s="85" t="s">
        <v>3964</v>
      </c>
    </row>
    <row r="292" ht="242.25" spans="1:13">
      <c r="A292" s="85" t="s">
        <v>3965</v>
      </c>
      <c r="B292" s="85" t="s">
        <v>3072</v>
      </c>
      <c r="C292" s="85" t="s">
        <v>3073</v>
      </c>
      <c r="D292" s="85" t="s">
        <v>3074</v>
      </c>
      <c r="E292" s="85" t="s">
        <v>1969</v>
      </c>
      <c r="F292" s="86">
        <v>445</v>
      </c>
      <c r="G292" s="86">
        <v>10</v>
      </c>
      <c r="H292" s="86">
        <v>4450</v>
      </c>
      <c r="I292" s="86">
        <v>4450</v>
      </c>
      <c r="J292" s="85" t="s">
        <v>3075</v>
      </c>
      <c r="K292" s="85" t="s">
        <v>3955</v>
      </c>
      <c r="L292" s="85" t="s">
        <v>2906</v>
      </c>
      <c r="M292" s="85" t="s">
        <v>3966</v>
      </c>
    </row>
    <row r="293" ht="242.25" spans="1:13">
      <c r="A293" s="85" t="s">
        <v>3954</v>
      </c>
      <c r="B293" s="85" t="s">
        <v>3967</v>
      </c>
      <c r="C293" s="85" t="s">
        <v>3968</v>
      </c>
      <c r="D293" s="85" t="s">
        <v>3969</v>
      </c>
      <c r="E293" s="85" t="s">
        <v>3968</v>
      </c>
      <c r="F293" s="86">
        <v>9.59</v>
      </c>
      <c r="G293" s="86">
        <v>5</v>
      </c>
      <c r="H293" s="86">
        <v>47.95</v>
      </c>
      <c r="I293" s="86">
        <v>12711.75</v>
      </c>
      <c r="J293" s="85" t="s">
        <v>2965</v>
      </c>
      <c r="K293" s="85" t="s">
        <v>3955</v>
      </c>
      <c r="L293" s="85" t="s">
        <v>2906</v>
      </c>
      <c r="M293" s="85" t="s">
        <v>3970</v>
      </c>
    </row>
    <row r="294" ht="242.25" spans="1:13">
      <c r="A294" s="85" t="s">
        <v>3971</v>
      </c>
      <c r="B294" s="85" t="s">
        <v>3972</v>
      </c>
      <c r="C294" s="85" t="s">
        <v>3973</v>
      </c>
      <c r="D294" s="85" t="s">
        <v>2982</v>
      </c>
      <c r="E294" s="85" t="s">
        <v>3974</v>
      </c>
      <c r="F294" s="86">
        <v>13.93</v>
      </c>
      <c r="G294" s="86">
        <v>5</v>
      </c>
      <c r="H294" s="86">
        <v>69.65</v>
      </c>
      <c r="I294" s="86">
        <v>69.65</v>
      </c>
      <c r="J294" s="85" t="s">
        <v>2958</v>
      </c>
      <c r="K294" s="85" t="s">
        <v>3955</v>
      </c>
      <c r="L294" s="85" t="s">
        <v>2906</v>
      </c>
      <c r="M294" s="85" t="s">
        <v>3975</v>
      </c>
    </row>
    <row r="295" ht="242.25" spans="1:13">
      <c r="A295" s="85" t="s">
        <v>3954</v>
      </c>
      <c r="B295" s="85" t="s">
        <v>3720</v>
      </c>
      <c r="C295" s="85" t="s">
        <v>3721</v>
      </c>
      <c r="D295" s="85" t="s">
        <v>3722</v>
      </c>
      <c r="E295" s="85" t="s">
        <v>3721</v>
      </c>
      <c r="F295" s="86">
        <v>15.15</v>
      </c>
      <c r="G295" s="86">
        <v>5</v>
      </c>
      <c r="H295" s="86">
        <v>75.75</v>
      </c>
      <c r="I295" s="86">
        <v>12711.75</v>
      </c>
      <c r="J295" s="85" t="s">
        <v>2965</v>
      </c>
      <c r="K295" s="85" t="s">
        <v>3955</v>
      </c>
      <c r="L295" s="85" t="s">
        <v>2906</v>
      </c>
      <c r="M295" s="85" t="s">
        <v>3976</v>
      </c>
    </row>
    <row r="296" ht="242.25" spans="1:13">
      <c r="A296" s="85" t="s">
        <v>3954</v>
      </c>
      <c r="B296" s="85" t="s">
        <v>3432</v>
      </c>
      <c r="C296" s="85" t="s">
        <v>3433</v>
      </c>
      <c r="D296" s="85" t="s">
        <v>3434</v>
      </c>
      <c r="E296" s="85" t="s">
        <v>3433</v>
      </c>
      <c r="F296" s="86">
        <v>27.07</v>
      </c>
      <c r="G296" s="86">
        <v>10</v>
      </c>
      <c r="H296" s="86">
        <v>270.7</v>
      </c>
      <c r="I296" s="86">
        <v>12711.75</v>
      </c>
      <c r="J296" s="85" t="s">
        <v>2965</v>
      </c>
      <c r="K296" s="85" t="s">
        <v>3955</v>
      </c>
      <c r="L296" s="85" t="s">
        <v>2906</v>
      </c>
      <c r="M296" s="85" t="s">
        <v>3977</v>
      </c>
    </row>
    <row r="297" ht="242.25" spans="1:13">
      <c r="A297" s="85" t="s">
        <v>3954</v>
      </c>
      <c r="B297" s="85" t="s">
        <v>3264</v>
      </c>
      <c r="C297" s="85" t="s">
        <v>3265</v>
      </c>
      <c r="D297" s="85" t="s">
        <v>3014</v>
      </c>
      <c r="E297" s="85" t="s">
        <v>3265</v>
      </c>
      <c r="F297" s="86">
        <v>80.46</v>
      </c>
      <c r="G297" s="86">
        <v>5</v>
      </c>
      <c r="H297" s="86">
        <v>402.3</v>
      </c>
      <c r="I297" s="86">
        <v>12711.75</v>
      </c>
      <c r="J297" s="85" t="s">
        <v>2965</v>
      </c>
      <c r="K297" s="85" t="s">
        <v>3955</v>
      </c>
      <c r="L297" s="85" t="s">
        <v>2906</v>
      </c>
      <c r="M297" s="85" t="s">
        <v>3978</v>
      </c>
    </row>
    <row r="298" ht="242.25" spans="1:13">
      <c r="A298" s="85" t="s">
        <v>3954</v>
      </c>
      <c r="B298" s="85" t="s">
        <v>3979</v>
      </c>
      <c r="C298" s="85" t="s">
        <v>3980</v>
      </c>
      <c r="D298" s="85" t="s">
        <v>3003</v>
      </c>
      <c r="E298" s="85" t="s">
        <v>3980</v>
      </c>
      <c r="F298" s="86">
        <v>17.77</v>
      </c>
      <c r="G298" s="86">
        <v>24</v>
      </c>
      <c r="H298" s="86">
        <v>426.48</v>
      </c>
      <c r="I298" s="86">
        <v>12711.75</v>
      </c>
      <c r="J298" s="85" t="s">
        <v>2965</v>
      </c>
      <c r="K298" s="85" t="s">
        <v>3955</v>
      </c>
      <c r="L298" s="85" t="s">
        <v>2906</v>
      </c>
      <c r="M298" s="85" t="s">
        <v>3981</v>
      </c>
    </row>
    <row r="299" ht="242.25" spans="1:13">
      <c r="A299" s="85" t="s">
        <v>3954</v>
      </c>
      <c r="B299" s="85" t="s">
        <v>3714</v>
      </c>
      <c r="C299" s="85" t="s">
        <v>3715</v>
      </c>
      <c r="D299" s="85" t="s">
        <v>3288</v>
      </c>
      <c r="E299" s="85" t="s">
        <v>3715</v>
      </c>
      <c r="F299" s="86">
        <v>49.5</v>
      </c>
      <c r="G299" s="86">
        <v>2</v>
      </c>
      <c r="H299" s="86">
        <v>99</v>
      </c>
      <c r="I299" s="86">
        <v>12711.75</v>
      </c>
      <c r="J299" s="85" t="s">
        <v>2965</v>
      </c>
      <c r="K299" s="85" t="s">
        <v>3955</v>
      </c>
      <c r="L299" s="85" t="s">
        <v>2906</v>
      </c>
      <c r="M299" s="85" t="s">
        <v>3982</v>
      </c>
    </row>
    <row r="300" ht="242.25" spans="1:13">
      <c r="A300" s="85" t="s">
        <v>3954</v>
      </c>
      <c r="B300" s="85" t="s">
        <v>3983</v>
      </c>
      <c r="C300" s="85" t="s">
        <v>3984</v>
      </c>
      <c r="D300" s="85" t="s">
        <v>3985</v>
      </c>
      <c r="E300" s="85" t="s">
        <v>3984</v>
      </c>
      <c r="F300" s="86">
        <v>27</v>
      </c>
      <c r="G300" s="86">
        <v>10</v>
      </c>
      <c r="H300" s="86">
        <v>270</v>
      </c>
      <c r="I300" s="86">
        <v>12711.75</v>
      </c>
      <c r="J300" s="85" t="s">
        <v>2965</v>
      </c>
      <c r="K300" s="85" t="s">
        <v>3955</v>
      </c>
      <c r="L300" s="85" t="s">
        <v>2906</v>
      </c>
      <c r="M300" s="85" t="s">
        <v>3986</v>
      </c>
    </row>
    <row r="301" ht="242.25" spans="1:13">
      <c r="A301" s="85" t="s">
        <v>3954</v>
      </c>
      <c r="B301" s="85" t="s">
        <v>3717</v>
      </c>
      <c r="C301" s="85" t="s">
        <v>3718</v>
      </c>
      <c r="D301" s="85" t="s">
        <v>3014</v>
      </c>
      <c r="E301" s="85" t="s">
        <v>3718</v>
      </c>
      <c r="F301" s="86">
        <v>110</v>
      </c>
      <c r="G301" s="86">
        <v>5</v>
      </c>
      <c r="H301" s="86">
        <v>550</v>
      </c>
      <c r="I301" s="86">
        <v>12711.75</v>
      </c>
      <c r="J301" s="85" t="s">
        <v>2965</v>
      </c>
      <c r="K301" s="85" t="s">
        <v>3955</v>
      </c>
      <c r="L301" s="85" t="s">
        <v>2906</v>
      </c>
      <c r="M301" s="85" t="s">
        <v>3987</v>
      </c>
    </row>
    <row r="302" ht="242.25" spans="1:13">
      <c r="A302" s="85" t="s">
        <v>3954</v>
      </c>
      <c r="B302" s="85" t="s">
        <v>3988</v>
      </c>
      <c r="C302" s="85" t="s">
        <v>3989</v>
      </c>
      <c r="D302" s="85" t="s">
        <v>3729</v>
      </c>
      <c r="E302" s="85" t="s">
        <v>3989</v>
      </c>
      <c r="F302" s="86">
        <v>0.12</v>
      </c>
      <c r="G302" s="86">
        <v>500</v>
      </c>
      <c r="H302" s="86">
        <v>60</v>
      </c>
      <c r="I302" s="86">
        <v>12711.75</v>
      </c>
      <c r="J302" s="85" t="s">
        <v>2965</v>
      </c>
      <c r="K302" s="85" t="s">
        <v>3955</v>
      </c>
      <c r="L302" s="85" t="s">
        <v>2906</v>
      </c>
      <c r="M302" s="85" t="s">
        <v>3990</v>
      </c>
    </row>
    <row r="303" ht="242.25" spans="1:13">
      <c r="A303" s="85" t="s">
        <v>3954</v>
      </c>
      <c r="B303" s="85" t="s">
        <v>3991</v>
      </c>
      <c r="C303" s="85" t="s">
        <v>3992</v>
      </c>
      <c r="D303" s="85" t="s">
        <v>3963</v>
      </c>
      <c r="E303" s="85" t="s">
        <v>3992</v>
      </c>
      <c r="F303" s="86">
        <v>2.81</v>
      </c>
      <c r="G303" s="86">
        <v>30</v>
      </c>
      <c r="H303" s="86">
        <v>84.3</v>
      </c>
      <c r="I303" s="86">
        <v>12711.75</v>
      </c>
      <c r="J303" s="85" t="s">
        <v>2965</v>
      </c>
      <c r="K303" s="85" t="s">
        <v>3955</v>
      </c>
      <c r="L303" s="85" t="s">
        <v>2906</v>
      </c>
      <c r="M303" s="85" t="s">
        <v>3993</v>
      </c>
    </row>
    <row r="304" ht="242.25" spans="1:13">
      <c r="A304" s="85" t="s">
        <v>3954</v>
      </c>
      <c r="B304" s="85" t="s">
        <v>3994</v>
      </c>
      <c r="C304" s="85" t="s">
        <v>3995</v>
      </c>
      <c r="D304" s="85" t="s">
        <v>3963</v>
      </c>
      <c r="E304" s="85" t="s">
        <v>3995</v>
      </c>
      <c r="F304" s="86">
        <v>12.33</v>
      </c>
      <c r="G304" s="86">
        <v>20</v>
      </c>
      <c r="H304" s="86">
        <v>246.6</v>
      </c>
      <c r="I304" s="86">
        <v>12711.75</v>
      </c>
      <c r="J304" s="85" t="s">
        <v>2965</v>
      </c>
      <c r="K304" s="85" t="s">
        <v>3955</v>
      </c>
      <c r="L304" s="85" t="s">
        <v>2906</v>
      </c>
      <c r="M304" s="85" t="s">
        <v>3996</v>
      </c>
    </row>
    <row r="305" ht="242.25" spans="1:13">
      <c r="A305" s="85" t="s">
        <v>3954</v>
      </c>
      <c r="B305" s="85" t="s">
        <v>3997</v>
      </c>
      <c r="C305" s="85" t="s">
        <v>3998</v>
      </c>
      <c r="D305" s="85" t="s">
        <v>2973</v>
      </c>
      <c r="E305" s="85" t="s">
        <v>3998</v>
      </c>
      <c r="F305" s="86">
        <v>13.36</v>
      </c>
      <c r="G305" s="86">
        <v>20</v>
      </c>
      <c r="H305" s="86">
        <v>267.2</v>
      </c>
      <c r="I305" s="86">
        <v>12711.75</v>
      </c>
      <c r="J305" s="85" t="s">
        <v>2965</v>
      </c>
      <c r="K305" s="85" t="s">
        <v>3955</v>
      </c>
      <c r="L305" s="85" t="s">
        <v>2906</v>
      </c>
      <c r="M305" s="85" t="s">
        <v>3999</v>
      </c>
    </row>
    <row r="306" ht="242.25" spans="1:13">
      <c r="A306" s="85" t="s">
        <v>3954</v>
      </c>
      <c r="B306" s="85" t="s">
        <v>3559</v>
      </c>
      <c r="C306" s="85" t="s">
        <v>3560</v>
      </c>
      <c r="D306" s="85" t="s">
        <v>3561</v>
      </c>
      <c r="E306" s="85" t="s">
        <v>3560</v>
      </c>
      <c r="F306" s="86">
        <v>113.38</v>
      </c>
      <c r="G306" s="86">
        <v>2</v>
      </c>
      <c r="H306" s="86">
        <v>226.76</v>
      </c>
      <c r="I306" s="86">
        <v>12711.75</v>
      </c>
      <c r="J306" s="85" t="s">
        <v>2965</v>
      </c>
      <c r="K306" s="85" t="s">
        <v>3955</v>
      </c>
      <c r="L306" s="85" t="s">
        <v>2906</v>
      </c>
      <c r="M306" s="85" t="s">
        <v>4000</v>
      </c>
    </row>
    <row r="307" ht="242.25" spans="1:13">
      <c r="A307" s="85" t="s">
        <v>3954</v>
      </c>
      <c r="B307" s="85" t="s">
        <v>3577</v>
      </c>
      <c r="C307" s="85" t="s">
        <v>3578</v>
      </c>
      <c r="D307" s="85" t="s">
        <v>3579</v>
      </c>
      <c r="E307" s="85" t="s">
        <v>3578</v>
      </c>
      <c r="F307" s="86">
        <v>233.73</v>
      </c>
      <c r="G307" s="86">
        <v>2</v>
      </c>
      <c r="H307" s="86">
        <v>467.46</v>
      </c>
      <c r="I307" s="86">
        <v>12711.75</v>
      </c>
      <c r="J307" s="85" t="s">
        <v>2965</v>
      </c>
      <c r="K307" s="85" t="s">
        <v>3955</v>
      </c>
      <c r="L307" s="85" t="s">
        <v>2906</v>
      </c>
      <c r="M307" s="85" t="s">
        <v>4001</v>
      </c>
    </row>
    <row r="308" ht="242.25" spans="1:13">
      <c r="A308" s="85" t="s">
        <v>3954</v>
      </c>
      <c r="B308" s="85" t="s">
        <v>4002</v>
      </c>
      <c r="C308" s="85" t="s">
        <v>4003</v>
      </c>
      <c r="D308" s="85" t="s">
        <v>3963</v>
      </c>
      <c r="E308" s="85" t="s">
        <v>4003</v>
      </c>
      <c r="F308" s="86">
        <v>0.69</v>
      </c>
      <c r="G308" s="86">
        <v>30</v>
      </c>
      <c r="H308" s="86">
        <v>20.7</v>
      </c>
      <c r="I308" s="86">
        <v>12711.75</v>
      </c>
      <c r="J308" s="85" t="s">
        <v>2965</v>
      </c>
      <c r="K308" s="85" t="s">
        <v>3955</v>
      </c>
      <c r="L308" s="85" t="s">
        <v>2906</v>
      </c>
      <c r="M308" s="85" t="s">
        <v>4004</v>
      </c>
    </row>
    <row r="309" ht="242.25" spans="1:13">
      <c r="A309" s="85" t="s">
        <v>3954</v>
      </c>
      <c r="B309" s="85" t="s">
        <v>4005</v>
      </c>
      <c r="C309" s="85" t="s">
        <v>4006</v>
      </c>
      <c r="D309" s="85" t="s">
        <v>3255</v>
      </c>
      <c r="E309" s="85" t="s">
        <v>4006</v>
      </c>
      <c r="F309" s="86">
        <v>43.81</v>
      </c>
      <c r="G309" s="86">
        <v>5</v>
      </c>
      <c r="H309" s="86">
        <v>219.05</v>
      </c>
      <c r="I309" s="86">
        <v>12711.75</v>
      </c>
      <c r="J309" s="85" t="s">
        <v>2965</v>
      </c>
      <c r="K309" s="85" t="s">
        <v>3955</v>
      </c>
      <c r="L309" s="85" t="s">
        <v>2906</v>
      </c>
      <c r="M309" s="85" t="s">
        <v>4007</v>
      </c>
    </row>
    <row r="310" ht="242.25" spans="1:13">
      <c r="A310" s="85" t="s">
        <v>3954</v>
      </c>
      <c r="B310" s="85" t="s">
        <v>3724</v>
      </c>
      <c r="C310" s="85" t="s">
        <v>3725</v>
      </c>
      <c r="D310" s="85" t="s">
        <v>2977</v>
      </c>
      <c r="E310" s="85" t="s">
        <v>3725</v>
      </c>
      <c r="F310" s="86">
        <v>14.31</v>
      </c>
      <c r="G310" s="86">
        <v>150</v>
      </c>
      <c r="H310" s="86">
        <v>2146.5</v>
      </c>
      <c r="I310" s="86">
        <v>12711.75</v>
      </c>
      <c r="J310" s="85" t="s">
        <v>2965</v>
      </c>
      <c r="K310" s="85" t="s">
        <v>3955</v>
      </c>
      <c r="L310" s="85" t="s">
        <v>2906</v>
      </c>
      <c r="M310" s="85" t="s">
        <v>4008</v>
      </c>
    </row>
    <row r="311" ht="242.25" spans="1:13">
      <c r="A311" s="85" t="s">
        <v>3954</v>
      </c>
      <c r="B311" s="85" t="s">
        <v>3228</v>
      </c>
      <c r="C311" s="85" t="s">
        <v>3229</v>
      </c>
      <c r="D311" s="85" t="s">
        <v>3230</v>
      </c>
      <c r="E311" s="85" t="s">
        <v>3229</v>
      </c>
      <c r="F311" s="86">
        <v>6.26</v>
      </c>
      <c r="G311" s="86">
        <v>18</v>
      </c>
      <c r="H311" s="86">
        <v>112.68</v>
      </c>
      <c r="I311" s="86">
        <v>12711.75</v>
      </c>
      <c r="J311" s="85" t="s">
        <v>2965</v>
      </c>
      <c r="K311" s="85" t="s">
        <v>3955</v>
      </c>
      <c r="L311" s="85" t="s">
        <v>2906</v>
      </c>
      <c r="M311" s="85" t="s">
        <v>4009</v>
      </c>
    </row>
    <row r="312" ht="242.25" spans="1:13">
      <c r="A312" s="85" t="s">
        <v>3954</v>
      </c>
      <c r="B312" s="85" t="s">
        <v>3674</v>
      </c>
      <c r="C312" s="85" t="s">
        <v>3675</v>
      </c>
      <c r="D312" s="85" t="s">
        <v>3288</v>
      </c>
      <c r="E312" s="85" t="s">
        <v>3675</v>
      </c>
      <c r="F312" s="86">
        <v>23.94</v>
      </c>
      <c r="G312" s="86">
        <v>2</v>
      </c>
      <c r="H312" s="86">
        <v>47.88</v>
      </c>
      <c r="I312" s="86">
        <v>12711.75</v>
      </c>
      <c r="J312" s="85" t="s">
        <v>2965</v>
      </c>
      <c r="K312" s="85" t="s">
        <v>3955</v>
      </c>
      <c r="L312" s="85" t="s">
        <v>2906</v>
      </c>
      <c r="M312" s="85" t="s">
        <v>4010</v>
      </c>
    </row>
    <row r="313" ht="242.25" spans="1:13">
      <c r="A313" s="85" t="s">
        <v>3954</v>
      </c>
      <c r="B313" s="85" t="s">
        <v>4011</v>
      </c>
      <c r="C313" s="85" t="s">
        <v>4012</v>
      </c>
      <c r="D313" s="85" t="s">
        <v>4013</v>
      </c>
      <c r="E313" s="85" t="s">
        <v>4012</v>
      </c>
      <c r="F313" s="86">
        <v>265.2</v>
      </c>
      <c r="G313" s="86">
        <v>1</v>
      </c>
      <c r="H313" s="86">
        <v>265.2</v>
      </c>
      <c r="I313" s="86">
        <v>12711.75</v>
      </c>
      <c r="J313" s="85" t="s">
        <v>2965</v>
      </c>
      <c r="K313" s="85" t="s">
        <v>3955</v>
      </c>
      <c r="L313" s="85" t="s">
        <v>2906</v>
      </c>
      <c r="M313" s="85" t="s">
        <v>4014</v>
      </c>
    </row>
    <row r="314" ht="242.25" spans="1:13">
      <c r="A314" s="85" t="s">
        <v>3954</v>
      </c>
      <c r="B314" s="85" t="s">
        <v>3639</v>
      </c>
      <c r="C314" s="85" t="s">
        <v>3640</v>
      </c>
      <c r="D314" s="85" t="s">
        <v>3641</v>
      </c>
      <c r="E314" s="85" t="s">
        <v>3640</v>
      </c>
      <c r="F314" s="86">
        <v>50.46</v>
      </c>
      <c r="G314" s="86">
        <v>3</v>
      </c>
      <c r="H314" s="86">
        <v>151.38</v>
      </c>
      <c r="I314" s="86">
        <v>12711.75</v>
      </c>
      <c r="J314" s="85" t="s">
        <v>2965</v>
      </c>
      <c r="K314" s="85" t="s">
        <v>3955</v>
      </c>
      <c r="L314" s="85" t="s">
        <v>2906</v>
      </c>
      <c r="M314" s="85" t="s">
        <v>4015</v>
      </c>
    </row>
    <row r="315" ht="242.25" spans="1:13">
      <c r="A315" s="85" t="s">
        <v>3954</v>
      </c>
      <c r="B315" s="85" t="s">
        <v>3647</v>
      </c>
      <c r="C315" s="85" t="s">
        <v>3648</v>
      </c>
      <c r="D315" s="85" t="s">
        <v>3641</v>
      </c>
      <c r="E315" s="85" t="s">
        <v>3648</v>
      </c>
      <c r="F315" s="86">
        <v>58.29</v>
      </c>
      <c r="G315" s="86">
        <v>3</v>
      </c>
      <c r="H315" s="86">
        <v>174.87</v>
      </c>
      <c r="I315" s="86">
        <v>12711.75</v>
      </c>
      <c r="J315" s="85" t="s">
        <v>2965</v>
      </c>
      <c r="K315" s="85" t="s">
        <v>3955</v>
      </c>
      <c r="L315" s="85" t="s">
        <v>2906</v>
      </c>
      <c r="M315" s="85" t="s">
        <v>4016</v>
      </c>
    </row>
    <row r="316" ht="242.25" spans="1:13">
      <c r="A316" s="85" t="s">
        <v>3954</v>
      </c>
      <c r="B316" s="85" t="s">
        <v>3628</v>
      </c>
      <c r="C316" s="85" t="s">
        <v>3629</v>
      </c>
      <c r="D316" s="85" t="s">
        <v>3054</v>
      </c>
      <c r="E316" s="85" t="s">
        <v>3629</v>
      </c>
      <c r="F316" s="86">
        <v>38.61</v>
      </c>
      <c r="G316" s="86">
        <v>20</v>
      </c>
      <c r="H316" s="86">
        <v>772.2</v>
      </c>
      <c r="I316" s="86">
        <v>12711.75</v>
      </c>
      <c r="J316" s="85" t="s">
        <v>2965</v>
      </c>
      <c r="K316" s="85" t="s">
        <v>3955</v>
      </c>
      <c r="L316" s="85" t="s">
        <v>2906</v>
      </c>
      <c r="M316" s="85" t="s">
        <v>4017</v>
      </c>
    </row>
    <row r="317" ht="242.25" spans="1:13">
      <c r="A317" s="85" t="s">
        <v>3954</v>
      </c>
      <c r="B317" s="85" t="s">
        <v>3195</v>
      </c>
      <c r="C317" s="85" t="s">
        <v>3196</v>
      </c>
      <c r="D317" s="85" t="s">
        <v>3197</v>
      </c>
      <c r="E317" s="85" t="s">
        <v>3196</v>
      </c>
      <c r="F317" s="86">
        <v>14.07</v>
      </c>
      <c r="G317" s="86">
        <v>43</v>
      </c>
      <c r="H317" s="86">
        <v>605.01</v>
      </c>
      <c r="I317" s="86">
        <v>12711.75</v>
      </c>
      <c r="J317" s="85" t="s">
        <v>2965</v>
      </c>
      <c r="K317" s="85" t="s">
        <v>3955</v>
      </c>
      <c r="L317" s="85" t="s">
        <v>2906</v>
      </c>
      <c r="M317" s="85" t="s">
        <v>4018</v>
      </c>
    </row>
    <row r="318" ht="242.25" spans="1:13">
      <c r="A318" s="85" t="s">
        <v>3954</v>
      </c>
      <c r="B318" s="85" t="s">
        <v>4019</v>
      </c>
      <c r="C318" s="85" t="s">
        <v>4020</v>
      </c>
      <c r="D318" s="85" t="s">
        <v>3371</v>
      </c>
      <c r="E318" s="85" t="s">
        <v>4020</v>
      </c>
      <c r="F318" s="86">
        <v>1.35</v>
      </c>
      <c r="G318" s="86">
        <v>200</v>
      </c>
      <c r="H318" s="86">
        <v>270</v>
      </c>
      <c r="I318" s="86">
        <v>12711.75</v>
      </c>
      <c r="J318" s="85" t="s">
        <v>2965</v>
      </c>
      <c r="K318" s="85" t="s">
        <v>3955</v>
      </c>
      <c r="L318" s="85" t="s">
        <v>2906</v>
      </c>
      <c r="M318" s="85" t="s">
        <v>4021</v>
      </c>
    </row>
    <row r="319" ht="242.25" spans="1:13">
      <c r="A319" s="85" t="s">
        <v>3954</v>
      </c>
      <c r="B319" s="85" t="s">
        <v>4022</v>
      </c>
      <c r="C319" s="85" t="s">
        <v>4023</v>
      </c>
      <c r="D319" s="85" t="s">
        <v>3371</v>
      </c>
      <c r="E319" s="85" t="s">
        <v>4023</v>
      </c>
      <c r="F319" s="86">
        <v>31.5</v>
      </c>
      <c r="G319" s="86">
        <v>30</v>
      </c>
      <c r="H319" s="86">
        <v>945</v>
      </c>
      <c r="I319" s="86">
        <v>12711.75</v>
      </c>
      <c r="J319" s="85" t="s">
        <v>2965</v>
      </c>
      <c r="K319" s="85" t="s">
        <v>3955</v>
      </c>
      <c r="L319" s="85" t="s">
        <v>2906</v>
      </c>
      <c r="M319" s="85" t="s">
        <v>4024</v>
      </c>
    </row>
    <row r="320" ht="242.25" spans="1:13">
      <c r="A320" s="85" t="s">
        <v>3954</v>
      </c>
      <c r="B320" s="85" t="s">
        <v>4025</v>
      </c>
      <c r="C320" s="85" t="s">
        <v>4026</v>
      </c>
      <c r="D320" s="85" t="s">
        <v>3068</v>
      </c>
      <c r="E320" s="85" t="s">
        <v>4026</v>
      </c>
      <c r="F320" s="86">
        <v>5.91</v>
      </c>
      <c r="G320" s="86">
        <v>220</v>
      </c>
      <c r="H320" s="86">
        <v>1300.2</v>
      </c>
      <c r="I320" s="86">
        <v>12711.75</v>
      </c>
      <c r="J320" s="85" t="s">
        <v>2965</v>
      </c>
      <c r="K320" s="85" t="s">
        <v>3955</v>
      </c>
      <c r="L320" s="85" t="s">
        <v>2906</v>
      </c>
      <c r="M320" s="85" t="s">
        <v>4027</v>
      </c>
    </row>
    <row r="321" ht="242.25" spans="1:13">
      <c r="A321" s="85" t="s">
        <v>3954</v>
      </c>
      <c r="B321" s="85" t="s">
        <v>4028</v>
      </c>
      <c r="C321" s="85" t="s">
        <v>4029</v>
      </c>
      <c r="D321" s="85" t="s">
        <v>4030</v>
      </c>
      <c r="E321" s="85" t="s">
        <v>4029</v>
      </c>
      <c r="F321" s="86">
        <v>2</v>
      </c>
      <c r="G321" s="86">
        <v>10</v>
      </c>
      <c r="H321" s="86">
        <v>20</v>
      </c>
      <c r="I321" s="86">
        <v>12711.75</v>
      </c>
      <c r="J321" s="85" t="s">
        <v>2965</v>
      </c>
      <c r="K321" s="85" t="s">
        <v>3955</v>
      </c>
      <c r="L321" s="85" t="s">
        <v>2906</v>
      </c>
      <c r="M321" s="85" t="s">
        <v>4031</v>
      </c>
    </row>
    <row r="322" ht="242.25" spans="1:13">
      <c r="A322" s="85" t="s">
        <v>3954</v>
      </c>
      <c r="B322" s="85" t="s">
        <v>4032</v>
      </c>
      <c r="C322" s="85" t="s">
        <v>4033</v>
      </c>
      <c r="D322" s="85" t="s">
        <v>4030</v>
      </c>
      <c r="E322" s="85" t="s">
        <v>4033</v>
      </c>
      <c r="F322" s="86">
        <v>2.11</v>
      </c>
      <c r="G322" s="86">
        <v>50</v>
      </c>
      <c r="H322" s="86">
        <v>105.5</v>
      </c>
      <c r="I322" s="86">
        <v>12711.75</v>
      </c>
      <c r="J322" s="85" t="s">
        <v>2965</v>
      </c>
      <c r="K322" s="85" t="s">
        <v>3955</v>
      </c>
      <c r="L322" s="85" t="s">
        <v>2906</v>
      </c>
      <c r="M322" s="85" t="s">
        <v>4034</v>
      </c>
    </row>
    <row r="323" ht="242.25" spans="1:13">
      <c r="A323" s="85" t="s">
        <v>3954</v>
      </c>
      <c r="B323" s="85" t="s">
        <v>4035</v>
      </c>
      <c r="C323" s="85" t="s">
        <v>4036</v>
      </c>
      <c r="D323" s="85" t="s">
        <v>4037</v>
      </c>
      <c r="E323" s="85" t="s">
        <v>4036</v>
      </c>
      <c r="F323" s="86">
        <v>25.43</v>
      </c>
      <c r="G323" s="86">
        <v>6</v>
      </c>
      <c r="H323" s="86">
        <v>152.58</v>
      </c>
      <c r="I323" s="86">
        <v>12711.75</v>
      </c>
      <c r="J323" s="85" t="s">
        <v>2965</v>
      </c>
      <c r="K323" s="85" t="s">
        <v>3955</v>
      </c>
      <c r="L323" s="85" t="s">
        <v>2906</v>
      </c>
      <c r="M323" s="85" t="s">
        <v>4038</v>
      </c>
    </row>
    <row r="324" ht="242.25" spans="1:13">
      <c r="A324" s="85" t="s">
        <v>4039</v>
      </c>
      <c r="B324" s="85" t="s">
        <v>2948</v>
      </c>
      <c r="C324" s="85" t="s">
        <v>2949</v>
      </c>
      <c r="D324" s="85" t="s">
        <v>2950</v>
      </c>
      <c r="E324" s="85" t="s">
        <v>1720</v>
      </c>
      <c r="F324" s="86">
        <v>12983.1</v>
      </c>
      <c r="G324" s="86">
        <v>1</v>
      </c>
      <c r="H324" s="86">
        <v>12983.1</v>
      </c>
      <c r="I324" s="86">
        <v>12983.1</v>
      </c>
      <c r="J324" s="85" t="s">
        <v>2935</v>
      </c>
      <c r="K324" s="85" t="s">
        <v>4040</v>
      </c>
      <c r="L324" s="85" t="s">
        <v>2906</v>
      </c>
      <c r="M324" s="85" t="s">
        <v>4041</v>
      </c>
    </row>
    <row r="325" ht="242.25" spans="1:13">
      <c r="A325" s="85" t="s">
        <v>4042</v>
      </c>
      <c r="B325" s="85" t="s">
        <v>2917</v>
      </c>
      <c r="C325" s="85" t="s">
        <v>2918</v>
      </c>
      <c r="D325" s="85" t="s">
        <v>2919</v>
      </c>
      <c r="E325" s="85" t="s">
        <v>2918</v>
      </c>
      <c r="F325" s="86">
        <v>198610</v>
      </c>
      <c r="G325" s="86">
        <v>1</v>
      </c>
      <c r="H325" s="86">
        <v>198610</v>
      </c>
      <c r="I325" s="86">
        <v>198610</v>
      </c>
      <c r="J325" s="85" t="s">
        <v>4043</v>
      </c>
      <c r="K325" s="85" t="s">
        <v>4044</v>
      </c>
      <c r="L325" s="85" t="s">
        <v>2906</v>
      </c>
      <c r="M325" s="85" t="s">
        <v>4045</v>
      </c>
    </row>
    <row r="326" ht="242.25" spans="1:13">
      <c r="A326" s="85" t="s">
        <v>4046</v>
      </c>
      <c r="B326" s="85" t="s">
        <v>4047</v>
      </c>
      <c r="C326" s="85" t="s">
        <v>4048</v>
      </c>
      <c r="D326" s="85" t="s">
        <v>4049</v>
      </c>
      <c r="E326" s="85" t="s">
        <v>4048</v>
      </c>
      <c r="F326" s="86">
        <v>42000</v>
      </c>
      <c r="G326" s="86">
        <v>1</v>
      </c>
      <c r="H326" s="86">
        <v>42000</v>
      </c>
      <c r="I326" s="86">
        <v>42000</v>
      </c>
      <c r="J326" s="85" t="s">
        <v>4050</v>
      </c>
      <c r="K326" s="85" t="s">
        <v>4051</v>
      </c>
      <c r="L326" s="85" t="s">
        <v>2906</v>
      </c>
      <c r="M326" s="85" t="s">
        <v>4052</v>
      </c>
    </row>
    <row r="327" ht="242.25" spans="1:13">
      <c r="A327" s="85" t="s">
        <v>4053</v>
      </c>
      <c r="B327" s="85" t="s">
        <v>2901</v>
      </c>
      <c r="C327" s="85" t="s">
        <v>2902</v>
      </c>
      <c r="D327" s="85" t="s">
        <v>2903</v>
      </c>
      <c r="E327" s="85" t="s">
        <v>2902</v>
      </c>
      <c r="F327" s="86">
        <v>848046.51</v>
      </c>
      <c r="G327" s="86">
        <v>1</v>
      </c>
      <c r="H327" s="86">
        <v>848046.51</v>
      </c>
      <c r="I327" s="86">
        <v>848046.51</v>
      </c>
      <c r="J327" s="85" t="s">
        <v>4054</v>
      </c>
      <c r="K327" s="85" t="s">
        <v>4055</v>
      </c>
      <c r="L327" s="85" t="s">
        <v>2906</v>
      </c>
      <c r="M327" s="85" t="s">
        <v>4056</v>
      </c>
    </row>
    <row r="328" ht="242.25" spans="1:13">
      <c r="A328" s="85" t="s">
        <v>4057</v>
      </c>
      <c r="B328" s="85" t="s">
        <v>4047</v>
      </c>
      <c r="C328" s="85" t="s">
        <v>4048</v>
      </c>
      <c r="D328" s="85" t="s">
        <v>4049</v>
      </c>
      <c r="E328" s="85" t="s">
        <v>4048</v>
      </c>
      <c r="F328" s="86">
        <v>144000</v>
      </c>
      <c r="G328" s="86">
        <v>1</v>
      </c>
      <c r="H328" s="86">
        <v>144000</v>
      </c>
      <c r="I328" s="86">
        <v>144000</v>
      </c>
      <c r="J328" s="85" t="s">
        <v>4058</v>
      </c>
      <c r="K328" s="85" t="s">
        <v>4059</v>
      </c>
      <c r="L328" s="85" t="s">
        <v>2906</v>
      </c>
      <c r="M328" s="85" t="s">
        <v>4060</v>
      </c>
    </row>
    <row r="329" ht="242.25" spans="1:13">
      <c r="A329" s="85" t="s">
        <v>4061</v>
      </c>
      <c r="B329" s="85" t="s">
        <v>4062</v>
      </c>
      <c r="C329" s="85" t="s">
        <v>4063</v>
      </c>
      <c r="D329" s="85" t="s">
        <v>4064</v>
      </c>
      <c r="E329" s="85" t="s">
        <v>4063</v>
      </c>
      <c r="F329" s="86">
        <v>49048</v>
      </c>
      <c r="G329" s="86">
        <v>1</v>
      </c>
      <c r="H329" s="86">
        <v>49048</v>
      </c>
      <c r="I329" s="86">
        <v>49048</v>
      </c>
      <c r="J329" s="85" t="s">
        <v>4065</v>
      </c>
      <c r="K329" s="85" t="s">
        <v>4066</v>
      </c>
      <c r="L329" s="85" t="s">
        <v>2906</v>
      </c>
      <c r="M329" s="85" t="s">
        <v>4067</v>
      </c>
    </row>
    <row r="330" ht="242.25" spans="1:13">
      <c r="A330" s="85" t="s">
        <v>4068</v>
      </c>
      <c r="B330" s="85" t="s">
        <v>3772</v>
      </c>
      <c r="C330" s="85" t="s">
        <v>3773</v>
      </c>
      <c r="D330" s="85" t="s">
        <v>3189</v>
      </c>
      <c r="E330" s="85" t="s">
        <v>3774</v>
      </c>
      <c r="F330" s="86">
        <v>27</v>
      </c>
      <c r="G330" s="86">
        <v>500</v>
      </c>
      <c r="H330" s="86">
        <v>13500</v>
      </c>
      <c r="I330" s="86">
        <v>13500</v>
      </c>
      <c r="J330" s="85" t="s">
        <v>3314</v>
      </c>
      <c r="K330" s="85" t="s">
        <v>4069</v>
      </c>
      <c r="L330" s="85" t="s">
        <v>2906</v>
      </c>
      <c r="M330" s="85" t="s">
        <v>4070</v>
      </c>
    </row>
    <row r="331" ht="242.25" spans="1:13">
      <c r="A331" s="85" t="s">
        <v>4071</v>
      </c>
      <c r="B331" s="85" t="s">
        <v>3546</v>
      </c>
      <c r="C331" s="85" t="s">
        <v>3547</v>
      </c>
      <c r="D331" s="85" t="s">
        <v>3548</v>
      </c>
      <c r="E331" s="85" t="s">
        <v>1835</v>
      </c>
      <c r="F331" s="86">
        <v>350</v>
      </c>
      <c r="G331" s="86">
        <v>16</v>
      </c>
      <c r="H331" s="86">
        <v>5600</v>
      </c>
      <c r="I331" s="86">
        <v>60072</v>
      </c>
      <c r="J331" s="85" t="s">
        <v>2938</v>
      </c>
      <c r="K331" s="85" t="s">
        <v>4072</v>
      </c>
      <c r="L331" s="85" t="s">
        <v>2906</v>
      </c>
      <c r="M331" s="85" t="s">
        <v>4073</v>
      </c>
    </row>
    <row r="332" ht="242.25" spans="1:13">
      <c r="A332" s="85" t="s">
        <v>4071</v>
      </c>
      <c r="B332" s="85" t="s">
        <v>4074</v>
      </c>
      <c r="C332" s="85" t="s">
        <v>4075</v>
      </c>
      <c r="D332" s="85" t="s">
        <v>4076</v>
      </c>
      <c r="E332" s="85" t="s">
        <v>1832</v>
      </c>
      <c r="F332" s="86">
        <v>118</v>
      </c>
      <c r="G332" s="86">
        <v>450</v>
      </c>
      <c r="H332" s="86">
        <v>53100</v>
      </c>
      <c r="I332" s="86">
        <v>60072</v>
      </c>
      <c r="J332" s="85" t="s">
        <v>2938</v>
      </c>
      <c r="K332" s="85" t="s">
        <v>4072</v>
      </c>
      <c r="L332" s="85" t="s">
        <v>2906</v>
      </c>
      <c r="M332" s="85" t="s">
        <v>4077</v>
      </c>
    </row>
    <row r="333" ht="242.25" spans="1:13">
      <c r="A333" s="85" t="s">
        <v>4071</v>
      </c>
      <c r="B333" s="85" t="s">
        <v>4078</v>
      </c>
      <c r="C333" s="85" t="s">
        <v>4079</v>
      </c>
      <c r="D333" s="85" t="s">
        <v>4080</v>
      </c>
      <c r="E333" s="85" t="s">
        <v>4081</v>
      </c>
      <c r="F333" s="86">
        <v>274.4</v>
      </c>
      <c r="G333" s="86">
        <v>5</v>
      </c>
      <c r="H333" s="86">
        <v>1372</v>
      </c>
      <c r="I333" s="86">
        <v>60072</v>
      </c>
      <c r="J333" s="85" t="s">
        <v>2938</v>
      </c>
      <c r="K333" s="85" t="s">
        <v>4072</v>
      </c>
      <c r="L333" s="85" t="s">
        <v>2906</v>
      </c>
      <c r="M333" s="85" t="s">
        <v>4082</v>
      </c>
    </row>
    <row r="334" ht="242.25" spans="1:13">
      <c r="A334" s="85" t="s">
        <v>4083</v>
      </c>
      <c r="B334" s="85" t="s">
        <v>3116</v>
      </c>
      <c r="C334" s="85" t="s">
        <v>3117</v>
      </c>
      <c r="D334" s="85" t="s">
        <v>3118</v>
      </c>
      <c r="E334" s="85" t="s">
        <v>3117</v>
      </c>
      <c r="F334" s="86">
        <v>14000</v>
      </c>
      <c r="G334" s="86">
        <v>1</v>
      </c>
      <c r="H334" s="86">
        <v>14000</v>
      </c>
      <c r="I334" s="86">
        <v>14000</v>
      </c>
      <c r="J334" s="85" t="s">
        <v>4084</v>
      </c>
      <c r="K334" s="85" t="s">
        <v>4085</v>
      </c>
      <c r="L334" s="85" t="s">
        <v>2906</v>
      </c>
      <c r="M334" s="85" t="s">
        <v>4086</v>
      </c>
    </row>
    <row r="335" ht="242.25" spans="1:13">
      <c r="A335" s="85" t="s">
        <v>4087</v>
      </c>
      <c r="B335" s="85" t="s">
        <v>3788</v>
      </c>
      <c r="C335" s="85" t="s">
        <v>3789</v>
      </c>
      <c r="D335" s="85" t="s">
        <v>3189</v>
      </c>
      <c r="E335" s="85" t="s">
        <v>3790</v>
      </c>
      <c r="F335" s="86">
        <v>100</v>
      </c>
      <c r="G335" s="86">
        <v>72</v>
      </c>
      <c r="H335" s="86">
        <v>7200</v>
      </c>
      <c r="I335" s="86">
        <v>7200</v>
      </c>
      <c r="J335" s="85" t="s">
        <v>3304</v>
      </c>
      <c r="K335" s="85" t="s">
        <v>4088</v>
      </c>
      <c r="L335" s="85" t="s">
        <v>2906</v>
      </c>
      <c r="M335" s="85" t="s">
        <v>4089</v>
      </c>
    </row>
    <row r="336" ht="242.25" spans="1:13">
      <c r="A336" s="85" t="s">
        <v>4090</v>
      </c>
      <c r="B336" s="85" t="s">
        <v>3077</v>
      </c>
      <c r="C336" s="85" t="s">
        <v>3078</v>
      </c>
      <c r="D336" s="85" t="s">
        <v>2992</v>
      </c>
      <c r="E336" s="85" t="s">
        <v>1815</v>
      </c>
      <c r="F336" s="86">
        <v>36</v>
      </c>
      <c r="G336" s="86">
        <v>80</v>
      </c>
      <c r="H336" s="86">
        <v>2880</v>
      </c>
      <c r="I336" s="86">
        <v>23127.6</v>
      </c>
      <c r="J336" s="85" t="s">
        <v>2958</v>
      </c>
      <c r="K336" s="85" t="s">
        <v>4091</v>
      </c>
      <c r="L336" s="85" t="s">
        <v>2906</v>
      </c>
      <c r="M336" s="85" t="s">
        <v>4092</v>
      </c>
    </row>
    <row r="337" ht="242.25" spans="1:13">
      <c r="A337" s="85" t="s">
        <v>4090</v>
      </c>
      <c r="B337" s="85" t="s">
        <v>2990</v>
      </c>
      <c r="C337" s="85" t="s">
        <v>2991</v>
      </c>
      <c r="D337" s="85" t="s">
        <v>2992</v>
      </c>
      <c r="E337" s="85" t="s">
        <v>1815</v>
      </c>
      <c r="F337" s="86">
        <v>46.5</v>
      </c>
      <c r="G337" s="86">
        <v>160</v>
      </c>
      <c r="H337" s="86">
        <v>7440</v>
      </c>
      <c r="I337" s="86">
        <v>23127.6</v>
      </c>
      <c r="J337" s="85" t="s">
        <v>2958</v>
      </c>
      <c r="K337" s="85" t="s">
        <v>4091</v>
      </c>
      <c r="L337" s="85" t="s">
        <v>2906</v>
      </c>
      <c r="M337" s="85" t="s">
        <v>4093</v>
      </c>
    </row>
    <row r="338" ht="242.25" spans="1:13">
      <c r="A338" s="85" t="s">
        <v>4090</v>
      </c>
      <c r="B338" s="85" t="s">
        <v>4094</v>
      </c>
      <c r="C338" s="85" t="s">
        <v>4095</v>
      </c>
      <c r="D338" s="85" t="s">
        <v>4096</v>
      </c>
      <c r="E338" s="85" t="s">
        <v>4097</v>
      </c>
      <c r="F338" s="86">
        <v>107</v>
      </c>
      <c r="G338" s="86">
        <v>5</v>
      </c>
      <c r="H338" s="86">
        <v>535</v>
      </c>
      <c r="I338" s="86">
        <v>23127.6</v>
      </c>
      <c r="J338" s="85" t="s">
        <v>2958</v>
      </c>
      <c r="K338" s="85" t="s">
        <v>4091</v>
      </c>
      <c r="L338" s="85" t="s">
        <v>2906</v>
      </c>
      <c r="M338" s="85" t="s">
        <v>4098</v>
      </c>
    </row>
    <row r="339" ht="242.25" spans="1:13">
      <c r="A339" s="85" t="s">
        <v>4090</v>
      </c>
      <c r="B339" s="85" t="s">
        <v>3660</v>
      </c>
      <c r="C339" s="85" t="s">
        <v>3661</v>
      </c>
      <c r="D339" s="85" t="s">
        <v>3201</v>
      </c>
      <c r="E339" s="85" t="s">
        <v>3662</v>
      </c>
      <c r="F339" s="86">
        <v>4.84</v>
      </c>
      <c r="G339" s="86">
        <v>120</v>
      </c>
      <c r="H339" s="86">
        <v>580.8</v>
      </c>
      <c r="I339" s="86">
        <v>23127.6</v>
      </c>
      <c r="J339" s="85" t="s">
        <v>2958</v>
      </c>
      <c r="K339" s="85" t="s">
        <v>4091</v>
      </c>
      <c r="L339" s="85" t="s">
        <v>2906</v>
      </c>
      <c r="M339" s="85" t="s">
        <v>4099</v>
      </c>
    </row>
    <row r="340" ht="242.25" spans="1:13">
      <c r="A340" s="85" t="s">
        <v>4100</v>
      </c>
      <c r="B340" s="85" t="s">
        <v>3056</v>
      </c>
      <c r="C340" s="85" t="s">
        <v>3057</v>
      </c>
      <c r="D340" s="85" t="s">
        <v>2997</v>
      </c>
      <c r="E340" s="85" t="s">
        <v>2998</v>
      </c>
      <c r="F340" s="86">
        <v>14</v>
      </c>
      <c r="G340" s="86">
        <v>120</v>
      </c>
      <c r="H340" s="86">
        <v>1680</v>
      </c>
      <c r="I340" s="86">
        <v>1680</v>
      </c>
      <c r="J340" s="85" t="s">
        <v>2999</v>
      </c>
      <c r="K340" s="85" t="s">
        <v>4091</v>
      </c>
      <c r="L340" s="85" t="s">
        <v>2906</v>
      </c>
      <c r="M340" s="85" t="s">
        <v>4101</v>
      </c>
    </row>
    <row r="341" ht="242.25" spans="1:13">
      <c r="A341" s="85" t="s">
        <v>4090</v>
      </c>
      <c r="B341" s="85" t="s">
        <v>3245</v>
      </c>
      <c r="C341" s="85" t="s">
        <v>3246</v>
      </c>
      <c r="D341" s="85" t="s">
        <v>3241</v>
      </c>
      <c r="E341" s="85" t="s">
        <v>3247</v>
      </c>
      <c r="F341" s="86">
        <v>13.25</v>
      </c>
      <c r="G341" s="86">
        <v>4</v>
      </c>
      <c r="H341" s="86">
        <v>53</v>
      </c>
      <c r="I341" s="86">
        <v>23127.6</v>
      </c>
      <c r="J341" s="85" t="s">
        <v>2958</v>
      </c>
      <c r="K341" s="85" t="s">
        <v>4091</v>
      </c>
      <c r="L341" s="85" t="s">
        <v>2906</v>
      </c>
      <c r="M341" s="85" t="s">
        <v>4102</v>
      </c>
    </row>
    <row r="342" ht="242.25" spans="1:13">
      <c r="A342" s="85" t="s">
        <v>4090</v>
      </c>
      <c r="B342" s="85" t="s">
        <v>3643</v>
      </c>
      <c r="C342" s="85" t="s">
        <v>3644</v>
      </c>
      <c r="D342" s="85" t="s">
        <v>2982</v>
      </c>
      <c r="E342" s="85" t="s">
        <v>3645</v>
      </c>
      <c r="F342" s="86">
        <v>8</v>
      </c>
      <c r="G342" s="86">
        <v>100</v>
      </c>
      <c r="H342" s="86">
        <v>800</v>
      </c>
      <c r="I342" s="86">
        <v>23127.6</v>
      </c>
      <c r="J342" s="85" t="s">
        <v>2958</v>
      </c>
      <c r="K342" s="85" t="s">
        <v>4091</v>
      </c>
      <c r="L342" s="85" t="s">
        <v>2906</v>
      </c>
      <c r="M342" s="85" t="s">
        <v>4103</v>
      </c>
    </row>
    <row r="343" ht="242.25" spans="1:13">
      <c r="A343" s="85" t="s">
        <v>4090</v>
      </c>
      <c r="B343" s="85" t="s">
        <v>2985</v>
      </c>
      <c r="C343" s="85" t="s">
        <v>2986</v>
      </c>
      <c r="D343" s="85" t="s">
        <v>2987</v>
      </c>
      <c r="E343" s="85" t="s">
        <v>2988</v>
      </c>
      <c r="F343" s="86">
        <v>3.95</v>
      </c>
      <c r="G343" s="86">
        <v>80</v>
      </c>
      <c r="H343" s="86">
        <v>316</v>
      </c>
      <c r="I343" s="86">
        <v>23127.6</v>
      </c>
      <c r="J343" s="85" t="s">
        <v>2958</v>
      </c>
      <c r="K343" s="85" t="s">
        <v>4091</v>
      </c>
      <c r="L343" s="85" t="s">
        <v>2906</v>
      </c>
      <c r="M343" s="85" t="s">
        <v>4104</v>
      </c>
    </row>
    <row r="344" ht="242.25" spans="1:13">
      <c r="A344" s="85" t="s">
        <v>4090</v>
      </c>
      <c r="B344" s="85" t="s">
        <v>3500</v>
      </c>
      <c r="C344" s="85" t="s">
        <v>3501</v>
      </c>
      <c r="D344" s="85" t="s">
        <v>2992</v>
      </c>
      <c r="E344" s="85" t="s">
        <v>1815</v>
      </c>
      <c r="F344" s="86">
        <v>17.7</v>
      </c>
      <c r="G344" s="86">
        <v>100</v>
      </c>
      <c r="H344" s="86">
        <v>1770</v>
      </c>
      <c r="I344" s="86">
        <v>23127.6</v>
      </c>
      <c r="J344" s="85" t="s">
        <v>2958</v>
      </c>
      <c r="K344" s="85" t="s">
        <v>4091</v>
      </c>
      <c r="L344" s="85" t="s">
        <v>2906</v>
      </c>
      <c r="M344" s="85" t="s">
        <v>4105</v>
      </c>
    </row>
    <row r="345" ht="242.25" spans="1:13">
      <c r="A345" s="85" t="s">
        <v>4090</v>
      </c>
      <c r="B345" s="85" t="s">
        <v>3063</v>
      </c>
      <c r="C345" s="85" t="s">
        <v>3064</v>
      </c>
      <c r="D345" s="85" t="s">
        <v>2992</v>
      </c>
      <c r="E345" s="85" t="s">
        <v>1815</v>
      </c>
      <c r="F345" s="86">
        <v>5.3</v>
      </c>
      <c r="G345" s="86">
        <v>1200</v>
      </c>
      <c r="H345" s="86">
        <v>6360</v>
      </c>
      <c r="I345" s="86">
        <v>23127.6</v>
      </c>
      <c r="J345" s="85" t="s">
        <v>2958</v>
      </c>
      <c r="K345" s="85" t="s">
        <v>4091</v>
      </c>
      <c r="L345" s="85" t="s">
        <v>2906</v>
      </c>
      <c r="M345" s="85" t="s">
        <v>4106</v>
      </c>
    </row>
    <row r="346" ht="242.25" spans="1:13">
      <c r="A346" s="85" t="s">
        <v>4090</v>
      </c>
      <c r="B346" s="85" t="s">
        <v>4107</v>
      </c>
      <c r="C346" s="85" t="s">
        <v>4108</v>
      </c>
      <c r="D346" s="85" t="s">
        <v>3241</v>
      </c>
      <c r="E346" s="85" t="s">
        <v>4109</v>
      </c>
      <c r="F346" s="86">
        <v>2.7</v>
      </c>
      <c r="G346" s="86">
        <v>20</v>
      </c>
      <c r="H346" s="86">
        <v>54</v>
      </c>
      <c r="I346" s="86">
        <v>23127.6</v>
      </c>
      <c r="J346" s="85" t="s">
        <v>2958</v>
      </c>
      <c r="K346" s="85" t="s">
        <v>4091</v>
      </c>
      <c r="L346" s="85" t="s">
        <v>2906</v>
      </c>
      <c r="M346" s="85" t="s">
        <v>4110</v>
      </c>
    </row>
    <row r="347" ht="242.25" spans="1:13">
      <c r="A347" s="85" t="s">
        <v>4090</v>
      </c>
      <c r="B347" s="85" t="s">
        <v>3207</v>
      </c>
      <c r="C347" s="85" t="s">
        <v>3208</v>
      </c>
      <c r="D347" s="85" t="s">
        <v>3201</v>
      </c>
      <c r="E347" s="85" t="s">
        <v>3209</v>
      </c>
      <c r="F347" s="86">
        <v>153</v>
      </c>
      <c r="G347" s="86">
        <v>1</v>
      </c>
      <c r="H347" s="86">
        <v>153</v>
      </c>
      <c r="I347" s="86">
        <v>23127.6</v>
      </c>
      <c r="J347" s="85" t="s">
        <v>2958</v>
      </c>
      <c r="K347" s="85" t="s">
        <v>4091</v>
      </c>
      <c r="L347" s="85" t="s">
        <v>2906</v>
      </c>
      <c r="M347" s="85" t="s">
        <v>4111</v>
      </c>
    </row>
    <row r="348" ht="242.25" spans="1:13">
      <c r="A348" s="85" t="s">
        <v>4090</v>
      </c>
      <c r="B348" s="85" t="s">
        <v>4112</v>
      </c>
      <c r="C348" s="85" t="s">
        <v>4113</v>
      </c>
      <c r="D348" s="85" t="s">
        <v>2982</v>
      </c>
      <c r="E348" s="85" t="s">
        <v>4114</v>
      </c>
      <c r="F348" s="86">
        <v>23.1</v>
      </c>
      <c r="G348" s="86">
        <v>30</v>
      </c>
      <c r="H348" s="86">
        <v>693</v>
      </c>
      <c r="I348" s="86">
        <v>23127.6</v>
      </c>
      <c r="J348" s="85" t="s">
        <v>2958</v>
      </c>
      <c r="K348" s="85" t="s">
        <v>4091</v>
      </c>
      <c r="L348" s="85" t="s">
        <v>2906</v>
      </c>
      <c r="M348" s="85" t="s">
        <v>4115</v>
      </c>
    </row>
    <row r="349" ht="242.25" spans="1:13">
      <c r="A349" s="85" t="s">
        <v>4090</v>
      </c>
      <c r="B349" s="85" t="s">
        <v>3092</v>
      </c>
      <c r="C349" s="85" t="s">
        <v>3093</v>
      </c>
      <c r="D349" s="85" t="s">
        <v>2982</v>
      </c>
      <c r="E349" s="85" t="s">
        <v>3094</v>
      </c>
      <c r="F349" s="86">
        <v>13.23</v>
      </c>
      <c r="G349" s="86">
        <v>60</v>
      </c>
      <c r="H349" s="86">
        <v>793.8</v>
      </c>
      <c r="I349" s="86">
        <v>23127.6</v>
      </c>
      <c r="J349" s="85" t="s">
        <v>2958</v>
      </c>
      <c r="K349" s="85" t="s">
        <v>4091</v>
      </c>
      <c r="L349" s="85" t="s">
        <v>2906</v>
      </c>
      <c r="M349" s="85" t="s">
        <v>4116</v>
      </c>
    </row>
    <row r="350" ht="242.25" spans="1:13">
      <c r="A350" s="85" t="s">
        <v>4090</v>
      </c>
      <c r="B350" s="85" t="s">
        <v>3187</v>
      </c>
      <c r="C350" s="85" t="s">
        <v>3188</v>
      </c>
      <c r="D350" s="85" t="s">
        <v>3189</v>
      </c>
      <c r="E350" s="85" t="s">
        <v>3190</v>
      </c>
      <c r="F350" s="86">
        <v>233</v>
      </c>
      <c r="G350" s="86">
        <v>3</v>
      </c>
      <c r="H350" s="86">
        <v>699</v>
      </c>
      <c r="I350" s="86">
        <v>23127.6</v>
      </c>
      <c r="J350" s="85" t="s">
        <v>2958</v>
      </c>
      <c r="K350" s="85" t="s">
        <v>4091</v>
      </c>
      <c r="L350" s="85" t="s">
        <v>2906</v>
      </c>
      <c r="M350" s="85" t="s">
        <v>4117</v>
      </c>
    </row>
    <row r="351" ht="242.25" spans="1:13">
      <c r="A351" s="85" t="s">
        <v>4118</v>
      </c>
      <c r="B351" s="85" t="s">
        <v>4119</v>
      </c>
      <c r="C351" s="85" t="s">
        <v>4120</v>
      </c>
      <c r="D351" s="85" t="s">
        <v>3747</v>
      </c>
      <c r="E351" s="85" t="s">
        <v>1827</v>
      </c>
      <c r="F351" s="86">
        <v>132.67</v>
      </c>
      <c r="G351" s="86">
        <v>400</v>
      </c>
      <c r="H351" s="86">
        <v>53068</v>
      </c>
      <c r="I351" s="86">
        <v>53068</v>
      </c>
      <c r="J351" s="85" t="s">
        <v>2932</v>
      </c>
      <c r="K351" s="85" t="s">
        <v>4121</v>
      </c>
      <c r="L351" s="85" t="s">
        <v>2906</v>
      </c>
      <c r="M351" s="85" t="s">
        <v>4122</v>
      </c>
    </row>
    <row r="352" ht="242.25" spans="1:13">
      <c r="A352" s="85" t="s">
        <v>4123</v>
      </c>
      <c r="B352" s="85" t="s">
        <v>4124</v>
      </c>
      <c r="C352" s="85" t="s">
        <v>4125</v>
      </c>
      <c r="D352" s="85" t="s">
        <v>3753</v>
      </c>
      <c r="E352" s="85" t="s">
        <v>3763</v>
      </c>
      <c r="F352" s="86">
        <v>81.59</v>
      </c>
      <c r="G352" s="86">
        <v>3</v>
      </c>
      <c r="H352" s="86">
        <v>244.77</v>
      </c>
      <c r="I352" s="86">
        <v>694.77</v>
      </c>
      <c r="J352" s="85" t="s">
        <v>3112</v>
      </c>
      <c r="K352" s="85" t="s">
        <v>4126</v>
      </c>
      <c r="L352" s="85" t="s">
        <v>2906</v>
      </c>
      <c r="M352" s="85" t="s">
        <v>4127</v>
      </c>
    </row>
    <row r="353" ht="242.25" spans="1:13">
      <c r="A353" s="85" t="s">
        <v>4123</v>
      </c>
      <c r="B353" s="85" t="s">
        <v>3751</v>
      </c>
      <c r="C353" s="85" t="s">
        <v>3752</v>
      </c>
      <c r="D353" s="85" t="s">
        <v>3753</v>
      </c>
      <c r="E353" s="85" t="s">
        <v>3754</v>
      </c>
      <c r="F353" s="86">
        <v>300</v>
      </c>
      <c r="G353" s="86">
        <v>1</v>
      </c>
      <c r="H353" s="86">
        <v>300</v>
      </c>
      <c r="I353" s="86">
        <v>694.77</v>
      </c>
      <c r="J353" s="85" t="s">
        <v>3112</v>
      </c>
      <c r="K353" s="85" t="s">
        <v>4126</v>
      </c>
      <c r="L353" s="85" t="s">
        <v>2906</v>
      </c>
      <c r="M353" s="85" t="s">
        <v>4128</v>
      </c>
    </row>
    <row r="354" ht="242.25" spans="1:13">
      <c r="A354" s="85" t="s">
        <v>4123</v>
      </c>
      <c r="B354" s="85" t="s">
        <v>3757</v>
      </c>
      <c r="C354" s="85" t="s">
        <v>3758</v>
      </c>
      <c r="D354" s="85" t="s">
        <v>3753</v>
      </c>
      <c r="E354" s="85" t="s">
        <v>3754</v>
      </c>
      <c r="F354" s="86">
        <v>150</v>
      </c>
      <c r="G354" s="86">
        <v>1</v>
      </c>
      <c r="H354" s="86">
        <v>150</v>
      </c>
      <c r="I354" s="86">
        <v>694.77</v>
      </c>
      <c r="J354" s="85" t="s">
        <v>3112</v>
      </c>
      <c r="K354" s="85" t="s">
        <v>4126</v>
      </c>
      <c r="L354" s="85" t="s">
        <v>2906</v>
      </c>
      <c r="M354" s="85" t="s">
        <v>4129</v>
      </c>
    </row>
    <row r="355" ht="213.75" spans="1:13">
      <c r="A355" s="85" t="s">
        <v>4130</v>
      </c>
      <c r="B355" s="85" t="s">
        <v>4131</v>
      </c>
      <c r="C355" s="85" t="s">
        <v>4132</v>
      </c>
      <c r="D355" s="85" t="s">
        <v>4133</v>
      </c>
      <c r="E355" s="85" t="s">
        <v>4132</v>
      </c>
      <c r="F355" s="86">
        <v>91000</v>
      </c>
      <c r="G355" s="86">
        <v>1</v>
      </c>
      <c r="H355" s="86">
        <v>91000</v>
      </c>
      <c r="I355" s="86">
        <v>91000</v>
      </c>
      <c r="J355" s="85" t="s">
        <v>3898</v>
      </c>
      <c r="K355" s="85" t="s">
        <v>4134</v>
      </c>
      <c r="L355" s="85" t="s">
        <v>4135</v>
      </c>
      <c r="M355" s="85" t="s">
        <v>4136</v>
      </c>
    </row>
    <row r="356" ht="213.75" spans="1:13">
      <c r="A356" s="85" t="s">
        <v>4137</v>
      </c>
      <c r="B356" s="85" t="s">
        <v>3123</v>
      </c>
      <c r="C356" s="85" t="s">
        <v>3124</v>
      </c>
      <c r="D356" s="85" t="s">
        <v>3125</v>
      </c>
      <c r="E356" s="85" t="s">
        <v>3124</v>
      </c>
      <c r="F356" s="86">
        <v>77079</v>
      </c>
      <c r="G356" s="86">
        <v>1</v>
      </c>
      <c r="H356" s="86">
        <v>77079</v>
      </c>
      <c r="I356" s="86">
        <v>77079</v>
      </c>
      <c r="J356" s="85" t="s">
        <v>4138</v>
      </c>
      <c r="K356" s="85" t="s">
        <v>4139</v>
      </c>
      <c r="L356" s="85" t="s">
        <v>4135</v>
      </c>
      <c r="M356" s="85" t="s">
        <v>4140</v>
      </c>
    </row>
    <row r="357" ht="213.75" spans="1:13">
      <c r="A357" s="85" t="s">
        <v>4141</v>
      </c>
      <c r="B357" s="85" t="s">
        <v>4142</v>
      </c>
      <c r="C357" s="85" t="s">
        <v>4143</v>
      </c>
      <c r="D357" s="85" t="s">
        <v>4144</v>
      </c>
      <c r="E357" s="85" t="s">
        <v>4143</v>
      </c>
      <c r="F357" s="86">
        <v>4874657.04</v>
      </c>
      <c r="G357" s="86">
        <v>1</v>
      </c>
      <c r="H357" s="86">
        <v>4874657.04</v>
      </c>
      <c r="I357" s="86">
        <v>4874657.04</v>
      </c>
      <c r="J357" s="85" t="s">
        <v>3898</v>
      </c>
      <c r="K357" s="85" t="s">
        <v>4145</v>
      </c>
      <c r="L357" s="85" t="s">
        <v>4135</v>
      </c>
      <c r="M357" s="85" t="s">
        <v>4146</v>
      </c>
    </row>
    <row r="358" ht="213.75" spans="1:13">
      <c r="A358" s="85" t="s">
        <v>4147</v>
      </c>
      <c r="B358" s="85" t="s">
        <v>4148</v>
      </c>
      <c r="C358" s="85" t="s">
        <v>4149</v>
      </c>
      <c r="D358" s="85" t="s">
        <v>4150</v>
      </c>
      <c r="E358" s="85" t="s">
        <v>4149</v>
      </c>
      <c r="F358" s="86">
        <v>114000</v>
      </c>
      <c r="G358" s="86">
        <v>1</v>
      </c>
      <c r="H358" s="86">
        <v>114000</v>
      </c>
      <c r="I358" s="86">
        <v>114000</v>
      </c>
      <c r="J358" s="85" t="s">
        <v>4151</v>
      </c>
      <c r="K358" s="85" t="s">
        <v>4152</v>
      </c>
      <c r="L358" s="85" t="s">
        <v>4135</v>
      </c>
      <c r="M358" s="85" t="s">
        <v>4153</v>
      </c>
    </row>
    <row r="359" ht="213.75" spans="1:13">
      <c r="A359" s="85" t="s">
        <v>4154</v>
      </c>
      <c r="B359" s="85" t="s">
        <v>4155</v>
      </c>
      <c r="C359" s="85" t="s">
        <v>4156</v>
      </c>
      <c r="D359" s="85" t="s">
        <v>4157</v>
      </c>
      <c r="E359" s="85" t="s">
        <v>4156</v>
      </c>
      <c r="F359" s="86">
        <v>94800</v>
      </c>
      <c r="G359" s="86">
        <v>1</v>
      </c>
      <c r="H359" s="86">
        <v>94800</v>
      </c>
      <c r="I359" s="86">
        <v>94800</v>
      </c>
      <c r="J359" s="85" t="s">
        <v>4158</v>
      </c>
      <c r="K359" s="85" t="s">
        <v>4159</v>
      </c>
      <c r="L359" s="85" t="s">
        <v>4135</v>
      </c>
      <c r="M359" s="85" t="s">
        <v>4160</v>
      </c>
    </row>
    <row r="360" ht="213.75" spans="1:13">
      <c r="A360" s="85" t="s">
        <v>4161</v>
      </c>
      <c r="B360" s="85" t="s">
        <v>4047</v>
      </c>
      <c r="C360" s="85" t="s">
        <v>4048</v>
      </c>
      <c r="D360" s="85" t="s">
        <v>4049</v>
      </c>
      <c r="E360" s="85" t="s">
        <v>4048</v>
      </c>
      <c r="F360" s="86">
        <v>70000</v>
      </c>
      <c r="G360" s="86">
        <v>1</v>
      </c>
      <c r="H360" s="86">
        <v>70000</v>
      </c>
      <c r="I360" s="86">
        <v>70000</v>
      </c>
      <c r="J360" s="85" t="s">
        <v>4162</v>
      </c>
      <c r="K360" s="85" t="s">
        <v>4163</v>
      </c>
      <c r="L360" s="85" t="s">
        <v>4135</v>
      </c>
      <c r="M360" s="85" t="s">
        <v>4164</v>
      </c>
    </row>
    <row r="361" ht="213.75" spans="1:13">
      <c r="A361" s="85" t="s">
        <v>4165</v>
      </c>
      <c r="B361" s="85" t="s">
        <v>4166</v>
      </c>
      <c r="C361" s="85" t="s">
        <v>4167</v>
      </c>
      <c r="D361" s="85" t="s">
        <v>4168</v>
      </c>
      <c r="E361" s="85" t="s">
        <v>4167</v>
      </c>
      <c r="F361" s="86">
        <v>90000</v>
      </c>
      <c r="G361" s="86">
        <v>1</v>
      </c>
      <c r="H361" s="86">
        <v>90000</v>
      </c>
      <c r="I361" s="86">
        <v>90000</v>
      </c>
      <c r="J361" s="85" t="s">
        <v>4169</v>
      </c>
      <c r="K361" s="85" t="s">
        <v>4170</v>
      </c>
      <c r="L361" s="85" t="s">
        <v>4135</v>
      </c>
      <c r="M361" s="85" t="s">
        <v>4171</v>
      </c>
    </row>
    <row r="362" ht="213.75" spans="1:13">
      <c r="A362" s="85" t="s">
        <v>4172</v>
      </c>
      <c r="B362" s="85" t="s">
        <v>2971</v>
      </c>
      <c r="C362" s="85" t="s">
        <v>2972</v>
      </c>
      <c r="D362" s="85" t="s">
        <v>2973</v>
      </c>
      <c r="E362" s="85" t="s">
        <v>2972</v>
      </c>
      <c r="F362" s="86">
        <v>1540</v>
      </c>
      <c r="G362" s="86">
        <v>1</v>
      </c>
      <c r="H362" s="86">
        <v>1540</v>
      </c>
      <c r="I362" s="86">
        <v>34362</v>
      </c>
      <c r="J362" s="85" t="s">
        <v>2935</v>
      </c>
      <c r="K362" s="85" t="s">
        <v>4173</v>
      </c>
      <c r="L362" s="85" t="s">
        <v>4135</v>
      </c>
      <c r="M362" s="85" t="s">
        <v>4174</v>
      </c>
    </row>
    <row r="363" ht="213.75" spans="1:13">
      <c r="A363" s="85" t="s">
        <v>4172</v>
      </c>
      <c r="B363" s="85" t="s">
        <v>4175</v>
      </c>
      <c r="C363" s="85" t="s">
        <v>4176</v>
      </c>
      <c r="D363" s="85" t="s">
        <v>4177</v>
      </c>
      <c r="E363" s="85" t="s">
        <v>4178</v>
      </c>
      <c r="F363" s="86">
        <v>6700</v>
      </c>
      <c r="G363" s="86">
        <v>1</v>
      </c>
      <c r="H363" s="86">
        <v>6700</v>
      </c>
      <c r="I363" s="86">
        <v>34362</v>
      </c>
      <c r="J363" s="85" t="s">
        <v>2935</v>
      </c>
      <c r="K363" s="85" t="s">
        <v>4173</v>
      </c>
      <c r="L363" s="85" t="s">
        <v>4135</v>
      </c>
      <c r="M363" s="85" t="s">
        <v>4179</v>
      </c>
    </row>
    <row r="364" ht="213.75" spans="1:13">
      <c r="A364" s="85" t="s">
        <v>4172</v>
      </c>
      <c r="B364" s="85" t="s">
        <v>4180</v>
      </c>
      <c r="C364" s="85" t="s">
        <v>4181</v>
      </c>
      <c r="D364" s="85" t="s">
        <v>4182</v>
      </c>
      <c r="E364" s="85" t="s">
        <v>4181</v>
      </c>
      <c r="F364" s="86">
        <v>11154</v>
      </c>
      <c r="G364" s="86">
        <v>1</v>
      </c>
      <c r="H364" s="86">
        <v>11154</v>
      </c>
      <c r="I364" s="86">
        <v>34362</v>
      </c>
      <c r="J364" s="85" t="s">
        <v>2935</v>
      </c>
      <c r="K364" s="85" t="s">
        <v>4173</v>
      </c>
      <c r="L364" s="85" t="s">
        <v>4135</v>
      </c>
      <c r="M364" s="85" t="s">
        <v>4183</v>
      </c>
    </row>
    <row r="365" ht="213.75" spans="1:13">
      <c r="A365" s="85" t="s">
        <v>4172</v>
      </c>
      <c r="B365" s="85" t="s">
        <v>4184</v>
      </c>
      <c r="C365" s="85" t="s">
        <v>4185</v>
      </c>
      <c r="D365" s="85" t="s">
        <v>3086</v>
      </c>
      <c r="E365" s="85" t="s">
        <v>4186</v>
      </c>
      <c r="F365" s="86">
        <v>15</v>
      </c>
      <c r="G365" s="86">
        <v>850</v>
      </c>
      <c r="H365" s="86">
        <v>12750</v>
      </c>
      <c r="I365" s="86">
        <v>34362</v>
      </c>
      <c r="J365" s="85" t="s">
        <v>2935</v>
      </c>
      <c r="K365" s="85" t="s">
        <v>4173</v>
      </c>
      <c r="L365" s="85" t="s">
        <v>4135</v>
      </c>
      <c r="M365" s="85" t="s">
        <v>4187</v>
      </c>
    </row>
    <row r="366" ht="213.75" spans="1:13">
      <c r="A366" s="85" t="s">
        <v>4172</v>
      </c>
      <c r="B366" s="85" t="s">
        <v>4078</v>
      </c>
      <c r="C366" s="85" t="s">
        <v>4079</v>
      </c>
      <c r="D366" s="85" t="s">
        <v>4080</v>
      </c>
      <c r="E366" s="85" t="s">
        <v>4081</v>
      </c>
      <c r="F366" s="86">
        <v>84</v>
      </c>
      <c r="G366" s="86">
        <v>12</v>
      </c>
      <c r="H366" s="86">
        <v>1008</v>
      </c>
      <c r="I366" s="86">
        <v>34362</v>
      </c>
      <c r="J366" s="85" t="s">
        <v>2935</v>
      </c>
      <c r="K366" s="85" t="s">
        <v>4173</v>
      </c>
      <c r="L366" s="85" t="s">
        <v>4135</v>
      </c>
      <c r="M366" s="85" t="s">
        <v>4188</v>
      </c>
    </row>
    <row r="367" ht="213.75" spans="1:13">
      <c r="A367" s="85" t="s">
        <v>4172</v>
      </c>
      <c r="B367" s="85" t="s">
        <v>4189</v>
      </c>
      <c r="C367" s="85" t="s">
        <v>4190</v>
      </c>
      <c r="D367" s="85" t="s">
        <v>4182</v>
      </c>
      <c r="E367" s="85" t="s">
        <v>4190</v>
      </c>
      <c r="F367" s="86">
        <v>110</v>
      </c>
      <c r="G367" s="86">
        <v>11</v>
      </c>
      <c r="H367" s="86">
        <v>1210</v>
      </c>
      <c r="I367" s="86">
        <v>34362</v>
      </c>
      <c r="J367" s="85" t="s">
        <v>2935</v>
      </c>
      <c r="K367" s="85" t="s">
        <v>4173</v>
      </c>
      <c r="L367" s="85" t="s">
        <v>4135</v>
      </c>
      <c r="M367" s="85" t="s">
        <v>4191</v>
      </c>
    </row>
    <row r="368" ht="213.75" spans="1:13">
      <c r="A368" s="85" t="s">
        <v>4192</v>
      </c>
      <c r="B368" s="85" t="s">
        <v>4193</v>
      </c>
      <c r="C368" s="85" t="s">
        <v>4194</v>
      </c>
      <c r="D368" s="85" t="s">
        <v>4195</v>
      </c>
      <c r="E368" s="85" t="s">
        <v>4196</v>
      </c>
      <c r="F368" s="86">
        <v>4300</v>
      </c>
      <c r="G368" s="86">
        <v>1</v>
      </c>
      <c r="H368" s="86">
        <v>4300</v>
      </c>
      <c r="I368" s="86">
        <v>48512</v>
      </c>
      <c r="J368" s="85" t="s">
        <v>4197</v>
      </c>
      <c r="K368" s="85" t="s">
        <v>4198</v>
      </c>
      <c r="L368" s="85" t="s">
        <v>4135</v>
      </c>
      <c r="M368" s="85" t="s">
        <v>4199</v>
      </c>
    </row>
    <row r="369" ht="213.75" spans="1:13">
      <c r="A369" s="85" t="s">
        <v>4192</v>
      </c>
      <c r="B369" s="85" t="s">
        <v>4200</v>
      </c>
      <c r="C369" s="85" t="s">
        <v>4201</v>
      </c>
      <c r="D369" s="85" t="s">
        <v>3753</v>
      </c>
      <c r="E369" s="85" t="s">
        <v>4201</v>
      </c>
      <c r="F369" s="86">
        <v>21800</v>
      </c>
      <c r="G369" s="86">
        <v>1</v>
      </c>
      <c r="H369" s="86">
        <v>21800</v>
      </c>
      <c r="I369" s="86">
        <v>48512</v>
      </c>
      <c r="J369" s="85" t="s">
        <v>4197</v>
      </c>
      <c r="K369" s="85" t="s">
        <v>4198</v>
      </c>
      <c r="L369" s="85" t="s">
        <v>4135</v>
      </c>
      <c r="M369" s="85" t="s">
        <v>4202</v>
      </c>
    </row>
    <row r="370" ht="213.75" spans="1:13">
      <c r="A370" s="85" t="s">
        <v>4192</v>
      </c>
      <c r="B370" s="85" t="s">
        <v>4203</v>
      </c>
      <c r="C370" s="85" t="s">
        <v>4204</v>
      </c>
      <c r="D370" s="85" t="s">
        <v>2964</v>
      </c>
      <c r="E370" s="85" t="s">
        <v>4204</v>
      </c>
      <c r="F370" s="86">
        <v>1900</v>
      </c>
      <c r="G370" s="86">
        <v>4</v>
      </c>
      <c r="H370" s="86">
        <v>7600</v>
      </c>
      <c r="I370" s="86">
        <v>48512</v>
      </c>
      <c r="J370" s="85" t="s">
        <v>4197</v>
      </c>
      <c r="K370" s="85" t="s">
        <v>4198</v>
      </c>
      <c r="L370" s="85" t="s">
        <v>4135</v>
      </c>
      <c r="M370" s="85" t="s">
        <v>4205</v>
      </c>
    </row>
    <row r="371" ht="213.75" spans="1:13">
      <c r="A371" s="85" t="s">
        <v>4192</v>
      </c>
      <c r="B371" s="85" t="s">
        <v>4206</v>
      </c>
      <c r="C371" s="85" t="s">
        <v>4207</v>
      </c>
      <c r="D371" s="85" t="s">
        <v>3018</v>
      </c>
      <c r="E371" s="85" t="s">
        <v>3019</v>
      </c>
      <c r="F371" s="86">
        <v>14812</v>
      </c>
      <c r="G371" s="86">
        <v>1</v>
      </c>
      <c r="H371" s="86">
        <v>14812</v>
      </c>
      <c r="I371" s="86">
        <v>48512</v>
      </c>
      <c r="J371" s="85" t="s">
        <v>4197</v>
      </c>
      <c r="K371" s="85" t="s">
        <v>4198</v>
      </c>
      <c r="L371" s="85" t="s">
        <v>4135</v>
      </c>
      <c r="M371" s="85" t="s">
        <v>4208</v>
      </c>
    </row>
    <row r="372" ht="213.75" spans="1:13">
      <c r="A372" s="85" t="s">
        <v>4209</v>
      </c>
      <c r="B372" s="85" t="s">
        <v>4210</v>
      </c>
      <c r="C372" s="85" t="s">
        <v>4211</v>
      </c>
      <c r="D372" s="85" t="s">
        <v>3148</v>
      </c>
      <c r="E372" s="85" t="s">
        <v>4211</v>
      </c>
      <c r="F372" s="86">
        <v>25.62</v>
      </c>
      <c r="G372" s="86">
        <v>20</v>
      </c>
      <c r="H372" s="86">
        <v>512.4</v>
      </c>
      <c r="I372" s="86">
        <v>20975.96</v>
      </c>
      <c r="J372" s="85" t="s">
        <v>2928</v>
      </c>
      <c r="K372" s="85" t="s">
        <v>4212</v>
      </c>
      <c r="L372" s="85" t="s">
        <v>4135</v>
      </c>
      <c r="M372" s="85" t="s">
        <v>4213</v>
      </c>
    </row>
    <row r="373" ht="213.75" spans="1:13">
      <c r="A373" s="85" t="s">
        <v>4209</v>
      </c>
      <c r="B373" s="85" t="s">
        <v>4214</v>
      </c>
      <c r="C373" s="85" t="s">
        <v>4215</v>
      </c>
      <c r="D373" s="85" t="s">
        <v>3241</v>
      </c>
      <c r="E373" s="85" t="s">
        <v>4216</v>
      </c>
      <c r="F373" s="86">
        <v>8.38</v>
      </c>
      <c r="G373" s="86">
        <v>10</v>
      </c>
      <c r="H373" s="86">
        <v>83.8</v>
      </c>
      <c r="I373" s="86">
        <v>20975.96</v>
      </c>
      <c r="J373" s="85" t="s">
        <v>2928</v>
      </c>
      <c r="K373" s="85" t="s">
        <v>4212</v>
      </c>
      <c r="L373" s="85" t="s">
        <v>4135</v>
      </c>
      <c r="M373" s="85" t="s">
        <v>4217</v>
      </c>
    </row>
    <row r="374" ht="213.75" spans="1:13">
      <c r="A374" s="85" t="s">
        <v>4209</v>
      </c>
      <c r="B374" s="85" t="s">
        <v>4218</v>
      </c>
      <c r="C374" s="85" t="s">
        <v>4219</v>
      </c>
      <c r="D374" s="85" t="s">
        <v>4220</v>
      </c>
      <c r="E374" s="85" t="s">
        <v>4221</v>
      </c>
      <c r="F374" s="86">
        <v>75.21</v>
      </c>
      <c r="G374" s="86">
        <v>10</v>
      </c>
      <c r="H374" s="86">
        <v>752.1</v>
      </c>
      <c r="I374" s="86">
        <v>20975.96</v>
      </c>
      <c r="J374" s="85" t="s">
        <v>2928</v>
      </c>
      <c r="K374" s="85" t="s">
        <v>4212</v>
      </c>
      <c r="L374" s="85" t="s">
        <v>4135</v>
      </c>
      <c r="M374" s="85" t="s">
        <v>4222</v>
      </c>
    </row>
    <row r="375" ht="213.75" spans="1:13">
      <c r="A375" s="85" t="s">
        <v>4209</v>
      </c>
      <c r="B375" s="85" t="s">
        <v>4223</v>
      </c>
      <c r="C375" s="85" t="s">
        <v>4224</v>
      </c>
      <c r="D375" s="85" t="s">
        <v>4225</v>
      </c>
      <c r="E375" s="85" t="s">
        <v>4226</v>
      </c>
      <c r="F375" s="86">
        <v>47</v>
      </c>
      <c r="G375" s="86">
        <v>30</v>
      </c>
      <c r="H375" s="86">
        <v>1410</v>
      </c>
      <c r="I375" s="86">
        <v>20975.96</v>
      </c>
      <c r="J375" s="85" t="s">
        <v>2928</v>
      </c>
      <c r="K375" s="85" t="s">
        <v>4212</v>
      </c>
      <c r="L375" s="85" t="s">
        <v>4135</v>
      </c>
      <c r="M375" s="85" t="s">
        <v>4227</v>
      </c>
    </row>
    <row r="376" ht="213.75" spans="1:13">
      <c r="A376" s="85" t="s">
        <v>4209</v>
      </c>
      <c r="B376" s="85" t="s">
        <v>4228</v>
      </c>
      <c r="C376" s="85" t="s">
        <v>4229</v>
      </c>
      <c r="D376" s="85" t="s">
        <v>3213</v>
      </c>
      <c r="E376" s="85" t="s">
        <v>4230</v>
      </c>
      <c r="F376" s="86">
        <v>18.52</v>
      </c>
      <c r="G376" s="86">
        <v>10</v>
      </c>
      <c r="H376" s="86">
        <v>185.2</v>
      </c>
      <c r="I376" s="86">
        <v>20975.96</v>
      </c>
      <c r="J376" s="85" t="s">
        <v>2928</v>
      </c>
      <c r="K376" s="85" t="s">
        <v>4212</v>
      </c>
      <c r="L376" s="85" t="s">
        <v>4135</v>
      </c>
      <c r="M376" s="85" t="s">
        <v>4231</v>
      </c>
    </row>
    <row r="377" ht="213.75" spans="1:13">
      <c r="A377" s="85" t="s">
        <v>4209</v>
      </c>
      <c r="B377" s="85" t="s">
        <v>4232</v>
      </c>
      <c r="C377" s="85" t="s">
        <v>4233</v>
      </c>
      <c r="D377" s="85" t="s">
        <v>4234</v>
      </c>
      <c r="E377" s="85" t="s">
        <v>1932</v>
      </c>
      <c r="F377" s="86">
        <v>24.5</v>
      </c>
      <c r="G377" s="86">
        <v>300</v>
      </c>
      <c r="H377" s="86">
        <v>7350</v>
      </c>
      <c r="I377" s="86">
        <v>20975.96</v>
      </c>
      <c r="J377" s="85" t="s">
        <v>2928</v>
      </c>
      <c r="K377" s="85" t="s">
        <v>4212</v>
      </c>
      <c r="L377" s="85" t="s">
        <v>4135</v>
      </c>
      <c r="M377" s="85" t="s">
        <v>4235</v>
      </c>
    </row>
    <row r="378" ht="213.75" spans="1:13">
      <c r="A378" s="85" t="s">
        <v>4209</v>
      </c>
      <c r="B378" s="85" t="s">
        <v>4236</v>
      </c>
      <c r="C378" s="85" t="s">
        <v>4237</v>
      </c>
      <c r="D378" s="85" t="s">
        <v>3014</v>
      </c>
      <c r="E378" s="85" t="s">
        <v>4238</v>
      </c>
      <c r="F378" s="86">
        <v>26</v>
      </c>
      <c r="G378" s="86">
        <v>6</v>
      </c>
      <c r="H378" s="86">
        <v>156</v>
      </c>
      <c r="I378" s="86">
        <v>20975.96</v>
      </c>
      <c r="J378" s="85" t="s">
        <v>2928</v>
      </c>
      <c r="K378" s="85" t="s">
        <v>4212</v>
      </c>
      <c r="L378" s="85" t="s">
        <v>4135</v>
      </c>
      <c r="M378" s="85" t="s">
        <v>4239</v>
      </c>
    </row>
    <row r="379" ht="213.75" spans="1:13">
      <c r="A379" s="85" t="s">
        <v>4209</v>
      </c>
      <c r="B379" s="85" t="s">
        <v>4240</v>
      </c>
      <c r="C379" s="85" t="s">
        <v>4241</v>
      </c>
      <c r="D379" s="85" t="s">
        <v>3148</v>
      </c>
      <c r="E379" s="85" t="s">
        <v>4242</v>
      </c>
      <c r="F379" s="86">
        <v>11.09</v>
      </c>
      <c r="G379" s="86">
        <v>20</v>
      </c>
      <c r="H379" s="86">
        <v>221.8</v>
      </c>
      <c r="I379" s="86">
        <v>20975.96</v>
      </c>
      <c r="J379" s="85" t="s">
        <v>2928</v>
      </c>
      <c r="K379" s="85" t="s">
        <v>4212</v>
      </c>
      <c r="L379" s="85" t="s">
        <v>4135</v>
      </c>
      <c r="M379" s="85" t="s">
        <v>4243</v>
      </c>
    </row>
    <row r="380" ht="213.75" spans="1:13">
      <c r="A380" s="85" t="s">
        <v>4209</v>
      </c>
      <c r="B380" s="85" t="s">
        <v>4244</v>
      </c>
      <c r="C380" s="85" t="s">
        <v>4245</v>
      </c>
      <c r="D380" s="85" t="s">
        <v>4246</v>
      </c>
      <c r="E380" s="85" t="s">
        <v>4247</v>
      </c>
      <c r="F380" s="86">
        <v>49.02</v>
      </c>
      <c r="G380" s="86">
        <v>6</v>
      </c>
      <c r="H380" s="86">
        <v>294.12</v>
      </c>
      <c r="I380" s="86">
        <v>20975.96</v>
      </c>
      <c r="J380" s="85" t="s">
        <v>2928</v>
      </c>
      <c r="K380" s="85" t="s">
        <v>4212</v>
      </c>
      <c r="L380" s="85" t="s">
        <v>4135</v>
      </c>
      <c r="M380" s="85" t="s">
        <v>4248</v>
      </c>
    </row>
    <row r="381" ht="213.75" spans="1:13">
      <c r="A381" s="85" t="s">
        <v>4209</v>
      </c>
      <c r="B381" s="85" t="s">
        <v>4249</v>
      </c>
      <c r="C381" s="85" t="s">
        <v>4250</v>
      </c>
      <c r="D381" s="85" t="s">
        <v>4251</v>
      </c>
      <c r="E381" s="85" t="s">
        <v>4250</v>
      </c>
      <c r="F381" s="86">
        <v>149</v>
      </c>
      <c r="G381" s="86">
        <v>3</v>
      </c>
      <c r="H381" s="86">
        <v>447</v>
      </c>
      <c r="I381" s="86">
        <v>20975.96</v>
      </c>
      <c r="J381" s="85" t="s">
        <v>2928</v>
      </c>
      <c r="K381" s="85" t="s">
        <v>4212</v>
      </c>
      <c r="L381" s="85" t="s">
        <v>4135</v>
      </c>
      <c r="M381" s="85" t="s">
        <v>4252</v>
      </c>
    </row>
    <row r="382" ht="213.75" spans="1:13">
      <c r="A382" s="85" t="s">
        <v>4209</v>
      </c>
      <c r="B382" s="85" t="s">
        <v>4253</v>
      </c>
      <c r="C382" s="85" t="s">
        <v>4254</v>
      </c>
      <c r="D382" s="85" t="s">
        <v>4246</v>
      </c>
      <c r="E382" s="85" t="s">
        <v>4247</v>
      </c>
      <c r="F382" s="86">
        <v>303</v>
      </c>
      <c r="G382" s="86">
        <v>20</v>
      </c>
      <c r="H382" s="86">
        <v>6060</v>
      </c>
      <c r="I382" s="86">
        <v>20975.96</v>
      </c>
      <c r="J382" s="85" t="s">
        <v>2928</v>
      </c>
      <c r="K382" s="85" t="s">
        <v>4212</v>
      </c>
      <c r="L382" s="85" t="s">
        <v>4135</v>
      </c>
      <c r="M382" s="85" t="s">
        <v>4255</v>
      </c>
    </row>
    <row r="383" ht="213.75" spans="1:13">
      <c r="A383" s="85" t="s">
        <v>4209</v>
      </c>
      <c r="B383" s="85" t="s">
        <v>4256</v>
      </c>
      <c r="C383" s="85" t="s">
        <v>4257</v>
      </c>
      <c r="D383" s="85" t="s">
        <v>3054</v>
      </c>
      <c r="E383" s="85" t="s">
        <v>4257</v>
      </c>
      <c r="F383" s="86">
        <v>8</v>
      </c>
      <c r="G383" s="86">
        <v>30</v>
      </c>
      <c r="H383" s="86">
        <v>240</v>
      </c>
      <c r="I383" s="86">
        <v>20975.96</v>
      </c>
      <c r="J383" s="85" t="s">
        <v>2928</v>
      </c>
      <c r="K383" s="85" t="s">
        <v>4212</v>
      </c>
      <c r="L383" s="85" t="s">
        <v>4135</v>
      </c>
      <c r="M383" s="85" t="s">
        <v>4258</v>
      </c>
    </row>
    <row r="384" ht="213.75" spans="1:13">
      <c r="A384" s="85" t="s">
        <v>4209</v>
      </c>
      <c r="B384" s="85" t="s">
        <v>4259</v>
      </c>
      <c r="C384" s="85" t="s">
        <v>4260</v>
      </c>
      <c r="D384" s="85" t="s">
        <v>4225</v>
      </c>
      <c r="E384" s="85" t="s">
        <v>4226</v>
      </c>
      <c r="F384" s="86">
        <v>35</v>
      </c>
      <c r="G384" s="86">
        <v>50</v>
      </c>
      <c r="H384" s="86">
        <v>1750</v>
      </c>
      <c r="I384" s="86">
        <v>20975.96</v>
      </c>
      <c r="J384" s="85" t="s">
        <v>2928</v>
      </c>
      <c r="K384" s="85" t="s">
        <v>4212</v>
      </c>
      <c r="L384" s="85" t="s">
        <v>4135</v>
      </c>
      <c r="M384" s="85" t="s">
        <v>4261</v>
      </c>
    </row>
    <row r="385" ht="213.75" spans="1:13">
      <c r="A385" s="85" t="s">
        <v>4209</v>
      </c>
      <c r="B385" s="85" t="s">
        <v>4262</v>
      </c>
      <c r="C385" s="85" t="s">
        <v>4263</v>
      </c>
      <c r="D385" s="85" t="s">
        <v>4264</v>
      </c>
      <c r="E385" s="85" t="s">
        <v>4265</v>
      </c>
      <c r="F385" s="86">
        <v>11.9</v>
      </c>
      <c r="G385" s="86">
        <v>30</v>
      </c>
      <c r="H385" s="86">
        <v>357</v>
      </c>
      <c r="I385" s="86">
        <v>20975.96</v>
      </c>
      <c r="J385" s="85" t="s">
        <v>2928</v>
      </c>
      <c r="K385" s="85" t="s">
        <v>4212</v>
      </c>
      <c r="L385" s="85" t="s">
        <v>4135</v>
      </c>
      <c r="M385" s="85" t="s">
        <v>4266</v>
      </c>
    </row>
    <row r="386" ht="213.75" spans="1:13">
      <c r="A386" s="85" t="s">
        <v>4209</v>
      </c>
      <c r="B386" s="85" t="s">
        <v>4267</v>
      </c>
      <c r="C386" s="85" t="s">
        <v>4268</v>
      </c>
      <c r="D386" s="85" t="s">
        <v>3054</v>
      </c>
      <c r="E386" s="85" t="s">
        <v>4269</v>
      </c>
      <c r="F386" s="86">
        <v>9</v>
      </c>
      <c r="G386" s="86">
        <v>10</v>
      </c>
      <c r="H386" s="86">
        <v>90</v>
      </c>
      <c r="I386" s="86">
        <v>20975.96</v>
      </c>
      <c r="J386" s="85" t="s">
        <v>2928</v>
      </c>
      <c r="K386" s="85" t="s">
        <v>4212</v>
      </c>
      <c r="L386" s="85" t="s">
        <v>4135</v>
      </c>
      <c r="M386" s="85" t="s">
        <v>4270</v>
      </c>
    </row>
    <row r="387" ht="213.75" spans="1:13">
      <c r="A387" s="85" t="s">
        <v>4209</v>
      </c>
      <c r="B387" s="85" t="s">
        <v>4271</v>
      </c>
      <c r="C387" s="85" t="s">
        <v>4272</v>
      </c>
      <c r="D387" s="85" t="s">
        <v>3584</v>
      </c>
      <c r="E387" s="85" t="s">
        <v>3585</v>
      </c>
      <c r="F387" s="86">
        <v>150</v>
      </c>
      <c r="G387" s="86">
        <v>3</v>
      </c>
      <c r="H387" s="86">
        <v>450</v>
      </c>
      <c r="I387" s="86">
        <v>20975.96</v>
      </c>
      <c r="J387" s="85" t="s">
        <v>2928</v>
      </c>
      <c r="K387" s="85" t="s">
        <v>4212</v>
      </c>
      <c r="L387" s="85" t="s">
        <v>4135</v>
      </c>
      <c r="M387" s="85" t="s">
        <v>4273</v>
      </c>
    </row>
    <row r="388" ht="213.75" spans="1:13">
      <c r="A388" s="85" t="s">
        <v>4209</v>
      </c>
      <c r="B388" s="85" t="s">
        <v>4274</v>
      </c>
      <c r="C388" s="85" t="s">
        <v>4275</v>
      </c>
      <c r="D388" s="85" t="s">
        <v>3963</v>
      </c>
      <c r="E388" s="85" t="s">
        <v>4276</v>
      </c>
      <c r="F388" s="86">
        <v>59.12</v>
      </c>
      <c r="G388" s="86">
        <v>2</v>
      </c>
      <c r="H388" s="86">
        <v>118.24</v>
      </c>
      <c r="I388" s="86">
        <v>20975.96</v>
      </c>
      <c r="J388" s="85" t="s">
        <v>2928</v>
      </c>
      <c r="K388" s="85" t="s">
        <v>4212</v>
      </c>
      <c r="L388" s="85" t="s">
        <v>4135</v>
      </c>
      <c r="M388" s="85" t="s">
        <v>4277</v>
      </c>
    </row>
    <row r="389" ht="213.75" spans="1:13">
      <c r="A389" s="85" t="s">
        <v>4209</v>
      </c>
      <c r="B389" s="85" t="s">
        <v>4278</v>
      </c>
      <c r="C389" s="85" t="s">
        <v>4279</v>
      </c>
      <c r="D389" s="85" t="s">
        <v>4280</v>
      </c>
      <c r="E389" s="85" t="s">
        <v>4281</v>
      </c>
      <c r="F389" s="86">
        <v>16.61</v>
      </c>
      <c r="G389" s="86">
        <v>30</v>
      </c>
      <c r="H389" s="86">
        <v>498.3</v>
      </c>
      <c r="I389" s="86">
        <v>20975.96</v>
      </c>
      <c r="J389" s="85" t="s">
        <v>2928</v>
      </c>
      <c r="K389" s="85" t="s">
        <v>4212</v>
      </c>
      <c r="L389" s="85" t="s">
        <v>4135</v>
      </c>
      <c r="M389" s="85" t="s">
        <v>4282</v>
      </c>
    </row>
    <row r="390" ht="213.75" spans="1:13">
      <c r="A390" s="85" t="s">
        <v>4283</v>
      </c>
      <c r="B390" s="85" t="s">
        <v>3938</v>
      </c>
      <c r="C390" s="85" t="s">
        <v>3939</v>
      </c>
      <c r="D390" s="85" t="s">
        <v>3722</v>
      </c>
      <c r="E390" s="85" t="s">
        <v>3940</v>
      </c>
      <c r="F390" s="86">
        <v>38.5</v>
      </c>
      <c r="G390" s="86">
        <v>20</v>
      </c>
      <c r="H390" s="86">
        <v>770</v>
      </c>
      <c r="I390" s="86">
        <v>40217.7</v>
      </c>
      <c r="J390" s="85" t="s">
        <v>2935</v>
      </c>
      <c r="K390" s="85" t="s">
        <v>4284</v>
      </c>
      <c r="L390" s="85" t="s">
        <v>4135</v>
      </c>
      <c r="M390" s="85" t="s">
        <v>4285</v>
      </c>
    </row>
    <row r="391" ht="213.75" spans="1:13">
      <c r="A391" s="85" t="s">
        <v>4283</v>
      </c>
      <c r="B391" s="85" t="s">
        <v>3931</v>
      </c>
      <c r="C391" s="85" t="s">
        <v>3932</v>
      </c>
      <c r="D391" s="85" t="s">
        <v>3189</v>
      </c>
      <c r="E391" s="85" t="s">
        <v>3933</v>
      </c>
      <c r="F391" s="86">
        <v>30.9</v>
      </c>
      <c r="G391" s="86">
        <v>3</v>
      </c>
      <c r="H391" s="86">
        <v>92.7</v>
      </c>
      <c r="I391" s="86">
        <v>40217.7</v>
      </c>
      <c r="J391" s="85" t="s">
        <v>2935</v>
      </c>
      <c r="K391" s="85" t="s">
        <v>4284</v>
      </c>
      <c r="L391" s="85" t="s">
        <v>4135</v>
      </c>
      <c r="M391" s="85" t="s">
        <v>4286</v>
      </c>
    </row>
    <row r="392" ht="213.75" spans="1:13">
      <c r="A392" s="85" t="s">
        <v>4283</v>
      </c>
      <c r="B392" s="85" t="s">
        <v>3905</v>
      </c>
      <c r="C392" s="85" t="s">
        <v>3906</v>
      </c>
      <c r="D392" s="85" t="s">
        <v>3907</v>
      </c>
      <c r="E392" s="85" t="s">
        <v>3908</v>
      </c>
      <c r="F392" s="86">
        <v>30</v>
      </c>
      <c r="G392" s="86">
        <v>7</v>
      </c>
      <c r="H392" s="86">
        <v>210</v>
      </c>
      <c r="I392" s="86">
        <v>40217.7</v>
      </c>
      <c r="J392" s="85" t="s">
        <v>2935</v>
      </c>
      <c r="K392" s="85" t="s">
        <v>4284</v>
      </c>
      <c r="L392" s="85" t="s">
        <v>4135</v>
      </c>
      <c r="M392" s="85" t="s">
        <v>4287</v>
      </c>
    </row>
    <row r="393" ht="213.75" spans="1:13">
      <c r="A393" s="85" t="s">
        <v>4283</v>
      </c>
      <c r="B393" s="85" t="s">
        <v>3922</v>
      </c>
      <c r="C393" s="85" t="s">
        <v>3923</v>
      </c>
      <c r="D393" s="85" t="s">
        <v>3189</v>
      </c>
      <c r="E393" s="85" t="s">
        <v>3924</v>
      </c>
      <c r="F393" s="86">
        <v>68</v>
      </c>
      <c r="G393" s="86">
        <v>2</v>
      </c>
      <c r="H393" s="86">
        <v>136</v>
      </c>
      <c r="I393" s="86">
        <v>40217.7</v>
      </c>
      <c r="J393" s="85" t="s">
        <v>2935</v>
      </c>
      <c r="K393" s="85" t="s">
        <v>4284</v>
      </c>
      <c r="L393" s="85" t="s">
        <v>4135</v>
      </c>
      <c r="M393" s="85" t="s">
        <v>4288</v>
      </c>
    </row>
    <row r="394" ht="213.75" spans="1:13">
      <c r="A394" s="85" t="s">
        <v>4283</v>
      </c>
      <c r="B394" s="85" t="s">
        <v>3915</v>
      </c>
      <c r="C394" s="85" t="s">
        <v>3916</v>
      </c>
      <c r="D394" s="85" t="s">
        <v>3068</v>
      </c>
      <c r="E394" s="85" t="s">
        <v>3069</v>
      </c>
      <c r="F394" s="86">
        <v>235</v>
      </c>
      <c r="G394" s="86">
        <v>3</v>
      </c>
      <c r="H394" s="86">
        <v>705</v>
      </c>
      <c r="I394" s="86">
        <v>40217.7</v>
      </c>
      <c r="J394" s="85" t="s">
        <v>2935</v>
      </c>
      <c r="K394" s="85" t="s">
        <v>4284</v>
      </c>
      <c r="L394" s="85" t="s">
        <v>4135</v>
      </c>
      <c r="M394" s="85" t="s">
        <v>4289</v>
      </c>
    </row>
    <row r="395" ht="213.75" spans="1:13">
      <c r="A395" s="85" t="s">
        <v>4283</v>
      </c>
      <c r="B395" s="85" t="s">
        <v>4290</v>
      </c>
      <c r="C395" s="85" t="s">
        <v>4291</v>
      </c>
      <c r="D395" s="85" t="s">
        <v>3189</v>
      </c>
      <c r="E395" s="85" t="s">
        <v>4292</v>
      </c>
      <c r="F395" s="86">
        <v>10.8</v>
      </c>
      <c r="G395" s="86">
        <v>90</v>
      </c>
      <c r="H395" s="86">
        <v>972</v>
      </c>
      <c r="I395" s="86">
        <v>40217.7</v>
      </c>
      <c r="J395" s="85" t="s">
        <v>2935</v>
      </c>
      <c r="K395" s="85" t="s">
        <v>4284</v>
      </c>
      <c r="L395" s="85" t="s">
        <v>4135</v>
      </c>
      <c r="M395" s="85" t="s">
        <v>4293</v>
      </c>
    </row>
    <row r="396" ht="242.25" spans="1:13">
      <c r="A396" s="85" t="s">
        <v>4283</v>
      </c>
      <c r="B396" s="85" t="s">
        <v>4294</v>
      </c>
      <c r="C396" s="85" t="s">
        <v>4295</v>
      </c>
      <c r="D396" s="85" t="s">
        <v>4296</v>
      </c>
      <c r="E396" s="85" t="s">
        <v>4297</v>
      </c>
      <c r="F396" s="86">
        <v>27.5</v>
      </c>
      <c r="G396" s="86">
        <v>75</v>
      </c>
      <c r="H396" s="86">
        <v>2062.5</v>
      </c>
      <c r="I396" s="86">
        <v>40217.7</v>
      </c>
      <c r="J396" s="85" t="s">
        <v>2935</v>
      </c>
      <c r="K396" s="85" t="s">
        <v>4284</v>
      </c>
      <c r="L396" s="85" t="s">
        <v>4135</v>
      </c>
      <c r="M396" s="85" t="s">
        <v>4298</v>
      </c>
    </row>
    <row r="397" ht="213.75" spans="1:13">
      <c r="A397" s="85" t="s">
        <v>4283</v>
      </c>
      <c r="B397" s="85" t="s">
        <v>3942</v>
      </c>
      <c r="C397" s="85" t="s">
        <v>3943</v>
      </c>
      <c r="D397" s="85" t="s">
        <v>3944</v>
      </c>
      <c r="E397" s="85" t="s">
        <v>3943</v>
      </c>
      <c r="F397" s="86">
        <v>54.9</v>
      </c>
      <c r="G397" s="86">
        <v>5</v>
      </c>
      <c r="H397" s="86">
        <v>274.5</v>
      </c>
      <c r="I397" s="86">
        <v>40217.7</v>
      </c>
      <c r="J397" s="85" t="s">
        <v>2935</v>
      </c>
      <c r="K397" s="85" t="s">
        <v>4284</v>
      </c>
      <c r="L397" s="85" t="s">
        <v>4135</v>
      </c>
      <c r="M397" s="85" t="s">
        <v>4299</v>
      </c>
    </row>
    <row r="398" ht="213.75" spans="1:13">
      <c r="A398" s="85" t="s">
        <v>4283</v>
      </c>
      <c r="B398" s="85" t="s">
        <v>4300</v>
      </c>
      <c r="C398" s="85" t="s">
        <v>4301</v>
      </c>
      <c r="D398" s="85" t="s">
        <v>3398</v>
      </c>
      <c r="E398" s="85" t="s">
        <v>4301</v>
      </c>
      <c r="F398" s="86">
        <v>876</v>
      </c>
      <c r="G398" s="86">
        <v>3</v>
      </c>
      <c r="H398" s="86">
        <v>2628</v>
      </c>
      <c r="I398" s="86">
        <v>40217.7</v>
      </c>
      <c r="J398" s="85" t="s">
        <v>2935</v>
      </c>
      <c r="K398" s="85" t="s">
        <v>4284</v>
      </c>
      <c r="L398" s="85" t="s">
        <v>4135</v>
      </c>
      <c r="M398" s="85" t="s">
        <v>4302</v>
      </c>
    </row>
    <row r="399" ht="213.75" spans="1:13">
      <c r="A399" s="85" t="s">
        <v>4283</v>
      </c>
      <c r="B399" s="85" t="s">
        <v>4303</v>
      </c>
      <c r="C399" s="85" t="s">
        <v>4304</v>
      </c>
      <c r="D399" s="85" t="s">
        <v>2982</v>
      </c>
      <c r="E399" s="85" t="s">
        <v>4305</v>
      </c>
      <c r="F399" s="86">
        <v>3789</v>
      </c>
      <c r="G399" s="86">
        <v>2</v>
      </c>
      <c r="H399" s="86">
        <v>7578</v>
      </c>
      <c r="I399" s="86">
        <v>40217.7</v>
      </c>
      <c r="J399" s="85" t="s">
        <v>2935</v>
      </c>
      <c r="K399" s="85" t="s">
        <v>4284</v>
      </c>
      <c r="L399" s="85" t="s">
        <v>4135</v>
      </c>
      <c r="M399" s="85" t="s">
        <v>4306</v>
      </c>
    </row>
    <row r="400" ht="213.75" spans="1:13">
      <c r="A400" s="85" t="s">
        <v>4283</v>
      </c>
      <c r="B400" s="85" t="s">
        <v>4307</v>
      </c>
      <c r="C400" s="85" t="s">
        <v>4308</v>
      </c>
      <c r="D400" s="85" t="s">
        <v>4309</v>
      </c>
      <c r="E400" s="85" t="s">
        <v>4308</v>
      </c>
      <c r="F400" s="86">
        <v>840</v>
      </c>
      <c r="G400" s="86">
        <v>28</v>
      </c>
      <c r="H400" s="86">
        <v>23520</v>
      </c>
      <c r="I400" s="86">
        <v>40217.7</v>
      </c>
      <c r="J400" s="85" t="s">
        <v>2935</v>
      </c>
      <c r="K400" s="85" t="s">
        <v>4284</v>
      </c>
      <c r="L400" s="85" t="s">
        <v>4135</v>
      </c>
      <c r="M400" s="85" t="s">
        <v>4310</v>
      </c>
    </row>
    <row r="401" ht="213.75" spans="1:13">
      <c r="A401" s="85" t="s">
        <v>4283</v>
      </c>
      <c r="B401" s="85" t="s">
        <v>4311</v>
      </c>
      <c r="C401" s="85" t="s">
        <v>4312</v>
      </c>
      <c r="D401" s="85" t="s">
        <v>3394</v>
      </c>
      <c r="E401" s="85" t="s">
        <v>4312</v>
      </c>
      <c r="F401" s="86">
        <v>4.6</v>
      </c>
      <c r="G401" s="86">
        <v>50</v>
      </c>
      <c r="H401" s="86">
        <v>230</v>
      </c>
      <c r="I401" s="86">
        <v>40217.7</v>
      </c>
      <c r="J401" s="85" t="s">
        <v>2935</v>
      </c>
      <c r="K401" s="85" t="s">
        <v>4284</v>
      </c>
      <c r="L401" s="85" t="s">
        <v>4135</v>
      </c>
      <c r="M401" s="85" t="s">
        <v>4313</v>
      </c>
    </row>
    <row r="402" ht="213.75" spans="1:13">
      <c r="A402" s="85" t="s">
        <v>4283</v>
      </c>
      <c r="B402" s="85" t="s">
        <v>4314</v>
      </c>
      <c r="C402" s="85" t="s">
        <v>4315</v>
      </c>
      <c r="D402" s="85" t="s">
        <v>3269</v>
      </c>
      <c r="E402" s="85" t="s">
        <v>4315</v>
      </c>
      <c r="F402" s="86">
        <v>15</v>
      </c>
      <c r="G402" s="86">
        <v>30</v>
      </c>
      <c r="H402" s="86">
        <v>450</v>
      </c>
      <c r="I402" s="86">
        <v>40217.7</v>
      </c>
      <c r="J402" s="85" t="s">
        <v>2935</v>
      </c>
      <c r="K402" s="85" t="s">
        <v>4284</v>
      </c>
      <c r="L402" s="85" t="s">
        <v>4135</v>
      </c>
      <c r="M402" s="85" t="s">
        <v>4316</v>
      </c>
    </row>
    <row r="403" ht="213.75" spans="1:13">
      <c r="A403" s="85" t="s">
        <v>4283</v>
      </c>
      <c r="B403" s="85" t="s">
        <v>4317</v>
      </c>
      <c r="C403" s="85" t="s">
        <v>4318</v>
      </c>
      <c r="D403" s="85" t="s">
        <v>3189</v>
      </c>
      <c r="E403" s="85" t="s">
        <v>3920</v>
      </c>
      <c r="F403" s="86">
        <v>19</v>
      </c>
      <c r="G403" s="86">
        <v>31</v>
      </c>
      <c r="H403" s="86">
        <v>589</v>
      </c>
      <c r="I403" s="86">
        <v>40217.7</v>
      </c>
      <c r="J403" s="85" t="s">
        <v>2935</v>
      </c>
      <c r="K403" s="85" t="s">
        <v>4284</v>
      </c>
      <c r="L403" s="85" t="s">
        <v>4135</v>
      </c>
      <c r="M403" s="85" t="s">
        <v>4319</v>
      </c>
    </row>
    <row r="404" ht="213.75" spans="1:13">
      <c r="A404" s="85" t="s">
        <v>4320</v>
      </c>
      <c r="B404" s="85" t="s">
        <v>4321</v>
      </c>
      <c r="C404" s="85" t="s">
        <v>4322</v>
      </c>
      <c r="D404" s="85" t="s">
        <v>3068</v>
      </c>
      <c r="E404" s="85" t="s">
        <v>4322</v>
      </c>
      <c r="F404" s="86">
        <v>13.5</v>
      </c>
      <c r="G404" s="86">
        <v>8</v>
      </c>
      <c r="H404" s="86">
        <v>108</v>
      </c>
      <c r="I404" s="86">
        <v>702</v>
      </c>
      <c r="J404" s="85" t="s">
        <v>2935</v>
      </c>
      <c r="K404" s="85" t="s">
        <v>4323</v>
      </c>
      <c r="L404" s="85" t="s">
        <v>4135</v>
      </c>
      <c r="M404" s="85" t="s">
        <v>4324</v>
      </c>
    </row>
    <row r="405" ht="213.75" spans="1:13">
      <c r="A405" s="85" t="s">
        <v>4320</v>
      </c>
      <c r="B405" s="85" t="s">
        <v>4325</v>
      </c>
      <c r="C405" s="85" t="s">
        <v>4326</v>
      </c>
      <c r="D405" s="85" t="s">
        <v>3189</v>
      </c>
      <c r="E405" s="85" t="s">
        <v>4327</v>
      </c>
      <c r="F405" s="86">
        <v>99</v>
      </c>
      <c r="G405" s="86">
        <v>6</v>
      </c>
      <c r="H405" s="86">
        <v>594</v>
      </c>
      <c r="I405" s="86">
        <v>702</v>
      </c>
      <c r="J405" s="85" t="s">
        <v>2935</v>
      </c>
      <c r="K405" s="85" t="s">
        <v>4323</v>
      </c>
      <c r="L405" s="85" t="s">
        <v>4135</v>
      </c>
      <c r="M405" s="85" t="s">
        <v>4328</v>
      </c>
    </row>
    <row r="406" ht="213.75" spans="1:13">
      <c r="A406" s="85" t="s">
        <v>4329</v>
      </c>
      <c r="B406" s="85" t="s">
        <v>4330</v>
      </c>
      <c r="C406" s="85" t="s">
        <v>136</v>
      </c>
      <c r="D406" s="85" t="s">
        <v>4331</v>
      </c>
      <c r="E406" s="85" t="s">
        <v>136</v>
      </c>
      <c r="F406" s="86">
        <v>4800</v>
      </c>
      <c r="G406" s="86">
        <v>1</v>
      </c>
      <c r="H406" s="86">
        <v>4800</v>
      </c>
      <c r="I406" s="86">
        <v>4800</v>
      </c>
      <c r="J406" s="85" t="s">
        <v>2920</v>
      </c>
      <c r="K406" s="85" t="s">
        <v>4332</v>
      </c>
      <c r="L406" s="85" t="s">
        <v>4135</v>
      </c>
      <c r="M406" s="85" t="s">
        <v>4333</v>
      </c>
    </row>
    <row r="407" ht="213.75" spans="1:13">
      <c r="A407" s="85" t="s">
        <v>4334</v>
      </c>
      <c r="B407" s="85" t="s">
        <v>2901</v>
      </c>
      <c r="C407" s="85" t="s">
        <v>2902</v>
      </c>
      <c r="D407" s="85" t="s">
        <v>2903</v>
      </c>
      <c r="E407" s="85" t="s">
        <v>2902</v>
      </c>
      <c r="F407" s="86">
        <v>1854</v>
      </c>
      <c r="G407" s="86">
        <v>1</v>
      </c>
      <c r="H407" s="86">
        <v>1854</v>
      </c>
      <c r="I407" s="86">
        <v>1854</v>
      </c>
      <c r="J407" s="85" t="s">
        <v>3307</v>
      </c>
      <c r="K407" s="85" t="s">
        <v>4335</v>
      </c>
      <c r="L407" s="85" t="s">
        <v>4135</v>
      </c>
      <c r="M407" s="85" t="s">
        <v>4336</v>
      </c>
    </row>
    <row r="408" ht="213.75" spans="1:13">
      <c r="A408" s="85" t="s">
        <v>4337</v>
      </c>
      <c r="B408" s="85" t="s">
        <v>4338</v>
      </c>
      <c r="C408" s="85" t="s">
        <v>4339</v>
      </c>
      <c r="D408" s="85" t="s">
        <v>4340</v>
      </c>
      <c r="E408" s="85" t="s">
        <v>4341</v>
      </c>
      <c r="F408" s="86">
        <v>10</v>
      </c>
      <c r="G408" s="86">
        <v>45</v>
      </c>
      <c r="H408" s="86">
        <v>450</v>
      </c>
      <c r="I408" s="86">
        <v>7930</v>
      </c>
      <c r="J408" s="85" t="s">
        <v>3307</v>
      </c>
      <c r="K408" s="85" t="s">
        <v>4342</v>
      </c>
      <c r="L408" s="85" t="s">
        <v>4135</v>
      </c>
      <c r="M408" s="85" t="s">
        <v>4343</v>
      </c>
    </row>
    <row r="409" ht="213.75" spans="1:13">
      <c r="A409" s="85" t="s">
        <v>4337</v>
      </c>
      <c r="B409" s="85" t="s">
        <v>4338</v>
      </c>
      <c r="C409" s="85" t="s">
        <v>4339</v>
      </c>
      <c r="D409" s="85" t="s">
        <v>4340</v>
      </c>
      <c r="E409" s="85" t="s">
        <v>4341</v>
      </c>
      <c r="F409" s="86">
        <v>20</v>
      </c>
      <c r="G409" s="86">
        <v>24</v>
      </c>
      <c r="H409" s="86">
        <v>480</v>
      </c>
      <c r="I409" s="86">
        <v>7930</v>
      </c>
      <c r="J409" s="85" t="s">
        <v>3307</v>
      </c>
      <c r="K409" s="85" t="s">
        <v>4342</v>
      </c>
      <c r="L409" s="85" t="s">
        <v>4135</v>
      </c>
      <c r="M409" s="85" t="s">
        <v>4344</v>
      </c>
    </row>
    <row r="410" ht="213.75" spans="1:13">
      <c r="A410" s="85" t="s">
        <v>4337</v>
      </c>
      <c r="B410" s="85" t="s">
        <v>4338</v>
      </c>
      <c r="C410" s="85" t="s">
        <v>4339</v>
      </c>
      <c r="D410" s="85" t="s">
        <v>4340</v>
      </c>
      <c r="E410" s="85" t="s">
        <v>4341</v>
      </c>
      <c r="F410" s="86">
        <v>10</v>
      </c>
      <c r="G410" s="86">
        <v>68</v>
      </c>
      <c r="H410" s="86">
        <v>680</v>
      </c>
      <c r="I410" s="86">
        <v>7930</v>
      </c>
      <c r="J410" s="85" t="s">
        <v>3307</v>
      </c>
      <c r="K410" s="85" t="s">
        <v>4342</v>
      </c>
      <c r="L410" s="85" t="s">
        <v>4135</v>
      </c>
      <c r="M410" s="85" t="s">
        <v>4345</v>
      </c>
    </row>
    <row r="411" ht="213.75" spans="1:13">
      <c r="A411" s="85" t="s">
        <v>4337</v>
      </c>
      <c r="B411" s="85" t="s">
        <v>4346</v>
      </c>
      <c r="C411" s="85" t="s">
        <v>4347</v>
      </c>
      <c r="D411" s="85" t="s">
        <v>4340</v>
      </c>
      <c r="E411" s="85" t="s">
        <v>4341</v>
      </c>
      <c r="F411" s="86">
        <v>5</v>
      </c>
      <c r="G411" s="86">
        <v>170</v>
      </c>
      <c r="H411" s="86">
        <v>850</v>
      </c>
      <c r="I411" s="86">
        <v>7930</v>
      </c>
      <c r="J411" s="85" t="s">
        <v>3307</v>
      </c>
      <c r="K411" s="85" t="s">
        <v>4342</v>
      </c>
      <c r="L411" s="85" t="s">
        <v>4135</v>
      </c>
      <c r="M411" s="85" t="s">
        <v>4348</v>
      </c>
    </row>
    <row r="412" ht="213.75" spans="1:13">
      <c r="A412" s="85" t="s">
        <v>4337</v>
      </c>
      <c r="B412" s="85" t="s">
        <v>4346</v>
      </c>
      <c r="C412" s="85" t="s">
        <v>4347</v>
      </c>
      <c r="D412" s="85" t="s">
        <v>4340</v>
      </c>
      <c r="E412" s="85" t="s">
        <v>4341</v>
      </c>
      <c r="F412" s="86">
        <v>10</v>
      </c>
      <c r="G412" s="86">
        <v>547</v>
      </c>
      <c r="H412" s="86">
        <v>5470</v>
      </c>
      <c r="I412" s="86">
        <v>7930</v>
      </c>
      <c r="J412" s="85" t="s">
        <v>3307</v>
      </c>
      <c r="K412" s="85" t="s">
        <v>4342</v>
      </c>
      <c r="L412" s="85" t="s">
        <v>4135</v>
      </c>
      <c r="M412" s="85" t="s">
        <v>4349</v>
      </c>
    </row>
    <row r="413" ht="213.75" spans="1:13">
      <c r="A413" s="85" t="s">
        <v>4350</v>
      </c>
      <c r="B413" s="85" t="s">
        <v>2901</v>
      </c>
      <c r="C413" s="85" t="s">
        <v>2902</v>
      </c>
      <c r="D413" s="85" t="s">
        <v>2903</v>
      </c>
      <c r="E413" s="85" t="s">
        <v>2902</v>
      </c>
      <c r="F413" s="86">
        <v>5820</v>
      </c>
      <c r="G413" s="86">
        <v>1</v>
      </c>
      <c r="H413" s="86">
        <v>5820</v>
      </c>
      <c r="I413" s="86">
        <v>5820</v>
      </c>
      <c r="J413" s="85" t="s">
        <v>4197</v>
      </c>
      <c r="K413" s="85" t="s">
        <v>4351</v>
      </c>
      <c r="L413" s="85" t="s">
        <v>4135</v>
      </c>
      <c r="M413" s="85" t="s">
        <v>4352</v>
      </c>
    </row>
    <row r="414" ht="213.75" spans="1:13">
      <c r="A414" s="85" t="s">
        <v>4353</v>
      </c>
      <c r="B414" s="85" t="s">
        <v>4354</v>
      </c>
      <c r="C414" s="85" t="s">
        <v>4355</v>
      </c>
      <c r="D414" s="85" t="s">
        <v>3753</v>
      </c>
      <c r="E414" s="85" t="s">
        <v>3754</v>
      </c>
      <c r="F414" s="86">
        <v>250</v>
      </c>
      <c r="G414" s="86">
        <v>1</v>
      </c>
      <c r="H414" s="86">
        <v>250</v>
      </c>
      <c r="I414" s="86">
        <v>1563.89</v>
      </c>
      <c r="J414" s="85" t="s">
        <v>3112</v>
      </c>
      <c r="K414" s="85" t="s">
        <v>4356</v>
      </c>
      <c r="L414" s="85" t="s">
        <v>4135</v>
      </c>
      <c r="M414" s="85" t="s">
        <v>4357</v>
      </c>
    </row>
    <row r="415" ht="213.75" spans="1:13">
      <c r="A415" s="85" t="s">
        <v>4353</v>
      </c>
      <c r="B415" s="85" t="s">
        <v>3757</v>
      </c>
      <c r="C415" s="85" t="s">
        <v>3758</v>
      </c>
      <c r="D415" s="85" t="s">
        <v>3753</v>
      </c>
      <c r="E415" s="85" t="s">
        <v>3754</v>
      </c>
      <c r="F415" s="86">
        <v>150</v>
      </c>
      <c r="G415" s="86">
        <v>1</v>
      </c>
      <c r="H415" s="86">
        <v>150</v>
      </c>
      <c r="I415" s="86">
        <v>1563.89</v>
      </c>
      <c r="J415" s="85" t="s">
        <v>3112</v>
      </c>
      <c r="K415" s="85" t="s">
        <v>4356</v>
      </c>
      <c r="L415" s="85" t="s">
        <v>4135</v>
      </c>
      <c r="M415" s="85" t="s">
        <v>4358</v>
      </c>
    </row>
    <row r="416" ht="213.75" spans="1:13">
      <c r="A416" s="85" t="s">
        <v>4353</v>
      </c>
      <c r="B416" s="85" t="s">
        <v>4359</v>
      </c>
      <c r="C416" s="85" t="s">
        <v>4360</v>
      </c>
      <c r="D416" s="85" t="s">
        <v>3753</v>
      </c>
      <c r="E416" s="85" t="s">
        <v>3763</v>
      </c>
      <c r="F416" s="86">
        <v>81.59</v>
      </c>
      <c r="G416" s="86">
        <v>3</v>
      </c>
      <c r="H416" s="86">
        <v>244.77</v>
      </c>
      <c r="I416" s="86">
        <v>1563.89</v>
      </c>
      <c r="J416" s="85" t="s">
        <v>3112</v>
      </c>
      <c r="K416" s="85" t="s">
        <v>4356</v>
      </c>
      <c r="L416" s="85" t="s">
        <v>4135</v>
      </c>
      <c r="M416" s="85" t="s">
        <v>4361</v>
      </c>
    </row>
    <row r="417" ht="213.75" spans="1:13">
      <c r="A417" s="85" t="s">
        <v>4353</v>
      </c>
      <c r="B417" s="85" t="s">
        <v>3757</v>
      </c>
      <c r="C417" s="85" t="s">
        <v>3758</v>
      </c>
      <c r="D417" s="85" t="s">
        <v>3753</v>
      </c>
      <c r="E417" s="85" t="s">
        <v>3754</v>
      </c>
      <c r="F417" s="86">
        <v>150</v>
      </c>
      <c r="G417" s="86">
        <v>1</v>
      </c>
      <c r="H417" s="86">
        <v>150</v>
      </c>
      <c r="I417" s="86">
        <v>1563.89</v>
      </c>
      <c r="J417" s="85" t="s">
        <v>3112</v>
      </c>
      <c r="K417" s="85" t="s">
        <v>4356</v>
      </c>
      <c r="L417" s="85" t="s">
        <v>4135</v>
      </c>
      <c r="M417" s="85" t="s">
        <v>4362</v>
      </c>
    </row>
    <row r="418" ht="213.75" spans="1:13">
      <c r="A418" s="85" t="s">
        <v>4353</v>
      </c>
      <c r="B418" s="85" t="s">
        <v>3751</v>
      </c>
      <c r="C418" s="85" t="s">
        <v>3752</v>
      </c>
      <c r="D418" s="85" t="s">
        <v>3753</v>
      </c>
      <c r="E418" s="85" t="s">
        <v>3754</v>
      </c>
      <c r="F418" s="86">
        <v>300</v>
      </c>
      <c r="G418" s="86">
        <v>1</v>
      </c>
      <c r="H418" s="86">
        <v>300</v>
      </c>
      <c r="I418" s="86">
        <v>1563.89</v>
      </c>
      <c r="J418" s="85" t="s">
        <v>3112</v>
      </c>
      <c r="K418" s="85" t="s">
        <v>4356</v>
      </c>
      <c r="L418" s="85" t="s">
        <v>4135</v>
      </c>
      <c r="M418" s="85" t="s">
        <v>4363</v>
      </c>
    </row>
    <row r="419" ht="213.75" spans="1:13">
      <c r="A419" s="85" t="s">
        <v>4353</v>
      </c>
      <c r="B419" s="85" t="s">
        <v>3761</v>
      </c>
      <c r="C419" s="85" t="s">
        <v>3762</v>
      </c>
      <c r="D419" s="85" t="s">
        <v>3753</v>
      </c>
      <c r="E419" s="85" t="s">
        <v>3763</v>
      </c>
      <c r="F419" s="86">
        <v>387.53</v>
      </c>
      <c r="G419" s="86">
        <v>1</v>
      </c>
      <c r="H419" s="86">
        <v>387.53</v>
      </c>
      <c r="I419" s="86">
        <v>1563.89</v>
      </c>
      <c r="J419" s="85" t="s">
        <v>3112</v>
      </c>
      <c r="K419" s="85" t="s">
        <v>4356</v>
      </c>
      <c r="L419" s="85" t="s">
        <v>4135</v>
      </c>
      <c r="M419" s="85" t="s">
        <v>4364</v>
      </c>
    </row>
    <row r="420" ht="213.75" spans="1:13">
      <c r="A420" s="85" t="s">
        <v>4353</v>
      </c>
      <c r="B420" s="85" t="s">
        <v>4359</v>
      </c>
      <c r="C420" s="85" t="s">
        <v>4360</v>
      </c>
      <c r="D420" s="85" t="s">
        <v>3753</v>
      </c>
      <c r="E420" s="85" t="s">
        <v>3763</v>
      </c>
      <c r="F420" s="86">
        <v>81.59</v>
      </c>
      <c r="G420" s="86">
        <v>1</v>
      </c>
      <c r="H420" s="86">
        <v>81.59</v>
      </c>
      <c r="I420" s="86">
        <v>1563.89</v>
      </c>
      <c r="J420" s="85" t="s">
        <v>3112</v>
      </c>
      <c r="K420" s="85" t="s">
        <v>4356</v>
      </c>
      <c r="L420" s="85" t="s">
        <v>4135</v>
      </c>
      <c r="M420" s="85" t="s">
        <v>4365</v>
      </c>
    </row>
    <row r="421" ht="213.75" spans="1:13">
      <c r="A421" s="85" t="s">
        <v>4366</v>
      </c>
      <c r="B421" s="85" t="s">
        <v>4367</v>
      </c>
      <c r="C421" s="85" t="s">
        <v>4368</v>
      </c>
      <c r="D421" s="85" t="s">
        <v>4195</v>
      </c>
      <c r="E421" s="85" t="s">
        <v>4369</v>
      </c>
      <c r="F421" s="86">
        <v>55</v>
      </c>
      <c r="G421" s="86">
        <v>48</v>
      </c>
      <c r="H421" s="86">
        <v>2640</v>
      </c>
      <c r="I421" s="86">
        <v>9640</v>
      </c>
      <c r="J421" s="85" t="s">
        <v>4370</v>
      </c>
      <c r="K421" s="85" t="s">
        <v>4371</v>
      </c>
      <c r="L421" s="85" t="s">
        <v>4135</v>
      </c>
      <c r="M421" s="85" t="s">
        <v>4372</v>
      </c>
    </row>
    <row r="422" ht="213.75" spans="1:13">
      <c r="A422" s="85" t="s">
        <v>4366</v>
      </c>
      <c r="B422" s="85" t="s">
        <v>4373</v>
      </c>
      <c r="C422" s="85" t="s">
        <v>4374</v>
      </c>
      <c r="D422" s="85" t="s">
        <v>3041</v>
      </c>
      <c r="E422" s="85" t="s">
        <v>3042</v>
      </c>
      <c r="F422" s="86">
        <v>7</v>
      </c>
      <c r="G422" s="86">
        <v>1000</v>
      </c>
      <c r="H422" s="86">
        <v>7000</v>
      </c>
      <c r="I422" s="86">
        <v>9640</v>
      </c>
      <c r="J422" s="85" t="s">
        <v>4370</v>
      </c>
      <c r="K422" s="85" t="s">
        <v>4371</v>
      </c>
      <c r="L422" s="85" t="s">
        <v>4135</v>
      </c>
      <c r="M422" s="85" t="s">
        <v>4375</v>
      </c>
    </row>
    <row r="423" ht="213.75" spans="1:13">
      <c r="A423" s="85" t="s">
        <v>4376</v>
      </c>
      <c r="B423" s="85" t="s">
        <v>3123</v>
      </c>
      <c r="C423" s="85" t="s">
        <v>3124</v>
      </c>
      <c r="D423" s="85" t="s">
        <v>3125</v>
      </c>
      <c r="E423" s="85" t="s">
        <v>3124</v>
      </c>
      <c r="F423" s="86">
        <v>49056</v>
      </c>
      <c r="G423" s="86">
        <v>1</v>
      </c>
      <c r="H423" s="86">
        <v>49056</v>
      </c>
      <c r="I423" s="86">
        <v>49056</v>
      </c>
      <c r="J423" s="85" t="s">
        <v>4377</v>
      </c>
      <c r="K423" s="85" t="s">
        <v>4378</v>
      </c>
      <c r="L423" s="85" t="s">
        <v>4135</v>
      </c>
      <c r="M423" s="85" t="s">
        <v>4379</v>
      </c>
    </row>
    <row r="424" ht="213.75" spans="1:13">
      <c r="A424" s="85" t="s">
        <v>4380</v>
      </c>
      <c r="B424" s="85" t="s">
        <v>3123</v>
      </c>
      <c r="C424" s="85" t="s">
        <v>3124</v>
      </c>
      <c r="D424" s="85" t="s">
        <v>3125</v>
      </c>
      <c r="E424" s="85" t="s">
        <v>3124</v>
      </c>
      <c r="F424" s="86">
        <v>55664</v>
      </c>
      <c r="G424" s="86">
        <v>1</v>
      </c>
      <c r="H424" s="86">
        <v>55664</v>
      </c>
      <c r="I424" s="86">
        <v>55664</v>
      </c>
      <c r="J424" s="85" t="s">
        <v>4381</v>
      </c>
      <c r="K424" s="85" t="s">
        <v>4382</v>
      </c>
      <c r="L424" s="85" t="s">
        <v>4135</v>
      </c>
      <c r="M424" s="85" t="s">
        <v>4383</v>
      </c>
    </row>
    <row r="425" ht="213.75" spans="1:13">
      <c r="A425" s="85" t="s">
        <v>4384</v>
      </c>
      <c r="B425" s="85" t="s">
        <v>2901</v>
      </c>
      <c r="C425" s="85" t="s">
        <v>2902</v>
      </c>
      <c r="D425" s="85" t="s">
        <v>2903</v>
      </c>
      <c r="E425" s="85" t="s">
        <v>2902</v>
      </c>
      <c r="F425" s="86">
        <v>15642</v>
      </c>
      <c r="G425" s="86">
        <v>1</v>
      </c>
      <c r="H425" s="86">
        <v>15642</v>
      </c>
      <c r="I425" s="86">
        <v>15642</v>
      </c>
      <c r="J425" s="85" t="s">
        <v>4197</v>
      </c>
      <c r="K425" s="85" t="s">
        <v>4385</v>
      </c>
      <c r="L425" s="85" t="s">
        <v>4135</v>
      </c>
      <c r="M425" s="85" t="s">
        <v>4386</v>
      </c>
    </row>
    <row r="426" ht="213.75" spans="1:13">
      <c r="A426" s="85" t="s">
        <v>4387</v>
      </c>
      <c r="B426" s="85" t="s">
        <v>4388</v>
      </c>
      <c r="C426" s="85" t="s">
        <v>4389</v>
      </c>
      <c r="D426" s="85" t="s">
        <v>4390</v>
      </c>
      <c r="E426" s="85" t="s">
        <v>4389</v>
      </c>
      <c r="F426" s="86">
        <v>30.65</v>
      </c>
      <c r="G426" s="86">
        <v>2</v>
      </c>
      <c r="H426" s="86">
        <v>61.3</v>
      </c>
      <c r="I426" s="86">
        <v>7091.66</v>
      </c>
      <c r="J426" s="85" t="s">
        <v>4391</v>
      </c>
      <c r="K426" s="85" t="s">
        <v>4392</v>
      </c>
      <c r="L426" s="85" t="s">
        <v>4135</v>
      </c>
      <c r="M426" s="85" t="s">
        <v>4393</v>
      </c>
    </row>
    <row r="427" ht="213.75" spans="1:13">
      <c r="A427" s="85" t="s">
        <v>4387</v>
      </c>
      <c r="B427" s="85" t="s">
        <v>4394</v>
      </c>
      <c r="C427" s="85" t="s">
        <v>4395</v>
      </c>
      <c r="D427" s="85" t="s">
        <v>3230</v>
      </c>
      <c r="E427" s="85" t="s">
        <v>4396</v>
      </c>
      <c r="F427" s="86">
        <v>20.25</v>
      </c>
      <c r="G427" s="86">
        <v>5</v>
      </c>
      <c r="H427" s="86">
        <v>101.25</v>
      </c>
      <c r="I427" s="86">
        <v>7091.66</v>
      </c>
      <c r="J427" s="85" t="s">
        <v>4391</v>
      </c>
      <c r="K427" s="85" t="s">
        <v>4392</v>
      </c>
      <c r="L427" s="85" t="s">
        <v>4135</v>
      </c>
      <c r="M427" s="85" t="s">
        <v>4397</v>
      </c>
    </row>
    <row r="428" ht="213.75" spans="1:13">
      <c r="A428" s="85" t="s">
        <v>4387</v>
      </c>
      <c r="B428" s="85" t="s">
        <v>4398</v>
      </c>
      <c r="C428" s="85" t="s">
        <v>4399</v>
      </c>
      <c r="D428" s="85" t="s">
        <v>3442</v>
      </c>
      <c r="E428" s="85" t="s">
        <v>4399</v>
      </c>
      <c r="F428" s="86">
        <v>40.33</v>
      </c>
      <c r="G428" s="86">
        <v>5</v>
      </c>
      <c r="H428" s="86">
        <v>201.65</v>
      </c>
      <c r="I428" s="86">
        <v>7091.66</v>
      </c>
      <c r="J428" s="85" t="s">
        <v>4391</v>
      </c>
      <c r="K428" s="85" t="s">
        <v>4392</v>
      </c>
      <c r="L428" s="85" t="s">
        <v>4135</v>
      </c>
      <c r="M428" s="85" t="s">
        <v>4400</v>
      </c>
    </row>
    <row r="429" ht="213.75" spans="1:13">
      <c r="A429" s="85" t="s">
        <v>4387</v>
      </c>
      <c r="B429" s="85" t="s">
        <v>4401</v>
      </c>
      <c r="C429" s="85" t="s">
        <v>4402</v>
      </c>
      <c r="D429" s="85" t="s">
        <v>4403</v>
      </c>
      <c r="E429" s="85" t="s">
        <v>4402</v>
      </c>
      <c r="F429" s="86">
        <v>4.92</v>
      </c>
      <c r="G429" s="86">
        <v>100</v>
      </c>
      <c r="H429" s="86">
        <v>492</v>
      </c>
      <c r="I429" s="86">
        <v>7091.66</v>
      </c>
      <c r="J429" s="85" t="s">
        <v>4391</v>
      </c>
      <c r="K429" s="85" t="s">
        <v>4392</v>
      </c>
      <c r="L429" s="85" t="s">
        <v>4135</v>
      </c>
      <c r="M429" s="85" t="s">
        <v>4404</v>
      </c>
    </row>
    <row r="430" ht="213.75" spans="1:13">
      <c r="A430" s="85" t="s">
        <v>4387</v>
      </c>
      <c r="B430" s="85" t="s">
        <v>4405</v>
      </c>
      <c r="C430" s="85" t="s">
        <v>4406</v>
      </c>
      <c r="D430" s="85" t="s">
        <v>4407</v>
      </c>
      <c r="E430" s="85" t="s">
        <v>4406</v>
      </c>
      <c r="F430" s="86">
        <v>24.8</v>
      </c>
      <c r="G430" s="86">
        <v>11</v>
      </c>
      <c r="H430" s="86">
        <v>272.8</v>
      </c>
      <c r="I430" s="86">
        <v>7091.66</v>
      </c>
      <c r="J430" s="85" t="s">
        <v>4391</v>
      </c>
      <c r="K430" s="85" t="s">
        <v>4392</v>
      </c>
      <c r="L430" s="85" t="s">
        <v>4135</v>
      </c>
      <c r="M430" s="85" t="s">
        <v>4408</v>
      </c>
    </row>
    <row r="431" ht="213.75" spans="1:13">
      <c r="A431" s="85" t="s">
        <v>4387</v>
      </c>
      <c r="B431" s="85" t="s">
        <v>4409</v>
      </c>
      <c r="C431" s="85" t="s">
        <v>4410</v>
      </c>
      <c r="D431" s="85" t="s">
        <v>3753</v>
      </c>
      <c r="E431" s="85" t="s">
        <v>4411</v>
      </c>
      <c r="F431" s="86">
        <v>401.88</v>
      </c>
      <c r="G431" s="86">
        <v>5</v>
      </c>
      <c r="H431" s="86">
        <v>2009.4</v>
      </c>
      <c r="I431" s="86">
        <v>7091.66</v>
      </c>
      <c r="J431" s="85" t="s">
        <v>4391</v>
      </c>
      <c r="K431" s="85" t="s">
        <v>4392</v>
      </c>
      <c r="L431" s="85" t="s">
        <v>4135</v>
      </c>
      <c r="M431" s="85" t="s">
        <v>4412</v>
      </c>
    </row>
    <row r="432" ht="213.75" spans="1:13">
      <c r="A432" s="85" t="s">
        <v>4387</v>
      </c>
      <c r="B432" s="85" t="s">
        <v>4413</v>
      </c>
      <c r="C432" s="85" t="s">
        <v>4414</v>
      </c>
      <c r="D432" s="85" t="s">
        <v>3484</v>
      </c>
      <c r="E432" s="85" t="s">
        <v>4414</v>
      </c>
      <c r="F432" s="86">
        <v>71.58</v>
      </c>
      <c r="G432" s="86">
        <v>3</v>
      </c>
      <c r="H432" s="86">
        <v>214.74</v>
      </c>
      <c r="I432" s="86">
        <v>7091.66</v>
      </c>
      <c r="J432" s="85" t="s">
        <v>4391</v>
      </c>
      <c r="K432" s="85" t="s">
        <v>4392</v>
      </c>
      <c r="L432" s="85" t="s">
        <v>4135</v>
      </c>
      <c r="M432" s="85" t="s">
        <v>4415</v>
      </c>
    </row>
    <row r="433" ht="213.75" spans="1:13">
      <c r="A433" s="85" t="s">
        <v>4387</v>
      </c>
      <c r="B433" s="85" t="s">
        <v>4416</v>
      </c>
      <c r="C433" s="85" t="s">
        <v>4417</v>
      </c>
      <c r="D433" s="85" t="s">
        <v>3471</v>
      </c>
      <c r="E433" s="85" t="s">
        <v>4417</v>
      </c>
      <c r="F433" s="86">
        <v>30.1</v>
      </c>
      <c r="G433" s="86">
        <v>3</v>
      </c>
      <c r="H433" s="86">
        <v>90.3</v>
      </c>
      <c r="I433" s="86">
        <v>7091.66</v>
      </c>
      <c r="J433" s="85" t="s">
        <v>4391</v>
      </c>
      <c r="K433" s="85" t="s">
        <v>4392</v>
      </c>
      <c r="L433" s="85" t="s">
        <v>4135</v>
      </c>
      <c r="M433" s="85" t="s">
        <v>4418</v>
      </c>
    </row>
    <row r="434" ht="213.75" spans="1:13">
      <c r="A434" s="85" t="s">
        <v>4387</v>
      </c>
      <c r="B434" s="85" t="s">
        <v>4419</v>
      </c>
      <c r="C434" s="85" t="s">
        <v>4420</v>
      </c>
      <c r="D434" s="85" t="s">
        <v>3484</v>
      </c>
      <c r="E434" s="85" t="s">
        <v>4420</v>
      </c>
      <c r="F434" s="86">
        <v>3.75</v>
      </c>
      <c r="G434" s="86">
        <v>11</v>
      </c>
      <c r="H434" s="86">
        <v>41.25</v>
      </c>
      <c r="I434" s="86">
        <v>7091.66</v>
      </c>
      <c r="J434" s="85" t="s">
        <v>4391</v>
      </c>
      <c r="K434" s="85" t="s">
        <v>4392</v>
      </c>
      <c r="L434" s="85" t="s">
        <v>4135</v>
      </c>
      <c r="M434" s="85" t="s">
        <v>4421</v>
      </c>
    </row>
    <row r="435" ht="213.75" spans="1:13">
      <c r="A435" s="85" t="s">
        <v>4387</v>
      </c>
      <c r="B435" s="85" t="s">
        <v>3384</v>
      </c>
      <c r="C435" s="85" t="s">
        <v>3385</v>
      </c>
      <c r="D435" s="85" t="s">
        <v>3386</v>
      </c>
      <c r="E435" s="85" t="s">
        <v>3385</v>
      </c>
      <c r="F435" s="86">
        <v>14.46</v>
      </c>
      <c r="G435" s="86">
        <v>1</v>
      </c>
      <c r="H435" s="86">
        <v>14.46</v>
      </c>
      <c r="I435" s="86">
        <v>7091.66</v>
      </c>
      <c r="J435" s="85" t="s">
        <v>4391</v>
      </c>
      <c r="K435" s="85" t="s">
        <v>4392</v>
      </c>
      <c r="L435" s="85" t="s">
        <v>4135</v>
      </c>
      <c r="M435" s="85" t="s">
        <v>4422</v>
      </c>
    </row>
    <row r="436" ht="213.75" spans="1:13">
      <c r="A436" s="85" t="s">
        <v>4387</v>
      </c>
      <c r="B436" s="85" t="s">
        <v>4423</v>
      </c>
      <c r="C436" s="85" t="s">
        <v>4424</v>
      </c>
      <c r="D436" s="85" t="s">
        <v>4425</v>
      </c>
      <c r="E436" s="85" t="s">
        <v>4426</v>
      </c>
      <c r="F436" s="86">
        <v>8.45</v>
      </c>
      <c r="G436" s="86">
        <v>9</v>
      </c>
      <c r="H436" s="86">
        <v>76.05</v>
      </c>
      <c r="I436" s="86">
        <v>7091.66</v>
      </c>
      <c r="J436" s="85" t="s">
        <v>4391</v>
      </c>
      <c r="K436" s="85" t="s">
        <v>4392</v>
      </c>
      <c r="L436" s="85" t="s">
        <v>4135</v>
      </c>
      <c r="M436" s="85" t="s">
        <v>4427</v>
      </c>
    </row>
    <row r="437" ht="213.75" spans="1:13">
      <c r="A437" s="85" t="s">
        <v>4387</v>
      </c>
      <c r="B437" s="85" t="s">
        <v>4428</v>
      </c>
      <c r="C437" s="85" t="s">
        <v>4429</v>
      </c>
      <c r="D437" s="85" t="s">
        <v>3442</v>
      </c>
      <c r="E437" s="85" t="s">
        <v>4429</v>
      </c>
      <c r="F437" s="86">
        <v>20.34</v>
      </c>
      <c r="G437" s="86">
        <v>3</v>
      </c>
      <c r="H437" s="86">
        <v>61.02</v>
      </c>
      <c r="I437" s="86">
        <v>7091.66</v>
      </c>
      <c r="J437" s="85" t="s">
        <v>4391</v>
      </c>
      <c r="K437" s="85" t="s">
        <v>4392</v>
      </c>
      <c r="L437" s="85" t="s">
        <v>4135</v>
      </c>
      <c r="M437" s="85" t="s">
        <v>4430</v>
      </c>
    </row>
    <row r="438" ht="213.75" spans="1:13">
      <c r="A438" s="85" t="s">
        <v>4387</v>
      </c>
      <c r="B438" s="85" t="s">
        <v>4431</v>
      </c>
      <c r="C438" s="85" t="s">
        <v>4432</v>
      </c>
      <c r="D438" s="85" t="s">
        <v>4433</v>
      </c>
      <c r="E438" s="85" t="s">
        <v>4432</v>
      </c>
      <c r="F438" s="86">
        <v>1.7</v>
      </c>
      <c r="G438" s="86">
        <v>5</v>
      </c>
      <c r="H438" s="86">
        <v>8.5</v>
      </c>
      <c r="I438" s="86">
        <v>7091.66</v>
      </c>
      <c r="J438" s="85" t="s">
        <v>4391</v>
      </c>
      <c r="K438" s="85" t="s">
        <v>4392</v>
      </c>
      <c r="L438" s="85" t="s">
        <v>4135</v>
      </c>
      <c r="M438" s="85" t="s">
        <v>4434</v>
      </c>
    </row>
    <row r="439" ht="213.75" spans="1:13">
      <c r="A439" s="85" t="s">
        <v>4387</v>
      </c>
      <c r="B439" s="85" t="s">
        <v>4435</v>
      </c>
      <c r="C439" s="85" t="s">
        <v>4436</v>
      </c>
      <c r="D439" s="85" t="s">
        <v>4437</v>
      </c>
      <c r="E439" s="85" t="s">
        <v>4436</v>
      </c>
      <c r="F439" s="86">
        <v>4.02</v>
      </c>
      <c r="G439" s="86">
        <v>160</v>
      </c>
      <c r="H439" s="86">
        <v>643.2</v>
      </c>
      <c r="I439" s="86">
        <v>7091.66</v>
      </c>
      <c r="J439" s="85" t="s">
        <v>4391</v>
      </c>
      <c r="K439" s="85" t="s">
        <v>4392</v>
      </c>
      <c r="L439" s="85" t="s">
        <v>4135</v>
      </c>
      <c r="M439" s="85" t="s">
        <v>4438</v>
      </c>
    </row>
    <row r="440" ht="213.75" spans="1:13">
      <c r="A440" s="85" t="s">
        <v>4387</v>
      </c>
      <c r="B440" s="85" t="s">
        <v>4439</v>
      </c>
      <c r="C440" s="85" t="s">
        <v>4440</v>
      </c>
      <c r="D440" s="85" t="s">
        <v>3471</v>
      </c>
      <c r="E440" s="85" t="s">
        <v>4440</v>
      </c>
      <c r="F440" s="86">
        <v>1.89</v>
      </c>
      <c r="G440" s="86">
        <v>9</v>
      </c>
      <c r="H440" s="86">
        <v>17.01</v>
      </c>
      <c r="I440" s="86">
        <v>7091.66</v>
      </c>
      <c r="J440" s="85" t="s">
        <v>4391</v>
      </c>
      <c r="K440" s="85" t="s">
        <v>4392</v>
      </c>
      <c r="L440" s="85" t="s">
        <v>4135</v>
      </c>
      <c r="M440" s="85" t="s">
        <v>4441</v>
      </c>
    </row>
    <row r="441" ht="213.75" spans="1:13">
      <c r="A441" s="85" t="s">
        <v>4387</v>
      </c>
      <c r="B441" s="85" t="s">
        <v>4442</v>
      </c>
      <c r="C441" s="85" t="s">
        <v>4443</v>
      </c>
      <c r="D441" s="85" t="s">
        <v>4437</v>
      </c>
      <c r="E441" s="85" t="s">
        <v>4443</v>
      </c>
      <c r="F441" s="86">
        <v>3.83</v>
      </c>
      <c r="G441" s="86">
        <v>160</v>
      </c>
      <c r="H441" s="86">
        <v>612.8</v>
      </c>
      <c r="I441" s="86">
        <v>7091.66</v>
      </c>
      <c r="J441" s="85" t="s">
        <v>4391</v>
      </c>
      <c r="K441" s="85" t="s">
        <v>4392</v>
      </c>
      <c r="L441" s="85" t="s">
        <v>4135</v>
      </c>
      <c r="M441" s="85" t="s">
        <v>4444</v>
      </c>
    </row>
    <row r="442" ht="213.75" spans="1:13">
      <c r="A442" s="85" t="s">
        <v>4387</v>
      </c>
      <c r="B442" s="85" t="s">
        <v>4445</v>
      </c>
      <c r="C442" s="85" t="s">
        <v>4446</v>
      </c>
      <c r="D442" s="85" t="s">
        <v>3633</v>
      </c>
      <c r="E442" s="85" t="s">
        <v>4447</v>
      </c>
      <c r="F442" s="86">
        <v>25.35</v>
      </c>
      <c r="G442" s="86">
        <v>9</v>
      </c>
      <c r="H442" s="86">
        <v>228.15</v>
      </c>
      <c r="I442" s="86">
        <v>7091.66</v>
      </c>
      <c r="J442" s="85" t="s">
        <v>4391</v>
      </c>
      <c r="K442" s="85" t="s">
        <v>4392</v>
      </c>
      <c r="L442" s="85" t="s">
        <v>4135</v>
      </c>
      <c r="M442" s="85" t="s">
        <v>4448</v>
      </c>
    </row>
    <row r="443" ht="213.75" spans="1:13">
      <c r="A443" s="85" t="s">
        <v>4387</v>
      </c>
      <c r="B443" s="85" t="s">
        <v>4449</v>
      </c>
      <c r="C443" s="85" t="s">
        <v>4450</v>
      </c>
      <c r="D443" s="85" t="s">
        <v>4451</v>
      </c>
      <c r="E443" s="85" t="s">
        <v>4452</v>
      </c>
      <c r="F443" s="86">
        <v>170.92</v>
      </c>
      <c r="G443" s="86">
        <v>7</v>
      </c>
      <c r="H443" s="86">
        <v>1196.44</v>
      </c>
      <c r="I443" s="86">
        <v>7091.66</v>
      </c>
      <c r="J443" s="85" t="s">
        <v>4391</v>
      </c>
      <c r="K443" s="85" t="s">
        <v>4392</v>
      </c>
      <c r="L443" s="85" t="s">
        <v>4135</v>
      </c>
      <c r="M443" s="85" t="s">
        <v>4453</v>
      </c>
    </row>
    <row r="444" ht="213.75" spans="1:13">
      <c r="A444" s="85" t="s">
        <v>4387</v>
      </c>
      <c r="B444" s="85" t="s">
        <v>4454</v>
      </c>
      <c r="C444" s="85" t="s">
        <v>4455</v>
      </c>
      <c r="D444" s="85" t="s">
        <v>4456</v>
      </c>
      <c r="E444" s="85" t="s">
        <v>4457</v>
      </c>
      <c r="F444" s="86">
        <v>93.94</v>
      </c>
      <c r="G444" s="86">
        <v>6</v>
      </c>
      <c r="H444" s="86">
        <v>563.64</v>
      </c>
      <c r="I444" s="86">
        <v>7091.66</v>
      </c>
      <c r="J444" s="85" t="s">
        <v>4391</v>
      </c>
      <c r="K444" s="85" t="s">
        <v>4392</v>
      </c>
      <c r="L444" s="85" t="s">
        <v>4135</v>
      </c>
      <c r="M444" s="85" t="s">
        <v>4458</v>
      </c>
    </row>
    <row r="445" ht="213.75" spans="1:13">
      <c r="A445" s="85" t="s">
        <v>4387</v>
      </c>
      <c r="B445" s="85" t="s">
        <v>4459</v>
      </c>
      <c r="C445" s="85" t="s">
        <v>4460</v>
      </c>
      <c r="D445" s="85" t="s">
        <v>3969</v>
      </c>
      <c r="E445" s="85" t="s">
        <v>4461</v>
      </c>
      <c r="F445" s="86">
        <v>2.55</v>
      </c>
      <c r="G445" s="86">
        <v>6</v>
      </c>
      <c r="H445" s="86">
        <v>15.3</v>
      </c>
      <c r="I445" s="86">
        <v>7091.66</v>
      </c>
      <c r="J445" s="85" t="s">
        <v>4391</v>
      </c>
      <c r="K445" s="85" t="s">
        <v>4392</v>
      </c>
      <c r="L445" s="85" t="s">
        <v>4135</v>
      </c>
      <c r="M445" s="85" t="s">
        <v>4462</v>
      </c>
    </row>
    <row r="446" ht="213.75" spans="1:13">
      <c r="A446" s="85" t="s">
        <v>4387</v>
      </c>
      <c r="B446" s="85" t="s">
        <v>4463</v>
      </c>
      <c r="C446" s="85" t="s">
        <v>4464</v>
      </c>
      <c r="D446" s="85" t="s">
        <v>4465</v>
      </c>
      <c r="E446" s="85" t="s">
        <v>4464</v>
      </c>
      <c r="F446" s="86">
        <v>0.43</v>
      </c>
      <c r="G446" s="86">
        <v>240</v>
      </c>
      <c r="H446" s="86">
        <v>103.2</v>
      </c>
      <c r="I446" s="86">
        <v>7091.66</v>
      </c>
      <c r="J446" s="85" t="s">
        <v>4391</v>
      </c>
      <c r="K446" s="85" t="s">
        <v>4392</v>
      </c>
      <c r="L446" s="85" t="s">
        <v>4135</v>
      </c>
      <c r="M446" s="85" t="s">
        <v>4466</v>
      </c>
    </row>
    <row r="447" ht="213.75" spans="1:13">
      <c r="A447" s="85" t="s">
        <v>4387</v>
      </c>
      <c r="B447" s="85" t="s">
        <v>4467</v>
      </c>
      <c r="C447" s="85" t="s">
        <v>4468</v>
      </c>
      <c r="D447" s="85" t="s">
        <v>4437</v>
      </c>
      <c r="E447" s="85" t="s">
        <v>4468</v>
      </c>
      <c r="F447" s="86">
        <v>0.42</v>
      </c>
      <c r="G447" s="86">
        <v>160</v>
      </c>
      <c r="H447" s="86">
        <v>67.2</v>
      </c>
      <c r="I447" s="86">
        <v>7091.66</v>
      </c>
      <c r="J447" s="85" t="s">
        <v>4391</v>
      </c>
      <c r="K447" s="85" t="s">
        <v>4392</v>
      </c>
      <c r="L447" s="85" t="s">
        <v>4135</v>
      </c>
      <c r="M447" s="85" t="s">
        <v>4469</v>
      </c>
    </row>
    <row r="448" ht="213.75" spans="1:13">
      <c r="A448" s="85" t="s">
        <v>4470</v>
      </c>
      <c r="B448" s="85" t="s">
        <v>4471</v>
      </c>
      <c r="C448" s="85" t="s">
        <v>4472</v>
      </c>
      <c r="D448" s="85" t="s">
        <v>3241</v>
      </c>
      <c r="E448" s="85" t="s">
        <v>4473</v>
      </c>
      <c r="F448" s="86">
        <v>37</v>
      </c>
      <c r="G448" s="86">
        <v>12</v>
      </c>
      <c r="H448" s="86">
        <v>444</v>
      </c>
      <c r="I448" s="86">
        <v>5905.4</v>
      </c>
      <c r="J448" s="85" t="s">
        <v>2958</v>
      </c>
      <c r="K448" s="85" t="s">
        <v>4474</v>
      </c>
      <c r="L448" s="85" t="s">
        <v>4135</v>
      </c>
      <c r="M448" s="85" t="s">
        <v>4475</v>
      </c>
    </row>
    <row r="449" ht="213.75" spans="1:13">
      <c r="A449" s="85" t="s">
        <v>4476</v>
      </c>
      <c r="B449" s="85" t="s">
        <v>4477</v>
      </c>
      <c r="C449" s="85" t="s">
        <v>4478</v>
      </c>
      <c r="D449" s="85" t="s">
        <v>3183</v>
      </c>
      <c r="E449" s="85" t="s">
        <v>4478</v>
      </c>
      <c r="F449" s="86">
        <v>117.79</v>
      </c>
      <c r="G449" s="86">
        <v>10</v>
      </c>
      <c r="H449" s="86">
        <v>1177.9</v>
      </c>
      <c r="I449" s="86">
        <v>13295.19</v>
      </c>
      <c r="J449" s="85" t="s">
        <v>2965</v>
      </c>
      <c r="K449" s="85" t="s">
        <v>4474</v>
      </c>
      <c r="L449" s="85" t="s">
        <v>4135</v>
      </c>
      <c r="M449" s="85" t="s">
        <v>4479</v>
      </c>
    </row>
    <row r="450" ht="213.75" spans="1:13">
      <c r="A450" s="85" t="s">
        <v>4476</v>
      </c>
      <c r="B450" s="85" t="s">
        <v>3720</v>
      </c>
      <c r="C450" s="85" t="s">
        <v>3721</v>
      </c>
      <c r="D450" s="85" t="s">
        <v>3722</v>
      </c>
      <c r="E450" s="85" t="s">
        <v>3721</v>
      </c>
      <c r="F450" s="86">
        <v>15.15</v>
      </c>
      <c r="G450" s="86">
        <v>10</v>
      </c>
      <c r="H450" s="86">
        <v>151.5</v>
      </c>
      <c r="I450" s="86">
        <v>13295.19</v>
      </c>
      <c r="J450" s="85" t="s">
        <v>2965</v>
      </c>
      <c r="K450" s="85" t="s">
        <v>4474</v>
      </c>
      <c r="L450" s="85" t="s">
        <v>4135</v>
      </c>
      <c r="M450" s="85" t="s">
        <v>4480</v>
      </c>
    </row>
    <row r="451" ht="213.75" spans="1:13">
      <c r="A451" s="85" t="s">
        <v>4476</v>
      </c>
      <c r="B451" s="85" t="s">
        <v>4481</v>
      </c>
      <c r="C451" s="85" t="s">
        <v>4482</v>
      </c>
      <c r="D451" s="85" t="s">
        <v>2969</v>
      </c>
      <c r="E451" s="85" t="s">
        <v>4482</v>
      </c>
      <c r="F451" s="86">
        <v>3.2</v>
      </c>
      <c r="G451" s="86">
        <v>30</v>
      </c>
      <c r="H451" s="86">
        <v>96</v>
      </c>
      <c r="I451" s="86">
        <v>13295.19</v>
      </c>
      <c r="J451" s="85" t="s">
        <v>2965</v>
      </c>
      <c r="K451" s="85" t="s">
        <v>4474</v>
      </c>
      <c r="L451" s="85" t="s">
        <v>4135</v>
      </c>
      <c r="M451" s="85" t="s">
        <v>4483</v>
      </c>
    </row>
    <row r="452" ht="213.75" spans="1:13">
      <c r="A452" s="85" t="s">
        <v>4470</v>
      </c>
      <c r="B452" s="85" t="s">
        <v>3063</v>
      </c>
      <c r="C452" s="85" t="s">
        <v>3064</v>
      </c>
      <c r="D452" s="85" t="s">
        <v>2992</v>
      </c>
      <c r="E452" s="85" t="s">
        <v>1815</v>
      </c>
      <c r="F452" s="86">
        <v>5.3</v>
      </c>
      <c r="G452" s="86">
        <v>500</v>
      </c>
      <c r="H452" s="86">
        <v>2650</v>
      </c>
      <c r="I452" s="86">
        <v>5905.4</v>
      </c>
      <c r="J452" s="85" t="s">
        <v>2958</v>
      </c>
      <c r="K452" s="85" t="s">
        <v>4474</v>
      </c>
      <c r="L452" s="85" t="s">
        <v>4135</v>
      </c>
      <c r="M452" s="85" t="s">
        <v>4484</v>
      </c>
    </row>
    <row r="453" ht="213.75" spans="1:13">
      <c r="A453" s="85" t="s">
        <v>4476</v>
      </c>
      <c r="B453" s="85" t="s">
        <v>4485</v>
      </c>
      <c r="C453" s="85" t="s">
        <v>4486</v>
      </c>
      <c r="D453" s="85" t="s">
        <v>4487</v>
      </c>
      <c r="E453" s="85" t="s">
        <v>4486</v>
      </c>
      <c r="F453" s="86">
        <v>569.52</v>
      </c>
      <c r="G453" s="86">
        <v>2</v>
      </c>
      <c r="H453" s="86">
        <v>1139.04</v>
      </c>
      <c r="I453" s="86">
        <v>13295.19</v>
      </c>
      <c r="J453" s="85" t="s">
        <v>2965</v>
      </c>
      <c r="K453" s="85" t="s">
        <v>4474</v>
      </c>
      <c r="L453" s="85" t="s">
        <v>4135</v>
      </c>
      <c r="M453" s="85" t="s">
        <v>4488</v>
      </c>
    </row>
    <row r="454" ht="213.75" spans="1:13">
      <c r="A454" s="85" t="s">
        <v>4476</v>
      </c>
      <c r="B454" s="85" t="s">
        <v>4489</v>
      </c>
      <c r="C454" s="85" t="s">
        <v>4490</v>
      </c>
      <c r="D454" s="85" t="s">
        <v>2969</v>
      </c>
      <c r="E454" s="85" t="s">
        <v>4490</v>
      </c>
      <c r="F454" s="86">
        <v>4.68</v>
      </c>
      <c r="G454" s="86">
        <v>30</v>
      </c>
      <c r="H454" s="86">
        <v>140.4</v>
      </c>
      <c r="I454" s="86">
        <v>13295.19</v>
      </c>
      <c r="J454" s="85" t="s">
        <v>2965</v>
      </c>
      <c r="K454" s="85" t="s">
        <v>4474</v>
      </c>
      <c r="L454" s="85" t="s">
        <v>4135</v>
      </c>
      <c r="M454" s="85" t="s">
        <v>4491</v>
      </c>
    </row>
    <row r="455" ht="213.75" spans="1:13">
      <c r="A455" s="85" t="s">
        <v>4476</v>
      </c>
      <c r="B455" s="85" t="s">
        <v>3739</v>
      </c>
      <c r="C455" s="85" t="s">
        <v>3740</v>
      </c>
      <c r="D455" s="85" t="s">
        <v>2977</v>
      </c>
      <c r="E455" s="85" t="s">
        <v>3740</v>
      </c>
      <c r="F455" s="86">
        <v>5.4</v>
      </c>
      <c r="G455" s="86">
        <v>20</v>
      </c>
      <c r="H455" s="86">
        <v>108</v>
      </c>
      <c r="I455" s="86">
        <v>13295.19</v>
      </c>
      <c r="J455" s="85" t="s">
        <v>2965</v>
      </c>
      <c r="K455" s="85" t="s">
        <v>4474</v>
      </c>
      <c r="L455" s="85" t="s">
        <v>4135</v>
      </c>
      <c r="M455" s="85" t="s">
        <v>4492</v>
      </c>
    </row>
    <row r="456" ht="213.75" spans="1:13">
      <c r="A456" s="85" t="s">
        <v>4476</v>
      </c>
      <c r="B456" s="85" t="s">
        <v>4493</v>
      </c>
      <c r="C456" s="85" t="s">
        <v>4494</v>
      </c>
      <c r="D456" s="85" t="s">
        <v>2969</v>
      </c>
      <c r="E456" s="85" t="s">
        <v>4494</v>
      </c>
      <c r="F456" s="86">
        <v>3.33</v>
      </c>
      <c r="G456" s="86">
        <v>30</v>
      </c>
      <c r="H456" s="86">
        <v>99.9</v>
      </c>
      <c r="I456" s="86">
        <v>13295.19</v>
      </c>
      <c r="J456" s="85" t="s">
        <v>2965</v>
      </c>
      <c r="K456" s="85" t="s">
        <v>4474</v>
      </c>
      <c r="L456" s="85" t="s">
        <v>4135</v>
      </c>
      <c r="M456" s="85" t="s">
        <v>4495</v>
      </c>
    </row>
    <row r="457" ht="213.75" spans="1:13">
      <c r="A457" s="85" t="s">
        <v>4496</v>
      </c>
      <c r="B457" s="85" t="s">
        <v>4497</v>
      </c>
      <c r="C457" s="85" t="s">
        <v>4498</v>
      </c>
      <c r="D457" s="85" t="s">
        <v>2997</v>
      </c>
      <c r="E457" s="85" t="s">
        <v>2998</v>
      </c>
      <c r="F457" s="86">
        <v>18</v>
      </c>
      <c r="G457" s="86">
        <v>100</v>
      </c>
      <c r="H457" s="86">
        <v>1800</v>
      </c>
      <c r="I457" s="86">
        <v>3600</v>
      </c>
      <c r="J457" s="85" t="s">
        <v>2999</v>
      </c>
      <c r="K457" s="85" t="s">
        <v>4474</v>
      </c>
      <c r="L457" s="85" t="s">
        <v>4135</v>
      </c>
      <c r="M457" s="85" t="s">
        <v>4499</v>
      </c>
    </row>
    <row r="458" ht="213.75" spans="1:13">
      <c r="A458" s="85" t="s">
        <v>4476</v>
      </c>
      <c r="B458" s="85" t="s">
        <v>3710</v>
      </c>
      <c r="C458" s="85" t="s">
        <v>3711</v>
      </c>
      <c r="D458" s="85" t="s">
        <v>2973</v>
      </c>
      <c r="E458" s="85" t="s">
        <v>3711</v>
      </c>
      <c r="F458" s="86">
        <v>341.1</v>
      </c>
      <c r="G458" s="86">
        <v>2</v>
      </c>
      <c r="H458" s="86">
        <v>682.2</v>
      </c>
      <c r="I458" s="86">
        <v>13295.19</v>
      </c>
      <c r="J458" s="85" t="s">
        <v>2965</v>
      </c>
      <c r="K458" s="85" t="s">
        <v>4474</v>
      </c>
      <c r="L458" s="85" t="s">
        <v>4135</v>
      </c>
      <c r="M458" s="85" t="s">
        <v>4500</v>
      </c>
    </row>
    <row r="459" ht="213.75" spans="1:13">
      <c r="A459" s="85" t="s">
        <v>4470</v>
      </c>
      <c r="B459" s="85" t="s">
        <v>4501</v>
      </c>
      <c r="C459" s="85" t="s">
        <v>4502</v>
      </c>
      <c r="D459" s="85" t="s">
        <v>3086</v>
      </c>
      <c r="E459" s="85" t="s">
        <v>4503</v>
      </c>
      <c r="F459" s="86">
        <v>38</v>
      </c>
      <c r="G459" s="86">
        <v>5</v>
      </c>
      <c r="H459" s="86">
        <v>190</v>
      </c>
      <c r="I459" s="86">
        <v>5905.4</v>
      </c>
      <c r="J459" s="85" t="s">
        <v>2958</v>
      </c>
      <c r="K459" s="85" t="s">
        <v>4474</v>
      </c>
      <c r="L459" s="85" t="s">
        <v>4135</v>
      </c>
      <c r="M459" s="85" t="s">
        <v>4504</v>
      </c>
    </row>
    <row r="460" ht="213.75" spans="1:13">
      <c r="A460" s="85" t="s">
        <v>4476</v>
      </c>
      <c r="B460" s="85" t="s">
        <v>3195</v>
      </c>
      <c r="C460" s="85" t="s">
        <v>3196</v>
      </c>
      <c r="D460" s="85" t="s">
        <v>3197</v>
      </c>
      <c r="E460" s="85" t="s">
        <v>3196</v>
      </c>
      <c r="F460" s="86">
        <v>14.07</v>
      </c>
      <c r="G460" s="86">
        <v>20</v>
      </c>
      <c r="H460" s="86">
        <v>281.4</v>
      </c>
      <c r="I460" s="86">
        <v>13295.19</v>
      </c>
      <c r="J460" s="85" t="s">
        <v>2965</v>
      </c>
      <c r="K460" s="85" t="s">
        <v>4474</v>
      </c>
      <c r="L460" s="85" t="s">
        <v>4135</v>
      </c>
      <c r="M460" s="85" t="s">
        <v>4505</v>
      </c>
    </row>
    <row r="461" ht="213.75" spans="1:13">
      <c r="A461" s="85" t="s">
        <v>4506</v>
      </c>
      <c r="B461" s="85" t="s">
        <v>4507</v>
      </c>
      <c r="C461" s="85" t="s">
        <v>4508</v>
      </c>
      <c r="D461" s="85" t="s">
        <v>4195</v>
      </c>
      <c r="E461" s="85" t="s">
        <v>4369</v>
      </c>
      <c r="F461" s="86">
        <v>351</v>
      </c>
      <c r="G461" s="86">
        <v>10</v>
      </c>
      <c r="H461" s="86">
        <v>3510</v>
      </c>
      <c r="I461" s="86">
        <v>7373</v>
      </c>
      <c r="J461" s="85" t="s">
        <v>4370</v>
      </c>
      <c r="K461" s="85" t="s">
        <v>4474</v>
      </c>
      <c r="L461" s="85" t="s">
        <v>4135</v>
      </c>
      <c r="M461" s="85" t="s">
        <v>4509</v>
      </c>
    </row>
    <row r="462" ht="213.75" spans="1:13">
      <c r="A462" s="85" t="s">
        <v>4506</v>
      </c>
      <c r="B462" s="85" t="s">
        <v>4510</v>
      </c>
      <c r="C462" s="85" t="s">
        <v>4511</v>
      </c>
      <c r="D462" s="85" t="s">
        <v>3041</v>
      </c>
      <c r="E462" s="85" t="s">
        <v>3042</v>
      </c>
      <c r="F462" s="86">
        <v>9</v>
      </c>
      <c r="G462" s="86">
        <v>120</v>
      </c>
      <c r="H462" s="86">
        <v>1080</v>
      </c>
      <c r="I462" s="86">
        <v>7373</v>
      </c>
      <c r="J462" s="85" t="s">
        <v>4370</v>
      </c>
      <c r="K462" s="85" t="s">
        <v>4474</v>
      </c>
      <c r="L462" s="85" t="s">
        <v>4135</v>
      </c>
      <c r="M462" s="85" t="s">
        <v>4512</v>
      </c>
    </row>
    <row r="463" ht="327.75" spans="1:13">
      <c r="A463" s="85" t="s">
        <v>4476</v>
      </c>
      <c r="B463" s="85" t="s">
        <v>3151</v>
      </c>
      <c r="C463" s="85" t="s">
        <v>3152</v>
      </c>
      <c r="D463" s="85" t="s">
        <v>3153</v>
      </c>
      <c r="E463" s="85" t="s">
        <v>3152</v>
      </c>
      <c r="F463" s="86">
        <v>49.57</v>
      </c>
      <c r="G463" s="86">
        <v>5</v>
      </c>
      <c r="H463" s="86">
        <v>247.85</v>
      </c>
      <c r="I463" s="86">
        <v>13295.19</v>
      </c>
      <c r="J463" s="85" t="s">
        <v>2965</v>
      </c>
      <c r="K463" s="85" t="s">
        <v>4474</v>
      </c>
      <c r="L463" s="85" t="s">
        <v>4135</v>
      </c>
      <c r="M463" s="85" t="s">
        <v>4513</v>
      </c>
    </row>
    <row r="464" ht="213.75" spans="1:13">
      <c r="A464" s="85" t="s">
        <v>4476</v>
      </c>
      <c r="B464" s="85" t="s">
        <v>4514</v>
      </c>
      <c r="C464" s="85" t="s">
        <v>4515</v>
      </c>
      <c r="D464" s="85" t="s">
        <v>3054</v>
      </c>
      <c r="E464" s="85" t="s">
        <v>4515</v>
      </c>
      <c r="F464" s="86">
        <v>11.4</v>
      </c>
      <c r="G464" s="86">
        <v>20</v>
      </c>
      <c r="H464" s="86">
        <v>228</v>
      </c>
      <c r="I464" s="86">
        <v>13295.19</v>
      </c>
      <c r="J464" s="85" t="s">
        <v>2965</v>
      </c>
      <c r="K464" s="85" t="s">
        <v>4474</v>
      </c>
      <c r="L464" s="85" t="s">
        <v>4135</v>
      </c>
      <c r="M464" s="85" t="s">
        <v>4516</v>
      </c>
    </row>
    <row r="465" ht="213.75" spans="1:13">
      <c r="A465" s="85" t="s">
        <v>4476</v>
      </c>
      <c r="B465" s="85" t="s">
        <v>4517</v>
      </c>
      <c r="C465" s="85" t="s">
        <v>4518</v>
      </c>
      <c r="D465" s="85" t="s">
        <v>3014</v>
      </c>
      <c r="E465" s="85" t="s">
        <v>4518</v>
      </c>
      <c r="F465" s="86">
        <v>869.29</v>
      </c>
      <c r="G465" s="86">
        <v>1</v>
      </c>
      <c r="H465" s="86">
        <v>869.29</v>
      </c>
      <c r="I465" s="86">
        <v>13295.19</v>
      </c>
      <c r="J465" s="85" t="s">
        <v>2965</v>
      </c>
      <c r="K465" s="85" t="s">
        <v>4474</v>
      </c>
      <c r="L465" s="85" t="s">
        <v>4135</v>
      </c>
      <c r="M465" s="85" t="s">
        <v>4519</v>
      </c>
    </row>
    <row r="466" ht="213.75" spans="1:13">
      <c r="A466" s="85" t="s">
        <v>4476</v>
      </c>
      <c r="B466" s="85" t="s">
        <v>4520</v>
      </c>
      <c r="C466" s="85" t="s">
        <v>4521</v>
      </c>
      <c r="D466" s="85" t="s">
        <v>4487</v>
      </c>
      <c r="E466" s="85" t="s">
        <v>4521</v>
      </c>
      <c r="F466" s="86">
        <v>827.4</v>
      </c>
      <c r="G466" s="86">
        <v>2</v>
      </c>
      <c r="H466" s="86">
        <v>1654.8</v>
      </c>
      <c r="I466" s="86">
        <v>13295.19</v>
      </c>
      <c r="J466" s="85" t="s">
        <v>2965</v>
      </c>
      <c r="K466" s="85" t="s">
        <v>4474</v>
      </c>
      <c r="L466" s="85" t="s">
        <v>4135</v>
      </c>
      <c r="M466" s="85" t="s">
        <v>4522</v>
      </c>
    </row>
    <row r="467" ht="213.75" spans="1:13">
      <c r="A467" s="85" t="s">
        <v>4470</v>
      </c>
      <c r="B467" s="85" t="s">
        <v>4523</v>
      </c>
      <c r="C467" s="85" t="s">
        <v>4524</v>
      </c>
      <c r="D467" s="85" t="s">
        <v>3086</v>
      </c>
      <c r="E467" s="85" t="s">
        <v>4525</v>
      </c>
      <c r="F467" s="86">
        <v>19.6</v>
      </c>
      <c r="G467" s="86">
        <v>9</v>
      </c>
      <c r="H467" s="86">
        <v>176.4</v>
      </c>
      <c r="I467" s="86">
        <v>5905.4</v>
      </c>
      <c r="J467" s="85" t="s">
        <v>2958</v>
      </c>
      <c r="K467" s="85" t="s">
        <v>4474</v>
      </c>
      <c r="L467" s="85" t="s">
        <v>4135</v>
      </c>
      <c r="M467" s="85" t="s">
        <v>4526</v>
      </c>
    </row>
    <row r="468" ht="213.75" spans="1:13">
      <c r="A468" s="85" t="s">
        <v>4470</v>
      </c>
      <c r="B468" s="85" t="s">
        <v>3207</v>
      </c>
      <c r="C468" s="85" t="s">
        <v>3208</v>
      </c>
      <c r="D468" s="85" t="s">
        <v>3201</v>
      </c>
      <c r="E468" s="85" t="s">
        <v>3209</v>
      </c>
      <c r="F468" s="86">
        <v>153</v>
      </c>
      <c r="G468" s="86">
        <v>1</v>
      </c>
      <c r="H468" s="86">
        <v>153</v>
      </c>
      <c r="I468" s="86">
        <v>5905.4</v>
      </c>
      <c r="J468" s="85" t="s">
        <v>2958</v>
      </c>
      <c r="K468" s="85" t="s">
        <v>4474</v>
      </c>
      <c r="L468" s="85" t="s">
        <v>4135</v>
      </c>
      <c r="M468" s="85" t="s">
        <v>4527</v>
      </c>
    </row>
    <row r="469" ht="213.75" spans="1:13">
      <c r="A469" s="85" t="s">
        <v>4506</v>
      </c>
      <c r="B469" s="85" t="s">
        <v>4528</v>
      </c>
      <c r="C469" s="85" t="s">
        <v>4529</v>
      </c>
      <c r="D469" s="85" t="s">
        <v>4195</v>
      </c>
      <c r="E469" s="85" t="s">
        <v>4369</v>
      </c>
      <c r="F469" s="86">
        <v>39</v>
      </c>
      <c r="G469" s="86">
        <v>5</v>
      </c>
      <c r="H469" s="86">
        <v>195</v>
      </c>
      <c r="I469" s="86">
        <v>7373</v>
      </c>
      <c r="J469" s="85" t="s">
        <v>4370</v>
      </c>
      <c r="K469" s="85" t="s">
        <v>4474</v>
      </c>
      <c r="L469" s="85" t="s">
        <v>4135</v>
      </c>
      <c r="M469" s="85" t="s">
        <v>4530</v>
      </c>
    </row>
    <row r="470" ht="213.75" spans="1:13">
      <c r="A470" s="85" t="s">
        <v>4476</v>
      </c>
      <c r="B470" s="85" t="s">
        <v>4531</v>
      </c>
      <c r="C470" s="85" t="s">
        <v>4532</v>
      </c>
      <c r="D470" s="85" t="s">
        <v>3061</v>
      </c>
      <c r="E470" s="85" t="s">
        <v>4532</v>
      </c>
      <c r="F470" s="86">
        <v>392.07</v>
      </c>
      <c r="G470" s="86">
        <v>3</v>
      </c>
      <c r="H470" s="86">
        <v>1176.21</v>
      </c>
      <c r="I470" s="86">
        <v>13295.19</v>
      </c>
      <c r="J470" s="85" t="s">
        <v>2965</v>
      </c>
      <c r="K470" s="85" t="s">
        <v>4474</v>
      </c>
      <c r="L470" s="85" t="s">
        <v>4135</v>
      </c>
      <c r="M470" s="85" t="s">
        <v>4533</v>
      </c>
    </row>
    <row r="471" ht="213.75" spans="1:13">
      <c r="A471" s="85" t="s">
        <v>4476</v>
      </c>
      <c r="B471" s="85" t="s">
        <v>4534</v>
      </c>
      <c r="C471" s="85" t="s">
        <v>4535</v>
      </c>
      <c r="D471" s="85" t="s">
        <v>3054</v>
      </c>
      <c r="E471" s="85" t="s">
        <v>4535</v>
      </c>
      <c r="F471" s="86">
        <v>8.98</v>
      </c>
      <c r="G471" s="86">
        <v>20</v>
      </c>
      <c r="H471" s="86">
        <v>179.6</v>
      </c>
      <c r="I471" s="86">
        <v>13295.19</v>
      </c>
      <c r="J471" s="85" t="s">
        <v>2965</v>
      </c>
      <c r="K471" s="85" t="s">
        <v>4474</v>
      </c>
      <c r="L471" s="85" t="s">
        <v>4135</v>
      </c>
      <c r="M471" s="85" t="s">
        <v>4536</v>
      </c>
    </row>
    <row r="472" ht="213.75" spans="1:13">
      <c r="A472" s="85" t="s">
        <v>4496</v>
      </c>
      <c r="B472" s="85" t="s">
        <v>4537</v>
      </c>
      <c r="C472" s="85" t="s">
        <v>4538</v>
      </c>
      <c r="D472" s="85" t="s">
        <v>2997</v>
      </c>
      <c r="E472" s="85" t="s">
        <v>2998</v>
      </c>
      <c r="F472" s="86">
        <v>18</v>
      </c>
      <c r="G472" s="86">
        <v>100</v>
      </c>
      <c r="H472" s="86">
        <v>1800</v>
      </c>
      <c r="I472" s="86">
        <v>3600</v>
      </c>
      <c r="J472" s="85" t="s">
        <v>2999</v>
      </c>
      <c r="K472" s="85" t="s">
        <v>4474</v>
      </c>
      <c r="L472" s="85" t="s">
        <v>4135</v>
      </c>
      <c r="M472" s="85" t="s">
        <v>4539</v>
      </c>
    </row>
    <row r="473" ht="213.75" spans="1:13">
      <c r="A473" s="85" t="s">
        <v>4476</v>
      </c>
      <c r="B473" s="85" t="s">
        <v>4540</v>
      </c>
      <c r="C473" s="85" t="s">
        <v>4541</v>
      </c>
      <c r="D473" s="85" t="s">
        <v>2969</v>
      </c>
      <c r="E473" s="85" t="s">
        <v>4541</v>
      </c>
      <c r="F473" s="86">
        <v>1.93</v>
      </c>
      <c r="G473" s="86">
        <v>30</v>
      </c>
      <c r="H473" s="86">
        <v>57.9</v>
      </c>
      <c r="I473" s="86">
        <v>13295.19</v>
      </c>
      <c r="J473" s="85" t="s">
        <v>2965</v>
      </c>
      <c r="K473" s="85" t="s">
        <v>4474</v>
      </c>
      <c r="L473" s="85" t="s">
        <v>4135</v>
      </c>
      <c r="M473" s="85" t="s">
        <v>4542</v>
      </c>
    </row>
    <row r="474" ht="213.75" spans="1:13">
      <c r="A474" s="85" t="s">
        <v>4476</v>
      </c>
      <c r="B474" s="85" t="s">
        <v>3236</v>
      </c>
      <c r="C474" s="85" t="s">
        <v>3237</v>
      </c>
      <c r="D474" s="85" t="s">
        <v>3183</v>
      </c>
      <c r="E474" s="85" t="s">
        <v>3237</v>
      </c>
      <c r="F474" s="86">
        <v>55.72</v>
      </c>
      <c r="G474" s="86">
        <v>10</v>
      </c>
      <c r="H474" s="86">
        <v>557.2</v>
      </c>
      <c r="I474" s="86">
        <v>13295.19</v>
      </c>
      <c r="J474" s="85" t="s">
        <v>2965</v>
      </c>
      <c r="K474" s="85" t="s">
        <v>4474</v>
      </c>
      <c r="L474" s="85" t="s">
        <v>4135</v>
      </c>
      <c r="M474" s="85" t="s">
        <v>4543</v>
      </c>
    </row>
    <row r="475" ht="213.75" spans="1:13">
      <c r="A475" s="85" t="s">
        <v>4476</v>
      </c>
      <c r="B475" s="85" t="s">
        <v>4544</v>
      </c>
      <c r="C475" s="85" t="s">
        <v>4545</v>
      </c>
      <c r="D475" s="85" t="s">
        <v>4546</v>
      </c>
      <c r="E475" s="85" t="s">
        <v>4545</v>
      </c>
      <c r="F475" s="86">
        <v>292.41</v>
      </c>
      <c r="G475" s="86">
        <v>10</v>
      </c>
      <c r="H475" s="86">
        <v>2924.1</v>
      </c>
      <c r="I475" s="86">
        <v>13295.19</v>
      </c>
      <c r="J475" s="85" t="s">
        <v>2965</v>
      </c>
      <c r="K475" s="85" t="s">
        <v>4474</v>
      </c>
      <c r="L475" s="85" t="s">
        <v>4135</v>
      </c>
      <c r="M475" s="85" t="s">
        <v>4547</v>
      </c>
    </row>
    <row r="476" ht="213.75" spans="1:13">
      <c r="A476" s="85" t="s">
        <v>4506</v>
      </c>
      <c r="B476" s="85" t="s">
        <v>4548</v>
      </c>
      <c r="C476" s="85" t="s">
        <v>4549</v>
      </c>
      <c r="D476" s="85" t="s">
        <v>3169</v>
      </c>
      <c r="E476" s="85" t="s">
        <v>3170</v>
      </c>
      <c r="F476" s="86">
        <v>0.38</v>
      </c>
      <c r="G476" s="86">
        <v>2000</v>
      </c>
      <c r="H476" s="86">
        <v>760</v>
      </c>
      <c r="I476" s="86">
        <v>7373</v>
      </c>
      <c r="J476" s="85" t="s">
        <v>4370</v>
      </c>
      <c r="K476" s="85" t="s">
        <v>4474</v>
      </c>
      <c r="L476" s="85" t="s">
        <v>4135</v>
      </c>
      <c r="M476" s="85" t="s">
        <v>4550</v>
      </c>
    </row>
    <row r="477" ht="213.75" spans="1:13">
      <c r="A477" s="85" t="s">
        <v>4506</v>
      </c>
      <c r="B477" s="85" t="s">
        <v>4551</v>
      </c>
      <c r="C477" s="85" t="s">
        <v>4552</v>
      </c>
      <c r="D477" s="85" t="s">
        <v>3041</v>
      </c>
      <c r="E477" s="85" t="s">
        <v>3158</v>
      </c>
      <c r="F477" s="86">
        <v>14</v>
      </c>
      <c r="G477" s="86">
        <v>10</v>
      </c>
      <c r="H477" s="86">
        <v>140</v>
      </c>
      <c r="I477" s="86">
        <v>7373</v>
      </c>
      <c r="J477" s="85" t="s">
        <v>4370</v>
      </c>
      <c r="K477" s="85" t="s">
        <v>4474</v>
      </c>
      <c r="L477" s="85" t="s">
        <v>4135</v>
      </c>
      <c r="M477" s="85" t="s">
        <v>4553</v>
      </c>
    </row>
    <row r="478" ht="213.75" spans="1:13">
      <c r="A478" s="85" t="s">
        <v>4476</v>
      </c>
      <c r="B478" s="85" t="s">
        <v>4028</v>
      </c>
      <c r="C478" s="85" t="s">
        <v>4029</v>
      </c>
      <c r="D478" s="85" t="s">
        <v>4030</v>
      </c>
      <c r="E478" s="85" t="s">
        <v>4029</v>
      </c>
      <c r="F478" s="86">
        <v>2</v>
      </c>
      <c r="G478" s="86">
        <v>10</v>
      </c>
      <c r="H478" s="86">
        <v>20</v>
      </c>
      <c r="I478" s="86">
        <v>13295.19</v>
      </c>
      <c r="J478" s="85" t="s">
        <v>2965</v>
      </c>
      <c r="K478" s="85" t="s">
        <v>4474</v>
      </c>
      <c r="L478" s="85" t="s">
        <v>4135</v>
      </c>
      <c r="M478" s="85" t="s">
        <v>4554</v>
      </c>
    </row>
    <row r="479" ht="213.75" spans="1:13">
      <c r="A479" s="85" t="s">
        <v>4470</v>
      </c>
      <c r="B479" s="85" t="s">
        <v>3500</v>
      </c>
      <c r="C479" s="85" t="s">
        <v>3501</v>
      </c>
      <c r="D479" s="85" t="s">
        <v>2992</v>
      </c>
      <c r="E479" s="85" t="s">
        <v>1815</v>
      </c>
      <c r="F479" s="86">
        <v>17.7</v>
      </c>
      <c r="G479" s="86">
        <v>100</v>
      </c>
      <c r="H479" s="86">
        <v>1770</v>
      </c>
      <c r="I479" s="86">
        <v>5905.4</v>
      </c>
      <c r="J479" s="85" t="s">
        <v>2958</v>
      </c>
      <c r="K479" s="85" t="s">
        <v>4474</v>
      </c>
      <c r="L479" s="85" t="s">
        <v>4135</v>
      </c>
      <c r="M479" s="85" t="s">
        <v>4555</v>
      </c>
    </row>
    <row r="480" ht="213.75" spans="1:13">
      <c r="A480" s="85" t="s">
        <v>4476</v>
      </c>
      <c r="B480" s="85" t="s">
        <v>3628</v>
      </c>
      <c r="C480" s="85" t="s">
        <v>3629</v>
      </c>
      <c r="D480" s="85" t="s">
        <v>3054</v>
      </c>
      <c r="E480" s="85" t="s">
        <v>3629</v>
      </c>
      <c r="F480" s="86">
        <v>38.61</v>
      </c>
      <c r="G480" s="86">
        <v>10</v>
      </c>
      <c r="H480" s="86">
        <v>386.1</v>
      </c>
      <c r="I480" s="86">
        <v>13295.19</v>
      </c>
      <c r="J480" s="85" t="s">
        <v>2965</v>
      </c>
      <c r="K480" s="85" t="s">
        <v>4474</v>
      </c>
      <c r="L480" s="85" t="s">
        <v>4135</v>
      </c>
      <c r="M480" s="85" t="s">
        <v>4556</v>
      </c>
    </row>
    <row r="481" ht="213.75" spans="1:13">
      <c r="A481" s="85" t="s">
        <v>4506</v>
      </c>
      <c r="B481" s="85" t="s">
        <v>4557</v>
      </c>
      <c r="C481" s="85" t="s">
        <v>4558</v>
      </c>
      <c r="D481" s="85" t="s">
        <v>3041</v>
      </c>
      <c r="E481" s="85" t="s">
        <v>3158</v>
      </c>
      <c r="F481" s="86">
        <v>16.5</v>
      </c>
      <c r="G481" s="86">
        <v>24</v>
      </c>
      <c r="H481" s="86">
        <v>396</v>
      </c>
      <c r="I481" s="86">
        <v>7373</v>
      </c>
      <c r="J481" s="85" t="s">
        <v>4370</v>
      </c>
      <c r="K481" s="85" t="s">
        <v>4474</v>
      </c>
      <c r="L481" s="85" t="s">
        <v>4135</v>
      </c>
      <c r="M481" s="85" t="s">
        <v>4559</v>
      </c>
    </row>
    <row r="482" ht="213.75" spans="1:13">
      <c r="A482" s="85" t="s">
        <v>4476</v>
      </c>
      <c r="B482" s="85" t="s">
        <v>4560</v>
      </c>
      <c r="C482" s="85" t="s">
        <v>4561</v>
      </c>
      <c r="D482" s="85" t="s">
        <v>3153</v>
      </c>
      <c r="E482" s="85" t="s">
        <v>4561</v>
      </c>
      <c r="F482" s="86">
        <v>49.41</v>
      </c>
      <c r="G482" s="86">
        <v>10</v>
      </c>
      <c r="H482" s="86">
        <v>494.1</v>
      </c>
      <c r="I482" s="86">
        <v>13295.19</v>
      </c>
      <c r="J482" s="85" t="s">
        <v>2965</v>
      </c>
      <c r="K482" s="85" t="s">
        <v>4474</v>
      </c>
      <c r="L482" s="85" t="s">
        <v>4135</v>
      </c>
      <c r="M482" s="85" t="s">
        <v>4562</v>
      </c>
    </row>
    <row r="483" ht="213.75" spans="1:13">
      <c r="A483" s="85" t="s">
        <v>4506</v>
      </c>
      <c r="B483" s="85" t="s">
        <v>4563</v>
      </c>
      <c r="C483" s="85" t="s">
        <v>4564</v>
      </c>
      <c r="D483" s="85" t="s">
        <v>3367</v>
      </c>
      <c r="E483" s="85" t="s">
        <v>4565</v>
      </c>
      <c r="F483" s="86">
        <v>44</v>
      </c>
      <c r="G483" s="86">
        <v>3</v>
      </c>
      <c r="H483" s="86">
        <v>132</v>
      </c>
      <c r="I483" s="86">
        <v>7373</v>
      </c>
      <c r="J483" s="85" t="s">
        <v>4370</v>
      </c>
      <c r="K483" s="85" t="s">
        <v>4474</v>
      </c>
      <c r="L483" s="85" t="s">
        <v>4135</v>
      </c>
      <c r="M483" s="85" t="s">
        <v>4566</v>
      </c>
    </row>
    <row r="484" ht="213.75" spans="1:13">
      <c r="A484" s="85" t="s">
        <v>4476</v>
      </c>
      <c r="B484" s="85" t="s">
        <v>4567</v>
      </c>
      <c r="C484" s="85" t="s">
        <v>4568</v>
      </c>
      <c r="D484" s="85" t="s">
        <v>4030</v>
      </c>
      <c r="E484" s="85" t="s">
        <v>4568</v>
      </c>
      <c r="F484" s="86">
        <v>2.56</v>
      </c>
      <c r="G484" s="86">
        <v>60</v>
      </c>
      <c r="H484" s="86">
        <v>153.6</v>
      </c>
      <c r="I484" s="86">
        <v>13295.19</v>
      </c>
      <c r="J484" s="85" t="s">
        <v>2965</v>
      </c>
      <c r="K484" s="85" t="s">
        <v>4474</v>
      </c>
      <c r="L484" s="85" t="s">
        <v>4135</v>
      </c>
      <c r="M484" s="85" t="s">
        <v>4569</v>
      </c>
    </row>
    <row r="485" ht="213.75" spans="1:13">
      <c r="A485" s="85" t="s">
        <v>4506</v>
      </c>
      <c r="B485" s="85" t="s">
        <v>4570</v>
      </c>
      <c r="C485" s="85" t="s">
        <v>4571</v>
      </c>
      <c r="D485" s="85" t="s">
        <v>3041</v>
      </c>
      <c r="E485" s="85" t="s">
        <v>3158</v>
      </c>
      <c r="F485" s="86">
        <v>14</v>
      </c>
      <c r="G485" s="86">
        <v>50</v>
      </c>
      <c r="H485" s="86">
        <v>700</v>
      </c>
      <c r="I485" s="86">
        <v>7373</v>
      </c>
      <c r="J485" s="85" t="s">
        <v>4370</v>
      </c>
      <c r="K485" s="85" t="s">
        <v>4474</v>
      </c>
      <c r="L485" s="85" t="s">
        <v>4135</v>
      </c>
      <c r="M485" s="85" t="s">
        <v>4572</v>
      </c>
    </row>
    <row r="486" ht="213.75" spans="1:13">
      <c r="A486" s="85" t="s">
        <v>4476</v>
      </c>
      <c r="B486" s="85" t="s">
        <v>4573</v>
      </c>
      <c r="C486" s="85" t="s">
        <v>4574</v>
      </c>
      <c r="D486" s="85" t="s">
        <v>4030</v>
      </c>
      <c r="E486" s="85" t="s">
        <v>4574</v>
      </c>
      <c r="F486" s="86">
        <v>6.56</v>
      </c>
      <c r="G486" s="86">
        <v>30</v>
      </c>
      <c r="H486" s="86">
        <v>196.8</v>
      </c>
      <c r="I486" s="86">
        <v>13295.19</v>
      </c>
      <c r="J486" s="85" t="s">
        <v>2965</v>
      </c>
      <c r="K486" s="85" t="s">
        <v>4474</v>
      </c>
      <c r="L486" s="85" t="s">
        <v>4135</v>
      </c>
      <c r="M486" s="85" t="s">
        <v>4575</v>
      </c>
    </row>
    <row r="487" ht="213.75" spans="1:13">
      <c r="A487" s="85" t="s">
        <v>4470</v>
      </c>
      <c r="B487" s="85" t="s">
        <v>4576</v>
      </c>
      <c r="C487" s="85" t="s">
        <v>4577</v>
      </c>
      <c r="D487" s="85" t="s">
        <v>3241</v>
      </c>
      <c r="E487" s="85" t="s">
        <v>4578</v>
      </c>
      <c r="F487" s="86">
        <v>4.2</v>
      </c>
      <c r="G487" s="86">
        <v>10</v>
      </c>
      <c r="H487" s="86">
        <v>42</v>
      </c>
      <c r="I487" s="86">
        <v>5905.4</v>
      </c>
      <c r="J487" s="85" t="s">
        <v>2958</v>
      </c>
      <c r="K487" s="85" t="s">
        <v>4474</v>
      </c>
      <c r="L487" s="85" t="s">
        <v>4135</v>
      </c>
      <c r="M487" s="85" t="s">
        <v>4579</v>
      </c>
    </row>
    <row r="488" ht="213.75" spans="1:13">
      <c r="A488" s="85" t="s">
        <v>4580</v>
      </c>
      <c r="B488" s="85" t="s">
        <v>4581</v>
      </c>
      <c r="C488" s="85" t="s">
        <v>4582</v>
      </c>
      <c r="D488" s="85" t="s">
        <v>4583</v>
      </c>
      <c r="E488" s="85" t="s">
        <v>4584</v>
      </c>
      <c r="F488" s="86">
        <v>25</v>
      </c>
      <c r="G488" s="86">
        <v>5</v>
      </c>
      <c r="H488" s="86">
        <v>125</v>
      </c>
      <c r="I488" s="86">
        <v>215</v>
      </c>
      <c r="J488" s="85" t="s">
        <v>3031</v>
      </c>
      <c r="K488" s="85" t="s">
        <v>4474</v>
      </c>
      <c r="L488" s="85" t="s">
        <v>4135</v>
      </c>
      <c r="M488" s="85" t="s">
        <v>4585</v>
      </c>
    </row>
    <row r="489" ht="213.75" spans="1:13">
      <c r="A489" s="85" t="s">
        <v>4476</v>
      </c>
      <c r="B489" s="85" t="s">
        <v>4586</v>
      </c>
      <c r="C489" s="85" t="s">
        <v>4587</v>
      </c>
      <c r="D489" s="85" t="s">
        <v>4030</v>
      </c>
      <c r="E489" s="85" t="s">
        <v>4587</v>
      </c>
      <c r="F489" s="86">
        <v>2.56</v>
      </c>
      <c r="G489" s="86">
        <v>60</v>
      </c>
      <c r="H489" s="86">
        <v>153.6</v>
      </c>
      <c r="I489" s="86">
        <v>13295.19</v>
      </c>
      <c r="J489" s="85" t="s">
        <v>2965</v>
      </c>
      <c r="K489" s="85" t="s">
        <v>4474</v>
      </c>
      <c r="L489" s="85" t="s">
        <v>4135</v>
      </c>
      <c r="M489" s="85" t="s">
        <v>4588</v>
      </c>
    </row>
    <row r="490" ht="213.75" spans="1:13">
      <c r="A490" s="85" t="s">
        <v>4506</v>
      </c>
      <c r="B490" s="85" t="s">
        <v>4589</v>
      </c>
      <c r="C490" s="85" t="s">
        <v>4590</v>
      </c>
      <c r="D490" s="85" t="s">
        <v>4195</v>
      </c>
      <c r="E490" s="85" t="s">
        <v>4369</v>
      </c>
      <c r="F490" s="86">
        <v>460</v>
      </c>
      <c r="G490" s="86">
        <v>1</v>
      </c>
      <c r="H490" s="86">
        <v>460</v>
      </c>
      <c r="I490" s="86">
        <v>7373</v>
      </c>
      <c r="J490" s="85" t="s">
        <v>4370</v>
      </c>
      <c r="K490" s="85" t="s">
        <v>4474</v>
      </c>
      <c r="L490" s="85" t="s">
        <v>4135</v>
      </c>
      <c r="M490" s="85" t="s">
        <v>4591</v>
      </c>
    </row>
    <row r="491" ht="213.75" spans="1:13">
      <c r="A491" s="85" t="s">
        <v>4592</v>
      </c>
      <c r="B491" s="85" t="s">
        <v>3588</v>
      </c>
      <c r="C491" s="85" t="s">
        <v>3589</v>
      </c>
      <c r="D491" s="85" t="s">
        <v>3074</v>
      </c>
      <c r="E491" s="85" t="s">
        <v>1969</v>
      </c>
      <c r="F491" s="86">
        <v>388</v>
      </c>
      <c r="G491" s="86">
        <v>10</v>
      </c>
      <c r="H491" s="86">
        <v>3880</v>
      </c>
      <c r="I491" s="86">
        <v>3880</v>
      </c>
      <c r="J491" s="85" t="s">
        <v>3075</v>
      </c>
      <c r="K491" s="85" t="s">
        <v>4474</v>
      </c>
      <c r="L491" s="85" t="s">
        <v>4135</v>
      </c>
      <c r="M491" s="85" t="s">
        <v>4593</v>
      </c>
    </row>
    <row r="492" ht="213.75" spans="1:13">
      <c r="A492" s="85" t="s">
        <v>4470</v>
      </c>
      <c r="B492" s="85" t="s">
        <v>4594</v>
      </c>
      <c r="C492" s="85" t="s">
        <v>4595</v>
      </c>
      <c r="D492" s="85" t="s">
        <v>4596</v>
      </c>
      <c r="E492" s="85" t="s">
        <v>4597</v>
      </c>
      <c r="F492" s="86">
        <v>32</v>
      </c>
      <c r="G492" s="86">
        <v>15</v>
      </c>
      <c r="H492" s="86">
        <v>480</v>
      </c>
      <c r="I492" s="86">
        <v>5905.4</v>
      </c>
      <c r="J492" s="85" t="s">
        <v>2958</v>
      </c>
      <c r="K492" s="85" t="s">
        <v>4474</v>
      </c>
      <c r="L492" s="85" t="s">
        <v>4135</v>
      </c>
      <c r="M492" s="85" t="s">
        <v>4598</v>
      </c>
    </row>
    <row r="493" ht="213.75" spans="1:13">
      <c r="A493" s="85" t="s">
        <v>4580</v>
      </c>
      <c r="B493" s="85" t="s">
        <v>4599</v>
      </c>
      <c r="C493" s="85" t="s">
        <v>4600</v>
      </c>
      <c r="D493" s="85" t="s">
        <v>4601</v>
      </c>
      <c r="E493" s="85" t="s">
        <v>4602</v>
      </c>
      <c r="F493" s="86">
        <v>9</v>
      </c>
      <c r="G493" s="86">
        <v>10</v>
      </c>
      <c r="H493" s="86">
        <v>90</v>
      </c>
      <c r="I493" s="86">
        <v>215</v>
      </c>
      <c r="J493" s="85" t="s">
        <v>3031</v>
      </c>
      <c r="K493" s="85" t="s">
        <v>4474</v>
      </c>
      <c r="L493" s="85" t="s">
        <v>4135</v>
      </c>
      <c r="M493" s="85" t="s">
        <v>4603</v>
      </c>
    </row>
    <row r="494" ht="213.75" spans="1:13">
      <c r="A494" s="85" t="s">
        <v>4476</v>
      </c>
      <c r="B494" s="85" t="s">
        <v>3674</v>
      </c>
      <c r="C494" s="85" t="s">
        <v>3675</v>
      </c>
      <c r="D494" s="85" t="s">
        <v>3288</v>
      </c>
      <c r="E494" s="85" t="s">
        <v>3675</v>
      </c>
      <c r="F494" s="86">
        <v>23.94</v>
      </c>
      <c r="G494" s="86">
        <v>5</v>
      </c>
      <c r="H494" s="86">
        <v>119.7</v>
      </c>
      <c r="I494" s="86">
        <v>13295.19</v>
      </c>
      <c r="J494" s="85" t="s">
        <v>2965</v>
      </c>
      <c r="K494" s="85" t="s">
        <v>4474</v>
      </c>
      <c r="L494" s="85" t="s">
        <v>4135</v>
      </c>
      <c r="M494" s="85" t="s">
        <v>4604</v>
      </c>
    </row>
    <row r="495" ht="213.75" spans="1:13">
      <c r="A495" s="85" t="s">
        <v>4605</v>
      </c>
      <c r="B495" s="85" t="s">
        <v>3745</v>
      </c>
      <c r="C495" s="85" t="s">
        <v>3746</v>
      </c>
      <c r="D495" s="85" t="s">
        <v>3747</v>
      </c>
      <c r="E495" s="85" t="s">
        <v>1827</v>
      </c>
      <c r="F495" s="86">
        <v>132.67</v>
      </c>
      <c r="G495" s="86">
        <v>150</v>
      </c>
      <c r="H495" s="86">
        <v>19900.5</v>
      </c>
      <c r="I495" s="86">
        <v>19900.5</v>
      </c>
      <c r="J495" s="85" t="s">
        <v>2932</v>
      </c>
      <c r="K495" s="85" t="s">
        <v>4606</v>
      </c>
      <c r="L495" s="85" t="s">
        <v>4135</v>
      </c>
      <c r="M495" s="85" t="s">
        <v>4607</v>
      </c>
    </row>
    <row r="496" ht="213.75" spans="1:13">
      <c r="A496" s="85" t="s">
        <v>4608</v>
      </c>
      <c r="B496" s="85" t="s">
        <v>4609</v>
      </c>
      <c r="C496" s="85" t="s">
        <v>4610</v>
      </c>
      <c r="D496" s="85" t="s">
        <v>3548</v>
      </c>
      <c r="E496" s="85" t="s">
        <v>1835</v>
      </c>
      <c r="F496" s="86">
        <v>365</v>
      </c>
      <c r="G496" s="86">
        <v>2</v>
      </c>
      <c r="H496" s="86">
        <v>730</v>
      </c>
      <c r="I496" s="86">
        <v>22490</v>
      </c>
      <c r="J496" s="85" t="s">
        <v>2938</v>
      </c>
      <c r="K496" s="85" t="s">
        <v>4611</v>
      </c>
      <c r="L496" s="85" t="s">
        <v>4135</v>
      </c>
      <c r="M496" s="85" t="s">
        <v>4612</v>
      </c>
    </row>
    <row r="497" ht="213.75" spans="1:13">
      <c r="A497" s="85" t="s">
        <v>4608</v>
      </c>
      <c r="B497" s="85" t="s">
        <v>3541</v>
      </c>
      <c r="C497" s="85" t="s">
        <v>3542</v>
      </c>
      <c r="D497" s="85" t="s">
        <v>3543</v>
      </c>
      <c r="E497" s="85" t="s">
        <v>3544</v>
      </c>
      <c r="F497" s="86">
        <v>128</v>
      </c>
      <c r="G497" s="86">
        <v>170</v>
      </c>
      <c r="H497" s="86">
        <v>21760</v>
      </c>
      <c r="I497" s="86">
        <v>22490</v>
      </c>
      <c r="J497" s="85" t="s">
        <v>2938</v>
      </c>
      <c r="K497" s="85" t="s">
        <v>4611</v>
      </c>
      <c r="L497" s="85" t="s">
        <v>4135</v>
      </c>
      <c r="M497" s="85" t="s">
        <v>4613</v>
      </c>
    </row>
    <row r="498" ht="213.75" spans="1:13">
      <c r="A498" s="85" t="s">
        <v>4614</v>
      </c>
      <c r="B498" s="85" t="s">
        <v>4615</v>
      </c>
      <c r="C498" s="85" t="s">
        <v>4616</v>
      </c>
      <c r="D498" s="85" t="s">
        <v>4617</v>
      </c>
      <c r="E498" s="85" t="s">
        <v>4618</v>
      </c>
      <c r="F498" s="86">
        <v>600</v>
      </c>
      <c r="G498" s="86">
        <v>25</v>
      </c>
      <c r="H498" s="86">
        <v>15000</v>
      </c>
      <c r="I498" s="86">
        <v>35460</v>
      </c>
      <c r="J498" s="85" t="s">
        <v>4619</v>
      </c>
      <c r="K498" s="85" t="s">
        <v>4620</v>
      </c>
      <c r="L498" s="85" t="s">
        <v>4135</v>
      </c>
      <c r="M498" s="85" t="s">
        <v>4621</v>
      </c>
    </row>
    <row r="499" ht="213.75" spans="1:13">
      <c r="A499" s="85" t="s">
        <v>4614</v>
      </c>
      <c r="B499" s="85" t="s">
        <v>4622</v>
      </c>
      <c r="C499" s="85" t="s">
        <v>4623</v>
      </c>
      <c r="D499" s="85" t="s">
        <v>4617</v>
      </c>
      <c r="E499" s="85" t="s">
        <v>4618</v>
      </c>
      <c r="F499" s="86">
        <v>580</v>
      </c>
      <c r="G499" s="86">
        <v>22</v>
      </c>
      <c r="H499" s="86">
        <v>12760</v>
      </c>
      <c r="I499" s="86">
        <v>35460</v>
      </c>
      <c r="J499" s="85" t="s">
        <v>4619</v>
      </c>
      <c r="K499" s="85" t="s">
        <v>4620</v>
      </c>
      <c r="L499" s="85" t="s">
        <v>4135</v>
      </c>
      <c r="M499" s="85" t="s">
        <v>4624</v>
      </c>
    </row>
    <row r="500" ht="213.75" spans="1:13">
      <c r="A500" s="85" t="s">
        <v>4614</v>
      </c>
      <c r="B500" s="85" t="s">
        <v>4625</v>
      </c>
      <c r="C500" s="85" t="s">
        <v>4626</v>
      </c>
      <c r="D500" s="85" t="s">
        <v>4617</v>
      </c>
      <c r="E500" s="85" t="s">
        <v>4618</v>
      </c>
      <c r="F500" s="86">
        <v>550</v>
      </c>
      <c r="G500" s="86">
        <v>14</v>
      </c>
      <c r="H500" s="86">
        <v>7700</v>
      </c>
      <c r="I500" s="86">
        <v>35460</v>
      </c>
      <c r="J500" s="85" t="s">
        <v>4619</v>
      </c>
      <c r="K500" s="85" t="s">
        <v>4620</v>
      </c>
      <c r="L500" s="85" t="s">
        <v>4135</v>
      </c>
      <c r="M500" s="85" t="s">
        <v>4627</v>
      </c>
    </row>
    <row r="501" ht="213.75" spans="1:13">
      <c r="A501" s="85" t="s">
        <v>4628</v>
      </c>
      <c r="B501" s="85" t="s">
        <v>3772</v>
      </c>
      <c r="C501" s="85" t="s">
        <v>3773</v>
      </c>
      <c r="D501" s="85" t="s">
        <v>3189</v>
      </c>
      <c r="E501" s="85" t="s">
        <v>3774</v>
      </c>
      <c r="F501" s="86">
        <v>27</v>
      </c>
      <c r="G501" s="86">
        <v>350</v>
      </c>
      <c r="H501" s="86">
        <v>9450</v>
      </c>
      <c r="I501" s="86">
        <v>9450</v>
      </c>
      <c r="J501" s="85" t="s">
        <v>3314</v>
      </c>
      <c r="K501" s="85" t="s">
        <v>4629</v>
      </c>
      <c r="L501" s="85" t="s">
        <v>4135</v>
      </c>
      <c r="M501" s="85" t="s">
        <v>4630</v>
      </c>
    </row>
    <row r="502" ht="213.75" spans="1:13">
      <c r="A502" s="85" t="s">
        <v>4631</v>
      </c>
      <c r="B502" s="85" t="s">
        <v>3788</v>
      </c>
      <c r="C502" s="85" t="s">
        <v>3789</v>
      </c>
      <c r="D502" s="85" t="s">
        <v>3189</v>
      </c>
      <c r="E502" s="85" t="s">
        <v>3790</v>
      </c>
      <c r="F502" s="86">
        <v>100</v>
      </c>
      <c r="G502" s="86">
        <v>3</v>
      </c>
      <c r="H502" s="86">
        <v>300</v>
      </c>
      <c r="I502" s="86">
        <v>300</v>
      </c>
      <c r="J502" s="85" t="s">
        <v>3304</v>
      </c>
      <c r="K502" s="85" t="s">
        <v>4632</v>
      </c>
      <c r="L502" s="85" t="s">
        <v>4135</v>
      </c>
      <c r="M502" s="85" t="s">
        <v>4633</v>
      </c>
    </row>
    <row r="503" ht="213.75" spans="1:13">
      <c r="A503" s="85" t="s">
        <v>4634</v>
      </c>
      <c r="B503" s="85" t="s">
        <v>4635</v>
      </c>
      <c r="C503" s="85" t="s">
        <v>4636</v>
      </c>
      <c r="D503" s="85" t="s">
        <v>4637</v>
      </c>
      <c r="E503" s="85" t="s">
        <v>4638</v>
      </c>
      <c r="F503" s="86">
        <v>585</v>
      </c>
      <c r="G503" s="86">
        <v>62</v>
      </c>
      <c r="H503" s="86">
        <v>36270</v>
      </c>
      <c r="I503" s="86">
        <v>218994</v>
      </c>
      <c r="J503" s="85" t="s">
        <v>4639</v>
      </c>
      <c r="K503" s="85" t="s">
        <v>4640</v>
      </c>
      <c r="L503" s="85" t="s">
        <v>4135</v>
      </c>
      <c r="M503" s="85" t="s">
        <v>4641</v>
      </c>
    </row>
    <row r="504" ht="213.75" spans="1:13">
      <c r="A504" s="85" t="s">
        <v>4634</v>
      </c>
      <c r="B504" s="85" t="s">
        <v>4642</v>
      </c>
      <c r="C504" s="85" t="s">
        <v>4643</v>
      </c>
      <c r="D504" s="85" t="s">
        <v>4617</v>
      </c>
      <c r="E504" s="85" t="s">
        <v>4618</v>
      </c>
      <c r="F504" s="86">
        <v>798</v>
      </c>
      <c r="G504" s="86">
        <v>58</v>
      </c>
      <c r="H504" s="86">
        <v>46284</v>
      </c>
      <c r="I504" s="86">
        <v>218994</v>
      </c>
      <c r="J504" s="85" t="s">
        <v>4639</v>
      </c>
      <c r="K504" s="85" t="s">
        <v>4640</v>
      </c>
      <c r="L504" s="85" t="s">
        <v>4135</v>
      </c>
      <c r="M504" s="85" t="s">
        <v>4644</v>
      </c>
    </row>
    <row r="505" ht="213.75" spans="1:13">
      <c r="A505" s="85" t="s">
        <v>4634</v>
      </c>
      <c r="B505" s="85" t="s">
        <v>4645</v>
      </c>
      <c r="C505" s="85" t="s">
        <v>4646</v>
      </c>
      <c r="D505" s="85" t="s">
        <v>4647</v>
      </c>
      <c r="E505" s="85" t="s">
        <v>4648</v>
      </c>
      <c r="F505" s="86">
        <v>230</v>
      </c>
      <c r="G505" s="86">
        <v>60</v>
      </c>
      <c r="H505" s="86">
        <v>13800</v>
      </c>
      <c r="I505" s="86">
        <v>218994</v>
      </c>
      <c r="J505" s="85" t="s">
        <v>4639</v>
      </c>
      <c r="K505" s="85" t="s">
        <v>4640</v>
      </c>
      <c r="L505" s="85" t="s">
        <v>4135</v>
      </c>
      <c r="M505" s="85" t="s">
        <v>4649</v>
      </c>
    </row>
    <row r="506" ht="213.75" spans="1:13">
      <c r="A506" s="85" t="s">
        <v>4634</v>
      </c>
      <c r="B506" s="85" t="s">
        <v>4645</v>
      </c>
      <c r="C506" s="85" t="s">
        <v>4646</v>
      </c>
      <c r="D506" s="85" t="s">
        <v>4647</v>
      </c>
      <c r="E506" s="85" t="s">
        <v>4648</v>
      </c>
      <c r="F506" s="86">
        <v>365</v>
      </c>
      <c r="G506" s="86">
        <v>60</v>
      </c>
      <c r="H506" s="86">
        <v>21900</v>
      </c>
      <c r="I506" s="86">
        <v>218994</v>
      </c>
      <c r="J506" s="85" t="s">
        <v>4639</v>
      </c>
      <c r="K506" s="85" t="s">
        <v>4640</v>
      </c>
      <c r="L506" s="85" t="s">
        <v>4135</v>
      </c>
      <c r="M506" s="85" t="s">
        <v>4650</v>
      </c>
    </row>
    <row r="507" ht="213.75" spans="1:13">
      <c r="A507" s="85" t="s">
        <v>4634</v>
      </c>
      <c r="B507" s="85" t="s">
        <v>4651</v>
      </c>
      <c r="C507" s="85" t="s">
        <v>4652</v>
      </c>
      <c r="D507" s="85" t="s">
        <v>4617</v>
      </c>
      <c r="E507" s="85" t="s">
        <v>4618</v>
      </c>
      <c r="F507" s="86">
        <v>460</v>
      </c>
      <c r="G507" s="86">
        <v>219</v>
      </c>
      <c r="H507" s="86">
        <v>100740</v>
      </c>
      <c r="I507" s="86">
        <v>218994</v>
      </c>
      <c r="J507" s="85" t="s">
        <v>4639</v>
      </c>
      <c r="K507" s="85" t="s">
        <v>4640</v>
      </c>
      <c r="L507" s="85" t="s">
        <v>4135</v>
      </c>
      <c r="M507" s="85" t="s">
        <v>4653</v>
      </c>
    </row>
    <row r="508" ht="213.75" spans="1:13">
      <c r="A508" s="85" t="s">
        <v>4654</v>
      </c>
      <c r="B508" s="85" t="s">
        <v>4655</v>
      </c>
      <c r="C508" s="85" t="s">
        <v>4656</v>
      </c>
      <c r="D508" s="85" t="s">
        <v>4657</v>
      </c>
      <c r="E508" s="85" t="s">
        <v>4656</v>
      </c>
      <c r="F508" s="86">
        <v>19780</v>
      </c>
      <c r="G508" s="86">
        <v>1</v>
      </c>
      <c r="H508" s="86">
        <v>19780</v>
      </c>
      <c r="I508" s="86">
        <v>19780</v>
      </c>
      <c r="J508" s="85" t="s">
        <v>4658</v>
      </c>
      <c r="K508" s="85" t="s">
        <v>4659</v>
      </c>
      <c r="L508" s="85" t="s">
        <v>4135</v>
      </c>
      <c r="M508" s="85" t="s">
        <v>4660</v>
      </c>
    </row>
    <row r="509" ht="213.75" spans="1:13">
      <c r="A509" s="85" t="s">
        <v>4661</v>
      </c>
      <c r="B509" s="85" t="s">
        <v>4354</v>
      </c>
      <c r="C509" s="85" t="s">
        <v>4355</v>
      </c>
      <c r="D509" s="85" t="s">
        <v>3753</v>
      </c>
      <c r="E509" s="85" t="s">
        <v>3754</v>
      </c>
      <c r="F509" s="86">
        <v>250</v>
      </c>
      <c r="G509" s="86">
        <v>1</v>
      </c>
      <c r="H509" s="86">
        <v>250</v>
      </c>
      <c r="I509" s="86">
        <v>3500</v>
      </c>
      <c r="J509" s="85" t="s">
        <v>3112</v>
      </c>
      <c r="K509" s="85" t="s">
        <v>4662</v>
      </c>
      <c r="L509" s="85" t="s">
        <v>4135</v>
      </c>
      <c r="M509" s="85" t="s">
        <v>4663</v>
      </c>
    </row>
    <row r="510" ht="213.75" spans="1:13">
      <c r="A510" s="85" t="s">
        <v>4661</v>
      </c>
      <c r="B510" s="85" t="s">
        <v>4664</v>
      </c>
      <c r="C510" s="85" t="s">
        <v>4665</v>
      </c>
      <c r="D510" s="85" t="s">
        <v>3753</v>
      </c>
      <c r="E510" s="85" t="s">
        <v>3754</v>
      </c>
      <c r="F510" s="86">
        <v>800</v>
      </c>
      <c r="G510" s="86">
        <v>1</v>
      </c>
      <c r="H510" s="86">
        <v>800</v>
      </c>
      <c r="I510" s="86">
        <v>3500</v>
      </c>
      <c r="J510" s="85" t="s">
        <v>3112</v>
      </c>
      <c r="K510" s="85" t="s">
        <v>4662</v>
      </c>
      <c r="L510" s="85" t="s">
        <v>4135</v>
      </c>
      <c r="M510" s="85" t="s">
        <v>4666</v>
      </c>
    </row>
    <row r="511" ht="213.75" spans="1:13">
      <c r="A511" s="85" t="s">
        <v>4661</v>
      </c>
      <c r="B511" s="85" t="s">
        <v>4667</v>
      </c>
      <c r="C511" s="85" t="s">
        <v>4668</v>
      </c>
      <c r="D511" s="85" t="s">
        <v>3753</v>
      </c>
      <c r="E511" s="85" t="s">
        <v>3754</v>
      </c>
      <c r="F511" s="86">
        <v>200</v>
      </c>
      <c r="G511" s="86">
        <v>1</v>
      </c>
      <c r="H511" s="86">
        <v>200</v>
      </c>
      <c r="I511" s="86">
        <v>3500</v>
      </c>
      <c r="J511" s="85" t="s">
        <v>3112</v>
      </c>
      <c r="K511" s="85" t="s">
        <v>4662</v>
      </c>
      <c r="L511" s="85" t="s">
        <v>4135</v>
      </c>
      <c r="M511" s="85" t="s">
        <v>4669</v>
      </c>
    </row>
    <row r="512" ht="213.75" spans="1:13">
      <c r="A512" s="85" t="s">
        <v>4661</v>
      </c>
      <c r="B512" s="85" t="s">
        <v>3751</v>
      </c>
      <c r="C512" s="85" t="s">
        <v>3752</v>
      </c>
      <c r="D512" s="85" t="s">
        <v>3753</v>
      </c>
      <c r="E512" s="85" t="s">
        <v>3754</v>
      </c>
      <c r="F512" s="86">
        <v>300</v>
      </c>
      <c r="G512" s="86">
        <v>1</v>
      </c>
      <c r="H512" s="86">
        <v>300</v>
      </c>
      <c r="I512" s="86">
        <v>3500</v>
      </c>
      <c r="J512" s="85" t="s">
        <v>3112</v>
      </c>
      <c r="K512" s="85" t="s">
        <v>4662</v>
      </c>
      <c r="L512" s="85" t="s">
        <v>4135</v>
      </c>
      <c r="M512" s="85" t="s">
        <v>4670</v>
      </c>
    </row>
    <row r="513" ht="213.75" spans="1:13">
      <c r="A513" s="85" t="s">
        <v>4661</v>
      </c>
      <c r="B513" s="85" t="s">
        <v>4671</v>
      </c>
      <c r="C513" s="85" t="s">
        <v>4672</v>
      </c>
      <c r="D513" s="85" t="s">
        <v>3753</v>
      </c>
      <c r="E513" s="85" t="s">
        <v>3754</v>
      </c>
      <c r="F513" s="86">
        <v>900</v>
      </c>
      <c r="G513" s="86">
        <v>2</v>
      </c>
      <c r="H513" s="86">
        <v>1800</v>
      </c>
      <c r="I513" s="86">
        <v>3500</v>
      </c>
      <c r="J513" s="85" t="s">
        <v>3112</v>
      </c>
      <c r="K513" s="85" t="s">
        <v>4662</v>
      </c>
      <c r="L513" s="85" t="s">
        <v>4135</v>
      </c>
      <c r="M513" s="85" t="s">
        <v>4673</v>
      </c>
    </row>
    <row r="514" ht="213.75" spans="1:13">
      <c r="A514" s="85" t="s">
        <v>4661</v>
      </c>
      <c r="B514" s="85" t="s">
        <v>3757</v>
      </c>
      <c r="C514" s="85" t="s">
        <v>3758</v>
      </c>
      <c r="D514" s="85" t="s">
        <v>3753</v>
      </c>
      <c r="E514" s="85" t="s">
        <v>3754</v>
      </c>
      <c r="F514" s="86">
        <v>150</v>
      </c>
      <c r="G514" s="86">
        <v>1</v>
      </c>
      <c r="H514" s="86">
        <v>150</v>
      </c>
      <c r="I514" s="86">
        <v>3500</v>
      </c>
      <c r="J514" s="85" t="s">
        <v>3112</v>
      </c>
      <c r="K514" s="85" t="s">
        <v>4662</v>
      </c>
      <c r="L514" s="85" t="s">
        <v>4135</v>
      </c>
      <c r="M514" s="85" t="s">
        <v>4674</v>
      </c>
    </row>
    <row r="515" ht="213.75" spans="1:13">
      <c r="A515" s="85" t="s">
        <v>4675</v>
      </c>
      <c r="B515" s="85" t="s">
        <v>2901</v>
      </c>
      <c r="C515" s="85" t="s">
        <v>2902</v>
      </c>
      <c r="D515" s="85" t="s">
        <v>2903</v>
      </c>
      <c r="E515" s="85" t="s">
        <v>2902</v>
      </c>
      <c r="F515" s="86">
        <v>20835</v>
      </c>
      <c r="G515" s="86">
        <v>1</v>
      </c>
      <c r="H515" s="86">
        <v>20835</v>
      </c>
      <c r="I515" s="86">
        <v>20835</v>
      </c>
      <c r="J515" s="85" t="s">
        <v>3307</v>
      </c>
      <c r="K515" s="85" t="s">
        <v>4676</v>
      </c>
      <c r="L515" s="85" t="s">
        <v>4135</v>
      </c>
      <c r="M515" s="85" t="s">
        <v>4677</v>
      </c>
    </row>
    <row r="516" ht="213.75" spans="1:13">
      <c r="A516" s="85" t="s">
        <v>4678</v>
      </c>
      <c r="B516" s="85" t="s">
        <v>4679</v>
      </c>
      <c r="C516" s="85" t="s">
        <v>4680</v>
      </c>
      <c r="D516" s="85" t="s">
        <v>3189</v>
      </c>
      <c r="E516" s="85" t="s">
        <v>4681</v>
      </c>
      <c r="F516" s="86">
        <v>19</v>
      </c>
      <c r="G516" s="86">
        <v>26</v>
      </c>
      <c r="H516" s="86">
        <v>494</v>
      </c>
      <c r="I516" s="86">
        <v>2452.5</v>
      </c>
      <c r="J516" s="85" t="s">
        <v>2935</v>
      </c>
      <c r="K516" s="85" t="s">
        <v>4682</v>
      </c>
      <c r="L516" s="85" t="s">
        <v>4135</v>
      </c>
      <c r="M516" s="85" t="s">
        <v>4683</v>
      </c>
    </row>
    <row r="517" ht="213.75" spans="1:13">
      <c r="A517" s="85" t="s">
        <v>4678</v>
      </c>
      <c r="B517" s="85" t="s">
        <v>3942</v>
      </c>
      <c r="C517" s="85" t="s">
        <v>3943</v>
      </c>
      <c r="D517" s="85" t="s">
        <v>3944</v>
      </c>
      <c r="E517" s="85" t="s">
        <v>3943</v>
      </c>
      <c r="F517" s="86">
        <v>54.9</v>
      </c>
      <c r="G517" s="86">
        <v>5</v>
      </c>
      <c r="H517" s="86">
        <v>274.5</v>
      </c>
      <c r="I517" s="86">
        <v>2452.5</v>
      </c>
      <c r="J517" s="85" t="s">
        <v>2935</v>
      </c>
      <c r="K517" s="85" t="s">
        <v>4682</v>
      </c>
      <c r="L517" s="85" t="s">
        <v>4135</v>
      </c>
      <c r="M517" s="85" t="s">
        <v>4684</v>
      </c>
    </row>
    <row r="518" ht="213.75" spans="1:13">
      <c r="A518" s="85" t="s">
        <v>4678</v>
      </c>
      <c r="B518" s="85" t="s">
        <v>4300</v>
      </c>
      <c r="C518" s="85" t="s">
        <v>4301</v>
      </c>
      <c r="D518" s="85" t="s">
        <v>3398</v>
      </c>
      <c r="E518" s="85" t="s">
        <v>4301</v>
      </c>
      <c r="F518" s="86">
        <v>410</v>
      </c>
      <c r="G518" s="86">
        <v>2</v>
      </c>
      <c r="H518" s="86">
        <v>820</v>
      </c>
      <c r="I518" s="86">
        <v>2452.5</v>
      </c>
      <c r="J518" s="85" t="s">
        <v>2935</v>
      </c>
      <c r="K518" s="85" t="s">
        <v>4682</v>
      </c>
      <c r="L518" s="85" t="s">
        <v>4135</v>
      </c>
      <c r="M518" s="85" t="s">
        <v>4685</v>
      </c>
    </row>
    <row r="519" ht="213.75" spans="1:13">
      <c r="A519" s="85" t="s">
        <v>4678</v>
      </c>
      <c r="B519" s="85" t="s">
        <v>4290</v>
      </c>
      <c r="C519" s="85" t="s">
        <v>4291</v>
      </c>
      <c r="D519" s="85" t="s">
        <v>3189</v>
      </c>
      <c r="E519" s="85" t="s">
        <v>4292</v>
      </c>
      <c r="F519" s="86">
        <v>10.8</v>
      </c>
      <c r="G519" s="86">
        <v>80</v>
      </c>
      <c r="H519" s="86">
        <v>864</v>
      </c>
      <c r="I519" s="86">
        <v>2452.5</v>
      </c>
      <c r="J519" s="85" t="s">
        <v>2935</v>
      </c>
      <c r="K519" s="85" t="s">
        <v>4682</v>
      </c>
      <c r="L519" s="85" t="s">
        <v>4135</v>
      </c>
      <c r="M519" s="85" t="s">
        <v>4686</v>
      </c>
    </row>
    <row r="520" ht="213.75" spans="1:13">
      <c r="A520" s="85" t="s">
        <v>4687</v>
      </c>
      <c r="B520" s="85" t="s">
        <v>3931</v>
      </c>
      <c r="C520" s="85" t="s">
        <v>3932</v>
      </c>
      <c r="D520" s="85" t="s">
        <v>3189</v>
      </c>
      <c r="E520" s="85" t="s">
        <v>3933</v>
      </c>
      <c r="F520" s="86">
        <v>25.8</v>
      </c>
      <c r="G520" s="86">
        <v>6</v>
      </c>
      <c r="H520" s="86">
        <v>154.8</v>
      </c>
      <c r="I520" s="86">
        <v>9910.85</v>
      </c>
      <c r="J520" s="85" t="s">
        <v>4391</v>
      </c>
      <c r="K520" s="85" t="s">
        <v>4688</v>
      </c>
      <c r="L520" s="85" t="s">
        <v>4135</v>
      </c>
      <c r="M520" s="85" t="s">
        <v>4689</v>
      </c>
    </row>
    <row r="521" ht="213.75" spans="1:13">
      <c r="A521" s="85" t="s">
        <v>4687</v>
      </c>
      <c r="B521" s="85" t="s">
        <v>4690</v>
      </c>
      <c r="C521" s="85" t="s">
        <v>4691</v>
      </c>
      <c r="D521" s="85" t="s">
        <v>4692</v>
      </c>
      <c r="E521" s="85" t="s">
        <v>4693</v>
      </c>
      <c r="F521" s="86">
        <v>101.42</v>
      </c>
      <c r="G521" s="86">
        <v>75</v>
      </c>
      <c r="H521" s="86">
        <v>7606.5</v>
      </c>
      <c r="I521" s="86">
        <v>9910.85</v>
      </c>
      <c r="J521" s="85" t="s">
        <v>4391</v>
      </c>
      <c r="K521" s="85" t="s">
        <v>4688</v>
      </c>
      <c r="L521" s="85" t="s">
        <v>4135</v>
      </c>
      <c r="M521" s="85" t="s">
        <v>4694</v>
      </c>
    </row>
    <row r="522" ht="213.75" spans="1:13">
      <c r="A522" s="85" t="s">
        <v>4687</v>
      </c>
      <c r="B522" s="85" t="s">
        <v>3915</v>
      </c>
      <c r="C522" s="85" t="s">
        <v>3916</v>
      </c>
      <c r="D522" s="85" t="s">
        <v>3068</v>
      </c>
      <c r="E522" s="85" t="s">
        <v>3069</v>
      </c>
      <c r="F522" s="86">
        <v>247.51</v>
      </c>
      <c r="G522" s="86">
        <v>5</v>
      </c>
      <c r="H522" s="86">
        <v>1237.55</v>
      </c>
      <c r="I522" s="86">
        <v>9910.85</v>
      </c>
      <c r="J522" s="85" t="s">
        <v>4391</v>
      </c>
      <c r="K522" s="85" t="s">
        <v>4688</v>
      </c>
      <c r="L522" s="85" t="s">
        <v>4135</v>
      </c>
      <c r="M522" s="85" t="s">
        <v>4695</v>
      </c>
    </row>
    <row r="523" ht="242.25" spans="1:13">
      <c r="A523" s="85" t="s">
        <v>4687</v>
      </c>
      <c r="B523" s="85" t="s">
        <v>4696</v>
      </c>
      <c r="C523" s="85" t="s">
        <v>4697</v>
      </c>
      <c r="D523" s="85" t="s">
        <v>3153</v>
      </c>
      <c r="E523" s="85" t="s">
        <v>4697</v>
      </c>
      <c r="F523" s="86">
        <v>45.6</v>
      </c>
      <c r="G523" s="86">
        <v>20</v>
      </c>
      <c r="H523" s="86">
        <v>912</v>
      </c>
      <c r="I523" s="86">
        <v>9910.85</v>
      </c>
      <c r="J523" s="85" t="s">
        <v>4391</v>
      </c>
      <c r="K523" s="85" t="s">
        <v>4688</v>
      </c>
      <c r="L523" s="85" t="s">
        <v>4135</v>
      </c>
      <c r="M523" s="85" t="s">
        <v>4698</v>
      </c>
    </row>
    <row r="524" ht="213.75" spans="1:13">
      <c r="A524" s="85" t="s">
        <v>4699</v>
      </c>
      <c r="B524" s="85" t="s">
        <v>3765</v>
      </c>
      <c r="C524" s="85" t="s">
        <v>3766</v>
      </c>
      <c r="D524" s="85" t="s">
        <v>3753</v>
      </c>
      <c r="E524" s="85" t="s">
        <v>3763</v>
      </c>
      <c r="F524" s="86">
        <v>500</v>
      </c>
      <c r="G524" s="86">
        <v>1</v>
      </c>
      <c r="H524" s="86">
        <v>500</v>
      </c>
      <c r="I524" s="86">
        <v>1525.93</v>
      </c>
      <c r="J524" s="85" t="s">
        <v>3112</v>
      </c>
      <c r="K524" s="85" t="s">
        <v>4700</v>
      </c>
      <c r="L524" s="85" t="s">
        <v>4135</v>
      </c>
      <c r="M524" s="85" t="s">
        <v>4701</v>
      </c>
    </row>
    <row r="525" ht="213.75" spans="1:13">
      <c r="A525" s="85" t="s">
        <v>4699</v>
      </c>
      <c r="B525" s="85" t="s">
        <v>3757</v>
      </c>
      <c r="C525" s="85" t="s">
        <v>3758</v>
      </c>
      <c r="D525" s="85" t="s">
        <v>3753</v>
      </c>
      <c r="E525" s="85" t="s">
        <v>3754</v>
      </c>
      <c r="F525" s="86">
        <v>183.57</v>
      </c>
      <c r="G525" s="86">
        <v>1</v>
      </c>
      <c r="H525" s="86">
        <v>183.57</v>
      </c>
      <c r="I525" s="86">
        <v>1525.93</v>
      </c>
      <c r="J525" s="85" t="s">
        <v>3112</v>
      </c>
      <c r="K525" s="85" t="s">
        <v>4700</v>
      </c>
      <c r="L525" s="85" t="s">
        <v>4135</v>
      </c>
      <c r="M525" s="85" t="s">
        <v>4702</v>
      </c>
    </row>
    <row r="526" ht="213.75" spans="1:13">
      <c r="A526" s="85" t="s">
        <v>4699</v>
      </c>
      <c r="B526" s="85" t="s">
        <v>3751</v>
      </c>
      <c r="C526" s="85" t="s">
        <v>3752</v>
      </c>
      <c r="D526" s="85" t="s">
        <v>3753</v>
      </c>
      <c r="E526" s="85" t="s">
        <v>3754</v>
      </c>
      <c r="F526" s="86">
        <v>254.95</v>
      </c>
      <c r="G526" s="86">
        <v>1</v>
      </c>
      <c r="H526" s="86">
        <v>254.95</v>
      </c>
      <c r="I526" s="86">
        <v>1525.93</v>
      </c>
      <c r="J526" s="85" t="s">
        <v>3112</v>
      </c>
      <c r="K526" s="85" t="s">
        <v>4700</v>
      </c>
      <c r="L526" s="85" t="s">
        <v>4135</v>
      </c>
      <c r="M526" s="85" t="s">
        <v>4703</v>
      </c>
    </row>
    <row r="527" ht="213.75" spans="1:13">
      <c r="A527" s="85" t="s">
        <v>4699</v>
      </c>
      <c r="B527" s="85" t="s">
        <v>4704</v>
      </c>
      <c r="C527" s="85" t="s">
        <v>4705</v>
      </c>
      <c r="D527" s="85" t="s">
        <v>3753</v>
      </c>
      <c r="E527" s="85" t="s">
        <v>3763</v>
      </c>
      <c r="F527" s="86">
        <v>97.9</v>
      </c>
      <c r="G527" s="86">
        <v>1</v>
      </c>
      <c r="H527" s="86">
        <v>97.9</v>
      </c>
      <c r="I527" s="86">
        <v>1525.93</v>
      </c>
      <c r="J527" s="85" t="s">
        <v>3112</v>
      </c>
      <c r="K527" s="85" t="s">
        <v>4700</v>
      </c>
      <c r="L527" s="85" t="s">
        <v>4135</v>
      </c>
      <c r="M527" s="85" t="s">
        <v>4706</v>
      </c>
    </row>
    <row r="528" ht="213.75" spans="1:13">
      <c r="A528" s="85" t="s">
        <v>4699</v>
      </c>
      <c r="B528" s="85" t="s">
        <v>4707</v>
      </c>
      <c r="C528" s="85" t="s">
        <v>4708</v>
      </c>
      <c r="D528" s="85" t="s">
        <v>3753</v>
      </c>
      <c r="E528" s="85" t="s">
        <v>3763</v>
      </c>
      <c r="F528" s="86">
        <v>489.51</v>
      </c>
      <c r="G528" s="86">
        <v>1</v>
      </c>
      <c r="H528" s="86">
        <v>489.51</v>
      </c>
      <c r="I528" s="86">
        <v>1525.93</v>
      </c>
      <c r="J528" s="85" t="s">
        <v>3112</v>
      </c>
      <c r="K528" s="85" t="s">
        <v>4700</v>
      </c>
      <c r="L528" s="85" t="s">
        <v>4135</v>
      </c>
      <c r="M528" s="85" t="s">
        <v>4709</v>
      </c>
    </row>
    <row r="529" ht="213.75" spans="1:13">
      <c r="A529" s="85" t="s">
        <v>4710</v>
      </c>
      <c r="B529" s="85" t="s">
        <v>2901</v>
      </c>
      <c r="C529" s="85" t="s">
        <v>2902</v>
      </c>
      <c r="D529" s="85" t="s">
        <v>2903</v>
      </c>
      <c r="E529" s="85" t="s">
        <v>2902</v>
      </c>
      <c r="F529" s="86">
        <v>3610411.05</v>
      </c>
      <c r="G529" s="86">
        <v>1</v>
      </c>
      <c r="H529" s="86">
        <v>3610411.05</v>
      </c>
      <c r="I529" s="86">
        <v>3610411.05</v>
      </c>
      <c r="J529" s="85" t="s">
        <v>4711</v>
      </c>
      <c r="K529" s="85" t="s">
        <v>4712</v>
      </c>
      <c r="L529" s="85" t="s">
        <v>4135</v>
      </c>
      <c r="M529" s="85" t="s">
        <v>4713</v>
      </c>
    </row>
    <row r="530" ht="213.75" spans="1:13">
      <c r="A530" s="85" t="s">
        <v>4714</v>
      </c>
      <c r="B530" s="85" t="s">
        <v>4715</v>
      </c>
      <c r="C530" s="85" t="s">
        <v>4716</v>
      </c>
      <c r="D530" s="85" t="s">
        <v>3928</v>
      </c>
      <c r="E530" s="85" t="s">
        <v>3929</v>
      </c>
      <c r="F530" s="86">
        <v>54</v>
      </c>
      <c r="G530" s="86">
        <v>2</v>
      </c>
      <c r="H530" s="86">
        <v>108</v>
      </c>
      <c r="I530" s="86">
        <v>22280</v>
      </c>
      <c r="J530" s="85" t="s">
        <v>2935</v>
      </c>
      <c r="K530" s="85" t="s">
        <v>4717</v>
      </c>
      <c r="L530" s="85" t="s">
        <v>4135</v>
      </c>
      <c r="M530" s="85" t="s">
        <v>4718</v>
      </c>
    </row>
    <row r="531" ht="213.75" spans="1:13">
      <c r="A531" s="85" t="s">
        <v>4714</v>
      </c>
      <c r="B531" s="85" t="s">
        <v>4719</v>
      </c>
      <c r="C531" s="85" t="s">
        <v>4720</v>
      </c>
      <c r="D531" s="85" t="s">
        <v>3014</v>
      </c>
      <c r="E531" s="85" t="s">
        <v>4720</v>
      </c>
      <c r="F531" s="86">
        <v>110</v>
      </c>
      <c r="G531" s="86">
        <v>5</v>
      </c>
      <c r="H531" s="86">
        <v>550</v>
      </c>
      <c r="I531" s="86">
        <v>22280</v>
      </c>
      <c r="J531" s="85" t="s">
        <v>2935</v>
      </c>
      <c r="K531" s="85" t="s">
        <v>4717</v>
      </c>
      <c r="L531" s="85" t="s">
        <v>4135</v>
      </c>
      <c r="M531" s="85" t="s">
        <v>4721</v>
      </c>
    </row>
    <row r="532" ht="213.75" spans="1:13">
      <c r="A532" s="85" t="s">
        <v>4714</v>
      </c>
      <c r="B532" s="85" t="s">
        <v>4722</v>
      </c>
      <c r="C532" s="85" t="s">
        <v>4723</v>
      </c>
      <c r="D532" s="85" t="s">
        <v>4724</v>
      </c>
      <c r="E532" s="85" t="s">
        <v>4725</v>
      </c>
      <c r="F532" s="86">
        <v>7580</v>
      </c>
      <c r="G532" s="86">
        <v>1</v>
      </c>
      <c r="H532" s="86">
        <v>7580</v>
      </c>
      <c r="I532" s="86">
        <v>22280</v>
      </c>
      <c r="J532" s="85" t="s">
        <v>2935</v>
      </c>
      <c r="K532" s="85" t="s">
        <v>4717</v>
      </c>
      <c r="L532" s="85" t="s">
        <v>4135</v>
      </c>
      <c r="M532" s="85" t="s">
        <v>4726</v>
      </c>
    </row>
    <row r="533" ht="213.75" spans="1:13">
      <c r="A533" s="85" t="s">
        <v>4714</v>
      </c>
      <c r="B533" s="85" t="s">
        <v>4727</v>
      </c>
      <c r="C533" s="85" t="s">
        <v>4728</v>
      </c>
      <c r="D533" s="85" t="s">
        <v>4456</v>
      </c>
      <c r="E533" s="85" t="s">
        <v>4729</v>
      </c>
      <c r="F533" s="86">
        <v>184</v>
      </c>
      <c r="G533" s="86">
        <v>20</v>
      </c>
      <c r="H533" s="86">
        <v>3680</v>
      </c>
      <c r="I533" s="86">
        <v>22280</v>
      </c>
      <c r="J533" s="85" t="s">
        <v>2935</v>
      </c>
      <c r="K533" s="85" t="s">
        <v>4717</v>
      </c>
      <c r="L533" s="85" t="s">
        <v>4135</v>
      </c>
      <c r="M533" s="85" t="s">
        <v>4730</v>
      </c>
    </row>
    <row r="534" ht="213.75" spans="1:13">
      <c r="A534" s="85" t="s">
        <v>4714</v>
      </c>
      <c r="B534" s="85" t="s">
        <v>4731</v>
      </c>
      <c r="C534" s="85" t="s">
        <v>4732</v>
      </c>
      <c r="D534" s="85" t="s">
        <v>3394</v>
      </c>
      <c r="E534" s="85" t="s">
        <v>4732</v>
      </c>
      <c r="F534" s="86">
        <v>350</v>
      </c>
      <c r="G534" s="86">
        <v>10</v>
      </c>
      <c r="H534" s="86">
        <v>3500</v>
      </c>
      <c r="I534" s="86">
        <v>22280</v>
      </c>
      <c r="J534" s="85" t="s">
        <v>2935</v>
      </c>
      <c r="K534" s="85" t="s">
        <v>4717</v>
      </c>
      <c r="L534" s="85" t="s">
        <v>4135</v>
      </c>
      <c r="M534" s="85" t="s">
        <v>4733</v>
      </c>
    </row>
    <row r="535" ht="213.75" spans="1:13">
      <c r="A535" s="85" t="s">
        <v>4714</v>
      </c>
      <c r="B535" s="85" t="s">
        <v>4734</v>
      </c>
      <c r="C535" s="85" t="s">
        <v>4735</v>
      </c>
      <c r="D535" s="85" t="s">
        <v>3729</v>
      </c>
      <c r="E535" s="85" t="s">
        <v>4735</v>
      </c>
      <c r="F535" s="86">
        <v>0.01</v>
      </c>
      <c r="G535" s="86">
        <v>1000</v>
      </c>
      <c r="H535" s="86">
        <v>10</v>
      </c>
      <c r="I535" s="86">
        <v>22280</v>
      </c>
      <c r="J535" s="85" t="s">
        <v>2935</v>
      </c>
      <c r="K535" s="85" t="s">
        <v>4717</v>
      </c>
      <c r="L535" s="85" t="s">
        <v>4135</v>
      </c>
      <c r="M535" s="85" t="s">
        <v>4736</v>
      </c>
    </row>
    <row r="536" ht="213.75" spans="1:13">
      <c r="A536" s="85" t="s">
        <v>4714</v>
      </c>
      <c r="B536" s="85" t="s">
        <v>4737</v>
      </c>
      <c r="C536" s="85" t="s">
        <v>4738</v>
      </c>
      <c r="D536" s="85" t="s">
        <v>4739</v>
      </c>
      <c r="E536" s="85" t="s">
        <v>4738</v>
      </c>
      <c r="F536" s="86">
        <v>850</v>
      </c>
      <c r="G536" s="86">
        <v>1</v>
      </c>
      <c r="H536" s="86">
        <v>850</v>
      </c>
      <c r="I536" s="86">
        <v>22280</v>
      </c>
      <c r="J536" s="85" t="s">
        <v>2935</v>
      </c>
      <c r="K536" s="85" t="s">
        <v>4717</v>
      </c>
      <c r="L536" s="85" t="s">
        <v>4135</v>
      </c>
      <c r="M536" s="85" t="s">
        <v>4740</v>
      </c>
    </row>
    <row r="537" ht="213.75" spans="1:13">
      <c r="A537" s="85" t="s">
        <v>4714</v>
      </c>
      <c r="B537" s="85" t="s">
        <v>4741</v>
      </c>
      <c r="C537" s="85" t="s">
        <v>4742</v>
      </c>
      <c r="D537" s="85" t="s">
        <v>2977</v>
      </c>
      <c r="E537" s="85" t="s">
        <v>4743</v>
      </c>
      <c r="F537" s="86">
        <v>31</v>
      </c>
      <c r="G537" s="86">
        <v>20</v>
      </c>
      <c r="H537" s="86">
        <v>620</v>
      </c>
      <c r="I537" s="86">
        <v>22280</v>
      </c>
      <c r="J537" s="85" t="s">
        <v>2935</v>
      </c>
      <c r="K537" s="85" t="s">
        <v>4717</v>
      </c>
      <c r="L537" s="85" t="s">
        <v>4135</v>
      </c>
      <c r="M537" s="85" t="s">
        <v>4744</v>
      </c>
    </row>
    <row r="538" ht="213.75" spans="1:13">
      <c r="A538" s="85" t="s">
        <v>4714</v>
      </c>
      <c r="B538" s="85" t="s">
        <v>4745</v>
      </c>
      <c r="C538" s="85" t="s">
        <v>4746</v>
      </c>
      <c r="D538" s="85" t="s">
        <v>4747</v>
      </c>
      <c r="E538" s="85" t="s">
        <v>4748</v>
      </c>
      <c r="F538" s="86">
        <v>78</v>
      </c>
      <c r="G538" s="86">
        <v>10</v>
      </c>
      <c r="H538" s="86">
        <v>780</v>
      </c>
      <c r="I538" s="86">
        <v>22280</v>
      </c>
      <c r="J538" s="85" t="s">
        <v>2935</v>
      </c>
      <c r="K538" s="85" t="s">
        <v>4717</v>
      </c>
      <c r="L538" s="85" t="s">
        <v>4135</v>
      </c>
      <c r="M538" s="85" t="s">
        <v>4749</v>
      </c>
    </row>
    <row r="539" ht="213.75" spans="1:13">
      <c r="A539" s="85" t="s">
        <v>4714</v>
      </c>
      <c r="B539" s="85" t="s">
        <v>4750</v>
      </c>
      <c r="C539" s="85" t="s">
        <v>4751</v>
      </c>
      <c r="D539" s="85" t="s">
        <v>4752</v>
      </c>
      <c r="E539" s="85" t="s">
        <v>4753</v>
      </c>
      <c r="F539" s="86">
        <v>48</v>
      </c>
      <c r="G539" s="86">
        <v>30</v>
      </c>
      <c r="H539" s="86">
        <v>1440</v>
      </c>
      <c r="I539" s="86">
        <v>22280</v>
      </c>
      <c r="J539" s="85" t="s">
        <v>2935</v>
      </c>
      <c r="K539" s="85" t="s">
        <v>4717</v>
      </c>
      <c r="L539" s="85" t="s">
        <v>4135</v>
      </c>
      <c r="M539" s="85" t="s">
        <v>4754</v>
      </c>
    </row>
    <row r="540" ht="213.75" spans="1:13">
      <c r="A540" s="85" t="s">
        <v>4714</v>
      </c>
      <c r="B540" s="85" t="s">
        <v>4755</v>
      </c>
      <c r="C540" s="85" t="s">
        <v>4756</v>
      </c>
      <c r="D540" s="85" t="s">
        <v>3061</v>
      </c>
      <c r="E540" s="85" t="s">
        <v>4757</v>
      </c>
      <c r="F540" s="86">
        <v>45</v>
      </c>
      <c r="G540" s="86">
        <v>2</v>
      </c>
      <c r="H540" s="86">
        <v>90</v>
      </c>
      <c r="I540" s="86">
        <v>22280</v>
      </c>
      <c r="J540" s="85" t="s">
        <v>2935</v>
      </c>
      <c r="K540" s="85" t="s">
        <v>4717</v>
      </c>
      <c r="L540" s="85" t="s">
        <v>4135</v>
      </c>
      <c r="M540" s="85" t="s">
        <v>4758</v>
      </c>
    </row>
    <row r="541" ht="213.75" spans="1:13">
      <c r="A541" s="85" t="s">
        <v>4714</v>
      </c>
      <c r="B541" s="85" t="s">
        <v>4759</v>
      </c>
      <c r="C541" s="85" t="s">
        <v>4760</v>
      </c>
      <c r="D541" s="85" t="s">
        <v>2982</v>
      </c>
      <c r="E541" s="85" t="s">
        <v>4761</v>
      </c>
      <c r="F541" s="86">
        <v>10</v>
      </c>
      <c r="G541" s="86">
        <v>60</v>
      </c>
      <c r="H541" s="86">
        <v>600</v>
      </c>
      <c r="I541" s="86">
        <v>22280</v>
      </c>
      <c r="J541" s="85" t="s">
        <v>2935</v>
      </c>
      <c r="K541" s="85" t="s">
        <v>4717</v>
      </c>
      <c r="L541" s="85" t="s">
        <v>4135</v>
      </c>
      <c r="M541" s="85" t="s">
        <v>4762</v>
      </c>
    </row>
    <row r="542" ht="213.75" spans="1:13">
      <c r="A542" s="85" t="s">
        <v>4714</v>
      </c>
      <c r="B542" s="85" t="s">
        <v>4763</v>
      </c>
      <c r="C542" s="85" t="s">
        <v>4764</v>
      </c>
      <c r="D542" s="85" t="s">
        <v>4765</v>
      </c>
      <c r="E542" s="85" t="s">
        <v>4764</v>
      </c>
      <c r="F542" s="86">
        <v>403</v>
      </c>
      <c r="G542" s="86">
        <v>3</v>
      </c>
      <c r="H542" s="86">
        <v>1209</v>
      </c>
      <c r="I542" s="86">
        <v>22280</v>
      </c>
      <c r="J542" s="85" t="s">
        <v>2935</v>
      </c>
      <c r="K542" s="85" t="s">
        <v>4717</v>
      </c>
      <c r="L542" s="85" t="s">
        <v>4135</v>
      </c>
      <c r="M542" s="85" t="s">
        <v>4766</v>
      </c>
    </row>
    <row r="543" ht="213.75" spans="1:13">
      <c r="A543" s="85" t="s">
        <v>4714</v>
      </c>
      <c r="B543" s="85" t="s">
        <v>4767</v>
      </c>
      <c r="C543" s="85" t="s">
        <v>4768</v>
      </c>
      <c r="D543" s="85" t="s">
        <v>3061</v>
      </c>
      <c r="E543" s="85" t="s">
        <v>4757</v>
      </c>
      <c r="F543" s="86">
        <v>45</v>
      </c>
      <c r="G543" s="86">
        <v>2</v>
      </c>
      <c r="H543" s="86">
        <v>90</v>
      </c>
      <c r="I543" s="86">
        <v>22280</v>
      </c>
      <c r="J543" s="85" t="s">
        <v>2935</v>
      </c>
      <c r="K543" s="85" t="s">
        <v>4717</v>
      </c>
      <c r="L543" s="85" t="s">
        <v>4135</v>
      </c>
      <c r="M543" s="85" t="s">
        <v>4769</v>
      </c>
    </row>
    <row r="544" ht="228" spans="1:13">
      <c r="A544" s="85" t="s">
        <v>4714</v>
      </c>
      <c r="B544" s="85" t="s">
        <v>4770</v>
      </c>
      <c r="C544" s="85" t="s">
        <v>4771</v>
      </c>
      <c r="D544" s="85" t="s">
        <v>4772</v>
      </c>
      <c r="E544" s="85" t="s">
        <v>4773</v>
      </c>
      <c r="F544" s="86">
        <v>58.65</v>
      </c>
      <c r="G544" s="86">
        <v>20</v>
      </c>
      <c r="H544" s="86">
        <v>1173</v>
      </c>
      <c r="I544" s="86">
        <v>22280</v>
      </c>
      <c r="J544" s="85" t="s">
        <v>2935</v>
      </c>
      <c r="K544" s="85" t="s">
        <v>4717</v>
      </c>
      <c r="L544" s="85" t="s">
        <v>4135</v>
      </c>
      <c r="M544" s="85" t="s">
        <v>4774</v>
      </c>
    </row>
    <row r="545" ht="213.75" spans="1:13">
      <c r="A545" s="85" t="s">
        <v>4775</v>
      </c>
      <c r="B545" s="85" t="s">
        <v>4776</v>
      </c>
      <c r="C545" s="85" t="s">
        <v>4777</v>
      </c>
      <c r="D545" s="85" t="s">
        <v>3061</v>
      </c>
      <c r="E545" s="85" t="s">
        <v>4777</v>
      </c>
      <c r="F545" s="86">
        <v>37.65</v>
      </c>
      <c r="G545" s="86">
        <v>5</v>
      </c>
      <c r="H545" s="86">
        <v>188.25</v>
      </c>
      <c r="I545" s="86">
        <v>13037.02</v>
      </c>
      <c r="J545" s="85" t="s">
        <v>2965</v>
      </c>
      <c r="K545" s="85" t="s">
        <v>4778</v>
      </c>
      <c r="L545" s="85" t="s">
        <v>4135</v>
      </c>
      <c r="M545" s="85" t="s">
        <v>4779</v>
      </c>
    </row>
    <row r="546" ht="213.75" spans="1:13">
      <c r="A546" s="85" t="s">
        <v>4775</v>
      </c>
      <c r="B546" s="85" t="s">
        <v>3556</v>
      </c>
      <c r="C546" s="85" t="s">
        <v>3557</v>
      </c>
      <c r="D546" s="85" t="s">
        <v>3288</v>
      </c>
      <c r="E546" s="85" t="s">
        <v>3557</v>
      </c>
      <c r="F546" s="86">
        <v>44</v>
      </c>
      <c r="G546" s="86">
        <v>3</v>
      </c>
      <c r="H546" s="86">
        <v>132</v>
      </c>
      <c r="I546" s="86">
        <v>13037.02</v>
      </c>
      <c r="J546" s="85" t="s">
        <v>2965</v>
      </c>
      <c r="K546" s="85" t="s">
        <v>4778</v>
      </c>
      <c r="L546" s="85" t="s">
        <v>4135</v>
      </c>
      <c r="M546" s="85" t="s">
        <v>4780</v>
      </c>
    </row>
    <row r="547" ht="213.75" spans="1:13">
      <c r="A547" s="85" t="s">
        <v>4775</v>
      </c>
      <c r="B547" s="85" t="s">
        <v>4781</v>
      </c>
      <c r="C547" s="85" t="s">
        <v>4782</v>
      </c>
      <c r="D547" s="85" t="s">
        <v>3153</v>
      </c>
      <c r="E547" s="85" t="s">
        <v>4782</v>
      </c>
      <c r="F547" s="86">
        <v>44.94</v>
      </c>
      <c r="G547" s="86">
        <v>3</v>
      </c>
      <c r="H547" s="86">
        <v>134.82</v>
      </c>
      <c r="I547" s="86">
        <v>13037.02</v>
      </c>
      <c r="J547" s="85" t="s">
        <v>2965</v>
      </c>
      <c r="K547" s="85" t="s">
        <v>4778</v>
      </c>
      <c r="L547" s="85" t="s">
        <v>4135</v>
      </c>
      <c r="M547" s="85" t="s">
        <v>4783</v>
      </c>
    </row>
    <row r="548" ht="213.75" spans="1:13">
      <c r="A548" s="85" t="s">
        <v>4775</v>
      </c>
      <c r="B548" s="85" t="s">
        <v>4784</v>
      </c>
      <c r="C548" s="85" t="s">
        <v>4785</v>
      </c>
      <c r="D548" s="85" t="s">
        <v>3183</v>
      </c>
      <c r="E548" s="85" t="s">
        <v>4785</v>
      </c>
      <c r="F548" s="86">
        <v>21.1</v>
      </c>
      <c r="G548" s="86">
        <v>20</v>
      </c>
      <c r="H548" s="86">
        <v>422</v>
      </c>
      <c r="I548" s="86">
        <v>13037.02</v>
      </c>
      <c r="J548" s="85" t="s">
        <v>2965</v>
      </c>
      <c r="K548" s="85" t="s">
        <v>4778</v>
      </c>
      <c r="L548" s="85" t="s">
        <v>4135</v>
      </c>
      <c r="M548" s="85" t="s">
        <v>4786</v>
      </c>
    </row>
    <row r="549" ht="213.75" spans="1:13">
      <c r="A549" s="85" t="s">
        <v>4775</v>
      </c>
      <c r="B549" s="85" t="s">
        <v>4787</v>
      </c>
      <c r="C549" s="85" t="s">
        <v>4788</v>
      </c>
      <c r="D549" s="85" t="s">
        <v>2977</v>
      </c>
      <c r="E549" s="85" t="s">
        <v>4788</v>
      </c>
      <c r="F549" s="86">
        <v>5.46</v>
      </c>
      <c r="G549" s="86">
        <v>20</v>
      </c>
      <c r="H549" s="86">
        <v>109.2</v>
      </c>
      <c r="I549" s="86">
        <v>13037.02</v>
      </c>
      <c r="J549" s="85" t="s">
        <v>2965</v>
      </c>
      <c r="K549" s="85" t="s">
        <v>4778</v>
      </c>
      <c r="L549" s="85" t="s">
        <v>4135</v>
      </c>
      <c r="M549" s="85" t="s">
        <v>4789</v>
      </c>
    </row>
    <row r="550" ht="213.75" spans="1:13">
      <c r="A550" s="85" t="s">
        <v>4775</v>
      </c>
      <c r="B550" s="85" t="s">
        <v>4790</v>
      </c>
      <c r="C550" s="85" t="s">
        <v>4791</v>
      </c>
      <c r="D550" s="85" t="s">
        <v>3255</v>
      </c>
      <c r="E550" s="85" t="s">
        <v>4791</v>
      </c>
      <c r="F550" s="86">
        <v>16.72</v>
      </c>
      <c r="G550" s="86">
        <v>10</v>
      </c>
      <c r="H550" s="86">
        <v>167.2</v>
      </c>
      <c r="I550" s="86">
        <v>13037.02</v>
      </c>
      <c r="J550" s="85" t="s">
        <v>2965</v>
      </c>
      <c r="K550" s="85" t="s">
        <v>4778</v>
      </c>
      <c r="L550" s="85" t="s">
        <v>4135</v>
      </c>
      <c r="M550" s="85" t="s">
        <v>4792</v>
      </c>
    </row>
    <row r="551" ht="213.75" spans="1:13">
      <c r="A551" s="85" t="s">
        <v>4775</v>
      </c>
      <c r="B551" s="85" t="s">
        <v>4793</v>
      </c>
      <c r="C551" s="85" t="s">
        <v>4794</v>
      </c>
      <c r="D551" s="85" t="s">
        <v>3729</v>
      </c>
      <c r="E551" s="85" t="s">
        <v>4794</v>
      </c>
      <c r="F551" s="86">
        <v>50.84</v>
      </c>
      <c r="G551" s="86">
        <v>2</v>
      </c>
      <c r="H551" s="86">
        <v>101.68</v>
      </c>
      <c r="I551" s="86">
        <v>13037.02</v>
      </c>
      <c r="J551" s="85" t="s">
        <v>2965</v>
      </c>
      <c r="K551" s="85" t="s">
        <v>4778</v>
      </c>
      <c r="L551" s="85" t="s">
        <v>4135</v>
      </c>
      <c r="M551" s="85" t="s">
        <v>4795</v>
      </c>
    </row>
    <row r="552" ht="213.75" spans="1:13">
      <c r="A552" s="85" t="s">
        <v>4775</v>
      </c>
      <c r="B552" s="85" t="s">
        <v>4477</v>
      </c>
      <c r="C552" s="85" t="s">
        <v>4478</v>
      </c>
      <c r="D552" s="85" t="s">
        <v>3183</v>
      </c>
      <c r="E552" s="85" t="s">
        <v>4478</v>
      </c>
      <c r="F552" s="86">
        <v>117.79</v>
      </c>
      <c r="G552" s="86">
        <v>20</v>
      </c>
      <c r="H552" s="86">
        <v>2355.8</v>
      </c>
      <c r="I552" s="86">
        <v>13037.02</v>
      </c>
      <c r="J552" s="85" t="s">
        <v>2965</v>
      </c>
      <c r="K552" s="85" t="s">
        <v>4778</v>
      </c>
      <c r="L552" s="85" t="s">
        <v>4135</v>
      </c>
      <c r="M552" s="85" t="s">
        <v>4796</v>
      </c>
    </row>
    <row r="553" ht="213.75" spans="1:13">
      <c r="A553" s="85" t="s">
        <v>4775</v>
      </c>
      <c r="B553" s="85" t="s">
        <v>4797</v>
      </c>
      <c r="C553" s="85" t="s">
        <v>4798</v>
      </c>
      <c r="D553" s="85" t="s">
        <v>3014</v>
      </c>
      <c r="E553" s="85" t="s">
        <v>4798</v>
      </c>
      <c r="F553" s="86">
        <v>68.16</v>
      </c>
      <c r="G553" s="86">
        <v>5</v>
      </c>
      <c r="H553" s="86">
        <v>340.8</v>
      </c>
      <c r="I553" s="86">
        <v>13037.02</v>
      </c>
      <c r="J553" s="85" t="s">
        <v>2965</v>
      </c>
      <c r="K553" s="85" t="s">
        <v>4778</v>
      </c>
      <c r="L553" s="85" t="s">
        <v>4135</v>
      </c>
      <c r="M553" s="85" t="s">
        <v>4799</v>
      </c>
    </row>
    <row r="554" ht="213.75" spans="1:13">
      <c r="A554" s="85" t="s">
        <v>4775</v>
      </c>
      <c r="B554" s="85" t="s">
        <v>4800</v>
      </c>
      <c r="C554" s="85" t="s">
        <v>4801</v>
      </c>
      <c r="D554" s="85" t="s">
        <v>4802</v>
      </c>
      <c r="E554" s="85" t="s">
        <v>4801</v>
      </c>
      <c r="F554" s="86">
        <v>24.39</v>
      </c>
      <c r="G554" s="86">
        <v>60</v>
      </c>
      <c r="H554" s="86">
        <v>1463.4</v>
      </c>
      <c r="I554" s="86">
        <v>13037.02</v>
      </c>
      <c r="J554" s="85" t="s">
        <v>2965</v>
      </c>
      <c r="K554" s="85" t="s">
        <v>4778</v>
      </c>
      <c r="L554" s="85" t="s">
        <v>4135</v>
      </c>
      <c r="M554" s="85" t="s">
        <v>4803</v>
      </c>
    </row>
    <row r="555" ht="213.75" spans="1:13">
      <c r="A555" s="85" t="s">
        <v>4775</v>
      </c>
      <c r="B555" s="85" t="s">
        <v>4804</v>
      </c>
      <c r="C555" s="85" t="s">
        <v>4805</v>
      </c>
      <c r="D555" s="85" t="s">
        <v>3230</v>
      </c>
      <c r="E555" s="85" t="s">
        <v>4805</v>
      </c>
      <c r="F555" s="86">
        <v>9.6</v>
      </c>
      <c r="G555" s="86">
        <v>20</v>
      </c>
      <c r="H555" s="86">
        <v>192</v>
      </c>
      <c r="I555" s="86">
        <v>13037.02</v>
      </c>
      <c r="J555" s="85" t="s">
        <v>2965</v>
      </c>
      <c r="K555" s="85" t="s">
        <v>4778</v>
      </c>
      <c r="L555" s="85" t="s">
        <v>4135</v>
      </c>
      <c r="M555" s="85" t="s">
        <v>4806</v>
      </c>
    </row>
    <row r="556" ht="213.75" spans="1:13">
      <c r="A556" s="85" t="s">
        <v>4775</v>
      </c>
      <c r="B556" s="85" t="s">
        <v>3195</v>
      </c>
      <c r="C556" s="85" t="s">
        <v>3196</v>
      </c>
      <c r="D556" s="85" t="s">
        <v>3197</v>
      </c>
      <c r="E556" s="85" t="s">
        <v>3196</v>
      </c>
      <c r="F556" s="86">
        <v>14.07</v>
      </c>
      <c r="G556" s="86">
        <v>35</v>
      </c>
      <c r="H556" s="86">
        <v>492.45</v>
      </c>
      <c r="I556" s="86">
        <v>13037.02</v>
      </c>
      <c r="J556" s="85" t="s">
        <v>2965</v>
      </c>
      <c r="K556" s="85" t="s">
        <v>4778</v>
      </c>
      <c r="L556" s="85" t="s">
        <v>4135</v>
      </c>
      <c r="M556" s="85" t="s">
        <v>4807</v>
      </c>
    </row>
    <row r="557" ht="213.75" spans="1:13">
      <c r="A557" s="85" t="s">
        <v>4775</v>
      </c>
      <c r="B557" s="85" t="s">
        <v>4808</v>
      </c>
      <c r="C557" s="85" t="s">
        <v>4809</v>
      </c>
      <c r="D557" s="85" t="s">
        <v>3003</v>
      </c>
      <c r="E557" s="85" t="s">
        <v>4809</v>
      </c>
      <c r="F557" s="86">
        <v>17.01</v>
      </c>
      <c r="G557" s="86">
        <v>24</v>
      </c>
      <c r="H557" s="86">
        <v>408.24</v>
      </c>
      <c r="I557" s="86">
        <v>13037.02</v>
      </c>
      <c r="J557" s="85" t="s">
        <v>2965</v>
      </c>
      <c r="K557" s="85" t="s">
        <v>4778</v>
      </c>
      <c r="L557" s="85" t="s">
        <v>4135</v>
      </c>
      <c r="M557" s="85" t="s">
        <v>4810</v>
      </c>
    </row>
    <row r="558" ht="213.75" spans="1:13">
      <c r="A558" s="85" t="s">
        <v>4775</v>
      </c>
      <c r="B558" s="85" t="s">
        <v>3344</v>
      </c>
      <c r="C558" s="85" t="s">
        <v>3345</v>
      </c>
      <c r="D558" s="85" t="s">
        <v>3054</v>
      </c>
      <c r="E558" s="85" t="s">
        <v>3345</v>
      </c>
      <c r="F558" s="86">
        <v>6.56</v>
      </c>
      <c r="G558" s="86">
        <v>50</v>
      </c>
      <c r="H558" s="86">
        <v>328</v>
      </c>
      <c r="I558" s="86">
        <v>13037.02</v>
      </c>
      <c r="J558" s="85" t="s">
        <v>2965</v>
      </c>
      <c r="K558" s="85" t="s">
        <v>4778</v>
      </c>
      <c r="L558" s="85" t="s">
        <v>4135</v>
      </c>
      <c r="M558" s="85" t="s">
        <v>4811</v>
      </c>
    </row>
    <row r="559" ht="213.75" spans="1:13">
      <c r="A559" s="85" t="s">
        <v>4775</v>
      </c>
      <c r="B559" s="85" t="s">
        <v>4812</v>
      </c>
      <c r="C559" s="85" t="s">
        <v>4813</v>
      </c>
      <c r="D559" s="85" t="s">
        <v>4814</v>
      </c>
      <c r="E559" s="85" t="s">
        <v>4813</v>
      </c>
      <c r="F559" s="86">
        <v>4.08</v>
      </c>
      <c r="G559" s="86">
        <v>10</v>
      </c>
      <c r="H559" s="86">
        <v>40.8</v>
      </c>
      <c r="I559" s="86">
        <v>13037.02</v>
      </c>
      <c r="J559" s="85" t="s">
        <v>2965</v>
      </c>
      <c r="K559" s="85" t="s">
        <v>4778</v>
      </c>
      <c r="L559" s="85" t="s">
        <v>4135</v>
      </c>
      <c r="M559" s="85" t="s">
        <v>4815</v>
      </c>
    </row>
    <row r="560" ht="213.75" spans="1:13">
      <c r="A560" s="85" t="s">
        <v>4775</v>
      </c>
      <c r="B560" s="85" t="s">
        <v>4816</v>
      </c>
      <c r="C560" s="85" t="s">
        <v>4817</v>
      </c>
      <c r="D560" s="85" t="s">
        <v>3061</v>
      </c>
      <c r="E560" s="85" t="s">
        <v>4817</v>
      </c>
      <c r="F560" s="86">
        <v>280</v>
      </c>
      <c r="G560" s="86">
        <v>1</v>
      </c>
      <c r="H560" s="86">
        <v>280</v>
      </c>
      <c r="I560" s="86">
        <v>13037.02</v>
      </c>
      <c r="J560" s="85" t="s">
        <v>2965</v>
      </c>
      <c r="K560" s="85" t="s">
        <v>4778</v>
      </c>
      <c r="L560" s="85" t="s">
        <v>4135</v>
      </c>
      <c r="M560" s="85" t="s">
        <v>4818</v>
      </c>
    </row>
    <row r="561" ht="213.75" spans="1:13">
      <c r="A561" s="85" t="s">
        <v>4775</v>
      </c>
      <c r="B561" s="85" t="s">
        <v>4819</v>
      </c>
      <c r="C561" s="85" t="s">
        <v>4820</v>
      </c>
      <c r="D561" s="85" t="s">
        <v>4013</v>
      </c>
      <c r="E561" s="85" t="s">
        <v>4820</v>
      </c>
      <c r="F561" s="86">
        <v>356.99</v>
      </c>
      <c r="G561" s="86">
        <v>1</v>
      </c>
      <c r="H561" s="86">
        <v>356.99</v>
      </c>
      <c r="I561" s="86">
        <v>13037.02</v>
      </c>
      <c r="J561" s="85" t="s">
        <v>2965</v>
      </c>
      <c r="K561" s="85" t="s">
        <v>4778</v>
      </c>
      <c r="L561" s="85" t="s">
        <v>4135</v>
      </c>
      <c r="M561" s="85" t="s">
        <v>4821</v>
      </c>
    </row>
    <row r="562" ht="213.75" spans="1:13">
      <c r="A562" s="85" t="s">
        <v>4775</v>
      </c>
      <c r="B562" s="85" t="s">
        <v>4822</v>
      </c>
      <c r="C562" s="85" t="s">
        <v>4823</v>
      </c>
      <c r="D562" s="85" t="s">
        <v>4824</v>
      </c>
      <c r="E562" s="85" t="s">
        <v>4823</v>
      </c>
      <c r="F562" s="86">
        <v>35.8</v>
      </c>
      <c r="G562" s="86">
        <v>10</v>
      </c>
      <c r="H562" s="86">
        <v>358</v>
      </c>
      <c r="I562" s="86">
        <v>13037.02</v>
      </c>
      <c r="J562" s="85" t="s">
        <v>2965</v>
      </c>
      <c r="K562" s="85" t="s">
        <v>4778</v>
      </c>
      <c r="L562" s="85" t="s">
        <v>4135</v>
      </c>
      <c r="M562" s="85" t="s">
        <v>4825</v>
      </c>
    </row>
    <row r="563" ht="213.75" spans="1:13">
      <c r="A563" s="85" t="s">
        <v>4775</v>
      </c>
      <c r="B563" s="85" t="s">
        <v>4826</v>
      </c>
      <c r="C563" s="85" t="s">
        <v>4827</v>
      </c>
      <c r="D563" s="85" t="s">
        <v>3197</v>
      </c>
      <c r="E563" s="85" t="s">
        <v>4827</v>
      </c>
      <c r="F563" s="86">
        <v>8.72</v>
      </c>
      <c r="G563" s="86">
        <v>2</v>
      </c>
      <c r="H563" s="86">
        <v>17.44</v>
      </c>
      <c r="I563" s="86">
        <v>13037.02</v>
      </c>
      <c r="J563" s="85" t="s">
        <v>2965</v>
      </c>
      <c r="K563" s="85" t="s">
        <v>4778</v>
      </c>
      <c r="L563" s="85" t="s">
        <v>4135</v>
      </c>
      <c r="M563" s="85" t="s">
        <v>4828</v>
      </c>
    </row>
    <row r="564" ht="213.75" spans="1:13">
      <c r="A564" s="85" t="s">
        <v>4775</v>
      </c>
      <c r="B564" s="85" t="s">
        <v>4829</v>
      </c>
      <c r="C564" s="85" t="s">
        <v>4830</v>
      </c>
      <c r="D564" s="85" t="s">
        <v>3406</v>
      </c>
      <c r="E564" s="85" t="s">
        <v>4830</v>
      </c>
      <c r="F564" s="86">
        <v>130</v>
      </c>
      <c r="G564" s="86">
        <v>3</v>
      </c>
      <c r="H564" s="86">
        <v>390</v>
      </c>
      <c r="I564" s="86">
        <v>13037.02</v>
      </c>
      <c r="J564" s="85" t="s">
        <v>2965</v>
      </c>
      <c r="K564" s="85" t="s">
        <v>4778</v>
      </c>
      <c r="L564" s="85" t="s">
        <v>4135</v>
      </c>
      <c r="M564" s="85" t="s">
        <v>4831</v>
      </c>
    </row>
    <row r="565" ht="213.75" spans="1:13">
      <c r="A565" s="85" t="s">
        <v>4775</v>
      </c>
      <c r="B565" s="85" t="s">
        <v>3724</v>
      </c>
      <c r="C565" s="85" t="s">
        <v>3725</v>
      </c>
      <c r="D565" s="85" t="s">
        <v>2977</v>
      </c>
      <c r="E565" s="85" t="s">
        <v>3725</v>
      </c>
      <c r="F565" s="86">
        <v>14.47</v>
      </c>
      <c r="G565" s="86">
        <v>300</v>
      </c>
      <c r="H565" s="86">
        <v>4341</v>
      </c>
      <c r="I565" s="86">
        <v>13037.02</v>
      </c>
      <c r="J565" s="85" t="s">
        <v>2965</v>
      </c>
      <c r="K565" s="85" t="s">
        <v>4778</v>
      </c>
      <c r="L565" s="85" t="s">
        <v>4135</v>
      </c>
      <c r="M565" s="85" t="s">
        <v>4832</v>
      </c>
    </row>
    <row r="566" ht="213.75" spans="1:13">
      <c r="A566" s="85" t="s">
        <v>4775</v>
      </c>
      <c r="B566" s="85" t="s">
        <v>3720</v>
      </c>
      <c r="C566" s="85" t="s">
        <v>3721</v>
      </c>
      <c r="D566" s="85" t="s">
        <v>3722</v>
      </c>
      <c r="E566" s="85" t="s">
        <v>3721</v>
      </c>
      <c r="F566" s="86">
        <v>15.32</v>
      </c>
      <c r="G566" s="86">
        <v>5</v>
      </c>
      <c r="H566" s="86">
        <v>76.6</v>
      </c>
      <c r="I566" s="86">
        <v>13037.02</v>
      </c>
      <c r="J566" s="85" t="s">
        <v>2965</v>
      </c>
      <c r="K566" s="85" t="s">
        <v>4778</v>
      </c>
      <c r="L566" s="85" t="s">
        <v>4135</v>
      </c>
      <c r="M566" s="85" t="s">
        <v>4833</v>
      </c>
    </row>
    <row r="567" ht="213.75" spans="1:13">
      <c r="A567" s="85" t="s">
        <v>4775</v>
      </c>
      <c r="B567" s="85" t="s">
        <v>4834</v>
      </c>
      <c r="C567" s="85" t="s">
        <v>4835</v>
      </c>
      <c r="D567" s="85" t="s">
        <v>3068</v>
      </c>
      <c r="E567" s="85" t="s">
        <v>4835</v>
      </c>
      <c r="F567" s="86">
        <v>2.95</v>
      </c>
      <c r="G567" s="86">
        <v>20</v>
      </c>
      <c r="H567" s="86">
        <v>59</v>
      </c>
      <c r="I567" s="86">
        <v>13037.02</v>
      </c>
      <c r="J567" s="85" t="s">
        <v>2965</v>
      </c>
      <c r="K567" s="85" t="s">
        <v>4778</v>
      </c>
      <c r="L567" s="85" t="s">
        <v>4135</v>
      </c>
      <c r="M567" s="85" t="s">
        <v>4836</v>
      </c>
    </row>
    <row r="568" ht="213.75" spans="1:13">
      <c r="A568" s="85" t="s">
        <v>4775</v>
      </c>
      <c r="B568" s="85" t="s">
        <v>3354</v>
      </c>
      <c r="C568" s="85" t="s">
        <v>3355</v>
      </c>
      <c r="D568" s="85" t="s">
        <v>3356</v>
      </c>
      <c r="E568" s="85" t="s">
        <v>3355</v>
      </c>
      <c r="F568" s="86">
        <v>2.47</v>
      </c>
      <c r="G568" s="86">
        <v>50</v>
      </c>
      <c r="H568" s="86">
        <v>123.5</v>
      </c>
      <c r="I568" s="86">
        <v>13037.02</v>
      </c>
      <c r="J568" s="85" t="s">
        <v>2965</v>
      </c>
      <c r="K568" s="85" t="s">
        <v>4778</v>
      </c>
      <c r="L568" s="85" t="s">
        <v>4135</v>
      </c>
      <c r="M568" s="85" t="s">
        <v>4837</v>
      </c>
    </row>
    <row r="569" ht="213.75" spans="1:13">
      <c r="A569" s="85" t="s">
        <v>4775</v>
      </c>
      <c r="B569" s="85" t="s">
        <v>4838</v>
      </c>
      <c r="C569" s="85" t="s">
        <v>4839</v>
      </c>
      <c r="D569" s="85" t="s">
        <v>4840</v>
      </c>
      <c r="E569" s="85" t="s">
        <v>4839</v>
      </c>
      <c r="F569" s="86">
        <v>24.57</v>
      </c>
      <c r="G569" s="86">
        <v>5</v>
      </c>
      <c r="H569" s="86">
        <v>122.85</v>
      </c>
      <c r="I569" s="86">
        <v>13037.02</v>
      </c>
      <c r="J569" s="85" t="s">
        <v>2965</v>
      </c>
      <c r="K569" s="85" t="s">
        <v>4778</v>
      </c>
      <c r="L569" s="85" t="s">
        <v>4135</v>
      </c>
      <c r="M569" s="85" t="s">
        <v>4841</v>
      </c>
    </row>
    <row r="570" ht="213.75" spans="1:13">
      <c r="A570" s="85" t="s">
        <v>4775</v>
      </c>
      <c r="B570" s="85" t="s">
        <v>4842</v>
      </c>
      <c r="C570" s="85" t="s">
        <v>4843</v>
      </c>
      <c r="D570" s="85" t="s">
        <v>3729</v>
      </c>
      <c r="E570" s="85" t="s">
        <v>4843</v>
      </c>
      <c r="F570" s="86">
        <v>0.07</v>
      </c>
      <c r="G570" s="86">
        <v>500</v>
      </c>
      <c r="H570" s="86">
        <v>35</v>
      </c>
      <c r="I570" s="86">
        <v>13037.02</v>
      </c>
      <c r="J570" s="85" t="s">
        <v>2965</v>
      </c>
      <c r="K570" s="85" t="s">
        <v>4778</v>
      </c>
      <c r="L570" s="85" t="s">
        <v>4135</v>
      </c>
      <c r="M570" s="85" t="s">
        <v>4844</v>
      </c>
    </row>
    <row r="571" ht="213.75" spans="1:13">
      <c r="A571" s="85" t="s">
        <v>4845</v>
      </c>
      <c r="B571" s="85" t="s">
        <v>4846</v>
      </c>
      <c r="C571" s="85" t="s">
        <v>4847</v>
      </c>
      <c r="D571" s="85" t="s">
        <v>4848</v>
      </c>
      <c r="E571" s="85" t="s">
        <v>4849</v>
      </c>
      <c r="F571" s="86">
        <v>2.1</v>
      </c>
      <c r="G571" s="86">
        <v>300</v>
      </c>
      <c r="H571" s="86">
        <v>630</v>
      </c>
      <c r="I571" s="86">
        <v>5095</v>
      </c>
      <c r="J571" s="85" t="s">
        <v>4370</v>
      </c>
      <c r="K571" s="85" t="s">
        <v>4850</v>
      </c>
      <c r="L571" s="85" t="s">
        <v>4135</v>
      </c>
      <c r="M571" s="85" t="s">
        <v>4851</v>
      </c>
    </row>
    <row r="572" ht="213.75" spans="1:13">
      <c r="A572" s="85" t="s">
        <v>4852</v>
      </c>
      <c r="B572" s="85" t="s">
        <v>4853</v>
      </c>
      <c r="C572" s="85" t="s">
        <v>4854</v>
      </c>
      <c r="D572" s="85" t="s">
        <v>3061</v>
      </c>
      <c r="E572" s="85" t="s">
        <v>4854</v>
      </c>
      <c r="F572" s="86">
        <v>7.8</v>
      </c>
      <c r="G572" s="86">
        <v>10</v>
      </c>
      <c r="H572" s="86">
        <v>78</v>
      </c>
      <c r="I572" s="86">
        <v>156</v>
      </c>
      <c r="J572" s="85" t="s">
        <v>2965</v>
      </c>
      <c r="K572" s="85" t="s">
        <v>4850</v>
      </c>
      <c r="L572" s="85" t="s">
        <v>4135</v>
      </c>
      <c r="M572" s="85" t="s">
        <v>4855</v>
      </c>
    </row>
    <row r="573" ht="213.75" spans="1:13">
      <c r="A573" s="85" t="s">
        <v>4845</v>
      </c>
      <c r="B573" s="85" t="s">
        <v>4856</v>
      </c>
      <c r="C573" s="85" t="s">
        <v>4857</v>
      </c>
      <c r="D573" s="85" t="s">
        <v>3041</v>
      </c>
      <c r="E573" s="85" t="s">
        <v>3158</v>
      </c>
      <c r="F573" s="86">
        <v>71</v>
      </c>
      <c r="G573" s="86">
        <v>1</v>
      </c>
      <c r="H573" s="86">
        <v>71</v>
      </c>
      <c r="I573" s="86">
        <v>5095</v>
      </c>
      <c r="J573" s="85" t="s">
        <v>4370</v>
      </c>
      <c r="K573" s="85" t="s">
        <v>4850</v>
      </c>
      <c r="L573" s="85" t="s">
        <v>4135</v>
      </c>
      <c r="M573" s="85" t="s">
        <v>4858</v>
      </c>
    </row>
    <row r="574" ht="213.75" spans="1:13">
      <c r="A574" s="85" t="s">
        <v>4859</v>
      </c>
      <c r="B574" s="85" t="s">
        <v>3207</v>
      </c>
      <c r="C574" s="85" t="s">
        <v>3208</v>
      </c>
      <c r="D574" s="85" t="s">
        <v>3201</v>
      </c>
      <c r="E574" s="85" t="s">
        <v>3209</v>
      </c>
      <c r="F574" s="86">
        <v>153</v>
      </c>
      <c r="G574" s="86">
        <v>6</v>
      </c>
      <c r="H574" s="86">
        <v>918</v>
      </c>
      <c r="I574" s="86">
        <v>918</v>
      </c>
      <c r="J574" s="85" t="s">
        <v>2958</v>
      </c>
      <c r="K574" s="85" t="s">
        <v>4850</v>
      </c>
      <c r="L574" s="85" t="s">
        <v>4135</v>
      </c>
      <c r="M574" s="85" t="s">
        <v>4860</v>
      </c>
    </row>
    <row r="575" ht="213.75" spans="1:13">
      <c r="A575" s="85" t="s">
        <v>4845</v>
      </c>
      <c r="B575" s="85" t="s">
        <v>4861</v>
      </c>
      <c r="C575" s="85" t="s">
        <v>4862</v>
      </c>
      <c r="D575" s="85" t="s">
        <v>3041</v>
      </c>
      <c r="E575" s="85" t="s">
        <v>3158</v>
      </c>
      <c r="F575" s="86">
        <v>140</v>
      </c>
      <c r="G575" s="86">
        <v>30</v>
      </c>
      <c r="H575" s="86">
        <v>4200</v>
      </c>
      <c r="I575" s="86">
        <v>5095</v>
      </c>
      <c r="J575" s="85" t="s">
        <v>4370</v>
      </c>
      <c r="K575" s="85" t="s">
        <v>4850</v>
      </c>
      <c r="L575" s="85" t="s">
        <v>4135</v>
      </c>
      <c r="M575" s="85" t="s">
        <v>4863</v>
      </c>
    </row>
    <row r="576" ht="213.75" spans="1:13">
      <c r="A576" s="85" t="s">
        <v>4845</v>
      </c>
      <c r="B576" s="85" t="s">
        <v>4864</v>
      </c>
      <c r="C576" s="85" t="s">
        <v>4865</v>
      </c>
      <c r="D576" s="85" t="s">
        <v>4866</v>
      </c>
      <c r="E576" s="85" t="s">
        <v>4867</v>
      </c>
      <c r="F576" s="86">
        <v>97</v>
      </c>
      <c r="G576" s="86">
        <v>2</v>
      </c>
      <c r="H576" s="86">
        <v>194</v>
      </c>
      <c r="I576" s="86">
        <v>5095</v>
      </c>
      <c r="J576" s="85" t="s">
        <v>4370</v>
      </c>
      <c r="K576" s="85" t="s">
        <v>4850</v>
      </c>
      <c r="L576" s="85" t="s">
        <v>4135</v>
      </c>
      <c r="M576" s="85" t="s">
        <v>4868</v>
      </c>
    </row>
    <row r="577" ht="213.75" spans="1:13">
      <c r="A577" s="85" t="s">
        <v>4852</v>
      </c>
      <c r="B577" s="85" t="s">
        <v>4869</v>
      </c>
      <c r="C577" s="85" t="s">
        <v>4870</v>
      </c>
      <c r="D577" s="85" t="s">
        <v>3061</v>
      </c>
      <c r="E577" s="85" t="s">
        <v>4870</v>
      </c>
      <c r="F577" s="86">
        <v>7.8</v>
      </c>
      <c r="G577" s="86">
        <v>10</v>
      </c>
      <c r="H577" s="86">
        <v>78</v>
      </c>
      <c r="I577" s="86">
        <v>156</v>
      </c>
      <c r="J577" s="85" t="s">
        <v>2965</v>
      </c>
      <c r="K577" s="85" t="s">
        <v>4850</v>
      </c>
      <c r="L577" s="85" t="s">
        <v>4135</v>
      </c>
      <c r="M577" s="85" t="s">
        <v>4871</v>
      </c>
    </row>
    <row r="578" ht="213.75" spans="1:13">
      <c r="A578" s="85" t="s">
        <v>4872</v>
      </c>
      <c r="B578" s="85" t="s">
        <v>4873</v>
      </c>
      <c r="C578" s="85" t="s">
        <v>4874</v>
      </c>
      <c r="D578" s="85" t="s">
        <v>4875</v>
      </c>
      <c r="E578" s="85" t="s">
        <v>1919</v>
      </c>
      <c r="F578" s="86">
        <v>45</v>
      </c>
      <c r="G578" s="86">
        <v>10</v>
      </c>
      <c r="H578" s="86">
        <v>450</v>
      </c>
      <c r="I578" s="86">
        <v>450</v>
      </c>
      <c r="J578" s="85" t="s">
        <v>3031</v>
      </c>
      <c r="K578" s="85" t="s">
        <v>4850</v>
      </c>
      <c r="L578" s="85" t="s">
        <v>4135</v>
      </c>
      <c r="M578" s="85" t="s">
        <v>4876</v>
      </c>
    </row>
    <row r="579" ht="213.75" spans="1:13">
      <c r="A579" s="85" t="s">
        <v>4877</v>
      </c>
      <c r="B579" s="85" t="s">
        <v>4878</v>
      </c>
      <c r="C579" s="85" t="s">
        <v>4879</v>
      </c>
      <c r="D579" s="85" t="s">
        <v>4880</v>
      </c>
      <c r="E579" s="85" t="s">
        <v>4881</v>
      </c>
      <c r="F579" s="86">
        <v>379.65</v>
      </c>
      <c r="G579" s="86">
        <v>5</v>
      </c>
      <c r="H579" s="86">
        <v>1898.25</v>
      </c>
      <c r="I579" s="86">
        <v>7651.77</v>
      </c>
      <c r="J579" s="85" t="s">
        <v>4391</v>
      </c>
      <c r="K579" s="85" t="s">
        <v>4882</v>
      </c>
      <c r="L579" s="85" t="s">
        <v>4135</v>
      </c>
      <c r="M579" s="85" t="s">
        <v>4883</v>
      </c>
    </row>
    <row r="580" ht="213.75" spans="1:13">
      <c r="A580" s="85" t="s">
        <v>4877</v>
      </c>
      <c r="B580" s="85" t="s">
        <v>4884</v>
      </c>
      <c r="C580" s="85" t="s">
        <v>4885</v>
      </c>
      <c r="D580" s="85" t="s">
        <v>4886</v>
      </c>
      <c r="E580" s="85" t="s">
        <v>4887</v>
      </c>
      <c r="F580" s="86">
        <v>242.97</v>
      </c>
      <c r="G580" s="86">
        <v>5</v>
      </c>
      <c r="H580" s="86">
        <v>1214.85</v>
      </c>
      <c r="I580" s="86">
        <v>7651.77</v>
      </c>
      <c r="J580" s="85" t="s">
        <v>4391</v>
      </c>
      <c r="K580" s="85" t="s">
        <v>4882</v>
      </c>
      <c r="L580" s="85" t="s">
        <v>4135</v>
      </c>
      <c r="M580" s="85" t="s">
        <v>4888</v>
      </c>
    </row>
    <row r="581" ht="213.75" spans="1:13">
      <c r="A581" s="85" t="s">
        <v>4877</v>
      </c>
      <c r="B581" s="85" t="s">
        <v>4889</v>
      </c>
      <c r="C581" s="85" t="s">
        <v>4890</v>
      </c>
      <c r="D581" s="85" t="s">
        <v>4886</v>
      </c>
      <c r="E581" s="85" t="s">
        <v>4890</v>
      </c>
      <c r="F581" s="86">
        <v>389.95</v>
      </c>
      <c r="G581" s="86">
        <v>5</v>
      </c>
      <c r="H581" s="86">
        <v>1949.75</v>
      </c>
      <c r="I581" s="86">
        <v>7651.77</v>
      </c>
      <c r="J581" s="85" t="s">
        <v>4391</v>
      </c>
      <c r="K581" s="85" t="s">
        <v>4882</v>
      </c>
      <c r="L581" s="85" t="s">
        <v>4135</v>
      </c>
      <c r="M581" s="85" t="s">
        <v>4891</v>
      </c>
    </row>
    <row r="582" ht="213.75" spans="1:13">
      <c r="A582" s="85" t="s">
        <v>4877</v>
      </c>
      <c r="B582" s="85" t="s">
        <v>4892</v>
      </c>
      <c r="C582" s="85" t="s">
        <v>4893</v>
      </c>
      <c r="D582" s="85" t="s">
        <v>4894</v>
      </c>
      <c r="E582" s="85" t="s">
        <v>4893</v>
      </c>
      <c r="F582" s="86">
        <v>64.8</v>
      </c>
      <c r="G582" s="86">
        <v>2</v>
      </c>
      <c r="H582" s="86">
        <v>129.6</v>
      </c>
      <c r="I582" s="86">
        <v>7651.77</v>
      </c>
      <c r="J582" s="85" t="s">
        <v>4391</v>
      </c>
      <c r="K582" s="85" t="s">
        <v>4882</v>
      </c>
      <c r="L582" s="85" t="s">
        <v>4135</v>
      </c>
      <c r="M582" s="85" t="s">
        <v>4895</v>
      </c>
    </row>
    <row r="583" ht="213.75" spans="1:13">
      <c r="A583" s="85" t="s">
        <v>4877</v>
      </c>
      <c r="B583" s="85" t="s">
        <v>4896</v>
      </c>
      <c r="C583" s="85" t="s">
        <v>4897</v>
      </c>
      <c r="D583" s="85" t="s">
        <v>4898</v>
      </c>
      <c r="E583" s="85" t="s">
        <v>4897</v>
      </c>
      <c r="F583" s="86">
        <v>29.5</v>
      </c>
      <c r="G583" s="86">
        <v>2</v>
      </c>
      <c r="H583" s="86">
        <v>59</v>
      </c>
      <c r="I583" s="86">
        <v>7651.77</v>
      </c>
      <c r="J583" s="85" t="s">
        <v>4391</v>
      </c>
      <c r="K583" s="85" t="s">
        <v>4882</v>
      </c>
      <c r="L583" s="85" t="s">
        <v>4135</v>
      </c>
      <c r="M583" s="85" t="s">
        <v>4899</v>
      </c>
    </row>
    <row r="584" ht="213.75" spans="1:13">
      <c r="A584" s="85" t="s">
        <v>4877</v>
      </c>
      <c r="B584" s="85" t="s">
        <v>4900</v>
      </c>
      <c r="C584" s="85" t="s">
        <v>4901</v>
      </c>
      <c r="D584" s="85" t="s">
        <v>4195</v>
      </c>
      <c r="E584" s="85" t="s">
        <v>4196</v>
      </c>
      <c r="F584" s="86">
        <v>31.05</v>
      </c>
      <c r="G584" s="86">
        <v>10</v>
      </c>
      <c r="H584" s="86">
        <v>310.5</v>
      </c>
      <c r="I584" s="86">
        <v>7651.77</v>
      </c>
      <c r="J584" s="85" t="s">
        <v>4391</v>
      </c>
      <c r="K584" s="85" t="s">
        <v>4882</v>
      </c>
      <c r="L584" s="85" t="s">
        <v>4135</v>
      </c>
      <c r="M584" s="85" t="s">
        <v>4902</v>
      </c>
    </row>
    <row r="585" ht="213.75" spans="1:13">
      <c r="A585" s="85" t="s">
        <v>4877</v>
      </c>
      <c r="B585" s="85" t="s">
        <v>4903</v>
      </c>
      <c r="C585" s="85" t="s">
        <v>4904</v>
      </c>
      <c r="D585" s="85" t="s">
        <v>3273</v>
      </c>
      <c r="E585" s="85" t="s">
        <v>4904</v>
      </c>
      <c r="F585" s="86">
        <v>529.82</v>
      </c>
      <c r="G585" s="86">
        <v>1</v>
      </c>
      <c r="H585" s="86">
        <v>529.82</v>
      </c>
      <c r="I585" s="86">
        <v>7651.77</v>
      </c>
      <c r="J585" s="85" t="s">
        <v>4391</v>
      </c>
      <c r="K585" s="85" t="s">
        <v>4882</v>
      </c>
      <c r="L585" s="85" t="s">
        <v>4135</v>
      </c>
      <c r="M585" s="85" t="s">
        <v>4905</v>
      </c>
    </row>
    <row r="586" ht="213.75" spans="1:13">
      <c r="A586" s="85" t="s">
        <v>4877</v>
      </c>
      <c r="B586" s="85" t="s">
        <v>4906</v>
      </c>
      <c r="C586" s="85" t="s">
        <v>4907</v>
      </c>
      <c r="D586" s="85" t="s">
        <v>3610</v>
      </c>
      <c r="E586" s="85" t="s">
        <v>4907</v>
      </c>
      <c r="F586" s="86">
        <v>5.4</v>
      </c>
      <c r="G586" s="86">
        <v>20</v>
      </c>
      <c r="H586" s="86">
        <v>108</v>
      </c>
      <c r="I586" s="86">
        <v>7651.77</v>
      </c>
      <c r="J586" s="85" t="s">
        <v>4391</v>
      </c>
      <c r="K586" s="85" t="s">
        <v>4882</v>
      </c>
      <c r="L586" s="85" t="s">
        <v>4135</v>
      </c>
      <c r="M586" s="85" t="s">
        <v>4908</v>
      </c>
    </row>
    <row r="587" ht="213.75" spans="1:13">
      <c r="A587" s="85" t="s">
        <v>4877</v>
      </c>
      <c r="B587" s="85" t="s">
        <v>4909</v>
      </c>
      <c r="C587" s="85" t="s">
        <v>4910</v>
      </c>
      <c r="D587" s="85" t="s">
        <v>4911</v>
      </c>
      <c r="E587" s="85" t="s">
        <v>4761</v>
      </c>
      <c r="F587" s="86">
        <v>26.8</v>
      </c>
      <c r="G587" s="86">
        <v>10</v>
      </c>
      <c r="H587" s="86">
        <v>268</v>
      </c>
      <c r="I587" s="86">
        <v>7651.77</v>
      </c>
      <c r="J587" s="85" t="s">
        <v>4391</v>
      </c>
      <c r="K587" s="85" t="s">
        <v>4882</v>
      </c>
      <c r="L587" s="85" t="s">
        <v>4135</v>
      </c>
      <c r="M587" s="85" t="s">
        <v>4912</v>
      </c>
    </row>
    <row r="588" ht="213.75" spans="1:13">
      <c r="A588" s="85" t="s">
        <v>4877</v>
      </c>
      <c r="B588" s="85" t="s">
        <v>4913</v>
      </c>
      <c r="C588" s="85" t="s">
        <v>4914</v>
      </c>
      <c r="D588" s="85" t="s">
        <v>3579</v>
      </c>
      <c r="E588" s="85" t="s">
        <v>4914</v>
      </c>
      <c r="F588" s="86">
        <v>67.5</v>
      </c>
      <c r="G588" s="86">
        <v>5</v>
      </c>
      <c r="H588" s="86">
        <v>337.5</v>
      </c>
      <c r="I588" s="86">
        <v>7651.77</v>
      </c>
      <c r="J588" s="85" t="s">
        <v>4391</v>
      </c>
      <c r="K588" s="85" t="s">
        <v>4882</v>
      </c>
      <c r="L588" s="85" t="s">
        <v>4135</v>
      </c>
      <c r="M588" s="85" t="s">
        <v>4915</v>
      </c>
    </row>
    <row r="589" ht="213.75" spans="1:13">
      <c r="A589" s="85" t="s">
        <v>4877</v>
      </c>
      <c r="B589" s="85" t="s">
        <v>4916</v>
      </c>
      <c r="C589" s="85" t="s">
        <v>4917</v>
      </c>
      <c r="D589" s="85" t="s">
        <v>3450</v>
      </c>
      <c r="E589" s="85" t="s">
        <v>4917</v>
      </c>
      <c r="F589" s="86">
        <v>5.85</v>
      </c>
      <c r="G589" s="86">
        <v>10</v>
      </c>
      <c r="H589" s="86">
        <v>58.5</v>
      </c>
      <c r="I589" s="86">
        <v>7651.77</v>
      </c>
      <c r="J589" s="85" t="s">
        <v>4391</v>
      </c>
      <c r="K589" s="85" t="s">
        <v>4882</v>
      </c>
      <c r="L589" s="85" t="s">
        <v>4135</v>
      </c>
      <c r="M589" s="85" t="s">
        <v>4918</v>
      </c>
    </row>
    <row r="590" ht="213.75" spans="1:13">
      <c r="A590" s="85" t="s">
        <v>4877</v>
      </c>
      <c r="B590" s="85" t="s">
        <v>4919</v>
      </c>
      <c r="C590" s="85" t="s">
        <v>4920</v>
      </c>
      <c r="D590" s="85" t="s">
        <v>3907</v>
      </c>
      <c r="E590" s="85" t="s">
        <v>3908</v>
      </c>
      <c r="F590" s="86">
        <v>31.52</v>
      </c>
      <c r="G590" s="86">
        <v>25</v>
      </c>
      <c r="H590" s="86">
        <v>788</v>
      </c>
      <c r="I590" s="86">
        <v>7651.77</v>
      </c>
      <c r="J590" s="85" t="s">
        <v>4391</v>
      </c>
      <c r="K590" s="85" t="s">
        <v>4882</v>
      </c>
      <c r="L590" s="85" t="s">
        <v>4135</v>
      </c>
      <c r="M590" s="85" t="s">
        <v>4921</v>
      </c>
    </row>
    <row r="591" ht="213.75" spans="1:13">
      <c r="A591" s="85" t="s">
        <v>4922</v>
      </c>
      <c r="B591" s="85" t="s">
        <v>3569</v>
      </c>
      <c r="C591" s="85" t="s">
        <v>3570</v>
      </c>
      <c r="D591" s="85" t="s">
        <v>3201</v>
      </c>
      <c r="E591" s="85" t="s">
        <v>3209</v>
      </c>
      <c r="F591" s="86">
        <v>5.88</v>
      </c>
      <c r="G591" s="86">
        <v>200</v>
      </c>
      <c r="H591" s="86">
        <v>1176</v>
      </c>
      <c r="I591" s="86">
        <v>20757.48</v>
      </c>
      <c r="J591" s="85" t="s">
        <v>2958</v>
      </c>
      <c r="K591" s="85" t="s">
        <v>4923</v>
      </c>
      <c r="L591" s="85" t="s">
        <v>4135</v>
      </c>
      <c r="M591" s="85" t="s">
        <v>4924</v>
      </c>
    </row>
    <row r="592" ht="242.25" spans="1:13">
      <c r="A592" s="85" t="s">
        <v>4922</v>
      </c>
      <c r="B592" s="85" t="s">
        <v>2985</v>
      </c>
      <c r="C592" s="85" t="s">
        <v>2986</v>
      </c>
      <c r="D592" s="85" t="s">
        <v>2987</v>
      </c>
      <c r="E592" s="85" t="s">
        <v>2988</v>
      </c>
      <c r="F592" s="86">
        <v>3.95</v>
      </c>
      <c r="G592" s="86">
        <v>100</v>
      </c>
      <c r="H592" s="86">
        <v>395</v>
      </c>
      <c r="I592" s="86">
        <v>20757.48</v>
      </c>
      <c r="J592" s="85" t="s">
        <v>2958</v>
      </c>
      <c r="K592" s="85" t="s">
        <v>4923</v>
      </c>
      <c r="L592" s="85" t="s">
        <v>4135</v>
      </c>
      <c r="M592" s="85" t="s">
        <v>4925</v>
      </c>
    </row>
    <row r="593" ht="213.75" spans="1:13">
      <c r="A593" s="85" t="s">
        <v>4926</v>
      </c>
      <c r="B593" s="85" t="s">
        <v>4927</v>
      </c>
      <c r="C593" s="85" t="s">
        <v>4928</v>
      </c>
      <c r="D593" s="85" t="s">
        <v>4929</v>
      </c>
      <c r="E593" s="85" t="s">
        <v>4930</v>
      </c>
      <c r="F593" s="86">
        <v>13</v>
      </c>
      <c r="G593" s="86">
        <v>10</v>
      </c>
      <c r="H593" s="86">
        <v>130</v>
      </c>
      <c r="I593" s="86">
        <v>130</v>
      </c>
      <c r="J593" s="85" t="s">
        <v>2935</v>
      </c>
      <c r="K593" s="85" t="s">
        <v>4923</v>
      </c>
      <c r="L593" s="85" t="s">
        <v>4135</v>
      </c>
      <c r="M593" s="85" t="s">
        <v>4931</v>
      </c>
    </row>
    <row r="594" ht="213.75" spans="1:13">
      <c r="A594" s="85" t="s">
        <v>4922</v>
      </c>
      <c r="B594" s="85" t="s">
        <v>4932</v>
      </c>
      <c r="C594" s="85" t="s">
        <v>4933</v>
      </c>
      <c r="D594" s="85" t="s">
        <v>2992</v>
      </c>
      <c r="E594" s="85" t="s">
        <v>1815</v>
      </c>
      <c r="F594" s="86">
        <v>17.7</v>
      </c>
      <c r="G594" s="86">
        <v>160</v>
      </c>
      <c r="H594" s="86">
        <v>2832</v>
      </c>
      <c r="I594" s="86">
        <v>20757.48</v>
      </c>
      <c r="J594" s="85" t="s">
        <v>2958</v>
      </c>
      <c r="K594" s="85" t="s">
        <v>4923</v>
      </c>
      <c r="L594" s="85" t="s">
        <v>4135</v>
      </c>
      <c r="M594" s="85" t="s">
        <v>4934</v>
      </c>
    </row>
    <row r="595" ht="213.75" spans="1:13">
      <c r="A595" s="85" t="s">
        <v>4935</v>
      </c>
      <c r="B595" s="85" t="s">
        <v>3588</v>
      </c>
      <c r="C595" s="85" t="s">
        <v>3589</v>
      </c>
      <c r="D595" s="85" t="s">
        <v>3074</v>
      </c>
      <c r="E595" s="85" t="s">
        <v>1969</v>
      </c>
      <c r="F595" s="86">
        <v>388</v>
      </c>
      <c r="G595" s="86">
        <v>10</v>
      </c>
      <c r="H595" s="86">
        <v>3880</v>
      </c>
      <c r="I595" s="86">
        <v>4990</v>
      </c>
      <c r="J595" s="85" t="s">
        <v>3075</v>
      </c>
      <c r="K595" s="85" t="s">
        <v>4923</v>
      </c>
      <c r="L595" s="85" t="s">
        <v>4135</v>
      </c>
      <c r="M595" s="85" t="s">
        <v>4936</v>
      </c>
    </row>
    <row r="596" ht="370.5" spans="1:13">
      <c r="A596" s="85" t="s">
        <v>4922</v>
      </c>
      <c r="B596" s="85" t="s">
        <v>4937</v>
      </c>
      <c r="C596" s="85" t="s">
        <v>4938</v>
      </c>
      <c r="D596" s="85" t="s">
        <v>4939</v>
      </c>
      <c r="E596" s="85" t="s">
        <v>1762</v>
      </c>
      <c r="F596" s="86">
        <v>2020</v>
      </c>
      <c r="G596" s="86">
        <v>1</v>
      </c>
      <c r="H596" s="86">
        <v>2020</v>
      </c>
      <c r="I596" s="86">
        <v>20757.48</v>
      </c>
      <c r="J596" s="85" t="s">
        <v>2958</v>
      </c>
      <c r="K596" s="85" t="s">
        <v>4923</v>
      </c>
      <c r="L596" s="85" t="s">
        <v>4135</v>
      </c>
      <c r="M596" s="85" t="s">
        <v>4940</v>
      </c>
    </row>
    <row r="597" ht="213.75" spans="1:13">
      <c r="A597" s="85" t="s">
        <v>4941</v>
      </c>
      <c r="B597" s="85" t="s">
        <v>4942</v>
      </c>
      <c r="C597" s="85" t="s">
        <v>4943</v>
      </c>
      <c r="D597" s="85" t="s">
        <v>3041</v>
      </c>
      <c r="E597" s="85" t="s">
        <v>3042</v>
      </c>
      <c r="F597" s="86">
        <v>5</v>
      </c>
      <c r="G597" s="86">
        <v>230</v>
      </c>
      <c r="H597" s="86">
        <v>1150</v>
      </c>
      <c r="I597" s="86">
        <v>1570</v>
      </c>
      <c r="J597" s="85" t="s">
        <v>4370</v>
      </c>
      <c r="K597" s="85" t="s">
        <v>4923</v>
      </c>
      <c r="L597" s="85" t="s">
        <v>4135</v>
      </c>
      <c r="M597" s="85" t="s">
        <v>4944</v>
      </c>
    </row>
    <row r="598" ht="213.75" spans="1:13">
      <c r="A598" s="85" t="s">
        <v>4922</v>
      </c>
      <c r="B598" s="85" t="s">
        <v>4945</v>
      </c>
      <c r="C598" s="85" t="s">
        <v>4946</v>
      </c>
      <c r="D598" s="85" t="s">
        <v>2982</v>
      </c>
      <c r="E598" s="85" t="s">
        <v>4947</v>
      </c>
      <c r="F598" s="86">
        <v>21.8</v>
      </c>
      <c r="G598" s="86">
        <v>8</v>
      </c>
      <c r="H598" s="86">
        <v>174.4</v>
      </c>
      <c r="I598" s="86">
        <v>20757.48</v>
      </c>
      <c r="J598" s="85" t="s">
        <v>2958</v>
      </c>
      <c r="K598" s="85" t="s">
        <v>4923</v>
      </c>
      <c r="L598" s="85" t="s">
        <v>4135</v>
      </c>
      <c r="M598" s="85" t="s">
        <v>4948</v>
      </c>
    </row>
    <row r="599" ht="213.75" spans="1:13">
      <c r="A599" s="85" t="s">
        <v>4941</v>
      </c>
      <c r="B599" s="85" t="s">
        <v>4570</v>
      </c>
      <c r="C599" s="85" t="s">
        <v>4571</v>
      </c>
      <c r="D599" s="85" t="s">
        <v>3041</v>
      </c>
      <c r="E599" s="85" t="s">
        <v>3158</v>
      </c>
      <c r="F599" s="86">
        <v>14</v>
      </c>
      <c r="G599" s="86">
        <v>30</v>
      </c>
      <c r="H599" s="86">
        <v>420</v>
      </c>
      <c r="I599" s="86">
        <v>1570</v>
      </c>
      <c r="J599" s="85" t="s">
        <v>4370</v>
      </c>
      <c r="K599" s="85" t="s">
        <v>4923</v>
      </c>
      <c r="L599" s="85" t="s">
        <v>4135</v>
      </c>
      <c r="M599" s="85" t="s">
        <v>4949</v>
      </c>
    </row>
    <row r="600" ht="213.75" spans="1:13">
      <c r="A600" s="85" t="s">
        <v>4922</v>
      </c>
      <c r="B600" s="85" t="s">
        <v>3096</v>
      </c>
      <c r="C600" s="85" t="s">
        <v>3097</v>
      </c>
      <c r="D600" s="85" t="s">
        <v>2982</v>
      </c>
      <c r="E600" s="85" t="s">
        <v>3098</v>
      </c>
      <c r="F600" s="86">
        <v>22.89</v>
      </c>
      <c r="G600" s="86">
        <v>20</v>
      </c>
      <c r="H600" s="86">
        <v>457.8</v>
      </c>
      <c r="I600" s="86">
        <v>20757.48</v>
      </c>
      <c r="J600" s="85" t="s">
        <v>2958</v>
      </c>
      <c r="K600" s="85" t="s">
        <v>4923</v>
      </c>
      <c r="L600" s="85" t="s">
        <v>4135</v>
      </c>
      <c r="M600" s="85" t="s">
        <v>4950</v>
      </c>
    </row>
    <row r="601" ht="213.75" spans="1:13">
      <c r="A601" s="85" t="s">
        <v>4922</v>
      </c>
      <c r="B601" s="85" t="s">
        <v>4951</v>
      </c>
      <c r="C601" s="85" t="s">
        <v>4952</v>
      </c>
      <c r="D601" s="85" t="s">
        <v>4953</v>
      </c>
      <c r="E601" s="85" t="s">
        <v>4954</v>
      </c>
      <c r="F601" s="86">
        <v>12.34</v>
      </c>
      <c r="G601" s="86">
        <v>30</v>
      </c>
      <c r="H601" s="86">
        <v>370.2</v>
      </c>
      <c r="I601" s="86">
        <v>20757.48</v>
      </c>
      <c r="J601" s="85" t="s">
        <v>2958</v>
      </c>
      <c r="K601" s="85" t="s">
        <v>4923</v>
      </c>
      <c r="L601" s="85" t="s">
        <v>4135</v>
      </c>
      <c r="M601" s="85" t="s">
        <v>4955</v>
      </c>
    </row>
    <row r="602" ht="213.75" spans="1:13">
      <c r="A602" s="85" t="s">
        <v>4922</v>
      </c>
      <c r="B602" s="85" t="s">
        <v>3063</v>
      </c>
      <c r="C602" s="85" t="s">
        <v>3064</v>
      </c>
      <c r="D602" s="85" t="s">
        <v>2992</v>
      </c>
      <c r="E602" s="85" t="s">
        <v>1815</v>
      </c>
      <c r="F602" s="86">
        <v>5.3</v>
      </c>
      <c r="G602" s="86">
        <v>800</v>
      </c>
      <c r="H602" s="86">
        <v>4240</v>
      </c>
      <c r="I602" s="86">
        <v>20757.48</v>
      </c>
      <c r="J602" s="85" t="s">
        <v>2958</v>
      </c>
      <c r="K602" s="85" t="s">
        <v>4923</v>
      </c>
      <c r="L602" s="85" t="s">
        <v>4135</v>
      </c>
      <c r="M602" s="85" t="s">
        <v>4956</v>
      </c>
    </row>
    <row r="603" ht="213.75" spans="1:13">
      <c r="A603" s="85" t="s">
        <v>4957</v>
      </c>
      <c r="B603" s="85" t="s">
        <v>4537</v>
      </c>
      <c r="C603" s="85" t="s">
        <v>4538</v>
      </c>
      <c r="D603" s="85" t="s">
        <v>2997</v>
      </c>
      <c r="E603" s="85" t="s">
        <v>2998</v>
      </c>
      <c r="F603" s="86">
        <v>18</v>
      </c>
      <c r="G603" s="86">
        <v>100</v>
      </c>
      <c r="H603" s="86">
        <v>1800</v>
      </c>
      <c r="I603" s="86">
        <v>3600</v>
      </c>
      <c r="J603" s="85" t="s">
        <v>2999</v>
      </c>
      <c r="K603" s="85" t="s">
        <v>4923</v>
      </c>
      <c r="L603" s="85" t="s">
        <v>4135</v>
      </c>
      <c r="M603" s="85" t="s">
        <v>4958</v>
      </c>
    </row>
    <row r="604" ht="213.75" spans="1:13">
      <c r="A604" s="85" t="s">
        <v>4922</v>
      </c>
      <c r="B604" s="85" t="s">
        <v>4959</v>
      </c>
      <c r="C604" s="85" t="s">
        <v>4960</v>
      </c>
      <c r="D604" s="85" t="s">
        <v>4596</v>
      </c>
      <c r="E604" s="85" t="s">
        <v>4961</v>
      </c>
      <c r="F604" s="86">
        <v>36.71</v>
      </c>
      <c r="G604" s="86">
        <v>20</v>
      </c>
      <c r="H604" s="86">
        <v>734.2</v>
      </c>
      <c r="I604" s="86">
        <v>20757.48</v>
      </c>
      <c r="J604" s="85" t="s">
        <v>2958</v>
      </c>
      <c r="K604" s="85" t="s">
        <v>4923</v>
      </c>
      <c r="L604" s="85" t="s">
        <v>4135</v>
      </c>
      <c r="M604" s="85" t="s">
        <v>4962</v>
      </c>
    </row>
    <row r="605" ht="213.75" spans="1:13">
      <c r="A605" s="85" t="s">
        <v>4922</v>
      </c>
      <c r="B605" s="85" t="s">
        <v>4112</v>
      </c>
      <c r="C605" s="85" t="s">
        <v>4113</v>
      </c>
      <c r="D605" s="85" t="s">
        <v>2982</v>
      </c>
      <c r="E605" s="85" t="s">
        <v>4114</v>
      </c>
      <c r="F605" s="86">
        <v>23.1</v>
      </c>
      <c r="G605" s="86">
        <v>8</v>
      </c>
      <c r="H605" s="86">
        <v>184.8</v>
      </c>
      <c r="I605" s="86">
        <v>20757.48</v>
      </c>
      <c r="J605" s="85" t="s">
        <v>2958</v>
      </c>
      <c r="K605" s="85" t="s">
        <v>4923</v>
      </c>
      <c r="L605" s="85" t="s">
        <v>4135</v>
      </c>
      <c r="M605" s="85" t="s">
        <v>4963</v>
      </c>
    </row>
    <row r="606" ht="213.75" spans="1:13">
      <c r="A606" s="85" t="s">
        <v>4922</v>
      </c>
      <c r="B606" s="85" t="s">
        <v>3048</v>
      </c>
      <c r="C606" s="85" t="s">
        <v>3049</v>
      </c>
      <c r="D606" s="85" t="s">
        <v>2982</v>
      </c>
      <c r="E606" s="85" t="s">
        <v>3050</v>
      </c>
      <c r="F606" s="86">
        <v>4.5</v>
      </c>
      <c r="G606" s="86">
        <v>200</v>
      </c>
      <c r="H606" s="86">
        <v>900</v>
      </c>
      <c r="I606" s="86">
        <v>20757.48</v>
      </c>
      <c r="J606" s="85" t="s">
        <v>2958</v>
      </c>
      <c r="K606" s="85" t="s">
        <v>4923</v>
      </c>
      <c r="L606" s="85" t="s">
        <v>4135</v>
      </c>
      <c r="M606" s="85" t="s">
        <v>4964</v>
      </c>
    </row>
    <row r="607" ht="213.75" spans="1:13">
      <c r="A607" s="85" t="s">
        <v>4922</v>
      </c>
      <c r="B607" s="85" t="s">
        <v>3500</v>
      </c>
      <c r="C607" s="85" t="s">
        <v>3501</v>
      </c>
      <c r="D607" s="85" t="s">
        <v>2992</v>
      </c>
      <c r="E607" s="85" t="s">
        <v>1815</v>
      </c>
      <c r="F607" s="86">
        <v>17.7</v>
      </c>
      <c r="G607" s="86">
        <v>400</v>
      </c>
      <c r="H607" s="86">
        <v>7080</v>
      </c>
      <c r="I607" s="86">
        <v>20757.48</v>
      </c>
      <c r="J607" s="85" t="s">
        <v>2958</v>
      </c>
      <c r="K607" s="85" t="s">
        <v>4923</v>
      </c>
      <c r="L607" s="85" t="s">
        <v>4135</v>
      </c>
      <c r="M607" s="85" t="s">
        <v>4965</v>
      </c>
    </row>
    <row r="608" ht="213.75" spans="1:13">
      <c r="A608" s="85" t="s">
        <v>4935</v>
      </c>
      <c r="B608" s="85" t="s">
        <v>3072</v>
      </c>
      <c r="C608" s="85" t="s">
        <v>3073</v>
      </c>
      <c r="D608" s="85" t="s">
        <v>3074</v>
      </c>
      <c r="E608" s="85" t="s">
        <v>1969</v>
      </c>
      <c r="F608" s="86">
        <v>445</v>
      </c>
      <c r="G608" s="86">
        <v>2</v>
      </c>
      <c r="H608" s="86">
        <v>890</v>
      </c>
      <c r="I608" s="86">
        <v>4990</v>
      </c>
      <c r="J608" s="85" t="s">
        <v>3075</v>
      </c>
      <c r="K608" s="85" t="s">
        <v>4923</v>
      </c>
      <c r="L608" s="85" t="s">
        <v>4135</v>
      </c>
      <c r="M608" s="85" t="s">
        <v>4966</v>
      </c>
    </row>
    <row r="609" ht="213.75" spans="1:13">
      <c r="A609" s="85" t="s">
        <v>4922</v>
      </c>
      <c r="B609" s="85" t="s">
        <v>2954</v>
      </c>
      <c r="C609" s="85" t="s">
        <v>2955</v>
      </c>
      <c r="D609" s="85" t="s">
        <v>2956</v>
      </c>
      <c r="E609" s="85" t="s">
        <v>2957</v>
      </c>
      <c r="F609" s="86">
        <v>48.27</v>
      </c>
      <c r="G609" s="86">
        <v>4</v>
      </c>
      <c r="H609" s="86">
        <v>193.08</v>
      </c>
      <c r="I609" s="86">
        <v>20757.48</v>
      </c>
      <c r="J609" s="85" t="s">
        <v>2958</v>
      </c>
      <c r="K609" s="85" t="s">
        <v>4923</v>
      </c>
      <c r="L609" s="85" t="s">
        <v>4135</v>
      </c>
      <c r="M609" s="85" t="s">
        <v>4967</v>
      </c>
    </row>
    <row r="610" ht="213.75" spans="1:13">
      <c r="A610" s="85" t="s">
        <v>4935</v>
      </c>
      <c r="B610" s="85" t="s">
        <v>4968</v>
      </c>
      <c r="C610" s="85" t="s">
        <v>4969</v>
      </c>
      <c r="D610" s="85" t="s">
        <v>3074</v>
      </c>
      <c r="E610" s="85" t="s">
        <v>1969</v>
      </c>
      <c r="F610" s="86">
        <v>22</v>
      </c>
      <c r="G610" s="86">
        <v>10</v>
      </c>
      <c r="H610" s="86">
        <v>220</v>
      </c>
      <c r="I610" s="86">
        <v>4990</v>
      </c>
      <c r="J610" s="85" t="s">
        <v>3075</v>
      </c>
      <c r="K610" s="85" t="s">
        <v>4923</v>
      </c>
      <c r="L610" s="85" t="s">
        <v>4135</v>
      </c>
      <c r="M610" s="85" t="s">
        <v>4970</v>
      </c>
    </row>
    <row r="611" ht="213.75" spans="1:13">
      <c r="A611" s="85" t="s">
        <v>4957</v>
      </c>
      <c r="B611" s="85" t="s">
        <v>4497</v>
      </c>
      <c r="C611" s="85" t="s">
        <v>4498</v>
      </c>
      <c r="D611" s="85" t="s">
        <v>2997</v>
      </c>
      <c r="E611" s="85" t="s">
        <v>2998</v>
      </c>
      <c r="F611" s="86">
        <v>18</v>
      </c>
      <c r="G611" s="86">
        <v>100</v>
      </c>
      <c r="H611" s="86">
        <v>1800</v>
      </c>
      <c r="I611" s="86">
        <v>3600</v>
      </c>
      <c r="J611" s="85" t="s">
        <v>2999</v>
      </c>
      <c r="K611" s="85" t="s">
        <v>4923</v>
      </c>
      <c r="L611" s="85" t="s">
        <v>4135</v>
      </c>
      <c r="M611" s="85" t="s">
        <v>4971</v>
      </c>
    </row>
    <row r="612" ht="213.75" spans="1:13">
      <c r="A612" s="85" t="s">
        <v>4972</v>
      </c>
      <c r="B612" s="85" t="s">
        <v>3745</v>
      </c>
      <c r="C612" s="85" t="s">
        <v>3746</v>
      </c>
      <c r="D612" s="85" t="s">
        <v>3747</v>
      </c>
      <c r="E612" s="85" t="s">
        <v>1827</v>
      </c>
      <c r="F612" s="86">
        <v>132.67</v>
      </c>
      <c r="G612" s="86">
        <v>300</v>
      </c>
      <c r="H612" s="86">
        <v>39801</v>
      </c>
      <c r="I612" s="86">
        <v>39801</v>
      </c>
      <c r="J612" s="85" t="s">
        <v>2932</v>
      </c>
      <c r="K612" s="85" t="s">
        <v>4973</v>
      </c>
      <c r="L612" s="85" t="s">
        <v>4135</v>
      </c>
      <c r="M612" s="85" t="s">
        <v>4974</v>
      </c>
    </row>
    <row r="613" ht="213.75" spans="1:13">
      <c r="A613" s="85" t="s">
        <v>4975</v>
      </c>
      <c r="B613" s="85" t="s">
        <v>4976</v>
      </c>
      <c r="C613" s="85" t="s">
        <v>4977</v>
      </c>
      <c r="D613" s="85" t="s">
        <v>4978</v>
      </c>
      <c r="E613" s="85" t="s">
        <v>4979</v>
      </c>
      <c r="F613" s="86">
        <v>128</v>
      </c>
      <c r="G613" s="86">
        <v>330</v>
      </c>
      <c r="H613" s="86">
        <v>42240</v>
      </c>
      <c r="I613" s="86">
        <v>50928</v>
      </c>
      <c r="J613" s="85" t="s">
        <v>2938</v>
      </c>
      <c r="K613" s="85" t="s">
        <v>4980</v>
      </c>
      <c r="L613" s="85" t="s">
        <v>4135</v>
      </c>
      <c r="M613" s="85" t="s">
        <v>4981</v>
      </c>
    </row>
    <row r="614" ht="213.75" spans="1:13">
      <c r="A614" s="85" t="s">
        <v>4975</v>
      </c>
      <c r="B614" s="85" t="s">
        <v>4609</v>
      </c>
      <c r="C614" s="85" t="s">
        <v>4610</v>
      </c>
      <c r="D614" s="85" t="s">
        <v>3548</v>
      </c>
      <c r="E614" s="85" t="s">
        <v>1835</v>
      </c>
      <c r="F614" s="86">
        <v>365</v>
      </c>
      <c r="G614" s="86">
        <v>14</v>
      </c>
      <c r="H614" s="86">
        <v>5110</v>
      </c>
      <c r="I614" s="86">
        <v>50928</v>
      </c>
      <c r="J614" s="85" t="s">
        <v>2938</v>
      </c>
      <c r="K614" s="85" t="s">
        <v>4980</v>
      </c>
      <c r="L614" s="85" t="s">
        <v>4135</v>
      </c>
      <c r="M614" s="85" t="s">
        <v>4982</v>
      </c>
    </row>
    <row r="615" ht="213.75" spans="1:13">
      <c r="A615" s="85" t="s">
        <v>4975</v>
      </c>
      <c r="B615" s="85" t="s">
        <v>3530</v>
      </c>
      <c r="C615" s="85" t="s">
        <v>3531</v>
      </c>
      <c r="D615" s="85" t="s">
        <v>3532</v>
      </c>
      <c r="E615" s="85" t="s">
        <v>3533</v>
      </c>
      <c r="F615" s="86">
        <v>198</v>
      </c>
      <c r="G615" s="86">
        <v>11</v>
      </c>
      <c r="H615" s="86">
        <v>2178</v>
      </c>
      <c r="I615" s="86">
        <v>50928</v>
      </c>
      <c r="J615" s="85" t="s">
        <v>2938</v>
      </c>
      <c r="K615" s="85" t="s">
        <v>4980</v>
      </c>
      <c r="L615" s="85" t="s">
        <v>4135</v>
      </c>
      <c r="M615" s="85" t="s">
        <v>4983</v>
      </c>
    </row>
    <row r="616" ht="213.75" spans="1:13">
      <c r="A616" s="85" t="s">
        <v>4975</v>
      </c>
      <c r="B616" s="85" t="s">
        <v>4984</v>
      </c>
      <c r="C616" s="85" t="s">
        <v>4985</v>
      </c>
      <c r="D616" s="85" t="s">
        <v>4080</v>
      </c>
      <c r="E616" s="85" t="s">
        <v>4081</v>
      </c>
      <c r="F616" s="86">
        <v>280</v>
      </c>
      <c r="G616" s="86">
        <v>5</v>
      </c>
      <c r="H616" s="86">
        <v>1400</v>
      </c>
      <c r="I616" s="86">
        <v>50928</v>
      </c>
      <c r="J616" s="85" t="s">
        <v>2938</v>
      </c>
      <c r="K616" s="85" t="s">
        <v>4980</v>
      </c>
      <c r="L616" s="85" t="s">
        <v>4135</v>
      </c>
      <c r="M616" s="85" t="s">
        <v>4986</v>
      </c>
    </row>
    <row r="617" ht="213.75" spans="1:13">
      <c r="A617" s="85" t="s">
        <v>4987</v>
      </c>
      <c r="B617" s="85" t="s">
        <v>4988</v>
      </c>
      <c r="C617" s="85" t="s">
        <v>4989</v>
      </c>
      <c r="D617" s="85" t="s">
        <v>4456</v>
      </c>
      <c r="E617" s="85" t="s">
        <v>4457</v>
      </c>
      <c r="F617" s="86">
        <v>122.35</v>
      </c>
      <c r="G617" s="86">
        <v>8</v>
      </c>
      <c r="H617" s="86">
        <v>978.8</v>
      </c>
      <c r="I617" s="86">
        <v>9099.08</v>
      </c>
      <c r="J617" s="85" t="s">
        <v>4391</v>
      </c>
      <c r="K617" s="85" t="s">
        <v>4990</v>
      </c>
      <c r="L617" s="85" t="s">
        <v>4135</v>
      </c>
      <c r="M617" s="85" t="s">
        <v>4991</v>
      </c>
    </row>
    <row r="618" ht="213.75" spans="1:13">
      <c r="A618" s="85" t="s">
        <v>4987</v>
      </c>
      <c r="B618" s="85" t="s">
        <v>4992</v>
      </c>
      <c r="C618" s="85" t="s">
        <v>4993</v>
      </c>
      <c r="D618" s="85" t="s">
        <v>3641</v>
      </c>
      <c r="E618" s="85" t="s">
        <v>4993</v>
      </c>
      <c r="F618" s="86">
        <v>45.24</v>
      </c>
      <c r="G618" s="86">
        <v>5</v>
      </c>
      <c r="H618" s="86">
        <v>226.2</v>
      </c>
      <c r="I618" s="86">
        <v>9099.08</v>
      </c>
      <c r="J618" s="85" t="s">
        <v>4391</v>
      </c>
      <c r="K618" s="85" t="s">
        <v>4990</v>
      </c>
      <c r="L618" s="85" t="s">
        <v>4135</v>
      </c>
      <c r="M618" s="85" t="s">
        <v>4994</v>
      </c>
    </row>
    <row r="619" ht="213.75" spans="1:13">
      <c r="A619" s="85" t="s">
        <v>4987</v>
      </c>
      <c r="B619" s="85" t="s">
        <v>4995</v>
      </c>
      <c r="C619" s="85" t="s">
        <v>4996</v>
      </c>
      <c r="D619" s="85" t="s">
        <v>2982</v>
      </c>
      <c r="E619" s="85" t="s">
        <v>4997</v>
      </c>
      <c r="F619" s="86">
        <v>117.5</v>
      </c>
      <c r="G619" s="86">
        <v>20</v>
      </c>
      <c r="H619" s="86">
        <v>2350</v>
      </c>
      <c r="I619" s="86">
        <v>9099.08</v>
      </c>
      <c r="J619" s="85" t="s">
        <v>4391</v>
      </c>
      <c r="K619" s="85" t="s">
        <v>4990</v>
      </c>
      <c r="L619" s="85" t="s">
        <v>4135</v>
      </c>
      <c r="M619" s="85" t="s">
        <v>4998</v>
      </c>
    </row>
    <row r="620" ht="213.75" spans="1:13">
      <c r="A620" s="85" t="s">
        <v>4987</v>
      </c>
      <c r="B620" s="85" t="s">
        <v>4999</v>
      </c>
      <c r="C620" s="85" t="s">
        <v>5000</v>
      </c>
      <c r="D620" s="85" t="s">
        <v>4456</v>
      </c>
      <c r="E620" s="85" t="s">
        <v>4729</v>
      </c>
      <c r="F620" s="86">
        <v>93.94</v>
      </c>
      <c r="G620" s="86">
        <v>2</v>
      </c>
      <c r="H620" s="86">
        <v>187.88</v>
      </c>
      <c r="I620" s="86">
        <v>9099.08</v>
      </c>
      <c r="J620" s="85" t="s">
        <v>4391</v>
      </c>
      <c r="K620" s="85" t="s">
        <v>4990</v>
      </c>
      <c r="L620" s="85" t="s">
        <v>4135</v>
      </c>
      <c r="M620" s="85" t="s">
        <v>5001</v>
      </c>
    </row>
    <row r="621" ht="213.75" spans="1:13">
      <c r="A621" s="85" t="s">
        <v>4987</v>
      </c>
      <c r="B621" s="85" t="s">
        <v>3938</v>
      </c>
      <c r="C621" s="85" t="s">
        <v>3939</v>
      </c>
      <c r="D621" s="85" t="s">
        <v>3722</v>
      </c>
      <c r="E621" s="85" t="s">
        <v>3940</v>
      </c>
      <c r="F621" s="86">
        <v>39.2</v>
      </c>
      <c r="G621" s="86">
        <v>20</v>
      </c>
      <c r="H621" s="86">
        <v>784</v>
      </c>
      <c r="I621" s="86">
        <v>9099.08</v>
      </c>
      <c r="J621" s="85" t="s">
        <v>4391</v>
      </c>
      <c r="K621" s="85" t="s">
        <v>4990</v>
      </c>
      <c r="L621" s="85" t="s">
        <v>4135</v>
      </c>
      <c r="M621" s="85" t="s">
        <v>5002</v>
      </c>
    </row>
    <row r="622" ht="213.75" spans="1:13">
      <c r="A622" s="85" t="s">
        <v>4987</v>
      </c>
      <c r="B622" s="85" t="s">
        <v>3931</v>
      </c>
      <c r="C622" s="85" t="s">
        <v>3932</v>
      </c>
      <c r="D622" s="85" t="s">
        <v>3189</v>
      </c>
      <c r="E622" s="85" t="s">
        <v>3933</v>
      </c>
      <c r="F622" s="86">
        <v>30.9</v>
      </c>
      <c r="G622" s="86">
        <v>6</v>
      </c>
      <c r="H622" s="86">
        <v>185.4</v>
      </c>
      <c r="I622" s="86">
        <v>9099.08</v>
      </c>
      <c r="J622" s="85" t="s">
        <v>4391</v>
      </c>
      <c r="K622" s="85" t="s">
        <v>4990</v>
      </c>
      <c r="L622" s="85" t="s">
        <v>4135</v>
      </c>
      <c r="M622" s="85" t="s">
        <v>5003</v>
      </c>
    </row>
    <row r="623" ht="213.75" spans="1:13">
      <c r="A623" s="85" t="s">
        <v>4987</v>
      </c>
      <c r="B623" s="85" t="s">
        <v>5004</v>
      </c>
      <c r="C623" s="85" t="s">
        <v>5005</v>
      </c>
      <c r="D623" s="85" t="s">
        <v>3506</v>
      </c>
      <c r="E623" s="85" t="s">
        <v>5006</v>
      </c>
      <c r="F623" s="86">
        <v>47.25</v>
      </c>
      <c r="G623" s="86">
        <v>4</v>
      </c>
      <c r="H623" s="86">
        <v>189</v>
      </c>
      <c r="I623" s="86">
        <v>9099.08</v>
      </c>
      <c r="J623" s="85" t="s">
        <v>4391</v>
      </c>
      <c r="K623" s="85" t="s">
        <v>4990</v>
      </c>
      <c r="L623" s="85" t="s">
        <v>4135</v>
      </c>
      <c r="M623" s="85" t="s">
        <v>5007</v>
      </c>
    </row>
    <row r="624" ht="256.5" spans="1:13">
      <c r="A624" s="85" t="s">
        <v>4987</v>
      </c>
      <c r="B624" s="85" t="s">
        <v>5008</v>
      </c>
      <c r="C624" s="85" t="s">
        <v>5009</v>
      </c>
      <c r="D624" s="85" t="s">
        <v>5010</v>
      </c>
      <c r="E624" s="85" t="s">
        <v>2342</v>
      </c>
      <c r="F624" s="86">
        <v>1678.8</v>
      </c>
      <c r="G624" s="86">
        <v>1</v>
      </c>
      <c r="H624" s="86">
        <v>1678.8</v>
      </c>
      <c r="I624" s="86">
        <v>9099.08</v>
      </c>
      <c r="J624" s="85" t="s">
        <v>4391</v>
      </c>
      <c r="K624" s="85" t="s">
        <v>4990</v>
      </c>
      <c r="L624" s="85" t="s">
        <v>4135</v>
      </c>
      <c r="M624" s="85" t="s">
        <v>5011</v>
      </c>
    </row>
    <row r="625" ht="213.75" spans="1:13">
      <c r="A625" s="85" t="s">
        <v>4987</v>
      </c>
      <c r="B625" s="85" t="s">
        <v>5012</v>
      </c>
      <c r="C625" s="85" t="s">
        <v>5013</v>
      </c>
      <c r="D625" s="85" t="s">
        <v>3907</v>
      </c>
      <c r="E625" s="85" t="s">
        <v>5014</v>
      </c>
      <c r="F625" s="86">
        <v>0.73</v>
      </c>
      <c r="G625" s="86">
        <v>500</v>
      </c>
      <c r="H625" s="86">
        <v>365</v>
      </c>
      <c r="I625" s="86">
        <v>9099.08</v>
      </c>
      <c r="J625" s="85" t="s">
        <v>4391</v>
      </c>
      <c r="K625" s="85" t="s">
        <v>4990</v>
      </c>
      <c r="L625" s="85" t="s">
        <v>4135</v>
      </c>
      <c r="M625" s="85" t="s">
        <v>5015</v>
      </c>
    </row>
    <row r="626" ht="213.75" spans="1:13">
      <c r="A626" s="85" t="s">
        <v>4987</v>
      </c>
      <c r="B626" s="85" t="s">
        <v>5016</v>
      </c>
      <c r="C626" s="85" t="s">
        <v>5017</v>
      </c>
      <c r="D626" s="85" t="s">
        <v>5018</v>
      </c>
      <c r="E626" s="85" t="s">
        <v>5019</v>
      </c>
      <c r="F626" s="86">
        <v>166.4</v>
      </c>
      <c r="G626" s="86">
        <v>1</v>
      </c>
      <c r="H626" s="86">
        <v>166.4</v>
      </c>
      <c r="I626" s="86">
        <v>9099.08</v>
      </c>
      <c r="J626" s="85" t="s">
        <v>4391</v>
      </c>
      <c r="K626" s="85" t="s">
        <v>4990</v>
      </c>
      <c r="L626" s="85" t="s">
        <v>4135</v>
      </c>
      <c r="M626" s="85" t="s">
        <v>5020</v>
      </c>
    </row>
    <row r="627" ht="213.75" spans="1:13">
      <c r="A627" s="85" t="s">
        <v>4987</v>
      </c>
      <c r="B627" s="85" t="s">
        <v>5021</v>
      </c>
      <c r="C627" s="85" t="s">
        <v>5022</v>
      </c>
      <c r="D627" s="85" t="s">
        <v>5023</v>
      </c>
      <c r="E627" s="85" t="s">
        <v>5024</v>
      </c>
      <c r="F627" s="86">
        <v>12.2</v>
      </c>
      <c r="G627" s="86">
        <v>100</v>
      </c>
      <c r="H627" s="86">
        <v>1220</v>
      </c>
      <c r="I627" s="86">
        <v>9099.08</v>
      </c>
      <c r="J627" s="85" t="s">
        <v>4391</v>
      </c>
      <c r="K627" s="85" t="s">
        <v>4990</v>
      </c>
      <c r="L627" s="85" t="s">
        <v>4135</v>
      </c>
      <c r="M627" s="85" t="s">
        <v>5025</v>
      </c>
    </row>
    <row r="628" ht="213.75" spans="1:13">
      <c r="A628" s="85" t="s">
        <v>4987</v>
      </c>
      <c r="B628" s="85" t="s">
        <v>5026</v>
      </c>
      <c r="C628" s="85" t="s">
        <v>5027</v>
      </c>
      <c r="D628" s="85" t="s">
        <v>3506</v>
      </c>
      <c r="E628" s="85" t="s">
        <v>5006</v>
      </c>
      <c r="F628" s="86">
        <v>125</v>
      </c>
      <c r="G628" s="86">
        <v>2</v>
      </c>
      <c r="H628" s="86">
        <v>250</v>
      </c>
      <c r="I628" s="86">
        <v>9099.08</v>
      </c>
      <c r="J628" s="85" t="s">
        <v>4391</v>
      </c>
      <c r="K628" s="85" t="s">
        <v>4990</v>
      </c>
      <c r="L628" s="85" t="s">
        <v>4135</v>
      </c>
      <c r="M628" s="85" t="s">
        <v>5028</v>
      </c>
    </row>
    <row r="629" ht="213.75" spans="1:13">
      <c r="A629" s="85" t="s">
        <v>4987</v>
      </c>
      <c r="B629" s="85" t="s">
        <v>3922</v>
      </c>
      <c r="C629" s="85" t="s">
        <v>3923</v>
      </c>
      <c r="D629" s="85" t="s">
        <v>3189</v>
      </c>
      <c r="E629" s="85" t="s">
        <v>3924</v>
      </c>
      <c r="F629" s="86">
        <v>70</v>
      </c>
      <c r="G629" s="86">
        <v>4</v>
      </c>
      <c r="H629" s="86">
        <v>280</v>
      </c>
      <c r="I629" s="86">
        <v>9099.08</v>
      </c>
      <c r="J629" s="85" t="s">
        <v>4391</v>
      </c>
      <c r="K629" s="85" t="s">
        <v>4990</v>
      </c>
      <c r="L629" s="85" t="s">
        <v>4135</v>
      </c>
      <c r="M629" s="85" t="s">
        <v>5029</v>
      </c>
    </row>
    <row r="630" ht="213.75" spans="1:13">
      <c r="A630" s="85" t="s">
        <v>4987</v>
      </c>
      <c r="B630" s="85" t="s">
        <v>5030</v>
      </c>
      <c r="C630" s="85" t="s">
        <v>5031</v>
      </c>
      <c r="D630" s="85" t="s">
        <v>3506</v>
      </c>
      <c r="E630" s="85" t="s">
        <v>5006</v>
      </c>
      <c r="F630" s="86">
        <v>118.8</v>
      </c>
      <c r="G630" s="86">
        <v>2</v>
      </c>
      <c r="H630" s="86">
        <v>237.6</v>
      </c>
      <c r="I630" s="86">
        <v>9099.08</v>
      </c>
      <c r="J630" s="85" t="s">
        <v>4391</v>
      </c>
      <c r="K630" s="85" t="s">
        <v>4990</v>
      </c>
      <c r="L630" s="85" t="s">
        <v>4135</v>
      </c>
      <c r="M630" s="85" t="s">
        <v>5032</v>
      </c>
    </row>
    <row r="631" ht="213.75" spans="1:13">
      <c r="A631" s="85" t="s">
        <v>5033</v>
      </c>
      <c r="B631" s="85" t="s">
        <v>5034</v>
      </c>
      <c r="C631" s="85" t="s">
        <v>5035</v>
      </c>
      <c r="D631" s="85" t="s">
        <v>3434</v>
      </c>
      <c r="E631" s="85" t="s">
        <v>5035</v>
      </c>
      <c r="F631" s="86">
        <v>7.05</v>
      </c>
      <c r="G631" s="86">
        <v>20</v>
      </c>
      <c r="H631" s="86">
        <v>141</v>
      </c>
      <c r="I631" s="86">
        <v>15846.45</v>
      </c>
      <c r="J631" s="85" t="s">
        <v>4391</v>
      </c>
      <c r="K631" s="85" t="s">
        <v>5036</v>
      </c>
      <c r="L631" s="85" t="s">
        <v>4135</v>
      </c>
      <c r="M631" s="85" t="s">
        <v>5037</v>
      </c>
    </row>
    <row r="632" ht="213.75" spans="1:13">
      <c r="A632" s="85" t="s">
        <v>5033</v>
      </c>
      <c r="B632" s="85" t="s">
        <v>5038</v>
      </c>
      <c r="C632" s="85" t="s">
        <v>5039</v>
      </c>
      <c r="D632" s="85" t="s">
        <v>5040</v>
      </c>
      <c r="E632" s="85" t="s">
        <v>5041</v>
      </c>
      <c r="F632" s="86">
        <v>939.68</v>
      </c>
      <c r="G632" s="86">
        <v>1</v>
      </c>
      <c r="H632" s="86">
        <v>939.68</v>
      </c>
      <c r="I632" s="86">
        <v>15846.45</v>
      </c>
      <c r="J632" s="85" t="s">
        <v>4391</v>
      </c>
      <c r="K632" s="85" t="s">
        <v>5036</v>
      </c>
      <c r="L632" s="85" t="s">
        <v>4135</v>
      </c>
      <c r="M632" s="85" t="s">
        <v>5042</v>
      </c>
    </row>
    <row r="633" ht="242.25" spans="1:13">
      <c r="A633" s="85" t="s">
        <v>5033</v>
      </c>
      <c r="B633" s="85" t="s">
        <v>5043</v>
      </c>
      <c r="C633" s="85" t="s">
        <v>5044</v>
      </c>
      <c r="D633" s="85" t="s">
        <v>4296</v>
      </c>
      <c r="E633" s="85" t="s">
        <v>4297</v>
      </c>
      <c r="F633" s="86">
        <v>14.75</v>
      </c>
      <c r="G633" s="86">
        <v>50</v>
      </c>
      <c r="H633" s="86">
        <v>737.5</v>
      </c>
      <c r="I633" s="86">
        <v>15846.45</v>
      </c>
      <c r="J633" s="85" t="s">
        <v>4391</v>
      </c>
      <c r="K633" s="85" t="s">
        <v>5036</v>
      </c>
      <c r="L633" s="85" t="s">
        <v>4135</v>
      </c>
      <c r="M633" s="85" t="s">
        <v>5045</v>
      </c>
    </row>
    <row r="634" ht="213.75" spans="1:13">
      <c r="A634" s="85" t="s">
        <v>5033</v>
      </c>
      <c r="B634" s="85" t="s">
        <v>4992</v>
      </c>
      <c r="C634" s="85" t="s">
        <v>4993</v>
      </c>
      <c r="D634" s="85" t="s">
        <v>3641</v>
      </c>
      <c r="E634" s="85" t="s">
        <v>4993</v>
      </c>
      <c r="F634" s="86">
        <v>45.24</v>
      </c>
      <c r="G634" s="86">
        <v>15</v>
      </c>
      <c r="H634" s="86">
        <v>678.6</v>
      </c>
      <c r="I634" s="86">
        <v>15846.45</v>
      </c>
      <c r="J634" s="85" t="s">
        <v>4391</v>
      </c>
      <c r="K634" s="85" t="s">
        <v>5036</v>
      </c>
      <c r="L634" s="85" t="s">
        <v>4135</v>
      </c>
      <c r="M634" s="85" t="s">
        <v>5046</v>
      </c>
    </row>
    <row r="635" ht="213.75" spans="1:13">
      <c r="A635" s="85" t="s">
        <v>5033</v>
      </c>
      <c r="B635" s="85" t="s">
        <v>5047</v>
      </c>
      <c r="C635" s="85" t="s">
        <v>5048</v>
      </c>
      <c r="D635" s="85" t="s">
        <v>4848</v>
      </c>
      <c r="E635" s="85" t="s">
        <v>4849</v>
      </c>
      <c r="F635" s="86">
        <v>101.55</v>
      </c>
      <c r="G635" s="86">
        <v>2</v>
      </c>
      <c r="H635" s="86">
        <v>203.1</v>
      </c>
      <c r="I635" s="86">
        <v>15846.45</v>
      </c>
      <c r="J635" s="85" t="s">
        <v>4391</v>
      </c>
      <c r="K635" s="85" t="s">
        <v>5036</v>
      </c>
      <c r="L635" s="85" t="s">
        <v>4135</v>
      </c>
      <c r="M635" s="85" t="s">
        <v>5049</v>
      </c>
    </row>
    <row r="636" ht="213.75" spans="1:13">
      <c r="A636" s="85" t="s">
        <v>5033</v>
      </c>
      <c r="B636" s="85" t="s">
        <v>5050</v>
      </c>
      <c r="C636" s="85" t="s">
        <v>5051</v>
      </c>
      <c r="D636" s="85" t="s">
        <v>5052</v>
      </c>
      <c r="E636" s="85" t="s">
        <v>5053</v>
      </c>
      <c r="F636" s="86">
        <v>18.92</v>
      </c>
      <c r="G636" s="86">
        <v>5</v>
      </c>
      <c r="H636" s="86">
        <v>94.6</v>
      </c>
      <c r="I636" s="86">
        <v>15846.45</v>
      </c>
      <c r="J636" s="85" t="s">
        <v>4391</v>
      </c>
      <c r="K636" s="85" t="s">
        <v>5036</v>
      </c>
      <c r="L636" s="85" t="s">
        <v>4135</v>
      </c>
      <c r="M636" s="85" t="s">
        <v>5054</v>
      </c>
    </row>
    <row r="637" ht="213.75" spans="1:13">
      <c r="A637" s="85" t="s">
        <v>5033</v>
      </c>
      <c r="B637" s="85" t="s">
        <v>4995</v>
      </c>
      <c r="C637" s="85" t="s">
        <v>4996</v>
      </c>
      <c r="D637" s="85" t="s">
        <v>2982</v>
      </c>
      <c r="E637" s="85" t="s">
        <v>4997</v>
      </c>
      <c r="F637" s="86">
        <v>117.5</v>
      </c>
      <c r="G637" s="86">
        <v>10</v>
      </c>
      <c r="H637" s="86">
        <v>1175</v>
      </c>
      <c r="I637" s="86">
        <v>15846.45</v>
      </c>
      <c r="J637" s="85" t="s">
        <v>4391</v>
      </c>
      <c r="K637" s="85" t="s">
        <v>5036</v>
      </c>
      <c r="L637" s="85" t="s">
        <v>4135</v>
      </c>
      <c r="M637" s="85" t="s">
        <v>5055</v>
      </c>
    </row>
    <row r="638" ht="213.75" spans="1:13">
      <c r="A638" s="85" t="s">
        <v>5033</v>
      </c>
      <c r="B638" s="85" t="s">
        <v>5050</v>
      </c>
      <c r="C638" s="85" t="s">
        <v>5051</v>
      </c>
      <c r="D638" s="85" t="s">
        <v>5052</v>
      </c>
      <c r="E638" s="85" t="s">
        <v>5053</v>
      </c>
      <c r="F638" s="86">
        <v>22.25</v>
      </c>
      <c r="G638" s="86">
        <v>5</v>
      </c>
      <c r="H638" s="86">
        <v>111.25</v>
      </c>
      <c r="I638" s="86">
        <v>15846.45</v>
      </c>
      <c r="J638" s="85" t="s">
        <v>4391</v>
      </c>
      <c r="K638" s="85" t="s">
        <v>5036</v>
      </c>
      <c r="L638" s="85" t="s">
        <v>4135</v>
      </c>
      <c r="M638" s="85" t="s">
        <v>5056</v>
      </c>
    </row>
    <row r="639" ht="242.25" spans="1:13">
      <c r="A639" s="85" t="s">
        <v>5033</v>
      </c>
      <c r="B639" s="85" t="s">
        <v>4696</v>
      </c>
      <c r="C639" s="85" t="s">
        <v>4697</v>
      </c>
      <c r="D639" s="85" t="s">
        <v>3153</v>
      </c>
      <c r="E639" s="85" t="s">
        <v>4697</v>
      </c>
      <c r="F639" s="86">
        <v>45.6</v>
      </c>
      <c r="G639" s="86">
        <v>10</v>
      </c>
      <c r="H639" s="86">
        <v>456</v>
      </c>
      <c r="I639" s="86">
        <v>15846.45</v>
      </c>
      <c r="J639" s="85" t="s">
        <v>4391</v>
      </c>
      <c r="K639" s="85" t="s">
        <v>5036</v>
      </c>
      <c r="L639" s="85" t="s">
        <v>4135</v>
      </c>
      <c r="M639" s="85" t="s">
        <v>5057</v>
      </c>
    </row>
    <row r="640" ht="213.75" spans="1:13">
      <c r="A640" s="85" t="s">
        <v>5033</v>
      </c>
      <c r="B640" s="85" t="s">
        <v>5058</v>
      </c>
      <c r="C640" s="85" t="s">
        <v>5059</v>
      </c>
      <c r="D640" s="85" t="s">
        <v>3068</v>
      </c>
      <c r="E640" s="85" t="s">
        <v>3069</v>
      </c>
      <c r="F640" s="86">
        <v>247.51</v>
      </c>
      <c r="G640" s="86">
        <v>5</v>
      </c>
      <c r="H640" s="86">
        <v>1237.55</v>
      </c>
      <c r="I640" s="86">
        <v>15846.45</v>
      </c>
      <c r="J640" s="85" t="s">
        <v>4391</v>
      </c>
      <c r="K640" s="85" t="s">
        <v>5036</v>
      </c>
      <c r="L640" s="85" t="s">
        <v>4135</v>
      </c>
      <c r="M640" s="85" t="s">
        <v>5060</v>
      </c>
    </row>
    <row r="641" ht="213.75" spans="1:13">
      <c r="A641" s="85" t="s">
        <v>5033</v>
      </c>
      <c r="B641" s="85" t="s">
        <v>5061</v>
      </c>
      <c r="C641" s="85" t="s">
        <v>5062</v>
      </c>
      <c r="D641" s="85" t="s">
        <v>3189</v>
      </c>
      <c r="E641" s="85" t="s">
        <v>4327</v>
      </c>
      <c r="F641" s="86">
        <v>37.16</v>
      </c>
      <c r="G641" s="86">
        <v>2</v>
      </c>
      <c r="H641" s="86">
        <v>74.32</v>
      </c>
      <c r="I641" s="86">
        <v>15846.45</v>
      </c>
      <c r="J641" s="85" t="s">
        <v>4391</v>
      </c>
      <c r="K641" s="85" t="s">
        <v>5036</v>
      </c>
      <c r="L641" s="85" t="s">
        <v>4135</v>
      </c>
      <c r="M641" s="85" t="s">
        <v>5063</v>
      </c>
    </row>
    <row r="642" ht="213.75" spans="1:13">
      <c r="A642" s="85" t="s">
        <v>5033</v>
      </c>
      <c r="B642" s="85" t="s">
        <v>5064</v>
      </c>
      <c r="C642" s="85" t="s">
        <v>5065</v>
      </c>
      <c r="D642" s="85" t="s">
        <v>5066</v>
      </c>
      <c r="E642" s="85" t="s">
        <v>5067</v>
      </c>
      <c r="F642" s="86">
        <v>7.19</v>
      </c>
      <c r="G642" s="86">
        <v>50</v>
      </c>
      <c r="H642" s="86">
        <v>359.5</v>
      </c>
      <c r="I642" s="86">
        <v>15846.45</v>
      </c>
      <c r="J642" s="85" t="s">
        <v>4391</v>
      </c>
      <c r="K642" s="85" t="s">
        <v>5036</v>
      </c>
      <c r="L642" s="85" t="s">
        <v>4135</v>
      </c>
      <c r="M642" s="85" t="s">
        <v>5068</v>
      </c>
    </row>
    <row r="643" ht="213.75" spans="1:13">
      <c r="A643" s="85" t="s">
        <v>5033</v>
      </c>
      <c r="B643" s="85" t="s">
        <v>5050</v>
      </c>
      <c r="C643" s="85" t="s">
        <v>5051</v>
      </c>
      <c r="D643" s="85" t="s">
        <v>5052</v>
      </c>
      <c r="E643" s="85" t="s">
        <v>5053</v>
      </c>
      <c r="F643" s="86">
        <v>15.62</v>
      </c>
      <c r="G643" s="86">
        <v>5</v>
      </c>
      <c r="H643" s="86">
        <v>78.1</v>
      </c>
      <c r="I643" s="86">
        <v>15846.45</v>
      </c>
      <c r="J643" s="85" t="s">
        <v>4391</v>
      </c>
      <c r="K643" s="85" t="s">
        <v>5036</v>
      </c>
      <c r="L643" s="85" t="s">
        <v>4135</v>
      </c>
      <c r="M643" s="85" t="s">
        <v>5069</v>
      </c>
    </row>
    <row r="644" ht="213.75" spans="1:13">
      <c r="A644" s="85" t="s">
        <v>5033</v>
      </c>
      <c r="B644" s="85" t="s">
        <v>5021</v>
      </c>
      <c r="C644" s="85" t="s">
        <v>5022</v>
      </c>
      <c r="D644" s="85" t="s">
        <v>5023</v>
      </c>
      <c r="E644" s="85" t="s">
        <v>5024</v>
      </c>
      <c r="F644" s="86">
        <v>12.2</v>
      </c>
      <c r="G644" s="86">
        <v>20</v>
      </c>
      <c r="H644" s="86">
        <v>244</v>
      </c>
      <c r="I644" s="86">
        <v>15846.45</v>
      </c>
      <c r="J644" s="85" t="s">
        <v>4391</v>
      </c>
      <c r="K644" s="85" t="s">
        <v>5036</v>
      </c>
      <c r="L644" s="85" t="s">
        <v>4135</v>
      </c>
      <c r="M644" s="85" t="s">
        <v>5070</v>
      </c>
    </row>
    <row r="645" ht="213.75" spans="1:13">
      <c r="A645" s="85" t="s">
        <v>5033</v>
      </c>
      <c r="B645" s="85" t="s">
        <v>5071</v>
      </c>
      <c r="C645" s="85" t="s">
        <v>5072</v>
      </c>
      <c r="D645" s="85" t="s">
        <v>5073</v>
      </c>
      <c r="E645" s="85" t="s">
        <v>5074</v>
      </c>
      <c r="F645" s="86">
        <v>72.25</v>
      </c>
      <c r="G645" s="86">
        <v>5</v>
      </c>
      <c r="H645" s="86">
        <v>361.25</v>
      </c>
      <c r="I645" s="86">
        <v>15846.45</v>
      </c>
      <c r="J645" s="85" t="s">
        <v>4391</v>
      </c>
      <c r="K645" s="85" t="s">
        <v>5036</v>
      </c>
      <c r="L645" s="85" t="s">
        <v>4135</v>
      </c>
      <c r="M645" s="85" t="s">
        <v>5075</v>
      </c>
    </row>
    <row r="646" ht="213.75" spans="1:13">
      <c r="A646" s="85" t="s">
        <v>5033</v>
      </c>
      <c r="B646" s="85" t="s">
        <v>5076</v>
      </c>
      <c r="C646" s="85" t="s">
        <v>5077</v>
      </c>
      <c r="D646" s="85" t="s">
        <v>4886</v>
      </c>
      <c r="E646" s="85" t="s">
        <v>5077</v>
      </c>
      <c r="F646" s="86">
        <v>1453.65</v>
      </c>
      <c r="G646" s="86">
        <v>6</v>
      </c>
      <c r="H646" s="86">
        <v>8721.9</v>
      </c>
      <c r="I646" s="86">
        <v>15846.45</v>
      </c>
      <c r="J646" s="85" t="s">
        <v>4391</v>
      </c>
      <c r="K646" s="85" t="s">
        <v>5036</v>
      </c>
      <c r="L646" s="85" t="s">
        <v>4135</v>
      </c>
      <c r="M646" s="85" t="s">
        <v>5078</v>
      </c>
    </row>
    <row r="647" ht="242.25" spans="1:13">
      <c r="A647" s="85" t="s">
        <v>5033</v>
      </c>
      <c r="B647" s="85" t="s">
        <v>5079</v>
      </c>
      <c r="C647" s="85" t="s">
        <v>5080</v>
      </c>
      <c r="D647" s="85" t="s">
        <v>4296</v>
      </c>
      <c r="E647" s="85" t="s">
        <v>4297</v>
      </c>
      <c r="F647" s="86">
        <v>23.31</v>
      </c>
      <c r="G647" s="86">
        <v>10</v>
      </c>
      <c r="H647" s="86">
        <v>233.1</v>
      </c>
      <c r="I647" s="86">
        <v>15846.45</v>
      </c>
      <c r="J647" s="85" t="s">
        <v>4391</v>
      </c>
      <c r="K647" s="85" t="s">
        <v>5036</v>
      </c>
      <c r="L647" s="85" t="s">
        <v>4135</v>
      </c>
      <c r="M647" s="85" t="s">
        <v>5081</v>
      </c>
    </row>
    <row r="648" ht="213.75" spans="1:13">
      <c r="A648" s="85" t="s">
        <v>5082</v>
      </c>
      <c r="B648" s="85" t="s">
        <v>3123</v>
      </c>
      <c r="C648" s="85" t="s">
        <v>3124</v>
      </c>
      <c r="D648" s="85" t="s">
        <v>3125</v>
      </c>
      <c r="E648" s="85" t="s">
        <v>3124</v>
      </c>
      <c r="F648" s="86">
        <v>60166</v>
      </c>
      <c r="G648" s="86">
        <v>1</v>
      </c>
      <c r="H648" s="86">
        <v>60166</v>
      </c>
      <c r="I648" s="86">
        <v>60166</v>
      </c>
      <c r="J648" s="85" t="s">
        <v>5083</v>
      </c>
      <c r="K648" s="85" t="s">
        <v>5084</v>
      </c>
      <c r="L648" s="85" t="s">
        <v>4135</v>
      </c>
      <c r="M648" s="85" t="s">
        <v>5085</v>
      </c>
    </row>
    <row r="649" ht="213.75" spans="1:13">
      <c r="A649" s="85" t="s">
        <v>5086</v>
      </c>
      <c r="B649" s="85" t="s">
        <v>3772</v>
      </c>
      <c r="C649" s="85" t="s">
        <v>3773</v>
      </c>
      <c r="D649" s="85" t="s">
        <v>3189</v>
      </c>
      <c r="E649" s="85" t="s">
        <v>3774</v>
      </c>
      <c r="F649" s="86">
        <v>27</v>
      </c>
      <c r="G649" s="86">
        <v>300</v>
      </c>
      <c r="H649" s="86">
        <v>8100</v>
      </c>
      <c r="I649" s="86">
        <v>8100</v>
      </c>
      <c r="J649" s="85" t="s">
        <v>3314</v>
      </c>
      <c r="K649" s="85" t="s">
        <v>5087</v>
      </c>
      <c r="L649" s="85" t="s">
        <v>4135</v>
      </c>
      <c r="M649" s="85" t="s">
        <v>5088</v>
      </c>
    </row>
    <row r="650" ht="213.75" spans="1:13">
      <c r="A650" s="85" t="s">
        <v>5089</v>
      </c>
      <c r="B650" s="85" t="s">
        <v>3788</v>
      </c>
      <c r="C650" s="85" t="s">
        <v>3789</v>
      </c>
      <c r="D650" s="85" t="s">
        <v>3189</v>
      </c>
      <c r="E650" s="85" t="s">
        <v>3790</v>
      </c>
      <c r="F650" s="86">
        <v>100</v>
      </c>
      <c r="G650" s="86">
        <v>35</v>
      </c>
      <c r="H650" s="86">
        <v>3500</v>
      </c>
      <c r="I650" s="86">
        <v>3500</v>
      </c>
      <c r="J650" s="85" t="s">
        <v>3304</v>
      </c>
      <c r="K650" s="85" t="s">
        <v>5090</v>
      </c>
      <c r="L650" s="85" t="s">
        <v>4135</v>
      </c>
      <c r="M650" s="85" t="s">
        <v>5091</v>
      </c>
    </row>
    <row r="651" ht="213.75" spans="1:13">
      <c r="A651" s="85" t="s">
        <v>5092</v>
      </c>
      <c r="B651" s="85" t="s">
        <v>2901</v>
      </c>
      <c r="C651" s="85" t="s">
        <v>2902</v>
      </c>
      <c r="D651" s="85" t="s">
        <v>2903</v>
      </c>
      <c r="E651" s="85" t="s">
        <v>2902</v>
      </c>
      <c r="F651" s="86">
        <v>93455</v>
      </c>
      <c r="G651" s="86">
        <v>1</v>
      </c>
      <c r="H651" s="86">
        <v>93455</v>
      </c>
      <c r="I651" s="86">
        <v>93455</v>
      </c>
      <c r="J651" s="85" t="s">
        <v>5093</v>
      </c>
      <c r="K651" s="85" t="s">
        <v>5094</v>
      </c>
      <c r="L651" s="85" t="s">
        <v>4135</v>
      </c>
      <c r="M651" s="85" t="s">
        <v>5095</v>
      </c>
    </row>
    <row r="652" ht="213.75" spans="1:13">
      <c r="A652" s="85" t="s">
        <v>5096</v>
      </c>
      <c r="B652" s="85" t="s">
        <v>5097</v>
      </c>
      <c r="C652" s="85" t="s">
        <v>5098</v>
      </c>
      <c r="D652" s="85" t="s">
        <v>5099</v>
      </c>
      <c r="E652" s="85" t="s">
        <v>5098</v>
      </c>
      <c r="F652" s="86">
        <v>27120</v>
      </c>
      <c r="G652" s="86">
        <v>1</v>
      </c>
      <c r="H652" s="86">
        <v>27120</v>
      </c>
      <c r="I652" s="86">
        <v>27120</v>
      </c>
      <c r="J652" s="85" t="s">
        <v>5100</v>
      </c>
      <c r="K652" s="85" t="s">
        <v>5101</v>
      </c>
      <c r="L652" s="85" t="s">
        <v>4135</v>
      </c>
      <c r="M652" s="85" t="s">
        <v>5102</v>
      </c>
    </row>
    <row r="653" ht="213.75" spans="1:13">
      <c r="A653" s="85" t="s">
        <v>5103</v>
      </c>
      <c r="B653" s="85" t="s">
        <v>5104</v>
      </c>
      <c r="C653" s="85" t="s">
        <v>5105</v>
      </c>
      <c r="D653" s="85" t="s">
        <v>4096</v>
      </c>
      <c r="E653" s="85" t="s">
        <v>5106</v>
      </c>
      <c r="F653" s="86">
        <v>1600</v>
      </c>
      <c r="G653" s="86">
        <v>1</v>
      </c>
      <c r="H653" s="86">
        <v>1600</v>
      </c>
      <c r="I653" s="86">
        <v>2450</v>
      </c>
      <c r="J653" s="85" t="s">
        <v>4162</v>
      </c>
      <c r="K653" s="85" t="s">
        <v>5107</v>
      </c>
      <c r="L653" s="85" t="s">
        <v>4135</v>
      </c>
      <c r="M653" s="85" t="s">
        <v>5108</v>
      </c>
    </row>
    <row r="654" ht="213.75" spans="1:13">
      <c r="A654" s="85" t="s">
        <v>5103</v>
      </c>
      <c r="B654" s="85" t="s">
        <v>5109</v>
      </c>
      <c r="C654" s="85" t="s">
        <v>5110</v>
      </c>
      <c r="D654" s="85" t="s">
        <v>5111</v>
      </c>
      <c r="E654" s="85" t="s">
        <v>5112</v>
      </c>
      <c r="F654" s="86">
        <v>850</v>
      </c>
      <c r="G654" s="86">
        <v>1</v>
      </c>
      <c r="H654" s="86">
        <v>850</v>
      </c>
      <c r="I654" s="86">
        <v>2450</v>
      </c>
      <c r="J654" s="85" t="s">
        <v>4162</v>
      </c>
      <c r="K654" s="85" t="s">
        <v>5107</v>
      </c>
      <c r="L654" s="85" t="s">
        <v>4135</v>
      </c>
      <c r="M654" s="85" t="s">
        <v>5113</v>
      </c>
    </row>
    <row r="655" ht="213.75" spans="1:13">
      <c r="A655" s="85" t="s">
        <v>5114</v>
      </c>
      <c r="B655" s="85" t="s">
        <v>5115</v>
      </c>
      <c r="C655" s="85" t="s">
        <v>5116</v>
      </c>
      <c r="D655" s="85" t="s">
        <v>4596</v>
      </c>
      <c r="E655" s="85" t="s">
        <v>5116</v>
      </c>
      <c r="F655" s="86">
        <v>87</v>
      </c>
      <c r="G655" s="86">
        <v>10</v>
      </c>
      <c r="H655" s="86">
        <v>870</v>
      </c>
      <c r="I655" s="86">
        <v>4836.8</v>
      </c>
      <c r="J655" s="85" t="s">
        <v>2935</v>
      </c>
      <c r="K655" s="85" t="s">
        <v>5117</v>
      </c>
      <c r="L655" s="85" t="s">
        <v>4135</v>
      </c>
      <c r="M655" s="85" t="s">
        <v>5118</v>
      </c>
    </row>
    <row r="656" ht="213.75" spans="1:13">
      <c r="A656" s="85" t="s">
        <v>5114</v>
      </c>
      <c r="B656" s="85" t="s">
        <v>5119</v>
      </c>
      <c r="C656" s="85" t="s">
        <v>5120</v>
      </c>
      <c r="D656" s="85" t="s">
        <v>5121</v>
      </c>
      <c r="E656" s="85" t="s">
        <v>5122</v>
      </c>
      <c r="F656" s="86">
        <v>39</v>
      </c>
      <c r="G656" s="86">
        <v>3</v>
      </c>
      <c r="H656" s="86">
        <v>117</v>
      </c>
      <c r="I656" s="86">
        <v>4836.8</v>
      </c>
      <c r="J656" s="85" t="s">
        <v>2935</v>
      </c>
      <c r="K656" s="85" t="s">
        <v>5117</v>
      </c>
      <c r="L656" s="85" t="s">
        <v>4135</v>
      </c>
      <c r="M656" s="85" t="s">
        <v>5123</v>
      </c>
    </row>
    <row r="657" ht="242.25" spans="1:13">
      <c r="A657" s="85" t="s">
        <v>5114</v>
      </c>
      <c r="B657" s="85" t="s">
        <v>5043</v>
      </c>
      <c r="C657" s="85" t="s">
        <v>5044</v>
      </c>
      <c r="D657" s="85" t="s">
        <v>4296</v>
      </c>
      <c r="E657" s="85" t="s">
        <v>4297</v>
      </c>
      <c r="F657" s="86">
        <v>28</v>
      </c>
      <c r="G657" s="86">
        <v>10</v>
      </c>
      <c r="H657" s="86">
        <v>280</v>
      </c>
      <c r="I657" s="86">
        <v>4836.8</v>
      </c>
      <c r="J657" s="85" t="s">
        <v>2935</v>
      </c>
      <c r="K657" s="85" t="s">
        <v>5117</v>
      </c>
      <c r="L657" s="85" t="s">
        <v>4135</v>
      </c>
      <c r="M657" s="85" t="s">
        <v>5124</v>
      </c>
    </row>
    <row r="658" ht="213.75" spans="1:13">
      <c r="A658" s="85" t="s">
        <v>5114</v>
      </c>
      <c r="B658" s="85" t="s">
        <v>5125</v>
      </c>
      <c r="C658" s="85" t="s">
        <v>5126</v>
      </c>
      <c r="D658" s="85" t="s">
        <v>3082</v>
      </c>
      <c r="E658" s="85" t="s">
        <v>5127</v>
      </c>
      <c r="F658" s="86">
        <v>106.8</v>
      </c>
      <c r="G658" s="86">
        <v>10</v>
      </c>
      <c r="H658" s="86">
        <v>1068</v>
      </c>
      <c r="I658" s="86">
        <v>4836.8</v>
      </c>
      <c r="J658" s="85" t="s">
        <v>2935</v>
      </c>
      <c r="K658" s="85" t="s">
        <v>5117</v>
      </c>
      <c r="L658" s="85" t="s">
        <v>4135</v>
      </c>
      <c r="M658" s="85" t="s">
        <v>5128</v>
      </c>
    </row>
    <row r="659" ht="213.75" spans="1:13">
      <c r="A659" s="85" t="s">
        <v>5114</v>
      </c>
      <c r="B659" s="85" t="s">
        <v>5129</v>
      </c>
      <c r="C659" s="85" t="s">
        <v>5130</v>
      </c>
      <c r="D659" s="85" t="s">
        <v>5131</v>
      </c>
      <c r="E659" s="85" t="s">
        <v>5132</v>
      </c>
      <c r="F659" s="86">
        <v>9</v>
      </c>
      <c r="G659" s="86">
        <v>5</v>
      </c>
      <c r="H659" s="86">
        <v>45</v>
      </c>
      <c r="I659" s="86">
        <v>4836.8</v>
      </c>
      <c r="J659" s="85" t="s">
        <v>2935</v>
      </c>
      <c r="K659" s="85" t="s">
        <v>5117</v>
      </c>
      <c r="L659" s="85" t="s">
        <v>4135</v>
      </c>
      <c r="M659" s="85" t="s">
        <v>5133</v>
      </c>
    </row>
    <row r="660" ht="213.75" spans="1:13">
      <c r="A660" s="85" t="s">
        <v>5114</v>
      </c>
      <c r="B660" s="85" t="s">
        <v>4679</v>
      </c>
      <c r="C660" s="85" t="s">
        <v>4680</v>
      </c>
      <c r="D660" s="85" t="s">
        <v>3189</v>
      </c>
      <c r="E660" s="85" t="s">
        <v>4681</v>
      </c>
      <c r="F660" s="86">
        <v>19</v>
      </c>
      <c r="G660" s="86">
        <v>21</v>
      </c>
      <c r="H660" s="86">
        <v>399</v>
      </c>
      <c r="I660" s="86">
        <v>4836.8</v>
      </c>
      <c r="J660" s="85" t="s">
        <v>2935</v>
      </c>
      <c r="K660" s="85" t="s">
        <v>5117</v>
      </c>
      <c r="L660" s="85" t="s">
        <v>4135</v>
      </c>
      <c r="M660" s="85" t="s">
        <v>5134</v>
      </c>
    </row>
    <row r="661" ht="213.75" spans="1:13">
      <c r="A661" s="85" t="s">
        <v>5114</v>
      </c>
      <c r="B661" s="85" t="s">
        <v>5135</v>
      </c>
      <c r="C661" s="85" t="s">
        <v>5136</v>
      </c>
      <c r="D661" s="85" t="s">
        <v>4030</v>
      </c>
      <c r="E661" s="85" t="s">
        <v>5136</v>
      </c>
      <c r="F661" s="86">
        <v>16.9</v>
      </c>
      <c r="G661" s="86">
        <v>15</v>
      </c>
      <c r="H661" s="86">
        <v>253.5</v>
      </c>
      <c r="I661" s="86">
        <v>4836.8</v>
      </c>
      <c r="J661" s="85" t="s">
        <v>2935</v>
      </c>
      <c r="K661" s="85" t="s">
        <v>5117</v>
      </c>
      <c r="L661" s="85" t="s">
        <v>4135</v>
      </c>
      <c r="M661" s="85" t="s">
        <v>5137</v>
      </c>
    </row>
    <row r="662" ht="213.75" spans="1:13">
      <c r="A662" s="85" t="s">
        <v>5114</v>
      </c>
      <c r="B662" s="85" t="s">
        <v>5138</v>
      </c>
      <c r="C662" s="85" t="s">
        <v>5139</v>
      </c>
      <c r="D662" s="85" t="s">
        <v>5140</v>
      </c>
      <c r="E662" s="85" t="s">
        <v>5139</v>
      </c>
      <c r="F662" s="86">
        <v>6</v>
      </c>
      <c r="G662" s="86">
        <v>150</v>
      </c>
      <c r="H662" s="86">
        <v>900</v>
      </c>
      <c r="I662" s="86">
        <v>4836.8</v>
      </c>
      <c r="J662" s="85" t="s">
        <v>2935</v>
      </c>
      <c r="K662" s="85" t="s">
        <v>5117</v>
      </c>
      <c r="L662" s="85" t="s">
        <v>4135</v>
      </c>
      <c r="M662" s="85" t="s">
        <v>5141</v>
      </c>
    </row>
    <row r="663" ht="213.75" spans="1:13">
      <c r="A663" s="85" t="s">
        <v>5114</v>
      </c>
      <c r="B663" s="85" t="s">
        <v>5142</v>
      </c>
      <c r="C663" s="85" t="s">
        <v>5143</v>
      </c>
      <c r="D663" s="85" t="s">
        <v>5144</v>
      </c>
      <c r="E663" s="85" t="s">
        <v>5145</v>
      </c>
      <c r="F663" s="86">
        <v>29.8</v>
      </c>
      <c r="G663" s="86">
        <v>1</v>
      </c>
      <c r="H663" s="86">
        <v>29.8</v>
      </c>
      <c r="I663" s="86">
        <v>4836.8</v>
      </c>
      <c r="J663" s="85" t="s">
        <v>2935</v>
      </c>
      <c r="K663" s="85" t="s">
        <v>5117</v>
      </c>
      <c r="L663" s="85" t="s">
        <v>4135</v>
      </c>
      <c r="M663" s="85" t="s">
        <v>5146</v>
      </c>
    </row>
    <row r="664" ht="213.75" spans="1:13">
      <c r="A664" s="85" t="s">
        <v>5114</v>
      </c>
      <c r="B664" s="85" t="s">
        <v>3942</v>
      </c>
      <c r="C664" s="85" t="s">
        <v>3943</v>
      </c>
      <c r="D664" s="85" t="s">
        <v>3944</v>
      </c>
      <c r="E664" s="85" t="s">
        <v>3943</v>
      </c>
      <c r="F664" s="86">
        <v>54.9</v>
      </c>
      <c r="G664" s="86">
        <v>5</v>
      </c>
      <c r="H664" s="86">
        <v>274.5</v>
      </c>
      <c r="I664" s="86">
        <v>4836.8</v>
      </c>
      <c r="J664" s="85" t="s">
        <v>2935</v>
      </c>
      <c r="K664" s="85" t="s">
        <v>5117</v>
      </c>
      <c r="L664" s="85" t="s">
        <v>4135</v>
      </c>
      <c r="M664" s="85" t="s">
        <v>5147</v>
      </c>
    </row>
    <row r="665" ht="213.75" spans="1:13">
      <c r="A665" s="85" t="s">
        <v>5114</v>
      </c>
      <c r="B665" s="85" t="s">
        <v>5148</v>
      </c>
      <c r="C665" s="85" t="s">
        <v>5149</v>
      </c>
      <c r="D665" s="85" t="s">
        <v>3014</v>
      </c>
      <c r="E665" s="85" t="s">
        <v>5150</v>
      </c>
      <c r="F665" s="86">
        <v>120</v>
      </c>
      <c r="G665" s="86">
        <v>5</v>
      </c>
      <c r="H665" s="86">
        <v>600</v>
      </c>
      <c r="I665" s="86">
        <v>4836.8</v>
      </c>
      <c r="J665" s="85" t="s">
        <v>2935</v>
      </c>
      <c r="K665" s="85" t="s">
        <v>5117</v>
      </c>
      <c r="L665" s="85" t="s">
        <v>4135</v>
      </c>
      <c r="M665" s="85" t="s">
        <v>5151</v>
      </c>
    </row>
    <row r="666" ht="213.75" spans="1:13">
      <c r="A666" s="85" t="s">
        <v>5152</v>
      </c>
      <c r="B666" s="85" t="s">
        <v>5153</v>
      </c>
      <c r="C666" s="85" t="s">
        <v>5154</v>
      </c>
      <c r="D666" s="85" t="s">
        <v>5155</v>
      </c>
      <c r="E666" s="85" t="s">
        <v>5154</v>
      </c>
      <c r="F666" s="86">
        <v>9.02</v>
      </c>
      <c r="G666" s="86">
        <v>1000</v>
      </c>
      <c r="H666" s="86">
        <v>9020</v>
      </c>
      <c r="I666" s="86">
        <v>9020</v>
      </c>
      <c r="J666" s="85" t="s">
        <v>4391</v>
      </c>
      <c r="K666" s="85" t="s">
        <v>5156</v>
      </c>
      <c r="L666" s="85" t="s">
        <v>4135</v>
      </c>
      <c r="M666" s="85" t="s">
        <v>5157</v>
      </c>
    </row>
    <row r="667" ht="213.75" spans="1:13">
      <c r="A667" s="85" t="s">
        <v>5158</v>
      </c>
      <c r="B667" s="85" t="s">
        <v>5159</v>
      </c>
      <c r="C667" s="85" t="s">
        <v>5160</v>
      </c>
      <c r="D667" s="85" t="s">
        <v>3041</v>
      </c>
      <c r="E667" s="85" t="s">
        <v>3158</v>
      </c>
      <c r="F667" s="86">
        <v>2.6</v>
      </c>
      <c r="G667" s="86">
        <v>55</v>
      </c>
      <c r="H667" s="86">
        <v>143</v>
      </c>
      <c r="I667" s="86">
        <v>12694.5</v>
      </c>
      <c r="J667" s="85" t="s">
        <v>4370</v>
      </c>
      <c r="K667" s="85" t="s">
        <v>5161</v>
      </c>
      <c r="L667" s="85" t="s">
        <v>4135</v>
      </c>
      <c r="M667" s="85" t="s">
        <v>5162</v>
      </c>
    </row>
    <row r="668" ht="213.75" spans="1:13">
      <c r="A668" s="85" t="s">
        <v>5158</v>
      </c>
      <c r="B668" s="85" t="s">
        <v>4861</v>
      </c>
      <c r="C668" s="85" t="s">
        <v>4862</v>
      </c>
      <c r="D668" s="85" t="s">
        <v>3041</v>
      </c>
      <c r="E668" s="85" t="s">
        <v>3158</v>
      </c>
      <c r="F668" s="86">
        <v>140</v>
      </c>
      <c r="G668" s="86">
        <v>4</v>
      </c>
      <c r="H668" s="86">
        <v>560</v>
      </c>
      <c r="I668" s="86">
        <v>12694.5</v>
      </c>
      <c r="J668" s="85" t="s">
        <v>4370</v>
      </c>
      <c r="K668" s="85" t="s">
        <v>5161</v>
      </c>
      <c r="L668" s="85" t="s">
        <v>4135</v>
      </c>
      <c r="M668" s="85" t="s">
        <v>5163</v>
      </c>
    </row>
    <row r="669" ht="213.75" spans="1:13">
      <c r="A669" s="85" t="s">
        <v>5158</v>
      </c>
      <c r="B669" s="85" t="s">
        <v>4942</v>
      </c>
      <c r="C669" s="85" t="s">
        <v>4943</v>
      </c>
      <c r="D669" s="85" t="s">
        <v>3041</v>
      </c>
      <c r="E669" s="85" t="s">
        <v>3042</v>
      </c>
      <c r="F669" s="86">
        <v>5</v>
      </c>
      <c r="G669" s="86">
        <v>50</v>
      </c>
      <c r="H669" s="86">
        <v>250</v>
      </c>
      <c r="I669" s="86">
        <v>12694.5</v>
      </c>
      <c r="J669" s="85" t="s">
        <v>4370</v>
      </c>
      <c r="K669" s="85" t="s">
        <v>5161</v>
      </c>
      <c r="L669" s="85" t="s">
        <v>4135</v>
      </c>
      <c r="M669" s="85" t="s">
        <v>5164</v>
      </c>
    </row>
    <row r="670" ht="213.75" spans="1:13">
      <c r="A670" s="85" t="s">
        <v>5158</v>
      </c>
      <c r="B670" s="85" t="s">
        <v>5165</v>
      </c>
      <c r="C670" s="85" t="s">
        <v>5166</v>
      </c>
      <c r="D670" s="85" t="s">
        <v>3041</v>
      </c>
      <c r="E670" s="85" t="s">
        <v>5167</v>
      </c>
      <c r="F670" s="86">
        <v>31</v>
      </c>
      <c r="G670" s="86">
        <v>6</v>
      </c>
      <c r="H670" s="86">
        <v>186</v>
      </c>
      <c r="I670" s="86">
        <v>12694.5</v>
      </c>
      <c r="J670" s="85" t="s">
        <v>4370</v>
      </c>
      <c r="K670" s="85" t="s">
        <v>5161</v>
      </c>
      <c r="L670" s="85" t="s">
        <v>4135</v>
      </c>
      <c r="M670" s="85" t="s">
        <v>5168</v>
      </c>
    </row>
    <row r="671" ht="213.75" spans="1:13">
      <c r="A671" s="85" t="s">
        <v>5169</v>
      </c>
      <c r="B671" s="85" t="s">
        <v>5170</v>
      </c>
      <c r="C671" s="85" t="s">
        <v>5171</v>
      </c>
      <c r="D671" s="85" t="s">
        <v>3337</v>
      </c>
      <c r="E671" s="85" t="s">
        <v>5172</v>
      </c>
      <c r="F671" s="86">
        <v>22</v>
      </c>
      <c r="G671" s="86">
        <v>10</v>
      </c>
      <c r="H671" s="86">
        <v>220</v>
      </c>
      <c r="I671" s="86">
        <v>24856.65</v>
      </c>
      <c r="J671" s="85" t="s">
        <v>2958</v>
      </c>
      <c r="K671" s="85" t="s">
        <v>5161</v>
      </c>
      <c r="L671" s="85" t="s">
        <v>4135</v>
      </c>
      <c r="M671" s="85" t="s">
        <v>5173</v>
      </c>
    </row>
    <row r="672" ht="213.75" spans="1:13">
      <c r="A672" s="85" t="s">
        <v>5169</v>
      </c>
      <c r="B672" s="85" t="s">
        <v>3245</v>
      </c>
      <c r="C672" s="85" t="s">
        <v>3246</v>
      </c>
      <c r="D672" s="85" t="s">
        <v>3241</v>
      </c>
      <c r="E672" s="85" t="s">
        <v>3247</v>
      </c>
      <c r="F672" s="86">
        <v>13.25</v>
      </c>
      <c r="G672" s="86">
        <v>5</v>
      </c>
      <c r="H672" s="86">
        <v>66.25</v>
      </c>
      <c r="I672" s="86">
        <v>24856.65</v>
      </c>
      <c r="J672" s="85" t="s">
        <v>2958</v>
      </c>
      <c r="K672" s="85" t="s">
        <v>5161</v>
      </c>
      <c r="L672" s="85" t="s">
        <v>4135</v>
      </c>
      <c r="M672" s="85" t="s">
        <v>5174</v>
      </c>
    </row>
    <row r="673" ht="213.75" spans="1:13">
      <c r="A673" s="85" t="s">
        <v>5158</v>
      </c>
      <c r="B673" s="85" t="s">
        <v>5175</v>
      </c>
      <c r="C673" s="85" t="s">
        <v>5176</v>
      </c>
      <c r="D673" s="85" t="s">
        <v>3177</v>
      </c>
      <c r="E673" s="85" t="s">
        <v>3178</v>
      </c>
      <c r="F673" s="86">
        <v>11</v>
      </c>
      <c r="G673" s="86">
        <v>1</v>
      </c>
      <c r="H673" s="86">
        <v>11</v>
      </c>
      <c r="I673" s="86">
        <v>12694.5</v>
      </c>
      <c r="J673" s="85" t="s">
        <v>4370</v>
      </c>
      <c r="K673" s="85" t="s">
        <v>5161</v>
      </c>
      <c r="L673" s="85" t="s">
        <v>4135</v>
      </c>
      <c r="M673" s="85" t="s">
        <v>5177</v>
      </c>
    </row>
    <row r="674" ht="213.75" spans="1:13">
      <c r="A674" s="85" t="s">
        <v>5169</v>
      </c>
      <c r="B674" s="85" t="s">
        <v>3063</v>
      </c>
      <c r="C674" s="85" t="s">
        <v>3064</v>
      </c>
      <c r="D674" s="85" t="s">
        <v>2992</v>
      </c>
      <c r="E674" s="85" t="s">
        <v>1815</v>
      </c>
      <c r="F674" s="86">
        <v>5.3</v>
      </c>
      <c r="G674" s="86">
        <v>800</v>
      </c>
      <c r="H674" s="86">
        <v>4240</v>
      </c>
      <c r="I674" s="86">
        <v>24856.65</v>
      </c>
      <c r="J674" s="85" t="s">
        <v>2958</v>
      </c>
      <c r="K674" s="85" t="s">
        <v>5161</v>
      </c>
      <c r="L674" s="85" t="s">
        <v>4135</v>
      </c>
      <c r="M674" s="85" t="s">
        <v>5178</v>
      </c>
    </row>
    <row r="675" ht="213.75" spans="1:13">
      <c r="A675" s="85" t="s">
        <v>5169</v>
      </c>
      <c r="B675" s="85" t="s">
        <v>5179</v>
      </c>
      <c r="C675" s="85" t="s">
        <v>5180</v>
      </c>
      <c r="D675" s="85" t="s">
        <v>2977</v>
      </c>
      <c r="E675" s="85" t="s">
        <v>5181</v>
      </c>
      <c r="F675" s="86">
        <v>50</v>
      </c>
      <c r="G675" s="86">
        <v>1</v>
      </c>
      <c r="H675" s="86">
        <v>50</v>
      </c>
      <c r="I675" s="86">
        <v>24856.65</v>
      </c>
      <c r="J675" s="85" t="s">
        <v>2958</v>
      </c>
      <c r="K675" s="85" t="s">
        <v>5161</v>
      </c>
      <c r="L675" s="85" t="s">
        <v>4135</v>
      </c>
      <c r="M675" s="85" t="s">
        <v>5182</v>
      </c>
    </row>
    <row r="676" ht="213.75" spans="1:13">
      <c r="A676" s="85" t="s">
        <v>5158</v>
      </c>
      <c r="B676" s="85" t="s">
        <v>5183</v>
      </c>
      <c r="C676" s="85" t="s">
        <v>5184</v>
      </c>
      <c r="D676" s="85" t="s">
        <v>4195</v>
      </c>
      <c r="E676" s="85" t="s">
        <v>4369</v>
      </c>
      <c r="F676" s="86">
        <v>22</v>
      </c>
      <c r="G676" s="86">
        <v>10</v>
      </c>
      <c r="H676" s="86">
        <v>220</v>
      </c>
      <c r="I676" s="86">
        <v>12694.5</v>
      </c>
      <c r="J676" s="85" t="s">
        <v>4370</v>
      </c>
      <c r="K676" s="85" t="s">
        <v>5161</v>
      </c>
      <c r="L676" s="85" t="s">
        <v>4135</v>
      </c>
      <c r="M676" s="85" t="s">
        <v>5185</v>
      </c>
    </row>
    <row r="677" ht="213.75" spans="1:13">
      <c r="A677" s="85" t="s">
        <v>5169</v>
      </c>
      <c r="B677" s="85" t="s">
        <v>3092</v>
      </c>
      <c r="C677" s="85" t="s">
        <v>3093</v>
      </c>
      <c r="D677" s="85" t="s">
        <v>2982</v>
      </c>
      <c r="E677" s="85" t="s">
        <v>3094</v>
      </c>
      <c r="F677" s="86">
        <v>13.23</v>
      </c>
      <c r="G677" s="86">
        <v>30</v>
      </c>
      <c r="H677" s="86">
        <v>396.9</v>
      </c>
      <c r="I677" s="86">
        <v>24856.65</v>
      </c>
      <c r="J677" s="85" t="s">
        <v>2958</v>
      </c>
      <c r="K677" s="85" t="s">
        <v>5161</v>
      </c>
      <c r="L677" s="85" t="s">
        <v>4135</v>
      </c>
      <c r="M677" s="85" t="s">
        <v>5186</v>
      </c>
    </row>
    <row r="678" ht="213.75" spans="1:13">
      <c r="A678" s="85" t="s">
        <v>5158</v>
      </c>
      <c r="B678" s="85" t="s">
        <v>5187</v>
      </c>
      <c r="C678" s="85" t="s">
        <v>5188</v>
      </c>
      <c r="D678" s="85" t="s">
        <v>3041</v>
      </c>
      <c r="E678" s="85" t="s">
        <v>3158</v>
      </c>
      <c r="F678" s="86">
        <v>66</v>
      </c>
      <c r="G678" s="86">
        <v>7</v>
      </c>
      <c r="H678" s="86">
        <v>462</v>
      </c>
      <c r="I678" s="86">
        <v>12694.5</v>
      </c>
      <c r="J678" s="85" t="s">
        <v>4370</v>
      </c>
      <c r="K678" s="85" t="s">
        <v>5161</v>
      </c>
      <c r="L678" s="85" t="s">
        <v>4135</v>
      </c>
      <c r="M678" s="85" t="s">
        <v>5189</v>
      </c>
    </row>
    <row r="679" ht="213.75" spans="1:13">
      <c r="A679" s="85" t="s">
        <v>5169</v>
      </c>
      <c r="B679" s="85" t="s">
        <v>4932</v>
      </c>
      <c r="C679" s="85" t="s">
        <v>4933</v>
      </c>
      <c r="D679" s="85" t="s">
        <v>2992</v>
      </c>
      <c r="E679" s="85" t="s">
        <v>1815</v>
      </c>
      <c r="F679" s="86">
        <v>17.7</v>
      </c>
      <c r="G679" s="86">
        <v>80</v>
      </c>
      <c r="H679" s="86">
        <v>1416</v>
      </c>
      <c r="I679" s="86">
        <v>24856.65</v>
      </c>
      <c r="J679" s="85" t="s">
        <v>2958</v>
      </c>
      <c r="K679" s="85" t="s">
        <v>5161</v>
      </c>
      <c r="L679" s="85" t="s">
        <v>4135</v>
      </c>
      <c r="M679" s="85" t="s">
        <v>5190</v>
      </c>
    </row>
    <row r="680" ht="213.75" spans="1:13">
      <c r="A680" s="85" t="s">
        <v>5169</v>
      </c>
      <c r="B680" s="85" t="s">
        <v>4959</v>
      </c>
      <c r="C680" s="85" t="s">
        <v>4960</v>
      </c>
      <c r="D680" s="85" t="s">
        <v>4596</v>
      </c>
      <c r="E680" s="85" t="s">
        <v>4961</v>
      </c>
      <c r="F680" s="86">
        <v>36.71</v>
      </c>
      <c r="G680" s="86">
        <v>10</v>
      </c>
      <c r="H680" s="86">
        <v>367.1</v>
      </c>
      <c r="I680" s="86">
        <v>24856.65</v>
      </c>
      <c r="J680" s="85" t="s">
        <v>2958</v>
      </c>
      <c r="K680" s="85" t="s">
        <v>5161</v>
      </c>
      <c r="L680" s="85" t="s">
        <v>4135</v>
      </c>
      <c r="M680" s="85" t="s">
        <v>5191</v>
      </c>
    </row>
    <row r="681" ht="242.25" spans="1:13">
      <c r="A681" s="85" t="s">
        <v>5169</v>
      </c>
      <c r="B681" s="85" t="s">
        <v>2985</v>
      </c>
      <c r="C681" s="85" t="s">
        <v>2986</v>
      </c>
      <c r="D681" s="85" t="s">
        <v>2987</v>
      </c>
      <c r="E681" s="85" t="s">
        <v>2988</v>
      </c>
      <c r="F681" s="86">
        <v>3.95</v>
      </c>
      <c r="G681" s="86">
        <v>80</v>
      </c>
      <c r="H681" s="86">
        <v>316</v>
      </c>
      <c r="I681" s="86">
        <v>24856.65</v>
      </c>
      <c r="J681" s="85" t="s">
        <v>2958</v>
      </c>
      <c r="K681" s="85" t="s">
        <v>5161</v>
      </c>
      <c r="L681" s="85" t="s">
        <v>4135</v>
      </c>
      <c r="M681" s="85" t="s">
        <v>5192</v>
      </c>
    </row>
    <row r="682" ht="213.75" spans="1:13">
      <c r="A682" s="85" t="s">
        <v>5169</v>
      </c>
      <c r="B682" s="85" t="s">
        <v>5193</v>
      </c>
      <c r="C682" s="85" t="s">
        <v>5194</v>
      </c>
      <c r="D682" s="85" t="s">
        <v>3241</v>
      </c>
      <c r="E682" s="85" t="s">
        <v>5195</v>
      </c>
      <c r="F682" s="86">
        <v>11.7</v>
      </c>
      <c r="G682" s="86">
        <v>2</v>
      </c>
      <c r="H682" s="86">
        <v>23.4</v>
      </c>
      <c r="I682" s="86">
        <v>24856.65</v>
      </c>
      <c r="J682" s="85" t="s">
        <v>2958</v>
      </c>
      <c r="K682" s="85" t="s">
        <v>5161</v>
      </c>
      <c r="L682" s="85" t="s">
        <v>4135</v>
      </c>
      <c r="M682" s="85" t="s">
        <v>5196</v>
      </c>
    </row>
    <row r="683" ht="213.75" spans="1:13">
      <c r="A683" s="85" t="s">
        <v>5169</v>
      </c>
      <c r="B683" s="85" t="s">
        <v>3643</v>
      </c>
      <c r="C683" s="85" t="s">
        <v>3644</v>
      </c>
      <c r="D683" s="85" t="s">
        <v>2982</v>
      </c>
      <c r="E683" s="85" t="s">
        <v>3645</v>
      </c>
      <c r="F683" s="86">
        <v>8</v>
      </c>
      <c r="G683" s="86">
        <v>100</v>
      </c>
      <c r="H683" s="86">
        <v>800</v>
      </c>
      <c r="I683" s="86">
        <v>24856.65</v>
      </c>
      <c r="J683" s="85" t="s">
        <v>2958</v>
      </c>
      <c r="K683" s="85" t="s">
        <v>5161</v>
      </c>
      <c r="L683" s="85" t="s">
        <v>4135</v>
      </c>
      <c r="M683" s="85" t="s">
        <v>5197</v>
      </c>
    </row>
    <row r="684" ht="213.75" spans="1:13">
      <c r="A684" s="85" t="s">
        <v>5158</v>
      </c>
      <c r="B684" s="85" t="s">
        <v>4856</v>
      </c>
      <c r="C684" s="85" t="s">
        <v>4857</v>
      </c>
      <c r="D684" s="85" t="s">
        <v>3041</v>
      </c>
      <c r="E684" s="85" t="s">
        <v>3158</v>
      </c>
      <c r="F684" s="86">
        <v>71</v>
      </c>
      <c r="G684" s="86">
        <v>55</v>
      </c>
      <c r="H684" s="86">
        <v>3905</v>
      </c>
      <c r="I684" s="86">
        <v>12694.5</v>
      </c>
      <c r="J684" s="85" t="s">
        <v>4370</v>
      </c>
      <c r="K684" s="85" t="s">
        <v>5161</v>
      </c>
      <c r="L684" s="85" t="s">
        <v>4135</v>
      </c>
      <c r="M684" s="85" t="s">
        <v>5198</v>
      </c>
    </row>
    <row r="685" ht="213.75" spans="1:13">
      <c r="A685" s="85" t="s">
        <v>5169</v>
      </c>
      <c r="B685" s="85" t="s">
        <v>5199</v>
      </c>
      <c r="C685" s="85" t="s">
        <v>5200</v>
      </c>
      <c r="D685" s="85" t="s">
        <v>2992</v>
      </c>
      <c r="E685" s="85" t="s">
        <v>1815</v>
      </c>
      <c r="F685" s="86">
        <v>18.3</v>
      </c>
      <c r="G685" s="86">
        <v>200</v>
      </c>
      <c r="H685" s="86">
        <v>3660</v>
      </c>
      <c r="I685" s="86">
        <v>24856.65</v>
      </c>
      <c r="J685" s="85" t="s">
        <v>2958</v>
      </c>
      <c r="K685" s="85" t="s">
        <v>5161</v>
      </c>
      <c r="L685" s="85" t="s">
        <v>4135</v>
      </c>
      <c r="M685" s="85" t="s">
        <v>5201</v>
      </c>
    </row>
    <row r="686" ht="213.75" spans="1:13">
      <c r="A686" s="85" t="s">
        <v>5169</v>
      </c>
      <c r="B686" s="85" t="s">
        <v>3500</v>
      </c>
      <c r="C686" s="85" t="s">
        <v>3501</v>
      </c>
      <c r="D686" s="85" t="s">
        <v>2992</v>
      </c>
      <c r="E686" s="85" t="s">
        <v>1815</v>
      </c>
      <c r="F686" s="86">
        <v>17.7</v>
      </c>
      <c r="G686" s="86">
        <v>160</v>
      </c>
      <c r="H686" s="86">
        <v>2832</v>
      </c>
      <c r="I686" s="86">
        <v>24856.65</v>
      </c>
      <c r="J686" s="85" t="s">
        <v>2958</v>
      </c>
      <c r="K686" s="85" t="s">
        <v>5161</v>
      </c>
      <c r="L686" s="85" t="s">
        <v>4135</v>
      </c>
      <c r="M686" s="85" t="s">
        <v>5202</v>
      </c>
    </row>
    <row r="687" ht="213.75" spans="1:13">
      <c r="A687" s="85" t="s">
        <v>5169</v>
      </c>
      <c r="B687" s="85" t="s">
        <v>3215</v>
      </c>
      <c r="C687" s="85" t="s">
        <v>3216</v>
      </c>
      <c r="D687" s="85" t="s">
        <v>3201</v>
      </c>
      <c r="E687" s="85" t="s">
        <v>3217</v>
      </c>
      <c r="F687" s="86">
        <v>37</v>
      </c>
      <c r="G687" s="86">
        <v>50</v>
      </c>
      <c r="H687" s="86">
        <v>1850</v>
      </c>
      <c r="I687" s="86">
        <v>24856.65</v>
      </c>
      <c r="J687" s="85" t="s">
        <v>2958</v>
      </c>
      <c r="K687" s="85" t="s">
        <v>5161</v>
      </c>
      <c r="L687" s="85" t="s">
        <v>4135</v>
      </c>
      <c r="M687" s="85" t="s">
        <v>5203</v>
      </c>
    </row>
    <row r="688" ht="213.75" spans="1:13">
      <c r="A688" s="85" t="s">
        <v>5158</v>
      </c>
      <c r="B688" s="85" t="s">
        <v>5204</v>
      </c>
      <c r="C688" s="85" t="s">
        <v>5205</v>
      </c>
      <c r="D688" s="85" t="s">
        <v>4848</v>
      </c>
      <c r="E688" s="85" t="s">
        <v>4849</v>
      </c>
      <c r="F688" s="86">
        <v>1</v>
      </c>
      <c r="G688" s="86">
        <v>1615</v>
      </c>
      <c r="H688" s="86">
        <v>1615</v>
      </c>
      <c r="I688" s="86">
        <v>12694.5</v>
      </c>
      <c r="J688" s="85" t="s">
        <v>4370</v>
      </c>
      <c r="K688" s="85" t="s">
        <v>5161</v>
      </c>
      <c r="L688" s="85" t="s">
        <v>4135</v>
      </c>
      <c r="M688" s="85" t="s">
        <v>5206</v>
      </c>
    </row>
    <row r="689" ht="213.75" spans="1:13">
      <c r="A689" s="85" t="s">
        <v>5158</v>
      </c>
      <c r="B689" s="85" t="s">
        <v>5207</v>
      </c>
      <c r="C689" s="85" t="s">
        <v>5208</v>
      </c>
      <c r="D689" s="85" t="s">
        <v>3041</v>
      </c>
      <c r="E689" s="85" t="s">
        <v>3158</v>
      </c>
      <c r="F689" s="86">
        <v>153</v>
      </c>
      <c r="G689" s="86">
        <v>2</v>
      </c>
      <c r="H689" s="86">
        <v>306</v>
      </c>
      <c r="I689" s="86">
        <v>12694.5</v>
      </c>
      <c r="J689" s="85" t="s">
        <v>4370</v>
      </c>
      <c r="K689" s="85" t="s">
        <v>5161</v>
      </c>
      <c r="L689" s="85" t="s">
        <v>4135</v>
      </c>
      <c r="M689" s="85" t="s">
        <v>5209</v>
      </c>
    </row>
    <row r="690" ht="213.75" spans="1:13">
      <c r="A690" s="85" t="s">
        <v>5169</v>
      </c>
      <c r="B690" s="85" t="s">
        <v>4576</v>
      </c>
      <c r="C690" s="85" t="s">
        <v>4577</v>
      </c>
      <c r="D690" s="85" t="s">
        <v>3241</v>
      </c>
      <c r="E690" s="85" t="s">
        <v>4578</v>
      </c>
      <c r="F690" s="86">
        <v>4.2</v>
      </c>
      <c r="G690" s="86">
        <v>20</v>
      </c>
      <c r="H690" s="86">
        <v>84</v>
      </c>
      <c r="I690" s="86">
        <v>24856.65</v>
      </c>
      <c r="J690" s="85" t="s">
        <v>2958</v>
      </c>
      <c r="K690" s="85" t="s">
        <v>5161</v>
      </c>
      <c r="L690" s="85" t="s">
        <v>4135</v>
      </c>
      <c r="M690" s="85" t="s">
        <v>5210</v>
      </c>
    </row>
    <row r="691" ht="213.75" spans="1:13">
      <c r="A691" s="85" t="s">
        <v>5169</v>
      </c>
      <c r="B691" s="85" t="s">
        <v>5211</v>
      </c>
      <c r="C691" s="85" t="s">
        <v>5212</v>
      </c>
      <c r="D691" s="85" t="s">
        <v>2992</v>
      </c>
      <c r="E691" s="85" t="s">
        <v>1815</v>
      </c>
      <c r="F691" s="86">
        <v>18.42</v>
      </c>
      <c r="G691" s="86">
        <v>400</v>
      </c>
      <c r="H691" s="86">
        <v>7368</v>
      </c>
      <c r="I691" s="86">
        <v>24856.65</v>
      </c>
      <c r="J691" s="85" t="s">
        <v>2958</v>
      </c>
      <c r="K691" s="85" t="s">
        <v>5161</v>
      </c>
      <c r="L691" s="85" t="s">
        <v>4135</v>
      </c>
      <c r="M691" s="85" t="s">
        <v>5213</v>
      </c>
    </row>
    <row r="692" ht="213.75" spans="1:13">
      <c r="A692" s="85" t="s">
        <v>5158</v>
      </c>
      <c r="B692" s="85" t="s">
        <v>4528</v>
      </c>
      <c r="C692" s="85" t="s">
        <v>4529</v>
      </c>
      <c r="D692" s="85" t="s">
        <v>4195</v>
      </c>
      <c r="E692" s="85" t="s">
        <v>4369</v>
      </c>
      <c r="F692" s="86">
        <v>39</v>
      </c>
      <c r="G692" s="86">
        <v>100</v>
      </c>
      <c r="H692" s="86">
        <v>3900</v>
      </c>
      <c r="I692" s="86">
        <v>12694.5</v>
      </c>
      <c r="J692" s="85" t="s">
        <v>4370</v>
      </c>
      <c r="K692" s="85" t="s">
        <v>5161</v>
      </c>
      <c r="L692" s="85" t="s">
        <v>4135</v>
      </c>
      <c r="M692" s="85" t="s">
        <v>5214</v>
      </c>
    </row>
    <row r="693" ht="213.75" spans="1:13">
      <c r="A693" s="85" t="s">
        <v>5158</v>
      </c>
      <c r="B693" s="85" t="s">
        <v>4548</v>
      </c>
      <c r="C693" s="85" t="s">
        <v>4549</v>
      </c>
      <c r="D693" s="85" t="s">
        <v>3169</v>
      </c>
      <c r="E693" s="85" t="s">
        <v>3170</v>
      </c>
      <c r="F693" s="86">
        <v>0.38</v>
      </c>
      <c r="G693" s="86">
        <v>1000</v>
      </c>
      <c r="H693" s="86">
        <v>380</v>
      </c>
      <c r="I693" s="86">
        <v>12694.5</v>
      </c>
      <c r="J693" s="85" t="s">
        <v>4370</v>
      </c>
      <c r="K693" s="85" t="s">
        <v>5161</v>
      </c>
      <c r="L693" s="85" t="s">
        <v>4135</v>
      </c>
      <c r="M693" s="85" t="s">
        <v>5215</v>
      </c>
    </row>
    <row r="694" ht="213.75" spans="1:13">
      <c r="A694" s="85" t="s">
        <v>5158</v>
      </c>
      <c r="B694" s="85" t="s">
        <v>5216</v>
      </c>
      <c r="C694" s="85" t="s">
        <v>5217</v>
      </c>
      <c r="D694" s="85" t="s">
        <v>3041</v>
      </c>
      <c r="E694" s="85" t="s">
        <v>3158</v>
      </c>
      <c r="F694" s="86">
        <v>8.5</v>
      </c>
      <c r="G694" s="86">
        <v>25</v>
      </c>
      <c r="H694" s="86">
        <v>212.5</v>
      </c>
      <c r="I694" s="86">
        <v>12694.5</v>
      </c>
      <c r="J694" s="85" t="s">
        <v>4370</v>
      </c>
      <c r="K694" s="85" t="s">
        <v>5161</v>
      </c>
      <c r="L694" s="85" t="s">
        <v>4135</v>
      </c>
      <c r="M694" s="85" t="s">
        <v>5218</v>
      </c>
    </row>
    <row r="695" ht="213.75" spans="1:13">
      <c r="A695" s="85" t="s">
        <v>5158</v>
      </c>
      <c r="B695" s="85" t="s">
        <v>5219</v>
      </c>
      <c r="C695" s="85" t="s">
        <v>5220</v>
      </c>
      <c r="D695" s="85" t="s">
        <v>3041</v>
      </c>
      <c r="E695" s="85" t="s">
        <v>3158</v>
      </c>
      <c r="F695" s="86">
        <v>18</v>
      </c>
      <c r="G695" s="86">
        <v>8</v>
      </c>
      <c r="H695" s="86">
        <v>144</v>
      </c>
      <c r="I695" s="86">
        <v>12694.5</v>
      </c>
      <c r="J695" s="85" t="s">
        <v>4370</v>
      </c>
      <c r="K695" s="85" t="s">
        <v>5161</v>
      </c>
      <c r="L695" s="85" t="s">
        <v>4135</v>
      </c>
      <c r="M695" s="85" t="s">
        <v>5221</v>
      </c>
    </row>
    <row r="696" ht="213.75" spans="1:13">
      <c r="A696" s="85" t="s">
        <v>5158</v>
      </c>
      <c r="B696" s="85" t="s">
        <v>5222</v>
      </c>
      <c r="C696" s="85" t="s">
        <v>5223</v>
      </c>
      <c r="D696" s="85" t="s">
        <v>4848</v>
      </c>
      <c r="E696" s="85" t="s">
        <v>4849</v>
      </c>
      <c r="F696" s="86">
        <v>1</v>
      </c>
      <c r="G696" s="86">
        <v>400</v>
      </c>
      <c r="H696" s="86">
        <v>400</v>
      </c>
      <c r="I696" s="86">
        <v>12694.5</v>
      </c>
      <c r="J696" s="85" t="s">
        <v>4370</v>
      </c>
      <c r="K696" s="85" t="s">
        <v>5161</v>
      </c>
      <c r="L696" s="85" t="s">
        <v>4135</v>
      </c>
      <c r="M696" s="85" t="s">
        <v>5224</v>
      </c>
    </row>
    <row r="697" ht="213.75" spans="1:13">
      <c r="A697" s="85" t="s">
        <v>5169</v>
      </c>
      <c r="B697" s="85" t="s">
        <v>5225</v>
      </c>
      <c r="C697" s="85" t="s">
        <v>5226</v>
      </c>
      <c r="D697" s="85" t="s">
        <v>3201</v>
      </c>
      <c r="E697" s="85" t="s">
        <v>5227</v>
      </c>
      <c r="F697" s="86">
        <v>20.7</v>
      </c>
      <c r="G697" s="86">
        <v>50</v>
      </c>
      <c r="H697" s="86">
        <v>1035</v>
      </c>
      <c r="I697" s="86">
        <v>24856.65</v>
      </c>
      <c r="J697" s="85" t="s">
        <v>2958</v>
      </c>
      <c r="K697" s="85" t="s">
        <v>5161</v>
      </c>
      <c r="L697" s="85" t="s">
        <v>4135</v>
      </c>
      <c r="M697" s="85" t="s">
        <v>5228</v>
      </c>
    </row>
    <row r="698" ht="213.75" spans="1:13">
      <c r="A698" s="85" t="s">
        <v>5169</v>
      </c>
      <c r="B698" s="85" t="s">
        <v>5229</v>
      </c>
      <c r="C698" s="85" t="s">
        <v>5230</v>
      </c>
      <c r="D698" s="85" t="s">
        <v>3241</v>
      </c>
      <c r="E698" s="85" t="s">
        <v>3689</v>
      </c>
      <c r="F698" s="86">
        <v>13.2</v>
      </c>
      <c r="G698" s="86">
        <v>10</v>
      </c>
      <c r="H698" s="86">
        <v>132</v>
      </c>
      <c r="I698" s="86">
        <v>24856.65</v>
      </c>
      <c r="J698" s="85" t="s">
        <v>2958</v>
      </c>
      <c r="K698" s="85" t="s">
        <v>5161</v>
      </c>
      <c r="L698" s="85" t="s">
        <v>4135</v>
      </c>
      <c r="M698" s="85" t="s">
        <v>5231</v>
      </c>
    </row>
    <row r="699" ht="213.75" spans="1:13">
      <c r="A699" s="85" t="s">
        <v>5232</v>
      </c>
      <c r="B699" s="85" t="s">
        <v>3546</v>
      </c>
      <c r="C699" s="85" t="s">
        <v>3547</v>
      </c>
      <c r="D699" s="85" t="s">
        <v>3548</v>
      </c>
      <c r="E699" s="85" t="s">
        <v>1835</v>
      </c>
      <c r="F699" s="86">
        <v>365</v>
      </c>
      <c r="G699" s="86">
        <v>5</v>
      </c>
      <c r="H699" s="86">
        <v>1825</v>
      </c>
      <c r="I699" s="86">
        <v>45465</v>
      </c>
      <c r="J699" s="85" t="s">
        <v>2938</v>
      </c>
      <c r="K699" s="85" t="s">
        <v>5233</v>
      </c>
      <c r="L699" s="85" t="s">
        <v>4135</v>
      </c>
      <c r="M699" s="85" t="s">
        <v>5234</v>
      </c>
    </row>
    <row r="700" ht="213.75" spans="1:13">
      <c r="A700" s="85" t="s">
        <v>5232</v>
      </c>
      <c r="B700" s="85" t="s">
        <v>5235</v>
      </c>
      <c r="C700" s="85" t="s">
        <v>5236</v>
      </c>
      <c r="D700" s="85" t="s">
        <v>4076</v>
      </c>
      <c r="E700" s="85" t="s">
        <v>1832</v>
      </c>
      <c r="F700" s="86">
        <v>128</v>
      </c>
      <c r="G700" s="86">
        <v>330</v>
      </c>
      <c r="H700" s="86">
        <v>42240</v>
      </c>
      <c r="I700" s="86">
        <v>45465</v>
      </c>
      <c r="J700" s="85" t="s">
        <v>2938</v>
      </c>
      <c r="K700" s="85" t="s">
        <v>5233</v>
      </c>
      <c r="L700" s="85" t="s">
        <v>4135</v>
      </c>
      <c r="M700" s="85" t="s">
        <v>5237</v>
      </c>
    </row>
    <row r="701" ht="213.75" spans="1:13">
      <c r="A701" s="85" t="s">
        <v>5232</v>
      </c>
      <c r="B701" s="85" t="s">
        <v>5238</v>
      </c>
      <c r="C701" s="85" t="s">
        <v>5239</v>
      </c>
      <c r="D701" s="85" t="s">
        <v>5240</v>
      </c>
      <c r="E701" s="85" t="s">
        <v>4081</v>
      </c>
      <c r="F701" s="86">
        <v>280</v>
      </c>
      <c r="G701" s="86">
        <v>5</v>
      </c>
      <c r="H701" s="86">
        <v>1400</v>
      </c>
      <c r="I701" s="86">
        <v>45465</v>
      </c>
      <c r="J701" s="85" t="s">
        <v>2938</v>
      </c>
      <c r="K701" s="85" t="s">
        <v>5233</v>
      </c>
      <c r="L701" s="85" t="s">
        <v>4135</v>
      </c>
      <c r="M701" s="85" t="s">
        <v>5241</v>
      </c>
    </row>
    <row r="702" ht="213.75" spans="1:13">
      <c r="A702" s="85" t="s">
        <v>5242</v>
      </c>
      <c r="B702" s="85" t="s">
        <v>3745</v>
      </c>
      <c r="C702" s="85" t="s">
        <v>3746</v>
      </c>
      <c r="D702" s="85" t="s">
        <v>3747</v>
      </c>
      <c r="E702" s="85" t="s">
        <v>1827</v>
      </c>
      <c r="F702" s="86">
        <v>132.67</v>
      </c>
      <c r="G702" s="86">
        <v>300</v>
      </c>
      <c r="H702" s="86">
        <v>39801</v>
      </c>
      <c r="I702" s="86">
        <v>39801</v>
      </c>
      <c r="J702" s="85" t="s">
        <v>2932</v>
      </c>
      <c r="K702" s="85" t="s">
        <v>5243</v>
      </c>
      <c r="L702" s="85" t="s">
        <v>4135</v>
      </c>
      <c r="M702" s="85" t="s">
        <v>5244</v>
      </c>
    </row>
    <row r="703" ht="213.75" spans="1:13">
      <c r="A703" s="85" t="s">
        <v>5245</v>
      </c>
      <c r="B703" s="85" t="s">
        <v>5246</v>
      </c>
      <c r="C703" s="85" t="s">
        <v>5247</v>
      </c>
      <c r="D703" s="85" t="s">
        <v>3753</v>
      </c>
      <c r="E703" s="85" t="s">
        <v>3763</v>
      </c>
      <c r="F703" s="86">
        <v>183.57</v>
      </c>
      <c r="G703" s="86">
        <v>1</v>
      </c>
      <c r="H703" s="86">
        <v>183.57</v>
      </c>
      <c r="I703" s="86">
        <v>11279.54</v>
      </c>
      <c r="J703" s="85" t="s">
        <v>3112</v>
      </c>
      <c r="K703" s="85" t="s">
        <v>5248</v>
      </c>
      <c r="L703" s="85" t="s">
        <v>4135</v>
      </c>
      <c r="M703" s="85" t="s">
        <v>5249</v>
      </c>
    </row>
    <row r="704" ht="213.75" spans="1:13">
      <c r="A704" s="85" t="s">
        <v>5245</v>
      </c>
      <c r="B704" s="85" t="s">
        <v>3751</v>
      </c>
      <c r="C704" s="85" t="s">
        <v>3752</v>
      </c>
      <c r="D704" s="85" t="s">
        <v>3753</v>
      </c>
      <c r="E704" s="85" t="s">
        <v>3754</v>
      </c>
      <c r="F704" s="86">
        <v>254.95</v>
      </c>
      <c r="G704" s="86">
        <v>2</v>
      </c>
      <c r="H704" s="86">
        <v>509.9</v>
      </c>
      <c r="I704" s="86">
        <v>11279.54</v>
      </c>
      <c r="J704" s="85" t="s">
        <v>3112</v>
      </c>
      <c r="K704" s="85" t="s">
        <v>5248</v>
      </c>
      <c r="L704" s="85" t="s">
        <v>4135</v>
      </c>
      <c r="M704" s="85" t="s">
        <v>5250</v>
      </c>
    </row>
    <row r="705" ht="213.75" spans="1:13">
      <c r="A705" s="85" t="s">
        <v>5245</v>
      </c>
      <c r="B705" s="85" t="s">
        <v>5251</v>
      </c>
      <c r="C705" s="85" t="s">
        <v>5252</v>
      </c>
      <c r="D705" s="85" t="s">
        <v>3753</v>
      </c>
      <c r="E705" s="85" t="s">
        <v>3763</v>
      </c>
      <c r="F705" s="86">
        <v>254.95</v>
      </c>
      <c r="G705" s="86">
        <v>1</v>
      </c>
      <c r="H705" s="86">
        <v>254.95</v>
      </c>
      <c r="I705" s="86">
        <v>11279.54</v>
      </c>
      <c r="J705" s="85" t="s">
        <v>3112</v>
      </c>
      <c r="K705" s="85" t="s">
        <v>5248</v>
      </c>
      <c r="L705" s="85" t="s">
        <v>4135</v>
      </c>
      <c r="M705" s="85" t="s">
        <v>5253</v>
      </c>
    </row>
    <row r="706" ht="213.75" spans="1:13">
      <c r="A706" s="85" t="s">
        <v>5245</v>
      </c>
      <c r="B706" s="85" t="s">
        <v>4671</v>
      </c>
      <c r="C706" s="85" t="s">
        <v>4672</v>
      </c>
      <c r="D706" s="85" t="s">
        <v>3753</v>
      </c>
      <c r="E706" s="85" t="s">
        <v>3754</v>
      </c>
      <c r="F706" s="86">
        <v>900</v>
      </c>
      <c r="G706" s="86">
        <v>2</v>
      </c>
      <c r="H706" s="86">
        <v>1800</v>
      </c>
      <c r="I706" s="86">
        <v>11279.54</v>
      </c>
      <c r="J706" s="85" t="s">
        <v>3112</v>
      </c>
      <c r="K706" s="85" t="s">
        <v>5248</v>
      </c>
      <c r="L706" s="85" t="s">
        <v>4135</v>
      </c>
      <c r="M706" s="85" t="s">
        <v>5254</v>
      </c>
    </row>
    <row r="707" ht="213.75" spans="1:13">
      <c r="A707" s="85" t="s">
        <v>5245</v>
      </c>
      <c r="B707" s="85" t="s">
        <v>3757</v>
      </c>
      <c r="C707" s="85" t="s">
        <v>3758</v>
      </c>
      <c r="D707" s="85" t="s">
        <v>3753</v>
      </c>
      <c r="E707" s="85" t="s">
        <v>3754</v>
      </c>
      <c r="F707" s="86">
        <v>150</v>
      </c>
      <c r="G707" s="86">
        <v>1</v>
      </c>
      <c r="H707" s="86">
        <v>150</v>
      </c>
      <c r="I707" s="86">
        <v>11279.54</v>
      </c>
      <c r="J707" s="85" t="s">
        <v>3112</v>
      </c>
      <c r="K707" s="85" t="s">
        <v>5248</v>
      </c>
      <c r="L707" s="85" t="s">
        <v>4135</v>
      </c>
      <c r="M707" s="85" t="s">
        <v>5255</v>
      </c>
    </row>
    <row r="708" ht="213.75" spans="1:13">
      <c r="A708" s="85" t="s">
        <v>5245</v>
      </c>
      <c r="B708" s="85" t="s">
        <v>4671</v>
      </c>
      <c r="C708" s="85" t="s">
        <v>4672</v>
      </c>
      <c r="D708" s="85" t="s">
        <v>3753</v>
      </c>
      <c r="E708" s="85" t="s">
        <v>3754</v>
      </c>
      <c r="F708" s="86">
        <v>1000</v>
      </c>
      <c r="G708" s="86">
        <v>2</v>
      </c>
      <c r="H708" s="86">
        <v>2000</v>
      </c>
      <c r="I708" s="86">
        <v>11279.54</v>
      </c>
      <c r="J708" s="85" t="s">
        <v>3112</v>
      </c>
      <c r="K708" s="85" t="s">
        <v>5248</v>
      </c>
      <c r="L708" s="85" t="s">
        <v>4135</v>
      </c>
      <c r="M708" s="85" t="s">
        <v>5256</v>
      </c>
    </row>
    <row r="709" ht="213.75" spans="1:13">
      <c r="A709" s="85" t="s">
        <v>5245</v>
      </c>
      <c r="B709" s="85" t="s">
        <v>3765</v>
      </c>
      <c r="C709" s="85" t="s">
        <v>3766</v>
      </c>
      <c r="D709" s="85" t="s">
        <v>3753</v>
      </c>
      <c r="E709" s="85" t="s">
        <v>3763</v>
      </c>
      <c r="F709" s="86">
        <v>500</v>
      </c>
      <c r="G709" s="86">
        <v>1</v>
      </c>
      <c r="H709" s="86">
        <v>500</v>
      </c>
      <c r="I709" s="86">
        <v>11279.54</v>
      </c>
      <c r="J709" s="85" t="s">
        <v>3112</v>
      </c>
      <c r="K709" s="85" t="s">
        <v>5248</v>
      </c>
      <c r="L709" s="85" t="s">
        <v>4135</v>
      </c>
      <c r="M709" s="85" t="s">
        <v>5257</v>
      </c>
    </row>
    <row r="710" ht="213.75" spans="1:13">
      <c r="A710" s="85" t="s">
        <v>5245</v>
      </c>
      <c r="B710" s="85" t="s">
        <v>3765</v>
      </c>
      <c r="C710" s="85" t="s">
        <v>3766</v>
      </c>
      <c r="D710" s="85" t="s">
        <v>3753</v>
      </c>
      <c r="E710" s="85" t="s">
        <v>3763</v>
      </c>
      <c r="F710" s="86">
        <v>500</v>
      </c>
      <c r="G710" s="86">
        <v>4</v>
      </c>
      <c r="H710" s="86">
        <v>2000</v>
      </c>
      <c r="I710" s="86">
        <v>11279.54</v>
      </c>
      <c r="J710" s="85" t="s">
        <v>3112</v>
      </c>
      <c r="K710" s="85" t="s">
        <v>5248</v>
      </c>
      <c r="L710" s="85" t="s">
        <v>4135</v>
      </c>
      <c r="M710" s="85" t="s">
        <v>5258</v>
      </c>
    </row>
    <row r="711" ht="213.75" spans="1:13">
      <c r="A711" s="85" t="s">
        <v>5245</v>
      </c>
      <c r="B711" s="85" t="s">
        <v>4667</v>
      </c>
      <c r="C711" s="85" t="s">
        <v>4668</v>
      </c>
      <c r="D711" s="85" t="s">
        <v>3753</v>
      </c>
      <c r="E711" s="85" t="s">
        <v>3754</v>
      </c>
      <c r="F711" s="86">
        <v>200</v>
      </c>
      <c r="G711" s="86">
        <v>2</v>
      </c>
      <c r="H711" s="86">
        <v>400</v>
      </c>
      <c r="I711" s="86">
        <v>11279.54</v>
      </c>
      <c r="J711" s="85" t="s">
        <v>3112</v>
      </c>
      <c r="K711" s="85" t="s">
        <v>5248</v>
      </c>
      <c r="L711" s="85" t="s">
        <v>4135</v>
      </c>
      <c r="M711" s="85" t="s">
        <v>5259</v>
      </c>
    </row>
    <row r="712" ht="213.75" spans="1:13">
      <c r="A712" s="85" t="s">
        <v>5245</v>
      </c>
      <c r="B712" s="85" t="s">
        <v>3751</v>
      </c>
      <c r="C712" s="85" t="s">
        <v>3752</v>
      </c>
      <c r="D712" s="85" t="s">
        <v>3753</v>
      </c>
      <c r="E712" s="85" t="s">
        <v>3754</v>
      </c>
      <c r="F712" s="86">
        <v>300</v>
      </c>
      <c r="G712" s="86">
        <v>2</v>
      </c>
      <c r="H712" s="86">
        <v>600</v>
      </c>
      <c r="I712" s="86">
        <v>11279.54</v>
      </c>
      <c r="J712" s="85" t="s">
        <v>3112</v>
      </c>
      <c r="K712" s="85" t="s">
        <v>5248</v>
      </c>
      <c r="L712" s="85" t="s">
        <v>4135</v>
      </c>
      <c r="M712" s="85" t="s">
        <v>5260</v>
      </c>
    </row>
    <row r="713" ht="213.75" spans="1:13">
      <c r="A713" s="85" t="s">
        <v>5245</v>
      </c>
      <c r="B713" s="85" t="s">
        <v>4354</v>
      </c>
      <c r="C713" s="85" t="s">
        <v>4355</v>
      </c>
      <c r="D713" s="85" t="s">
        <v>3753</v>
      </c>
      <c r="E713" s="85" t="s">
        <v>3754</v>
      </c>
      <c r="F713" s="86">
        <v>250</v>
      </c>
      <c r="G713" s="86">
        <v>1</v>
      </c>
      <c r="H713" s="86">
        <v>250</v>
      </c>
      <c r="I713" s="86">
        <v>11279.54</v>
      </c>
      <c r="J713" s="85" t="s">
        <v>3112</v>
      </c>
      <c r="K713" s="85" t="s">
        <v>5248</v>
      </c>
      <c r="L713" s="85" t="s">
        <v>4135</v>
      </c>
      <c r="M713" s="85" t="s">
        <v>5261</v>
      </c>
    </row>
    <row r="714" ht="213.75" spans="1:13">
      <c r="A714" s="85" t="s">
        <v>5245</v>
      </c>
      <c r="B714" s="85" t="s">
        <v>5246</v>
      </c>
      <c r="C714" s="85" t="s">
        <v>5247</v>
      </c>
      <c r="D714" s="85" t="s">
        <v>3753</v>
      </c>
      <c r="E714" s="85" t="s">
        <v>3763</v>
      </c>
      <c r="F714" s="86">
        <v>183.57</v>
      </c>
      <c r="G714" s="86">
        <v>6</v>
      </c>
      <c r="H714" s="86">
        <v>1101.42</v>
      </c>
      <c r="I714" s="86">
        <v>11279.54</v>
      </c>
      <c r="J714" s="85" t="s">
        <v>3112</v>
      </c>
      <c r="K714" s="85" t="s">
        <v>5248</v>
      </c>
      <c r="L714" s="85" t="s">
        <v>4135</v>
      </c>
      <c r="M714" s="85" t="s">
        <v>5262</v>
      </c>
    </row>
    <row r="715" ht="213.75" spans="1:13">
      <c r="A715" s="85" t="s">
        <v>5245</v>
      </c>
      <c r="B715" s="85" t="s">
        <v>5263</v>
      </c>
      <c r="C715" s="85" t="s">
        <v>5264</v>
      </c>
      <c r="D715" s="85" t="s">
        <v>3753</v>
      </c>
      <c r="E715" s="85" t="s">
        <v>3763</v>
      </c>
      <c r="F715" s="86">
        <v>254.95</v>
      </c>
      <c r="G715" s="86">
        <v>6</v>
      </c>
      <c r="H715" s="86">
        <v>1529.7</v>
      </c>
      <c r="I715" s="86">
        <v>11279.54</v>
      </c>
      <c r="J715" s="85" t="s">
        <v>3112</v>
      </c>
      <c r="K715" s="85" t="s">
        <v>5248</v>
      </c>
      <c r="L715" s="85" t="s">
        <v>4135</v>
      </c>
      <c r="M715" s="85" t="s">
        <v>5265</v>
      </c>
    </row>
    <row r="716" ht="213.75" spans="1:13">
      <c r="A716" s="85" t="s">
        <v>5266</v>
      </c>
      <c r="B716" s="85" t="s">
        <v>3751</v>
      </c>
      <c r="C716" s="85" t="s">
        <v>3752</v>
      </c>
      <c r="D716" s="85" t="s">
        <v>3753</v>
      </c>
      <c r="E716" s="85" t="s">
        <v>3754</v>
      </c>
      <c r="F716" s="86">
        <v>254.95</v>
      </c>
      <c r="G716" s="86">
        <v>2</v>
      </c>
      <c r="H716" s="86">
        <v>509.9</v>
      </c>
      <c r="I716" s="86">
        <v>3709.9</v>
      </c>
      <c r="J716" s="85" t="s">
        <v>3112</v>
      </c>
      <c r="K716" s="85" t="s">
        <v>5267</v>
      </c>
      <c r="L716" s="85" t="s">
        <v>4135</v>
      </c>
      <c r="M716" s="85" t="s">
        <v>5268</v>
      </c>
    </row>
    <row r="717" ht="213.75" spans="1:13">
      <c r="A717" s="85" t="s">
        <v>5266</v>
      </c>
      <c r="B717" s="85" t="s">
        <v>4671</v>
      </c>
      <c r="C717" s="85" t="s">
        <v>4672</v>
      </c>
      <c r="D717" s="85" t="s">
        <v>3753</v>
      </c>
      <c r="E717" s="85" t="s">
        <v>3754</v>
      </c>
      <c r="F717" s="86">
        <v>900</v>
      </c>
      <c r="G717" s="86">
        <v>2</v>
      </c>
      <c r="H717" s="86">
        <v>1800</v>
      </c>
      <c r="I717" s="86">
        <v>3709.9</v>
      </c>
      <c r="J717" s="85" t="s">
        <v>3112</v>
      </c>
      <c r="K717" s="85" t="s">
        <v>5267</v>
      </c>
      <c r="L717" s="85" t="s">
        <v>4135</v>
      </c>
      <c r="M717" s="85" t="s">
        <v>5269</v>
      </c>
    </row>
    <row r="718" ht="213.75" spans="1:13">
      <c r="A718" s="85" t="s">
        <v>5266</v>
      </c>
      <c r="B718" s="85" t="s">
        <v>3751</v>
      </c>
      <c r="C718" s="85" t="s">
        <v>3752</v>
      </c>
      <c r="D718" s="85" t="s">
        <v>3753</v>
      </c>
      <c r="E718" s="85" t="s">
        <v>3754</v>
      </c>
      <c r="F718" s="86">
        <v>300</v>
      </c>
      <c r="G718" s="86">
        <v>2</v>
      </c>
      <c r="H718" s="86">
        <v>600</v>
      </c>
      <c r="I718" s="86">
        <v>3709.9</v>
      </c>
      <c r="J718" s="85" t="s">
        <v>3112</v>
      </c>
      <c r="K718" s="85" t="s">
        <v>5267</v>
      </c>
      <c r="L718" s="85" t="s">
        <v>4135</v>
      </c>
      <c r="M718" s="85" t="s">
        <v>5270</v>
      </c>
    </row>
    <row r="719" ht="213.75" spans="1:13">
      <c r="A719" s="85" t="s">
        <v>5266</v>
      </c>
      <c r="B719" s="85" t="s">
        <v>4354</v>
      </c>
      <c r="C719" s="85" t="s">
        <v>4355</v>
      </c>
      <c r="D719" s="85" t="s">
        <v>3753</v>
      </c>
      <c r="E719" s="85" t="s">
        <v>3754</v>
      </c>
      <c r="F719" s="86">
        <v>250</v>
      </c>
      <c r="G719" s="86">
        <v>1</v>
      </c>
      <c r="H719" s="86">
        <v>250</v>
      </c>
      <c r="I719" s="86">
        <v>3709.9</v>
      </c>
      <c r="J719" s="85" t="s">
        <v>3112</v>
      </c>
      <c r="K719" s="85" t="s">
        <v>5267</v>
      </c>
      <c r="L719" s="85" t="s">
        <v>4135</v>
      </c>
      <c r="M719" s="85" t="s">
        <v>5271</v>
      </c>
    </row>
    <row r="720" ht="213.75" spans="1:13">
      <c r="A720" s="85" t="s">
        <v>5266</v>
      </c>
      <c r="B720" s="85" t="s">
        <v>4667</v>
      </c>
      <c r="C720" s="85" t="s">
        <v>4668</v>
      </c>
      <c r="D720" s="85" t="s">
        <v>3753</v>
      </c>
      <c r="E720" s="85" t="s">
        <v>3754</v>
      </c>
      <c r="F720" s="86">
        <v>200</v>
      </c>
      <c r="G720" s="86">
        <v>2</v>
      </c>
      <c r="H720" s="86">
        <v>400</v>
      </c>
      <c r="I720" s="86">
        <v>3709.9</v>
      </c>
      <c r="J720" s="85" t="s">
        <v>3112</v>
      </c>
      <c r="K720" s="85" t="s">
        <v>5267</v>
      </c>
      <c r="L720" s="85" t="s">
        <v>4135</v>
      </c>
      <c r="M720" s="85" t="s">
        <v>5272</v>
      </c>
    </row>
    <row r="721" ht="213.75" spans="1:13">
      <c r="A721" s="85" t="s">
        <v>5266</v>
      </c>
      <c r="B721" s="85" t="s">
        <v>3757</v>
      </c>
      <c r="C721" s="85" t="s">
        <v>3758</v>
      </c>
      <c r="D721" s="85" t="s">
        <v>3753</v>
      </c>
      <c r="E721" s="85" t="s">
        <v>3754</v>
      </c>
      <c r="F721" s="86">
        <v>150</v>
      </c>
      <c r="G721" s="86">
        <v>1</v>
      </c>
      <c r="H721" s="86">
        <v>150</v>
      </c>
      <c r="I721" s="86">
        <v>3709.9</v>
      </c>
      <c r="J721" s="85" t="s">
        <v>3112</v>
      </c>
      <c r="K721" s="85" t="s">
        <v>5267</v>
      </c>
      <c r="L721" s="85" t="s">
        <v>4135</v>
      </c>
      <c r="M721" s="85" t="s">
        <v>5273</v>
      </c>
    </row>
    <row r="722" ht="213.75" spans="1:13">
      <c r="A722" s="85" t="s">
        <v>5274</v>
      </c>
      <c r="B722" s="85" t="s">
        <v>5275</v>
      </c>
      <c r="C722" s="85" t="s">
        <v>5276</v>
      </c>
      <c r="D722" s="85" t="s">
        <v>3394</v>
      </c>
      <c r="E722" s="85" t="s">
        <v>5276</v>
      </c>
      <c r="F722" s="86">
        <v>276.32</v>
      </c>
      <c r="G722" s="86">
        <v>2</v>
      </c>
      <c r="H722" s="86">
        <v>552.64</v>
      </c>
      <c r="I722" s="86">
        <v>5687.42</v>
      </c>
      <c r="J722" s="85" t="s">
        <v>2965</v>
      </c>
      <c r="K722" s="85" t="s">
        <v>5277</v>
      </c>
      <c r="L722" s="85" t="s">
        <v>4135</v>
      </c>
      <c r="M722" s="85" t="s">
        <v>5278</v>
      </c>
    </row>
    <row r="723" ht="213.75" spans="1:13">
      <c r="A723" s="85" t="s">
        <v>5279</v>
      </c>
      <c r="B723" s="85" t="s">
        <v>5280</v>
      </c>
      <c r="C723" s="85" t="s">
        <v>5281</v>
      </c>
      <c r="D723" s="85" t="s">
        <v>5282</v>
      </c>
      <c r="E723" s="85" t="s">
        <v>5283</v>
      </c>
      <c r="F723" s="86">
        <v>28</v>
      </c>
      <c r="G723" s="86">
        <v>5</v>
      </c>
      <c r="H723" s="86">
        <v>140</v>
      </c>
      <c r="I723" s="86">
        <v>3340</v>
      </c>
      <c r="J723" s="85" t="s">
        <v>3031</v>
      </c>
      <c r="K723" s="85" t="s">
        <v>5277</v>
      </c>
      <c r="L723" s="85" t="s">
        <v>4135</v>
      </c>
      <c r="M723" s="85" t="s">
        <v>5284</v>
      </c>
    </row>
    <row r="724" ht="213.75" spans="1:13">
      <c r="A724" s="85" t="s">
        <v>5274</v>
      </c>
      <c r="B724" s="85" t="s">
        <v>5285</v>
      </c>
      <c r="C724" s="85" t="s">
        <v>5286</v>
      </c>
      <c r="D724" s="85" t="s">
        <v>3014</v>
      </c>
      <c r="E724" s="85" t="s">
        <v>5286</v>
      </c>
      <c r="F724" s="86">
        <v>24.48</v>
      </c>
      <c r="G724" s="86">
        <v>1</v>
      </c>
      <c r="H724" s="86">
        <v>24.48</v>
      </c>
      <c r="I724" s="86">
        <v>5687.42</v>
      </c>
      <c r="J724" s="85" t="s">
        <v>2965</v>
      </c>
      <c r="K724" s="85" t="s">
        <v>5277</v>
      </c>
      <c r="L724" s="85" t="s">
        <v>4135</v>
      </c>
      <c r="M724" s="85" t="s">
        <v>5287</v>
      </c>
    </row>
    <row r="725" ht="213.75" spans="1:13">
      <c r="A725" s="85" t="s">
        <v>5274</v>
      </c>
      <c r="B725" s="85" t="s">
        <v>4797</v>
      </c>
      <c r="C725" s="85" t="s">
        <v>4798</v>
      </c>
      <c r="D725" s="85" t="s">
        <v>3014</v>
      </c>
      <c r="E725" s="85" t="s">
        <v>4798</v>
      </c>
      <c r="F725" s="86">
        <v>68.16</v>
      </c>
      <c r="G725" s="86">
        <v>10</v>
      </c>
      <c r="H725" s="86">
        <v>681.6</v>
      </c>
      <c r="I725" s="86">
        <v>5687.42</v>
      </c>
      <c r="J725" s="85" t="s">
        <v>2965</v>
      </c>
      <c r="K725" s="85" t="s">
        <v>5277</v>
      </c>
      <c r="L725" s="85" t="s">
        <v>4135</v>
      </c>
      <c r="M725" s="85" t="s">
        <v>5288</v>
      </c>
    </row>
    <row r="726" ht="213.75" spans="1:13">
      <c r="A726" s="85" t="s">
        <v>5274</v>
      </c>
      <c r="B726" s="85" t="s">
        <v>4819</v>
      </c>
      <c r="C726" s="85" t="s">
        <v>4820</v>
      </c>
      <c r="D726" s="85" t="s">
        <v>4013</v>
      </c>
      <c r="E726" s="85" t="s">
        <v>4820</v>
      </c>
      <c r="F726" s="86">
        <v>356.99</v>
      </c>
      <c r="G726" s="86">
        <v>1</v>
      </c>
      <c r="H726" s="86">
        <v>356.99</v>
      </c>
      <c r="I726" s="86">
        <v>5687.42</v>
      </c>
      <c r="J726" s="85" t="s">
        <v>2965</v>
      </c>
      <c r="K726" s="85" t="s">
        <v>5277</v>
      </c>
      <c r="L726" s="85" t="s">
        <v>4135</v>
      </c>
      <c r="M726" s="85" t="s">
        <v>5289</v>
      </c>
    </row>
    <row r="727" ht="213.75" spans="1:13">
      <c r="A727" s="85" t="s">
        <v>5274</v>
      </c>
      <c r="B727" s="85" t="s">
        <v>3146</v>
      </c>
      <c r="C727" s="85" t="s">
        <v>3147</v>
      </c>
      <c r="D727" s="85" t="s">
        <v>3148</v>
      </c>
      <c r="E727" s="85" t="s">
        <v>3147</v>
      </c>
      <c r="F727" s="86">
        <v>4.41</v>
      </c>
      <c r="G727" s="86">
        <v>50</v>
      </c>
      <c r="H727" s="86">
        <v>220.5</v>
      </c>
      <c r="I727" s="86">
        <v>5687.42</v>
      </c>
      <c r="J727" s="85" t="s">
        <v>2965</v>
      </c>
      <c r="K727" s="85" t="s">
        <v>5277</v>
      </c>
      <c r="L727" s="85" t="s">
        <v>4135</v>
      </c>
      <c r="M727" s="85" t="s">
        <v>5290</v>
      </c>
    </row>
    <row r="728" ht="213.75" spans="1:13">
      <c r="A728" s="85" t="s">
        <v>5274</v>
      </c>
      <c r="B728" s="85" t="s">
        <v>5291</v>
      </c>
      <c r="C728" s="85" t="s">
        <v>5292</v>
      </c>
      <c r="D728" s="85" t="s">
        <v>5293</v>
      </c>
      <c r="E728" s="85" t="s">
        <v>5292</v>
      </c>
      <c r="F728" s="86">
        <v>12.6</v>
      </c>
      <c r="G728" s="86">
        <v>10</v>
      </c>
      <c r="H728" s="86">
        <v>126</v>
      </c>
      <c r="I728" s="86">
        <v>5687.42</v>
      </c>
      <c r="J728" s="85" t="s">
        <v>2965</v>
      </c>
      <c r="K728" s="85" t="s">
        <v>5277</v>
      </c>
      <c r="L728" s="85" t="s">
        <v>4135</v>
      </c>
      <c r="M728" s="85" t="s">
        <v>5294</v>
      </c>
    </row>
    <row r="729" ht="213.75" spans="1:13">
      <c r="A729" s="85" t="s">
        <v>5295</v>
      </c>
      <c r="B729" s="85" t="s">
        <v>5296</v>
      </c>
      <c r="C729" s="85" t="s">
        <v>5297</v>
      </c>
      <c r="D729" s="85" t="s">
        <v>4246</v>
      </c>
      <c r="E729" s="85" t="s">
        <v>4247</v>
      </c>
      <c r="F729" s="86">
        <v>14.88</v>
      </c>
      <c r="G729" s="86">
        <v>50</v>
      </c>
      <c r="H729" s="86">
        <v>744</v>
      </c>
      <c r="I729" s="86">
        <v>744</v>
      </c>
      <c r="J729" s="85" t="s">
        <v>2999</v>
      </c>
      <c r="K729" s="85" t="s">
        <v>5277</v>
      </c>
      <c r="L729" s="85" t="s">
        <v>4135</v>
      </c>
      <c r="M729" s="85" t="s">
        <v>5298</v>
      </c>
    </row>
    <row r="730" ht="213.75" spans="1:13">
      <c r="A730" s="85" t="s">
        <v>5274</v>
      </c>
      <c r="B730" s="85" t="s">
        <v>4025</v>
      </c>
      <c r="C730" s="85" t="s">
        <v>4026</v>
      </c>
      <c r="D730" s="85" t="s">
        <v>3068</v>
      </c>
      <c r="E730" s="85" t="s">
        <v>4026</v>
      </c>
      <c r="F730" s="86">
        <v>5.91</v>
      </c>
      <c r="G730" s="86">
        <v>20</v>
      </c>
      <c r="H730" s="86">
        <v>118.2</v>
      </c>
      <c r="I730" s="86">
        <v>5687.42</v>
      </c>
      <c r="J730" s="85" t="s">
        <v>2965</v>
      </c>
      <c r="K730" s="85" t="s">
        <v>5277</v>
      </c>
      <c r="L730" s="85" t="s">
        <v>4135</v>
      </c>
      <c r="M730" s="85" t="s">
        <v>5299</v>
      </c>
    </row>
    <row r="731" ht="213.75" spans="1:13">
      <c r="A731" s="85" t="s">
        <v>5279</v>
      </c>
      <c r="B731" s="85" t="s">
        <v>5300</v>
      </c>
      <c r="C731" s="85" t="s">
        <v>5301</v>
      </c>
      <c r="D731" s="85" t="s">
        <v>5302</v>
      </c>
      <c r="E731" s="85" t="s">
        <v>5303</v>
      </c>
      <c r="F731" s="86">
        <v>4</v>
      </c>
      <c r="G731" s="86">
        <v>800</v>
      </c>
      <c r="H731" s="86">
        <v>3200</v>
      </c>
      <c r="I731" s="86">
        <v>3340</v>
      </c>
      <c r="J731" s="85" t="s">
        <v>3031</v>
      </c>
      <c r="K731" s="85" t="s">
        <v>5277</v>
      </c>
      <c r="L731" s="85" t="s">
        <v>4135</v>
      </c>
      <c r="M731" s="85" t="s">
        <v>5304</v>
      </c>
    </row>
    <row r="732" ht="213.75" spans="1:13">
      <c r="A732" s="85" t="s">
        <v>5274</v>
      </c>
      <c r="B732" s="85" t="s">
        <v>4035</v>
      </c>
      <c r="C732" s="85" t="s">
        <v>4036</v>
      </c>
      <c r="D732" s="85" t="s">
        <v>4037</v>
      </c>
      <c r="E732" s="85" t="s">
        <v>4036</v>
      </c>
      <c r="F732" s="86">
        <v>25.43</v>
      </c>
      <c r="G732" s="86">
        <v>8</v>
      </c>
      <c r="H732" s="86">
        <v>203.44</v>
      </c>
      <c r="I732" s="86">
        <v>5687.42</v>
      </c>
      <c r="J732" s="85" t="s">
        <v>2965</v>
      </c>
      <c r="K732" s="85" t="s">
        <v>5277</v>
      </c>
      <c r="L732" s="85" t="s">
        <v>4135</v>
      </c>
      <c r="M732" s="85" t="s">
        <v>5305</v>
      </c>
    </row>
    <row r="733" ht="213.75" spans="1:13">
      <c r="A733" s="85" t="s">
        <v>5274</v>
      </c>
      <c r="B733" s="85" t="s">
        <v>3236</v>
      </c>
      <c r="C733" s="85" t="s">
        <v>3237</v>
      </c>
      <c r="D733" s="85" t="s">
        <v>3183</v>
      </c>
      <c r="E733" s="85" t="s">
        <v>3237</v>
      </c>
      <c r="F733" s="86">
        <v>55.72</v>
      </c>
      <c r="G733" s="86">
        <v>10</v>
      </c>
      <c r="H733" s="86">
        <v>557.2</v>
      </c>
      <c r="I733" s="86">
        <v>5687.42</v>
      </c>
      <c r="J733" s="85" t="s">
        <v>2965</v>
      </c>
      <c r="K733" s="85" t="s">
        <v>5277</v>
      </c>
      <c r="L733" s="85" t="s">
        <v>4135</v>
      </c>
      <c r="M733" s="85" t="s">
        <v>5306</v>
      </c>
    </row>
    <row r="734" ht="213.75" spans="1:13">
      <c r="A734" s="85" t="s">
        <v>5274</v>
      </c>
      <c r="B734" s="85" t="s">
        <v>5307</v>
      </c>
      <c r="C734" s="85" t="s">
        <v>5308</v>
      </c>
      <c r="D734" s="85" t="s">
        <v>3367</v>
      </c>
      <c r="E734" s="85" t="s">
        <v>5308</v>
      </c>
      <c r="F734" s="86">
        <v>1.35</v>
      </c>
      <c r="G734" s="86">
        <v>12</v>
      </c>
      <c r="H734" s="86">
        <v>16.2</v>
      </c>
      <c r="I734" s="86">
        <v>5687.42</v>
      </c>
      <c r="J734" s="85" t="s">
        <v>2965</v>
      </c>
      <c r="K734" s="85" t="s">
        <v>5277</v>
      </c>
      <c r="L734" s="85" t="s">
        <v>4135</v>
      </c>
      <c r="M734" s="85" t="s">
        <v>5309</v>
      </c>
    </row>
    <row r="735" ht="213.75" spans="1:13">
      <c r="A735" s="85" t="s">
        <v>5274</v>
      </c>
      <c r="B735" s="85" t="s">
        <v>5310</v>
      </c>
      <c r="C735" s="85" t="s">
        <v>5311</v>
      </c>
      <c r="D735" s="85" t="s">
        <v>5312</v>
      </c>
      <c r="E735" s="85" t="s">
        <v>5311</v>
      </c>
      <c r="F735" s="86">
        <v>49.22</v>
      </c>
      <c r="G735" s="86">
        <v>1</v>
      </c>
      <c r="H735" s="86">
        <v>49.22</v>
      </c>
      <c r="I735" s="86">
        <v>5687.42</v>
      </c>
      <c r="J735" s="85" t="s">
        <v>2965</v>
      </c>
      <c r="K735" s="85" t="s">
        <v>5277</v>
      </c>
      <c r="L735" s="85" t="s">
        <v>4135</v>
      </c>
      <c r="M735" s="85" t="s">
        <v>5313</v>
      </c>
    </row>
    <row r="736" ht="213.75" spans="1:13">
      <c r="A736" s="85" t="s">
        <v>5274</v>
      </c>
      <c r="B736" s="85" t="s">
        <v>4787</v>
      </c>
      <c r="C736" s="85" t="s">
        <v>4788</v>
      </c>
      <c r="D736" s="85" t="s">
        <v>2977</v>
      </c>
      <c r="E736" s="85" t="s">
        <v>4788</v>
      </c>
      <c r="F736" s="86">
        <v>5.46</v>
      </c>
      <c r="G736" s="86">
        <v>30</v>
      </c>
      <c r="H736" s="86">
        <v>163.8</v>
      </c>
      <c r="I736" s="86">
        <v>5687.42</v>
      </c>
      <c r="J736" s="85" t="s">
        <v>2965</v>
      </c>
      <c r="K736" s="85" t="s">
        <v>5277</v>
      </c>
      <c r="L736" s="85" t="s">
        <v>4135</v>
      </c>
      <c r="M736" s="85" t="s">
        <v>5314</v>
      </c>
    </row>
    <row r="737" ht="213.75" spans="1:13">
      <c r="A737" s="85" t="s">
        <v>5274</v>
      </c>
      <c r="B737" s="85" t="s">
        <v>5315</v>
      </c>
      <c r="C737" s="85" t="s">
        <v>5316</v>
      </c>
      <c r="D737" s="85" t="s">
        <v>3434</v>
      </c>
      <c r="E737" s="85" t="s">
        <v>5316</v>
      </c>
      <c r="F737" s="86">
        <v>7.11</v>
      </c>
      <c r="G737" s="86">
        <v>40</v>
      </c>
      <c r="H737" s="86">
        <v>284.4</v>
      </c>
      <c r="I737" s="86">
        <v>5687.42</v>
      </c>
      <c r="J737" s="85" t="s">
        <v>2965</v>
      </c>
      <c r="K737" s="85" t="s">
        <v>5277</v>
      </c>
      <c r="L737" s="85" t="s">
        <v>4135</v>
      </c>
      <c r="M737" s="85" t="s">
        <v>5317</v>
      </c>
    </row>
    <row r="738" ht="213.75" spans="1:13">
      <c r="A738" s="85" t="s">
        <v>5274</v>
      </c>
      <c r="B738" s="85" t="s">
        <v>5318</v>
      </c>
      <c r="C738" s="85" t="s">
        <v>5319</v>
      </c>
      <c r="D738" s="85" t="s">
        <v>5320</v>
      </c>
      <c r="E738" s="85" t="s">
        <v>5319</v>
      </c>
      <c r="F738" s="86">
        <v>262.75</v>
      </c>
      <c r="G738" s="86">
        <v>1</v>
      </c>
      <c r="H738" s="86">
        <v>262.75</v>
      </c>
      <c r="I738" s="86">
        <v>5687.42</v>
      </c>
      <c r="J738" s="85" t="s">
        <v>2965</v>
      </c>
      <c r="K738" s="85" t="s">
        <v>5277</v>
      </c>
      <c r="L738" s="85" t="s">
        <v>4135</v>
      </c>
      <c r="M738" s="85" t="s">
        <v>5321</v>
      </c>
    </row>
    <row r="739" ht="213.75" spans="1:13">
      <c r="A739" s="85" t="s">
        <v>5274</v>
      </c>
      <c r="B739" s="85" t="s">
        <v>5322</v>
      </c>
      <c r="C739" s="85" t="s">
        <v>5323</v>
      </c>
      <c r="D739" s="85" t="s">
        <v>3148</v>
      </c>
      <c r="E739" s="85" t="s">
        <v>5323</v>
      </c>
      <c r="F739" s="86">
        <v>41.4</v>
      </c>
      <c r="G739" s="86">
        <v>50</v>
      </c>
      <c r="H739" s="86">
        <v>2070</v>
      </c>
      <c r="I739" s="86">
        <v>5687.42</v>
      </c>
      <c r="J739" s="85" t="s">
        <v>2965</v>
      </c>
      <c r="K739" s="85" t="s">
        <v>5277</v>
      </c>
      <c r="L739" s="85" t="s">
        <v>4135</v>
      </c>
      <c r="M739" s="85" t="s">
        <v>5324</v>
      </c>
    </row>
    <row r="740" ht="213.75" spans="1:13">
      <c r="A740" s="85" t="s">
        <v>5325</v>
      </c>
      <c r="B740" s="85" t="s">
        <v>5326</v>
      </c>
      <c r="C740" s="85" t="s">
        <v>5327</v>
      </c>
      <c r="D740" s="85" t="s">
        <v>3189</v>
      </c>
      <c r="E740" s="85" t="s">
        <v>5327</v>
      </c>
      <c r="F740" s="86">
        <v>27</v>
      </c>
      <c r="G740" s="86">
        <v>300</v>
      </c>
      <c r="H740" s="86">
        <v>8100</v>
      </c>
      <c r="I740" s="86">
        <v>8100</v>
      </c>
      <c r="J740" s="85" t="s">
        <v>3314</v>
      </c>
      <c r="K740" s="85" t="s">
        <v>5328</v>
      </c>
      <c r="L740" s="85" t="s">
        <v>4135</v>
      </c>
      <c r="M740" s="85" t="s">
        <v>5329</v>
      </c>
    </row>
    <row r="741" ht="213.75" spans="1:13">
      <c r="A741" s="85" t="s">
        <v>5330</v>
      </c>
      <c r="B741" s="85" t="s">
        <v>3788</v>
      </c>
      <c r="C741" s="85" t="s">
        <v>3789</v>
      </c>
      <c r="D741" s="85" t="s">
        <v>3189</v>
      </c>
      <c r="E741" s="85" t="s">
        <v>3790</v>
      </c>
      <c r="F741" s="86">
        <v>100</v>
      </c>
      <c r="G741" s="86">
        <v>48</v>
      </c>
      <c r="H741" s="86">
        <v>4800</v>
      </c>
      <c r="I741" s="86">
        <v>4800</v>
      </c>
      <c r="J741" s="85" t="s">
        <v>3304</v>
      </c>
      <c r="K741" s="85" t="s">
        <v>5331</v>
      </c>
      <c r="L741" s="85" t="s">
        <v>4135</v>
      </c>
      <c r="M741" s="85" t="s">
        <v>5332</v>
      </c>
    </row>
    <row r="742" ht="213.75" spans="1:13">
      <c r="A742" s="85" t="s">
        <v>5333</v>
      </c>
      <c r="B742" s="85" t="s">
        <v>2917</v>
      </c>
      <c r="C742" s="85" t="s">
        <v>2918</v>
      </c>
      <c r="D742" s="85" t="s">
        <v>2919</v>
      </c>
      <c r="E742" s="85" t="s">
        <v>2918</v>
      </c>
      <c r="F742" s="86">
        <v>101000</v>
      </c>
      <c r="G742" s="86">
        <v>1</v>
      </c>
      <c r="H742" s="86">
        <v>101000</v>
      </c>
      <c r="I742" s="86">
        <v>101000</v>
      </c>
      <c r="J742" s="85" t="s">
        <v>5334</v>
      </c>
      <c r="K742" s="85" t="s">
        <v>5335</v>
      </c>
      <c r="L742" s="85" t="s">
        <v>4135</v>
      </c>
      <c r="M742" s="85" t="s">
        <v>5336</v>
      </c>
    </row>
    <row r="743" ht="213.75" spans="1:13">
      <c r="A743" s="85" t="s">
        <v>5337</v>
      </c>
      <c r="B743" s="85" t="s">
        <v>5338</v>
      </c>
      <c r="C743" s="85" t="s">
        <v>5339</v>
      </c>
      <c r="D743" s="85" t="s">
        <v>3434</v>
      </c>
      <c r="E743" s="85" t="s">
        <v>5339</v>
      </c>
      <c r="F743" s="86">
        <v>13</v>
      </c>
      <c r="G743" s="86">
        <v>12</v>
      </c>
      <c r="H743" s="86">
        <v>156</v>
      </c>
      <c r="I743" s="86">
        <v>17167.75</v>
      </c>
      <c r="J743" s="85" t="s">
        <v>2935</v>
      </c>
      <c r="K743" s="85" t="s">
        <v>5340</v>
      </c>
      <c r="L743" s="85" t="s">
        <v>4135</v>
      </c>
      <c r="M743" s="85" t="s">
        <v>5341</v>
      </c>
    </row>
    <row r="744" ht="242.25" spans="1:13">
      <c r="A744" s="85" t="s">
        <v>5337</v>
      </c>
      <c r="B744" s="85" t="s">
        <v>5342</v>
      </c>
      <c r="C744" s="85" t="s">
        <v>5343</v>
      </c>
      <c r="D744" s="85" t="s">
        <v>4296</v>
      </c>
      <c r="E744" s="85" t="s">
        <v>5344</v>
      </c>
      <c r="F744" s="86">
        <v>6.25</v>
      </c>
      <c r="G744" s="86">
        <v>5</v>
      </c>
      <c r="H744" s="86">
        <v>31.25</v>
      </c>
      <c r="I744" s="86">
        <v>17167.75</v>
      </c>
      <c r="J744" s="85" t="s">
        <v>2935</v>
      </c>
      <c r="K744" s="85" t="s">
        <v>5340</v>
      </c>
      <c r="L744" s="85" t="s">
        <v>4135</v>
      </c>
      <c r="M744" s="85" t="s">
        <v>5345</v>
      </c>
    </row>
    <row r="745" ht="213.75" spans="1:13">
      <c r="A745" s="85" t="s">
        <v>5337</v>
      </c>
      <c r="B745" s="85" t="s">
        <v>5346</v>
      </c>
      <c r="C745" s="85" t="s">
        <v>5347</v>
      </c>
      <c r="D745" s="85" t="s">
        <v>3041</v>
      </c>
      <c r="E745" s="85" t="s">
        <v>3158</v>
      </c>
      <c r="F745" s="86">
        <v>30</v>
      </c>
      <c r="G745" s="86">
        <v>7</v>
      </c>
      <c r="H745" s="86">
        <v>210</v>
      </c>
      <c r="I745" s="86">
        <v>17167.75</v>
      </c>
      <c r="J745" s="85" t="s">
        <v>2935</v>
      </c>
      <c r="K745" s="85" t="s">
        <v>5340</v>
      </c>
      <c r="L745" s="85" t="s">
        <v>4135</v>
      </c>
      <c r="M745" s="85" t="s">
        <v>5348</v>
      </c>
    </row>
    <row r="746" ht="213.75" spans="1:13">
      <c r="A746" s="85" t="s">
        <v>5337</v>
      </c>
      <c r="B746" s="85" t="s">
        <v>5349</v>
      </c>
      <c r="C746" s="85" t="s">
        <v>5350</v>
      </c>
      <c r="D746" s="85" t="s">
        <v>3189</v>
      </c>
      <c r="E746" s="85" t="s">
        <v>5351</v>
      </c>
      <c r="F746" s="86">
        <v>19</v>
      </c>
      <c r="G746" s="86">
        <v>21</v>
      </c>
      <c r="H746" s="86">
        <v>399</v>
      </c>
      <c r="I746" s="86">
        <v>17167.75</v>
      </c>
      <c r="J746" s="85" t="s">
        <v>2935</v>
      </c>
      <c r="K746" s="85" t="s">
        <v>5340</v>
      </c>
      <c r="L746" s="85" t="s">
        <v>4135</v>
      </c>
      <c r="M746" s="85" t="s">
        <v>5352</v>
      </c>
    </row>
    <row r="747" ht="213.75" spans="1:13">
      <c r="A747" s="85" t="s">
        <v>5337</v>
      </c>
      <c r="B747" s="85" t="s">
        <v>5353</v>
      </c>
      <c r="C747" s="85" t="s">
        <v>5354</v>
      </c>
      <c r="D747" s="85" t="s">
        <v>5355</v>
      </c>
      <c r="E747" s="85" t="s">
        <v>5354</v>
      </c>
      <c r="F747" s="86">
        <v>255</v>
      </c>
      <c r="G747" s="86">
        <v>1</v>
      </c>
      <c r="H747" s="86">
        <v>255</v>
      </c>
      <c r="I747" s="86">
        <v>17167.75</v>
      </c>
      <c r="J747" s="85" t="s">
        <v>2935</v>
      </c>
      <c r="K747" s="85" t="s">
        <v>5340</v>
      </c>
      <c r="L747" s="85" t="s">
        <v>4135</v>
      </c>
      <c r="M747" s="85" t="s">
        <v>5356</v>
      </c>
    </row>
    <row r="748" ht="213.75" spans="1:13">
      <c r="A748" s="85" t="s">
        <v>5337</v>
      </c>
      <c r="B748" s="85" t="s">
        <v>5357</v>
      </c>
      <c r="C748" s="85" t="s">
        <v>5358</v>
      </c>
      <c r="D748" s="85" t="s">
        <v>3068</v>
      </c>
      <c r="E748" s="85" t="s">
        <v>5358</v>
      </c>
      <c r="F748" s="86">
        <v>9</v>
      </c>
      <c r="G748" s="86">
        <v>550</v>
      </c>
      <c r="H748" s="86">
        <v>4950</v>
      </c>
      <c r="I748" s="86">
        <v>17167.75</v>
      </c>
      <c r="J748" s="85" t="s">
        <v>2935</v>
      </c>
      <c r="K748" s="85" t="s">
        <v>5340</v>
      </c>
      <c r="L748" s="85" t="s">
        <v>4135</v>
      </c>
      <c r="M748" s="85" t="s">
        <v>5359</v>
      </c>
    </row>
    <row r="749" ht="213.75" spans="1:13">
      <c r="A749" s="85" t="s">
        <v>5337</v>
      </c>
      <c r="B749" s="85" t="s">
        <v>5360</v>
      </c>
      <c r="C749" s="85" t="s">
        <v>5361</v>
      </c>
      <c r="D749" s="85" t="s">
        <v>5362</v>
      </c>
      <c r="E749" s="85" t="s">
        <v>5361</v>
      </c>
      <c r="F749" s="86">
        <v>220</v>
      </c>
      <c r="G749" s="86">
        <v>1</v>
      </c>
      <c r="H749" s="86">
        <v>220</v>
      </c>
      <c r="I749" s="86">
        <v>17167.75</v>
      </c>
      <c r="J749" s="85" t="s">
        <v>2935</v>
      </c>
      <c r="K749" s="85" t="s">
        <v>5340</v>
      </c>
      <c r="L749" s="85" t="s">
        <v>4135</v>
      </c>
      <c r="M749" s="85" t="s">
        <v>5363</v>
      </c>
    </row>
    <row r="750" ht="213.75" spans="1:13">
      <c r="A750" s="85" t="s">
        <v>5337</v>
      </c>
      <c r="B750" s="85" t="s">
        <v>4290</v>
      </c>
      <c r="C750" s="85" t="s">
        <v>4291</v>
      </c>
      <c r="D750" s="85" t="s">
        <v>3189</v>
      </c>
      <c r="E750" s="85" t="s">
        <v>4292</v>
      </c>
      <c r="F750" s="86">
        <v>13</v>
      </c>
      <c r="G750" s="86">
        <v>54</v>
      </c>
      <c r="H750" s="86">
        <v>702</v>
      </c>
      <c r="I750" s="86">
        <v>17167.75</v>
      </c>
      <c r="J750" s="85" t="s">
        <v>2935</v>
      </c>
      <c r="K750" s="85" t="s">
        <v>5340</v>
      </c>
      <c r="L750" s="85" t="s">
        <v>4135</v>
      </c>
      <c r="M750" s="85" t="s">
        <v>5364</v>
      </c>
    </row>
    <row r="751" ht="213.75" spans="1:13">
      <c r="A751" s="85" t="s">
        <v>5337</v>
      </c>
      <c r="B751" s="85" t="s">
        <v>4745</v>
      </c>
      <c r="C751" s="85" t="s">
        <v>4746</v>
      </c>
      <c r="D751" s="85" t="s">
        <v>4747</v>
      </c>
      <c r="E751" s="85" t="s">
        <v>4748</v>
      </c>
      <c r="F751" s="86">
        <v>96</v>
      </c>
      <c r="G751" s="86">
        <v>5</v>
      </c>
      <c r="H751" s="86">
        <v>480</v>
      </c>
      <c r="I751" s="86">
        <v>17167.75</v>
      </c>
      <c r="J751" s="85" t="s">
        <v>2935</v>
      </c>
      <c r="K751" s="85" t="s">
        <v>5340</v>
      </c>
      <c r="L751" s="85" t="s">
        <v>4135</v>
      </c>
      <c r="M751" s="85" t="s">
        <v>5365</v>
      </c>
    </row>
    <row r="752" ht="213.75" spans="1:13">
      <c r="A752" s="85" t="s">
        <v>5337</v>
      </c>
      <c r="B752" s="85" t="s">
        <v>5366</v>
      </c>
      <c r="C752" s="85" t="s">
        <v>5367</v>
      </c>
      <c r="D752" s="85" t="s">
        <v>5368</v>
      </c>
      <c r="E752" s="85" t="s">
        <v>5369</v>
      </c>
      <c r="F752" s="86">
        <v>2010</v>
      </c>
      <c r="G752" s="86">
        <v>3</v>
      </c>
      <c r="H752" s="86">
        <v>6030</v>
      </c>
      <c r="I752" s="86">
        <v>17167.75</v>
      </c>
      <c r="J752" s="85" t="s">
        <v>2935</v>
      </c>
      <c r="K752" s="85" t="s">
        <v>5340</v>
      </c>
      <c r="L752" s="85" t="s">
        <v>4135</v>
      </c>
      <c r="M752" s="85" t="s">
        <v>5370</v>
      </c>
    </row>
    <row r="753" ht="213.75" spans="1:13">
      <c r="A753" s="85" t="s">
        <v>5337</v>
      </c>
      <c r="B753" s="85" t="s">
        <v>3942</v>
      </c>
      <c r="C753" s="85" t="s">
        <v>3943</v>
      </c>
      <c r="D753" s="85" t="s">
        <v>3944</v>
      </c>
      <c r="E753" s="85" t="s">
        <v>3943</v>
      </c>
      <c r="F753" s="86">
        <v>54.9</v>
      </c>
      <c r="G753" s="86">
        <v>5</v>
      </c>
      <c r="H753" s="86">
        <v>274.5</v>
      </c>
      <c r="I753" s="86">
        <v>17167.75</v>
      </c>
      <c r="J753" s="85" t="s">
        <v>2935</v>
      </c>
      <c r="K753" s="85" t="s">
        <v>5340</v>
      </c>
      <c r="L753" s="85" t="s">
        <v>4135</v>
      </c>
      <c r="M753" s="85" t="s">
        <v>5371</v>
      </c>
    </row>
    <row r="754" ht="213.75" spans="1:13">
      <c r="A754" s="85" t="s">
        <v>5337</v>
      </c>
      <c r="B754" s="85" t="s">
        <v>3957</v>
      </c>
      <c r="C754" s="85" t="s">
        <v>3958</v>
      </c>
      <c r="D754" s="85" t="s">
        <v>3959</v>
      </c>
      <c r="E754" s="85" t="s">
        <v>3958</v>
      </c>
      <c r="F754" s="86">
        <v>50</v>
      </c>
      <c r="G754" s="86">
        <v>30</v>
      </c>
      <c r="H754" s="86">
        <v>1500</v>
      </c>
      <c r="I754" s="86">
        <v>17167.75</v>
      </c>
      <c r="J754" s="85" t="s">
        <v>2935</v>
      </c>
      <c r="K754" s="85" t="s">
        <v>5340</v>
      </c>
      <c r="L754" s="85" t="s">
        <v>4135</v>
      </c>
      <c r="M754" s="85" t="s">
        <v>5372</v>
      </c>
    </row>
    <row r="755" ht="213.75" spans="1:13">
      <c r="A755" s="85" t="s">
        <v>5337</v>
      </c>
      <c r="B755" s="85" t="s">
        <v>5373</v>
      </c>
      <c r="C755" s="85" t="s">
        <v>5374</v>
      </c>
      <c r="D755" s="85" t="s">
        <v>3862</v>
      </c>
      <c r="E755" s="85" t="s">
        <v>5374</v>
      </c>
      <c r="F755" s="86">
        <v>225</v>
      </c>
      <c r="G755" s="86">
        <v>2</v>
      </c>
      <c r="H755" s="86">
        <v>450</v>
      </c>
      <c r="I755" s="86">
        <v>17167.75</v>
      </c>
      <c r="J755" s="85" t="s">
        <v>2935</v>
      </c>
      <c r="K755" s="85" t="s">
        <v>5340</v>
      </c>
      <c r="L755" s="85" t="s">
        <v>4135</v>
      </c>
      <c r="M755" s="85" t="s">
        <v>5375</v>
      </c>
    </row>
    <row r="756" ht="213.75" spans="1:13">
      <c r="A756" s="85" t="s">
        <v>5337</v>
      </c>
      <c r="B756" s="85" t="s">
        <v>5376</v>
      </c>
      <c r="C756" s="85" t="s">
        <v>5377</v>
      </c>
      <c r="D756" s="85" t="s">
        <v>5378</v>
      </c>
      <c r="E756" s="85" t="s">
        <v>2036</v>
      </c>
      <c r="F756" s="86">
        <v>21</v>
      </c>
      <c r="G756" s="86">
        <v>30</v>
      </c>
      <c r="H756" s="86">
        <v>630</v>
      </c>
      <c r="I756" s="86">
        <v>17167.75</v>
      </c>
      <c r="J756" s="85" t="s">
        <v>2935</v>
      </c>
      <c r="K756" s="85" t="s">
        <v>5340</v>
      </c>
      <c r="L756" s="85" t="s">
        <v>4135</v>
      </c>
      <c r="M756" s="85" t="s">
        <v>5379</v>
      </c>
    </row>
    <row r="757" ht="213.75" spans="1:13">
      <c r="A757" s="85" t="s">
        <v>5337</v>
      </c>
      <c r="B757" s="85" t="s">
        <v>5380</v>
      </c>
      <c r="C757" s="85" t="s">
        <v>5381</v>
      </c>
      <c r="D757" s="85" t="s">
        <v>5382</v>
      </c>
      <c r="E757" s="85" t="s">
        <v>5383</v>
      </c>
      <c r="F757" s="86">
        <v>120</v>
      </c>
      <c r="G757" s="86">
        <v>5</v>
      </c>
      <c r="H757" s="86">
        <v>600</v>
      </c>
      <c r="I757" s="86">
        <v>17167.75</v>
      </c>
      <c r="J757" s="85" t="s">
        <v>2935</v>
      </c>
      <c r="K757" s="85" t="s">
        <v>5340</v>
      </c>
      <c r="L757" s="85" t="s">
        <v>4135</v>
      </c>
      <c r="M757" s="85" t="s">
        <v>5384</v>
      </c>
    </row>
    <row r="758" ht="213.75" spans="1:13">
      <c r="A758" s="85" t="s">
        <v>5337</v>
      </c>
      <c r="B758" s="85" t="s">
        <v>5385</v>
      </c>
      <c r="C758" s="85" t="s">
        <v>5386</v>
      </c>
      <c r="D758" s="85" t="s">
        <v>3054</v>
      </c>
      <c r="E758" s="85" t="s">
        <v>5386</v>
      </c>
      <c r="F758" s="86">
        <v>7</v>
      </c>
      <c r="G758" s="86">
        <v>40</v>
      </c>
      <c r="H758" s="86">
        <v>280</v>
      </c>
      <c r="I758" s="86">
        <v>17167.75</v>
      </c>
      <c r="J758" s="85" t="s">
        <v>2935</v>
      </c>
      <c r="K758" s="85" t="s">
        <v>5340</v>
      </c>
      <c r="L758" s="85" t="s">
        <v>4135</v>
      </c>
      <c r="M758" s="85" t="s">
        <v>5387</v>
      </c>
    </row>
    <row r="759" ht="213.75" spans="1:13">
      <c r="A759" s="85" t="s">
        <v>5388</v>
      </c>
      <c r="B759" s="85" t="s">
        <v>3123</v>
      </c>
      <c r="C759" s="85" t="s">
        <v>3124</v>
      </c>
      <c r="D759" s="85" t="s">
        <v>3125</v>
      </c>
      <c r="E759" s="85" t="s">
        <v>3124</v>
      </c>
      <c r="F759" s="86">
        <v>29892</v>
      </c>
      <c r="G759" s="86">
        <v>1</v>
      </c>
      <c r="H759" s="86">
        <v>29892</v>
      </c>
      <c r="I759" s="86">
        <v>29892</v>
      </c>
      <c r="J759" s="85" t="s">
        <v>5389</v>
      </c>
      <c r="K759" s="85" t="s">
        <v>5390</v>
      </c>
      <c r="L759" s="85" t="s">
        <v>4135</v>
      </c>
      <c r="M759" s="85" t="s">
        <v>5391</v>
      </c>
    </row>
    <row r="760" ht="213.75" spans="1:13">
      <c r="A760" s="85" t="s">
        <v>5392</v>
      </c>
      <c r="B760" s="85" t="s">
        <v>3509</v>
      </c>
      <c r="C760" s="85" t="s">
        <v>3510</v>
      </c>
      <c r="D760" s="85" t="s">
        <v>3511</v>
      </c>
      <c r="E760" s="85" t="s">
        <v>3510</v>
      </c>
      <c r="F760" s="86">
        <v>3000</v>
      </c>
      <c r="G760" s="86">
        <v>1</v>
      </c>
      <c r="H760" s="86">
        <v>3000</v>
      </c>
      <c r="I760" s="86">
        <v>3000</v>
      </c>
      <c r="J760" s="85" t="s">
        <v>3951</v>
      </c>
      <c r="K760" s="85" t="s">
        <v>5393</v>
      </c>
      <c r="L760" s="85" t="s">
        <v>4135</v>
      </c>
      <c r="M760" s="85" t="s">
        <v>5394</v>
      </c>
    </row>
    <row r="761" ht="213.75" spans="1:13">
      <c r="A761" s="85" t="s">
        <v>5395</v>
      </c>
      <c r="B761" s="85" t="s">
        <v>5396</v>
      </c>
      <c r="C761" s="85" t="s">
        <v>5397</v>
      </c>
      <c r="D761" s="85" t="s">
        <v>2982</v>
      </c>
      <c r="E761" s="85" t="s">
        <v>2983</v>
      </c>
      <c r="F761" s="86">
        <v>21.65</v>
      </c>
      <c r="G761" s="86">
        <v>5</v>
      </c>
      <c r="H761" s="86">
        <v>108.25</v>
      </c>
      <c r="I761" s="86">
        <v>8173.84</v>
      </c>
      <c r="J761" s="85" t="s">
        <v>4391</v>
      </c>
      <c r="K761" s="85" t="s">
        <v>5398</v>
      </c>
      <c r="L761" s="85" t="s">
        <v>4135</v>
      </c>
      <c r="M761" s="85" t="s">
        <v>5399</v>
      </c>
    </row>
    <row r="762" ht="213.75" spans="1:13">
      <c r="A762" s="85" t="s">
        <v>5395</v>
      </c>
      <c r="B762" s="85" t="s">
        <v>5021</v>
      </c>
      <c r="C762" s="85" t="s">
        <v>5022</v>
      </c>
      <c r="D762" s="85" t="s">
        <v>5023</v>
      </c>
      <c r="E762" s="85" t="s">
        <v>5024</v>
      </c>
      <c r="F762" s="86">
        <v>12.18</v>
      </c>
      <c r="G762" s="86">
        <v>20</v>
      </c>
      <c r="H762" s="86">
        <v>243.6</v>
      </c>
      <c r="I762" s="86">
        <v>8173.84</v>
      </c>
      <c r="J762" s="85" t="s">
        <v>4391</v>
      </c>
      <c r="K762" s="85" t="s">
        <v>5398</v>
      </c>
      <c r="L762" s="85" t="s">
        <v>4135</v>
      </c>
      <c r="M762" s="85" t="s">
        <v>5400</v>
      </c>
    </row>
    <row r="763" ht="213.75" spans="1:13">
      <c r="A763" s="85" t="s">
        <v>5395</v>
      </c>
      <c r="B763" s="85" t="s">
        <v>5401</v>
      </c>
      <c r="C763" s="85" t="s">
        <v>5402</v>
      </c>
      <c r="D763" s="85" t="s">
        <v>3593</v>
      </c>
      <c r="E763" s="85" t="s">
        <v>5402</v>
      </c>
      <c r="F763" s="86">
        <v>39.5</v>
      </c>
      <c r="G763" s="86">
        <v>5</v>
      </c>
      <c r="H763" s="86">
        <v>197.5</v>
      </c>
      <c r="I763" s="86">
        <v>8173.84</v>
      </c>
      <c r="J763" s="85" t="s">
        <v>4391</v>
      </c>
      <c r="K763" s="85" t="s">
        <v>5398</v>
      </c>
      <c r="L763" s="85" t="s">
        <v>4135</v>
      </c>
      <c r="M763" s="85" t="s">
        <v>5403</v>
      </c>
    </row>
    <row r="764" ht="213.75" spans="1:13">
      <c r="A764" s="85" t="s">
        <v>5395</v>
      </c>
      <c r="B764" s="85" t="s">
        <v>5404</v>
      </c>
      <c r="C764" s="85" t="s">
        <v>5405</v>
      </c>
      <c r="D764" s="85" t="s">
        <v>5406</v>
      </c>
      <c r="E764" s="85" t="s">
        <v>5405</v>
      </c>
      <c r="F764" s="86">
        <v>434.65</v>
      </c>
      <c r="G764" s="86">
        <v>1</v>
      </c>
      <c r="H764" s="86">
        <v>434.65</v>
      </c>
      <c r="I764" s="86">
        <v>8173.84</v>
      </c>
      <c r="J764" s="85" t="s">
        <v>4391</v>
      </c>
      <c r="K764" s="85" t="s">
        <v>5398</v>
      </c>
      <c r="L764" s="85" t="s">
        <v>4135</v>
      </c>
      <c r="M764" s="85" t="s">
        <v>5407</v>
      </c>
    </row>
    <row r="765" ht="213.75" spans="1:13">
      <c r="A765" s="85" t="s">
        <v>5395</v>
      </c>
      <c r="B765" s="85" t="s">
        <v>5408</v>
      </c>
      <c r="C765" s="85" t="s">
        <v>5409</v>
      </c>
      <c r="D765" s="85" t="s">
        <v>5410</v>
      </c>
      <c r="E765" s="85" t="s">
        <v>5409</v>
      </c>
      <c r="F765" s="86">
        <v>765.9</v>
      </c>
      <c r="G765" s="86">
        <v>1</v>
      </c>
      <c r="H765" s="86">
        <v>765.9</v>
      </c>
      <c r="I765" s="86">
        <v>8173.84</v>
      </c>
      <c r="J765" s="85" t="s">
        <v>4391</v>
      </c>
      <c r="K765" s="85" t="s">
        <v>5398</v>
      </c>
      <c r="L765" s="85" t="s">
        <v>4135</v>
      </c>
      <c r="M765" s="85" t="s">
        <v>5411</v>
      </c>
    </row>
    <row r="766" ht="213.75" spans="1:13">
      <c r="A766" s="85" t="s">
        <v>5395</v>
      </c>
      <c r="B766" s="85" t="s">
        <v>4180</v>
      </c>
      <c r="C766" s="85" t="s">
        <v>4181</v>
      </c>
      <c r="D766" s="85" t="s">
        <v>4182</v>
      </c>
      <c r="E766" s="85" t="s">
        <v>4181</v>
      </c>
      <c r="F766" s="86">
        <v>474</v>
      </c>
      <c r="G766" s="86">
        <v>2</v>
      </c>
      <c r="H766" s="86">
        <v>948</v>
      </c>
      <c r="I766" s="86">
        <v>8173.84</v>
      </c>
      <c r="J766" s="85" t="s">
        <v>4391</v>
      </c>
      <c r="K766" s="85" t="s">
        <v>5398</v>
      </c>
      <c r="L766" s="85" t="s">
        <v>4135</v>
      </c>
      <c r="M766" s="85" t="s">
        <v>5412</v>
      </c>
    </row>
    <row r="767" ht="213.75" spans="1:13">
      <c r="A767" s="85" t="s">
        <v>5395</v>
      </c>
      <c r="B767" s="85" t="s">
        <v>5413</v>
      </c>
      <c r="C767" s="85" t="s">
        <v>5414</v>
      </c>
      <c r="D767" s="85" t="s">
        <v>3189</v>
      </c>
      <c r="E767" s="85" t="s">
        <v>5414</v>
      </c>
      <c r="F767" s="86">
        <v>41.65</v>
      </c>
      <c r="G767" s="86">
        <v>4</v>
      </c>
      <c r="H767" s="86">
        <v>166.6</v>
      </c>
      <c r="I767" s="86">
        <v>8173.84</v>
      </c>
      <c r="J767" s="85" t="s">
        <v>4391</v>
      </c>
      <c r="K767" s="85" t="s">
        <v>5398</v>
      </c>
      <c r="L767" s="85" t="s">
        <v>4135</v>
      </c>
      <c r="M767" s="85" t="s">
        <v>5415</v>
      </c>
    </row>
    <row r="768" ht="213.75" spans="1:13">
      <c r="A768" s="85" t="s">
        <v>5395</v>
      </c>
      <c r="B768" s="85" t="s">
        <v>5416</v>
      </c>
      <c r="C768" s="85" t="s">
        <v>5417</v>
      </c>
      <c r="D768" s="85" t="s">
        <v>3014</v>
      </c>
      <c r="E768" s="85" t="s">
        <v>5418</v>
      </c>
      <c r="F768" s="86">
        <v>1258.4</v>
      </c>
      <c r="G768" s="86">
        <v>1</v>
      </c>
      <c r="H768" s="86">
        <v>1258.4</v>
      </c>
      <c r="I768" s="86">
        <v>8173.84</v>
      </c>
      <c r="J768" s="85" t="s">
        <v>4391</v>
      </c>
      <c r="K768" s="85" t="s">
        <v>5398</v>
      </c>
      <c r="L768" s="85" t="s">
        <v>4135</v>
      </c>
      <c r="M768" s="85" t="s">
        <v>5419</v>
      </c>
    </row>
    <row r="769" ht="213.75" spans="1:13">
      <c r="A769" s="85" t="s">
        <v>5395</v>
      </c>
      <c r="B769" s="85" t="s">
        <v>3931</v>
      </c>
      <c r="C769" s="85" t="s">
        <v>3932</v>
      </c>
      <c r="D769" s="85" t="s">
        <v>3189</v>
      </c>
      <c r="E769" s="85" t="s">
        <v>3933</v>
      </c>
      <c r="F769" s="86">
        <v>30.9</v>
      </c>
      <c r="G769" s="86">
        <v>3</v>
      </c>
      <c r="H769" s="86">
        <v>92.7</v>
      </c>
      <c r="I769" s="86">
        <v>8173.84</v>
      </c>
      <c r="J769" s="85" t="s">
        <v>4391</v>
      </c>
      <c r="K769" s="85" t="s">
        <v>5398</v>
      </c>
      <c r="L769" s="85" t="s">
        <v>4135</v>
      </c>
      <c r="M769" s="85" t="s">
        <v>5420</v>
      </c>
    </row>
    <row r="770" ht="213.75" spans="1:13">
      <c r="A770" s="85" t="s">
        <v>5395</v>
      </c>
      <c r="B770" s="85" t="s">
        <v>5421</v>
      </c>
      <c r="C770" s="85" t="s">
        <v>5422</v>
      </c>
      <c r="D770" s="85" t="s">
        <v>5423</v>
      </c>
      <c r="E770" s="85" t="s">
        <v>5422</v>
      </c>
      <c r="F770" s="86">
        <v>1.38</v>
      </c>
      <c r="G770" s="86">
        <v>200</v>
      </c>
      <c r="H770" s="86">
        <v>276</v>
      </c>
      <c r="I770" s="86">
        <v>8173.84</v>
      </c>
      <c r="J770" s="85" t="s">
        <v>4391</v>
      </c>
      <c r="K770" s="85" t="s">
        <v>5398</v>
      </c>
      <c r="L770" s="85" t="s">
        <v>4135</v>
      </c>
      <c r="M770" s="85" t="s">
        <v>5424</v>
      </c>
    </row>
    <row r="771" ht="213.75" spans="1:13">
      <c r="A771" s="85" t="s">
        <v>5395</v>
      </c>
      <c r="B771" s="85" t="s">
        <v>5425</v>
      </c>
      <c r="C771" s="85" t="s">
        <v>5426</v>
      </c>
      <c r="D771" s="85" t="s">
        <v>3737</v>
      </c>
      <c r="E771" s="85" t="s">
        <v>5426</v>
      </c>
      <c r="F771" s="86">
        <v>67.68</v>
      </c>
      <c r="G771" s="86">
        <v>8</v>
      </c>
      <c r="H771" s="86">
        <v>541.44</v>
      </c>
      <c r="I771" s="86">
        <v>8173.84</v>
      </c>
      <c r="J771" s="85" t="s">
        <v>4391</v>
      </c>
      <c r="K771" s="85" t="s">
        <v>5398</v>
      </c>
      <c r="L771" s="85" t="s">
        <v>4135</v>
      </c>
      <c r="M771" s="85" t="s">
        <v>5427</v>
      </c>
    </row>
    <row r="772" ht="242.25" spans="1:13">
      <c r="A772" s="85" t="s">
        <v>5395</v>
      </c>
      <c r="B772" s="85" t="s">
        <v>4696</v>
      </c>
      <c r="C772" s="85" t="s">
        <v>4697</v>
      </c>
      <c r="D772" s="85" t="s">
        <v>3153</v>
      </c>
      <c r="E772" s="85" t="s">
        <v>4697</v>
      </c>
      <c r="F772" s="86">
        <v>45.6</v>
      </c>
      <c r="G772" s="86">
        <v>5</v>
      </c>
      <c r="H772" s="86">
        <v>228</v>
      </c>
      <c r="I772" s="86">
        <v>8173.84</v>
      </c>
      <c r="J772" s="85" t="s">
        <v>4391</v>
      </c>
      <c r="K772" s="85" t="s">
        <v>5398</v>
      </c>
      <c r="L772" s="85" t="s">
        <v>4135</v>
      </c>
      <c r="M772" s="85" t="s">
        <v>5428</v>
      </c>
    </row>
    <row r="773" ht="213.75" spans="1:13">
      <c r="A773" s="85" t="s">
        <v>5395</v>
      </c>
      <c r="B773" s="85" t="s">
        <v>5429</v>
      </c>
      <c r="C773" s="85" t="s">
        <v>5430</v>
      </c>
      <c r="D773" s="85" t="s">
        <v>5431</v>
      </c>
      <c r="E773" s="85" t="s">
        <v>5432</v>
      </c>
      <c r="F773" s="86">
        <v>117.5</v>
      </c>
      <c r="G773" s="86">
        <v>20</v>
      </c>
      <c r="H773" s="86">
        <v>2350</v>
      </c>
      <c r="I773" s="86">
        <v>8173.84</v>
      </c>
      <c r="J773" s="85" t="s">
        <v>4391</v>
      </c>
      <c r="K773" s="85" t="s">
        <v>5398</v>
      </c>
      <c r="L773" s="85" t="s">
        <v>4135</v>
      </c>
      <c r="M773" s="85" t="s">
        <v>5433</v>
      </c>
    </row>
    <row r="774" ht="213.75" spans="1:13">
      <c r="A774" s="85" t="s">
        <v>5395</v>
      </c>
      <c r="B774" s="85" t="s">
        <v>5434</v>
      </c>
      <c r="C774" s="85" t="s">
        <v>5435</v>
      </c>
      <c r="D774" s="85" t="s">
        <v>5436</v>
      </c>
      <c r="E774" s="85" t="s">
        <v>5435</v>
      </c>
      <c r="F774" s="86">
        <v>9.38</v>
      </c>
      <c r="G774" s="86">
        <v>60</v>
      </c>
      <c r="H774" s="86">
        <v>562.8</v>
      </c>
      <c r="I774" s="86">
        <v>8173.84</v>
      </c>
      <c r="J774" s="85" t="s">
        <v>4391</v>
      </c>
      <c r="K774" s="85" t="s">
        <v>5398</v>
      </c>
      <c r="L774" s="85" t="s">
        <v>4135</v>
      </c>
      <c r="M774" s="85" t="s">
        <v>5437</v>
      </c>
    </row>
    <row r="775" ht="213.75" spans="1:13">
      <c r="A775" s="85" t="s">
        <v>5438</v>
      </c>
      <c r="B775" s="85" t="s">
        <v>5439</v>
      </c>
      <c r="C775" s="85" t="s">
        <v>5440</v>
      </c>
      <c r="D775" s="85" t="s">
        <v>3398</v>
      </c>
      <c r="E775" s="85" t="s">
        <v>5441</v>
      </c>
      <c r="F775" s="86">
        <v>430</v>
      </c>
      <c r="G775" s="86">
        <v>8</v>
      </c>
      <c r="H775" s="86">
        <v>3440</v>
      </c>
      <c r="I775" s="86">
        <v>9013.6</v>
      </c>
      <c r="J775" s="85" t="s">
        <v>2935</v>
      </c>
      <c r="K775" s="85" t="s">
        <v>5442</v>
      </c>
      <c r="L775" s="85" t="s">
        <v>4135</v>
      </c>
      <c r="M775" s="85" t="s">
        <v>5443</v>
      </c>
    </row>
    <row r="776" ht="213.75" spans="1:13">
      <c r="A776" s="85" t="s">
        <v>5438</v>
      </c>
      <c r="B776" s="85" t="s">
        <v>5444</v>
      </c>
      <c r="C776" s="85" t="s">
        <v>5445</v>
      </c>
      <c r="D776" s="85" t="s">
        <v>3201</v>
      </c>
      <c r="E776" s="85" t="s">
        <v>3209</v>
      </c>
      <c r="F776" s="86">
        <v>24.4</v>
      </c>
      <c r="G776" s="86">
        <v>134</v>
      </c>
      <c r="H776" s="86">
        <v>3269.6</v>
      </c>
      <c r="I776" s="86">
        <v>9013.6</v>
      </c>
      <c r="J776" s="85" t="s">
        <v>2935</v>
      </c>
      <c r="K776" s="85" t="s">
        <v>5442</v>
      </c>
      <c r="L776" s="85" t="s">
        <v>4135</v>
      </c>
      <c r="M776" s="85" t="s">
        <v>5446</v>
      </c>
    </row>
    <row r="777" ht="213.75" spans="1:13">
      <c r="A777" s="85" t="s">
        <v>5438</v>
      </c>
      <c r="B777" s="85" t="s">
        <v>5447</v>
      </c>
      <c r="C777" s="85" t="s">
        <v>5448</v>
      </c>
      <c r="D777" s="85" t="s">
        <v>5449</v>
      </c>
      <c r="E777" s="85" t="s">
        <v>5450</v>
      </c>
      <c r="F777" s="86">
        <v>168</v>
      </c>
      <c r="G777" s="86">
        <v>8</v>
      </c>
      <c r="H777" s="86">
        <v>1344</v>
      </c>
      <c r="I777" s="86">
        <v>9013.6</v>
      </c>
      <c r="J777" s="85" t="s">
        <v>2935</v>
      </c>
      <c r="K777" s="85" t="s">
        <v>5442</v>
      </c>
      <c r="L777" s="85" t="s">
        <v>4135</v>
      </c>
      <c r="M777" s="85" t="s">
        <v>5451</v>
      </c>
    </row>
    <row r="778" ht="213.75" spans="1:13">
      <c r="A778" s="85" t="s">
        <v>5438</v>
      </c>
      <c r="B778" s="85" t="s">
        <v>5452</v>
      </c>
      <c r="C778" s="85" t="s">
        <v>5453</v>
      </c>
      <c r="D778" s="85" t="s">
        <v>3086</v>
      </c>
      <c r="E778" s="85" t="s">
        <v>4503</v>
      </c>
      <c r="F778" s="86">
        <v>120</v>
      </c>
      <c r="G778" s="86">
        <v>8</v>
      </c>
      <c r="H778" s="86">
        <v>960</v>
      </c>
      <c r="I778" s="86">
        <v>9013.6</v>
      </c>
      <c r="J778" s="85" t="s">
        <v>2935</v>
      </c>
      <c r="K778" s="85" t="s">
        <v>5442</v>
      </c>
      <c r="L778" s="85" t="s">
        <v>4135</v>
      </c>
      <c r="M778" s="85" t="s">
        <v>5454</v>
      </c>
    </row>
    <row r="779" ht="213.75" spans="1:13">
      <c r="A779" s="85" t="s">
        <v>5455</v>
      </c>
      <c r="B779" s="85" t="s">
        <v>5456</v>
      </c>
      <c r="C779" s="85" t="s">
        <v>5457</v>
      </c>
      <c r="D779" s="85" t="s">
        <v>4880</v>
      </c>
      <c r="E779" s="85" t="s">
        <v>5457</v>
      </c>
      <c r="F779" s="86">
        <v>86</v>
      </c>
      <c r="G779" s="86">
        <v>2</v>
      </c>
      <c r="H779" s="86">
        <v>172</v>
      </c>
      <c r="I779" s="86">
        <v>7132</v>
      </c>
      <c r="J779" s="85" t="s">
        <v>2935</v>
      </c>
      <c r="K779" s="85" t="s">
        <v>5458</v>
      </c>
      <c r="L779" s="85" t="s">
        <v>4135</v>
      </c>
      <c r="M779" s="85" t="s">
        <v>5459</v>
      </c>
    </row>
    <row r="780" ht="213.75" spans="1:13">
      <c r="A780" s="85" t="s">
        <v>5455</v>
      </c>
      <c r="B780" s="85" t="s">
        <v>5460</v>
      </c>
      <c r="C780" s="85" t="s">
        <v>5461</v>
      </c>
      <c r="D780" s="85" t="s">
        <v>3680</v>
      </c>
      <c r="E780" s="85" t="s">
        <v>5462</v>
      </c>
      <c r="F780" s="86">
        <v>580</v>
      </c>
      <c r="G780" s="86">
        <v>12</v>
      </c>
      <c r="H780" s="86">
        <v>6960</v>
      </c>
      <c r="I780" s="86">
        <v>7132</v>
      </c>
      <c r="J780" s="85" t="s">
        <v>2935</v>
      </c>
      <c r="K780" s="85" t="s">
        <v>5458</v>
      </c>
      <c r="L780" s="85" t="s">
        <v>4135</v>
      </c>
      <c r="M780" s="85" t="s">
        <v>5463</v>
      </c>
    </row>
    <row r="781" ht="213.75" spans="1:13">
      <c r="A781" s="85" t="s">
        <v>5464</v>
      </c>
      <c r="B781" s="85" t="s">
        <v>5465</v>
      </c>
      <c r="C781" s="85" t="s">
        <v>5466</v>
      </c>
      <c r="D781" s="85" t="s">
        <v>3201</v>
      </c>
      <c r="E781" s="85" t="s">
        <v>3662</v>
      </c>
      <c r="F781" s="86">
        <v>16</v>
      </c>
      <c r="G781" s="86">
        <v>100</v>
      </c>
      <c r="H781" s="86">
        <v>1600</v>
      </c>
      <c r="I781" s="86">
        <v>13738.19</v>
      </c>
      <c r="J781" s="85" t="s">
        <v>2958</v>
      </c>
      <c r="K781" s="85" t="s">
        <v>5467</v>
      </c>
      <c r="L781" s="85" t="s">
        <v>4135</v>
      </c>
      <c r="M781" s="85" t="s">
        <v>5468</v>
      </c>
    </row>
    <row r="782" ht="213.75" spans="1:13">
      <c r="A782" s="85" t="s">
        <v>5469</v>
      </c>
      <c r="B782" s="85" t="s">
        <v>5470</v>
      </c>
      <c r="C782" s="85" t="s">
        <v>5471</v>
      </c>
      <c r="D782" s="85" t="s">
        <v>3593</v>
      </c>
      <c r="E782" s="85" t="s">
        <v>5471</v>
      </c>
      <c r="F782" s="86">
        <v>11.76</v>
      </c>
      <c r="G782" s="86">
        <v>40</v>
      </c>
      <c r="H782" s="86">
        <v>470.4</v>
      </c>
      <c r="I782" s="86">
        <v>24022.3</v>
      </c>
      <c r="J782" s="85" t="s">
        <v>2965</v>
      </c>
      <c r="K782" s="85" t="s">
        <v>5467</v>
      </c>
      <c r="L782" s="85" t="s">
        <v>4135</v>
      </c>
      <c r="M782" s="85" t="s">
        <v>5472</v>
      </c>
    </row>
    <row r="783" ht="213.75" spans="1:13">
      <c r="A783" s="85" t="s">
        <v>5469</v>
      </c>
      <c r="B783" s="85" t="s">
        <v>5473</v>
      </c>
      <c r="C783" s="85" t="s">
        <v>5474</v>
      </c>
      <c r="D783" s="85" t="s">
        <v>5475</v>
      </c>
      <c r="E783" s="85" t="s">
        <v>5474</v>
      </c>
      <c r="F783" s="86">
        <v>28.8</v>
      </c>
      <c r="G783" s="86">
        <v>30</v>
      </c>
      <c r="H783" s="86">
        <v>864</v>
      </c>
      <c r="I783" s="86">
        <v>24022.3</v>
      </c>
      <c r="J783" s="85" t="s">
        <v>2965</v>
      </c>
      <c r="K783" s="85" t="s">
        <v>5467</v>
      </c>
      <c r="L783" s="85" t="s">
        <v>4135</v>
      </c>
      <c r="M783" s="85" t="s">
        <v>5476</v>
      </c>
    </row>
    <row r="784" ht="213.75" spans="1:13">
      <c r="A784" s="85" t="s">
        <v>5469</v>
      </c>
      <c r="B784" s="85" t="s">
        <v>5477</v>
      </c>
      <c r="C784" s="85" t="s">
        <v>5478</v>
      </c>
      <c r="D784" s="85" t="s">
        <v>5479</v>
      </c>
      <c r="E784" s="85" t="s">
        <v>5478</v>
      </c>
      <c r="F784" s="86">
        <v>30</v>
      </c>
      <c r="G784" s="86">
        <v>200</v>
      </c>
      <c r="H784" s="86">
        <v>6000</v>
      </c>
      <c r="I784" s="86">
        <v>24022.3</v>
      </c>
      <c r="J784" s="85" t="s">
        <v>2965</v>
      </c>
      <c r="K784" s="85" t="s">
        <v>5467</v>
      </c>
      <c r="L784" s="85" t="s">
        <v>4135</v>
      </c>
      <c r="M784" s="85" t="s">
        <v>5480</v>
      </c>
    </row>
    <row r="785" ht="213.75" spans="1:13">
      <c r="A785" s="85" t="s">
        <v>5481</v>
      </c>
      <c r="B785" s="85" t="s">
        <v>5482</v>
      </c>
      <c r="C785" s="85" t="s">
        <v>5483</v>
      </c>
      <c r="D785" s="85" t="s">
        <v>3068</v>
      </c>
      <c r="E785" s="85" t="s">
        <v>5484</v>
      </c>
      <c r="F785" s="86">
        <v>3.9</v>
      </c>
      <c r="G785" s="86">
        <v>23</v>
      </c>
      <c r="H785" s="86">
        <v>89.7</v>
      </c>
      <c r="I785" s="86">
        <v>9626.7</v>
      </c>
      <c r="J785" s="85" t="s">
        <v>4370</v>
      </c>
      <c r="K785" s="85" t="s">
        <v>5467</v>
      </c>
      <c r="L785" s="85" t="s">
        <v>4135</v>
      </c>
      <c r="M785" s="85" t="s">
        <v>5485</v>
      </c>
    </row>
    <row r="786" ht="213.75" spans="1:13">
      <c r="A786" s="85" t="s">
        <v>5469</v>
      </c>
      <c r="B786" s="85" t="s">
        <v>3487</v>
      </c>
      <c r="C786" s="85" t="s">
        <v>3488</v>
      </c>
      <c r="D786" s="85" t="s">
        <v>3082</v>
      </c>
      <c r="E786" s="85" t="s">
        <v>3488</v>
      </c>
      <c r="F786" s="86">
        <v>59.06</v>
      </c>
      <c r="G786" s="86">
        <v>50</v>
      </c>
      <c r="H786" s="86">
        <v>2953</v>
      </c>
      <c r="I786" s="86">
        <v>24022.3</v>
      </c>
      <c r="J786" s="85" t="s">
        <v>2965</v>
      </c>
      <c r="K786" s="85" t="s">
        <v>5467</v>
      </c>
      <c r="L786" s="85" t="s">
        <v>4135</v>
      </c>
      <c r="M786" s="85" t="s">
        <v>5486</v>
      </c>
    </row>
    <row r="787" ht="213.75" spans="1:13">
      <c r="A787" s="85" t="s">
        <v>5487</v>
      </c>
      <c r="B787" s="85" t="s">
        <v>5488</v>
      </c>
      <c r="C787" s="85" t="s">
        <v>5489</v>
      </c>
      <c r="D787" s="85" t="s">
        <v>5490</v>
      </c>
      <c r="E787" s="85" t="s">
        <v>5491</v>
      </c>
      <c r="F787" s="86">
        <v>198</v>
      </c>
      <c r="G787" s="86">
        <v>10</v>
      </c>
      <c r="H787" s="86">
        <v>1980</v>
      </c>
      <c r="I787" s="86">
        <v>5580</v>
      </c>
      <c r="J787" s="85" t="s">
        <v>2999</v>
      </c>
      <c r="K787" s="85" t="s">
        <v>5467</v>
      </c>
      <c r="L787" s="85" t="s">
        <v>4135</v>
      </c>
      <c r="M787" s="85" t="s">
        <v>5492</v>
      </c>
    </row>
    <row r="788" ht="213.75" spans="1:13">
      <c r="A788" s="85" t="s">
        <v>5469</v>
      </c>
      <c r="B788" s="85" t="s">
        <v>5493</v>
      </c>
      <c r="C788" s="85" t="s">
        <v>5494</v>
      </c>
      <c r="D788" s="85" t="s">
        <v>4546</v>
      </c>
      <c r="E788" s="85" t="s">
        <v>5494</v>
      </c>
      <c r="F788" s="86">
        <v>277.95</v>
      </c>
      <c r="G788" s="86">
        <v>1</v>
      </c>
      <c r="H788" s="86">
        <v>277.95</v>
      </c>
      <c r="I788" s="86">
        <v>24022.3</v>
      </c>
      <c r="J788" s="85" t="s">
        <v>2965</v>
      </c>
      <c r="K788" s="85" t="s">
        <v>5467</v>
      </c>
      <c r="L788" s="85" t="s">
        <v>4135</v>
      </c>
      <c r="M788" s="85" t="s">
        <v>5495</v>
      </c>
    </row>
    <row r="789" ht="213.75" spans="1:13">
      <c r="A789" s="85" t="s">
        <v>5469</v>
      </c>
      <c r="B789" s="85" t="s">
        <v>3476</v>
      </c>
      <c r="C789" s="85" t="s">
        <v>3477</v>
      </c>
      <c r="D789" s="85" t="s">
        <v>3352</v>
      </c>
      <c r="E789" s="85" t="s">
        <v>3477</v>
      </c>
      <c r="F789" s="86">
        <v>251.98</v>
      </c>
      <c r="G789" s="86">
        <v>5</v>
      </c>
      <c r="H789" s="86">
        <v>1259.9</v>
      </c>
      <c r="I789" s="86">
        <v>24022.3</v>
      </c>
      <c r="J789" s="85" t="s">
        <v>2965</v>
      </c>
      <c r="K789" s="85" t="s">
        <v>5467</v>
      </c>
      <c r="L789" s="85" t="s">
        <v>4135</v>
      </c>
      <c r="M789" s="85" t="s">
        <v>5496</v>
      </c>
    </row>
    <row r="790" ht="213.75" spans="1:13">
      <c r="A790" s="85" t="s">
        <v>5469</v>
      </c>
      <c r="B790" s="85" t="s">
        <v>5497</v>
      </c>
      <c r="C790" s="85" t="s">
        <v>5498</v>
      </c>
      <c r="D790" s="85" t="s">
        <v>3068</v>
      </c>
      <c r="E790" s="85" t="s">
        <v>5498</v>
      </c>
      <c r="F790" s="86">
        <v>8.8</v>
      </c>
      <c r="G790" s="86">
        <v>30</v>
      </c>
      <c r="H790" s="86">
        <v>264</v>
      </c>
      <c r="I790" s="86">
        <v>24022.3</v>
      </c>
      <c r="J790" s="85" t="s">
        <v>2965</v>
      </c>
      <c r="K790" s="85" t="s">
        <v>5467</v>
      </c>
      <c r="L790" s="85" t="s">
        <v>4135</v>
      </c>
      <c r="M790" s="85" t="s">
        <v>5499</v>
      </c>
    </row>
    <row r="791" ht="213.75" spans="1:13">
      <c r="A791" s="85" t="s">
        <v>5481</v>
      </c>
      <c r="B791" s="85" t="s">
        <v>5500</v>
      </c>
      <c r="C791" s="85" t="s">
        <v>5501</v>
      </c>
      <c r="D791" s="85" t="s">
        <v>3041</v>
      </c>
      <c r="E791" s="85" t="s">
        <v>3158</v>
      </c>
      <c r="F791" s="86">
        <v>19</v>
      </c>
      <c r="G791" s="86">
        <v>8</v>
      </c>
      <c r="H791" s="86">
        <v>152</v>
      </c>
      <c r="I791" s="86">
        <v>9626.7</v>
      </c>
      <c r="J791" s="85" t="s">
        <v>4370</v>
      </c>
      <c r="K791" s="85" t="s">
        <v>5467</v>
      </c>
      <c r="L791" s="85" t="s">
        <v>4135</v>
      </c>
      <c r="M791" s="85" t="s">
        <v>5502</v>
      </c>
    </row>
    <row r="792" ht="213.75" spans="1:13">
      <c r="A792" s="85" t="s">
        <v>5464</v>
      </c>
      <c r="B792" s="85" t="s">
        <v>5503</v>
      </c>
      <c r="C792" s="85" t="s">
        <v>5504</v>
      </c>
      <c r="D792" s="85" t="s">
        <v>5505</v>
      </c>
      <c r="E792" s="85" t="s">
        <v>5506</v>
      </c>
      <c r="F792" s="86">
        <v>21.89</v>
      </c>
      <c r="G792" s="86">
        <v>6</v>
      </c>
      <c r="H792" s="86">
        <v>131.34</v>
      </c>
      <c r="I792" s="86">
        <v>13738.19</v>
      </c>
      <c r="J792" s="85" t="s">
        <v>2958</v>
      </c>
      <c r="K792" s="85" t="s">
        <v>5467</v>
      </c>
      <c r="L792" s="85" t="s">
        <v>4135</v>
      </c>
      <c r="M792" s="85" t="s">
        <v>5507</v>
      </c>
    </row>
    <row r="793" ht="213.75" spans="1:13">
      <c r="A793" s="85" t="s">
        <v>5464</v>
      </c>
      <c r="B793" s="85" t="s">
        <v>5508</v>
      </c>
      <c r="C793" s="85" t="s">
        <v>5509</v>
      </c>
      <c r="D793" s="85" t="s">
        <v>5510</v>
      </c>
      <c r="E793" s="85" t="s">
        <v>1782</v>
      </c>
      <c r="F793" s="86">
        <v>18</v>
      </c>
      <c r="G793" s="86">
        <v>10</v>
      </c>
      <c r="H793" s="86">
        <v>180</v>
      </c>
      <c r="I793" s="86">
        <v>13738.19</v>
      </c>
      <c r="J793" s="85" t="s">
        <v>2958</v>
      </c>
      <c r="K793" s="85" t="s">
        <v>5467</v>
      </c>
      <c r="L793" s="85" t="s">
        <v>4135</v>
      </c>
      <c r="M793" s="85" t="s">
        <v>5511</v>
      </c>
    </row>
    <row r="794" ht="213.75" spans="1:13">
      <c r="A794" s="85" t="s">
        <v>5481</v>
      </c>
      <c r="B794" s="85" t="s">
        <v>4856</v>
      </c>
      <c r="C794" s="85" t="s">
        <v>4857</v>
      </c>
      <c r="D794" s="85" t="s">
        <v>3041</v>
      </c>
      <c r="E794" s="85" t="s">
        <v>3158</v>
      </c>
      <c r="F794" s="86">
        <v>71</v>
      </c>
      <c r="G794" s="86">
        <v>3</v>
      </c>
      <c r="H794" s="86">
        <v>213</v>
      </c>
      <c r="I794" s="86">
        <v>9626.7</v>
      </c>
      <c r="J794" s="85" t="s">
        <v>4370</v>
      </c>
      <c r="K794" s="85" t="s">
        <v>5467</v>
      </c>
      <c r="L794" s="85" t="s">
        <v>4135</v>
      </c>
      <c r="M794" s="85" t="s">
        <v>5512</v>
      </c>
    </row>
    <row r="795" ht="327.75" spans="1:13">
      <c r="A795" s="85" t="s">
        <v>5469</v>
      </c>
      <c r="B795" s="85" t="s">
        <v>3151</v>
      </c>
      <c r="C795" s="85" t="s">
        <v>3152</v>
      </c>
      <c r="D795" s="85" t="s">
        <v>3153</v>
      </c>
      <c r="E795" s="85" t="s">
        <v>3152</v>
      </c>
      <c r="F795" s="86">
        <v>49.57</v>
      </c>
      <c r="G795" s="86">
        <v>5</v>
      </c>
      <c r="H795" s="86">
        <v>247.85</v>
      </c>
      <c r="I795" s="86">
        <v>24022.3</v>
      </c>
      <c r="J795" s="85" t="s">
        <v>2965</v>
      </c>
      <c r="K795" s="85" t="s">
        <v>5467</v>
      </c>
      <c r="L795" s="85" t="s">
        <v>4135</v>
      </c>
      <c r="M795" s="85" t="s">
        <v>5513</v>
      </c>
    </row>
    <row r="796" ht="213.75" spans="1:13">
      <c r="A796" s="85" t="s">
        <v>5469</v>
      </c>
      <c r="B796" s="85" t="s">
        <v>5514</v>
      </c>
      <c r="C796" s="85" t="s">
        <v>5515</v>
      </c>
      <c r="D796" s="85" t="s">
        <v>3197</v>
      </c>
      <c r="E796" s="85" t="s">
        <v>5515</v>
      </c>
      <c r="F796" s="86">
        <v>10.04</v>
      </c>
      <c r="G796" s="86">
        <v>5</v>
      </c>
      <c r="H796" s="86">
        <v>50.2</v>
      </c>
      <c r="I796" s="86">
        <v>24022.3</v>
      </c>
      <c r="J796" s="85" t="s">
        <v>2965</v>
      </c>
      <c r="K796" s="85" t="s">
        <v>5467</v>
      </c>
      <c r="L796" s="85" t="s">
        <v>4135</v>
      </c>
      <c r="M796" s="85" t="s">
        <v>5516</v>
      </c>
    </row>
    <row r="797" ht="213.75" spans="1:13">
      <c r="A797" s="85" t="s">
        <v>5464</v>
      </c>
      <c r="B797" s="85" t="s">
        <v>4932</v>
      </c>
      <c r="C797" s="85" t="s">
        <v>4933</v>
      </c>
      <c r="D797" s="85" t="s">
        <v>2992</v>
      </c>
      <c r="E797" s="85" t="s">
        <v>1815</v>
      </c>
      <c r="F797" s="86">
        <v>17.7</v>
      </c>
      <c r="G797" s="86">
        <v>80</v>
      </c>
      <c r="H797" s="86">
        <v>1416</v>
      </c>
      <c r="I797" s="86">
        <v>13738.19</v>
      </c>
      <c r="J797" s="85" t="s">
        <v>2958</v>
      </c>
      <c r="K797" s="85" t="s">
        <v>5467</v>
      </c>
      <c r="L797" s="85" t="s">
        <v>4135</v>
      </c>
      <c r="M797" s="85" t="s">
        <v>5517</v>
      </c>
    </row>
    <row r="798" ht="213.75" spans="1:13">
      <c r="A798" s="85" t="s">
        <v>5481</v>
      </c>
      <c r="B798" s="85" t="s">
        <v>5165</v>
      </c>
      <c r="C798" s="85" t="s">
        <v>5166</v>
      </c>
      <c r="D798" s="85" t="s">
        <v>3041</v>
      </c>
      <c r="E798" s="85" t="s">
        <v>5167</v>
      </c>
      <c r="F798" s="86">
        <v>31</v>
      </c>
      <c r="G798" s="86">
        <v>10</v>
      </c>
      <c r="H798" s="86">
        <v>310</v>
      </c>
      <c r="I798" s="86">
        <v>9626.7</v>
      </c>
      <c r="J798" s="85" t="s">
        <v>4370</v>
      </c>
      <c r="K798" s="85" t="s">
        <v>5467</v>
      </c>
      <c r="L798" s="85" t="s">
        <v>4135</v>
      </c>
      <c r="M798" s="85" t="s">
        <v>5518</v>
      </c>
    </row>
    <row r="799" ht="213.75" spans="1:13">
      <c r="A799" s="85" t="s">
        <v>5464</v>
      </c>
      <c r="B799" s="85" t="s">
        <v>3063</v>
      </c>
      <c r="C799" s="85" t="s">
        <v>3064</v>
      </c>
      <c r="D799" s="85" t="s">
        <v>2992</v>
      </c>
      <c r="E799" s="85" t="s">
        <v>1815</v>
      </c>
      <c r="F799" s="86">
        <v>5.3</v>
      </c>
      <c r="G799" s="86">
        <v>800</v>
      </c>
      <c r="H799" s="86">
        <v>4240</v>
      </c>
      <c r="I799" s="86">
        <v>13738.19</v>
      </c>
      <c r="J799" s="85" t="s">
        <v>2958</v>
      </c>
      <c r="K799" s="85" t="s">
        <v>5467</v>
      </c>
      <c r="L799" s="85" t="s">
        <v>4135</v>
      </c>
      <c r="M799" s="85" t="s">
        <v>5519</v>
      </c>
    </row>
    <row r="800" ht="213.75" spans="1:13">
      <c r="A800" s="85" t="s">
        <v>5481</v>
      </c>
      <c r="B800" s="85" t="s">
        <v>4528</v>
      </c>
      <c r="C800" s="85" t="s">
        <v>4529</v>
      </c>
      <c r="D800" s="85" t="s">
        <v>4195</v>
      </c>
      <c r="E800" s="85" t="s">
        <v>4369</v>
      </c>
      <c r="F800" s="86">
        <v>39</v>
      </c>
      <c r="G800" s="86">
        <v>15</v>
      </c>
      <c r="H800" s="86">
        <v>585</v>
      </c>
      <c r="I800" s="86">
        <v>9626.7</v>
      </c>
      <c r="J800" s="85" t="s">
        <v>4370</v>
      </c>
      <c r="K800" s="85" t="s">
        <v>5467</v>
      </c>
      <c r="L800" s="85" t="s">
        <v>4135</v>
      </c>
      <c r="M800" s="85" t="s">
        <v>5520</v>
      </c>
    </row>
    <row r="801" ht="213.75" spans="1:13">
      <c r="A801" s="85" t="s">
        <v>5481</v>
      </c>
      <c r="B801" s="85" t="s">
        <v>5521</v>
      </c>
      <c r="C801" s="85" t="s">
        <v>5522</v>
      </c>
      <c r="D801" s="85" t="s">
        <v>3041</v>
      </c>
      <c r="E801" s="85" t="s">
        <v>3158</v>
      </c>
      <c r="F801" s="86">
        <v>4</v>
      </c>
      <c r="G801" s="86">
        <v>60</v>
      </c>
      <c r="H801" s="86">
        <v>240</v>
      </c>
      <c r="I801" s="86">
        <v>9626.7</v>
      </c>
      <c r="J801" s="85" t="s">
        <v>4370</v>
      </c>
      <c r="K801" s="85" t="s">
        <v>5467</v>
      </c>
      <c r="L801" s="85" t="s">
        <v>4135</v>
      </c>
      <c r="M801" s="85" t="s">
        <v>5523</v>
      </c>
    </row>
    <row r="802" ht="213.75" spans="1:13">
      <c r="A802" s="85" t="s">
        <v>5469</v>
      </c>
      <c r="B802" s="85" t="s">
        <v>4477</v>
      </c>
      <c r="C802" s="85" t="s">
        <v>4478</v>
      </c>
      <c r="D802" s="85" t="s">
        <v>3183</v>
      </c>
      <c r="E802" s="85" t="s">
        <v>4478</v>
      </c>
      <c r="F802" s="86">
        <v>118</v>
      </c>
      <c r="G802" s="86">
        <v>5</v>
      </c>
      <c r="H802" s="86">
        <v>590</v>
      </c>
      <c r="I802" s="86">
        <v>24022.3</v>
      </c>
      <c r="J802" s="85" t="s">
        <v>2965</v>
      </c>
      <c r="K802" s="85" t="s">
        <v>5467</v>
      </c>
      <c r="L802" s="85" t="s">
        <v>4135</v>
      </c>
      <c r="M802" s="85" t="s">
        <v>5524</v>
      </c>
    </row>
    <row r="803" ht="213.75" spans="1:13">
      <c r="A803" s="85" t="s">
        <v>5481</v>
      </c>
      <c r="B803" s="85" t="s">
        <v>5183</v>
      </c>
      <c r="C803" s="85" t="s">
        <v>5184</v>
      </c>
      <c r="D803" s="85" t="s">
        <v>4195</v>
      </c>
      <c r="E803" s="85" t="s">
        <v>4369</v>
      </c>
      <c r="F803" s="86">
        <v>22</v>
      </c>
      <c r="G803" s="86">
        <v>81</v>
      </c>
      <c r="H803" s="86">
        <v>1782</v>
      </c>
      <c r="I803" s="86">
        <v>9626.7</v>
      </c>
      <c r="J803" s="85" t="s">
        <v>4370</v>
      </c>
      <c r="K803" s="85" t="s">
        <v>5467</v>
      </c>
      <c r="L803" s="85" t="s">
        <v>4135</v>
      </c>
      <c r="M803" s="85" t="s">
        <v>5525</v>
      </c>
    </row>
    <row r="804" ht="213.75" spans="1:13">
      <c r="A804" s="85" t="s">
        <v>5481</v>
      </c>
      <c r="B804" s="85" t="s">
        <v>4367</v>
      </c>
      <c r="C804" s="85" t="s">
        <v>4368</v>
      </c>
      <c r="D804" s="85" t="s">
        <v>4195</v>
      </c>
      <c r="E804" s="85" t="s">
        <v>4369</v>
      </c>
      <c r="F804" s="86">
        <v>55</v>
      </c>
      <c r="G804" s="86">
        <v>85</v>
      </c>
      <c r="H804" s="86">
        <v>4675</v>
      </c>
      <c r="I804" s="86">
        <v>9626.7</v>
      </c>
      <c r="J804" s="85" t="s">
        <v>4370</v>
      </c>
      <c r="K804" s="85" t="s">
        <v>5467</v>
      </c>
      <c r="L804" s="85" t="s">
        <v>4135</v>
      </c>
      <c r="M804" s="85" t="s">
        <v>5526</v>
      </c>
    </row>
    <row r="805" ht="213.75" spans="1:13">
      <c r="A805" s="85" t="s">
        <v>5469</v>
      </c>
      <c r="B805" s="85" t="s">
        <v>5527</v>
      </c>
      <c r="C805" s="85" t="s">
        <v>5528</v>
      </c>
      <c r="D805" s="85" t="s">
        <v>4013</v>
      </c>
      <c r="E805" s="85" t="s">
        <v>5528</v>
      </c>
      <c r="F805" s="86">
        <v>655.2</v>
      </c>
      <c r="G805" s="86">
        <v>1</v>
      </c>
      <c r="H805" s="86">
        <v>655.2</v>
      </c>
      <c r="I805" s="86">
        <v>24022.3</v>
      </c>
      <c r="J805" s="85" t="s">
        <v>2965</v>
      </c>
      <c r="K805" s="85" t="s">
        <v>5467</v>
      </c>
      <c r="L805" s="85" t="s">
        <v>4135</v>
      </c>
      <c r="M805" s="85" t="s">
        <v>5529</v>
      </c>
    </row>
    <row r="806" ht="213.75" spans="1:13">
      <c r="A806" s="85" t="s">
        <v>5469</v>
      </c>
      <c r="B806" s="85" t="s">
        <v>5530</v>
      </c>
      <c r="C806" s="85" t="s">
        <v>5531</v>
      </c>
      <c r="D806" s="85" t="s">
        <v>3637</v>
      </c>
      <c r="E806" s="85" t="s">
        <v>5531</v>
      </c>
      <c r="F806" s="86">
        <v>68.02</v>
      </c>
      <c r="G806" s="86">
        <v>5</v>
      </c>
      <c r="H806" s="86">
        <v>340.1</v>
      </c>
      <c r="I806" s="86">
        <v>24022.3</v>
      </c>
      <c r="J806" s="85" t="s">
        <v>2965</v>
      </c>
      <c r="K806" s="85" t="s">
        <v>5467</v>
      </c>
      <c r="L806" s="85" t="s">
        <v>4135</v>
      </c>
      <c r="M806" s="85" t="s">
        <v>5532</v>
      </c>
    </row>
    <row r="807" ht="213.75" spans="1:13">
      <c r="A807" s="85" t="s">
        <v>5464</v>
      </c>
      <c r="B807" s="85" t="s">
        <v>5533</v>
      </c>
      <c r="C807" s="85" t="s">
        <v>5534</v>
      </c>
      <c r="D807" s="85" t="s">
        <v>3241</v>
      </c>
      <c r="E807" s="85" t="s">
        <v>3689</v>
      </c>
      <c r="F807" s="86">
        <v>15.75</v>
      </c>
      <c r="G807" s="86">
        <v>5</v>
      </c>
      <c r="H807" s="86">
        <v>78.75</v>
      </c>
      <c r="I807" s="86">
        <v>13738.19</v>
      </c>
      <c r="J807" s="85" t="s">
        <v>2958</v>
      </c>
      <c r="K807" s="85" t="s">
        <v>5467</v>
      </c>
      <c r="L807" s="85" t="s">
        <v>4135</v>
      </c>
      <c r="M807" s="85" t="s">
        <v>5535</v>
      </c>
    </row>
    <row r="808" ht="213.75" spans="1:13">
      <c r="A808" s="85" t="s">
        <v>5481</v>
      </c>
      <c r="B808" s="85" t="s">
        <v>5536</v>
      </c>
      <c r="C808" s="85" t="s">
        <v>5537</v>
      </c>
      <c r="D808" s="85" t="s">
        <v>4195</v>
      </c>
      <c r="E808" s="85" t="s">
        <v>4369</v>
      </c>
      <c r="F808" s="86">
        <v>17.5</v>
      </c>
      <c r="G808" s="86">
        <v>14</v>
      </c>
      <c r="H808" s="86">
        <v>245</v>
      </c>
      <c r="I808" s="86">
        <v>9626.7</v>
      </c>
      <c r="J808" s="85" t="s">
        <v>4370</v>
      </c>
      <c r="K808" s="85" t="s">
        <v>5467</v>
      </c>
      <c r="L808" s="85" t="s">
        <v>4135</v>
      </c>
      <c r="M808" s="85" t="s">
        <v>5538</v>
      </c>
    </row>
    <row r="809" ht="213.75" spans="1:13">
      <c r="A809" s="85" t="s">
        <v>5469</v>
      </c>
      <c r="B809" s="85" t="s">
        <v>5539</v>
      </c>
      <c r="C809" s="85" t="s">
        <v>5540</v>
      </c>
      <c r="D809" s="85" t="s">
        <v>3617</v>
      </c>
      <c r="E809" s="85" t="s">
        <v>5540</v>
      </c>
      <c r="F809" s="86">
        <v>30.85</v>
      </c>
      <c r="G809" s="86">
        <v>50</v>
      </c>
      <c r="H809" s="86">
        <v>1542.5</v>
      </c>
      <c r="I809" s="86">
        <v>24022.3</v>
      </c>
      <c r="J809" s="85" t="s">
        <v>2965</v>
      </c>
      <c r="K809" s="85" t="s">
        <v>5467</v>
      </c>
      <c r="L809" s="85" t="s">
        <v>4135</v>
      </c>
      <c r="M809" s="85" t="s">
        <v>5541</v>
      </c>
    </row>
    <row r="810" ht="213.75" spans="1:13">
      <c r="A810" s="85" t="s">
        <v>5469</v>
      </c>
      <c r="B810" s="85" t="s">
        <v>3473</v>
      </c>
      <c r="C810" s="85" t="s">
        <v>3474</v>
      </c>
      <c r="D810" s="85" t="s">
        <v>3352</v>
      </c>
      <c r="E810" s="85" t="s">
        <v>3474</v>
      </c>
      <c r="F810" s="86">
        <v>228.18</v>
      </c>
      <c r="G810" s="86">
        <v>5</v>
      </c>
      <c r="H810" s="86">
        <v>1140.9</v>
      </c>
      <c r="I810" s="86">
        <v>24022.3</v>
      </c>
      <c r="J810" s="85" t="s">
        <v>2965</v>
      </c>
      <c r="K810" s="85" t="s">
        <v>5467</v>
      </c>
      <c r="L810" s="85" t="s">
        <v>4135</v>
      </c>
      <c r="M810" s="85" t="s">
        <v>5542</v>
      </c>
    </row>
    <row r="811" ht="213.75" spans="1:13">
      <c r="A811" s="85" t="s">
        <v>5481</v>
      </c>
      <c r="B811" s="85" t="s">
        <v>4570</v>
      </c>
      <c r="C811" s="85" t="s">
        <v>4571</v>
      </c>
      <c r="D811" s="85" t="s">
        <v>3041</v>
      </c>
      <c r="E811" s="85" t="s">
        <v>3158</v>
      </c>
      <c r="F811" s="86">
        <v>14</v>
      </c>
      <c r="G811" s="86">
        <v>30</v>
      </c>
      <c r="H811" s="86">
        <v>420</v>
      </c>
      <c r="I811" s="86">
        <v>9626.7</v>
      </c>
      <c r="J811" s="85" t="s">
        <v>4370</v>
      </c>
      <c r="K811" s="85" t="s">
        <v>5467</v>
      </c>
      <c r="L811" s="85" t="s">
        <v>4135</v>
      </c>
      <c r="M811" s="85" t="s">
        <v>5543</v>
      </c>
    </row>
    <row r="812" ht="213.75" spans="1:13">
      <c r="A812" s="85" t="s">
        <v>5469</v>
      </c>
      <c r="B812" s="85" t="s">
        <v>5544</v>
      </c>
      <c r="C812" s="85" t="s">
        <v>5545</v>
      </c>
      <c r="D812" s="85" t="s">
        <v>5546</v>
      </c>
      <c r="E812" s="85" t="s">
        <v>5545</v>
      </c>
      <c r="F812" s="86">
        <v>343.98</v>
      </c>
      <c r="G812" s="86">
        <v>1</v>
      </c>
      <c r="H812" s="86">
        <v>343.98</v>
      </c>
      <c r="I812" s="86">
        <v>24022.3</v>
      </c>
      <c r="J812" s="85" t="s">
        <v>2965</v>
      </c>
      <c r="K812" s="85" t="s">
        <v>5467</v>
      </c>
      <c r="L812" s="85" t="s">
        <v>4135</v>
      </c>
      <c r="M812" s="85" t="s">
        <v>5547</v>
      </c>
    </row>
    <row r="813" ht="213.75" spans="1:13">
      <c r="A813" s="85" t="s">
        <v>5481</v>
      </c>
      <c r="B813" s="85" t="s">
        <v>4942</v>
      </c>
      <c r="C813" s="85" t="s">
        <v>4943</v>
      </c>
      <c r="D813" s="85" t="s">
        <v>3041</v>
      </c>
      <c r="E813" s="85" t="s">
        <v>3042</v>
      </c>
      <c r="F813" s="86">
        <v>5</v>
      </c>
      <c r="G813" s="86">
        <v>36</v>
      </c>
      <c r="H813" s="86">
        <v>180</v>
      </c>
      <c r="I813" s="86">
        <v>9626.7</v>
      </c>
      <c r="J813" s="85" t="s">
        <v>4370</v>
      </c>
      <c r="K813" s="85" t="s">
        <v>5467</v>
      </c>
      <c r="L813" s="85" t="s">
        <v>4135</v>
      </c>
      <c r="M813" s="85" t="s">
        <v>5548</v>
      </c>
    </row>
    <row r="814" ht="213.75" spans="1:13">
      <c r="A814" s="85" t="s">
        <v>5487</v>
      </c>
      <c r="B814" s="85" t="s">
        <v>4537</v>
      </c>
      <c r="C814" s="85" t="s">
        <v>4538</v>
      </c>
      <c r="D814" s="85" t="s">
        <v>2997</v>
      </c>
      <c r="E814" s="85" t="s">
        <v>2998</v>
      </c>
      <c r="F814" s="86">
        <v>18</v>
      </c>
      <c r="G814" s="86">
        <v>200</v>
      </c>
      <c r="H814" s="86">
        <v>3600</v>
      </c>
      <c r="I814" s="86">
        <v>5580</v>
      </c>
      <c r="J814" s="85" t="s">
        <v>2999</v>
      </c>
      <c r="K814" s="85" t="s">
        <v>5467</v>
      </c>
      <c r="L814" s="85" t="s">
        <v>4135</v>
      </c>
      <c r="M814" s="85" t="s">
        <v>5549</v>
      </c>
    </row>
    <row r="815" ht="213.75" spans="1:13">
      <c r="A815" s="85" t="s">
        <v>5469</v>
      </c>
      <c r="B815" s="85" t="s">
        <v>5550</v>
      </c>
      <c r="C815" s="85" t="s">
        <v>5551</v>
      </c>
      <c r="D815" s="85" t="s">
        <v>5552</v>
      </c>
      <c r="E815" s="85" t="s">
        <v>5551</v>
      </c>
      <c r="F815" s="86">
        <v>77.26</v>
      </c>
      <c r="G815" s="86">
        <v>2</v>
      </c>
      <c r="H815" s="86">
        <v>154.52</v>
      </c>
      <c r="I815" s="86">
        <v>24022.3</v>
      </c>
      <c r="J815" s="85" t="s">
        <v>2965</v>
      </c>
      <c r="K815" s="85" t="s">
        <v>5467</v>
      </c>
      <c r="L815" s="85" t="s">
        <v>4135</v>
      </c>
      <c r="M815" s="85" t="s">
        <v>5553</v>
      </c>
    </row>
    <row r="816" ht="213.75" spans="1:13">
      <c r="A816" s="85" t="s">
        <v>5469</v>
      </c>
      <c r="B816" s="85" t="s">
        <v>4560</v>
      </c>
      <c r="C816" s="85" t="s">
        <v>4561</v>
      </c>
      <c r="D816" s="85" t="s">
        <v>3153</v>
      </c>
      <c r="E816" s="85" t="s">
        <v>4561</v>
      </c>
      <c r="F816" s="86">
        <v>49.96</v>
      </c>
      <c r="G816" s="86">
        <v>5</v>
      </c>
      <c r="H816" s="86">
        <v>249.8</v>
      </c>
      <c r="I816" s="86">
        <v>24022.3</v>
      </c>
      <c r="J816" s="85" t="s">
        <v>2965</v>
      </c>
      <c r="K816" s="85" t="s">
        <v>5467</v>
      </c>
      <c r="L816" s="85" t="s">
        <v>4135</v>
      </c>
      <c r="M816" s="85" t="s">
        <v>5554</v>
      </c>
    </row>
    <row r="817" ht="213.75" spans="1:13">
      <c r="A817" s="85" t="s">
        <v>5464</v>
      </c>
      <c r="B817" s="85" t="s">
        <v>5555</v>
      </c>
      <c r="C817" s="85" t="s">
        <v>5556</v>
      </c>
      <c r="D817" s="85" t="s">
        <v>5557</v>
      </c>
      <c r="E817" s="85" t="s">
        <v>5558</v>
      </c>
      <c r="F817" s="86">
        <v>42.36</v>
      </c>
      <c r="G817" s="86">
        <v>5</v>
      </c>
      <c r="H817" s="86">
        <v>211.8</v>
      </c>
      <c r="I817" s="86">
        <v>13738.19</v>
      </c>
      <c r="J817" s="85" t="s">
        <v>2958</v>
      </c>
      <c r="K817" s="85" t="s">
        <v>5467</v>
      </c>
      <c r="L817" s="85" t="s">
        <v>4135</v>
      </c>
      <c r="M817" s="85" t="s">
        <v>5559</v>
      </c>
    </row>
    <row r="818" ht="213.75" spans="1:13">
      <c r="A818" s="85" t="s">
        <v>5469</v>
      </c>
      <c r="B818" s="85" t="s">
        <v>4517</v>
      </c>
      <c r="C818" s="85" t="s">
        <v>4518</v>
      </c>
      <c r="D818" s="85" t="s">
        <v>3014</v>
      </c>
      <c r="E818" s="85" t="s">
        <v>4518</v>
      </c>
      <c r="F818" s="86">
        <v>869.29</v>
      </c>
      <c r="G818" s="86">
        <v>1</v>
      </c>
      <c r="H818" s="86">
        <v>869.29</v>
      </c>
      <c r="I818" s="86">
        <v>24022.3</v>
      </c>
      <c r="J818" s="85" t="s">
        <v>2965</v>
      </c>
      <c r="K818" s="85" t="s">
        <v>5467</v>
      </c>
      <c r="L818" s="85" t="s">
        <v>4135</v>
      </c>
      <c r="M818" s="85" t="s">
        <v>5560</v>
      </c>
    </row>
    <row r="819" ht="213.75" spans="1:13">
      <c r="A819" s="85" t="s">
        <v>5469</v>
      </c>
      <c r="B819" s="85" t="s">
        <v>3195</v>
      </c>
      <c r="C819" s="85" t="s">
        <v>3196</v>
      </c>
      <c r="D819" s="85" t="s">
        <v>3197</v>
      </c>
      <c r="E819" s="85" t="s">
        <v>3196</v>
      </c>
      <c r="F819" s="86">
        <v>14.07</v>
      </c>
      <c r="G819" s="86">
        <v>35</v>
      </c>
      <c r="H819" s="86">
        <v>492.45</v>
      </c>
      <c r="I819" s="86">
        <v>24022.3</v>
      </c>
      <c r="J819" s="85" t="s">
        <v>2965</v>
      </c>
      <c r="K819" s="85" t="s">
        <v>5467</v>
      </c>
      <c r="L819" s="85" t="s">
        <v>4135</v>
      </c>
      <c r="M819" s="85" t="s">
        <v>5561</v>
      </c>
    </row>
    <row r="820" ht="213.75" spans="1:13">
      <c r="A820" s="85" t="s">
        <v>5464</v>
      </c>
      <c r="B820" s="85" t="s">
        <v>3500</v>
      </c>
      <c r="C820" s="85" t="s">
        <v>3501</v>
      </c>
      <c r="D820" s="85" t="s">
        <v>2992</v>
      </c>
      <c r="E820" s="85" t="s">
        <v>1815</v>
      </c>
      <c r="F820" s="86">
        <v>17.7</v>
      </c>
      <c r="G820" s="86">
        <v>160</v>
      </c>
      <c r="H820" s="86">
        <v>2832</v>
      </c>
      <c r="I820" s="86">
        <v>13738.19</v>
      </c>
      <c r="J820" s="85" t="s">
        <v>2958</v>
      </c>
      <c r="K820" s="85" t="s">
        <v>5467</v>
      </c>
      <c r="L820" s="85" t="s">
        <v>4135</v>
      </c>
      <c r="M820" s="85" t="s">
        <v>5562</v>
      </c>
    </row>
    <row r="821" ht="213.75" spans="1:13">
      <c r="A821" s="85" t="s">
        <v>5481</v>
      </c>
      <c r="B821" s="85" t="s">
        <v>5563</v>
      </c>
      <c r="C821" s="85" t="s">
        <v>5564</v>
      </c>
      <c r="D821" s="85" t="s">
        <v>3041</v>
      </c>
      <c r="E821" s="85" t="s">
        <v>3158</v>
      </c>
      <c r="F821" s="86">
        <v>9</v>
      </c>
      <c r="G821" s="86">
        <v>29</v>
      </c>
      <c r="H821" s="86">
        <v>261</v>
      </c>
      <c r="I821" s="86">
        <v>9626.7</v>
      </c>
      <c r="J821" s="85" t="s">
        <v>4370</v>
      </c>
      <c r="K821" s="85" t="s">
        <v>5467</v>
      </c>
      <c r="L821" s="85" t="s">
        <v>4135</v>
      </c>
      <c r="M821" s="85" t="s">
        <v>5565</v>
      </c>
    </row>
    <row r="822" ht="213.75" spans="1:13">
      <c r="A822" s="85" t="s">
        <v>5469</v>
      </c>
      <c r="B822" s="85" t="s">
        <v>5566</v>
      </c>
      <c r="C822" s="85" t="s">
        <v>5567</v>
      </c>
      <c r="D822" s="85" t="s">
        <v>3014</v>
      </c>
      <c r="E822" s="85" t="s">
        <v>5567</v>
      </c>
      <c r="F822" s="86">
        <v>147.88</v>
      </c>
      <c r="G822" s="86">
        <v>2</v>
      </c>
      <c r="H822" s="86">
        <v>295.76</v>
      </c>
      <c r="I822" s="86">
        <v>24022.3</v>
      </c>
      <c r="J822" s="85" t="s">
        <v>2965</v>
      </c>
      <c r="K822" s="85" t="s">
        <v>5467</v>
      </c>
      <c r="L822" s="85" t="s">
        <v>4135</v>
      </c>
      <c r="M822" s="85" t="s">
        <v>5568</v>
      </c>
    </row>
    <row r="823" ht="213.75" spans="1:13">
      <c r="A823" s="85" t="s">
        <v>5469</v>
      </c>
      <c r="B823" s="85" t="s">
        <v>3556</v>
      </c>
      <c r="C823" s="85" t="s">
        <v>3557</v>
      </c>
      <c r="D823" s="85" t="s">
        <v>3288</v>
      </c>
      <c r="E823" s="85" t="s">
        <v>3557</v>
      </c>
      <c r="F823" s="86">
        <v>44</v>
      </c>
      <c r="G823" s="86">
        <v>3</v>
      </c>
      <c r="H823" s="86">
        <v>132</v>
      </c>
      <c r="I823" s="86">
        <v>24022.3</v>
      </c>
      <c r="J823" s="85" t="s">
        <v>2965</v>
      </c>
      <c r="K823" s="85" t="s">
        <v>5467</v>
      </c>
      <c r="L823" s="85" t="s">
        <v>4135</v>
      </c>
      <c r="M823" s="85" t="s">
        <v>5569</v>
      </c>
    </row>
    <row r="824" ht="213.75" spans="1:13">
      <c r="A824" s="85" t="s">
        <v>5481</v>
      </c>
      <c r="B824" s="85" t="s">
        <v>4373</v>
      </c>
      <c r="C824" s="85" t="s">
        <v>4374</v>
      </c>
      <c r="D824" s="85" t="s">
        <v>3041</v>
      </c>
      <c r="E824" s="85" t="s">
        <v>3042</v>
      </c>
      <c r="F824" s="86">
        <v>7</v>
      </c>
      <c r="G824" s="86">
        <v>30</v>
      </c>
      <c r="H824" s="86">
        <v>210</v>
      </c>
      <c r="I824" s="86">
        <v>9626.7</v>
      </c>
      <c r="J824" s="85" t="s">
        <v>4370</v>
      </c>
      <c r="K824" s="85" t="s">
        <v>5467</v>
      </c>
      <c r="L824" s="85" t="s">
        <v>4135</v>
      </c>
      <c r="M824" s="85" t="s">
        <v>5570</v>
      </c>
    </row>
    <row r="825" ht="213.75" spans="1:13">
      <c r="A825" s="85" t="s">
        <v>5481</v>
      </c>
      <c r="B825" s="85" t="s">
        <v>4563</v>
      </c>
      <c r="C825" s="85" t="s">
        <v>4564</v>
      </c>
      <c r="D825" s="85" t="s">
        <v>3367</v>
      </c>
      <c r="E825" s="85" t="s">
        <v>4565</v>
      </c>
      <c r="F825" s="86">
        <v>44</v>
      </c>
      <c r="G825" s="86">
        <v>6</v>
      </c>
      <c r="H825" s="86">
        <v>264</v>
      </c>
      <c r="I825" s="86">
        <v>9626.7</v>
      </c>
      <c r="J825" s="85" t="s">
        <v>4370</v>
      </c>
      <c r="K825" s="85" t="s">
        <v>5467</v>
      </c>
      <c r="L825" s="85" t="s">
        <v>4135</v>
      </c>
      <c r="M825" s="85" t="s">
        <v>5571</v>
      </c>
    </row>
    <row r="826" ht="213.75" spans="1:13">
      <c r="A826" s="85" t="s">
        <v>5464</v>
      </c>
      <c r="B826" s="85" t="s">
        <v>5572</v>
      </c>
      <c r="C826" s="85" t="s">
        <v>5573</v>
      </c>
      <c r="D826" s="85" t="s">
        <v>5574</v>
      </c>
      <c r="E826" s="85" t="s">
        <v>1787</v>
      </c>
      <c r="F826" s="86">
        <v>32</v>
      </c>
      <c r="G826" s="86">
        <v>10</v>
      </c>
      <c r="H826" s="86">
        <v>320</v>
      </c>
      <c r="I826" s="86">
        <v>13738.19</v>
      </c>
      <c r="J826" s="85" t="s">
        <v>2958</v>
      </c>
      <c r="K826" s="85" t="s">
        <v>5467</v>
      </c>
      <c r="L826" s="85" t="s">
        <v>4135</v>
      </c>
      <c r="M826" s="85" t="s">
        <v>5575</v>
      </c>
    </row>
    <row r="827" ht="213.75" spans="1:13">
      <c r="A827" s="85" t="s">
        <v>5464</v>
      </c>
      <c r="B827" s="85" t="s">
        <v>3239</v>
      </c>
      <c r="C827" s="85" t="s">
        <v>3240</v>
      </c>
      <c r="D827" s="85" t="s">
        <v>3241</v>
      </c>
      <c r="E827" s="85" t="s">
        <v>3242</v>
      </c>
      <c r="F827" s="86">
        <v>4.5</v>
      </c>
      <c r="G827" s="86">
        <v>4</v>
      </c>
      <c r="H827" s="86">
        <v>18</v>
      </c>
      <c r="I827" s="86">
        <v>13738.19</v>
      </c>
      <c r="J827" s="85" t="s">
        <v>2958</v>
      </c>
      <c r="K827" s="85" t="s">
        <v>5467</v>
      </c>
      <c r="L827" s="85" t="s">
        <v>4135</v>
      </c>
      <c r="M827" s="85" t="s">
        <v>5576</v>
      </c>
    </row>
    <row r="828" ht="213.75" spans="1:13">
      <c r="A828" s="85" t="s">
        <v>5469</v>
      </c>
      <c r="B828" s="85" t="s">
        <v>5577</v>
      </c>
      <c r="C828" s="85" t="s">
        <v>5578</v>
      </c>
      <c r="D828" s="85" t="s">
        <v>3352</v>
      </c>
      <c r="E828" s="85" t="s">
        <v>5578</v>
      </c>
      <c r="F828" s="86">
        <v>251.98</v>
      </c>
      <c r="G828" s="86">
        <v>5</v>
      </c>
      <c r="H828" s="86">
        <v>1259.9</v>
      </c>
      <c r="I828" s="86">
        <v>24022.3</v>
      </c>
      <c r="J828" s="85" t="s">
        <v>2965</v>
      </c>
      <c r="K828" s="85" t="s">
        <v>5467</v>
      </c>
      <c r="L828" s="85" t="s">
        <v>4135</v>
      </c>
      <c r="M828" s="85" t="s">
        <v>5579</v>
      </c>
    </row>
    <row r="829" ht="213.75" spans="1:13">
      <c r="A829" s="85" t="s">
        <v>5580</v>
      </c>
      <c r="B829" s="85" t="s">
        <v>5581</v>
      </c>
      <c r="C829" s="85" t="s">
        <v>5582</v>
      </c>
      <c r="D829" s="85" t="s">
        <v>3030</v>
      </c>
      <c r="E829" s="85" t="s">
        <v>1916</v>
      </c>
      <c r="F829" s="86">
        <v>475</v>
      </c>
      <c r="G829" s="86">
        <v>4</v>
      </c>
      <c r="H829" s="86">
        <v>1900</v>
      </c>
      <c r="I829" s="86">
        <v>3520</v>
      </c>
      <c r="J829" s="85" t="s">
        <v>3031</v>
      </c>
      <c r="K829" s="85" t="s">
        <v>5467</v>
      </c>
      <c r="L829" s="85" t="s">
        <v>4135</v>
      </c>
      <c r="M829" s="85" t="s">
        <v>5583</v>
      </c>
    </row>
    <row r="830" ht="213.75" spans="1:13">
      <c r="A830" s="85" t="s">
        <v>5469</v>
      </c>
      <c r="B830" s="85" t="s">
        <v>3724</v>
      </c>
      <c r="C830" s="85" t="s">
        <v>3725</v>
      </c>
      <c r="D830" s="85" t="s">
        <v>2977</v>
      </c>
      <c r="E830" s="85" t="s">
        <v>3725</v>
      </c>
      <c r="F830" s="86">
        <v>14.47</v>
      </c>
      <c r="G830" s="86">
        <v>100</v>
      </c>
      <c r="H830" s="86">
        <v>1447</v>
      </c>
      <c r="I830" s="86">
        <v>24022.3</v>
      </c>
      <c r="J830" s="85" t="s">
        <v>2965</v>
      </c>
      <c r="K830" s="85" t="s">
        <v>5467</v>
      </c>
      <c r="L830" s="85" t="s">
        <v>4135</v>
      </c>
      <c r="M830" s="85" t="s">
        <v>5584</v>
      </c>
    </row>
    <row r="831" ht="213.75" spans="1:13">
      <c r="A831" s="85" t="s">
        <v>5469</v>
      </c>
      <c r="B831" s="85" t="s">
        <v>5585</v>
      </c>
      <c r="C831" s="85" t="s">
        <v>5586</v>
      </c>
      <c r="D831" s="85" t="s">
        <v>3617</v>
      </c>
      <c r="E831" s="85" t="s">
        <v>5586</v>
      </c>
      <c r="F831" s="86">
        <v>32</v>
      </c>
      <c r="G831" s="86">
        <v>50</v>
      </c>
      <c r="H831" s="86">
        <v>1600</v>
      </c>
      <c r="I831" s="86">
        <v>24022.3</v>
      </c>
      <c r="J831" s="85" t="s">
        <v>2965</v>
      </c>
      <c r="K831" s="85" t="s">
        <v>5467</v>
      </c>
      <c r="L831" s="85" t="s">
        <v>4135</v>
      </c>
      <c r="M831" s="85" t="s">
        <v>5587</v>
      </c>
    </row>
    <row r="832" ht="213.75" spans="1:13">
      <c r="A832" s="85" t="s">
        <v>5469</v>
      </c>
      <c r="B832" s="85" t="s">
        <v>3739</v>
      </c>
      <c r="C832" s="85" t="s">
        <v>3740</v>
      </c>
      <c r="D832" s="85" t="s">
        <v>2977</v>
      </c>
      <c r="E832" s="85" t="s">
        <v>3740</v>
      </c>
      <c r="F832" s="86">
        <v>5.46</v>
      </c>
      <c r="G832" s="86">
        <v>5</v>
      </c>
      <c r="H832" s="86">
        <v>27.3</v>
      </c>
      <c r="I832" s="86">
        <v>24022.3</v>
      </c>
      <c r="J832" s="85" t="s">
        <v>2965</v>
      </c>
      <c r="K832" s="85" t="s">
        <v>5467</v>
      </c>
      <c r="L832" s="85" t="s">
        <v>4135</v>
      </c>
      <c r="M832" s="85" t="s">
        <v>5588</v>
      </c>
    </row>
    <row r="833" ht="213.75" spans="1:13">
      <c r="A833" s="85" t="s">
        <v>5469</v>
      </c>
      <c r="B833" s="85" t="s">
        <v>3720</v>
      </c>
      <c r="C833" s="85" t="s">
        <v>3721</v>
      </c>
      <c r="D833" s="85" t="s">
        <v>3722</v>
      </c>
      <c r="E833" s="85" t="s">
        <v>3721</v>
      </c>
      <c r="F833" s="86">
        <v>15.32</v>
      </c>
      <c r="G833" s="86">
        <v>5</v>
      </c>
      <c r="H833" s="86">
        <v>76.6</v>
      </c>
      <c r="I833" s="86">
        <v>24022.3</v>
      </c>
      <c r="J833" s="85" t="s">
        <v>2965</v>
      </c>
      <c r="K833" s="85" t="s">
        <v>5467</v>
      </c>
      <c r="L833" s="85" t="s">
        <v>4135</v>
      </c>
      <c r="M833" s="85" t="s">
        <v>5589</v>
      </c>
    </row>
    <row r="834" ht="213.75" spans="1:13">
      <c r="A834" s="85" t="s">
        <v>5464</v>
      </c>
      <c r="B834" s="85" t="s">
        <v>5590</v>
      </c>
      <c r="C834" s="85" t="s">
        <v>5591</v>
      </c>
      <c r="D834" s="85" t="s">
        <v>3201</v>
      </c>
      <c r="E834" s="85" t="s">
        <v>3209</v>
      </c>
      <c r="F834" s="86">
        <v>5.88</v>
      </c>
      <c r="G834" s="86">
        <v>200</v>
      </c>
      <c r="H834" s="86">
        <v>1176</v>
      </c>
      <c r="I834" s="86">
        <v>13738.19</v>
      </c>
      <c r="J834" s="85" t="s">
        <v>2958</v>
      </c>
      <c r="K834" s="85" t="s">
        <v>5467</v>
      </c>
      <c r="L834" s="85" t="s">
        <v>4135</v>
      </c>
      <c r="M834" s="85" t="s">
        <v>5592</v>
      </c>
    </row>
    <row r="835" ht="213.75" spans="1:13">
      <c r="A835" s="85" t="s">
        <v>5464</v>
      </c>
      <c r="B835" s="85" t="s">
        <v>5593</v>
      </c>
      <c r="C835" s="85" t="s">
        <v>5594</v>
      </c>
      <c r="D835" s="85" t="s">
        <v>2977</v>
      </c>
      <c r="E835" s="85" t="s">
        <v>2978</v>
      </c>
      <c r="F835" s="86">
        <v>34.2</v>
      </c>
      <c r="G835" s="86">
        <v>10</v>
      </c>
      <c r="H835" s="86">
        <v>342</v>
      </c>
      <c r="I835" s="86">
        <v>13738.19</v>
      </c>
      <c r="J835" s="85" t="s">
        <v>2958</v>
      </c>
      <c r="K835" s="85" t="s">
        <v>5467</v>
      </c>
      <c r="L835" s="85" t="s">
        <v>4135</v>
      </c>
      <c r="M835" s="85" t="s">
        <v>5595</v>
      </c>
    </row>
    <row r="836" ht="213.75" spans="1:13">
      <c r="A836" s="85" t="s">
        <v>5464</v>
      </c>
      <c r="B836" s="85" t="s">
        <v>3643</v>
      </c>
      <c r="C836" s="85" t="s">
        <v>3644</v>
      </c>
      <c r="D836" s="85" t="s">
        <v>2982</v>
      </c>
      <c r="E836" s="85" t="s">
        <v>3645</v>
      </c>
      <c r="F836" s="86">
        <v>8</v>
      </c>
      <c r="G836" s="86">
        <v>100</v>
      </c>
      <c r="H836" s="86">
        <v>800</v>
      </c>
      <c r="I836" s="86">
        <v>13738.19</v>
      </c>
      <c r="J836" s="85" t="s">
        <v>2958</v>
      </c>
      <c r="K836" s="85" t="s">
        <v>5467</v>
      </c>
      <c r="L836" s="85" t="s">
        <v>4135</v>
      </c>
      <c r="M836" s="85" t="s">
        <v>5596</v>
      </c>
    </row>
    <row r="837" ht="213.75" spans="1:13">
      <c r="A837" s="85" t="s">
        <v>5580</v>
      </c>
      <c r="B837" s="85" t="s">
        <v>5597</v>
      </c>
      <c r="C837" s="85" t="s">
        <v>5598</v>
      </c>
      <c r="D837" s="85" t="s">
        <v>3030</v>
      </c>
      <c r="E837" s="85" t="s">
        <v>1916</v>
      </c>
      <c r="F837" s="86">
        <v>90</v>
      </c>
      <c r="G837" s="86">
        <v>18</v>
      </c>
      <c r="H837" s="86">
        <v>1620</v>
      </c>
      <c r="I837" s="86">
        <v>3520</v>
      </c>
      <c r="J837" s="85" t="s">
        <v>3031</v>
      </c>
      <c r="K837" s="85" t="s">
        <v>5467</v>
      </c>
      <c r="L837" s="85" t="s">
        <v>4135</v>
      </c>
      <c r="M837" s="85" t="s">
        <v>5599</v>
      </c>
    </row>
    <row r="838" ht="213.75" spans="1:13">
      <c r="A838" s="85" t="s">
        <v>5464</v>
      </c>
      <c r="B838" s="85" t="s">
        <v>4576</v>
      </c>
      <c r="C838" s="85" t="s">
        <v>4577</v>
      </c>
      <c r="D838" s="85" t="s">
        <v>3241</v>
      </c>
      <c r="E838" s="85" t="s">
        <v>4578</v>
      </c>
      <c r="F838" s="86">
        <v>4.2</v>
      </c>
      <c r="G838" s="86">
        <v>6</v>
      </c>
      <c r="H838" s="86">
        <v>25.2</v>
      </c>
      <c r="I838" s="86">
        <v>13738.19</v>
      </c>
      <c r="J838" s="85" t="s">
        <v>2958</v>
      </c>
      <c r="K838" s="85" t="s">
        <v>5467</v>
      </c>
      <c r="L838" s="85" t="s">
        <v>4135</v>
      </c>
      <c r="M838" s="85" t="s">
        <v>5600</v>
      </c>
    </row>
    <row r="839" ht="213.75" spans="1:13">
      <c r="A839" s="85" t="s">
        <v>5469</v>
      </c>
      <c r="B839" s="85" t="s">
        <v>3080</v>
      </c>
      <c r="C839" s="85" t="s">
        <v>3081</v>
      </c>
      <c r="D839" s="85" t="s">
        <v>3082</v>
      </c>
      <c r="E839" s="85" t="s">
        <v>3081</v>
      </c>
      <c r="F839" s="86">
        <v>41.77</v>
      </c>
      <c r="G839" s="86">
        <v>10</v>
      </c>
      <c r="H839" s="86">
        <v>417.7</v>
      </c>
      <c r="I839" s="86">
        <v>24022.3</v>
      </c>
      <c r="J839" s="85" t="s">
        <v>2965</v>
      </c>
      <c r="K839" s="85" t="s">
        <v>5467</v>
      </c>
      <c r="L839" s="85" t="s">
        <v>4135</v>
      </c>
      <c r="M839" s="85" t="s">
        <v>5601</v>
      </c>
    </row>
    <row r="840" ht="213.75" spans="1:13">
      <c r="A840" s="85" t="s">
        <v>5464</v>
      </c>
      <c r="B840" s="85" t="s">
        <v>4959</v>
      </c>
      <c r="C840" s="85" t="s">
        <v>4960</v>
      </c>
      <c r="D840" s="85" t="s">
        <v>4596</v>
      </c>
      <c r="E840" s="85" t="s">
        <v>4961</v>
      </c>
      <c r="F840" s="86">
        <v>36.71</v>
      </c>
      <c r="G840" s="86">
        <v>10</v>
      </c>
      <c r="H840" s="86">
        <v>367.1</v>
      </c>
      <c r="I840" s="86">
        <v>13738.19</v>
      </c>
      <c r="J840" s="85" t="s">
        <v>2958</v>
      </c>
      <c r="K840" s="85" t="s">
        <v>5467</v>
      </c>
      <c r="L840" s="85" t="s">
        <v>4135</v>
      </c>
      <c r="M840" s="85" t="s">
        <v>5602</v>
      </c>
    </row>
    <row r="841" ht="213.75" spans="1:13">
      <c r="A841" s="85" t="s">
        <v>5603</v>
      </c>
      <c r="B841" s="85" t="s">
        <v>5604</v>
      </c>
      <c r="C841" s="85" t="s">
        <v>5605</v>
      </c>
      <c r="D841" s="85" t="s">
        <v>3148</v>
      </c>
      <c r="E841" s="85" t="s">
        <v>4242</v>
      </c>
      <c r="F841" s="86">
        <v>41.3</v>
      </c>
      <c r="G841" s="86">
        <v>20</v>
      </c>
      <c r="H841" s="86">
        <v>826</v>
      </c>
      <c r="I841" s="86">
        <v>21708.72</v>
      </c>
      <c r="J841" s="85" t="s">
        <v>4391</v>
      </c>
      <c r="K841" s="85" t="s">
        <v>5606</v>
      </c>
      <c r="L841" s="85" t="s">
        <v>4135</v>
      </c>
      <c r="M841" s="85" t="s">
        <v>5607</v>
      </c>
    </row>
    <row r="842" ht="213.75" spans="1:13">
      <c r="A842" s="85" t="s">
        <v>5603</v>
      </c>
      <c r="B842" s="85" t="s">
        <v>5608</v>
      </c>
      <c r="C842" s="85" t="s">
        <v>5609</v>
      </c>
      <c r="D842" s="85" t="s">
        <v>5610</v>
      </c>
      <c r="E842" s="85" t="s">
        <v>5611</v>
      </c>
      <c r="F842" s="86">
        <v>63.98</v>
      </c>
      <c r="G842" s="86">
        <v>20</v>
      </c>
      <c r="H842" s="86">
        <v>1279.6</v>
      </c>
      <c r="I842" s="86">
        <v>21708.72</v>
      </c>
      <c r="J842" s="85" t="s">
        <v>4391</v>
      </c>
      <c r="K842" s="85" t="s">
        <v>5606</v>
      </c>
      <c r="L842" s="85" t="s">
        <v>4135</v>
      </c>
      <c r="M842" s="85" t="s">
        <v>5612</v>
      </c>
    </row>
    <row r="843" ht="213.75" spans="1:13">
      <c r="A843" s="85" t="s">
        <v>5603</v>
      </c>
      <c r="B843" s="85" t="s">
        <v>5613</v>
      </c>
      <c r="C843" s="85" t="s">
        <v>5614</v>
      </c>
      <c r="D843" s="85" t="s">
        <v>4886</v>
      </c>
      <c r="E843" s="85" t="s">
        <v>5614</v>
      </c>
      <c r="F843" s="86">
        <v>75.65</v>
      </c>
      <c r="G843" s="86">
        <v>10</v>
      </c>
      <c r="H843" s="86">
        <v>756.5</v>
      </c>
      <c r="I843" s="86">
        <v>21708.72</v>
      </c>
      <c r="J843" s="85" t="s">
        <v>4391</v>
      </c>
      <c r="K843" s="85" t="s">
        <v>5606</v>
      </c>
      <c r="L843" s="85" t="s">
        <v>4135</v>
      </c>
      <c r="M843" s="85" t="s">
        <v>5615</v>
      </c>
    </row>
    <row r="844" ht="213.75" spans="1:13">
      <c r="A844" s="85" t="s">
        <v>5603</v>
      </c>
      <c r="B844" s="85" t="s">
        <v>5616</v>
      </c>
      <c r="C844" s="85" t="s">
        <v>5617</v>
      </c>
      <c r="D844" s="85" t="s">
        <v>3197</v>
      </c>
      <c r="E844" s="85" t="s">
        <v>5617</v>
      </c>
      <c r="F844" s="86">
        <v>22</v>
      </c>
      <c r="G844" s="86">
        <v>10</v>
      </c>
      <c r="H844" s="86">
        <v>220</v>
      </c>
      <c r="I844" s="86">
        <v>21708.72</v>
      </c>
      <c r="J844" s="85" t="s">
        <v>4391</v>
      </c>
      <c r="K844" s="85" t="s">
        <v>5606</v>
      </c>
      <c r="L844" s="85" t="s">
        <v>4135</v>
      </c>
      <c r="M844" s="85" t="s">
        <v>5618</v>
      </c>
    </row>
    <row r="845" ht="213.75" spans="1:13">
      <c r="A845" s="85" t="s">
        <v>5603</v>
      </c>
      <c r="B845" s="85" t="s">
        <v>5619</v>
      </c>
      <c r="C845" s="85" t="s">
        <v>5620</v>
      </c>
      <c r="D845" s="85" t="s">
        <v>5621</v>
      </c>
      <c r="E845" s="85" t="s">
        <v>5622</v>
      </c>
      <c r="F845" s="86">
        <v>81.65</v>
      </c>
      <c r="G845" s="86">
        <v>3</v>
      </c>
      <c r="H845" s="86">
        <v>244.95</v>
      </c>
      <c r="I845" s="86">
        <v>21708.72</v>
      </c>
      <c r="J845" s="85" t="s">
        <v>4391</v>
      </c>
      <c r="K845" s="85" t="s">
        <v>5606</v>
      </c>
      <c r="L845" s="85" t="s">
        <v>4135</v>
      </c>
      <c r="M845" s="85" t="s">
        <v>5623</v>
      </c>
    </row>
    <row r="846" ht="213.75" spans="1:13">
      <c r="A846" s="85" t="s">
        <v>5603</v>
      </c>
      <c r="B846" s="85" t="s">
        <v>5624</v>
      </c>
      <c r="C846" s="85" t="s">
        <v>5625</v>
      </c>
      <c r="D846" s="85" t="s">
        <v>5066</v>
      </c>
      <c r="E846" s="85" t="s">
        <v>5626</v>
      </c>
      <c r="F846" s="86">
        <v>402.22</v>
      </c>
      <c r="G846" s="86">
        <v>1</v>
      </c>
      <c r="H846" s="86">
        <v>402.22</v>
      </c>
      <c r="I846" s="86">
        <v>21708.72</v>
      </c>
      <c r="J846" s="85" t="s">
        <v>4391</v>
      </c>
      <c r="K846" s="85" t="s">
        <v>5606</v>
      </c>
      <c r="L846" s="85" t="s">
        <v>4135</v>
      </c>
      <c r="M846" s="85" t="s">
        <v>5627</v>
      </c>
    </row>
    <row r="847" ht="213.75" spans="1:13">
      <c r="A847" s="85" t="s">
        <v>5603</v>
      </c>
      <c r="B847" s="85" t="s">
        <v>5628</v>
      </c>
      <c r="C847" s="85" t="s">
        <v>5629</v>
      </c>
      <c r="D847" s="85" t="s">
        <v>3148</v>
      </c>
      <c r="E847" s="85" t="s">
        <v>5629</v>
      </c>
      <c r="F847" s="86">
        <v>21.29</v>
      </c>
      <c r="G847" s="86">
        <v>100</v>
      </c>
      <c r="H847" s="86">
        <v>2129</v>
      </c>
      <c r="I847" s="86">
        <v>21708.72</v>
      </c>
      <c r="J847" s="85" t="s">
        <v>4391</v>
      </c>
      <c r="K847" s="85" t="s">
        <v>5606</v>
      </c>
      <c r="L847" s="85" t="s">
        <v>4135</v>
      </c>
      <c r="M847" s="85" t="s">
        <v>5630</v>
      </c>
    </row>
    <row r="848" ht="213.75" spans="1:13">
      <c r="A848" s="85" t="s">
        <v>5603</v>
      </c>
      <c r="B848" s="85" t="s">
        <v>5631</v>
      </c>
      <c r="C848" s="85" t="s">
        <v>5632</v>
      </c>
      <c r="D848" s="85" t="s">
        <v>5633</v>
      </c>
      <c r="E848" s="85" t="s">
        <v>5632</v>
      </c>
      <c r="F848" s="86">
        <v>90.75</v>
      </c>
      <c r="G848" s="86">
        <v>5</v>
      </c>
      <c r="H848" s="86">
        <v>453.75</v>
      </c>
      <c r="I848" s="86">
        <v>21708.72</v>
      </c>
      <c r="J848" s="85" t="s">
        <v>4391</v>
      </c>
      <c r="K848" s="85" t="s">
        <v>5606</v>
      </c>
      <c r="L848" s="85" t="s">
        <v>4135</v>
      </c>
      <c r="M848" s="85" t="s">
        <v>5634</v>
      </c>
    </row>
    <row r="849" ht="213.75" spans="1:13">
      <c r="A849" s="85" t="s">
        <v>5603</v>
      </c>
      <c r="B849" s="85" t="s">
        <v>5635</v>
      </c>
      <c r="C849" s="85" t="s">
        <v>5636</v>
      </c>
      <c r="D849" s="85" t="s">
        <v>4953</v>
      </c>
      <c r="E849" s="85" t="s">
        <v>5637</v>
      </c>
      <c r="F849" s="86">
        <v>34.68</v>
      </c>
      <c r="G849" s="86">
        <v>2</v>
      </c>
      <c r="H849" s="86">
        <v>69.36</v>
      </c>
      <c r="I849" s="86">
        <v>21708.72</v>
      </c>
      <c r="J849" s="85" t="s">
        <v>4391</v>
      </c>
      <c r="K849" s="85" t="s">
        <v>5606</v>
      </c>
      <c r="L849" s="85" t="s">
        <v>4135</v>
      </c>
      <c r="M849" s="85" t="s">
        <v>5638</v>
      </c>
    </row>
    <row r="850" ht="213.75" spans="1:13">
      <c r="A850" s="85" t="s">
        <v>5603</v>
      </c>
      <c r="B850" s="85" t="s">
        <v>5639</v>
      </c>
      <c r="C850" s="85" t="s">
        <v>5640</v>
      </c>
      <c r="D850" s="85" t="s">
        <v>4546</v>
      </c>
      <c r="E850" s="85" t="s">
        <v>5640</v>
      </c>
      <c r="F850" s="86">
        <v>75.75</v>
      </c>
      <c r="G850" s="86">
        <v>120</v>
      </c>
      <c r="H850" s="86">
        <v>9090</v>
      </c>
      <c r="I850" s="86">
        <v>21708.72</v>
      </c>
      <c r="J850" s="85" t="s">
        <v>4391</v>
      </c>
      <c r="K850" s="85" t="s">
        <v>5606</v>
      </c>
      <c r="L850" s="85" t="s">
        <v>4135</v>
      </c>
      <c r="M850" s="85" t="s">
        <v>5641</v>
      </c>
    </row>
    <row r="851" ht="213.75" spans="1:13">
      <c r="A851" s="85" t="s">
        <v>5603</v>
      </c>
      <c r="B851" s="85" t="s">
        <v>5642</v>
      </c>
      <c r="C851" s="85" t="s">
        <v>5643</v>
      </c>
      <c r="D851" s="85" t="s">
        <v>3054</v>
      </c>
      <c r="E851" s="85" t="s">
        <v>5643</v>
      </c>
      <c r="F851" s="86">
        <v>31.46</v>
      </c>
      <c r="G851" s="86">
        <v>5</v>
      </c>
      <c r="H851" s="86">
        <v>157.3</v>
      </c>
      <c r="I851" s="86">
        <v>21708.72</v>
      </c>
      <c r="J851" s="85" t="s">
        <v>4391</v>
      </c>
      <c r="K851" s="85" t="s">
        <v>5606</v>
      </c>
      <c r="L851" s="85" t="s">
        <v>4135</v>
      </c>
      <c r="M851" s="85" t="s">
        <v>5644</v>
      </c>
    </row>
    <row r="852" ht="213.75" spans="1:13">
      <c r="A852" s="85" t="s">
        <v>5603</v>
      </c>
      <c r="B852" s="85" t="s">
        <v>3915</v>
      </c>
      <c r="C852" s="85" t="s">
        <v>3916</v>
      </c>
      <c r="D852" s="85" t="s">
        <v>3068</v>
      </c>
      <c r="E852" s="85" t="s">
        <v>3069</v>
      </c>
      <c r="F852" s="86">
        <v>186.3</v>
      </c>
      <c r="G852" s="86">
        <v>5</v>
      </c>
      <c r="H852" s="86">
        <v>931.5</v>
      </c>
      <c r="I852" s="86">
        <v>21708.72</v>
      </c>
      <c r="J852" s="85" t="s">
        <v>4391</v>
      </c>
      <c r="K852" s="85" t="s">
        <v>5606</v>
      </c>
      <c r="L852" s="85" t="s">
        <v>4135</v>
      </c>
      <c r="M852" s="85" t="s">
        <v>5645</v>
      </c>
    </row>
    <row r="853" ht="213.75" spans="1:13">
      <c r="A853" s="85" t="s">
        <v>5603</v>
      </c>
      <c r="B853" s="85" t="s">
        <v>5646</v>
      </c>
      <c r="C853" s="85" t="s">
        <v>5647</v>
      </c>
      <c r="D853" s="85" t="s">
        <v>5111</v>
      </c>
      <c r="E853" s="85" t="s">
        <v>5112</v>
      </c>
      <c r="F853" s="86">
        <v>743.18</v>
      </c>
      <c r="G853" s="86">
        <v>4</v>
      </c>
      <c r="H853" s="86">
        <v>2972.72</v>
      </c>
      <c r="I853" s="86">
        <v>21708.72</v>
      </c>
      <c r="J853" s="85" t="s">
        <v>4391</v>
      </c>
      <c r="K853" s="85" t="s">
        <v>5606</v>
      </c>
      <c r="L853" s="85" t="s">
        <v>4135</v>
      </c>
      <c r="M853" s="85" t="s">
        <v>5648</v>
      </c>
    </row>
    <row r="854" ht="213.75" spans="1:13">
      <c r="A854" s="85" t="s">
        <v>5603</v>
      </c>
      <c r="B854" s="85" t="s">
        <v>5649</v>
      </c>
      <c r="C854" s="85" t="s">
        <v>5650</v>
      </c>
      <c r="D854" s="85" t="s">
        <v>3641</v>
      </c>
      <c r="E854" s="85" t="s">
        <v>5650</v>
      </c>
      <c r="F854" s="86">
        <v>75.8</v>
      </c>
      <c r="G854" s="86">
        <v>10</v>
      </c>
      <c r="H854" s="86">
        <v>758</v>
      </c>
      <c r="I854" s="86">
        <v>21708.72</v>
      </c>
      <c r="J854" s="85" t="s">
        <v>4391</v>
      </c>
      <c r="K854" s="85" t="s">
        <v>5606</v>
      </c>
      <c r="L854" s="85" t="s">
        <v>4135</v>
      </c>
      <c r="M854" s="85" t="s">
        <v>5651</v>
      </c>
    </row>
    <row r="855" ht="213.75" spans="1:13">
      <c r="A855" s="85" t="s">
        <v>5603</v>
      </c>
      <c r="B855" s="85" t="s">
        <v>5652</v>
      </c>
      <c r="C855" s="85" t="s">
        <v>5653</v>
      </c>
      <c r="D855" s="85" t="s">
        <v>3153</v>
      </c>
      <c r="E855" s="85" t="s">
        <v>5653</v>
      </c>
      <c r="F855" s="86">
        <v>575.06</v>
      </c>
      <c r="G855" s="86">
        <v>2</v>
      </c>
      <c r="H855" s="86">
        <v>1150.12</v>
      </c>
      <c r="I855" s="86">
        <v>21708.72</v>
      </c>
      <c r="J855" s="85" t="s">
        <v>4391</v>
      </c>
      <c r="K855" s="85" t="s">
        <v>5606</v>
      </c>
      <c r="L855" s="85" t="s">
        <v>4135</v>
      </c>
      <c r="M855" s="85" t="s">
        <v>5654</v>
      </c>
    </row>
    <row r="856" ht="213.75" spans="1:13">
      <c r="A856" s="85" t="s">
        <v>5603</v>
      </c>
      <c r="B856" s="85" t="s">
        <v>4236</v>
      </c>
      <c r="C856" s="85" t="s">
        <v>4237</v>
      </c>
      <c r="D856" s="85" t="s">
        <v>3014</v>
      </c>
      <c r="E856" s="85" t="s">
        <v>4238</v>
      </c>
      <c r="F856" s="86">
        <v>40</v>
      </c>
      <c r="G856" s="86">
        <v>5</v>
      </c>
      <c r="H856" s="86">
        <v>200</v>
      </c>
      <c r="I856" s="86">
        <v>21708.72</v>
      </c>
      <c r="J856" s="85" t="s">
        <v>4391</v>
      </c>
      <c r="K856" s="85" t="s">
        <v>5606</v>
      </c>
      <c r="L856" s="85" t="s">
        <v>4135</v>
      </c>
      <c r="M856" s="85" t="s">
        <v>5655</v>
      </c>
    </row>
    <row r="857" ht="213.75" spans="1:13">
      <c r="A857" s="85" t="s">
        <v>5603</v>
      </c>
      <c r="B857" s="85" t="s">
        <v>5656</v>
      </c>
      <c r="C857" s="85" t="s">
        <v>5657</v>
      </c>
      <c r="D857" s="85" t="s">
        <v>3086</v>
      </c>
      <c r="E857" s="85" t="s">
        <v>5657</v>
      </c>
      <c r="F857" s="86">
        <v>33.85</v>
      </c>
      <c r="G857" s="86">
        <v>2</v>
      </c>
      <c r="H857" s="86">
        <v>67.7</v>
      </c>
      <c r="I857" s="86">
        <v>21708.72</v>
      </c>
      <c r="J857" s="85" t="s">
        <v>4391</v>
      </c>
      <c r="K857" s="85" t="s">
        <v>5606</v>
      </c>
      <c r="L857" s="85" t="s">
        <v>4135</v>
      </c>
      <c r="M857" s="85" t="s">
        <v>5658</v>
      </c>
    </row>
    <row r="858" ht="213.75" spans="1:13">
      <c r="A858" s="85" t="s">
        <v>5659</v>
      </c>
      <c r="B858" s="85" t="s">
        <v>3546</v>
      </c>
      <c r="C858" s="85" t="s">
        <v>3547</v>
      </c>
      <c r="D858" s="85" t="s">
        <v>3548</v>
      </c>
      <c r="E858" s="85" t="s">
        <v>1835</v>
      </c>
      <c r="F858" s="86">
        <v>365</v>
      </c>
      <c r="G858" s="86">
        <v>8</v>
      </c>
      <c r="H858" s="86">
        <v>2920</v>
      </c>
      <c r="I858" s="86">
        <v>45160</v>
      </c>
      <c r="J858" s="85" t="s">
        <v>2938</v>
      </c>
      <c r="K858" s="85" t="s">
        <v>5660</v>
      </c>
      <c r="L858" s="85" t="s">
        <v>4135</v>
      </c>
      <c r="M858" s="85" t="s">
        <v>5661</v>
      </c>
    </row>
    <row r="859" ht="213.75" spans="1:13">
      <c r="A859" s="85" t="s">
        <v>5659</v>
      </c>
      <c r="B859" s="85" t="s">
        <v>5662</v>
      </c>
      <c r="C859" s="85" t="s">
        <v>5663</v>
      </c>
      <c r="D859" s="85" t="s">
        <v>4076</v>
      </c>
      <c r="E859" s="85" t="s">
        <v>1832</v>
      </c>
      <c r="F859" s="86">
        <v>128</v>
      </c>
      <c r="G859" s="86">
        <v>330</v>
      </c>
      <c r="H859" s="86">
        <v>42240</v>
      </c>
      <c r="I859" s="86">
        <v>45160</v>
      </c>
      <c r="J859" s="85" t="s">
        <v>2938</v>
      </c>
      <c r="K859" s="85" t="s">
        <v>5660</v>
      </c>
      <c r="L859" s="85" t="s">
        <v>4135</v>
      </c>
      <c r="M859" s="85" t="s">
        <v>5664</v>
      </c>
    </row>
    <row r="860" ht="213.75" spans="1:13">
      <c r="A860" s="85" t="s">
        <v>5665</v>
      </c>
      <c r="B860" s="85" t="s">
        <v>3745</v>
      </c>
      <c r="C860" s="85" t="s">
        <v>3746</v>
      </c>
      <c r="D860" s="85" t="s">
        <v>3747</v>
      </c>
      <c r="E860" s="85" t="s">
        <v>1827</v>
      </c>
      <c r="F860" s="86">
        <v>132.67</v>
      </c>
      <c r="G860" s="86">
        <v>300</v>
      </c>
      <c r="H860" s="86">
        <v>39801</v>
      </c>
      <c r="I860" s="86">
        <v>39801</v>
      </c>
      <c r="J860" s="85" t="s">
        <v>2932</v>
      </c>
      <c r="K860" s="85" t="s">
        <v>5666</v>
      </c>
      <c r="L860" s="85" t="s">
        <v>4135</v>
      </c>
      <c r="M860" s="85" t="s">
        <v>5667</v>
      </c>
    </row>
    <row r="861" ht="213.75" spans="1:13">
      <c r="A861" s="85" t="s">
        <v>5668</v>
      </c>
      <c r="B861" s="85" t="s">
        <v>2901</v>
      </c>
      <c r="C861" s="85" t="s">
        <v>2902</v>
      </c>
      <c r="D861" s="85" t="s">
        <v>2903</v>
      </c>
      <c r="E861" s="85" t="s">
        <v>2902</v>
      </c>
      <c r="F861" s="86">
        <v>172560.58</v>
      </c>
      <c r="G861" s="86">
        <v>1</v>
      </c>
      <c r="H861" s="86">
        <v>172560.58</v>
      </c>
      <c r="I861" s="86">
        <v>295611.68</v>
      </c>
      <c r="J861" s="85" t="s">
        <v>5669</v>
      </c>
      <c r="K861" s="85" t="s">
        <v>5670</v>
      </c>
      <c r="L861" s="85" t="s">
        <v>4135</v>
      </c>
      <c r="M861" s="85" t="s">
        <v>5671</v>
      </c>
    </row>
    <row r="862" ht="213.75" spans="1:13">
      <c r="A862" s="85" t="s">
        <v>5668</v>
      </c>
      <c r="B862" s="85" t="s">
        <v>2901</v>
      </c>
      <c r="C862" s="85" t="s">
        <v>2902</v>
      </c>
      <c r="D862" s="85" t="s">
        <v>2903</v>
      </c>
      <c r="E862" s="85" t="s">
        <v>2902</v>
      </c>
      <c r="F862" s="86">
        <v>123051.1</v>
      </c>
      <c r="G862" s="86">
        <v>1</v>
      </c>
      <c r="H862" s="86">
        <v>123051.1</v>
      </c>
      <c r="I862" s="86">
        <v>295611.68</v>
      </c>
      <c r="J862" s="85" t="s">
        <v>5669</v>
      </c>
      <c r="K862" s="85" t="s">
        <v>5672</v>
      </c>
      <c r="L862" s="85" t="s">
        <v>4135</v>
      </c>
      <c r="M862" s="85" t="s">
        <v>5673</v>
      </c>
    </row>
    <row r="863" ht="213.75" spans="1:13">
      <c r="A863" s="85" t="s">
        <v>5674</v>
      </c>
      <c r="B863" s="85" t="s">
        <v>3788</v>
      </c>
      <c r="C863" s="85" t="s">
        <v>3789</v>
      </c>
      <c r="D863" s="85" t="s">
        <v>3189</v>
      </c>
      <c r="E863" s="85" t="s">
        <v>3790</v>
      </c>
      <c r="F863" s="86">
        <v>100</v>
      </c>
      <c r="G863" s="86">
        <v>36</v>
      </c>
      <c r="H863" s="86">
        <v>3600</v>
      </c>
      <c r="I863" s="86">
        <v>3600</v>
      </c>
      <c r="J863" s="85" t="s">
        <v>3304</v>
      </c>
      <c r="K863" s="85" t="s">
        <v>5675</v>
      </c>
      <c r="L863" s="85" t="s">
        <v>4135</v>
      </c>
      <c r="M863" s="85" t="s">
        <v>5676</v>
      </c>
    </row>
    <row r="864" ht="213.75" spans="1:13">
      <c r="A864" s="85" t="s">
        <v>5677</v>
      </c>
      <c r="B864" s="85" t="s">
        <v>2901</v>
      </c>
      <c r="C864" s="85" t="s">
        <v>2902</v>
      </c>
      <c r="D864" s="85" t="s">
        <v>2903</v>
      </c>
      <c r="E864" s="85" t="s">
        <v>2902</v>
      </c>
      <c r="F864" s="86">
        <v>22844.22</v>
      </c>
      <c r="G864" s="86">
        <v>1</v>
      </c>
      <c r="H864" s="86">
        <v>22844.22</v>
      </c>
      <c r="I864" s="86">
        <v>22844.22</v>
      </c>
      <c r="J864" s="85" t="s">
        <v>5678</v>
      </c>
      <c r="K864" s="85" t="s">
        <v>5679</v>
      </c>
      <c r="L864" s="85" t="s">
        <v>4135</v>
      </c>
      <c r="M864" s="85" t="s">
        <v>5680</v>
      </c>
    </row>
    <row r="865" ht="213.75" spans="1:13">
      <c r="A865" s="85" t="s">
        <v>5681</v>
      </c>
      <c r="B865" s="85" t="s">
        <v>5326</v>
      </c>
      <c r="C865" s="85" t="s">
        <v>5327</v>
      </c>
      <c r="D865" s="85" t="s">
        <v>3189</v>
      </c>
      <c r="E865" s="85" t="s">
        <v>5327</v>
      </c>
      <c r="F865" s="86">
        <v>27</v>
      </c>
      <c r="G865" s="86">
        <v>300</v>
      </c>
      <c r="H865" s="86">
        <v>8100</v>
      </c>
      <c r="I865" s="86">
        <v>8100</v>
      </c>
      <c r="J865" s="85" t="s">
        <v>3314</v>
      </c>
      <c r="K865" s="85" t="s">
        <v>5682</v>
      </c>
      <c r="L865" s="85" t="s">
        <v>4135</v>
      </c>
      <c r="M865" s="85" t="s">
        <v>5683</v>
      </c>
    </row>
    <row r="866" ht="213.75" spans="1:13">
      <c r="A866" s="85" t="s">
        <v>5684</v>
      </c>
      <c r="B866" s="85" t="s">
        <v>5685</v>
      </c>
      <c r="C866" s="85" t="s">
        <v>5686</v>
      </c>
      <c r="D866" s="85" t="s">
        <v>5687</v>
      </c>
      <c r="E866" s="85" t="s">
        <v>1971</v>
      </c>
      <c r="F866" s="86">
        <v>850</v>
      </c>
      <c r="G866" s="86">
        <v>2</v>
      </c>
      <c r="H866" s="86">
        <v>1700</v>
      </c>
      <c r="I866" s="86">
        <v>1700</v>
      </c>
      <c r="J866" s="85" t="s">
        <v>5688</v>
      </c>
      <c r="K866" s="85" t="s">
        <v>5689</v>
      </c>
      <c r="L866" s="85" t="s">
        <v>4135</v>
      </c>
      <c r="M866" s="85" t="s">
        <v>5690</v>
      </c>
    </row>
    <row r="867" ht="213.75" spans="1:13">
      <c r="A867" s="85" t="s">
        <v>5691</v>
      </c>
      <c r="B867" s="85" t="s">
        <v>5692</v>
      </c>
      <c r="C867" s="85" t="s">
        <v>5693</v>
      </c>
      <c r="D867" s="85" t="s">
        <v>3251</v>
      </c>
      <c r="E867" s="85" t="s">
        <v>5693</v>
      </c>
      <c r="F867" s="86">
        <v>9.92</v>
      </c>
      <c r="G867" s="86">
        <v>8</v>
      </c>
      <c r="H867" s="86">
        <v>79.36</v>
      </c>
      <c r="I867" s="86">
        <v>18979.83</v>
      </c>
      <c r="J867" s="85" t="s">
        <v>2965</v>
      </c>
      <c r="K867" s="85" t="s">
        <v>5694</v>
      </c>
      <c r="L867" s="85" t="s">
        <v>4135</v>
      </c>
      <c r="M867" s="85" t="s">
        <v>5695</v>
      </c>
    </row>
    <row r="868" ht="213.75" spans="1:13">
      <c r="A868" s="85" t="s">
        <v>5691</v>
      </c>
      <c r="B868" s="85" t="s">
        <v>5696</v>
      </c>
      <c r="C868" s="85" t="s">
        <v>5697</v>
      </c>
      <c r="D868" s="85" t="s">
        <v>3251</v>
      </c>
      <c r="E868" s="85" t="s">
        <v>5697</v>
      </c>
      <c r="F868" s="86">
        <v>18</v>
      </c>
      <c r="G868" s="86">
        <v>5</v>
      </c>
      <c r="H868" s="86">
        <v>90</v>
      </c>
      <c r="I868" s="86">
        <v>18979.83</v>
      </c>
      <c r="J868" s="85" t="s">
        <v>2965</v>
      </c>
      <c r="K868" s="85" t="s">
        <v>5694</v>
      </c>
      <c r="L868" s="85" t="s">
        <v>4135</v>
      </c>
      <c r="M868" s="85" t="s">
        <v>5698</v>
      </c>
    </row>
    <row r="869" ht="213.75" spans="1:13">
      <c r="A869" s="85" t="s">
        <v>5691</v>
      </c>
      <c r="B869" s="85" t="s">
        <v>5699</v>
      </c>
      <c r="C869" s="85" t="s">
        <v>5700</v>
      </c>
      <c r="D869" s="85" t="s">
        <v>3269</v>
      </c>
      <c r="E869" s="85" t="s">
        <v>5700</v>
      </c>
      <c r="F869" s="86">
        <v>64.52</v>
      </c>
      <c r="G869" s="86">
        <v>12</v>
      </c>
      <c r="H869" s="86">
        <v>774.24</v>
      </c>
      <c r="I869" s="86">
        <v>18979.83</v>
      </c>
      <c r="J869" s="85" t="s">
        <v>2965</v>
      </c>
      <c r="K869" s="85" t="s">
        <v>5694</v>
      </c>
      <c r="L869" s="85" t="s">
        <v>4135</v>
      </c>
      <c r="M869" s="85" t="s">
        <v>5701</v>
      </c>
    </row>
    <row r="870" ht="213.75" spans="1:13">
      <c r="A870" s="85" t="s">
        <v>5691</v>
      </c>
      <c r="B870" s="85" t="s">
        <v>5702</v>
      </c>
      <c r="C870" s="85" t="s">
        <v>5703</v>
      </c>
      <c r="D870" s="85" t="s">
        <v>3398</v>
      </c>
      <c r="E870" s="85" t="s">
        <v>5703</v>
      </c>
      <c r="F870" s="86">
        <v>1991.99</v>
      </c>
      <c r="G870" s="86">
        <v>9</v>
      </c>
      <c r="H870" s="86">
        <v>17927.91</v>
      </c>
      <c r="I870" s="86">
        <v>18979.83</v>
      </c>
      <c r="J870" s="85" t="s">
        <v>2965</v>
      </c>
      <c r="K870" s="85" t="s">
        <v>5694</v>
      </c>
      <c r="L870" s="85" t="s">
        <v>4135</v>
      </c>
      <c r="M870" s="85" t="s">
        <v>5704</v>
      </c>
    </row>
    <row r="871" ht="213.75" spans="1:13">
      <c r="A871" s="85" t="s">
        <v>5691</v>
      </c>
      <c r="B871" s="85" t="s">
        <v>5705</v>
      </c>
      <c r="C871" s="85" t="s">
        <v>5706</v>
      </c>
      <c r="D871" s="85" t="s">
        <v>3251</v>
      </c>
      <c r="E871" s="85" t="s">
        <v>5706</v>
      </c>
      <c r="F871" s="86">
        <v>13.54</v>
      </c>
      <c r="G871" s="86">
        <v>8</v>
      </c>
      <c r="H871" s="86">
        <v>108.32</v>
      </c>
      <c r="I871" s="86">
        <v>18979.83</v>
      </c>
      <c r="J871" s="85" t="s">
        <v>2965</v>
      </c>
      <c r="K871" s="85" t="s">
        <v>5694</v>
      </c>
      <c r="L871" s="85" t="s">
        <v>4135</v>
      </c>
      <c r="M871" s="85" t="s">
        <v>5707</v>
      </c>
    </row>
    <row r="872" ht="213.75" spans="1:13">
      <c r="A872" s="85" t="s">
        <v>5708</v>
      </c>
      <c r="B872" s="85" t="s">
        <v>3123</v>
      </c>
      <c r="C872" s="85" t="s">
        <v>3124</v>
      </c>
      <c r="D872" s="85" t="s">
        <v>3125</v>
      </c>
      <c r="E872" s="85" t="s">
        <v>3124</v>
      </c>
      <c r="F872" s="86">
        <v>48550</v>
      </c>
      <c r="G872" s="86">
        <v>1</v>
      </c>
      <c r="H872" s="86">
        <v>48550</v>
      </c>
      <c r="I872" s="86">
        <v>48550</v>
      </c>
      <c r="J872" s="85" t="s">
        <v>5709</v>
      </c>
      <c r="K872" s="85" t="s">
        <v>5710</v>
      </c>
      <c r="L872" s="85" t="s">
        <v>4135</v>
      </c>
      <c r="M872" s="85" t="s">
        <v>5711</v>
      </c>
    </row>
    <row r="873" ht="213.75" spans="1:13">
      <c r="A873" s="85" t="s">
        <v>5712</v>
      </c>
      <c r="B873" s="85" t="s">
        <v>2917</v>
      </c>
      <c r="C873" s="85" t="s">
        <v>2918</v>
      </c>
      <c r="D873" s="85" t="s">
        <v>2919</v>
      </c>
      <c r="E873" s="85" t="s">
        <v>2918</v>
      </c>
      <c r="F873" s="86">
        <v>6448</v>
      </c>
      <c r="G873" s="86">
        <v>1</v>
      </c>
      <c r="H873" s="86">
        <v>6448</v>
      </c>
      <c r="I873" s="86">
        <v>6448</v>
      </c>
      <c r="J873" s="85" t="s">
        <v>5713</v>
      </c>
      <c r="K873" s="85" t="s">
        <v>5714</v>
      </c>
      <c r="L873" s="85" t="s">
        <v>4135</v>
      </c>
      <c r="M873" s="85" t="s">
        <v>5715</v>
      </c>
    </row>
    <row r="874" ht="213.75" spans="1:13">
      <c r="A874" s="85" t="s">
        <v>5716</v>
      </c>
      <c r="B874" s="85" t="s">
        <v>3123</v>
      </c>
      <c r="C874" s="85" t="s">
        <v>3124</v>
      </c>
      <c r="D874" s="85" t="s">
        <v>3125</v>
      </c>
      <c r="E874" s="85" t="s">
        <v>3124</v>
      </c>
      <c r="F874" s="86">
        <v>1969.5</v>
      </c>
      <c r="G874" s="86">
        <v>1</v>
      </c>
      <c r="H874" s="86">
        <v>1969.5</v>
      </c>
      <c r="I874" s="86">
        <v>1969.5</v>
      </c>
      <c r="J874" s="85" t="s">
        <v>5717</v>
      </c>
      <c r="K874" s="85" t="s">
        <v>5718</v>
      </c>
      <c r="L874" s="85" t="s">
        <v>4135</v>
      </c>
      <c r="M874" s="85" t="s">
        <v>5719</v>
      </c>
    </row>
    <row r="875" ht="213.75" spans="1:13">
      <c r="A875" s="85" t="s">
        <v>5720</v>
      </c>
      <c r="B875" s="85" t="s">
        <v>2901</v>
      </c>
      <c r="C875" s="85" t="s">
        <v>2902</v>
      </c>
      <c r="D875" s="85" t="s">
        <v>2903</v>
      </c>
      <c r="E875" s="85" t="s">
        <v>2902</v>
      </c>
      <c r="F875" s="86">
        <v>3750</v>
      </c>
      <c r="G875" s="86">
        <v>1</v>
      </c>
      <c r="H875" s="86">
        <v>3750</v>
      </c>
      <c r="I875" s="86">
        <v>3750</v>
      </c>
      <c r="J875" s="85" t="s">
        <v>4711</v>
      </c>
      <c r="K875" s="85" t="s">
        <v>5721</v>
      </c>
      <c r="L875" s="85" t="s">
        <v>4135</v>
      </c>
      <c r="M875" s="85" t="s">
        <v>5722</v>
      </c>
    </row>
    <row r="876" ht="213.75" spans="1:13">
      <c r="A876" s="85" t="s">
        <v>5723</v>
      </c>
      <c r="B876" s="85" t="s">
        <v>5724</v>
      </c>
      <c r="C876" s="85" t="s">
        <v>5725</v>
      </c>
      <c r="D876" s="85" t="s">
        <v>5302</v>
      </c>
      <c r="E876" s="85" t="s">
        <v>5726</v>
      </c>
      <c r="F876" s="86">
        <v>840</v>
      </c>
      <c r="G876" s="86">
        <v>35</v>
      </c>
      <c r="H876" s="86">
        <v>29400</v>
      </c>
      <c r="I876" s="86">
        <v>29400</v>
      </c>
      <c r="J876" s="85" t="s">
        <v>2935</v>
      </c>
      <c r="K876" s="85" t="s">
        <v>5727</v>
      </c>
      <c r="L876" s="85" t="s">
        <v>4135</v>
      </c>
      <c r="M876" s="85" t="s">
        <v>5728</v>
      </c>
    </row>
    <row r="877" ht="213.75" spans="1:13">
      <c r="A877" s="85" t="s">
        <v>5729</v>
      </c>
      <c r="B877" s="85" t="s">
        <v>5730</v>
      </c>
      <c r="C877" s="85" t="s">
        <v>5731</v>
      </c>
      <c r="D877" s="85" t="s">
        <v>4425</v>
      </c>
      <c r="E877" s="85" t="s">
        <v>5732</v>
      </c>
      <c r="F877" s="86">
        <v>2.9</v>
      </c>
      <c r="G877" s="86">
        <v>300</v>
      </c>
      <c r="H877" s="86">
        <v>870</v>
      </c>
      <c r="I877" s="86">
        <v>32494.85</v>
      </c>
      <c r="J877" s="85" t="s">
        <v>4391</v>
      </c>
      <c r="K877" s="85" t="s">
        <v>5733</v>
      </c>
      <c r="L877" s="85" t="s">
        <v>4135</v>
      </c>
      <c r="M877" s="85" t="s">
        <v>5734</v>
      </c>
    </row>
    <row r="878" ht="213.75" spans="1:13">
      <c r="A878" s="85" t="s">
        <v>5729</v>
      </c>
      <c r="B878" s="85" t="s">
        <v>5735</v>
      </c>
      <c r="C878" s="85" t="s">
        <v>5736</v>
      </c>
      <c r="D878" s="85" t="s">
        <v>3579</v>
      </c>
      <c r="E878" s="85" t="s">
        <v>5737</v>
      </c>
      <c r="F878" s="86">
        <v>58.5</v>
      </c>
      <c r="G878" s="86">
        <v>5</v>
      </c>
      <c r="H878" s="86">
        <v>292.5</v>
      </c>
      <c r="I878" s="86">
        <v>32494.85</v>
      </c>
      <c r="J878" s="85" t="s">
        <v>4391</v>
      </c>
      <c r="K878" s="85" t="s">
        <v>5733</v>
      </c>
      <c r="L878" s="85" t="s">
        <v>4135</v>
      </c>
      <c r="M878" s="85" t="s">
        <v>5738</v>
      </c>
    </row>
    <row r="879" ht="213.75" spans="1:13">
      <c r="A879" s="85" t="s">
        <v>5729</v>
      </c>
      <c r="B879" s="85" t="s">
        <v>5413</v>
      </c>
      <c r="C879" s="85" t="s">
        <v>5414</v>
      </c>
      <c r="D879" s="85" t="s">
        <v>3189</v>
      </c>
      <c r="E879" s="85" t="s">
        <v>5414</v>
      </c>
      <c r="F879" s="86">
        <v>41.65</v>
      </c>
      <c r="G879" s="86">
        <v>4</v>
      </c>
      <c r="H879" s="86">
        <v>166.6</v>
      </c>
      <c r="I879" s="86">
        <v>32494.85</v>
      </c>
      <c r="J879" s="85" t="s">
        <v>4391</v>
      </c>
      <c r="K879" s="85" t="s">
        <v>5733</v>
      </c>
      <c r="L879" s="85" t="s">
        <v>4135</v>
      </c>
      <c r="M879" s="85" t="s">
        <v>5739</v>
      </c>
    </row>
    <row r="880" ht="242.25" spans="1:13">
      <c r="A880" s="85" t="s">
        <v>5729</v>
      </c>
      <c r="B880" s="85" t="s">
        <v>4696</v>
      </c>
      <c r="C880" s="85" t="s">
        <v>4697</v>
      </c>
      <c r="D880" s="85" t="s">
        <v>3153</v>
      </c>
      <c r="E880" s="85" t="s">
        <v>4697</v>
      </c>
      <c r="F880" s="86">
        <v>45.6</v>
      </c>
      <c r="G880" s="86">
        <v>10</v>
      </c>
      <c r="H880" s="86">
        <v>456</v>
      </c>
      <c r="I880" s="86">
        <v>32494.85</v>
      </c>
      <c r="J880" s="85" t="s">
        <v>4391</v>
      </c>
      <c r="K880" s="85" t="s">
        <v>5733</v>
      </c>
      <c r="L880" s="85" t="s">
        <v>4135</v>
      </c>
      <c r="M880" s="85" t="s">
        <v>5740</v>
      </c>
    </row>
    <row r="881" ht="213.75" spans="1:13">
      <c r="A881" s="85" t="s">
        <v>5729</v>
      </c>
      <c r="B881" s="85" t="s">
        <v>3931</v>
      </c>
      <c r="C881" s="85" t="s">
        <v>3932</v>
      </c>
      <c r="D881" s="85" t="s">
        <v>3189</v>
      </c>
      <c r="E881" s="85" t="s">
        <v>3933</v>
      </c>
      <c r="F881" s="86">
        <v>30.9</v>
      </c>
      <c r="G881" s="86">
        <v>3</v>
      </c>
      <c r="H881" s="86">
        <v>92.7</v>
      </c>
      <c r="I881" s="86">
        <v>32494.85</v>
      </c>
      <c r="J881" s="85" t="s">
        <v>4391</v>
      </c>
      <c r="K881" s="85" t="s">
        <v>5733</v>
      </c>
      <c r="L881" s="85" t="s">
        <v>4135</v>
      </c>
      <c r="M881" s="85" t="s">
        <v>5741</v>
      </c>
    </row>
    <row r="882" ht="213.75" spans="1:13">
      <c r="A882" s="85" t="s">
        <v>5729</v>
      </c>
      <c r="B882" s="85" t="s">
        <v>5742</v>
      </c>
      <c r="C882" s="85" t="s">
        <v>5743</v>
      </c>
      <c r="D882" s="85" t="s">
        <v>5744</v>
      </c>
      <c r="E882" s="85" t="s">
        <v>5745</v>
      </c>
      <c r="F882" s="86">
        <v>18.99</v>
      </c>
      <c r="G882" s="86">
        <v>15</v>
      </c>
      <c r="H882" s="86">
        <v>284.85</v>
      </c>
      <c r="I882" s="86">
        <v>32494.85</v>
      </c>
      <c r="J882" s="85" t="s">
        <v>4391</v>
      </c>
      <c r="K882" s="85" t="s">
        <v>5733</v>
      </c>
      <c r="L882" s="85" t="s">
        <v>4135</v>
      </c>
      <c r="M882" s="85" t="s">
        <v>5746</v>
      </c>
    </row>
    <row r="883" ht="213.75" spans="1:13">
      <c r="A883" s="85" t="s">
        <v>5729</v>
      </c>
      <c r="B883" s="85" t="s">
        <v>5730</v>
      </c>
      <c r="C883" s="85" t="s">
        <v>5731</v>
      </c>
      <c r="D883" s="85" t="s">
        <v>4425</v>
      </c>
      <c r="E883" s="85" t="s">
        <v>5732</v>
      </c>
      <c r="F883" s="86">
        <v>14.86</v>
      </c>
      <c r="G883" s="86">
        <v>100</v>
      </c>
      <c r="H883" s="86">
        <v>1486</v>
      </c>
      <c r="I883" s="86">
        <v>32494.85</v>
      </c>
      <c r="J883" s="85" t="s">
        <v>4391</v>
      </c>
      <c r="K883" s="85" t="s">
        <v>5733</v>
      </c>
      <c r="L883" s="85" t="s">
        <v>4135</v>
      </c>
      <c r="M883" s="85" t="s">
        <v>5747</v>
      </c>
    </row>
    <row r="884" ht="213.75" spans="1:13">
      <c r="A884" s="85" t="s">
        <v>5729</v>
      </c>
      <c r="B884" s="85" t="s">
        <v>5021</v>
      </c>
      <c r="C884" s="85" t="s">
        <v>5022</v>
      </c>
      <c r="D884" s="85" t="s">
        <v>5023</v>
      </c>
      <c r="E884" s="85" t="s">
        <v>5024</v>
      </c>
      <c r="F884" s="86">
        <v>12.18</v>
      </c>
      <c r="G884" s="86">
        <v>40</v>
      </c>
      <c r="H884" s="86">
        <v>487.2</v>
      </c>
      <c r="I884" s="86">
        <v>32494.85</v>
      </c>
      <c r="J884" s="85" t="s">
        <v>4391</v>
      </c>
      <c r="K884" s="85" t="s">
        <v>5733</v>
      </c>
      <c r="L884" s="85" t="s">
        <v>4135</v>
      </c>
      <c r="M884" s="85" t="s">
        <v>5748</v>
      </c>
    </row>
    <row r="885" ht="213.75" spans="1:13">
      <c r="A885" s="85" t="s">
        <v>5729</v>
      </c>
      <c r="B885" s="85" t="s">
        <v>5730</v>
      </c>
      <c r="C885" s="85" t="s">
        <v>5731</v>
      </c>
      <c r="D885" s="85" t="s">
        <v>4425</v>
      </c>
      <c r="E885" s="85" t="s">
        <v>5732</v>
      </c>
      <c r="F885" s="86">
        <v>9.9</v>
      </c>
      <c r="G885" s="86">
        <v>60</v>
      </c>
      <c r="H885" s="86">
        <v>594</v>
      </c>
      <c r="I885" s="86">
        <v>32494.85</v>
      </c>
      <c r="J885" s="85" t="s">
        <v>4391</v>
      </c>
      <c r="K885" s="85" t="s">
        <v>5733</v>
      </c>
      <c r="L885" s="85" t="s">
        <v>4135</v>
      </c>
      <c r="M885" s="85" t="s">
        <v>5749</v>
      </c>
    </row>
    <row r="886" ht="213.75" spans="1:13">
      <c r="A886" s="85" t="s">
        <v>5729</v>
      </c>
      <c r="B886" s="85" t="s">
        <v>5750</v>
      </c>
      <c r="C886" s="85" t="s">
        <v>5751</v>
      </c>
      <c r="D886" s="85" t="s">
        <v>2982</v>
      </c>
      <c r="E886" s="85" t="s">
        <v>5752</v>
      </c>
      <c r="F886" s="86">
        <v>35.8</v>
      </c>
      <c r="G886" s="86">
        <v>40</v>
      </c>
      <c r="H886" s="86">
        <v>1432</v>
      </c>
      <c r="I886" s="86">
        <v>32494.85</v>
      </c>
      <c r="J886" s="85" t="s">
        <v>4391</v>
      </c>
      <c r="K886" s="85" t="s">
        <v>5733</v>
      </c>
      <c r="L886" s="85" t="s">
        <v>4135</v>
      </c>
      <c r="M886" s="85" t="s">
        <v>5753</v>
      </c>
    </row>
    <row r="887" ht="213.75" spans="1:13">
      <c r="A887" s="85" t="s">
        <v>5729</v>
      </c>
      <c r="B887" s="85" t="s">
        <v>5730</v>
      </c>
      <c r="C887" s="85" t="s">
        <v>5731</v>
      </c>
      <c r="D887" s="85" t="s">
        <v>4425</v>
      </c>
      <c r="E887" s="85" t="s">
        <v>5732</v>
      </c>
      <c r="F887" s="86">
        <v>9.9</v>
      </c>
      <c r="G887" s="86">
        <v>90</v>
      </c>
      <c r="H887" s="86">
        <v>891</v>
      </c>
      <c r="I887" s="86">
        <v>32494.85</v>
      </c>
      <c r="J887" s="85" t="s">
        <v>4391</v>
      </c>
      <c r="K887" s="85" t="s">
        <v>5733</v>
      </c>
      <c r="L887" s="85" t="s">
        <v>4135</v>
      </c>
      <c r="M887" s="85" t="s">
        <v>5754</v>
      </c>
    </row>
    <row r="888" ht="213.75" spans="1:13">
      <c r="A888" s="85" t="s">
        <v>5729</v>
      </c>
      <c r="B888" s="85" t="s">
        <v>4690</v>
      </c>
      <c r="C888" s="85" t="s">
        <v>4691</v>
      </c>
      <c r="D888" s="85" t="s">
        <v>4692</v>
      </c>
      <c r="E888" s="85" t="s">
        <v>4693</v>
      </c>
      <c r="F888" s="86">
        <v>101.42</v>
      </c>
      <c r="G888" s="86">
        <v>200</v>
      </c>
      <c r="H888" s="86">
        <v>20284</v>
      </c>
      <c r="I888" s="86">
        <v>32494.85</v>
      </c>
      <c r="J888" s="85" t="s">
        <v>4391</v>
      </c>
      <c r="K888" s="85" t="s">
        <v>5733</v>
      </c>
      <c r="L888" s="85" t="s">
        <v>4135</v>
      </c>
      <c r="M888" s="85" t="s">
        <v>5755</v>
      </c>
    </row>
    <row r="889" ht="213.75" spans="1:13">
      <c r="A889" s="85" t="s">
        <v>5729</v>
      </c>
      <c r="B889" s="85" t="s">
        <v>5756</v>
      </c>
      <c r="C889" s="85" t="s">
        <v>5757</v>
      </c>
      <c r="D889" s="85" t="s">
        <v>5758</v>
      </c>
      <c r="E889" s="85" t="s">
        <v>5759</v>
      </c>
      <c r="F889" s="86">
        <v>23.65</v>
      </c>
      <c r="G889" s="86">
        <v>20</v>
      </c>
      <c r="H889" s="86">
        <v>473</v>
      </c>
      <c r="I889" s="86">
        <v>32494.85</v>
      </c>
      <c r="J889" s="85" t="s">
        <v>4391</v>
      </c>
      <c r="K889" s="85" t="s">
        <v>5733</v>
      </c>
      <c r="L889" s="85" t="s">
        <v>4135</v>
      </c>
      <c r="M889" s="85" t="s">
        <v>5760</v>
      </c>
    </row>
    <row r="890" ht="213.75" spans="1:13">
      <c r="A890" s="85" t="s">
        <v>5729</v>
      </c>
      <c r="B890" s="85" t="s">
        <v>5761</v>
      </c>
      <c r="C890" s="85" t="s">
        <v>5762</v>
      </c>
      <c r="D890" s="85" t="s">
        <v>3189</v>
      </c>
      <c r="E890" s="85" t="s">
        <v>5762</v>
      </c>
      <c r="F890" s="86">
        <v>133.8</v>
      </c>
      <c r="G890" s="86">
        <v>5</v>
      </c>
      <c r="H890" s="86">
        <v>669</v>
      </c>
      <c r="I890" s="86">
        <v>32494.85</v>
      </c>
      <c r="J890" s="85" t="s">
        <v>4391</v>
      </c>
      <c r="K890" s="85" t="s">
        <v>5733</v>
      </c>
      <c r="L890" s="85" t="s">
        <v>4135</v>
      </c>
      <c r="M890" s="85" t="s">
        <v>5763</v>
      </c>
    </row>
    <row r="891" ht="213.75" spans="1:13">
      <c r="A891" s="85" t="s">
        <v>5729</v>
      </c>
      <c r="B891" s="85" t="s">
        <v>5764</v>
      </c>
      <c r="C891" s="85" t="s">
        <v>5765</v>
      </c>
      <c r="D891" s="85" t="s">
        <v>5766</v>
      </c>
      <c r="E891" s="85" t="s">
        <v>5767</v>
      </c>
      <c r="F891" s="86">
        <v>4.9</v>
      </c>
      <c r="G891" s="86">
        <v>50</v>
      </c>
      <c r="H891" s="86">
        <v>245</v>
      </c>
      <c r="I891" s="86">
        <v>32494.85</v>
      </c>
      <c r="J891" s="85" t="s">
        <v>4391</v>
      </c>
      <c r="K891" s="85" t="s">
        <v>5733</v>
      </c>
      <c r="L891" s="85" t="s">
        <v>4135</v>
      </c>
      <c r="M891" s="85" t="s">
        <v>5768</v>
      </c>
    </row>
    <row r="892" ht="213.75" spans="1:13">
      <c r="A892" s="85" t="s">
        <v>5729</v>
      </c>
      <c r="B892" s="85" t="s">
        <v>5429</v>
      </c>
      <c r="C892" s="85" t="s">
        <v>5430</v>
      </c>
      <c r="D892" s="85" t="s">
        <v>5431</v>
      </c>
      <c r="E892" s="85" t="s">
        <v>5432</v>
      </c>
      <c r="F892" s="86">
        <v>117.5</v>
      </c>
      <c r="G892" s="86">
        <v>10</v>
      </c>
      <c r="H892" s="86">
        <v>1175</v>
      </c>
      <c r="I892" s="86">
        <v>32494.85</v>
      </c>
      <c r="J892" s="85" t="s">
        <v>4391</v>
      </c>
      <c r="K892" s="85" t="s">
        <v>5733</v>
      </c>
      <c r="L892" s="85" t="s">
        <v>4135</v>
      </c>
      <c r="M892" s="85" t="s">
        <v>5769</v>
      </c>
    </row>
    <row r="893" ht="213.75" spans="1:13">
      <c r="A893" s="85" t="s">
        <v>5729</v>
      </c>
      <c r="B893" s="85" t="s">
        <v>5770</v>
      </c>
      <c r="C893" s="85" t="s">
        <v>5771</v>
      </c>
      <c r="D893" s="85" t="s">
        <v>3068</v>
      </c>
      <c r="E893" s="85" t="s">
        <v>5772</v>
      </c>
      <c r="F893" s="86">
        <v>9.36</v>
      </c>
      <c r="G893" s="86">
        <v>140</v>
      </c>
      <c r="H893" s="86">
        <v>1310.4</v>
      </c>
      <c r="I893" s="86">
        <v>32494.85</v>
      </c>
      <c r="J893" s="85" t="s">
        <v>4391</v>
      </c>
      <c r="K893" s="85" t="s">
        <v>5733</v>
      </c>
      <c r="L893" s="85" t="s">
        <v>4135</v>
      </c>
      <c r="M893" s="85" t="s">
        <v>5773</v>
      </c>
    </row>
    <row r="894" ht="213.75" spans="1:13">
      <c r="A894" s="85" t="s">
        <v>5729</v>
      </c>
      <c r="B894" s="85" t="s">
        <v>5774</v>
      </c>
      <c r="C894" s="85" t="s">
        <v>5775</v>
      </c>
      <c r="D894" s="85" t="s">
        <v>5776</v>
      </c>
      <c r="E894" s="85" t="s">
        <v>5777</v>
      </c>
      <c r="F894" s="86">
        <v>216.8</v>
      </c>
      <c r="G894" s="86">
        <v>2</v>
      </c>
      <c r="H894" s="86">
        <v>433.6</v>
      </c>
      <c r="I894" s="86">
        <v>32494.85</v>
      </c>
      <c r="J894" s="85" t="s">
        <v>4391</v>
      </c>
      <c r="K894" s="85" t="s">
        <v>5733</v>
      </c>
      <c r="L894" s="85" t="s">
        <v>4135</v>
      </c>
      <c r="M894" s="85" t="s">
        <v>5778</v>
      </c>
    </row>
    <row r="895" ht="213.75" spans="1:13">
      <c r="A895" s="85" t="s">
        <v>5729</v>
      </c>
      <c r="B895" s="85" t="s">
        <v>5779</v>
      </c>
      <c r="C895" s="85" t="s">
        <v>5780</v>
      </c>
      <c r="D895" s="85" t="s">
        <v>3148</v>
      </c>
      <c r="E895" s="85" t="s">
        <v>4242</v>
      </c>
      <c r="F895" s="86">
        <v>12.68</v>
      </c>
      <c r="G895" s="86">
        <v>50</v>
      </c>
      <c r="H895" s="86">
        <v>634</v>
      </c>
      <c r="I895" s="86">
        <v>32494.85</v>
      </c>
      <c r="J895" s="85" t="s">
        <v>4391</v>
      </c>
      <c r="K895" s="85" t="s">
        <v>5733</v>
      </c>
      <c r="L895" s="85" t="s">
        <v>4135</v>
      </c>
      <c r="M895" s="85" t="s">
        <v>5781</v>
      </c>
    </row>
    <row r="896" ht="213.75" spans="1:13">
      <c r="A896" s="85" t="s">
        <v>5729</v>
      </c>
      <c r="B896" s="85" t="s">
        <v>5782</v>
      </c>
      <c r="C896" s="85" t="s">
        <v>5783</v>
      </c>
      <c r="D896" s="85" t="s">
        <v>3189</v>
      </c>
      <c r="E896" s="85" t="s">
        <v>5783</v>
      </c>
      <c r="F896" s="86">
        <v>43.6</v>
      </c>
      <c r="G896" s="86">
        <v>5</v>
      </c>
      <c r="H896" s="86">
        <v>218</v>
      </c>
      <c r="I896" s="86">
        <v>32494.85</v>
      </c>
      <c r="J896" s="85" t="s">
        <v>4391</v>
      </c>
      <c r="K896" s="85" t="s">
        <v>5733</v>
      </c>
      <c r="L896" s="85" t="s">
        <v>4135</v>
      </c>
      <c r="M896" s="85" t="s">
        <v>5784</v>
      </c>
    </row>
    <row r="897" ht="213.75" spans="1:13">
      <c r="A897" s="85" t="s">
        <v>5785</v>
      </c>
      <c r="B897" s="85" t="s">
        <v>5786</v>
      </c>
      <c r="C897" s="85" t="s">
        <v>5787</v>
      </c>
      <c r="D897" s="85" t="s">
        <v>3189</v>
      </c>
      <c r="E897" s="85" t="s">
        <v>5788</v>
      </c>
      <c r="F897" s="86">
        <v>55</v>
      </c>
      <c r="G897" s="86">
        <v>6</v>
      </c>
      <c r="H897" s="86">
        <v>330</v>
      </c>
      <c r="I897" s="86">
        <v>1521</v>
      </c>
      <c r="J897" s="85" t="s">
        <v>2935</v>
      </c>
      <c r="K897" s="85" t="s">
        <v>5789</v>
      </c>
      <c r="L897" s="85" t="s">
        <v>4135</v>
      </c>
      <c r="M897" s="85" t="s">
        <v>5790</v>
      </c>
    </row>
    <row r="898" ht="213.75" spans="1:13">
      <c r="A898" s="85" t="s">
        <v>5785</v>
      </c>
      <c r="B898" s="85" t="s">
        <v>5791</v>
      </c>
      <c r="C898" s="85" t="s">
        <v>5792</v>
      </c>
      <c r="D898" s="85" t="s">
        <v>3241</v>
      </c>
      <c r="E898" s="85" t="s">
        <v>4473</v>
      </c>
      <c r="F898" s="86">
        <v>28</v>
      </c>
      <c r="G898" s="86">
        <v>22</v>
      </c>
      <c r="H898" s="86">
        <v>616</v>
      </c>
      <c r="I898" s="86">
        <v>1521</v>
      </c>
      <c r="J898" s="85" t="s">
        <v>2935</v>
      </c>
      <c r="K898" s="85" t="s">
        <v>5789</v>
      </c>
      <c r="L898" s="85" t="s">
        <v>4135</v>
      </c>
      <c r="M898" s="85" t="s">
        <v>5793</v>
      </c>
    </row>
    <row r="899" ht="213.75" spans="1:13">
      <c r="A899" s="85" t="s">
        <v>5785</v>
      </c>
      <c r="B899" s="85" t="s">
        <v>5794</v>
      </c>
      <c r="C899" s="85" t="s">
        <v>5795</v>
      </c>
      <c r="D899" s="85" t="s">
        <v>5796</v>
      </c>
      <c r="E899" s="85" t="s">
        <v>5795</v>
      </c>
      <c r="F899" s="86">
        <v>23</v>
      </c>
      <c r="G899" s="86">
        <v>25</v>
      </c>
      <c r="H899" s="86">
        <v>575</v>
      </c>
      <c r="I899" s="86">
        <v>1521</v>
      </c>
      <c r="J899" s="85" t="s">
        <v>2935</v>
      </c>
      <c r="K899" s="85" t="s">
        <v>5789</v>
      </c>
      <c r="L899" s="85" t="s">
        <v>4135</v>
      </c>
      <c r="M899" s="85" t="s">
        <v>5797</v>
      </c>
    </row>
    <row r="900" ht="213.75" spans="1:13">
      <c r="A900" s="85" t="s">
        <v>5798</v>
      </c>
      <c r="B900" s="85" t="s">
        <v>5799</v>
      </c>
      <c r="C900" s="85" t="s">
        <v>5800</v>
      </c>
      <c r="D900" s="85" t="s">
        <v>5510</v>
      </c>
      <c r="E900" s="85" t="s">
        <v>1782</v>
      </c>
      <c r="F900" s="86">
        <v>8</v>
      </c>
      <c r="G900" s="86">
        <v>40</v>
      </c>
      <c r="H900" s="86">
        <v>320</v>
      </c>
      <c r="I900" s="86">
        <v>7839.5</v>
      </c>
      <c r="J900" s="85" t="s">
        <v>2935</v>
      </c>
      <c r="K900" s="85" t="s">
        <v>5801</v>
      </c>
      <c r="L900" s="85" t="s">
        <v>4135</v>
      </c>
      <c r="M900" s="85" t="s">
        <v>5802</v>
      </c>
    </row>
    <row r="901" ht="213.75" spans="1:13">
      <c r="A901" s="85" t="s">
        <v>5798</v>
      </c>
      <c r="B901" s="85" t="s">
        <v>3915</v>
      </c>
      <c r="C901" s="85" t="s">
        <v>3916</v>
      </c>
      <c r="D901" s="85" t="s">
        <v>3068</v>
      </c>
      <c r="E901" s="85" t="s">
        <v>3069</v>
      </c>
      <c r="F901" s="86">
        <v>235</v>
      </c>
      <c r="G901" s="86">
        <v>5</v>
      </c>
      <c r="H901" s="86">
        <v>1175</v>
      </c>
      <c r="I901" s="86">
        <v>7839.5</v>
      </c>
      <c r="J901" s="85" t="s">
        <v>2935</v>
      </c>
      <c r="K901" s="85" t="s">
        <v>5801</v>
      </c>
      <c r="L901" s="85" t="s">
        <v>4135</v>
      </c>
      <c r="M901" s="85" t="s">
        <v>5803</v>
      </c>
    </row>
    <row r="902" ht="213.75" spans="1:13">
      <c r="A902" s="85" t="s">
        <v>5798</v>
      </c>
      <c r="B902" s="85" t="s">
        <v>5804</v>
      </c>
      <c r="C902" s="85" t="s">
        <v>5805</v>
      </c>
      <c r="D902" s="85" t="s">
        <v>3406</v>
      </c>
      <c r="E902" s="85" t="s">
        <v>5805</v>
      </c>
      <c r="F902" s="86">
        <v>15</v>
      </c>
      <c r="G902" s="86">
        <v>5</v>
      </c>
      <c r="H902" s="86">
        <v>75</v>
      </c>
      <c r="I902" s="86">
        <v>7839.5</v>
      </c>
      <c r="J902" s="85" t="s">
        <v>2935</v>
      </c>
      <c r="K902" s="85" t="s">
        <v>5801</v>
      </c>
      <c r="L902" s="85" t="s">
        <v>4135</v>
      </c>
      <c r="M902" s="85" t="s">
        <v>5806</v>
      </c>
    </row>
    <row r="903" ht="213.75" spans="1:13">
      <c r="A903" s="85" t="s">
        <v>5798</v>
      </c>
      <c r="B903" s="85" t="s">
        <v>5807</v>
      </c>
      <c r="C903" s="85" t="s">
        <v>5808</v>
      </c>
      <c r="D903" s="85" t="s">
        <v>3753</v>
      </c>
      <c r="E903" s="85" t="s">
        <v>5809</v>
      </c>
      <c r="F903" s="86">
        <v>3.6</v>
      </c>
      <c r="G903" s="86">
        <v>50</v>
      </c>
      <c r="H903" s="86">
        <v>180</v>
      </c>
      <c r="I903" s="86">
        <v>7839.5</v>
      </c>
      <c r="J903" s="85" t="s">
        <v>2935</v>
      </c>
      <c r="K903" s="85" t="s">
        <v>5801</v>
      </c>
      <c r="L903" s="85" t="s">
        <v>4135</v>
      </c>
      <c r="M903" s="85" t="s">
        <v>5810</v>
      </c>
    </row>
    <row r="904" ht="213.75" spans="1:13">
      <c r="A904" s="85" t="s">
        <v>5798</v>
      </c>
      <c r="B904" s="85" t="s">
        <v>4884</v>
      </c>
      <c r="C904" s="85" t="s">
        <v>4885</v>
      </c>
      <c r="D904" s="85" t="s">
        <v>4886</v>
      </c>
      <c r="E904" s="85" t="s">
        <v>4887</v>
      </c>
      <c r="F904" s="86">
        <v>520</v>
      </c>
      <c r="G904" s="86">
        <v>2</v>
      </c>
      <c r="H904" s="86">
        <v>1040</v>
      </c>
      <c r="I904" s="86">
        <v>7839.5</v>
      </c>
      <c r="J904" s="85" t="s">
        <v>2935</v>
      </c>
      <c r="K904" s="85" t="s">
        <v>5801</v>
      </c>
      <c r="L904" s="85" t="s">
        <v>4135</v>
      </c>
      <c r="M904" s="85" t="s">
        <v>5811</v>
      </c>
    </row>
    <row r="905" ht="213.75" spans="1:13">
      <c r="A905" s="85" t="s">
        <v>5798</v>
      </c>
      <c r="B905" s="85" t="s">
        <v>4884</v>
      </c>
      <c r="C905" s="85" t="s">
        <v>4885</v>
      </c>
      <c r="D905" s="85" t="s">
        <v>4886</v>
      </c>
      <c r="E905" s="85" t="s">
        <v>4887</v>
      </c>
      <c r="F905" s="86">
        <v>520</v>
      </c>
      <c r="G905" s="86">
        <v>2</v>
      </c>
      <c r="H905" s="86">
        <v>1040</v>
      </c>
      <c r="I905" s="86">
        <v>7839.5</v>
      </c>
      <c r="J905" s="85" t="s">
        <v>2935</v>
      </c>
      <c r="K905" s="85" t="s">
        <v>5801</v>
      </c>
      <c r="L905" s="85" t="s">
        <v>4135</v>
      </c>
      <c r="M905" s="85" t="s">
        <v>5812</v>
      </c>
    </row>
    <row r="906" ht="213.75" spans="1:13">
      <c r="A906" s="85" t="s">
        <v>5798</v>
      </c>
      <c r="B906" s="85" t="s">
        <v>4290</v>
      </c>
      <c r="C906" s="85" t="s">
        <v>4291</v>
      </c>
      <c r="D906" s="85" t="s">
        <v>3189</v>
      </c>
      <c r="E906" s="85" t="s">
        <v>4292</v>
      </c>
      <c r="F906" s="86">
        <v>10.8</v>
      </c>
      <c r="G906" s="86">
        <v>20</v>
      </c>
      <c r="H906" s="86">
        <v>216</v>
      </c>
      <c r="I906" s="86">
        <v>7839.5</v>
      </c>
      <c r="J906" s="85" t="s">
        <v>2935</v>
      </c>
      <c r="K906" s="85" t="s">
        <v>5801</v>
      </c>
      <c r="L906" s="85" t="s">
        <v>4135</v>
      </c>
      <c r="M906" s="85" t="s">
        <v>5813</v>
      </c>
    </row>
    <row r="907" ht="213.75" spans="1:13">
      <c r="A907" s="85" t="s">
        <v>5798</v>
      </c>
      <c r="B907" s="85" t="s">
        <v>4884</v>
      </c>
      <c r="C907" s="85" t="s">
        <v>4885</v>
      </c>
      <c r="D907" s="85" t="s">
        <v>4886</v>
      </c>
      <c r="E907" s="85" t="s">
        <v>4887</v>
      </c>
      <c r="F907" s="86">
        <v>520</v>
      </c>
      <c r="G907" s="86">
        <v>1</v>
      </c>
      <c r="H907" s="86">
        <v>520</v>
      </c>
      <c r="I907" s="86">
        <v>7839.5</v>
      </c>
      <c r="J907" s="85" t="s">
        <v>2935</v>
      </c>
      <c r="K907" s="85" t="s">
        <v>5801</v>
      </c>
      <c r="L907" s="85" t="s">
        <v>4135</v>
      </c>
      <c r="M907" s="85" t="s">
        <v>5814</v>
      </c>
    </row>
    <row r="908" ht="213.75" spans="1:13">
      <c r="A908" s="85" t="s">
        <v>5798</v>
      </c>
      <c r="B908" s="85" t="s">
        <v>4884</v>
      </c>
      <c r="C908" s="85" t="s">
        <v>4885</v>
      </c>
      <c r="D908" s="85" t="s">
        <v>4886</v>
      </c>
      <c r="E908" s="85" t="s">
        <v>4887</v>
      </c>
      <c r="F908" s="86">
        <v>520</v>
      </c>
      <c r="G908" s="86">
        <v>1</v>
      </c>
      <c r="H908" s="86">
        <v>520</v>
      </c>
      <c r="I908" s="86">
        <v>7839.5</v>
      </c>
      <c r="J908" s="85" t="s">
        <v>2935</v>
      </c>
      <c r="K908" s="85" t="s">
        <v>5801</v>
      </c>
      <c r="L908" s="85" t="s">
        <v>4135</v>
      </c>
      <c r="M908" s="85" t="s">
        <v>5815</v>
      </c>
    </row>
    <row r="909" ht="213.75" spans="1:13">
      <c r="A909" s="85" t="s">
        <v>5798</v>
      </c>
      <c r="B909" s="85" t="s">
        <v>5452</v>
      </c>
      <c r="C909" s="85" t="s">
        <v>5453</v>
      </c>
      <c r="D909" s="85" t="s">
        <v>3086</v>
      </c>
      <c r="E909" s="85" t="s">
        <v>4503</v>
      </c>
      <c r="F909" s="86">
        <v>185</v>
      </c>
      <c r="G909" s="86">
        <v>1</v>
      </c>
      <c r="H909" s="86">
        <v>185</v>
      </c>
      <c r="I909" s="86">
        <v>7839.5</v>
      </c>
      <c r="J909" s="85" t="s">
        <v>2935</v>
      </c>
      <c r="K909" s="85" t="s">
        <v>5801</v>
      </c>
      <c r="L909" s="85" t="s">
        <v>4135</v>
      </c>
      <c r="M909" s="85" t="s">
        <v>5816</v>
      </c>
    </row>
    <row r="910" ht="213.75" spans="1:13">
      <c r="A910" s="85" t="s">
        <v>5798</v>
      </c>
      <c r="B910" s="85" t="s">
        <v>5349</v>
      </c>
      <c r="C910" s="85" t="s">
        <v>5350</v>
      </c>
      <c r="D910" s="85" t="s">
        <v>3189</v>
      </c>
      <c r="E910" s="85" t="s">
        <v>5351</v>
      </c>
      <c r="F910" s="86">
        <v>19</v>
      </c>
      <c r="G910" s="86">
        <v>22</v>
      </c>
      <c r="H910" s="86">
        <v>418</v>
      </c>
      <c r="I910" s="86">
        <v>7839.5</v>
      </c>
      <c r="J910" s="85" t="s">
        <v>2935</v>
      </c>
      <c r="K910" s="85" t="s">
        <v>5801</v>
      </c>
      <c r="L910" s="85" t="s">
        <v>4135</v>
      </c>
      <c r="M910" s="85" t="s">
        <v>5817</v>
      </c>
    </row>
    <row r="911" ht="213.75" spans="1:13">
      <c r="A911" s="85" t="s">
        <v>5798</v>
      </c>
      <c r="B911" s="85" t="s">
        <v>5818</v>
      </c>
      <c r="C911" s="85" t="s">
        <v>5819</v>
      </c>
      <c r="D911" s="85" t="s">
        <v>5610</v>
      </c>
      <c r="E911" s="85" t="s">
        <v>5820</v>
      </c>
      <c r="F911" s="86">
        <v>15</v>
      </c>
      <c r="G911" s="86">
        <v>30</v>
      </c>
      <c r="H911" s="86">
        <v>450</v>
      </c>
      <c r="I911" s="86">
        <v>7839.5</v>
      </c>
      <c r="J911" s="85" t="s">
        <v>2935</v>
      </c>
      <c r="K911" s="85" t="s">
        <v>5801</v>
      </c>
      <c r="L911" s="85" t="s">
        <v>4135</v>
      </c>
      <c r="M911" s="85" t="s">
        <v>5821</v>
      </c>
    </row>
    <row r="912" ht="213.75" spans="1:13">
      <c r="A912" s="85" t="s">
        <v>5798</v>
      </c>
      <c r="B912" s="85" t="s">
        <v>5822</v>
      </c>
      <c r="C912" s="85" t="s">
        <v>5823</v>
      </c>
      <c r="D912" s="85" t="s">
        <v>4425</v>
      </c>
      <c r="E912" s="85" t="s">
        <v>5823</v>
      </c>
      <c r="F912" s="86">
        <v>140</v>
      </c>
      <c r="G912" s="86">
        <v>1</v>
      </c>
      <c r="H912" s="86">
        <v>140</v>
      </c>
      <c r="I912" s="86">
        <v>7839.5</v>
      </c>
      <c r="J912" s="85" t="s">
        <v>2935</v>
      </c>
      <c r="K912" s="85" t="s">
        <v>5801</v>
      </c>
      <c r="L912" s="85" t="s">
        <v>4135</v>
      </c>
      <c r="M912" s="85" t="s">
        <v>5824</v>
      </c>
    </row>
    <row r="913" ht="213.75" spans="1:13">
      <c r="A913" s="85" t="s">
        <v>5798</v>
      </c>
      <c r="B913" s="85" t="s">
        <v>3942</v>
      </c>
      <c r="C913" s="85" t="s">
        <v>3943</v>
      </c>
      <c r="D913" s="85" t="s">
        <v>3944</v>
      </c>
      <c r="E913" s="85" t="s">
        <v>3943</v>
      </c>
      <c r="F913" s="86">
        <v>54.9</v>
      </c>
      <c r="G913" s="86">
        <v>5</v>
      </c>
      <c r="H913" s="86">
        <v>274.5</v>
      </c>
      <c r="I913" s="86">
        <v>7839.5</v>
      </c>
      <c r="J913" s="85" t="s">
        <v>2935</v>
      </c>
      <c r="K913" s="85" t="s">
        <v>5801</v>
      </c>
      <c r="L913" s="85" t="s">
        <v>4135</v>
      </c>
      <c r="M913" s="85" t="s">
        <v>5825</v>
      </c>
    </row>
    <row r="914" ht="213.75" spans="1:13">
      <c r="A914" s="85" t="s">
        <v>5798</v>
      </c>
      <c r="B914" s="85" t="s">
        <v>5826</v>
      </c>
      <c r="C914" s="85" t="s">
        <v>5827</v>
      </c>
      <c r="D914" s="85" t="s">
        <v>3189</v>
      </c>
      <c r="E914" s="85" t="s">
        <v>4327</v>
      </c>
      <c r="F914" s="86">
        <v>59</v>
      </c>
      <c r="G914" s="86">
        <v>4</v>
      </c>
      <c r="H914" s="86">
        <v>236</v>
      </c>
      <c r="I914" s="86">
        <v>7839.5</v>
      </c>
      <c r="J914" s="85" t="s">
        <v>2935</v>
      </c>
      <c r="K914" s="85" t="s">
        <v>5801</v>
      </c>
      <c r="L914" s="85" t="s">
        <v>4135</v>
      </c>
      <c r="M914" s="85" t="s">
        <v>5828</v>
      </c>
    </row>
    <row r="915" ht="213.75" spans="1:13">
      <c r="A915" s="85" t="s">
        <v>5798</v>
      </c>
      <c r="B915" s="85" t="s">
        <v>5829</v>
      </c>
      <c r="C915" s="85" t="s">
        <v>5830</v>
      </c>
      <c r="D915" s="85" t="s">
        <v>3928</v>
      </c>
      <c r="E915" s="85" t="s">
        <v>5831</v>
      </c>
      <c r="F915" s="86">
        <v>35</v>
      </c>
      <c r="G915" s="86">
        <v>20</v>
      </c>
      <c r="H915" s="86">
        <v>700</v>
      </c>
      <c r="I915" s="86">
        <v>7839.5</v>
      </c>
      <c r="J915" s="85" t="s">
        <v>2935</v>
      </c>
      <c r="K915" s="85" t="s">
        <v>5801</v>
      </c>
      <c r="L915" s="85" t="s">
        <v>4135</v>
      </c>
      <c r="M915" s="85" t="s">
        <v>5832</v>
      </c>
    </row>
    <row r="916" ht="213.75" spans="1:13">
      <c r="A916" s="85" t="s">
        <v>5798</v>
      </c>
      <c r="B916" s="85" t="s">
        <v>4428</v>
      </c>
      <c r="C916" s="85" t="s">
        <v>4429</v>
      </c>
      <c r="D916" s="85" t="s">
        <v>3442</v>
      </c>
      <c r="E916" s="85" t="s">
        <v>4429</v>
      </c>
      <c r="F916" s="86">
        <v>70</v>
      </c>
      <c r="G916" s="86">
        <v>5</v>
      </c>
      <c r="H916" s="86">
        <v>350</v>
      </c>
      <c r="I916" s="86">
        <v>7839.5</v>
      </c>
      <c r="J916" s="85" t="s">
        <v>2935</v>
      </c>
      <c r="K916" s="85" t="s">
        <v>5801</v>
      </c>
      <c r="L916" s="85" t="s">
        <v>4135</v>
      </c>
      <c r="M916" s="85" t="s">
        <v>5833</v>
      </c>
    </row>
    <row r="917" ht="213.75" spans="1:13">
      <c r="A917" s="85" t="s">
        <v>5834</v>
      </c>
      <c r="B917" s="85" t="s">
        <v>5835</v>
      </c>
      <c r="C917" s="85" t="s">
        <v>5836</v>
      </c>
      <c r="D917" s="85" t="s">
        <v>4546</v>
      </c>
      <c r="E917" s="85" t="s">
        <v>5837</v>
      </c>
      <c r="F917" s="86">
        <v>361.8</v>
      </c>
      <c r="G917" s="86">
        <v>64</v>
      </c>
      <c r="H917" s="86">
        <v>23155.2</v>
      </c>
      <c r="I917" s="86">
        <v>42143.2</v>
      </c>
      <c r="J917" s="85" t="s">
        <v>4391</v>
      </c>
      <c r="K917" s="85" t="s">
        <v>5838</v>
      </c>
      <c r="L917" s="85" t="s">
        <v>4135</v>
      </c>
      <c r="M917" s="85" t="s">
        <v>5839</v>
      </c>
    </row>
    <row r="918" ht="213.75" spans="1:13">
      <c r="A918" s="85" t="s">
        <v>5834</v>
      </c>
      <c r="B918" s="85" t="s">
        <v>5840</v>
      </c>
      <c r="C918" s="85" t="s">
        <v>5841</v>
      </c>
      <c r="D918" s="85" t="s">
        <v>3014</v>
      </c>
      <c r="E918" s="85" t="s">
        <v>5842</v>
      </c>
      <c r="F918" s="86">
        <v>587</v>
      </c>
      <c r="G918" s="86">
        <v>4</v>
      </c>
      <c r="H918" s="86">
        <v>2348</v>
      </c>
      <c r="I918" s="86">
        <v>42143.2</v>
      </c>
      <c r="J918" s="85" t="s">
        <v>4391</v>
      </c>
      <c r="K918" s="85" t="s">
        <v>5838</v>
      </c>
      <c r="L918" s="85" t="s">
        <v>4135</v>
      </c>
      <c r="M918" s="85" t="s">
        <v>5843</v>
      </c>
    </row>
    <row r="919" ht="213.75" spans="1:13">
      <c r="A919" s="85" t="s">
        <v>5834</v>
      </c>
      <c r="B919" s="85" t="s">
        <v>5844</v>
      </c>
      <c r="C919" s="85" t="s">
        <v>5845</v>
      </c>
      <c r="D919" s="85" t="s">
        <v>5846</v>
      </c>
      <c r="E919" s="85" t="s">
        <v>2053</v>
      </c>
      <c r="F919" s="86">
        <v>208</v>
      </c>
      <c r="G919" s="86">
        <v>80</v>
      </c>
      <c r="H919" s="86">
        <v>16640</v>
      </c>
      <c r="I919" s="86">
        <v>42143.2</v>
      </c>
      <c r="J919" s="85" t="s">
        <v>4391</v>
      </c>
      <c r="K919" s="85" t="s">
        <v>5838</v>
      </c>
      <c r="L919" s="85" t="s">
        <v>4135</v>
      </c>
      <c r="M919" s="85" t="s">
        <v>5847</v>
      </c>
    </row>
    <row r="920" ht="213.75" spans="1:13">
      <c r="A920" s="85" t="s">
        <v>5848</v>
      </c>
      <c r="B920" s="85" t="s">
        <v>3745</v>
      </c>
      <c r="C920" s="85" t="s">
        <v>3746</v>
      </c>
      <c r="D920" s="85" t="s">
        <v>3747</v>
      </c>
      <c r="E920" s="85" t="s">
        <v>1827</v>
      </c>
      <c r="F920" s="86">
        <v>134</v>
      </c>
      <c r="G920" s="86">
        <v>280</v>
      </c>
      <c r="H920" s="86">
        <v>37520</v>
      </c>
      <c r="I920" s="86">
        <v>37520</v>
      </c>
      <c r="J920" s="85" t="s">
        <v>2932</v>
      </c>
      <c r="K920" s="85" t="s">
        <v>5849</v>
      </c>
      <c r="L920" s="85" t="s">
        <v>4135</v>
      </c>
      <c r="M920" s="85" t="s">
        <v>5850</v>
      </c>
    </row>
    <row r="921" ht="213.75" spans="1:13">
      <c r="A921" s="85" t="s">
        <v>5851</v>
      </c>
      <c r="B921" s="85" t="s">
        <v>3546</v>
      </c>
      <c r="C921" s="85" t="s">
        <v>3547</v>
      </c>
      <c r="D921" s="85" t="s">
        <v>3548</v>
      </c>
      <c r="E921" s="85" t="s">
        <v>1835</v>
      </c>
      <c r="F921" s="86">
        <v>365</v>
      </c>
      <c r="G921" s="86">
        <v>5</v>
      </c>
      <c r="H921" s="86">
        <v>1825</v>
      </c>
      <c r="I921" s="86">
        <v>45465</v>
      </c>
      <c r="J921" s="85" t="s">
        <v>2938</v>
      </c>
      <c r="K921" s="85" t="s">
        <v>5852</v>
      </c>
      <c r="L921" s="85" t="s">
        <v>4135</v>
      </c>
      <c r="M921" s="85" t="s">
        <v>5853</v>
      </c>
    </row>
    <row r="922" ht="213.75" spans="1:13">
      <c r="A922" s="85" t="s">
        <v>5851</v>
      </c>
      <c r="B922" s="85" t="s">
        <v>5854</v>
      </c>
      <c r="C922" s="85" t="s">
        <v>5855</v>
      </c>
      <c r="D922" s="85" t="s">
        <v>5240</v>
      </c>
      <c r="E922" s="85" t="s">
        <v>4081</v>
      </c>
      <c r="F922" s="86">
        <v>280</v>
      </c>
      <c r="G922" s="86">
        <v>5</v>
      </c>
      <c r="H922" s="86">
        <v>1400</v>
      </c>
      <c r="I922" s="86">
        <v>45465</v>
      </c>
      <c r="J922" s="85" t="s">
        <v>2938</v>
      </c>
      <c r="K922" s="85" t="s">
        <v>5852</v>
      </c>
      <c r="L922" s="85" t="s">
        <v>4135</v>
      </c>
      <c r="M922" s="85" t="s">
        <v>5856</v>
      </c>
    </row>
    <row r="923" ht="213.75" spans="1:13">
      <c r="A923" s="85" t="s">
        <v>5851</v>
      </c>
      <c r="B923" s="85" t="s">
        <v>5662</v>
      </c>
      <c r="C923" s="85" t="s">
        <v>5663</v>
      </c>
      <c r="D923" s="85" t="s">
        <v>4076</v>
      </c>
      <c r="E923" s="85" t="s">
        <v>1832</v>
      </c>
      <c r="F923" s="86">
        <v>128</v>
      </c>
      <c r="G923" s="86">
        <v>330</v>
      </c>
      <c r="H923" s="86">
        <v>42240</v>
      </c>
      <c r="I923" s="86">
        <v>45465</v>
      </c>
      <c r="J923" s="85" t="s">
        <v>2938</v>
      </c>
      <c r="K923" s="85" t="s">
        <v>5852</v>
      </c>
      <c r="L923" s="85" t="s">
        <v>4135</v>
      </c>
      <c r="M923" s="85" t="s">
        <v>5857</v>
      </c>
    </row>
    <row r="924" ht="213.75" spans="1:13">
      <c r="A924" s="85" t="s">
        <v>5858</v>
      </c>
      <c r="B924" s="85" t="s">
        <v>2901</v>
      </c>
      <c r="C924" s="85" t="s">
        <v>2902</v>
      </c>
      <c r="D924" s="85" t="s">
        <v>2903</v>
      </c>
      <c r="E924" s="85" t="s">
        <v>2902</v>
      </c>
      <c r="F924" s="86">
        <v>135316.1</v>
      </c>
      <c r="G924" s="86">
        <v>1</v>
      </c>
      <c r="H924" s="86">
        <v>135316.1</v>
      </c>
      <c r="I924" s="86">
        <v>135316.1</v>
      </c>
      <c r="J924" s="85" t="s">
        <v>5859</v>
      </c>
      <c r="K924" s="85" t="s">
        <v>5860</v>
      </c>
      <c r="L924" s="85" t="s">
        <v>4135</v>
      </c>
      <c r="M924" s="85" t="s">
        <v>5861</v>
      </c>
    </row>
    <row r="925" ht="213.75" spans="1:13">
      <c r="A925" s="85" t="s">
        <v>5862</v>
      </c>
      <c r="B925" s="85" t="s">
        <v>5863</v>
      </c>
      <c r="C925" s="85" t="s">
        <v>5864</v>
      </c>
      <c r="D925" s="85" t="s">
        <v>3054</v>
      </c>
      <c r="E925" s="85" t="s">
        <v>5864</v>
      </c>
      <c r="F925" s="86">
        <v>1.88</v>
      </c>
      <c r="G925" s="86">
        <v>200</v>
      </c>
      <c r="H925" s="86">
        <v>376</v>
      </c>
      <c r="I925" s="86">
        <v>23313.4</v>
      </c>
      <c r="J925" s="85" t="s">
        <v>2965</v>
      </c>
      <c r="K925" s="85" t="s">
        <v>5865</v>
      </c>
      <c r="L925" s="85" t="s">
        <v>4135</v>
      </c>
      <c r="M925" s="85" t="s">
        <v>5866</v>
      </c>
    </row>
    <row r="926" ht="213.75" spans="1:13">
      <c r="A926" s="85" t="s">
        <v>5862</v>
      </c>
      <c r="B926" s="85" t="s">
        <v>5867</v>
      </c>
      <c r="C926" s="85" t="s">
        <v>5868</v>
      </c>
      <c r="D926" s="85" t="s">
        <v>3394</v>
      </c>
      <c r="E926" s="85" t="s">
        <v>5868</v>
      </c>
      <c r="F926" s="86">
        <v>37.53</v>
      </c>
      <c r="G926" s="86">
        <v>5</v>
      </c>
      <c r="H926" s="86">
        <v>187.65</v>
      </c>
      <c r="I926" s="86">
        <v>23313.4</v>
      </c>
      <c r="J926" s="85" t="s">
        <v>2965</v>
      </c>
      <c r="K926" s="85" t="s">
        <v>5865</v>
      </c>
      <c r="L926" s="85" t="s">
        <v>4135</v>
      </c>
      <c r="M926" s="85" t="s">
        <v>5869</v>
      </c>
    </row>
    <row r="927" ht="213.75" spans="1:13">
      <c r="A927" s="85" t="s">
        <v>5870</v>
      </c>
      <c r="B927" s="85" t="s">
        <v>5211</v>
      </c>
      <c r="C927" s="85" t="s">
        <v>5212</v>
      </c>
      <c r="D927" s="85" t="s">
        <v>2992</v>
      </c>
      <c r="E927" s="85" t="s">
        <v>1815</v>
      </c>
      <c r="F927" s="86">
        <v>18.42</v>
      </c>
      <c r="G927" s="86">
        <v>400</v>
      </c>
      <c r="H927" s="86">
        <v>7368</v>
      </c>
      <c r="I927" s="86">
        <v>29704.12</v>
      </c>
      <c r="J927" s="85" t="s">
        <v>2958</v>
      </c>
      <c r="K927" s="85" t="s">
        <v>5865</v>
      </c>
      <c r="L927" s="85" t="s">
        <v>4135</v>
      </c>
      <c r="M927" s="85" t="s">
        <v>5871</v>
      </c>
    </row>
    <row r="928" ht="213.75" spans="1:13">
      <c r="A928" s="85" t="s">
        <v>5872</v>
      </c>
      <c r="B928" s="85" t="s">
        <v>5873</v>
      </c>
      <c r="C928" s="85" t="s">
        <v>5874</v>
      </c>
      <c r="D928" s="85" t="s">
        <v>3041</v>
      </c>
      <c r="E928" s="85" t="s">
        <v>3158</v>
      </c>
      <c r="F928" s="86">
        <v>105</v>
      </c>
      <c r="G928" s="86">
        <v>1</v>
      </c>
      <c r="H928" s="86">
        <v>105</v>
      </c>
      <c r="I928" s="86">
        <v>17450</v>
      </c>
      <c r="J928" s="85" t="s">
        <v>4370</v>
      </c>
      <c r="K928" s="85" t="s">
        <v>5865</v>
      </c>
      <c r="L928" s="85" t="s">
        <v>4135</v>
      </c>
      <c r="M928" s="85" t="s">
        <v>5875</v>
      </c>
    </row>
    <row r="929" ht="213.75" spans="1:13">
      <c r="A929" s="85" t="s">
        <v>5872</v>
      </c>
      <c r="B929" s="85" t="s">
        <v>5500</v>
      </c>
      <c r="C929" s="85" t="s">
        <v>5501</v>
      </c>
      <c r="D929" s="85" t="s">
        <v>3041</v>
      </c>
      <c r="E929" s="85" t="s">
        <v>3158</v>
      </c>
      <c r="F929" s="86">
        <v>19</v>
      </c>
      <c r="G929" s="86">
        <v>500</v>
      </c>
      <c r="H929" s="86">
        <v>9500</v>
      </c>
      <c r="I929" s="86">
        <v>17450</v>
      </c>
      <c r="J929" s="85" t="s">
        <v>4370</v>
      </c>
      <c r="K929" s="85" t="s">
        <v>5865</v>
      </c>
      <c r="L929" s="85" t="s">
        <v>4135</v>
      </c>
      <c r="M929" s="85" t="s">
        <v>5876</v>
      </c>
    </row>
    <row r="930" ht="213.75" spans="1:13">
      <c r="A930" s="85" t="s">
        <v>5862</v>
      </c>
      <c r="B930" s="85" t="s">
        <v>5877</v>
      </c>
      <c r="C930" s="85" t="s">
        <v>5878</v>
      </c>
      <c r="D930" s="85" t="s">
        <v>5879</v>
      </c>
      <c r="E930" s="85" t="s">
        <v>5878</v>
      </c>
      <c r="F930" s="86">
        <v>11</v>
      </c>
      <c r="G930" s="86">
        <v>50</v>
      </c>
      <c r="H930" s="86">
        <v>550</v>
      </c>
      <c r="I930" s="86">
        <v>23313.4</v>
      </c>
      <c r="J930" s="85" t="s">
        <v>2965</v>
      </c>
      <c r="K930" s="85" t="s">
        <v>5865</v>
      </c>
      <c r="L930" s="85" t="s">
        <v>4135</v>
      </c>
      <c r="M930" s="85" t="s">
        <v>5880</v>
      </c>
    </row>
    <row r="931" ht="213.75" spans="1:13">
      <c r="A931" s="85" t="s">
        <v>5870</v>
      </c>
      <c r="B931" s="85" t="s">
        <v>5590</v>
      </c>
      <c r="C931" s="85" t="s">
        <v>5591</v>
      </c>
      <c r="D931" s="85" t="s">
        <v>3201</v>
      </c>
      <c r="E931" s="85" t="s">
        <v>3209</v>
      </c>
      <c r="F931" s="86">
        <v>5.88</v>
      </c>
      <c r="G931" s="86">
        <v>200</v>
      </c>
      <c r="H931" s="86">
        <v>1176</v>
      </c>
      <c r="I931" s="86">
        <v>29704.12</v>
      </c>
      <c r="J931" s="85" t="s">
        <v>2958</v>
      </c>
      <c r="K931" s="85" t="s">
        <v>5865</v>
      </c>
      <c r="L931" s="85" t="s">
        <v>4135</v>
      </c>
      <c r="M931" s="85" t="s">
        <v>5881</v>
      </c>
    </row>
    <row r="932" ht="213.75" spans="1:13">
      <c r="A932" s="85" t="s">
        <v>5862</v>
      </c>
      <c r="B932" s="85" t="s">
        <v>5882</v>
      </c>
      <c r="C932" s="85" t="s">
        <v>5883</v>
      </c>
      <c r="D932" s="85" t="s">
        <v>3722</v>
      </c>
      <c r="E932" s="85" t="s">
        <v>5883</v>
      </c>
      <c r="F932" s="86">
        <v>6.55</v>
      </c>
      <c r="G932" s="86">
        <v>10</v>
      </c>
      <c r="H932" s="86">
        <v>65.5</v>
      </c>
      <c r="I932" s="86">
        <v>23313.4</v>
      </c>
      <c r="J932" s="85" t="s">
        <v>2965</v>
      </c>
      <c r="K932" s="85" t="s">
        <v>5865</v>
      </c>
      <c r="L932" s="85" t="s">
        <v>4135</v>
      </c>
      <c r="M932" s="85" t="s">
        <v>5884</v>
      </c>
    </row>
    <row r="933" ht="213.75" spans="1:13">
      <c r="A933" s="85" t="s">
        <v>5862</v>
      </c>
      <c r="B933" s="85" t="s">
        <v>5885</v>
      </c>
      <c r="C933" s="85" t="s">
        <v>5886</v>
      </c>
      <c r="D933" s="85" t="s">
        <v>5887</v>
      </c>
      <c r="E933" s="85" t="s">
        <v>5886</v>
      </c>
      <c r="F933" s="86">
        <v>68.31</v>
      </c>
      <c r="G933" s="86">
        <v>3</v>
      </c>
      <c r="H933" s="86">
        <v>204.93</v>
      </c>
      <c r="I933" s="86">
        <v>23313.4</v>
      </c>
      <c r="J933" s="85" t="s">
        <v>2965</v>
      </c>
      <c r="K933" s="85" t="s">
        <v>5865</v>
      </c>
      <c r="L933" s="85" t="s">
        <v>4135</v>
      </c>
      <c r="M933" s="85" t="s">
        <v>5888</v>
      </c>
    </row>
    <row r="934" ht="213.75" spans="1:13">
      <c r="A934" s="85" t="s">
        <v>5862</v>
      </c>
      <c r="B934" s="85" t="s">
        <v>5889</v>
      </c>
      <c r="C934" s="85" t="s">
        <v>5890</v>
      </c>
      <c r="D934" s="85" t="s">
        <v>5887</v>
      </c>
      <c r="E934" s="85" t="s">
        <v>5890</v>
      </c>
      <c r="F934" s="86">
        <v>68.31</v>
      </c>
      <c r="G934" s="86">
        <v>7</v>
      </c>
      <c r="H934" s="86">
        <v>478.17</v>
      </c>
      <c r="I934" s="86">
        <v>23313.4</v>
      </c>
      <c r="J934" s="85" t="s">
        <v>2965</v>
      </c>
      <c r="K934" s="85" t="s">
        <v>5865</v>
      </c>
      <c r="L934" s="85" t="s">
        <v>4135</v>
      </c>
      <c r="M934" s="85" t="s">
        <v>5891</v>
      </c>
    </row>
    <row r="935" ht="213.75" spans="1:13">
      <c r="A935" s="85" t="s">
        <v>5870</v>
      </c>
      <c r="B935" s="85" t="s">
        <v>5225</v>
      </c>
      <c r="C935" s="85" t="s">
        <v>5226</v>
      </c>
      <c r="D935" s="85" t="s">
        <v>3201</v>
      </c>
      <c r="E935" s="85" t="s">
        <v>5227</v>
      </c>
      <c r="F935" s="86">
        <v>20.7</v>
      </c>
      <c r="G935" s="86">
        <v>15</v>
      </c>
      <c r="H935" s="86">
        <v>310.5</v>
      </c>
      <c r="I935" s="86">
        <v>29704.12</v>
      </c>
      <c r="J935" s="85" t="s">
        <v>2958</v>
      </c>
      <c r="K935" s="85" t="s">
        <v>5865</v>
      </c>
      <c r="L935" s="85" t="s">
        <v>4135</v>
      </c>
      <c r="M935" s="85" t="s">
        <v>5892</v>
      </c>
    </row>
    <row r="936" ht="213.75" spans="1:13">
      <c r="A936" s="85" t="s">
        <v>5870</v>
      </c>
      <c r="B936" s="85" t="s">
        <v>3092</v>
      </c>
      <c r="C936" s="85" t="s">
        <v>3093</v>
      </c>
      <c r="D936" s="85" t="s">
        <v>2982</v>
      </c>
      <c r="E936" s="85" t="s">
        <v>3094</v>
      </c>
      <c r="F936" s="86">
        <v>13.23</v>
      </c>
      <c r="G936" s="86">
        <v>30</v>
      </c>
      <c r="H936" s="86">
        <v>396.9</v>
      </c>
      <c r="I936" s="86">
        <v>29704.12</v>
      </c>
      <c r="J936" s="85" t="s">
        <v>2958</v>
      </c>
      <c r="K936" s="85" t="s">
        <v>5865</v>
      </c>
      <c r="L936" s="85" t="s">
        <v>4135</v>
      </c>
      <c r="M936" s="85" t="s">
        <v>5893</v>
      </c>
    </row>
    <row r="937" ht="213.75" spans="1:13">
      <c r="A937" s="85" t="s">
        <v>5870</v>
      </c>
      <c r="B937" s="85" t="s">
        <v>5894</v>
      </c>
      <c r="C937" s="85" t="s">
        <v>5895</v>
      </c>
      <c r="D937" s="85" t="s">
        <v>3201</v>
      </c>
      <c r="E937" s="85" t="s">
        <v>3209</v>
      </c>
      <c r="F937" s="86">
        <v>5.88</v>
      </c>
      <c r="G937" s="86">
        <v>250</v>
      </c>
      <c r="H937" s="86">
        <v>1470</v>
      </c>
      <c r="I937" s="86">
        <v>29704.12</v>
      </c>
      <c r="J937" s="85" t="s">
        <v>2958</v>
      </c>
      <c r="K937" s="85" t="s">
        <v>5865</v>
      </c>
      <c r="L937" s="85" t="s">
        <v>4135</v>
      </c>
      <c r="M937" s="85" t="s">
        <v>5896</v>
      </c>
    </row>
    <row r="938" ht="213.75" spans="1:13">
      <c r="A938" s="85" t="s">
        <v>5870</v>
      </c>
      <c r="B938" s="85" t="s">
        <v>4759</v>
      </c>
      <c r="C938" s="85" t="s">
        <v>4760</v>
      </c>
      <c r="D938" s="85" t="s">
        <v>2982</v>
      </c>
      <c r="E938" s="85" t="s">
        <v>4761</v>
      </c>
      <c r="F938" s="86">
        <v>10.95</v>
      </c>
      <c r="G938" s="86">
        <v>30</v>
      </c>
      <c r="H938" s="86">
        <v>328.5</v>
      </c>
      <c r="I938" s="86">
        <v>29704.12</v>
      </c>
      <c r="J938" s="85" t="s">
        <v>2958</v>
      </c>
      <c r="K938" s="85" t="s">
        <v>5865</v>
      </c>
      <c r="L938" s="85" t="s">
        <v>4135</v>
      </c>
      <c r="M938" s="85" t="s">
        <v>5897</v>
      </c>
    </row>
    <row r="939" ht="213.75" spans="1:13">
      <c r="A939" s="85" t="s">
        <v>5862</v>
      </c>
      <c r="B939" s="85" t="s">
        <v>5539</v>
      </c>
      <c r="C939" s="85" t="s">
        <v>5540</v>
      </c>
      <c r="D939" s="85" t="s">
        <v>3617</v>
      </c>
      <c r="E939" s="85" t="s">
        <v>5540</v>
      </c>
      <c r="F939" s="86">
        <v>30.85</v>
      </c>
      <c r="G939" s="86">
        <v>50</v>
      </c>
      <c r="H939" s="86">
        <v>1542.5</v>
      </c>
      <c r="I939" s="86">
        <v>23313.4</v>
      </c>
      <c r="J939" s="85" t="s">
        <v>2965</v>
      </c>
      <c r="K939" s="85" t="s">
        <v>5865</v>
      </c>
      <c r="L939" s="85" t="s">
        <v>4135</v>
      </c>
      <c r="M939" s="85" t="s">
        <v>5898</v>
      </c>
    </row>
    <row r="940" ht="213.75" spans="1:13">
      <c r="A940" s="85" t="s">
        <v>5872</v>
      </c>
      <c r="B940" s="85" t="s">
        <v>5899</v>
      </c>
      <c r="C940" s="85" t="s">
        <v>5900</v>
      </c>
      <c r="D940" s="85" t="s">
        <v>3041</v>
      </c>
      <c r="E940" s="85" t="s">
        <v>3158</v>
      </c>
      <c r="F940" s="86">
        <v>120</v>
      </c>
      <c r="G940" s="86">
        <v>23</v>
      </c>
      <c r="H940" s="86">
        <v>2760</v>
      </c>
      <c r="I940" s="86">
        <v>17450</v>
      </c>
      <c r="J940" s="85" t="s">
        <v>4370</v>
      </c>
      <c r="K940" s="85" t="s">
        <v>5865</v>
      </c>
      <c r="L940" s="85" t="s">
        <v>4135</v>
      </c>
      <c r="M940" s="85" t="s">
        <v>5901</v>
      </c>
    </row>
    <row r="941" ht="213.75" spans="1:13">
      <c r="A941" s="85" t="s">
        <v>5870</v>
      </c>
      <c r="B941" s="85" t="s">
        <v>5465</v>
      </c>
      <c r="C941" s="85" t="s">
        <v>5466</v>
      </c>
      <c r="D941" s="85" t="s">
        <v>3201</v>
      </c>
      <c r="E941" s="85" t="s">
        <v>3662</v>
      </c>
      <c r="F941" s="86">
        <v>16</v>
      </c>
      <c r="G941" s="86">
        <v>200</v>
      </c>
      <c r="H941" s="86">
        <v>3200</v>
      </c>
      <c r="I941" s="86">
        <v>29704.12</v>
      </c>
      <c r="J941" s="85" t="s">
        <v>2958</v>
      </c>
      <c r="K941" s="85" t="s">
        <v>5865</v>
      </c>
      <c r="L941" s="85" t="s">
        <v>4135</v>
      </c>
      <c r="M941" s="85" t="s">
        <v>5902</v>
      </c>
    </row>
    <row r="942" ht="213.75" spans="1:13">
      <c r="A942" s="85" t="s">
        <v>5862</v>
      </c>
      <c r="B942" s="85" t="s">
        <v>5903</v>
      </c>
      <c r="C942" s="85" t="s">
        <v>5904</v>
      </c>
      <c r="D942" s="85" t="s">
        <v>4866</v>
      </c>
      <c r="E942" s="85" t="s">
        <v>5904</v>
      </c>
      <c r="F942" s="86">
        <v>89.18</v>
      </c>
      <c r="G942" s="86">
        <v>4</v>
      </c>
      <c r="H942" s="86">
        <v>356.72</v>
      </c>
      <c r="I942" s="86">
        <v>23313.4</v>
      </c>
      <c r="J942" s="85" t="s">
        <v>2965</v>
      </c>
      <c r="K942" s="85" t="s">
        <v>5865</v>
      </c>
      <c r="L942" s="85" t="s">
        <v>4135</v>
      </c>
      <c r="M942" s="85" t="s">
        <v>5905</v>
      </c>
    </row>
    <row r="943" ht="213.75" spans="1:13">
      <c r="A943" s="85" t="s">
        <v>5906</v>
      </c>
      <c r="B943" s="85" t="s">
        <v>5907</v>
      </c>
      <c r="C943" s="85" t="s">
        <v>5908</v>
      </c>
      <c r="D943" s="85" t="s">
        <v>5909</v>
      </c>
      <c r="E943" s="85" t="s">
        <v>5910</v>
      </c>
      <c r="F943" s="86">
        <v>312.42</v>
      </c>
      <c r="G943" s="86">
        <v>10</v>
      </c>
      <c r="H943" s="86">
        <v>3124.2</v>
      </c>
      <c r="I943" s="86">
        <v>9049.7</v>
      </c>
      <c r="J943" s="85" t="s">
        <v>2999</v>
      </c>
      <c r="K943" s="85" t="s">
        <v>5865</v>
      </c>
      <c r="L943" s="85" t="s">
        <v>4135</v>
      </c>
      <c r="M943" s="85" t="s">
        <v>5911</v>
      </c>
    </row>
    <row r="944" ht="213.75" spans="1:13">
      <c r="A944" s="85" t="s">
        <v>5870</v>
      </c>
      <c r="B944" s="85" t="s">
        <v>3500</v>
      </c>
      <c r="C944" s="85" t="s">
        <v>3501</v>
      </c>
      <c r="D944" s="85" t="s">
        <v>2992</v>
      </c>
      <c r="E944" s="85" t="s">
        <v>1815</v>
      </c>
      <c r="F944" s="86">
        <v>17.7</v>
      </c>
      <c r="G944" s="86">
        <v>160</v>
      </c>
      <c r="H944" s="86">
        <v>2832</v>
      </c>
      <c r="I944" s="86">
        <v>29704.12</v>
      </c>
      <c r="J944" s="85" t="s">
        <v>2958</v>
      </c>
      <c r="K944" s="85" t="s">
        <v>5865</v>
      </c>
      <c r="L944" s="85" t="s">
        <v>4135</v>
      </c>
      <c r="M944" s="85" t="s">
        <v>5912</v>
      </c>
    </row>
    <row r="945" ht="213.75" spans="1:13">
      <c r="A945" s="85" t="s">
        <v>5862</v>
      </c>
      <c r="B945" s="85" t="s">
        <v>4481</v>
      </c>
      <c r="C945" s="85" t="s">
        <v>4482</v>
      </c>
      <c r="D945" s="85" t="s">
        <v>2969</v>
      </c>
      <c r="E945" s="85" t="s">
        <v>4482</v>
      </c>
      <c r="F945" s="86">
        <v>3.2</v>
      </c>
      <c r="G945" s="86">
        <v>20</v>
      </c>
      <c r="H945" s="86">
        <v>64</v>
      </c>
      <c r="I945" s="86">
        <v>23313.4</v>
      </c>
      <c r="J945" s="85" t="s">
        <v>2965</v>
      </c>
      <c r="K945" s="85" t="s">
        <v>5865</v>
      </c>
      <c r="L945" s="85" t="s">
        <v>4135</v>
      </c>
      <c r="M945" s="85" t="s">
        <v>5913</v>
      </c>
    </row>
    <row r="946" ht="213.75" spans="1:13">
      <c r="A946" s="85" t="s">
        <v>5862</v>
      </c>
      <c r="B946" s="85" t="s">
        <v>5914</v>
      </c>
      <c r="C946" s="85" t="s">
        <v>5915</v>
      </c>
      <c r="D946" s="85" t="s">
        <v>2982</v>
      </c>
      <c r="E946" s="85" t="s">
        <v>5915</v>
      </c>
      <c r="F946" s="86">
        <v>16.9</v>
      </c>
      <c r="G946" s="86">
        <v>20</v>
      </c>
      <c r="H946" s="86">
        <v>338</v>
      </c>
      <c r="I946" s="86">
        <v>23313.4</v>
      </c>
      <c r="J946" s="85" t="s">
        <v>2965</v>
      </c>
      <c r="K946" s="85" t="s">
        <v>5865</v>
      </c>
      <c r="L946" s="85" t="s">
        <v>4135</v>
      </c>
      <c r="M946" s="85" t="s">
        <v>5916</v>
      </c>
    </row>
    <row r="947" ht="213.75" spans="1:13">
      <c r="A947" s="85" t="s">
        <v>5862</v>
      </c>
      <c r="B947" s="85" t="s">
        <v>5917</v>
      </c>
      <c r="C947" s="85" t="s">
        <v>5918</v>
      </c>
      <c r="D947" s="85" t="s">
        <v>3463</v>
      </c>
      <c r="E947" s="85" t="s">
        <v>5918</v>
      </c>
      <c r="F947" s="86">
        <v>34.99</v>
      </c>
      <c r="G947" s="86">
        <v>4</v>
      </c>
      <c r="H947" s="86">
        <v>139.96</v>
      </c>
      <c r="I947" s="86">
        <v>23313.4</v>
      </c>
      <c r="J947" s="85" t="s">
        <v>2965</v>
      </c>
      <c r="K947" s="85" t="s">
        <v>5865</v>
      </c>
      <c r="L947" s="85" t="s">
        <v>4135</v>
      </c>
      <c r="M947" s="85" t="s">
        <v>5919</v>
      </c>
    </row>
    <row r="948" ht="213.75" spans="1:13">
      <c r="A948" s="85" t="s">
        <v>5870</v>
      </c>
      <c r="B948" s="85" t="s">
        <v>3063</v>
      </c>
      <c r="C948" s="85" t="s">
        <v>3064</v>
      </c>
      <c r="D948" s="85" t="s">
        <v>2992</v>
      </c>
      <c r="E948" s="85" t="s">
        <v>1815</v>
      </c>
      <c r="F948" s="86">
        <v>5.3</v>
      </c>
      <c r="G948" s="86">
        <v>800</v>
      </c>
      <c r="H948" s="86">
        <v>4240</v>
      </c>
      <c r="I948" s="86">
        <v>29704.12</v>
      </c>
      <c r="J948" s="85" t="s">
        <v>2958</v>
      </c>
      <c r="K948" s="85" t="s">
        <v>5865</v>
      </c>
      <c r="L948" s="85" t="s">
        <v>4135</v>
      </c>
      <c r="M948" s="85" t="s">
        <v>5920</v>
      </c>
    </row>
    <row r="949" ht="213.75" spans="1:13">
      <c r="A949" s="85" t="s">
        <v>5862</v>
      </c>
      <c r="B949" s="85" t="s">
        <v>5921</v>
      </c>
      <c r="C949" s="85" t="s">
        <v>5922</v>
      </c>
      <c r="D949" s="85" t="s">
        <v>2969</v>
      </c>
      <c r="E949" s="85" t="s">
        <v>5922</v>
      </c>
      <c r="F949" s="86">
        <v>3.17</v>
      </c>
      <c r="G949" s="86">
        <v>20</v>
      </c>
      <c r="H949" s="86">
        <v>63.4</v>
      </c>
      <c r="I949" s="86">
        <v>23313.4</v>
      </c>
      <c r="J949" s="85" t="s">
        <v>2965</v>
      </c>
      <c r="K949" s="85" t="s">
        <v>5865</v>
      </c>
      <c r="L949" s="85" t="s">
        <v>4135</v>
      </c>
      <c r="M949" s="85" t="s">
        <v>5923</v>
      </c>
    </row>
    <row r="950" ht="213.75" spans="1:13">
      <c r="A950" s="85" t="s">
        <v>5862</v>
      </c>
      <c r="B950" s="85" t="s">
        <v>3739</v>
      </c>
      <c r="C950" s="85" t="s">
        <v>3740</v>
      </c>
      <c r="D950" s="85" t="s">
        <v>2977</v>
      </c>
      <c r="E950" s="85" t="s">
        <v>3740</v>
      </c>
      <c r="F950" s="86">
        <v>5.46</v>
      </c>
      <c r="G950" s="86">
        <v>250</v>
      </c>
      <c r="H950" s="86">
        <v>1365</v>
      </c>
      <c r="I950" s="86">
        <v>23313.4</v>
      </c>
      <c r="J950" s="85" t="s">
        <v>2965</v>
      </c>
      <c r="K950" s="85" t="s">
        <v>5865</v>
      </c>
      <c r="L950" s="85" t="s">
        <v>4135</v>
      </c>
      <c r="M950" s="85" t="s">
        <v>5924</v>
      </c>
    </row>
    <row r="951" ht="242.25" spans="1:13">
      <c r="A951" s="85" t="s">
        <v>5870</v>
      </c>
      <c r="B951" s="85" t="s">
        <v>2985</v>
      </c>
      <c r="C951" s="85" t="s">
        <v>2986</v>
      </c>
      <c r="D951" s="85" t="s">
        <v>2987</v>
      </c>
      <c r="E951" s="85" t="s">
        <v>2988</v>
      </c>
      <c r="F951" s="86">
        <v>3.95</v>
      </c>
      <c r="G951" s="86">
        <v>80</v>
      </c>
      <c r="H951" s="86">
        <v>316</v>
      </c>
      <c r="I951" s="86">
        <v>29704.12</v>
      </c>
      <c r="J951" s="85" t="s">
        <v>2958</v>
      </c>
      <c r="K951" s="85" t="s">
        <v>5865</v>
      </c>
      <c r="L951" s="85" t="s">
        <v>4135</v>
      </c>
      <c r="M951" s="85" t="s">
        <v>5925</v>
      </c>
    </row>
    <row r="952" ht="213.75" spans="1:13">
      <c r="A952" s="85" t="s">
        <v>5906</v>
      </c>
      <c r="B952" s="85" t="s">
        <v>5926</v>
      </c>
      <c r="C952" s="85" t="s">
        <v>5927</v>
      </c>
      <c r="D952" s="85" t="s">
        <v>5909</v>
      </c>
      <c r="E952" s="85" t="s">
        <v>5910</v>
      </c>
      <c r="F952" s="86">
        <v>98</v>
      </c>
      <c r="G952" s="86">
        <v>10</v>
      </c>
      <c r="H952" s="86">
        <v>980</v>
      </c>
      <c r="I952" s="86">
        <v>9049.7</v>
      </c>
      <c r="J952" s="85" t="s">
        <v>2999</v>
      </c>
      <c r="K952" s="85" t="s">
        <v>5865</v>
      </c>
      <c r="L952" s="85" t="s">
        <v>4135</v>
      </c>
      <c r="M952" s="85" t="s">
        <v>5928</v>
      </c>
    </row>
    <row r="953" ht="213.75" spans="1:13">
      <c r="A953" s="85" t="s">
        <v>5870</v>
      </c>
      <c r="B953" s="85" t="s">
        <v>3215</v>
      </c>
      <c r="C953" s="85" t="s">
        <v>3216</v>
      </c>
      <c r="D953" s="85" t="s">
        <v>3201</v>
      </c>
      <c r="E953" s="85" t="s">
        <v>3217</v>
      </c>
      <c r="F953" s="86">
        <v>37</v>
      </c>
      <c r="G953" s="86">
        <v>20</v>
      </c>
      <c r="H953" s="86">
        <v>740</v>
      </c>
      <c r="I953" s="86">
        <v>29704.12</v>
      </c>
      <c r="J953" s="85" t="s">
        <v>2958</v>
      </c>
      <c r="K953" s="85" t="s">
        <v>5865</v>
      </c>
      <c r="L953" s="85" t="s">
        <v>4135</v>
      </c>
      <c r="M953" s="85" t="s">
        <v>5929</v>
      </c>
    </row>
    <row r="954" ht="213.75" spans="1:13">
      <c r="A954" s="85" t="s">
        <v>5862</v>
      </c>
      <c r="B954" s="85" t="s">
        <v>5930</v>
      </c>
      <c r="C954" s="85" t="s">
        <v>5931</v>
      </c>
      <c r="D954" s="85" t="s">
        <v>3463</v>
      </c>
      <c r="E954" s="85" t="s">
        <v>5931</v>
      </c>
      <c r="F954" s="86">
        <v>34.99</v>
      </c>
      <c r="G954" s="86">
        <v>4</v>
      </c>
      <c r="H954" s="86">
        <v>139.96</v>
      </c>
      <c r="I954" s="86">
        <v>23313.4</v>
      </c>
      <c r="J954" s="85" t="s">
        <v>2965</v>
      </c>
      <c r="K954" s="85" t="s">
        <v>5865</v>
      </c>
      <c r="L954" s="85" t="s">
        <v>4135</v>
      </c>
      <c r="M954" s="85" t="s">
        <v>5932</v>
      </c>
    </row>
    <row r="955" ht="213.75" spans="1:13">
      <c r="A955" s="85" t="s">
        <v>5862</v>
      </c>
      <c r="B955" s="85" t="s">
        <v>5933</v>
      </c>
      <c r="C955" s="85" t="s">
        <v>5934</v>
      </c>
      <c r="D955" s="85" t="s">
        <v>5066</v>
      </c>
      <c r="E955" s="85" t="s">
        <v>5934</v>
      </c>
      <c r="F955" s="86">
        <v>124.2</v>
      </c>
      <c r="G955" s="86">
        <v>5</v>
      </c>
      <c r="H955" s="86">
        <v>621</v>
      </c>
      <c r="I955" s="86">
        <v>23313.4</v>
      </c>
      <c r="J955" s="85" t="s">
        <v>2965</v>
      </c>
      <c r="K955" s="85" t="s">
        <v>5865</v>
      </c>
      <c r="L955" s="85" t="s">
        <v>4135</v>
      </c>
      <c r="M955" s="85" t="s">
        <v>5935</v>
      </c>
    </row>
    <row r="956" ht="213.75" spans="1:13">
      <c r="A956" s="85" t="s">
        <v>5862</v>
      </c>
      <c r="B956" s="85" t="s">
        <v>5936</v>
      </c>
      <c r="C956" s="85" t="s">
        <v>5937</v>
      </c>
      <c r="D956" s="85" t="s">
        <v>2964</v>
      </c>
      <c r="E956" s="85" t="s">
        <v>5937</v>
      </c>
      <c r="F956" s="86">
        <v>52.78</v>
      </c>
      <c r="G956" s="86">
        <v>5</v>
      </c>
      <c r="H956" s="86">
        <v>263.9</v>
      </c>
      <c r="I956" s="86">
        <v>23313.4</v>
      </c>
      <c r="J956" s="85" t="s">
        <v>2965</v>
      </c>
      <c r="K956" s="85" t="s">
        <v>5865</v>
      </c>
      <c r="L956" s="85" t="s">
        <v>4135</v>
      </c>
      <c r="M956" s="85" t="s">
        <v>5938</v>
      </c>
    </row>
    <row r="957" ht="213.75" spans="1:13">
      <c r="A957" s="85" t="s">
        <v>5862</v>
      </c>
      <c r="B957" s="85" t="s">
        <v>5939</v>
      </c>
      <c r="C957" s="85" t="s">
        <v>5940</v>
      </c>
      <c r="D957" s="85" t="s">
        <v>5941</v>
      </c>
      <c r="E957" s="85" t="s">
        <v>5940</v>
      </c>
      <c r="F957" s="86">
        <v>47.34</v>
      </c>
      <c r="G957" s="86">
        <v>5</v>
      </c>
      <c r="H957" s="86">
        <v>236.7</v>
      </c>
      <c r="I957" s="86">
        <v>23313.4</v>
      </c>
      <c r="J957" s="85" t="s">
        <v>2965</v>
      </c>
      <c r="K957" s="85" t="s">
        <v>5865</v>
      </c>
      <c r="L957" s="85" t="s">
        <v>4135</v>
      </c>
      <c r="M957" s="85" t="s">
        <v>5942</v>
      </c>
    </row>
    <row r="958" ht="213.75" spans="1:13">
      <c r="A958" s="85" t="s">
        <v>5870</v>
      </c>
      <c r="B958" s="85" t="s">
        <v>5943</v>
      </c>
      <c r="C958" s="85" t="s">
        <v>5944</v>
      </c>
      <c r="D958" s="85" t="s">
        <v>3241</v>
      </c>
      <c r="E958" s="85" t="s">
        <v>3242</v>
      </c>
      <c r="F958" s="86">
        <v>7.2</v>
      </c>
      <c r="G958" s="86">
        <v>10</v>
      </c>
      <c r="H958" s="86">
        <v>72</v>
      </c>
      <c r="I958" s="86">
        <v>29704.12</v>
      </c>
      <c r="J958" s="85" t="s">
        <v>2958</v>
      </c>
      <c r="K958" s="85" t="s">
        <v>5865</v>
      </c>
      <c r="L958" s="85" t="s">
        <v>4135</v>
      </c>
      <c r="M958" s="85" t="s">
        <v>5945</v>
      </c>
    </row>
    <row r="959" ht="213.75" spans="1:13">
      <c r="A959" s="85" t="s">
        <v>5862</v>
      </c>
      <c r="B959" s="85" t="s">
        <v>4028</v>
      </c>
      <c r="C959" s="85" t="s">
        <v>4029</v>
      </c>
      <c r="D959" s="85" t="s">
        <v>4030</v>
      </c>
      <c r="E959" s="85" t="s">
        <v>4029</v>
      </c>
      <c r="F959" s="86">
        <v>2.11</v>
      </c>
      <c r="G959" s="86">
        <v>20</v>
      </c>
      <c r="H959" s="86">
        <v>42.2</v>
      </c>
      <c r="I959" s="86">
        <v>23313.4</v>
      </c>
      <c r="J959" s="85" t="s">
        <v>2965</v>
      </c>
      <c r="K959" s="85" t="s">
        <v>5865</v>
      </c>
      <c r="L959" s="85" t="s">
        <v>4135</v>
      </c>
      <c r="M959" s="85" t="s">
        <v>5946</v>
      </c>
    </row>
    <row r="960" ht="213.75" spans="1:13">
      <c r="A960" s="85" t="s">
        <v>5862</v>
      </c>
      <c r="B960" s="85" t="s">
        <v>3487</v>
      </c>
      <c r="C960" s="85" t="s">
        <v>3488</v>
      </c>
      <c r="D960" s="85" t="s">
        <v>3082</v>
      </c>
      <c r="E960" s="85" t="s">
        <v>3488</v>
      </c>
      <c r="F960" s="86">
        <v>59.06</v>
      </c>
      <c r="G960" s="86">
        <v>60</v>
      </c>
      <c r="H960" s="86">
        <v>3543.6</v>
      </c>
      <c r="I960" s="86">
        <v>23313.4</v>
      </c>
      <c r="J960" s="85" t="s">
        <v>2965</v>
      </c>
      <c r="K960" s="85" t="s">
        <v>5865</v>
      </c>
      <c r="L960" s="85" t="s">
        <v>4135</v>
      </c>
      <c r="M960" s="85" t="s">
        <v>5947</v>
      </c>
    </row>
    <row r="961" ht="213.75" spans="1:13">
      <c r="A961" s="85" t="s">
        <v>5906</v>
      </c>
      <c r="B961" s="85" t="s">
        <v>4537</v>
      </c>
      <c r="C961" s="85" t="s">
        <v>4538</v>
      </c>
      <c r="D961" s="85" t="s">
        <v>2997</v>
      </c>
      <c r="E961" s="85" t="s">
        <v>2998</v>
      </c>
      <c r="F961" s="86">
        <v>18</v>
      </c>
      <c r="G961" s="86">
        <v>200</v>
      </c>
      <c r="H961" s="86">
        <v>3600</v>
      </c>
      <c r="I961" s="86">
        <v>9049.7</v>
      </c>
      <c r="J961" s="85" t="s">
        <v>2999</v>
      </c>
      <c r="K961" s="85" t="s">
        <v>5865</v>
      </c>
      <c r="L961" s="85" t="s">
        <v>4135</v>
      </c>
      <c r="M961" s="85" t="s">
        <v>5948</v>
      </c>
    </row>
    <row r="962" ht="213.75" spans="1:13">
      <c r="A962" s="85" t="s">
        <v>5870</v>
      </c>
      <c r="B962" s="85" t="s">
        <v>3643</v>
      </c>
      <c r="C962" s="85" t="s">
        <v>3644</v>
      </c>
      <c r="D962" s="85" t="s">
        <v>2982</v>
      </c>
      <c r="E962" s="85" t="s">
        <v>3645</v>
      </c>
      <c r="F962" s="86">
        <v>8</v>
      </c>
      <c r="G962" s="86">
        <v>100</v>
      </c>
      <c r="H962" s="86">
        <v>800</v>
      </c>
      <c r="I962" s="86">
        <v>29704.12</v>
      </c>
      <c r="J962" s="85" t="s">
        <v>2958</v>
      </c>
      <c r="K962" s="85" t="s">
        <v>5865</v>
      </c>
      <c r="L962" s="85" t="s">
        <v>4135</v>
      </c>
      <c r="M962" s="85" t="s">
        <v>5949</v>
      </c>
    </row>
    <row r="963" ht="213.75" spans="1:13">
      <c r="A963" s="85" t="s">
        <v>5870</v>
      </c>
      <c r="B963" s="85" t="s">
        <v>5950</v>
      </c>
      <c r="C963" s="85" t="s">
        <v>5951</v>
      </c>
      <c r="D963" s="85" t="s">
        <v>3241</v>
      </c>
      <c r="E963" s="85" t="s">
        <v>5952</v>
      </c>
      <c r="F963" s="86">
        <v>36</v>
      </c>
      <c r="G963" s="86">
        <v>2</v>
      </c>
      <c r="H963" s="86">
        <v>72</v>
      </c>
      <c r="I963" s="86">
        <v>29704.12</v>
      </c>
      <c r="J963" s="85" t="s">
        <v>2958</v>
      </c>
      <c r="K963" s="85" t="s">
        <v>5865</v>
      </c>
      <c r="L963" s="85" t="s">
        <v>4135</v>
      </c>
      <c r="M963" s="85" t="s">
        <v>5953</v>
      </c>
    </row>
    <row r="964" ht="213.75" spans="1:13">
      <c r="A964" s="85" t="s">
        <v>5870</v>
      </c>
      <c r="B964" s="85" t="s">
        <v>5954</v>
      </c>
      <c r="C964" s="85" t="s">
        <v>5955</v>
      </c>
      <c r="D964" s="85" t="s">
        <v>3241</v>
      </c>
      <c r="E964" s="85" t="s">
        <v>5956</v>
      </c>
      <c r="F964" s="86">
        <v>46.8</v>
      </c>
      <c r="G964" s="86">
        <v>10</v>
      </c>
      <c r="H964" s="86">
        <v>468</v>
      </c>
      <c r="I964" s="86">
        <v>29704.12</v>
      </c>
      <c r="J964" s="85" t="s">
        <v>2958</v>
      </c>
      <c r="K964" s="85" t="s">
        <v>5865</v>
      </c>
      <c r="L964" s="85" t="s">
        <v>4135</v>
      </c>
      <c r="M964" s="85" t="s">
        <v>5957</v>
      </c>
    </row>
    <row r="965" ht="213.75" spans="1:13">
      <c r="A965" s="85" t="s">
        <v>5862</v>
      </c>
      <c r="B965" s="85" t="s">
        <v>5958</v>
      </c>
      <c r="C965" s="85" t="s">
        <v>5959</v>
      </c>
      <c r="D965" s="85" t="s">
        <v>3463</v>
      </c>
      <c r="E965" s="85" t="s">
        <v>5959</v>
      </c>
      <c r="F965" s="86">
        <v>34.99</v>
      </c>
      <c r="G965" s="86">
        <v>4</v>
      </c>
      <c r="H965" s="86">
        <v>139.96</v>
      </c>
      <c r="I965" s="86">
        <v>23313.4</v>
      </c>
      <c r="J965" s="85" t="s">
        <v>2965</v>
      </c>
      <c r="K965" s="85" t="s">
        <v>5865</v>
      </c>
      <c r="L965" s="85" t="s">
        <v>4135</v>
      </c>
      <c r="M965" s="85" t="s">
        <v>5960</v>
      </c>
    </row>
    <row r="966" ht="213.75" spans="1:13">
      <c r="A966" s="85" t="s">
        <v>5862</v>
      </c>
      <c r="B966" s="85" t="s">
        <v>5961</v>
      </c>
      <c r="C966" s="85" t="s">
        <v>5962</v>
      </c>
      <c r="D966" s="85" t="s">
        <v>5963</v>
      </c>
      <c r="E966" s="85" t="s">
        <v>5962</v>
      </c>
      <c r="F966" s="86">
        <v>343.98</v>
      </c>
      <c r="G966" s="86">
        <v>1</v>
      </c>
      <c r="H966" s="86">
        <v>343.98</v>
      </c>
      <c r="I966" s="86">
        <v>23313.4</v>
      </c>
      <c r="J966" s="85" t="s">
        <v>2965</v>
      </c>
      <c r="K966" s="85" t="s">
        <v>5865</v>
      </c>
      <c r="L966" s="85" t="s">
        <v>4135</v>
      </c>
      <c r="M966" s="85" t="s">
        <v>5964</v>
      </c>
    </row>
    <row r="967" ht="213.75" spans="1:13">
      <c r="A967" s="85" t="s">
        <v>5862</v>
      </c>
      <c r="B967" s="85" t="s">
        <v>5585</v>
      </c>
      <c r="C967" s="85" t="s">
        <v>5586</v>
      </c>
      <c r="D967" s="85" t="s">
        <v>3617</v>
      </c>
      <c r="E967" s="85" t="s">
        <v>5586</v>
      </c>
      <c r="F967" s="86">
        <v>32</v>
      </c>
      <c r="G967" s="86">
        <v>50</v>
      </c>
      <c r="H967" s="86">
        <v>1600</v>
      </c>
      <c r="I967" s="86">
        <v>23313.4</v>
      </c>
      <c r="J967" s="85" t="s">
        <v>2965</v>
      </c>
      <c r="K967" s="85" t="s">
        <v>5865</v>
      </c>
      <c r="L967" s="85" t="s">
        <v>4135</v>
      </c>
      <c r="M967" s="85" t="s">
        <v>5965</v>
      </c>
    </row>
    <row r="968" ht="213.75" spans="1:13">
      <c r="A968" s="85" t="s">
        <v>5862</v>
      </c>
      <c r="B968" s="85" t="s">
        <v>5966</v>
      </c>
      <c r="C968" s="85" t="s">
        <v>5967</v>
      </c>
      <c r="D968" s="85" t="s">
        <v>3054</v>
      </c>
      <c r="E968" s="85" t="s">
        <v>5967</v>
      </c>
      <c r="F968" s="86">
        <v>44.36</v>
      </c>
      <c r="G968" s="86">
        <v>5</v>
      </c>
      <c r="H968" s="86">
        <v>221.8</v>
      </c>
      <c r="I968" s="86">
        <v>23313.4</v>
      </c>
      <c r="J968" s="85" t="s">
        <v>2965</v>
      </c>
      <c r="K968" s="85" t="s">
        <v>5865</v>
      </c>
      <c r="L968" s="85" t="s">
        <v>4135</v>
      </c>
      <c r="M968" s="85" t="s">
        <v>5968</v>
      </c>
    </row>
    <row r="969" ht="213.75" spans="1:13">
      <c r="A969" s="85" t="s">
        <v>5862</v>
      </c>
      <c r="B969" s="85" t="s">
        <v>4781</v>
      </c>
      <c r="C969" s="85" t="s">
        <v>4782</v>
      </c>
      <c r="D969" s="85" t="s">
        <v>3153</v>
      </c>
      <c r="E969" s="85" t="s">
        <v>4782</v>
      </c>
      <c r="F969" s="86">
        <v>49.01</v>
      </c>
      <c r="G969" s="86">
        <v>2</v>
      </c>
      <c r="H969" s="86">
        <v>98.02</v>
      </c>
      <c r="I969" s="86">
        <v>23313.4</v>
      </c>
      <c r="J969" s="85" t="s">
        <v>2965</v>
      </c>
      <c r="K969" s="85" t="s">
        <v>5865</v>
      </c>
      <c r="L969" s="85" t="s">
        <v>4135</v>
      </c>
      <c r="M969" s="85" t="s">
        <v>5969</v>
      </c>
    </row>
    <row r="970" ht="213.75" spans="1:13">
      <c r="A970" s="85" t="s">
        <v>5870</v>
      </c>
      <c r="B970" s="85" t="s">
        <v>4959</v>
      </c>
      <c r="C970" s="85" t="s">
        <v>4960</v>
      </c>
      <c r="D970" s="85" t="s">
        <v>4596</v>
      </c>
      <c r="E970" s="85" t="s">
        <v>4961</v>
      </c>
      <c r="F970" s="86">
        <v>36.71</v>
      </c>
      <c r="G970" s="86">
        <v>10</v>
      </c>
      <c r="H970" s="86">
        <v>367.1</v>
      </c>
      <c r="I970" s="86">
        <v>29704.12</v>
      </c>
      <c r="J970" s="85" t="s">
        <v>2958</v>
      </c>
      <c r="K970" s="85" t="s">
        <v>5865</v>
      </c>
      <c r="L970" s="85" t="s">
        <v>4135</v>
      </c>
      <c r="M970" s="85" t="s">
        <v>5970</v>
      </c>
    </row>
    <row r="971" ht="213.75" spans="1:13">
      <c r="A971" s="85" t="s">
        <v>5862</v>
      </c>
      <c r="B971" s="85" t="s">
        <v>5971</v>
      </c>
      <c r="C971" s="85" t="s">
        <v>5972</v>
      </c>
      <c r="D971" s="85" t="s">
        <v>5973</v>
      </c>
      <c r="E971" s="85" t="s">
        <v>5972</v>
      </c>
      <c r="F971" s="86">
        <v>6.07</v>
      </c>
      <c r="G971" s="86">
        <v>10</v>
      </c>
      <c r="H971" s="86">
        <v>60.7</v>
      </c>
      <c r="I971" s="86">
        <v>23313.4</v>
      </c>
      <c r="J971" s="85" t="s">
        <v>2965</v>
      </c>
      <c r="K971" s="85" t="s">
        <v>5865</v>
      </c>
      <c r="L971" s="85" t="s">
        <v>4135</v>
      </c>
      <c r="M971" s="85" t="s">
        <v>5974</v>
      </c>
    </row>
    <row r="972" ht="213.75" spans="1:13">
      <c r="A972" s="85" t="s">
        <v>5862</v>
      </c>
      <c r="B972" s="85" t="s">
        <v>3392</v>
      </c>
      <c r="C972" s="85" t="s">
        <v>3393</v>
      </c>
      <c r="D972" s="85" t="s">
        <v>3394</v>
      </c>
      <c r="E972" s="85" t="s">
        <v>3393</v>
      </c>
      <c r="F972" s="86">
        <v>7.36</v>
      </c>
      <c r="G972" s="86">
        <v>10</v>
      </c>
      <c r="H972" s="86">
        <v>73.6</v>
      </c>
      <c r="I972" s="86">
        <v>23313.4</v>
      </c>
      <c r="J972" s="85" t="s">
        <v>2965</v>
      </c>
      <c r="K972" s="85" t="s">
        <v>5865</v>
      </c>
      <c r="L972" s="85" t="s">
        <v>4135</v>
      </c>
      <c r="M972" s="85" t="s">
        <v>5975</v>
      </c>
    </row>
    <row r="973" ht="213.75" spans="1:13">
      <c r="A973" s="85" t="s">
        <v>5862</v>
      </c>
      <c r="B973" s="85" t="s">
        <v>5976</v>
      </c>
      <c r="C973" s="85" t="s">
        <v>5977</v>
      </c>
      <c r="D973" s="85" t="s">
        <v>5978</v>
      </c>
      <c r="E973" s="85" t="s">
        <v>5977</v>
      </c>
      <c r="F973" s="86">
        <v>0.78</v>
      </c>
      <c r="G973" s="86">
        <v>50</v>
      </c>
      <c r="H973" s="86">
        <v>39</v>
      </c>
      <c r="I973" s="86">
        <v>23313.4</v>
      </c>
      <c r="J973" s="85" t="s">
        <v>2965</v>
      </c>
      <c r="K973" s="85" t="s">
        <v>5865</v>
      </c>
      <c r="L973" s="85" t="s">
        <v>4135</v>
      </c>
      <c r="M973" s="85" t="s">
        <v>5979</v>
      </c>
    </row>
    <row r="974" ht="213.75" spans="1:13">
      <c r="A974" s="85" t="s">
        <v>5862</v>
      </c>
      <c r="B974" s="85" t="s">
        <v>5980</v>
      </c>
      <c r="C974" s="85" t="s">
        <v>5981</v>
      </c>
      <c r="D974" s="85" t="s">
        <v>5887</v>
      </c>
      <c r="E974" s="85" t="s">
        <v>5981</v>
      </c>
      <c r="F974" s="86">
        <v>68.31</v>
      </c>
      <c r="G974" s="86">
        <v>5</v>
      </c>
      <c r="H974" s="86">
        <v>341.55</v>
      </c>
      <c r="I974" s="86">
        <v>23313.4</v>
      </c>
      <c r="J974" s="85" t="s">
        <v>2965</v>
      </c>
      <c r="K974" s="85" t="s">
        <v>5865</v>
      </c>
      <c r="L974" s="85" t="s">
        <v>4135</v>
      </c>
      <c r="M974" s="85" t="s">
        <v>5982</v>
      </c>
    </row>
    <row r="975" ht="213.75" spans="1:13">
      <c r="A975" s="85" t="s">
        <v>5862</v>
      </c>
      <c r="B975" s="85" t="s">
        <v>3671</v>
      </c>
      <c r="C975" s="85" t="s">
        <v>3672</v>
      </c>
      <c r="D975" s="85" t="s">
        <v>3014</v>
      </c>
      <c r="E975" s="85" t="s">
        <v>3672</v>
      </c>
      <c r="F975" s="86">
        <v>14.47</v>
      </c>
      <c r="G975" s="86">
        <v>5</v>
      </c>
      <c r="H975" s="86">
        <v>72.35</v>
      </c>
      <c r="I975" s="86">
        <v>23313.4</v>
      </c>
      <c r="J975" s="85" t="s">
        <v>2965</v>
      </c>
      <c r="K975" s="85" t="s">
        <v>5865</v>
      </c>
      <c r="L975" s="85" t="s">
        <v>4135</v>
      </c>
      <c r="M975" s="85" t="s">
        <v>5983</v>
      </c>
    </row>
    <row r="976" ht="213.75" spans="1:13">
      <c r="A976" s="85" t="s">
        <v>5862</v>
      </c>
      <c r="B976" s="85" t="s">
        <v>3195</v>
      </c>
      <c r="C976" s="85" t="s">
        <v>3196</v>
      </c>
      <c r="D976" s="85" t="s">
        <v>3197</v>
      </c>
      <c r="E976" s="85" t="s">
        <v>3196</v>
      </c>
      <c r="F976" s="86">
        <v>14.65</v>
      </c>
      <c r="G976" s="86">
        <v>30</v>
      </c>
      <c r="H976" s="86">
        <v>439.5</v>
      </c>
      <c r="I976" s="86">
        <v>23313.4</v>
      </c>
      <c r="J976" s="85" t="s">
        <v>2965</v>
      </c>
      <c r="K976" s="85" t="s">
        <v>5865</v>
      </c>
      <c r="L976" s="85" t="s">
        <v>4135</v>
      </c>
      <c r="M976" s="85" t="s">
        <v>5984</v>
      </c>
    </row>
    <row r="977" ht="213.75" spans="1:13">
      <c r="A977" s="85" t="s">
        <v>5862</v>
      </c>
      <c r="B977" s="85" t="s">
        <v>3635</v>
      </c>
      <c r="C977" s="85" t="s">
        <v>3636</v>
      </c>
      <c r="D977" s="85" t="s">
        <v>3637</v>
      </c>
      <c r="E977" s="85" t="s">
        <v>3636</v>
      </c>
      <c r="F977" s="86">
        <v>68.64</v>
      </c>
      <c r="G977" s="86">
        <v>10</v>
      </c>
      <c r="H977" s="86">
        <v>686.4</v>
      </c>
      <c r="I977" s="86">
        <v>23313.4</v>
      </c>
      <c r="J977" s="85" t="s">
        <v>2965</v>
      </c>
      <c r="K977" s="85" t="s">
        <v>5865</v>
      </c>
      <c r="L977" s="85" t="s">
        <v>4135</v>
      </c>
      <c r="M977" s="85" t="s">
        <v>5985</v>
      </c>
    </row>
    <row r="978" ht="213.75" spans="1:13">
      <c r="A978" s="85" t="s">
        <v>5862</v>
      </c>
      <c r="B978" s="85" t="s">
        <v>3724</v>
      </c>
      <c r="C978" s="85" t="s">
        <v>3725</v>
      </c>
      <c r="D978" s="85" t="s">
        <v>2977</v>
      </c>
      <c r="E978" s="85" t="s">
        <v>3725</v>
      </c>
      <c r="F978" s="86">
        <v>14.47</v>
      </c>
      <c r="G978" s="86">
        <v>200</v>
      </c>
      <c r="H978" s="86">
        <v>2894</v>
      </c>
      <c r="I978" s="86">
        <v>23313.4</v>
      </c>
      <c r="J978" s="85" t="s">
        <v>2965</v>
      </c>
      <c r="K978" s="85" t="s">
        <v>5865</v>
      </c>
      <c r="L978" s="85" t="s">
        <v>4135</v>
      </c>
      <c r="M978" s="85" t="s">
        <v>5986</v>
      </c>
    </row>
    <row r="979" ht="213.75" spans="1:13">
      <c r="A979" s="85" t="s">
        <v>5862</v>
      </c>
      <c r="B979" s="85" t="s">
        <v>5477</v>
      </c>
      <c r="C979" s="85" t="s">
        <v>5478</v>
      </c>
      <c r="D979" s="85" t="s">
        <v>5479</v>
      </c>
      <c r="E979" s="85" t="s">
        <v>5478</v>
      </c>
      <c r="F979" s="86">
        <v>30</v>
      </c>
      <c r="G979" s="86">
        <v>100</v>
      </c>
      <c r="H979" s="86">
        <v>3000</v>
      </c>
      <c r="I979" s="86">
        <v>23313.4</v>
      </c>
      <c r="J979" s="85" t="s">
        <v>2965</v>
      </c>
      <c r="K979" s="85" t="s">
        <v>5865</v>
      </c>
      <c r="L979" s="85" t="s">
        <v>4135</v>
      </c>
      <c r="M979" s="85" t="s">
        <v>5987</v>
      </c>
    </row>
    <row r="980" ht="213.75" spans="1:13">
      <c r="A980" s="85" t="s">
        <v>5862</v>
      </c>
      <c r="B980" s="85" t="s">
        <v>3717</v>
      </c>
      <c r="C980" s="85" t="s">
        <v>3718</v>
      </c>
      <c r="D980" s="85" t="s">
        <v>3014</v>
      </c>
      <c r="E980" s="85" t="s">
        <v>3718</v>
      </c>
      <c r="F980" s="86">
        <v>110</v>
      </c>
      <c r="G980" s="86">
        <v>5</v>
      </c>
      <c r="H980" s="86">
        <v>550</v>
      </c>
      <c r="I980" s="86">
        <v>23313.4</v>
      </c>
      <c r="J980" s="85" t="s">
        <v>2965</v>
      </c>
      <c r="K980" s="85" t="s">
        <v>5865</v>
      </c>
      <c r="L980" s="85" t="s">
        <v>4135</v>
      </c>
      <c r="M980" s="85" t="s">
        <v>5988</v>
      </c>
    </row>
    <row r="981" ht="213.75" spans="1:13">
      <c r="A981" s="85" t="s">
        <v>5862</v>
      </c>
      <c r="B981" s="85" t="s">
        <v>5989</v>
      </c>
      <c r="C981" s="85" t="s">
        <v>5990</v>
      </c>
      <c r="D981" s="85" t="s">
        <v>5991</v>
      </c>
      <c r="E981" s="85" t="s">
        <v>5990</v>
      </c>
      <c r="F981" s="86">
        <v>34.99</v>
      </c>
      <c r="G981" s="86">
        <v>2</v>
      </c>
      <c r="H981" s="86">
        <v>69.98</v>
      </c>
      <c r="I981" s="86">
        <v>23313.4</v>
      </c>
      <c r="J981" s="85" t="s">
        <v>2965</v>
      </c>
      <c r="K981" s="85" t="s">
        <v>5865</v>
      </c>
      <c r="L981" s="85" t="s">
        <v>4135</v>
      </c>
      <c r="M981" s="85" t="s">
        <v>5992</v>
      </c>
    </row>
    <row r="982" ht="213.75" spans="1:13">
      <c r="A982" s="85" t="s">
        <v>5862</v>
      </c>
      <c r="B982" s="85" t="s">
        <v>5993</v>
      </c>
      <c r="C982" s="85" t="s">
        <v>5994</v>
      </c>
      <c r="D982" s="85" t="s">
        <v>3463</v>
      </c>
      <c r="E982" s="85" t="s">
        <v>5994</v>
      </c>
      <c r="F982" s="86">
        <v>34.99</v>
      </c>
      <c r="G982" s="86">
        <v>6</v>
      </c>
      <c r="H982" s="86">
        <v>209.94</v>
      </c>
      <c r="I982" s="86">
        <v>23313.4</v>
      </c>
      <c r="J982" s="85" t="s">
        <v>2965</v>
      </c>
      <c r="K982" s="85" t="s">
        <v>5865</v>
      </c>
      <c r="L982" s="85" t="s">
        <v>4135</v>
      </c>
      <c r="M982" s="85" t="s">
        <v>5995</v>
      </c>
    </row>
    <row r="983" ht="213.75" spans="1:13">
      <c r="A983" s="85" t="s">
        <v>5862</v>
      </c>
      <c r="B983" s="85" t="s">
        <v>5996</v>
      </c>
      <c r="C983" s="85" t="s">
        <v>5997</v>
      </c>
      <c r="D983" s="85" t="s">
        <v>3061</v>
      </c>
      <c r="E983" s="85" t="s">
        <v>5997</v>
      </c>
      <c r="F983" s="86">
        <v>246.48</v>
      </c>
      <c r="G983" s="86">
        <v>1</v>
      </c>
      <c r="H983" s="86">
        <v>246.48</v>
      </c>
      <c r="I983" s="86">
        <v>23313.4</v>
      </c>
      <c r="J983" s="85" t="s">
        <v>2965</v>
      </c>
      <c r="K983" s="85" t="s">
        <v>5865</v>
      </c>
      <c r="L983" s="85" t="s">
        <v>4135</v>
      </c>
      <c r="M983" s="85" t="s">
        <v>5998</v>
      </c>
    </row>
    <row r="984" ht="213.75" spans="1:13">
      <c r="A984" s="85" t="s">
        <v>5862</v>
      </c>
      <c r="B984" s="85" t="s">
        <v>3036</v>
      </c>
      <c r="C984" s="85" t="s">
        <v>3037</v>
      </c>
      <c r="D984" s="85" t="s">
        <v>2969</v>
      </c>
      <c r="E984" s="85" t="s">
        <v>3037</v>
      </c>
      <c r="F984" s="86">
        <v>4.49</v>
      </c>
      <c r="G984" s="86">
        <v>20</v>
      </c>
      <c r="H984" s="86">
        <v>89.8</v>
      </c>
      <c r="I984" s="86">
        <v>23313.4</v>
      </c>
      <c r="J984" s="85" t="s">
        <v>2965</v>
      </c>
      <c r="K984" s="85" t="s">
        <v>5865</v>
      </c>
      <c r="L984" s="85" t="s">
        <v>4135</v>
      </c>
      <c r="M984" s="85" t="s">
        <v>5999</v>
      </c>
    </row>
    <row r="985" ht="213.75" spans="1:13">
      <c r="A985" s="85" t="s">
        <v>5870</v>
      </c>
      <c r="B985" s="85" t="s">
        <v>3096</v>
      </c>
      <c r="C985" s="85" t="s">
        <v>3097</v>
      </c>
      <c r="D985" s="85" t="s">
        <v>2982</v>
      </c>
      <c r="E985" s="85" t="s">
        <v>3098</v>
      </c>
      <c r="F985" s="86">
        <v>22.89</v>
      </c>
      <c r="G985" s="86">
        <v>8</v>
      </c>
      <c r="H985" s="86">
        <v>183.12</v>
      </c>
      <c r="I985" s="86">
        <v>29704.12</v>
      </c>
      <c r="J985" s="85" t="s">
        <v>2958</v>
      </c>
      <c r="K985" s="85" t="s">
        <v>5865</v>
      </c>
      <c r="L985" s="85" t="s">
        <v>4135</v>
      </c>
      <c r="M985" s="85" t="s">
        <v>6000</v>
      </c>
    </row>
    <row r="986" ht="213.75" spans="1:13">
      <c r="A986" s="85" t="s">
        <v>5862</v>
      </c>
      <c r="B986" s="85" t="s">
        <v>6001</v>
      </c>
      <c r="C986" s="85" t="s">
        <v>6002</v>
      </c>
      <c r="D986" s="85" t="s">
        <v>3656</v>
      </c>
      <c r="E986" s="85" t="s">
        <v>6002</v>
      </c>
      <c r="F986" s="86">
        <v>12</v>
      </c>
      <c r="G986" s="86">
        <v>20</v>
      </c>
      <c r="H986" s="86">
        <v>240</v>
      </c>
      <c r="I986" s="86">
        <v>23313.4</v>
      </c>
      <c r="J986" s="85" t="s">
        <v>2965</v>
      </c>
      <c r="K986" s="85" t="s">
        <v>5865</v>
      </c>
      <c r="L986" s="85" t="s">
        <v>4135</v>
      </c>
      <c r="M986" s="85" t="s">
        <v>6003</v>
      </c>
    </row>
    <row r="987" ht="213.75" spans="1:13">
      <c r="A987" s="85" t="s">
        <v>6004</v>
      </c>
      <c r="B987" s="85" t="s">
        <v>6005</v>
      </c>
      <c r="C987" s="85" t="s">
        <v>6006</v>
      </c>
      <c r="D987" s="85" t="s">
        <v>3684</v>
      </c>
      <c r="E987" s="85" t="s">
        <v>3685</v>
      </c>
      <c r="F987" s="86">
        <v>57.5</v>
      </c>
      <c r="G987" s="86">
        <v>5</v>
      </c>
      <c r="H987" s="86">
        <v>287.5</v>
      </c>
      <c r="I987" s="86">
        <v>287.5</v>
      </c>
      <c r="J987" s="85" t="s">
        <v>3075</v>
      </c>
      <c r="K987" s="85" t="s">
        <v>5865</v>
      </c>
      <c r="L987" s="85" t="s">
        <v>4135</v>
      </c>
      <c r="M987" s="85" t="s">
        <v>6007</v>
      </c>
    </row>
    <row r="988" ht="213.75" spans="1:13">
      <c r="A988" s="85" t="s">
        <v>5870</v>
      </c>
      <c r="B988" s="85" t="s">
        <v>6008</v>
      </c>
      <c r="C988" s="85" t="s">
        <v>6009</v>
      </c>
      <c r="D988" s="85" t="s">
        <v>3241</v>
      </c>
      <c r="E988" s="85" t="s">
        <v>6010</v>
      </c>
      <c r="F988" s="86">
        <v>16</v>
      </c>
      <c r="G988" s="86">
        <v>5</v>
      </c>
      <c r="H988" s="86">
        <v>80</v>
      </c>
      <c r="I988" s="86">
        <v>29704.12</v>
      </c>
      <c r="J988" s="85" t="s">
        <v>2958</v>
      </c>
      <c r="K988" s="85" t="s">
        <v>5865</v>
      </c>
      <c r="L988" s="85" t="s">
        <v>4135</v>
      </c>
      <c r="M988" s="85" t="s">
        <v>6011</v>
      </c>
    </row>
    <row r="989" ht="213.75" spans="1:13">
      <c r="A989" s="85" t="s">
        <v>5870</v>
      </c>
      <c r="B989" s="85" t="s">
        <v>3077</v>
      </c>
      <c r="C989" s="85" t="s">
        <v>3078</v>
      </c>
      <c r="D989" s="85" t="s">
        <v>2992</v>
      </c>
      <c r="E989" s="85" t="s">
        <v>1815</v>
      </c>
      <c r="F989" s="86">
        <v>36</v>
      </c>
      <c r="G989" s="86">
        <v>80</v>
      </c>
      <c r="H989" s="86">
        <v>2880</v>
      </c>
      <c r="I989" s="86">
        <v>29704.12</v>
      </c>
      <c r="J989" s="85" t="s">
        <v>2958</v>
      </c>
      <c r="K989" s="85" t="s">
        <v>5865</v>
      </c>
      <c r="L989" s="85" t="s">
        <v>4135</v>
      </c>
      <c r="M989" s="85" t="s">
        <v>6012</v>
      </c>
    </row>
    <row r="990" ht="213.75" spans="1:13">
      <c r="A990" s="85" t="s">
        <v>5862</v>
      </c>
      <c r="B990" s="85" t="s">
        <v>6013</v>
      </c>
      <c r="C990" s="85" t="s">
        <v>6014</v>
      </c>
      <c r="D990" s="85" t="s">
        <v>5887</v>
      </c>
      <c r="E990" s="85" t="s">
        <v>6014</v>
      </c>
      <c r="F990" s="86">
        <v>68.31</v>
      </c>
      <c r="G990" s="86">
        <v>5</v>
      </c>
      <c r="H990" s="86">
        <v>341.55</v>
      </c>
      <c r="I990" s="86">
        <v>23313.4</v>
      </c>
      <c r="J990" s="85" t="s">
        <v>2965</v>
      </c>
      <c r="K990" s="85" t="s">
        <v>5865</v>
      </c>
      <c r="L990" s="85" t="s">
        <v>4135</v>
      </c>
      <c r="M990" s="85" t="s">
        <v>6015</v>
      </c>
    </row>
    <row r="991" ht="213.75" spans="1:13">
      <c r="A991" s="85" t="s">
        <v>5862</v>
      </c>
      <c r="B991" s="85" t="s">
        <v>4800</v>
      </c>
      <c r="C991" s="85" t="s">
        <v>4801</v>
      </c>
      <c r="D991" s="85" t="s">
        <v>4802</v>
      </c>
      <c r="E991" s="85" t="s">
        <v>4801</v>
      </c>
      <c r="F991" s="86">
        <v>24.39</v>
      </c>
      <c r="G991" s="86">
        <v>40</v>
      </c>
      <c r="H991" s="86">
        <v>975.6</v>
      </c>
      <c r="I991" s="86">
        <v>23313.4</v>
      </c>
      <c r="J991" s="85" t="s">
        <v>2965</v>
      </c>
      <c r="K991" s="85" t="s">
        <v>5865</v>
      </c>
      <c r="L991" s="85" t="s">
        <v>4135</v>
      </c>
      <c r="M991" s="85" t="s">
        <v>6016</v>
      </c>
    </row>
    <row r="992" ht="213.75" spans="1:13">
      <c r="A992" s="85" t="s">
        <v>5870</v>
      </c>
      <c r="B992" s="85" t="s">
        <v>6017</v>
      </c>
      <c r="C992" s="85" t="s">
        <v>6018</v>
      </c>
      <c r="D992" s="85" t="s">
        <v>5574</v>
      </c>
      <c r="E992" s="85" t="s">
        <v>1787</v>
      </c>
      <c r="F992" s="86">
        <v>32</v>
      </c>
      <c r="G992" s="86">
        <v>50</v>
      </c>
      <c r="H992" s="86">
        <v>1600</v>
      </c>
      <c r="I992" s="86">
        <v>29704.12</v>
      </c>
      <c r="J992" s="85" t="s">
        <v>2958</v>
      </c>
      <c r="K992" s="85" t="s">
        <v>5865</v>
      </c>
      <c r="L992" s="85" t="s">
        <v>4135</v>
      </c>
      <c r="M992" s="85" t="s">
        <v>6019</v>
      </c>
    </row>
    <row r="993" ht="213.75" spans="1:13">
      <c r="A993" s="85" t="s">
        <v>6020</v>
      </c>
      <c r="B993" s="85" t="s">
        <v>6021</v>
      </c>
      <c r="C993" s="85" t="s">
        <v>6022</v>
      </c>
      <c r="D993" s="85" t="s">
        <v>6023</v>
      </c>
      <c r="E993" s="85" t="s">
        <v>1948</v>
      </c>
      <c r="F993" s="86">
        <v>84</v>
      </c>
      <c r="G993" s="86">
        <v>10</v>
      </c>
      <c r="H993" s="86">
        <v>840</v>
      </c>
      <c r="I993" s="86">
        <v>840</v>
      </c>
      <c r="J993" s="85" t="s">
        <v>3031</v>
      </c>
      <c r="K993" s="85" t="s">
        <v>5865</v>
      </c>
      <c r="L993" s="85" t="s">
        <v>4135</v>
      </c>
      <c r="M993" s="85" t="s">
        <v>6024</v>
      </c>
    </row>
    <row r="994" ht="213.75" spans="1:13">
      <c r="A994" s="85" t="s">
        <v>5870</v>
      </c>
      <c r="B994" s="85" t="s">
        <v>3048</v>
      </c>
      <c r="C994" s="85" t="s">
        <v>3049</v>
      </c>
      <c r="D994" s="85" t="s">
        <v>2982</v>
      </c>
      <c r="E994" s="85" t="s">
        <v>3050</v>
      </c>
      <c r="F994" s="86">
        <v>4.5</v>
      </c>
      <c r="G994" s="86">
        <v>100</v>
      </c>
      <c r="H994" s="86">
        <v>450</v>
      </c>
      <c r="I994" s="86">
        <v>29704.12</v>
      </c>
      <c r="J994" s="85" t="s">
        <v>2958</v>
      </c>
      <c r="K994" s="85" t="s">
        <v>5865</v>
      </c>
      <c r="L994" s="85" t="s">
        <v>4135</v>
      </c>
      <c r="M994" s="85" t="s">
        <v>6025</v>
      </c>
    </row>
    <row r="995" ht="213.75" spans="1:13">
      <c r="A995" s="85" t="s">
        <v>5872</v>
      </c>
      <c r="B995" s="85" t="s">
        <v>4510</v>
      </c>
      <c r="C995" s="85" t="s">
        <v>4511</v>
      </c>
      <c r="D995" s="85" t="s">
        <v>3041</v>
      </c>
      <c r="E995" s="85" t="s">
        <v>3042</v>
      </c>
      <c r="F995" s="86">
        <v>9</v>
      </c>
      <c r="G995" s="86">
        <v>495</v>
      </c>
      <c r="H995" s="86">
        <v>4455</v>
      </c>
      <c r="I995" s="86">
        <v>17450</v>
      </c>
      <c r="J995" s="85" t="s">
        <v>4370</v>
      </c>
      <c r="K995" s="85" t="s">
        <v>5865</v>
      </c>
      <c r="L995" s="85" t="s">
        <v>4135</v>
      </c>
      <c r="M995" s="85" t="s">
        <v>6026</v>
      </c>
    </row>
    <row r="996" ht="213.75" spans="1:13">
      <c r="A996" s="85" t="s">
        <v>5872</v>
      </c>
      <c r="B996" s="85" t="s">
        <v>4373</v>
      </c>
      <c r="C996" s="85" t="s">
        <v>4374</v>
      </c>
      <c r="D996" s="85" t="s">
        <v>3041</v>
      </c>
      <c r="E996" s="85" t="s">
        <v>3042</v>
      </c>
      <c r="F996" s="86">
        <v>7</v>
      </c>
      <c r="G996" s="86">
        <v>90</v>
      </c>
      <c r="H996" s="86">
        <v>630</v>
      </c>
      <c r="I996" s="86">
        <v>17450</v>
      </c>
      <c r="J996" s="85" t="s">
        <v>4370</v>
      </c>
      <c r="K996" s="85" t="s">
        <v>5865</v>
      </c>
      <c r="L996" s="85" t="s">
        <v>4135</v>
      </c>
      <c r="M996" s="85" t="s">
        <v>6027</v>
      </c>
    </row>
    <row r="997" ht="213.75" spans="1:13">
      <c r="A997" s="85" t="s">
        <v>5906</v>
      </c>
      <c r="B997" s="85" t="s">
        <v>6028</v>
      </c>
      <c r="C997" s="85" t="s">
        <v>6029</v>
      </c>
      <c r="D997" s="85" t="s">
        <v>4246</v>
      </c>
      <c r="E997" s="85" t="s">
        <v>6030</v>
      </c>
      <c r="F997" s="86">
        <v>26.91</v>
      </c>
      <c r="G997" s="86">
        <v>50</v>
      </c>
      <c r="H997" s="86">
        <v>1345.5</v>
      </c>
      <c r="I997" s="86">
        <v>9049.7</v>
      </c>
      <c r="J997" s="85" t="s">
        <v>2999</v>
      </c>
      <c r="K997" s="85" t="s">
        <v>5865</v>
      </c>
      <c r="L997" s="85" t="s">
        <v>4135</v>
      </c>
      <c r="M997" s="85" t="s">
        <v>6031</v>
      </c>
    </row>
    <row r="998" ht="213.75" spans="1:13">
      <c r="A998" s="85" t="s">
        <v>5870</v>
      </c>
      <c r="B998" s="85" t="s">
        <v>6032</v>
      </c>
      <c r="C998" s="85" t="s">
        <v>6033</v>
      </c>
      <c r="D998" s="85" t="s">
        <v>2982</v>
      </c>
      <c r="E998" s="85" t="s">
        <v>5752</v>
      </c>
      <c r="F998" s="86">
        <v>14.75</v>
      </c>
      <c r="G998" s="86">
        <v>24</v>
      </c>
      <c r="H998" s="86">
        <v>354</v>
      </c>
      <c r="I998" s="86">
        <v>29704.12</v>
      </c>
      <c r="J998" s="85" t="s">
        <v>2958</v>
      </c>
      <c r="K998" s="85" t="s">
        <v>5865</v>
      </c>
      <c r="L998" s="85" t="s">
        <v>4135</v>
      </c>
      <c r="M998" s="85" t="s">
        <v>6034</v>
      </c>
    </row>
    <row r="999" ht="213.75" spans="1:13">
      <c r="A999" s="85" t="s">
        <v>6035</v>
      </c>
      <c r="B999" s="85" t="s">
        <v>3788</v>
      </c>
      <c r="C999" s="85" t="s">
        <v>3789</v>
      </c>
      <c r="D999" s="85" t="s">
        <v>3189</v>
      </c>
      <c r="E999" s="85" t="s">
        <v>3790</v>
      </c>
      <c r="F999" s="86">
        <v>100</v>
      </c>
      <c r="G999" s="86">
        <v>42</v>
      </c>
      <c r="H999" s="86">
        <v>4200</v>
      </c>
      <c r="I999" s="86">
        <v>4200</v>
      </c>
      <c r="J999" s="85" t="s">
        <v>3304</v>
      </c>
      <c r="K999" s="85" t="s">
        <v>6036</v>
      </c>
      <c r="L999" s="85" t="s">
        <v>4135</v>
      </c>
      <c r="M999" s="85" t="s">
        <v>6037</v>
      </c>
    </row>
    <row r="1000" ht="213.75" spans="1:13">
      <c r="A1000" s="85" t="s">
        <v>6038</v>
      </c>
      <c r="B1000" s="85" t="s">
        <v>5326</v>
      </c>
      <c r="C1000" s="85" t="s">
        <v>5327</v>
      </c>
      <c r="D1000" s="85" t="s">
        <v>3189</v>
      </c>
      <c r="E1000" s="85" t="s">
        <v>5327</v>
      </c>
      <c r="F1000" s="86">
        <v>27</v>
      </c>
      <c r="G1000" s="86">
        <v>300</v>
      </c>
      <c r="H1000" s="86">
        <v>8100</v>
      </c>
      <c r="I1000" s="86">
        <v>8100</v>
      </c>
      <c r="J1000" s="85" t="s">
        <v>3314</v>
      </c>
      <c r="K1000" s="85" t="s">
        <v>6039</v>
      </c>
      <c r="L1000" s="85" t="s">
        <v>4135</v>
      </c>
      <c r="M1000" s="85" t="s">
        <v>6040</v>
      </c>
    </row>
    <row r="1001" ht="213.75" spans="1:13">
      <c r="A1001" s="85" t="s">
        <v>6041</v>
      </c>
      <c r="B1001" s="85" t="s">
        <v>5246</v>
      </c>
      <c r="C1001" s="85" t="s">
        <v>5247</v>
      </c>
      <c r="D1001" s="85" t="s">
        <v>3753</v>
      </c>
      <c r="E1001" s="85" t="s">
        <v>3763</v>
      </c>
      <c r="F1001" s="86">
        <v>183.57</v>
      </c>
      <c r="G1001" s="86">
        <v>1</v>
      </c>
      <c r="H1001" s="86">
        <v>183.57</v>
      </c>
      <c r="I1001" s="86">
        <v>1838.52</v>
      </c>
      <c r="J1001" s="85" t="s">
        <v>3112</v>
      </c>
      <c r="K1001" s="85" t="s">
        <v>6042</v>
      </c>
      <c r="L1001" s="85" t="s">
        <v>4135</v>
      </c>
      <c r="M1001" s="85" t="s">
        <v>6043</v>
      </c>
    </row>
    <row r="1002" ht="213.75" spans="1:13">
      <c r="A1002" s="85" t="s">
        <v>6041</v>
      </c>
      <c r="B1002" s="85" t="s">
        <v>5263</v>
      </c>
      <c r="C1002" s="85" t="s">
        <v>5264</v>
      </c>
      <c r="D1002" s="85" t="s">
        <v>3753</v>
      </c>
      <c r="E1002" s="85" t="s">
        <v>3763</v>
      </c>
      <c r="F1002" s="86">
        <v>254.95</v>
      </c>
      <c r="G1002" s="86">
        <v>1</v>
      </c>
      <c r="H1002" s="86">
        <v>254.95</v>
      </c>
      <c r="I1002" s="86">
        <v>1838.52</v>
      </c>
      <c r="J1002" s="85" t="s">
        <v>3112</v>
      </c>
      <c r="K1002" s="85" t="s">
        <v>6042</v>
      </c>
      <c r="L1002" s="85" t="s">
        <v>4135</v>
      </c>
      <c r="M1002" s="85" t="s">
        <v>6044</v>
      </c>
    </row>
    <row r="1003" ht="213.75" spans="1:13">
      <c r="A1003" s="85" t="s">
        <v>6041</v>
      </c>
      <c r="B1003" s="85" t="s">
        <v>4667</v>
      </c>
      <c r="C1003" s="85" t="s">
        <v>4668</v>
      </c>
      <c r="D1003" s="85" t="s">
        <v>3753</v>
      </c>
      <c r="E1003" s="85" t="s">
        <v>3754</v>
      </c>
      <c r="F1003" s="86">
        <v>200</v>
      </c>
      <c r="G1003" s="86">
        <v>1</v>
      </c>
      <c r="H1003" s="86">
        <v>200</v>
      </c>
      <c r="I1003" s="86">
        <v>1838.52</v>
      </c>
      <c r="J1003" s="85" t="s">
        <v>3112</v>
      </c>
      <c r="K1003" s="85" t="s">
        <v>6042</v>
      </c>
      <c r="L1003" s="85" t="s">
        <v>4135</v>
      </c>
      <c r="M1003" s="85" t="s">
        <v>6045</v>
      </c>
    </row>
    <row r="1004" ht="213.75" spans="1:13">
      <c r="A1004" s="85" t="s">
        <v>6041</v>
      </c>
      <c r="B1004" s="85" t="s">
        <v>4354</v>
      </c>
      <c r="C1004" s="85" t="s">
        <v>4355</v>
      </c>
      <c r="D1004" s="85" t="s">
        <v>3753</v>
      </c>
      <c r="E1004" s="85" t="s">
        <v>3754</v>
      </c>
      <c r="F1004" s="86">
        <v>250</v>
      </c>
      <c r="G1004" s="86">
        <v>1</v>
      </c>
      <c r="H1004" s="86">
        <v>250</v>
      </c>
      <c r="I1004" s="86">
        <v>1838.52</v>
      </c>
      <c r="J1004" s="85" t="s">
        <v>3112</v>
      </c>
      <c r="K1004" s="85" t="s">
        <v>6042</v>
      </c>
      <c r="L1004" s="85" t="s">
        <v>4135</v>
      </c>
      <c r="M1004" s="85" t="s">
        <v>6046</v>
      </c>
    </row>
    <row r="1005" ht="213.75" spans="1:13">
      <c r="A1005" s="85" t="s">
        <v>6041</v>
      </c>
      <c r="B1005" s="85" t="s">
        <v>3751</v>
      </c>
      <c r="C1005" s="85" t="s">
        <v>3752</v>
      </c>
      <c r="D1005" s="85" t="s">
        <v>3753</v>
      </c>
      <c r="E1005" s="85" t="s">
        <v>3754</v>
      </c>
      <c r="F1005" s="86">
        <v>300</v>
      </c>
      <c r="G1005" s="86">
        <v>1</v>
      </c>
      <c r="H1005" s="86">
        <v>300</v>
      </c>
      <c r="I1005" s="86">
        <v>1838.52</v>
      </c>
      <c r="J1005" s="85" t="s">
        <v>3112</v>
      </c>
      <c r="K1005" s="85" t="s">
        <v>6042</v>
      </c>
      <c r="L1005" s="85" t="s">
        <v>4135</v>
      </c>
      <c r="M1005" s="85" t="s">
        <v>6047</v>
      </c>
    </row>
    <row r="1006" ht="213.75" spans="1:13">
      <c r="A1006" s="85" t="s">
        <v>6041</v>
      </c>
      <c r="B1006" s="85" t="s">
        <v>3757</v>
      </c>
      <c r="C1006" s="85" t="s">
        <v>3758</v>
      </c>
      <c r="D1006" s="85" t="s">
        <v>3753</v>
      </c>
      <c r="E1006" s="85" t="s">
        <v>3754</v>
      </c>
      <c r="F1006" s="86">
        <v>150</v>
      </c>
      <c r="G1006" s="86">
        <v>1</v>
      </c>
      <c r="H1006" s="86">
        <v>150</v>
      </c>
      <c r="I1006" s="86">
        <v>1838.52</v>
      </c>
      <c r="J1006" s="85" t="s">
        <v>3112</v>
      </c>
      <c r="K1006" s="85" t="s">
        <v>6042</v>
      </c>
      <c r="L1006" s="85" t="s">
        <v>4135</v>
      </c>
      <c r="M1006" s="85" t="s">
        <v>6048</v>
      </c>
    </row>
    <row r="1007" ht="213.75" spans="1:13">
      <c r="A1007" s="85" t="s">
        <v>6041</v>
      </c>
      <c r="B1007" s="85" t="s">
        <v>3765</v>
      </c>
      <c r="C1007" s="85" t="s">
        <v>3766</v>
      </c>
      <c r="D1007" s="85" t="s">
        <v>3753</v>
      </c>
      <c r="E1007" s="85" t="s">
        <v>3763</v>
      </c>
      <c r="F1007" s="86">
        <v>500</v>
      </c>
      <c r="G1007" s="86">
        <v>1</v>
      </c>
      <c r="H1007" s="86">
        <v>500</v>
      </c>
      <c r="I1007" s="86">
        <v>1838.52</v>
      </c>
      <c r="J1007" s="85" t="s">
        <v>3112</v>
      </c>
      <c r="K1007" s="85" t="s">
        <v>6042</v>
      </c>
      <c r="L1007" s="85" t="s">
        <v>4135</v>
      </c>
      <c r="M1007" s="85" t="s">
        <v>6049</v>
      </c>
    </row>
    <row r="1008" ht="213.75" spans="1:13">
      <c r="A1008" s="85" t="s">
        <v>6050</v>
      </c>
      <c r="B1008" s="85" t="s">
        <v>2901</v>
      </c>
      <c r="C1008" s="85" t="s">
        <v>2902</v>
      </c>
      <c r="D1008" s="85" t="s">
        <v>2903</v>
      </c>
      <c r="E1008" s="85" t="s">
        <v>2902</v>
      </c>
      <c r="F1008" s="86">
        <v>21162</v>
      </c>
      <c r="G1008" s="86">
        <v>1</v>
      </c>
      <c r="H1008" s="86">
        <v>21162</v>
      </c>
      <c r="I1008" s="86">
        <v>21162</v>
      </c>
      <c r="J1008" s="85" t="s">
        <v>5093</v>
      </c>
      <c r="K1008" s="85" t="s">
        <v>6051</v>
      </c>
      <c r="L1008" s="85" t="s">
        <v>4135</v>
      </c>
      <c r="M1008" s="85" t="s">
        <v>6052</v>
      </c>
    </row>
    <row r="1009" ht="213.75" spans="1:13">
      <c r="A1009" s="85" t="s">
        <v>6053</v>
      </c>
      <c r="B1009" s="85" t="s">
        <v>6054</v>
      </c>
      <c r="C1009" s="85" t="s">
        <v>6055</v>
      </c>
      <c r="D1009" s="85" t="s">
        <v>6056</v>
      </c>
      <c r="E1009" s="85" t="s">
        <v>6055</v>
      </c>
      <c r="F1009" s="86">
        <v>0.53</v>
      </c>
      <c r="G1009" s="86">
        <v>50</v>
      </c>
      <c r="H1009" s="86">
        <v>26.5</v>
      </c>
      <c r="I1009" s="86">
        <v>8383.8</v>
      </c>
      <c r="J1009" s="85" t="s">
        <v>2965</v>
      </c>
      <c r="K1009" s="85" t="s">
        <v>6057</v>
      </c>
      <c r="L1009" s="85" t="s">
        <v>4135</v>
      </c>
      <c r="M1009" s="85" t="s">
        <v>6058</v>
      </c>
    </row>
    <row r="1010" ht="213.75" spans="1:13">
      <c r="A1010" s="85" t="s">
        <v>6053</v>
      </c>
      <c r="B1010" s="85" t="s">
        <v>6059</v>
      </c>
      <c r="C1010" s="85" t="s">
        <v>6060</v>
      </c>
      <c r="D1010" s="85" t="s">
        <v>3394</v>
      </c>
      <c r="E1010" s="85" t="s">
        <v>6060</v>
      </c>
      <c r="F1010" s="86">
        <v>12.71</v>
      </c>
      <c r="G1010" s="86">
        <v>5</v>
      </c>
      <c r="H1010" s="86">
        <v>63.55</v>
      </c>
      <c r="I1010" s="86">
        <v>8383.8</v>
      </c>
      <c r="J1010" s="85" t="s">
        <v>2965</v>
      </c>
      <c r="K1010" s="85" t="s">
        <v>6057</v>
      </c>
      <c r="L1010" s="85" t="s">
        <v>4135</v>
      </c>
      <c r="M1010" s="85" t="s">
        <v>6061</v>
      </c>
    </row>
    <row r="1011" ht="213.75" spans="1:13">
      <c r="A1011" s="85" t="s">
        <v>6053</v>
      </c>
      <c r="B1011" s="85" t="s">
        <v>6062</v>
      </c>
      <c r="C1011" s="85" t="s">
        <v>6063</v>
      </c>
      <c r="D1011" s="85" t="s">
        <v>3442</v>
      </c>
      <c r="E1011" s="85" t="s">
        <v>6063</v>
      </c>
      <c r="F1011" s="86">
        <v>44.6</v>
      </c>
      <c r="G1011" s="86">
        <v>81</v>
      </c>
      <c r="H1011" s="86">
        <v>3612.6</v>
      </c>
      <c r="I1011" s="86">
        <v>8383.8</v>
      </c>
      <c r="J1011" s="85" t="s">
        <v>2965</v>
      </c>
      <c r="K1011" s="85" t="s">
        <v>6057</v>
      </c>
      <c r="L1011" s="85" t="s">
        <v>4135</v>
      </c>
      <c r="M1011" s="85" t="s">
        <v>6064</v>
      </c>
    </row>
    <row r="1012" ht="213.75" spans="1:13">
      <c r="A1012" s="85" t="s">
        <v>6053</v>
      </c>
      <c r="B1012" s="85" t="s">
        <v>6065</v>
      </c>
      <c r="C1012" s="85" t="s">
        <v>6066</v>
      </c>
      <c r="D1012" s="85" t="s">
        <v>6067</v>
      </c>
      <c r="E1012" s="85" t="s">
        <v>6066</v>
      </c>
      <c r="F1012" s="86">
        <v>0.31</v>
      </c>
      <c r="G1012" s="86">
        <v>200</v>
      </c>
      <c r="H1012" s="86">
        <v>62</v>
      </c>
      <c r="I1012" s="86">
        <v>8383.8</v>
      </c>
      <c r="J1012" s="85" t="s">
        <v>2965</v>
      </c>
      <c r="K1012" s="85" t="s">
        <v>6057</v>
      </c>
      <c r="L1012" s="85" t="s">
        <v>4135</v>
      </c>
      <c r="M1012" s="85" t="s">
        <v>6068</v>
      </c>
    </row>
    <row r="1013" ht="213.75" spans="1:13">
      <c r="A1013" s="85" t="s">
        <v>6053</v>
      </c>
      <c r="B1013" s="85" t="s">
        <v>6069</v>
      </c>
      <c r="C1013" s="85" t="s">
        <v>6070</v>
      </c>
      <c r="D1013" s="85" t="s">
        <v>5423</v>
      </c>
      <c r="E1013" s="85" t="s">
        <v>6070</v>
      </c>
      <c r="F1013" s="86">
        <v>42.24</v>
      </c>
      <c r="G1013" s="86">
        <v>2</v>
      </c>
      <c r="H1013" s="86">
        <v>84.48</v>
      </c>
      <c r="I1013" s="86">
        <v>8383.8</v>
      </c>
      <c r="J1013" s="85" t="s">
        <v>2965</v>
      </c>
      <c r="K1013" s="85" t="s">
        <v>6057</v>
      </c>
      <c r="L1013" s="85" t="s">
        <v>4135</v>
      </c>
      <c r="M1013" s="85" t="s">
        <v>6071</v>
      </c>
    </row>
    <row r="1014" ht="213.75" spans="1:13">
      <c r="A1014" s="85" t="s">
        <v>6053</v>
      </c>
      <c r="B1014" s="85" t="s">
        <v>6072</v>
      </c>
      <c r="C1014" s="85" t="s">
        <v>6073</v>
      </c>
      <c r="D1014" s="85" t="s">
        <v>3352</v>
      </c>
      <c r="E1014" s="85" t="s">
        <v>6073</v>
      </c>
      <c r="F1014" s="86">
        <v>140.49</v>
      </c>
      <c r="G1014" s="86">
        <v>9</v>
      </c>
      <c r="H1014" s="86">
        <v>1264.41</v>
      </c>
      <c r="I1014" s="86">
        <v>8383.8</v>
      </c>
      <c r="J1014" s="85" t="s">
        <v>2965</v>
      </c>
      <c r="K1014" s="85" t="s">
        <v>6057</v>
      </c>
      <c r="L1014" s="85" t="s">
        <v>4135</v>
      </c>
      <c r="M1014" s="85" t="s">
        <v>6074</v>
      </c>
    </row>
    <row r="1015" ht="213.75" spans="1:13">
      <c r="A1015" s="85" t="s">
        <v>6053</v>
      </c>
      <c r="B1015" s="85" t="s">
        <v>6075</v>
      </c>
      <c r="C1015" s="85" t="s">
        <v>6076</v>
      </c>
      <c r="D1015" s="85" t="s">
        <v>3352</v>
      </c>
      <c r="E1015" s="85" t="s">
        <v>6076</v>
      </c>
      <c r="F1015" s="86">
        <v>140.49</v>
      </c>
      <c r="G1015" s="86">
        <v>9</v>
      </c>
      <c r="H1015" s="86">
        <v>1264.41</v>
      </c>
      <c r="I1015" s="86">
        <v>8383.8</v>
      </c>
      <c r="J1015" s="85" t="s">
        <v>2965</v>
      </c>
      <c r="K1015" s="85" t="s">
        <v>6057</v>
      </c>
      <c r="L1015" s="85" t="s">
        <v>4135</v>
      </c>
      <c r="M1015" s="85" t="s">
        <v>6077</v>
      </c>
    </row>
    <row r="1016" ht="213.75" spans="1:13">
      <c r="A1016" s="85" t="s">
        <v>6053</v>
      </c>
      <c r="B1016" s="85" t="s">
        <v>6078</v>
      </c>
      <c r="C1016" s="85" t="s">
        <v>6079</v>
      </c>
      <c r="D1016" s="85" t="s">
        <v>3625</v>
      </c>
      <c r="E1016" s="85" t="s">
        <v>6079</v>
      </c>
      <c r="F1016" s="86">
        <v>35.02</v>
      </c>
      <c r="G1016" s="86">
        <v>2</v>
      </c>
      <c r="H1016" s="86">
        <v>70.04</v>
      </c>
      <c r="I1016" s="86">
        <v>8383.8</v>
      </c>
      <c r="J1016" s="85" t="s">
        <v>2965</v>
      </c>
      <c r="K1016" s="85" t="s">
        <v>6057</v>
      </c>
      <c r="L1016" s="85" t="s">
        <v>4135</v>
      </c>
      <c r="M1016" s="85" t="s">
        <v>6080</v>
      </c>
    </row>
    <row r="1017" ht="213.75" spans="1:13">
      <c r="A1017" s="85" t="s">
        <v>6053</v>
      </c>
      <c r="B1017" s="85" t="s">
        <v>6081</v>
      </c>
      <c r="C1017" s="85" t="s">
        <v>6082</v>
      </c>
      <c r="D1017" s="85" t="s">
        <v>3054</v>
      </c>
      <c r="E1017" s="85" t="s">
        <v>6082</v>
      </c>
      <c r="F1017" s="86">
        <v>5.82</v>
      </c>
      <c r="G1017" s="86">
        <v>70</v>
      </c>
      <c r="H1017" s="86">
        <v>407.4</v>
      </c>
      <c r="I1017" s="86">
        <v>8383.8</v>
      </c>
      <c r="J1017" s="85" t="s">
        <v>2965</v>
      </c>
      <c r="K1017" s="85" t="s">
        <v>6057</v>
      </c>
      <c r="L1017" s="85" t="s">
        <v>4135</v>
      </c>
      <c r="M1017" s="85" t="s">
        <v>6083</v>
      </c>
    </row>
    <row r="1018" ht="213.75" spans="1:13">
      <c r="A1018" s="85" t="s">
        <v>6053</v>
      </c>
      <c r="B1018" s="85" t="s">
        <v>6084</v>
      </c>
      <c r="C1018" s="85" t="s">
        <v>6085</v>
      </c>
      <c r="D1018" s="85" t="s">
        <v>6056</v>
      </c>
      <c r="E1018" s="85" t="s">
        <v>6085</v>
      </c>
      <c r="F1018" s="86">
        <v>0.37</v>
      </c>
      <c r="G1018" s="86">
        <v>100</v>
      </c>
      <c r="H1018" s="86">
        <v>37</v>
      </c>
      <c r="I1018" s="86">
        <v>8383.8</v>
      </c>
      <c r="J1018" s="85" t="s">
        <v>2965</v>
      </c>
      <c r="K1018" s="85" t="s">
        <v>6057</v>
      </c>
      <c r="L1018" s="85" t="s">
        <v>4135</v>
      </c>
      <c r="M1018" s="85" t="s">
        <v>6086</v>
      </c>
    </row>
    <row r="1019" ht="213.75" spans="1:13">
      <c r="A1019" s="85" t="s">
        <v>6053</v>
      </c>
      <c r="B1019" s="85" t="s">
        <v>6087</v>
      </c>
      <c r="C1019" s="85" t="s">
        <v>6088</v>
      </c>
      <c r="D1019" s="85" t="s">
        <v>5140</v>
      </c>
      <c r="E1019" s="85" t="s">
        <v>6088</v>
      </c>
      <c r="F1019" s="86">
        <v>2.27</v>
      </c>
      <c r="G1019" s="86">
        <v>100</v>
      </c>
      <c r="H1019" s="86">
        <v>227</v>
      </c>
      <c r="I1019" s="86">
        <v>8383.8</v>
      </c>
      <c r="J1019" s="85" t="s">
        <v>2965</v>
      </c>
      <c r="K1019" s="85" t="s">
        <v>6057</v>
      </c>
      <c r="L1019" s="85" t="s">
        <v>4135</v>
      </c>
      <c r="M1019" s="85" t="s">
        <v>6089</v>
      </c>
    </row>
    <row r="1020" ht="213.75" spans="1:13">
      <c r="A1020" s="85" t="s">
        <v>6053</v>
      </c>
      <c r="B1020" s="85" t="s">
        <v>6090</v>
      </c>
      <c r="C1020" s="85" t="s">
        <v>6091</v>
      </c>
      <c r="D1020" s="85" t="s">
        <v>3352</v>
      </c>
      <c r="E1020" s="85" t="s">
        <v>6091</v>
      </c>
      <c r="F1020" s="86">
        <v>140.49</v>
      </c>
      <c r="G1020" s="86">
        <v>9</v>
      </c>
      <c r="H1020" s="86">
        <v>1264.41</v>
      </c>
      <c r="I1020" s="86">
        <v>8383.8</v>
      </c>
      <c r="J1020" s="85" t="s">
        <v>2965</v>
      </c>
      <c r="K1020" s="85" t="s">
        <v>6057</v>
      </c>
      <c r="L1020" s="85" t="s">
        <v>4135</v>
      </c>
      <c r="M1020" s="85" t="s">
        <v>6092</v>
      </c>
    </row>
    <row r="1021" ht="213.75" spans="1:13">
      <c r="A1021" s="85" t="s">
        <v>6093</v>
      </c>
      <c r="B1021" s="85" t="s">
        <v>3509</v>
      </c>
      <c r="C1021" s="85" t="s">
        <v>3510</v>
      </c>
      <c r="D1021" s="85" t="s">
        <v>3511</v>
      </c>
      <c r="E1021" s="85" t="s">
        <v>3510</v>
      </c>
      <c r="F1021" s="86">
        <v>2830</v>
      </c>
      <c r="G1021" s="86">
        <v>1</v>
      </c>
      <c r="H1021" s="86">
        <v>2830</v>
      </c>
      <c r="I1021" s="86">
        <v>2830</v>
      </c>
      <c r="J1021" s="85" t="s">
        <v>5678</v>
      </c>
      <c r="K1021" s="85" t="s">
        <v>6094</v>
      </c>
      <c r="L1021" s="85" t="s">
        <v>4135</v>
      </c>
      <c r="M1021" s="85" t="s">
        <v>6095</v>
      </c>
    </row>
    <row r="1022" ht="213.75" spans="1:13">
      <c r="A1022" s="85" t="s">
        <v>6096</v>
      </c>
      <c r="B1022" s="85" t="s">
        <v>3123</v>
      </c>
      <c r="C1022" s="85" t="s">
        <v>3124</v>
      </c>
      <c r="D1022" s="85" t="s">
        <v>3125</v>
      </c>
      <c r="E1022" s="85" t="s">
        <v>3124</v>
      </c>
      <c r="F1022" s="86">
        <v>25700</v>
      </c>
      <c r="G1022" s="86">
        <v>1</v>
      </c>
      <c r="H1022" s="86">
        <v>25700</v>
      </c>
      <c r="I1022" s="86">
        <v>25700</v>
      </c>
      <c r="J1022" s="85" t="s">
        <v>6097</v>
      </c>
      <c r="K1022" s="85" t="s">
        <v>6098</v>
      </c>
      <c r="L1022" s="85" t="s">
        <v>4135</v>
      </c>
      <c r="M1022" s="85" t="s">
        <v>6099</v>
      </c>
    </row>
    <row r="1023" ht="213.75" spans="1:13">
      <c r="A1023" s="85" t="s">
        <v>6100</v>
      </c>
      <c r="B1023" s="85" t="s">
        <v>4290</v>
      </c>
      <c r="C1023" s="85" t="s">
        <v>4291</v>
      </c>
      <c r="D1023" s="85" t="s">
        <v>3189</v>
      </c>
      <c r="E1023" s="85" t="s">
        <v>4292</v>
      </c>
      <c r="F1023" s="86">
        <v>10.8</v>
      </c>
      <c r="G1023" s="86">
        <v>20</v>
      </c>
      <c r="H1023" s="86">
        <v>216</v>
      </c>
      <c r="I1023" s="86">
        <v>1774</v>
      </c>
      <c r="J1023" s="85" t="s">
        <v>2935</v>
      </c>
      <c r="K1023" s="85" t="s">
        <v>6101</v>
      </c>
      <c r="L1023" s="85" t="s">
        <v>4135</v>
      </c>
      <c r="M1023" s="85" t="s">
        <v>6102</v>
      </c>
    </row>
    <row r="1024" ht="213.75" spans="1:13">
      <c r="A1024" s="85" t="s">
        <v>6100</v>
      </c>
      <c r="B1024" s="85" t="s">
        <v>6103</v>
      </c>
      <c r="C1024" s="85" t="s">
        <v>6104</v>
      </c>
      <c r="D1024" s="85" t="s">
        <v>3753</v>
      </c>
      <c r="E1024" s="85" t="s">
        <v>6104</v>
      </c>
      <c r="F1024" s="86">
        <v>3.6</v>
      </c>
      <c r="G1024" s="86">
        <v>20</v>
      </c>
      <c r="H1024" s="86">
        <v>72</v>
      </c>
      <c r="I1024" s="86">
        <v>1774</v>
      </c>
      <c r="J1024" s="85" t="s">
        <v>2935</v>
      </c>
      <c r="K1024" s="85" t="s">
        <v>6101</v>
      </c>
      <c r="L1024" s="85" t="s">
        <v>4135</v>
      </c>
      <c r="M1024" s="85" t="s">
        <v>6105</v>
      </c>
    </row>
    <row r="1025" ht="213.75" spans="1:13">
      <c r="A1025" s="85" t="s">
        <v>6100</v>
      </c>
      <c r="B1025" s="85" t="s">
        <v>6106</v>
      </c>
      <c r="C1025" s="85" t="s">
        <v>6107</v>
      </c>
      <c r="D1025" s="85" t="s">
        <v>3284</v>
      </c>
      <c r="E1025" s="85" t="s">
        <v>6107</v>
      </c>
      <c r="F1025" s="86">
        <v>1.6</v>
      </c>
      <c r="G1025" s="86">
        <v>20</v>
      </c>
      <c r="H1025" s="86">
        <v>32</v>
      </c>
      <c r="I1025" s="86">
        <v>1774</v>
      </c>
      <c r="J1025" s="85" t="s">
        <v>2935</v>
      </c>
      <c r="K1025" s="85" t="s">
        <v>6101</v>
      </c>
      <c r="L1025" s="85" t="s">
        <v>4135</v>
      </c>
      <c r="M1025" s="85" t="s">
        <v>6108</v>
      </c>
    </row>
    <row r="1026" ht="213.75" spans="1:13">
      <c r="A1026" s="85" t="s">
        <v>6100</v>
      </c>
      <c r="B1026" s="85" t="s">
        <v>6109</v>
      </c>
      <c r="C1026" s="85" t="s">
        <v>6110</v>
      </c>
      <c r="D1026" s="85" t="s">
        <v>6111</v>
      </c>
      <c r="E1026" s="85" t="s">
        <v>6112</v>
      </c>
      <c r="F1026" s="86">
        <v>27</v>
      </c>
      <c r="G1026" s="86">
        <v>2</v>
      </c>
      <c r="H1026" s="86">
        <v>54</v>
      </c>
      <c r="I1026" s="86">
        <v>1774</v>
      </c>
      <c r="J1026" s="85" t="s">
        <v>2935</v>
      </c>
      <c r="K1026" s="85" t="s">
        <v>6101</v>
      </c>
      <c r="L1026" s="85" t="s">
        <v>4135</v>
      </c>
      <c r="M1026" s="85" t="s">
        <v>6113</v>
      </c>
    </row>
    <row r="1027" ht="213.75" spans="1:13">
      <c r="A1027" s="85" t="s">
        <v>6100</v>
      </c>
      <c r="B1027" s="85" t="s">
        <v>6114</v>
      </c>
      <c r="C1027" s="85" t="s">
        <v>6115</v>
      </c>
      <c r="D1027" s="85" t="s">
        <v>6116</v>
      </c>
      <c r="E1027" s="85" t="s">
        <v>6117</v>
      </c>
      <c r="F1027" s="86">
        <v>16</v>
      </c>
      <c r="G1027" s="86">
        <v>10</v>
      </c>
      <c r="H1027" s="86">
        <v>160</v>
      </c>
      <c r="I1027" s="86">
        <v>1774</v>
      </c>
      <c r="J1027" s="85" t="s">
        <v>2935</v>
      </c>
      <c r="K1027" s="85" t="s">
        <v>6101</v>
      </c>
      <c r="L1027" s="85" t="s">
        <v>4135</v>
      </c>
      <c r="M1027" s="85" t="s">
        <v>6118</v>
      </c>
    </row>
    <row r="1028" ht="213.75" spans="1:13">
      <c r="A1028" s="85" t="s">
        <v>6100</v>
      </c>
      <c r="B1028" s="85" t="s">
        <v>5349</v>
      </c>
      <c r="C1028" s="85" t="s">
        <v>5350</v>
      </c>
      <c r="D1028" s="85" t="s">
        <v>3189</v>
      </c>
      <c r="E1028" s="85" t="s">
        <v>5351</v>
      </c>
      <c r="F1028" s="86">
        <v>19</v>
      </c>
      <c r="G1028" s="86">
        <v>22</v>
      </c>
      <c r="H1028" s="86">
        <v>418</v>
      </c>
      <c r="I1028" s="86">
        <v>1774</v>
      </c>
      <c r="J1028" s="85" t="s">
        <v>2935</v>
      </c>
      <c r="K1028" s="85" t="s">
        <v>6101</v>
      </c>
      <c r="L1028" s="85" t="s">
        <v>4135</v>
      </c>
      <c r="M1028" s="85" t="s">
        <v>6119</v>
      </c>
    </row>
    <row r="1029" ht="213.75" spans="1:13">
      <c r="A1029" s="85" t="s">
        <v>6100</v>
      </c>
      <c r="B1029" s="85" t="s">
        <v>6120</v>
      </c>
      <c r="C1029" s="85" t="s">
        <v>6121</v>
      </c>
      <c r="D1029" s="85" t="s">
        <v>6122</v>
      </c>
      <c r="E1029" s="85" t="s">
        <v>6123</v>
      </c>
      <c r="F1029" s="86">
        <v>50</v>
      </c>
      <c r="G1029" s="86">
        <v>2</v>
      </c>
      <c r="H1029" s="86">
        <v>100</v>
      </c>
      <c r="I1029" s="86">
        <v>1774</v>
      </c>
      <c r="J1029" s="85" t="s">
        <v>2935</v>
      </c>
      <c r="K1029" s="85" t="s">
        <v>6101</v>
      </c>
      <c r="L1029" s="85" t="s">
        <v>4135</v>
      </c>
      <c r="M1029" s="85" t="s">
        <v>6124</v>
      </c>
    </row>
    <row r="1030" ht="213.75" spans="1:13">
      <c r="A1030" s="85" t="s">
        <v>6100</v>
      </c>
      <c r="B1030" s="85" t="s">
        <v>6125</v>
      </c>
      <c r="C1030" s="85" t="s">
        <v>6126</v>
      </c>
      <c r="D1030" s="85" t="s">
        <v>6127</v>
      </c>
      <c r="E1030" s="85" t="s">
        <v>6128</v>
      </c>
      <c r="F1030" s="86">
        <v>251</v>
      </c>
      <c r="G1030" s="86">
        <v>2</v>
      </c>
      <c r="H1030" s="86">
        <v>502</v>
      </c>
      <c r="I1030" s="86">
        <v>1774</v>
      </c>
      <c r="J1030" s="85" t="s">
        <v>2935</v>
      </c>
      <c r="K1030" s="85" t="s">
        <v>6101</v>
      </c>
      <c r="L1030" s="85" t="s">
        <v>4135</v>
      </c>
      <c r="M1030" s="85" t="s">
        <v>6129</v>
      </c>
    </row>
    <row r="1031" ht="213.75" spans="1:13">
      <c r="A1031" s="85" t="s">
        <v>6100</v>
      </c>
      <c r="B1031" s="85" t="s">
        <v>6120</v>
      </c>
      <c r="C1031" s="85" t="s">
        <v>6121</v>
      </c>
      <c r="D1031" s="85" t="s">
        <v>6122</v>
      </c>
      <c r="E1031" s="85" t="s">
        <v>6123</v>
      </c>
      <c r="F1031" s="86">
        <v>30</v>
      </c>
      <c r="G1031" s="86">
        <v>2</v>
      </c>
      <c r="H1031" s="86">
        <v>60</v>
      </c>
      <c r="I1031" s="86">
        <v>1774</v>
      </c>
      <c r="J1031" s="85" t="s">
        <v>2935</v>
      </c>
      <c r="K1031" s="85" t="s">
        <v>6101</v>
      </c>
      <c r="L1031" s="85" t="s">
        <v>4135</v>
      </c>
      <c r="M1031" s="85" t="s">
        <v>6130</v>
      </c>
    </row>
    <row r="1032" ht="213.75" spans="1:13">
      <c r="A1032" s="85" t="s">
        <v>6100</v>
      </c>
      <c r="B1032" s="85" t="s">
        <v>6131</v>
      </c>
      <c r="C1032" s="85" t="s">
        <v>6132</v>
      </c>
      <c r="D1032" s="85" t="s">
        <v>3543</v>
      </c>
      <c r="E1032" s="85" t="s">
        <v>6132</v>
      </c>
      <c r="F1032" s="86">
        <v>8</v>
      </c>
      <c r="G1032" s="86">
        <v>20</v>
      </c>
      <c r="H1032" s="86">
        <v>160</v>
      </c>
      <c r="I1032" s="86">
        <v>1774</v>
      </c>
      <c r="J1032" s="85" t="s">
        <v>2935</v>
      </c>
      <c r="K1032" s="85" t="s">
        <v>6101</v>
      </c>
      <c r="L1032" s="85" t="s">
        <v>4135</v>
      </c>
      <c r="M1032" s="85" t="s">
        <v>6133</v>
      </c>
    </row>
    <row r="1033" ht="213.75" spans="1:13">
      <c r="A1033" s="85" t="s">
        <v>6134</v>
      </c>
      <c r="B1033" s="85" t="s">
        <v>6135</v>
      </c>
      <c r="C1033" s="85" t="s">
        <v>6136</v>
      </c>
      <c r="D1033" s="85" t="s">
        <v>5302</v>
      </c>
      <c r="E1033" s="85" t="s">
        <v>6137</v>
      </c>
      <c r="F1033" s="86">
        <v>235.6</v>
      </c>
      <c r="G1033" s="86">
        <v>2</v>
      </c>
      <c r="H1033" s="86">
        <v>471.2</v>
      </c>
      <c r="I1033" s="86">
        <v>5781.08</v>
      </c>
      <c r="J1033" s="85" t="s">
        <v>4391</v>
      </c>
      <c r="K1033" s="85" t="s">
        <v>6138</v>
      </c>
      <c r="L1033" s="85" t="s">
        <v>4135</v>
      </c>
      <c r="M1033" s="85" t="s">
        <v>6139</v>
      </c>
    </row>
    <row r="1034" ht="213.75" spans="1:13">
      <c r="A1034" s="85" t="s">
        <v>6134</v>
      </c>
      <c r="B1034" s="85" t="s">
        <v>6140</v>
      </c>
      <c r="C1034" s="85" t="s">
        <v>6141</v>
      </c>
      <c r="D1034" s="85" t="s">
        <v>6116</v>
      </c>
      <c r="E1034" s="85" t="s">
        <v>6117</v>
      </c>
      <c r="F1034" s="86">
        <v>48.5</v>
      </c>
      <c r="G1034" s="86">
        <v>10</v>
      </c>
      <c r="H1034" s="86">
        <v>485</v>
      </c>
      <c r="I1034" s="86">
        <v>5781.08</v>
      </c>
      <c r="J1034" s="85" t="s">
        <v>4391</v>
      </c>
      <c r="K1034" s="85" t="s">
        <v>6138</v>
      </c>
      <c r="L1034" s="85" t="s">
        <v>4135</v>
      </c>
      <c r="M1034" s="85" t="s">
        <v>6142</v>
      </c>
    </row>
    <row r="1035" ht="213.75" spans="1:13">
      <c r="A1035" s="85" t="s">
        <v>6134</v>
      </c>
      <c r="B1035" s="85" t="s">
        <v>6143</v>
      </c>
      <c r="C1035" s="85" t="s">
        <v>6144</v>
      </c>
      <c r="D1035" s="85" t="s">
        <v>3579</v>
      </c>
      <c r="E1035" s="85" t="s">
        <v>5737</v>
      </c>
      <c r="F1035" s="86">
        <v>58.5</v>
      </c>
      <c r="G1035" s="86">
        <v>5</v>
      </c>
      <c r="H1035" s="86">
        <v>292.5</v>
      </c>
      <c r="I1035" s="86">
        <v>5781.08</v>
      </c>
      <c r="J1035" s="85" t="s">
        <v>4391</v>
      </c>
      <c r="K1035" s="85" t="s">
        <v>6138</v>
      </c>
      <c r="L1035" s="85" t="s">
        <v>4135</v>
      </c>
      <c r="M1035" s="85" t="s">
        <v>6145</v>
      </c>
    </row>
    <row r="1036" ht="213.75" spans="1:13">
      <c r="A1036" s="85" t="s">
        <v>6134</v>
      </c>
      <c r="B1036" s="85" t="s">
        <v>6146</v>
      </c>
      <c r="C1036" s="85" t="s">
        <v>6147</v>
      </c>
      <c r="D1036" s="85" t="s">
        <v>4752</v>
      </c>
      <c r="E1036" s="85" t="s">
        <v>4753</v>
      </c>
      <c r="F1036" s="86">
        <v>23.95</v>
      </c>
      <c r="G1036" s="86">
        <v>30</v>
      </c>
      <c r="H1036" s="86">
        <v>718.5</v>
      </c>
      <c r="I1036" s="86">
        <v>5781.08</v>
      </c>
      <c r="J1036" s="85" t="s">
        <v>4391</v>
      </c>
      <c r="K1036" s="85" t="s">
        <v>6138</v>
      </c>
      <c r="L1036" s="85" t="s">
        <v>4135</v>
      </c>
      <c r="M1036" s="85" t="s">
        <v>6148</v>
      </c>
    </row>
    <row r="1037" ht="213.75" spans="1:13">
      <c r="A1037" s="85" t="s">
        <v>6134</v>
      </c>
      <c r="B1037" s="85" t="s">
        <v>5742</v>
      </c>
      <c r="C1037" s="85" t="s">
        <v>5743</v>
      </c>
      <c r="D1037" s="85" t="s">
        <v>5744</v>
      </c>
      <c r="E1037" s="85" t="s">
        <v>5745</v>
      </c>
      <c r="F1037" s="86">
        <v>18.99</v>
      </c>
      <c r="G1037" s="86">
        <v>20</v>
      </c>
      <c r="H1037" s="86">
        <v>379.8</v>
      </c>
      <c r="I1037" s="86">
        <v>5781.08</v>
      </c>
      <c r="J1037" s="85" t="s">
        <v>4391</v>
      </c>
      <c r="K1037" s="85" t="s">
        <v>6138</v>
      </c>
      <c r="L1037" s="85" t="s">
        <v>4135</v>
      </c>
      <c r="M1037" s="85" t="s">
        <v>6149</v>
      </c>
    </row>
    <row r="1038" ht="213.75" spans="1:13">
      <c r="A1038" s="85" t="s">
        <v>6134</v>
      </c>
      <c r="B1038" s="85" t="s">
        <v>5429</v>
      </c>
      <c r="C1038" s="85" t="s">
        <v>5430</v>
      </c>
      <c r="D1038" s="85" t="s">
        <v>5431</v>
      </c>
      <c r="E1038" s="85" t="s">
        <v>5432</v>
      </c>
      <c r="F1038" s="86">
        <v>117.5</v>
      </c>
      <c r="G1038" s="86">
        <v>10</v>
      </c>
      <c r="H1038" s="86">
        <v>1175</v>
      </c>
      <c r="I1038" s="86">
        <v>5781.08</v>
      </c>
      <c r="J1038" s="85" t="s">
        <v>4391</v>
      </c>
      <c r="K1038" s="85" t="s">
        <v>6138</v>
      </c>
      <c r="L1038" s="85" t="s">
        <v>4135</v>
      </c>
      <c r="M1038" s="85" t="s">
        <v>6150</v>
      </c>
    </row>
    <row r="1039" ht="213.75" spans="1:13">
      <c r="A1039" s="85" t="s">
        <v>6134</v>
      </c>
      <c r="B1039" s="85" t="s">
        <v>6151</v>
      </c>
      <c r="C1039" s="85" t="s">
        <v>6152</v>
      </c>
      <c r="D1039" s="85" t="s">
        <v>6153</v>
      </c>
      <c r="E1039" s="85" t="s">
        <v>6154</v>
      </c>
      <c r="F1039" s="86">
        <v>18.9</v>
      </c>
      <c r="G1039" s="86">
        <v>2</v>
      </c>
      <c r="H1039" s="86">
        <v>37.8</v>
      </c>
      <c r="I1039" s="86">
        <v>5781.08</v>
      </c>
      <c r="J1039" s="85" t="s">
        <v>4391</v>
      </c>
      <c r="K1039" s="85" t="s">
        <v>6138</v>
      </c>
      <c r="L1039" s="85" t="s">
        <v>4135</v>
      </c>
      <c r="M1039" s="85" t="s">
        <v>6155</v>
      </c>
    </row>
    <row r="1040" ht="213.75" spans="1:13">
      <c r="A1040" s="85" t="s">
        <v>6134</v>
      </c>
      <c r="B1040" s="85" t="s">
        <v>3931</v>
      </c>
      <c r="C1040" s="85" t="s">
        <v>3932</v>
      </c>
      <c r="D1040" s="85" t="s">
        <v>3189</v>
      </c>
      <c r="E1040" s="85" t="s">
        <v>3933</v>
      </c>
      <c r="F1040" s="86">
        <v>25.8</v>
      </c>
      <c r="G1040" s="86">
        <v>5</v>
      </c>
      <c r="H1040" s="86">
        <v>129</v>
      </c>
      <c r="I1040" s="86">
        <v>5781.08</v>
      </c>
      <c r="J1040" s="85" t="s">
        <v>4391</v>
      </c>
      <c r="K1040" s="85" t="s">
        <v>6138</v>
      </c>
      <c r="L1040" s="85" t="s">
        <v>4135</v>
      </c>
      <c r="M1040" s="85" t="s">
        <v>6156</v>
      </c>
    </row>
    <row r="1041" ht="213.75" spans="1:13">
      <c r="A1041" s="85" t="s">
        <v>6134</v>
      </c>
      <c r="B1041" s="85" t="s">
        <v>5750</v>
      </c>
      <c r="C1041" s="85" t="s">
        <v>5751</v>
      </c>
      <c r="D1041" s="85" t="s">
        <v>2982</v>
      </c>
      <c r="E1041" s="85" t="s">
        <v>5752</v>
      </c>
      <c r="F1041" s="86">
        <v>35.8</v>
      </c>
      <c r="G1041" s="86">
        <v>40</v>
      </c>
      <c r="H1041" s="86">
        <v>1432</v>
      </c>
      <c r="I1041" s="86">
        <v>5781.08</v>
      </c>
      <c r="J1041" s="85" t="s">
        <v>4391</v>
      </c>
      <c r="K1041" s="85" t="s">
        <v>6138</v>
      </c>
      <c r="L1041" s="85" t="s">
        <v>4135</v>
      </c>
      <c r="M1041" s="85" t="s">
        <v>6157</v>
      </c>
    </row>
    <row r="1042" ht="213.75" spans="1:13">
      <c r="A1042" s="85" t="s">
        <v>6134</v>
      </c>
      <c r="B1042" s="85" t="s">
        <v>5413</v>
      </c>
      <c r="C1042" s="85" t="s">
        <v>5414</v>
      </c>
      <c r="D1042" s="85" t="s">
        <v>3189</v>
      </c>
      <c r="E1042" s="85" t="s">
        <v>5414</v>
      </c>
      <c r="F1042" s="86">
        <v>37.16</v>
      </c>
      <c r="G1042" s="86">
        <v>8</v>
      </c>
      <c r="H1042" s="86">
        <v>297.28</v>
      </c>
      <c r="I1042" s="86">
        <v>5781.08</v>
      </c>
      <c r="J1042" s="85" t="s">
        <v>4391</v>
      </c>
      <c r="K1042" s="85" t="s">
        <v>6138</v>
      </c>
      <c r="L1042" s="85" t="s">
        <v>4135</v>
      </c>
      <c r="M1042" s="85" t="s">
        <v>6158</v>
      </c>
    </row>
    <row r="1043" ht="213.75" spans="1:13">
      <c r="A1043" s="85" t="s">
        <v>6134</v>
      </c>
      <c r="B1043" s="85" t="s">
        <v>5021</v>
      </c>
      <c r="C1043" s="85" t="s">
        <v>5022</v>
      </c>
      <c r="D1043" s="85" t="s">
        <v>5023</v>
      </c>
      <c r="E1043" s="85" t="s">
        <v>5024</v>
      </c>
      <c r="F1043" s="86">
        <v>12.18</v>
      </c>
      <c r="G1043" s="86">
        <v>20</v>
      </c>
      <c r="H1043" s="86">
        <v>243.6</v>
      </c>
      <c r="I1043" s="86">
        <v>5781.08</v>
      </c>
      <c r="J1043" s="85" t="s">
        <v>4391</v>
      </c>
      <c r="K1043" s="85" t="s">
        <v>6138</v>
      </c>
      <c r="L1043" s="85" t="s">
        <v>4135</v>
      </c>
      <c r="M1043" s="85" t="s">
        <v>6159</v>
      </c>
    </row>
    <row r="1044" ht="213.75" spans="1:13">
      <c r="A1044" s="85" t="s">
        <v>6134</v>
      </c>
      <c r="B1044" s="85" t="s">
        <v>6160</v>
      </c>
      <c r="C1044" s="85" t="s">
        <v>6161</v>
      </c>
      <c r="D1044" s="85" t="s">
        <v>5552</v>
      </c>
      <c r="E1044" s="85" t="s">
        <v>6162</v>
      </c>
      <c r="F1044" s="86">
        <v>59.7</v>
      </c>
      <c r="G1044" s="86">
        <v>2</v>
      </c>
      <c r="H1044" s="86">
        <v>119.4</v>
      </c>
      <c r="I1044" s="86">
        <v>5781.08</v>
      </c>
      <c r="J1044" s="85" t="s">
        <v>4391</v>
      </c>
      <c r="K1044" s="85" t="s">
        <v>6138</v>
      </c>
      <c r="L1044" s="85" t="s">
        <v>4135</v>
      </c>
      <c r="M1044" s="85" t="s">
        <v>6163</v>
      </c>
    </row>
    <row r="1045" ht="213.75" spans="1:13">
      <c r="A1045" s="85" t="s">
        <v>6164</v>
      </c>
      <c r="B1045" s="85" t="s">
        <v>6165</v>
      </c>
      <c r="C1045" s="85" t="s">
        <v>6166</v>
      </c>
      <c r="D1045" s="85" t="s">
        <v>2973</v>
      </c>
      <c r="E1045" s="85" t="s">
        <v>6166</v>
      </c>
      <c r="F1045" s="86">
        <v>288</v>
      </c>
      <c r="G1045" s="86">
        <v>5</v>
      </c>
      <c r="H1045" s="86">
        <v>1440</v>
      </c>
      <c r="I1045" s="86">
        <v>14200.02</v>
      </c>
      <c r="J1045" s="85" t="s">
        <v>2965</v>
      </c>
      <c r="K1045" s="85" t="s">
        <v>6167</v>
      </c>
      <c r="L1045" s="85" t="s">
        <v>4135</v>
      </c>
      <c r="M1045" s="85" t="s">
        <v>6168</v>
      </c>
    </row>
    <row r="1046" ht="213.75" spans="1:13">
      <c r="A1046" s="85" t="s">
        <v>6164</v>
      </c>
      <c r="B1046" s="85" t="s">
        <v>5585</v>
      </c>
      <c r="C1046" s="85" t="s">
        <v>5586</v>
      </c>
      <c r="D1046" s="85" t="s">
        <v>3617</v>
      </c>
      <c r="E1046" s="85" t="s">
        <v>5586</v>
      </c>
      <c r="F1046" s="86">
        <v>32</v>
      </c>
      <c r="G1046" s="86">
        <v>50</v>
      </c>
      <c r="H1046" s="86">
        <v>1600</v>
      </c>
      <c r="I1046" s="86">
        <v>14200.02</v>
      </c>
      <c r="J1046" s="85" t="s">
        <v>2965</v>
      </c>
      <c r="K1046" s="85" t="s">
        <v>6167</v>
      </c>
      <c r="L1046" s="85" t="s">
        <v>4135</v>
      </c>
      <c r="M1046" s="85" t="s">
        <v>6169</v>
      </c>
    </row>
    <row r="1047" ht="213.75" spans="1:13">
      <c r="A1047" s="85" t="s">
        <v>6164</v>
      </c>
      <c r="B1047" s="85" t="s">
        <v>5914</v>
      </c>
      <c r="C1047" s="85" t="s">
        <v>5915</v>
      </c>
      <c r="D1047" s="85" t="s">
        <v>2982</v>
      </c>
      <c r="E1047" s="85" t="s">
        <v>5915</v>
      </c>
      <c r="F1047" s="86">
        <v>16.9</v>
      </c>
      <c r="G1047" s="86">
        <v>20</v>
      </c>
      <c r="H1047" s="86">
        <v>338</v>
      </c>
      <c r="I1047" s="86">
        <v>14200.02</v>
      </c>
      <c r="J1047" s="85" t="s">
        <v>2965</v>
      </c>
      <c r="K1047" s="85" t="s">
        <v>6167</v>
      </c>
      <c r="L1047" s="85" t="s">
        <v>4135</v>
      </c>
      <c r="M1047" s="85" t="s">
        <v>6170</v>
      </c>
    </row>
    <row r="1048" ht="213.75" spans="1:13">
      <c r="A1048" s="85" t="s">
        <v>6164</v>
      </c>
      <c r="B1048" s="85" t="s">
        <v>5539</v>
      </c>
      <c r="C1048" s="85" t="s">
        <v>5540</v>
      </c>
      <c r="D1048" s="85" t="s">
        <v>3617</v>
      </c>
      <c r="E1048" s="85" t="s">
        <v>5540</v>
      </c>
      <c r="F1048" s="86">
        <v>30.85</v>
      </c>
      <c r="G1048" s="86">
        <v>50</v>
      </c>
      <c r="H1048" s="86">
        <v>1542.5</v>
      </c>
      <c r="I1048" s="86">
        <v>14200.02</v>
      </c>
      <c r="J1048" s="85" t="s">
        <v>2965</v>
      </c>
      <c r="K1048" s="85" t="s">
        <v>6167</v>
      </c>
      <c r="L1048" s="85" t="s">
        <v>4135</v>
      </c>
      <c r="M1048" s="85" t="s">
        <v>6171</v>
      </c>
    </row>
    <row r="1049" ht="213.75" spans="1:13">
      <c r="A1049" s="85" t="s">
        <v>6164</v>
      </c>
      <c r="B1049" s="85" t="s">
        <v>3396</v>
      </c>
      <c r="C1049" s="85" t="s">
        <v>3397</v>
      </c>
      <c r="D1049" s="85" t="s">
        <v>3398</v>
      </c>
      <c r="E1049" s="85" t="s">
        <v>3397</v>
      </c>
      <c r="F1049" s="86">
        <v>1091.09</v>
      </c>
      <c r="G1049" s="86">
        <v>2</v>
      </c>
      <c r="H1049" s="86">
        <v>2182.18</v>
      </c>
      <c r="I1049" s="86">
        <v>14200.02</v>
      </c>
      <c r="J1049" s="85" t="s">
        <v>2965</v>
      </c>
      <c r="K1049" s="85" t="s">
        <v>6167</v>
      </c>
      <c r="L1049" s="85" t="s">
        <v>4135</v>
      </c>
      <c r="M1049" s="85" t="s">
        <v>6172</v>
      </c>
    </row>
    <row r="1050" ht="213.75" spans="1:13">
      <c r="A1050" s="85" t="s">
        <v>6164</v>
      </c>
      <c r="B1050" s="85" t="s">
        <v>6001</v>
      </c>
      <c r="C1050" s="85" t="s">
        <v>6002</v>
      </c>
      <c r="D1050" s="85" t="s">
        <v>3656</v>
      </c>
      <c r="E1050" s="85" t="s">
        <v>6002</v>
      </c>
      <c r="F1050" s="86">
        <v>12</v>
      </c>
      <c r="G1050" s="86">
        <v>10</v>
      </c>
      <c r="H1050" s="86">
        <v>120</v>
      </c>
      <c r="I1050" s="86">
        <v>14200.02</v>
      </c>
      <c r="J1050" s="85" t="s">
        <v>2965</v>
      </c>
      <c r="K1050" s="85" t="s">
        <v>6167</v>
      </c>
      <c r="L1050" s="85" t="s">
        <v>4135</v>
      </c>
      <c r="M1050" s="85" t="s">
        <v>6173</v>
      </c>
    </row>
    <row r="1051" ht="213.75" spans="1:13">
      <c r="A1051" s="85" t="s">
        <v>6164</v>
      </c>
      <c r="B1051" s="85" t="s">
        <v>6174</v>
      </c>
      <c r="C1051" s="85" t="s">
        <v>6175</v>
      </c>
      <c r="D1051" s="85" t="s">
        <v>3197</v>
      </c>
      <c r="E1051" s="85" t="s">
        <v>6175</v>
      </c>
      <c r="F1051" s="86">
        <v>29.12</v>
      </c>
      <c r="G1051" s="86">
        <v>50</v>
      </c>
      <c r="H1051" s="86">
        <v>1456</v>
      </c>
      <c r="I1051" s="86">
        <v>14200.02</v>
      </c>
      <c r="J1051" s="85" t="s">
        <v>2965</v>
      </c>
      <c r="K1051" s="85" t="s">
        <v>6167</v>
      </c>
      <c r="L1051" s="85" t="s">
        <v>4135</v>
      </c>
      <c r="M1051" s="85" t="s">
        <v>6176</v>
      </c>
    </row>
    <row r="1052" ht="213.75" spans="1:13">
      <c r="A1052" s="85" t="s">
        <v>6164</v>
      </c>
      <c r="B1052" s="85" t="s">
        <v>6177</v>
      </c>
      <c r="C1052" s="85" t="s">
        <v>6178</v>
      </c>
      <c r="D1052" s="85" t="s">
        <v>6179</v>
      </c>
      <c r="E1052" s="85" t="s">
        <v>6178</v>
      </c>
      <c r="F1052" s="86">
        <v>279.75</v>
      </c>
      <c r="G1052" s="86">
        <v>6</v>
      </c>
      <c r="H1052" s="86">
        <v>1678.5</v>
      </c>
      <c r="I1052" s="86">
        <v>14200.02</v>
      </c>
      <c r="J1052" s="85" t="s">
        <v>2965</v>
      </c>
      <c r="K1052" s="85" t="s">
        <v>6167</v>
      </c>
      <c r="L1052" s="85" t="s">
        <v>4135</v>
      </c>
      <c r="M1052" s="85" t="s">
        <v>6180</v>
      </c>
    </row>
    <row r="1053" ht="213.75" spans="1:13">
      <c r="A1053" s="85" t="s">
        <v>6164</v>
      </c>
      <c r="B1053" s="85" t="s">
        <v>5877</v>
      </c>
      <c r="C1053" s="85" t="s">
        <v>5878</v>
      </c>
      <c r="D1053" s="85" t="s">
        <v>5879</v>
      </c>
      <c r="E1053" s="85" t="s">
        <v>5878</v>
      </c>
      <c r="F1053" s="86">
        <v>11</v>
      </c>
      <c r="G1053" s="86">
        <v>50</v>
      </c>
      <c r="H1053" s="86">
        <v>550</v>
      </c>
      <c r="I1053" s="86">
        <v>14200.02</v>
      </c>
      <c r="J1053" s="85" t="s">
        <v>2965</v>
      </c>
      <c r="K1053" s="85" t="s">
        <v>6167</v>
      </c>
      <c r="L1053" s="85" t="s">
        <v>4135</v>
      </c>
      <c r="M1053" s="85" t="s">
        <v>6181</v>
      </c>
    </row>
    <row r="1054" ht="213.75" spans="1:13">
      <c r="A1054" s="85" t="s">
        <v>6164</v>
      </c>
      <c r="B1054" s="85" t="s">
        <v>3724</v>
      </c>
      <c r="C1054" s="85" t="s">
        <v>3725</v>
      </c>
      <c r="D1054" s="85" t="s">
        <v>2977</v>
      </c>
      <c r="E1054" s="85" t="s">
        <v>3725</v>
      </c>
      <c r="F1054" s="86">
        <v>14.47</v>
      </c>
      <c r="G1054" s="86">
        <v>200</v>
      </c>
      <c r="H1054" s="86">
        <v>2894</v>
      </c>
      <c r="I1054" s="86">
        <v>14200.02</v>
      </c>
      <c r="J1054" s="85" t="s">
        <v>2965</v>
      </c>
      <c r="K1054" s="85" t="s">
        <v>6167</v>
      </c>
      <c r="L1054" s="85" t="s">
        <v>4135</v>
      </c>
      <c r="M1054" s="85" t="s">
        <v>6182</v>
      </c>
    </row>
    <row r="1055" ht="213.75" spans="1:13">
      <c r="A1055" s="85" t="s">
        <v>6164</v>
      </c>
      <c r="B1055" s="85" t="s">
        <v>6183</v>
      </c>
      <c r="C1055" s="85" t="s">
        <v>6184</v>
      </c>
      <c r="D1055" s="85" t="s">
        <v>5766</v>
      </c>
      <c r="E1055" s="85" t="s">
        <v>6184</v>
      </c>
      <c r="F1055" s="86">
        <v>19.9</v>
      </c>
      <c r="G1055" s="86">
        <v>10</v>
      </c>
      <c r="H1055" s="86">
        <v>199</v>
      </c>
      <c r="I1055" s="86">
        <v>14200.02</v>
      </c>
      <c r="J1055" s="85" t="s">
        <v>2965</v>
      </c>
      <c r="K1055" s="85" t="s">
        <v>6167</v>
      </c>
      <c r="L1055" s="85" t="s">
        <v>4135</v>
      </c>
      <c r="M1055" s="85" t="s">
        <v>6185</v>
      </c>
    </row>
    <row r="1056" ht="213.75" spans="1:13">
      <c r="A1056" s="85" t="s">
        <v>6164</v>
      </c>
      <c r="B1056" s="85" t="s">
        <v>4560</v>
      </c>
      <c r="C1056" s="85" t="s">
        <v>4561</v>
      </c>
      <c r="D1056" s="85" t="s">
        <v>3153</v>
      </c>
      <c r="E1056" s="85" t="s">
        <v>4561</v>
      </c>
      <c r="F1056" s="86">
        <v>49.96</v>
      </c>
      <c r="G1056" s="86">
        <v>4</v>
      </c>
      <c r="H1056" s="86">
        <v>199.84</v>
      </c>
      <c r="I1056" s="86">
        <v>14200.02</v>
      </c>
      <c r="J1056" s="85" t="s">
        <v>2965</v>
      </c>
      <c r="K1056" s="85" t="s">
        <v>6167</v>
      </c>
      <c r="L1056" s="85" t="s">
        <v>4135</v>
      </c>
      <c r="M1056" s="85" t="s">
        <v>6186</v>
      </c>
    </row>
    <row r="1057" ht="213.75" spans="1:13">
      <c r="A1057" s="85" t="s">
        <v>6187</v>
      </c>
      <c r="B1057" s="85" t="s">
        <v>4622</v>
      </c>
      <c r="C1057" s="85" t="s">
        <v>4623</v>
      </c>
      <c r="D1057" s="85" t="s">
        <v>4617</v>
      </c>
      <c r="E1057" s="85" t="s">
        <v>4618</v>
      </c>
      <c r="F1057" s="86">
        <v>580</v>
      </c>
      <c r="G1057" s="86">
        <v>24</v>
      </c>
      <c r="H1057" s="86">
        <v>13920</v>
      </c>
      <c r="I1057" s="86">
        <v>27120</v>
      </c>
      <c r="J1057" s="85" t="s">
        <v>4619</v>
      </c>
      <c r="K1057" s="85" t="s">
        <v>6188</v>
      </c>
      <c r="L1057" s="85" t="s">
        <v>4135</v>
      </c>
      <c r="M1057" s="85" t="s">
        <v>6189</v>
      </c>
    </row>
    <row r="1058" ht="213.75" spans="1:13">
      <c r="A1058" s="85" t="s">
        <v>6187</v>
      </c>
      <c r="B1058" s="85" t="s">
        <v>4625</v>
      </c>
      <c r="C1058" s="85" t="s">
        <v>4626</v>
      </c>
      <c r="D1058" s="85" t="s">
        <v>4617</v>
      </c>
      <c r="E1058" s="85" t="s">
        <v>4618</v>
      </c>
      <c r="F1058" s="86">
        <v>550</v>
      </c>
      <c r="G1058" s="86">
        <v>24</v>
      </c>
      <c r="H1058" s="86">
        <v>13200</v>
      </c>
      <c r="I1058" s="86">
        <v>27120</v>
      </c>
      <c r="J1058" s="85" t="s">
        <v>4619</v>
      </c>
      <c r="K1058" s="85" t="s">
        <v>6188</v>
      </c>
      <c r="L1058" s="85" t="s">
        <v>4135</v>
      </c>
      <c r="M1058" s="85" t="s">
        <v>6190</v>
      </c>
    </row>
    <row r="1059" ht="213.75" spans="1:13">
      <c r="A1059" s="85" t="s">
        <v>6191</v>
      </c>
      <c r="B1059" s="85" t="s">
        <v>6192</v>
      </c>
      <c r="C1059" s="85" t="s">
        <v>6193</v>
      </c>
      <c r="D1059" s="85" t="s">
        <v>5040</v>
      </c>
      <c r="E1059" s="85" t="s">
        <v>5041</v>
      </c>
      <c r="F1059" s="86">
        <v>255</v>
      </c>
      <c r="G1059" s="86">
        <v>95</v>
      </c>
      <c r="H1059" s="86">
        <v>24327</v>
      </c>
      <c r="I1059" s="86">
        <v>24327</v>
      </c>
      <c r="J1059" s="85" t="s">
        <v>2935</v>
      </c>
      <c r="K1059" s="85" t="s">
        <v>6194</v>
      </c>
      <c r="L1059" s="85" t="s">
        <v>4135</v>
      </c>
      <c r="M1059" s="85" t="s">
        <v>6195</v>
      </c>
    </row>
    <row r="1060" ht="213.75" spans="1:13">
      <c r="A1060" s="85" t="s">
        <v>6196</v>
      </c>
      <c r="B1060" s="85" t="s">
        <v>3195</v>
      </c>
      <c r="C1060" s="85" t="s">
        <v>3196</v>
      </c>
      <c r="D1060" s="85" t="s">
        <v>3197</v>
      </c>
      <c r="E1060" s="85" t="s">
        <v>3196</v>
      </c>
      <c r="F1060" s="86">
        <v>14.65</v>
      </c>
      <c r="G1060" s="86">
        <v>10</v>
      </c>
      <c r="H1060" s="86">
        <v>146.5</v>
      </c>
      <c r="I1060" s="86">
        <v>16792.2</v>
      </c>
      <c r="J1060" s="85" t="s">
        <v>2965</v>
      </c>
      <c r="K1060" s="85" t="s">
        <v>6197</v>
      </c>
      <c r="L1060" s="85" t="s">
        <v>4135</v>
      </c>
      <c r="M1060" s="85" t="s">
        <v>6198</v>
      </c>
    </row>
    <row r="1061" ht="213.75" spans="1:13">
      <c r="A1061" s="85" t="s">
        <v>6196</v>
      </c>
      <c r="B1061" s="85" t="s">
        <v>3739</v>
      </c>
      <c r="C1061" s="85" t="s">
        <v>3740</v>
      </c>
      <c r="D1061" s="85" t="s">
        <v>2977</v>
      </c>
      <c r="E1061" s="85" t="s">
        <v>3740</v>
      </c>
      <c r="F1061" s="86">
        <v>5.46</v>
      </c>
      <c r="G1061" s="86">
        <v>250</v>
      </c>
      <c r="H1061" s="86">
        <v>1365</v>
      </c>
      <c r="I1061" s="86">
        <v>16792.2</v>
      </c>
      <c r="J1061" s="85" t="s">
        <v>2965</v>
      </c>
      <c r="K1061" s="85" t="s">
        <v>6197</v>
      </c>
      <c r="L1061" s="85" t="s">
        <v>4135</v>
      </c>
      <c r="M1061" s="85" t="s">
        <v>6199</v>
      </c>
    </row>
    <row r="1062" ht="213.75" spans="1:13">
      <c r="A1062" s="85" t="s">
        <v>6196</v>
      </c>
      <c r="B1062" s="85" t="s">
        <v>5477</v>
      </c>
      <c r="C1062" s="85" t="s">
        <v>5478</v>
      </c>
      <c r="D1062" s="85" t="s">
        <v>5479</v>
      </c>
      <c r="E1062" s="85" t="s">
        <v>5478</v>
      </c>
      <c r="F1062" s="86">
        <v>30</v>
      </c>
      <c r="G1062" s="86">
        <v>100</v>
      </c>
      <c r="H1062" s="86">
        <v>3000</v>
      </c>
      <c r="I1062" s="86">
        <v>16792.2</v>
      </c>
      <c r="J1062" s="85" t="s">
        <v>2965</v>
      </c>
      <c r="K1062" s="85" t="s">
        <v>6197</v>
      </c>
      <c r="L1062" s="85" t="s">
        <v>4135</v>
      </c>
      <c r="M1062" s="85" t="s">
        <v>6200</v>
      </c>
    </row>
    <row r="1063" ht="213.75" spans="1:13">
      <c r="A1063" s="85" t="s">
        <v>6196</v>
      </c>
      <c r="B1063" s="85" t="s">
        <v>6201</v>
      </c>
      <c r="C1063" s="85" t="s">
        <v>6202</v>
      </c>
      <c r="D1063" s="85" t="s">
        <v>5140</v>
      </c>
      <c r="E1063" s="85" t="s">
        <v>6202</v>
      </c>
      <c r="F1063" s="86">
        <v>6.18</v>
      </c>
      <c r="G1063" s="86">
        <v>100</v>
      </c>
      <c r="H1063" s="86">
        <v>618</v>
      </c>
      <c r="I1063" s="86">
        <v>16792.2</v>
      </c>
      <c r="J1063" s="85" t="s">
        <v>2965</v>
      </c>
      <c r="K1063" s="85" t="s">
        <v>6197</v>
      </c>
      <c r="L1063" s="85" t="s">
        <v>4135</v>
      </c>
      <c r="M1063" s="85" t="s">
        <v>6203</v>
      </c>
    </row>
    <row r="1064" ht="213.75" spans="1:13">
      <c r="A1064" s="85" t="s">
        <v>6196</v>
      </c>
      <c r="B1064" s="85" t="s">
        <v>4028</v>
      </c>
      <c r="C1064" s="85" t="s">
        <v>4029</v>
      </c>
      <c r="D1064" s="85" t="s">
        <v>4030</v>
      </c>
      <c r="E1064" s="85" t="s">
        <v>4029</v>
      </c>
      <c r="F1064" s="86">
        <v>2.11</v>
      </c>
      <c r="G1064" s="86">
        <v>30</v>
      </c>
      <c r="H1064" s="86">
        <v>63.3</v>
      </c>
      <c r="I1064" s="86">
        <v>16792.2</v>
      </c>
      <c r="J1064" s="85" t="s">
        <v>2965</v>
      </c>
      <c r="K1064" s="85" t="s">
        <v>6197</v>
      </c>
      <c r="L1064" s="85" t="s">
        <v>4135</v>
      </c>
      <c r="M1064" s="85" t="s">
        <v>6204</v>
      </c>
    </row>
    <row r="1065" ht="213.75" spans="1:13">
      <c r="A1065" s="85" t="s">
        <v>6196</v>
      </c>
      <c r="B1065" s="85" t="s">
        <v>4787</v>
      </c>
      <c r="C1065" s="85" t="s">
        <v>4788</v>
      </c>
      <c r="D1065" s="85" t="s">
        <v>2977</v>
      </c>
      <c r="E1065" s="85" t="s">
        <v>4788</v>
      </c>
      <c r="F1065" s="86">
        <v>5.46</v>
      </c>
      <c r="G1065" s="86">
        <v>250</v>
      </c>
      <c r="H1065" s="86">
        <v>1365</v>
      </c>
      <c r="I1065" s="86">
        <v>16792.2</v>
      </c>
      <c r="J1065" s="85" t="s">
        <v>2965</v>
      </c>
      <c r="K1065" s="85" t="s">
        <v>6197</v>
      </c>
      <c r="L1065" s="85" t="s">
        <v>4135</v>
      </c>
      <c r="M1065" s="85" t="s">
        <v>6205</v>
      </c>
    </row>
    <row r="1066" ht="213.75" spans="1:13">
      <c r="A1066" s="85" t="s">
        <v>6206</v>
      </c>
      <c r="B1066" s="85" t="s">
        <v>3077</v>
      </c>
      <c r="C1066" s="85" t="s">
        <v>3078</v>
      </c>
      <c r="D1066" s="85" t="s">
        <v>2992</v>
      </c>
      <c r="E1066" s="85" t="s">
        <v>1815</v>
      </c>
      <c r="F1066" s="86">
        <v>36</v>
      </c>
      <c r="G1066" s="86">
        <v>80</v>
      </c>
      <c r="H1066" s="86">
        <v>2880</v>
      </c>
      <c r="I1066" s="86">
        <v>16710.62</v>
      </c>
      <c r="J1066" s="85" t="s">
        <v>2958</v>
      </c>
      <c r="K1066" s="85" t="s">
        <v>6197</v>
      </c>
      <c r="L1066" s="85" t="s">
        <v>4135</v>
      </c>
      <c r="M1066" s="85" t="s">
        <v>6207</v>
      </c>
    </row>
    <row r="1067" ht="213.75" spans="1:13">
      <c r="A1067" s="85" t="s">
        <v>6196</v>
      </c>
      <c r="B1067" s="85" t="s">
        <v>6208</v>
      </c>
      <c r="C1067" s="85" t="s">
        <v>6209</v>
      </c>
      <c r="D1067" s="85" t="s">
        <v>3153</v>
      </c>
      <c r="E1067" s="85" t="s">
        <v>6209</v>
      </c>
      <c r="F1067" s="86">
        <v>250.25</v>
      </c>
      <c r="G1067" s="86">
        <v>2</v>
      </c>
      <c r="H1067" s="86">
        <v>500.5</v>
      </c>
      <c r="I1067" s="86">
        <v>16792.2</v>
      </c>
      <c r="J1067" s="85" t="s">
        <v>2965</v>
      </c>
      <c r="K1067" s="85" t="s">
        <v>6197</v>
      </c>
      <c r="L1067" s="85" t="s">
        <v>4135</v>
      </c>
      <c r="M1067" s="85" t="s">
        <v>6210</v>
      </c>
    </row>
    <row r="1068" ht="213.75" spans="1:13">
      <c r="A1068" s="85" t="s">
        <v>6206</v>
      </c>
      <c r="B1068" s="85" t="s">
        <v>6017</v>
      </c>
      <c r="C1068" s="85" t="s">
        <v>6018</v>
      </c>
      <c r="D1068" s="85" t="s">
        <v>5574</v>
      </c>
      <c r="E1068" s="85" t="s">
        <v>1787</v>
      </c>
      <c r="F1068" s="86">
        <v>32</v>
      </c>
      <c r="G1068" s="86">
        <v>50</v>
      </c>
      <c r="H1068" s="86">
        <v>1600</v>
      </c>
      <c r="I1068" s="86">
        <v>16710.62</v>
      </c>
      <c r="J1068" s="85" t="s">
        <v>2958</v>
      </c>
      <c r="K1068" s="85" t="s">
        <v>6197</v>
      </c>
      <c r="L1068" s="85" t="s">
        <v>4135</v>
      </c>
      <c r="M1068" s="85" t="s">
        <v>6211</v>
      </c>
    </row>
    <row r="1069" ht="213.75" spans="1:13">
      <c r="A1069" s="85" t="s">
        <v>6206</v>
      </c>
      <c r="B1069" s="85" t="s">
        <v>3500</v>
      </c>
      <c r="C1069" s="85" t="s">
        <v>3501</v>
      </c>
      <c r="D1069" s="85" t="s">
        <v>2992</v>
      </c>
      <c r="E1069" s="85" t="s">
        <v>1815</v>
      </c>
      <c r="F1069" s="86">
        <v>17.7</v>
      </c>
      <c r="G1069" s="86">
        <v>160</v>
      </c>
      <c r="H1069" s="86">
        <v>2832</v>
      </c>
      <c r="I1069" s="86">
        <v>16710.62</v>
      </c>
      <c r="J1069" s="85" t="s">
        <v>2958</v>
      </c>
      <c r="K1069" s="85" t="s">
        <v>6197</v>
      </c>
      <c r="L1069" s="85" t="s">
        <v>4135</v>
      </c>
      <c r="M1069" s="85" t="s">
        <v>6212</v>
      </c>
    </row>
    <row r="1070" ht="213.75" spans="1:13">
      <c r="A1070" s="85" t="s">
        <v>6206</v>
      </c>
      <c r="B1070" s="85" t="s">
        <v>6032</v>
      </c>
      <c r="C1070" s="85" t="s">
        <v>6033</v>
      </c>
      <c r="D1070" s="85" t="s">
        <v>2982</v>
      </c>
      <c r="E1070" s="85" t="s">
        <v>5752</v>
      </c>
      <c r="F1070" s="86">
        <v>14.75</v>
      </c>
      <c r="G1070" s="86">
        <v>24</v>
      </c>
      <c r="H1070" s="86">
        <v>354</v>
      </c>
      <c r="I1070" s="86">
        <v>16710.62</v>
      </c>
      <c r="J1070" s="85" t="s">
        <v>2958</v>
      </c>
      <c r="K1070" s="85" t="s">
        <v>6197</v>
      </c>
      <c r="L1070" s="85" t="s">
        <v>4135</v>
      </c>
      <c r="M1070" s="85" t="s">
        <v>6213</v>
      </c>
    </row>
    <row r="1071" ht="213.75" spans="1:13">
      <c r="A1071" s="85" t="s">
        <v>6206</v>
      </c>
      <c r="B1071" s="85" t="s">
        <v>5590</v>
      </c>
      <c r="C1071" s="85" t="s">
        <v>5591</v>
      </c>
      <c r="D1071" s="85" t="s">
        <v>3201</v>
      </c>
      <c r="E1071" s="85" t="s">
        <v>3209</v>
      </c>
      <c r="F1071" s="86">
        <v>5.88</v>
      </c>
      <c r="G1071" s="86">
        <v>150</v>
      </c>
      <c r="H1071" s="86">
        <v>882</v>
      </c>
      <c r="I1071" s="86">
        <v>16710.62</v>
      </c>
      <c r="J1071" s="85" t="s">
        <v>2958</v>
      </c>
      <c r="K1071" s="85" t="s">
        <v>6197</v>
      </c>
      <c r="L1071" s="85" t="s">
        <v>4135</v>
      </c>
      <c r="M1071" s="85" t="s">
        <v>6214</v>
      </c>
    </row>
    <row r="1072" ht="213.75" spans="1:13">
      <c r="A1072" s="85" t="s">
        <v>6215</v>
      </c>
      <c r="B1072" s="85" t="s">
        <v>4373</v>
      </c>
      <c r="C1072" s="85" t="s">
        <v>4374</v>
      </c>
      <c r="D1072" s="85" t="s">
        <v>3041</v>
      </c>
      <c r="E1072" s="85" t="s">
        <v>3042</v>
      </c>
      <c r="F1072" s="86">
        <v>7</v>
      </c>
      <c r="G1072" s="86">
        <v>50</v>
      </c>
      <c r="H1072" s="86">
        <v>350</v>
      </c>
      <c r="I1072" s="86">
        <v>11806</v>
      </c>
      <c r="J1072" s="85" t="s">
        <v>4370</v>
      </c>
      <c r="K1072" s="85" t="s">
        <v>6197</v>
      </c>
      <c r="L1072" s="85" t="s">
        <v>4135</v>
      </c>
      <c r="M1072" s="85" t="s">
        <v>6216</v>
      </c>
    </row>
    <row r="1073" ht="213.75" spans="1:13">
      <c r="A1073" s="85" t="s">
        <v>6215</v>
      </c>
      <c r="B1073" s="85" t="s">
        <v>4942</v>
      </c>
      <c r="C1073" s="85" t="s">
        <v>4943</v>
      </c>
      <c r="D1073" s="85" t="s">
        <v>3041</v>
      </c>
      <c r="E1073" s="85" t="s">
        <v>3042</v>
      </c>
      <c r="F1073" s="86">
        <v>5</v>
      </c>
      <c r="G1073" s="86">
        <v>150</v>
      </c>
      <c r="H1073" s="86">
        <v>750</v>
      </c>
      <c r="I1073" s="86">
        <v>11806</v>
      </c>
      <c r="J1073" s="85" t="s">
        <v>4370</v>
      </c>
      <c r="K1073" s="85" t="s">
        <v>6197</v>
      </c>
      <c r="L1073" s="85" t="s">
        <v>4135</v>
      </c>
      <c r="M1073" s="85" t="s">
        <v>6217</v>
      </c>
    </row>
    <row r="1074" ht="213.75" spans="1:13">
      <c r="A1074" s="85" t="s">
        <v>6215</v>
      </c>
      <c r="B1074" s="85" t="s">
        <v>6218</v>
      </c>
      <c r="C1074" s="85" t="s">
        <v>6219</v>
      </c>
      <c r="D1074" s="85" t="s">
        <v>3086</v>
      </c>
      <c r="E1074" s="85" t="s">
        <v>6220</v>
      </c>
      <c r="F1074" s="86">
        <v>0.18</v>
      </c>
      <c r="G1074" s="86">
        <v>21700</v>
      </c>
      <c r="H1074" s="86">
        <v>3906</v>
      </c>
      <c r="I1074" s="86">
        <v>11806</v>
      </c>
      <c r="J1074" s="85" t="s">
        <v>4370</v>
      </c>
      <c r="K1074" s="85" t="s">
        <v>6197</v>
      </c>
      <c r="L1074" s="85" t="s">
        <v>4135</v>
      </c>
      <c r="M1074" s="85" t="s">
        <v>6221</v>
      </c>
    </row>
    <row r="1075" ht="213.75" spans="1:13">
      <c r="A1075" s="85" t="s">
        <v>6196</v>
      </c>
      <c r="B1075" s="85" t="s">
        <v>3942</v>
      </c>
      <c r="C1075" s="85" t="s">
        <v>3943</v>
      </c>
      <c r="D1075" s="85" t="s">
        <v>3944</v>
      </c>
      <c r="E1075" s="85" t="s">
        <v>3943</v>
      </c>
      <c r="F1075" s="86">
        <v>48.8</v>
      </c>
      <c r="G1075" s="86">
        <v>6</v>
      </c>
      <c r="H1075" s="86">
        <v>292.8</v>
      </c>
      <c r="I1075" s="86">
        <v>16792.2</v>
      </c>
      <c r="J1075" s="85" t="s">
        <v>2965</v>
      </c>
      <c r="K1075" s="85" t="s">
        <v>6197</v>
      </c>
      <c r="L1075" s="85" t="s">
        <v>4135</v>
      </c>
      <c r="M1075" s="85" t="s">
        <v>6222</v>
      </c>
    </row>
    <row r="1076" ht="213.75" spans="1:13">
      <c r="A1076" s="85" t="s">
        <v>6196</v>
      </c>
      <c r="B1076" s="85" t="s">
        <v>6223</v>
      </c>
      <c r="C1076" s="85" t="s">
        <v>6224</v>
      </c>
      <c r="D1076" s="85" t="s">
        <v>3197</v>
      </c>
      <c r="E1076" s="85" t="s">
        <v>6224</v>
      </c>
      <c r="F1076" s="86">
        <v>14.15</v>
      </c>
      <c r="G1076" s="86">
        <v>18</v>
      </c>
      <c r="H1076" s="86">
        <v>254.7</v>
      </c>
      <c r="I1076" s="86">
        <v>16792.2</v>
      </c>
      <c r="J1076" s="85" t="s">
        <v>2965</v>
      </c>
      <c r="K1076" s="85" t="s">
        <v>6197</v>
      </c>
      <c r="L1076" s="85" t="s">
        <v>4135</v>
      </c>
      <c r="M1076" s="85" t="s">
        <v>6225</v>
      </c>
    </row>
    <row r="1077" ht="213.75" spans="1:13">
      <c r="A1077" s="85" t="s">
        <v>6196</v>
      </c>
      <c r="B1077" s="85" t="s">
        <v>3714</v>
      </c>
      <c r="C1077" s="85" t="s">
        <v>3715</v>
      </c>
      <c r="D1077" s="85" t="s">
        <v>3288</v>
      </c>
      <c r="E1077" s="85" t="s">
        <v>3715</v>
      </c>
      <c r="F1077" s="86">
        <v>49.5</v>
      </c>
      <c r="G1077" s="86">
        <v>2</v>
      </c>
      <c r="H1077" s="86">
        <v>99</v>
      </c>
      <c r="I1077" s="86">
        <v>16792.2</v>
      </c>
      <c r="J1077" s="85" t="s">
        <v>2965</v>
      </c>
      <c r="K1077" s="85" t="s">
        <v>6197</v>
      </c>
      <c r="L1077" s="85" t="s">
        <v>4135</v>
      </c>
      <c r="M1077" s="85" t="s">
        <v>6226</v>
      </c>
    </row>
    <row r="1078" ht="213.75" spans="1:13">
      <c r="A1078" s="85" t="s">
        <v>6196</v>
      </c>
      <c r="B1078" s="85" t="s">
        <v>6227</v>
      </c>
      <c r="C1078" s="85" t="s">
        <v>6228</v>
      </c>
      <c r="D1078" s="85" t="s">
        <v>4030</v>
      </c>
      <c r="E1078" s="85" t="s">
        <v>6228</v>
      </c>
      <c r="F1078" s="86">
        <v>6.34</v>
      </c>
      <c r="G1078" s="86">
        <v>20</v>
      </c>
      <c r="H1078" s="86">
        <v>126.8</v>
      </c>
      <c r="I1078" s="86">
        <v>16792.2</v>
      </c>
      <c r="J1078" s="85" t="s">
        <v>2965</v>
      </c>
      <c r="K1078" s="85" t="s">
        <v>6197</v>
      </c>
      <c r="L1078" s="85" t="s">
        <v>4135</v>
      </c>
      <c r="M1078" s="85" t="s">
        <v>6229</v>
      </c>
    </row>
    <row r="1079" ht="213.75" spans="1:13">
      <c r="A1079" s="85" t="s">
        <v>6206</v>
      </c>
      <c r="B1079" s="85" t="s">
        <v>6230</v>
      </c>
      <c r="C1079" s="85" t="s">
        <v>6231</v>
      </c>
      <c r="D1079" s="85" t="s">
        <v>3241</v>
      </c>
      <c r="E1079" s="85" t="s">
        <v>6232</v>
      </c>
      <c r="F1079" s="86">
        <v>40.5</v>
      </c>
      <c r="G1079" s="86">
        <v>2</v>
      </c>
      <c r="H1079" s="86">
        <v>81</v>
      </c>
      <c r="I1079" s="86">
        <v>16710.62</v>
      </c>
      <c r="J1079" s="85" t="s">
        <v>2958</v>
      </c>
      <c r="K1079" s="85" t="s">
        <v>6197</v>
      </c>
      <c r="L1079" s="85" t="s">
        <v>4135</v>
      </c>
      <c r="M1079" s="85" t="s">
        <v>6233</v>
      </c>
    </row>
    <row r="1080" ht="213.75" spans="1:13">
      <c r="A1080" s="85" t="s">
        <v>6196</v>
      </c>
      <c r="B1080" s="85" t="s">
        <v>6234</v>
      </c>
      <c r="C1080" s="85" t="s">
        <v>6235</v>
      </c>
      <c r="D1080" s="85" t="s">
        <v>6236</v>
      </c>
      <c r="E1080" s="85" t="s">
        <v>6235</v>
      </c>
      <c r="F1080" s="86">
        <v>0.99</v>
      </c>
      <c r="G1080" s="86">
        <v>20</v>
      </c>
      <c r="H1080" s="86">
        <v>19.8</v>
      </c>
      <c r="I1080" s="86">
        <v>16792.2</v>
      </c>
      <c r="J1080" s="85" t="s">
        <v>2965</v>
      </c>
      <c r="K1080" s="85" t="s">
        <v>6197</v>
      </c>
      <c r="L1080" s="85" t="s">
        <v>4135</v>
      </c>
      <c r="M1080" s="85" t="s">
        <v>6237</v>
      </c>
    </row>
    <row r="1081" ht="213.75" spans="1:13">
      <c r="A1081" s="85" t="s">
        <v>6196</v>
      </c>
      <c r="B1081" s="85" t="s">
        <v>5782</v>
      </c>
      <c r="C1081" s="85" t="s">
        <v>5783</v>
      </c>
      <c r="D1081" s="85" t="s">
        <v>3189</v>
      </c>
      <c r="E1081" s="85" t="s">
        <v>5783</v>
      </c>
      <c r="F1081" s="86">
        <v>42.25</v>
      </c>
      <c r="G1081" s="86">
        <v>6</v>
      </c>
      <c r="H1081" s="86">
        <v>253.5</v>
      </c>
      <c r="I1081" s="86">
        <v>16792.2</v>
      </c>
      <c r="J1081" s="85" t="s">
        <v>2965</v>
      </c>
      <c r="K1081" s="85" t="s">
        <v>6197</v>
      </c>
      <c r="L1081" s="85" t="s">
        <v>4135</v>
      </c>
      <c r="M1081" s="85" t="s">
        <v>6238</v>
      </c>
    </row>
    <row r="1082" ht="213.75" spans="1:13">
      <c r="A1082" s="85" t="s">
        <v>6196</v>
      </c>
      <c r="B1082" s="85" t="s">
        <v>4800</v>
      </c>
      <c r="C1082" s="85" t="s">
        <v>4801</v>
      </c>
      <c r="D1082" s="85" t="s">
        <v>4802</v>
      </c>
      <c r="E1082" s="85" t="s">
        <v>4801</v>
      </c>
      <c r="F1082" s="86">
        <v>24.39</v>
      </c>
      <c r="G1082" s="86">
        <v>40</v>
      </c>
      <c r="H1082" s="86">
        <v>975.6</v>
      </c>
      <c r="I1082" s="86">
        <v>16792.2</v>
      </c>
      <c r="J1082" s="85" t="s">
        <v>2965</v>
      </c>
      <c r="K1082" s="85" t="s">
        <v>6197</v>
      </c>
      <c r="L1082" s="85" t="s">
        <v>4135</v>
      </c>
      <c r="M1082" s="85" t="s">
        <v>6239</v>
      </c>
    </row>
    <row r="1083" ht="213.75" spans="1:13">
      <c r="A1083" s="85" t="s">
        <v>6240</v>
      </c>
      <c r="B1083" s="85" t="s">
        <v>6241</v>
      </c>
      <c r="C1083" s="85" t="s">
        <v>6242</v>
      </c>
      <c r="D1083" s="85" t="s">
        <v>6243</v>
      </c>
      <c r="E1083" s="85" t="s">
        <v>2047</v>
      </c>
      <c r="F1083" s="86">
        <v>50</v>
      </c>
      <c r="G1083" s="86">
        <v>20</v>
      </c>
      <c r="H1083" s="86">
        <v>1000</v>
      </c>
      <c r="I1083" s="86">
        <v>1000</v>
      </c>
      <c r="J1083" s="85" t="s">
        <v>2935</v>
      </c>
      <c r="K1083" s="85" t="s">
        <v>6197</v>
      </c>
      <c r="L1083" s="85" t="s">
        <v>4135</v>
      </c>
      <c r="M1083" s="85" t="s">
        <v>6244</v>
      </c>
    </row>
    <row r="1084" ht="213.75" spans="1:13">
      <c r="A1084" s="85" t="s">
        <v>6196</v>
      </c>
      <c r="B1084" s="85" t="s">
        <v>6245</v>
      </c>
      <c r="C1084" s="85" t="s">
        <v>6246</v>
      </c>
      <c r="D1084" s="85" t="s">
        <v>3367</v>
      </c>
      <c r="E1084" s="85" t="s">
        <v>6246</v>
      </c>
      <c r="F1084" s="86">
        <v>12.24</v>
      </c>
      <c r="G1084" s="86">
        <v>3</v>
      </c>
      <c r="H1084" s="86">
        <v>36.72</v>
      </c>
      <c r="I1084" s="86">
        <v>16792.2</v>
      </c>
      <c r="J1084" s="85" t="s">
        <v>2965</v>
      </c>
      <c r="K1084" s="85" t="s">
        <v>6197</v>
      </c>
      <c r="L1084" s="85" t="s">
        <v>4135</v>
      </c>
      <c r="M1084" s="85" t="s">
        <v>6247</v>
      </c>
    </row>
    <row r="1085" ht="213.75" spans="1:13">
      <c r="A1085" s="85" t="s">
        <v>6196</v>
      </c>
      <c r="B1085" s="85" t="s">
        <v>6248</v>
      </c>
      <c r="C1085" s="85" t="s">
        <v>6249</v>
      </c>
      <c r="D1085" s="85" t="s">
        <v>6250</v>
      </c>
      <c r="E1085" s="85" t="s">
        <v>6249</v>
      </c>
      <c r="F1085" s="86">
        <v>8.79</v>
      </c>
      <c r="G1085" s="86">
        <v>10</v>
      </c>
      <c r="H1085" s="86">
        <v>87.9</v>
      </c>
      <c r="I1085" s="86">
        <v>16792.2</v>
      </c>
      <c r="J1085" s="85" t="s">
        <v>2965</v>
      </c>
      <c r="K1085" s="85" t="s">
        <v>6197</v>
      </c>
      <c r="L1085" s="85" t="s">
        <v>4135</v>
      </c>
      <c r="M1085" s="85" t="s">
        <v>6251</v>
      </c>
    </row>
    <row r="1086" ht="213.75" spans="1:13">
      <c r="A1086" s="85" t="s">
        <v>6206</v>
      </c>
      <c r="B1086" s="85" t="s">
        <v>3239</v>
      </c>
      <c r="C1086" s="85" t="s">
        <v>3240</v>
      </c>
      <c r="D1086" s="85" t="s">
        <v>3241</v>
      </c>
      <c r="E1086" s="85" t="s">
        <v>3242</v>
      </c>
      <c r="F1086" s="86">
        <v>4.5</v>
      </c>
      <c r="G1086" s="86">
        <v>5</v>
      </c>
      <c r="H1086" s="86">
        <v>22.5</v>
      </c>
      <c r="I1086" s="86">
        <v>16710.62</v>
      </c>
      <c r="J1086" s="85" t="s">
        <v>2958</v>
      </c>
      <c r="K1086" s="85" t="s">
        <v>6197</v>
      </c>
      <c r="L1086" s="85" t="s">
        <v>4135</v>
      </c>
      <c r="M1086" s="85" t="s">
        <v>6252</v>
      </c>
    </row>
    <row r="1087" ht="213.75" spans="1:13">
      <c r="A1087" s="85" t="s">
        <v>6196</v>
      </c>
      <c r="B1087" s="85" t="s">
        <v>6253</v>
      </c>
      <c r="C1087" s="85" t="s">
        <v>6254</v>
      </c>
      <c r="D1087" s="85" t="s">
        <v>5887</v>
      </c>
      <c r="E1087" s="85" t="s">
        <v>6254</v>
      </c>
      <c r="F1087" s="86">
        <v>28.76</v>
      </c>
      <c r="G1087" s="86">
        <v>10</v>
      </c>
      <c r="H1087" s="86">
        <v>287.6</v>
      </c>
      <c r="I1087" s="86">
        <v>16792.2</v>
      </c>
      <c r="J1087" s="85" t="s">
        <v>2965</v>
      </c>
      <c r="K1087" s="85" t="s">
        <v>6197</v>
      </c>
      <c r="L1087" s="85" t="s">
        <v>4135</v>
      </c>
      <c r="M1087" s="85" t="s">
        <v>6255</v>
      </c>
    </row>
    <row r="1088" ht="213.75" spans="1:13">
      <c r="A1088" s="85" t="s">
        <v>6256</v>
      </c>
      <c r="B1088" s="85" t="s">
        <v>5907</v>
      </c>
      <c r="C1088" s="85" t="s">
        <v>5908</v>
      </c>
      <c r="D1088" s="85" t="s">
        <v>5909</v>
      </c>
      <c r="E1088" s="85" t="s">
        <v>5910</v>
      </c>
      <c r="F1088" s="86">
        <v>312.42</v>
      </c>
      <c r="G1088" s="86">
        <v>20</v>
      </c>
      <c r="H1088" s="86">
        <v>6248.4</v>
      </c>
      <c r="I1088" s="86">
        <v>11808.4</v>
      </c>
      <c r="J1088" s="85" t="s">
        <v>2999</v>
      </c>
      <c r="K1088" s="85" t="s">
        <v>6197</v>
      </c>
      <c r="L1088" s="85" t="s">
        <v>4135</v>
      </c>
      <c r="M1088" s="85" t="s">
        <v>6257</v>
      </c>
    </row>
    <row r="1089" ht="213.75" spans="1:13">
      <c r="A1089" s="85" t="s">
        <v>6196</v>
      </c>
      <c r="B1089" s="85" t="s">
        <v>5761</v>
      </c>
      <c r="C1089" s="85" t="s">
        <v>5762</v>
      </c>
      <c r="D1089" s="85" t="s">
        <v>3189</v>
      </c>
      <c r="E1089" s="85" t="s">
        <v>5762</v>
      </c>
      <c r="F1089" s="86">
        <v>135.59</v>
      </c>
      <c r="G1089" s="86">
        <v>5</v>
      </c>
      <c r="H1089" s="86">
        <v>677.95</v>
      </c>
      <c r="I1089" s="86">
        <v>16792.2</v>
      </c>
      <c r="J1089" s="85" t="s">
        <v>2965</v>
      </c>
      <c r="K1089" s="85" t="s">
        <v>6197</v>
      </c>
      <c r="L1089" s="85" t="s">
        <v>4135</v>
      </c>
      <c r="M1089" s="85" t="s">
        <v>6258</v>
      </c>
    </row>
    <row r="1090" ht="213.75" spans="1:13">
      <c r="A1090" s="85" t="s">
        <v>6215</v>
      </c>
      <c r="B1090" s="85" t="s">
        <v>6259</v>
      </c>
      <c r="C1090" s="85" t="s">
        <v>6260</v>
      </c>
      <c r="D1090" s="85" t="s">
        <v>6261</v>
      </c>
      <c r="E1090" s="85" t="s">
        <v>6262</v>
      </c>
      <c r="F1090" s="86">
        <v>22</v>
      </c>
      <c r="G1090" s="86">
        <v>50</v>
      </c>
      <c r="H1090" s="86">
        <v>1100</v>
      </c>
      <c r="I1090" s="86">
        <v>11806</v>
      </c>
      <c r="J1090" s="85" t="s">
        <v>4370</v>
      </c>
      <c r="K1090" s="85" t="s">
        <v>6197</v>
      </c>
      <c r="L1090" s="85" t="s">
        <v>4135</v>
      </c>
      <c r="M1090" s="85" t="s">
        <v>6263</v>
      </c>
    </row>
    <row r="1091" ht="213.75" spans="1:13">
      <c r="A1091" s="85" t="s">
        <v>6196</v>
      </c>
      <c r="B1091" s="85" t="s">
        <v>3957</v>
      </c>
      <c r="C1091" s="85" t="s">
        <v>3958</v>
      </c>
      <c r="D1091" s="85" t="s">
        <v>3959</v>
      </c>
      <c r="E1091" s="85" t="s">
        <v>3958</v>
      </c>
      <c r="F1091" s="86">
        <v>59.84</v>
      </c>
      <c r="G1091" s="86">
        <v>25</v>
      </c>
      <c r="H1091" s="86">
        <v>1496</v>
      </c>
      <c r="I1091" s="86">
        <v>16792.2</v>
      </c>
      <c r="J1091" s="85" t="s">
        <v>2965</v>
      </c>
      <c r="K1091" s="85" t="s">
        <v>6197</v>
      </c>
      <c r="L1091" s="85" t="s">
        <v>4135</v>
      </c>
      <c r="M1091" s="85" t="s">
        <v>6264</v>
      </c>
    </row>
    <row r="1092" ht="213.75" spans="1:13">
      <c r="A1092" s="85" t="s">
        <v>6196</v>
      </c>
      <c r="B1092" s="85" t="s">
        <v>6265</v>
      </c>
      <c r="C1092" s="85" t="s">
        <v>6266</v>
      </c>
      <c r="D1092" s="85" t="s">
        <v>3230</v>
      </c>
      <c r="E1092" s="85" t="s">
        <v>6266</v>
      </c>
      <c r="F1092" s="86">
        <v>9.92</v>
      </c>
      <c r="G1092" s="86">
        <v>20</v>
      </c>
      <c r="H1092" s="86">
        <v>198.4</v>
      </c>
      <c r="I1092" s="86">
        <v>16792.2</v>
      </c>
      <c r="J1092" s="85" t="s">
        <v>2965</v>
      </c>
      <c r="K1092" s="85" t="s">
        <v>6197</v>
      </c>
      <c r="L1092" s="85" t="s">
        <v>4135</v>
      </c>
      <c r="M1092" s="85" t="s">
        <v>6267</v>
      </c>
    </row>
    <row r="1093" ht="213.75" spans="1:13">
      <c r="A1093" s="85" t="s">
        <v>6206</v>
      </c>
      <c r="B1093" s="85" t="s">
        <v>5894</v>
      </c>
      <c r="C1093" s="85" t="s">
        <v>5895</v>
      </c>
      <c r="D1093" s="85" t="s">
        <v>3201</v>
      </c>
      <c r="E1093" s="85" t="s">
        <v>3209</v>
      </c>
      <c r="F1093" s="86">
        <v>5.88</v>
      </c>
      <c r="G1093" s="86">
        <v>150</v>
      </c>
      <c r="H1093" s="86">
        <v>882</v>
      </c>
      <c r="I1093" s="86">
        <v>16710.62</v>
      </c>
      <c r="J1093" s="85" t="s">
        <v>2958</v>
      </c>
      <c r="K1093" s="85" t="s">
        <v>6197</v>
      </c>
      <c r="L1093" s="85" t="s">
        <v>4135</v>
      </c>
      <c r="M1093" s="85" t="s">
        <v>6268</v>
      </c>
    </row>
    <row r="1094" ht="213.75" spans="1:13">
      <c r="A1094" s="85" t="s">
        <v>6206</v>
      </c>
      <c r="B1094" s="85" t="s">
        <v>4759</v>
      </c>
      <c r="C1094" s="85" t="s">
        <v>4760</v>
      </c>
      <c r="D1094" s="85" t="s">
        <v>2982</v>
      </c>
      <c r="E1094" s="85" t="s">
        <v>4761</v>
      </c>
      <c r="F1094" s="86">
        <v>10.95</v>
      </c>
      <c r="G1094" s="86">
        <v>30</v>
      </c>
      <c r="H1094" s="86">
        <v>328.5</v>
      </c>
      <c r="I1094" s="86">
        <v>16710.62</v>
      </c>
      <c r="J1094" s="85" t="s">
        <v>2958</v>
      </c>
      <c r="K1094" s="85" t="s">
        <v>6197</v>
      </c>
      <c r="L1094" s="85" t="s">
        <v>4135</v>
      </c>
      <c r="M1094" s="85" t="s">
        <v>6269</v>
      </c>
    </row>
    <row r="1095" ht="213.75" spans="1:13">
      <c r="A1095" s="85" t="s">
        <v>6196</v>
      </c>
      <c r="B1095" s="85" t="s">
        <v>5493</v>
      </c>
      <c r="C1095" s="85" t="s">
        <v>5494</v>
      </c>
      <c r="D1095" s="85" t="s">
        <v>4546</v>
      </c>
      <c r="E1095" s="85" t="s">
        <v>5494</v>
      </c>
      <c r="F1095" s="86">
        <v>277.95</v>
      </c>
      <c r="G1095" s="86">
        <v>2</v>
      </c>
      <c r="H1095" s="86">
        <v>555.9</v>
      </c>
      <c r="I1095" s="86">
        <v>16792.2</v>
      </c>
      <c r="J1095" s="85" t="s">
        <v>2965</v>
      </c>
      <c r="K1095" s="85" t="s">
        <v>6197</v>
      </c>
      <c r="L1095" s="85" t="s">
        <v>4135</v>
      </c>
      <c r="M1095" s="85" t="s">
        <v>6270</v>
      </c>
    </row>
    <row r="1096" ht="213.75" spans="1:13">
      <c r="A1096" s="85" t="s">
        <v>6196</v>
      </c>
      <c r="B1096" s="85" t="s">
        <v>6271</v>
      </c>
      <c r="C1096" s="85" t="s">
        <v>6272</v>
      </c>
      <c r="D1096" s="85" t="s">
        <v>6273</v>
      </c>
      <c r="E1096" s="85" t="s">
        <v>6272</v>
      </c>
      <c r="F1096" s="86">
        <v>3.14</v>
      </c>
      <c r="G1096" s="86">
        <v>5</v>
      </c>
      <c r="H1096" s="86">
        <v>15.7</v>
      </c>
      <c r="I1096" s="86">
        <v>16792.2</v>
      </c>
      <c r="J1096" s="85" t="s">
        <v>2965</v>
      </c>
      <c r="K1096" s="85" t="s">
        <v>6197</v>
      </c>
      <c r="L1096" s="85" t="s">
        <v>4135</v>
      </c>
      <c r="M1096" s="85" t="s">
        <v>6274</v>
      </c>
    </row>
    <row r="1097" ht="213.75" spans="1:13">
      <c r="A1097" s="85" t="s">
        <v>6206</v>
      </c>
      <c r="B1097" s="85" t="s">
        <v>4107</v>
      </c>
      <c r="C1097" s="85" t="s">
        <v>4108</v>
      </c>
      <c r="D1097" s="85" t="s">
        <v>3241</v>
      </c>
      <c r="E1097" s="85" t="s">
        <v>4109</v>
      </c>
      <c r="F1097" s="86">
        <v>2.7</v>
      </c>
      <c r="G1097" s="86">
        <v>5</v>
      </c>
      <c r="H1097" s="86">
        <v>13.5</v>
      </c>
      <c r="I1097" s="86">
        <v>16710.62</v>
      </c>
      <c r="J1097" s="85" t="s">
        <v>2958</v>
      </c>
      <c r="K1097" s="85" t="s">
        <v>6197</v>
      </c>
      <c r="L1097" s="85" t="s">
        <v>4135</v>
      </c>
      <c r="M1097" s="85" t="s">
        <v>6275</v>
      </c>
    </row>
    <row r="1098" ht="213.75" spans="1:13">
      <c r="A1098" s="85" t="s">
        <v>6206</v>
      </c>
      <c r="B1098" s="85" t="s">
        <v>3092</v>
      </c>
      <c r="C1098" s="85" t="s">
        <v>3093</v>
      </c>
      <c r="D1098" s="85" t="s">
        <v>2982</v>
      </c>
      <c r="E1098" s="85" t="s">
        <v>3094</v>
      </c>
      <c r="F1098" s="86">
        <v>13.23</v>
      </c>
      <c r="G1098" s="86">
        <v>30</v>
      </c>
      <c r="H1098" s="86">
        <v>396.9</v>
      </c>
      <c r="I1098" s="86">
        <v>16710.62</v>
      </c>
      <c r="J1098" s="85" t="s">
        <v>2958</v>
      </c>
      <c r="K1098" s="85" t="s">
        <v>6197</v>
      </c>
      <c r="L1098" s="85" t="s">
        <v>4135</v>
      </c>
      <c r="M1098" s="85" t="s">
        <v>6276</v>
      </c>
    </row>
    <row r="1099" ht="213.75" spans="1:13">
      <c r="A1099" s="85" t="s">
        <v>6196</v>
      </c>
      <c r="B1099" s="85" t="s">
        <v>5863</v>
      </c>
      <c r="C1099" s="85" t="s">
        <v>5864</v>
      </c>
      <c r="D1099" s="85" t="s">
        <v>3054</v>
      </c>
      <c r="E1099" s="85" t="s">
        <v>5864</v>
      </c>
      <c r="F1099" s="86">
        <v>1.88</v>
      </c>
      <c r="G1099" s="86">
        <v>100</v>
      </c>
      <c r="H1099" s="86">
        <v>188</v>
      </c>
      <c r="I1099" s="86">
        <v>16792.2</v>
      </c>
      <c r="J1099" s="85" t="s">
        <v>2965</v>
      </c>
      <c r="K1099" s="85" t="s">
        <v>6197</v>
      </c>
      <c r="L1099" s="85" t="s">
        <v>4135</v>
      </c>
      <c r="M1099" s="85" t="s">
        <v>6277</v>
      </c>
    </row>
    <row r="1100" ht="213.75" spans="1:13">
      <c r="A1100" s="85" t="s">
        <v>6196</v>
      </c>
      <c r="B1100" s="85" t="s">
        <v>4477</v>
      </c>
      <c r="C1100" s="85" t="s">
        <v>4478</v>
      </c>
      <c r="D1100" s="85" t="s">
        <v>3183</v>
      </c>
      <c r="E1100" s="85" t="s">
        <v>4478</v>
      </c>
      <c r="F1100" s="86">
        <v>118</v>
      </c>
      <c r="G1100" s="86">
        <v>5</v>
      </c>
      <c r="H1100" s="86">
        <v>590</v>
      </c>
      <c r="I1100" s="86">
        <v>16792.2</v>
      </c>
      <c r="J1100" s="85" t="s">
        <v>2965</v>
      </c>
      <c r="K1100" s="85" t="s">
        <v>6197</v>
      </c>
      <c r="L1100" s="85" t="s">
        <v>4135</v>
      </c>
      <c r="M1100" s="85" t="s">
        <v>6278</v>
      </c>
    </row>
    <row r="1101" ht="213.75" spans="1:13">
      <c r="A1101" s="85" t="s">
        <v>6196</v>
      </c>
      <c r="B1101" s="85" t="s">
        <v>6279</v>
      </c>
      <c r="C1101" s="85" t="s">
        <v>6280</v>
      </c>
      <c r="D1101" s="85" t="s">
        <v>3054</v>
      </c>
      <c r="E1101" s="85" t="s">
        <v>6280</v>
      </c>
      <c r="F1101" s="86">
        <v>6.21</v>
      </c>
      <c r="G1101" s="86">
        <v>30</v>
      </c>
      <c r="H1101" s="86">
        <v>186.3</v>
      </c>
      <c r="I1101" s="86">
        <v>16792.2</v>
      </c>
      <c r="J1101" s="85" t="s">
        <v>2965</v>
      </c>
      <c r="K1101" s="85" t="s">
        <v>6197</v>
      </c>
      <c r="L1101" s="85" t="s">
        <v>4135</v>
      </c>
      <c r="M1101" s="85" t="s">
        <v>6281</v>
      </c>
    </row>
    <row r="1102" ht="213.75" spans="1:13">
      <c r="A1102" s="85" t="s">
        <v>6206</v>
      </c>
      <c r="B1102" s="85" t="s">
        <v>3569</v>
      </c>
      <c r="C1102" s="85" t="s">
        <v>3570</v>
      </c>
      <c r="D1102" s="85" t="s">
        <v>3201</v>
      </c>
      <c r="E1102" s="85" t="s">
        <v>3209</v>
      </c>
      <c r="F1102" s="86">
        <v>5.88</v>
      </c>
      <c r="G1102" s="86">
        <v>150</v>
      </c>
      <c r="H1102" s="86">
        <v>882</v>
      </c>
      <c r="I1102" s="86">
        <v>16710.62</v>
      </c>
      <c r="J1102" s="85" t="s">
        <v>2958</v>
      </c>
      <c r="K1102" s="85" t="s">
        <v>6197</v>
      </c>
      <c r="L1102" s="85" t="s">
        <v>4135</v>
      </c>
      <c r="M1102" s="85" t="s">
        <v>6282</v>
      </c>
    </row>
    <row r="1103" ht="213.75" spans="1:13">
      <c r="A1103" s="85" t="s">
        <v>6206</v>
      </c>
      <c r="B1103" s="85" t="s">
        <v>3048</v>
      </c>
      <c r="C1103" s="85" t="s">
        <v>3049</v>
      </c>
      <c r="D1103" s="85" t="s">
        <v>2982</v>
      </c>
      <c r="E1103" s="85" t="s">
        <v>3050</v>
      </c>
      <c r="F1103" s="86">
        <v>4.5</v>
      </c>
      <c r="G1103" s="86">
        <v>100</v>
      </c>
      <c r="H1103" s="86">
        <v>450</v>
      </c>
      <c r="I1103" s="86">
        <v>16710.62</v>
      </c>
      <c r="J1103" s="85" t="s">
        <v>2958</v>
      </c>
      <c r="K1103" s="85" t="s">
        <v>6197</v>
      </c>
      <c r="L1103" s="85" t="s">
        <v>4135</v>
      </c>
      <c r="M1103" s="85" t="s">
        <v>6283</v>
      </c>
    </row>
    <row r="1104" ht="213.75" spans="1:13">
      <c r="A1104" s="85" t="s">
        <v>6206</v>
      </c>
      <c r="B1104" s="85" t="s">
        <v>3096</v>
      </c>
      <c r="C1104" s="85" t="s">
        <v>3097</v>
      </c>
      <c r="D1104" s="85" t="s">
        <v>2982</v>
      </c>
      <c r="E1104" s="85" t="s">
        <v>3098</v>
      </c>
      <c r="F1104" s="86">
        <v>22.89</v>
      </c>
      <c r="G1104" s="86">
        <v>8</v>
      </c>
      <c r="H1104" s="86">
        <v>183.12</v>
      </c>
      <c r="I1104" s="86">
        <v>16710.62</v>
      </c>
      <c r="J1104" s="85" t="s">
        <v>2958</v>
      </c>
      <c r="K1104" s="85" t="s">
        <v>6197</v>
      </c>
      <c r="L1104" s="85" t="s">
        <v>4135</v>
      </c>
      <c r="M1104" s="85" t="s">
        <v>6284</v>
      </c>
    </row>
    <row r="1105" ht="213.75" spans="1:13">
      <c r="A1105" s="85" t="s">
        <v>6196</v>
      </c>
      <c r="B1105" s="85" t="s">
        <v>3731</v>
      </c>
      <c r="C1105" s="85" t="s">
        <v>3732</v>
      </c>
      <c r="D1105" s="85" t="s">
        <v>3733</v>
      </c>
      <c r="E1105" s="85" t="s">
        <v>3732</v>
      </c>
      <c r="F1105" s="86">
        <v>3.18</v>
      </c>
      <c r="G1105" s="86">
        <v>10</v>
      </c>
      <c r="H1105" s="86">
        <v>31.8</v>
      </c>
      <c r="I1105" s="86">
        <v>16792.2</v>
      </c>
      <c r="J1105" s="85" t="s">
        <v>2965</v>
      </c>
      <c r="K1105" s="85" t="s">
        <v>6197</v>
      </c>
      <c r="L1105" s="85" t="s">
        <v>4135</v>
      </c>
      <c r="M1105" s="85" t="s">
        <v>6285</v>
      </c>
    </row>
    <row r="1106" ht="213.75" spans="1:13">
      <c r="A1106" s="85" t="s">
        <v>6196</v>
      </c>
      <c r="B1106" s="85" t="s">
        <v>6286</v>
      </c>
      <c r="C1106" s="85" t="s">
        <v>6287</v>
      </c>
      <c r="D1106" s="85" t="s">
        <v>2973</v>
      </c>
      <c r="E1106" s="85" t="s">
        <v>6287</v>
      </c>
      <c r="F1106" s="86">
        <v>430</v>
      </c>
      <c r="G1106" s="86">
        <v>2</v>
      </c>
      <c r="H1106" s="86">
        <v>860</v>
      </c>
      <c r="I1106" s="86">
        <v>16792.2</v>
      </c>
      <c r="J1106" s="85" t="s">
        <v>2965</v>
      </c>
      <c r="K1106" s="85" t="s">
        <v>6197</v>
      </c>
      <c r="L1106" s="85" t="s">
        <v>4135</v>
      </c>
      <c r="M1106" s="85" t="s">
        <v>6288</v>
      </c>
    </row>
    <row r="1107" ht="213.75" spans="1:13">
      <c r="A1107" s="85" t="s">
        <v>6196</v>
      </c>
      <c r="B1107" s="85" t="s">
        <v>3720</v>
      </c>
      <c r="C1107" s="85" t="s">
        <v>3721</v>
      </c>
      <c r="D1107" s="85" t="s">
        <v>3722</v>
      </c>
      <c r="E1107" s="85" t="s">
        <v>3721</v>
      </c>
      <c r="F1107" s="86">
        <v>16.83</v>
      </c>
      <c r="G1107" s="86">
        <v>5</v>
      </c>
      <c r="H1107" s="86">
        <v>84.15</v>
      </c>
      <c r="I1107" s="86">
        <v>16792.2</v>
      </c>
      <c r="J1107" s="85" t="s">
        <v>2965</v>
      </c>
      <c r="K1107" s="85" t="s">
        <v>6197</v>
      </c>
      <c r="L1107" s="85" t="s">
        <v>4135</v>
      </c>
      <c r="M1107" s="85" t="s">
        <v>6289</v>
      </c>
    </row>
    <row r="1108" ht="213.75" spans="1:13">
      <c r="A1108" s="85" t="s">
        <v>6256</v>
      </c>
      <c r="B1108" s="85" t="s">
        <v>4537</v>
      </c>
      <c r="C1108" s="85" t="s">
        <v>4538</v>
      </c>
      <c r="D1108" s="85" t="s">
        <v>2997</v>
      </c>
      <c r="E1108" s="85" t="s">
        <v>2998</v>
      </c>
      <c r="F1108" s="86">
        <v>18</v>
      </c>
      <c r="G1108" s="86">
        <v>200</v>
      </c>
      <c r="H1108" s="86">
        <v>3600</v>
      </c>
      <c r="I1108" s="86">
        <v>11808.4</v>
      </c>
      <c r="J1108" s="85" t="s">
        <v>2999</v>
      </c>
      <c r="K1108" s="85" t="s">
        <v>6197</v>
      </c>
      <c r="L1108" s="85" t="s">
        <v>4135</v>
      </c>
      <c r="M1108" s="85" t="s">
        <v>6290</v>
      </c>
    </row>
    <row r="1109" ht="213.75" spans="1:13">
      <c r="A1109" s="85" t="s">
        <v>6256</v>
      </c>
      <c r="B1109" s="85" t="s">
        <v>5926</v>
      </c>
      <c r="C1109" s="85" t="s">
        <v>5927</v>
      </c>
      <c r="D1109" s="85" t="s">
        <v>5909</v>
      </c>
      <c r="E1109" s="85" t="s">
        <v>5910</v>
      </c>
      <c r="F1109" s="86">
        <v>98</v>
      </c>
      <c r="G1109" s="86">
        <v>20</v>
      </c>
      <c r="H1109" s="86">
        <v>1960</v>
      </c>
      <c r="I1109" s="86">
        <v>11808.4</v>
      </c>
      <c r="J1109" s="85" t="s">
        <v>2999</v>
      </c>
      <c r="K1109" s="85" t="s">
        <v>6197</v>
      </c>
      <c r="L1109" s="85" t="s">
        <v>4135</v>
      </c>
      <c r="M1109" s="85" t="s">
        <v>6291</v>
      </c>
    </row>
    <row r="1110" ht="213.75" spans="1:13">
      <c r="A1110" s="85" t="s">
        <v>6196</v>
      </c>
      <c r="B1110" s="85" t="s">
        <v>3967</v>
      </c>
      <c r="C1110" s="85" t="s">
        <v>3968</v>
      </c>
      <c r="D1110" s="85" t="s">
        <v>3969</v>
      </c>
      <c r="E1110" s="85" t="s">
        <v>3968</v>
      </c>
      <c r="F1110" s="86">
        <v>9.59</v>
      </c>
      <c r="G1110" s="86">
        <v>2</v>
      </c>
      <c r="H1110" s="86">
        <v>19.18</v>
      </c>
      <c r="I1110" s="86">
        <v>16792.2</v>
      </c>
      <c r="J1110" s="85" t="s">
        <v>2965</v>
      </c>
      <c r="K1110" s="85" t="s">
        <v>6197</v>
      </c>
      <c r="L1110" s="85" t="s">
        <v>4135</v>
      </c>
      <c r="M1110" s="85" t="s">
        <v>6292</v>
      </c>
    </row>
    <row r="1111" ht="213.75" spans="1:13">
      <c r="A1111" s="85" t="s">
        <v>6215</v>
      </c>
      <c r="B1111" s="85" t="s">
        <v>5500</v>
      </c>
      <c r="C1111" s="85" t="s">
        <v>5501</v>
      </c>
      <c r="D1111" s="85" t="s">
        <v>3041</v>
      </c>
      <c r="E1111" s="85" t="s">
        <v>3158</v>
      </c>
      <c r="F1111" s="86">
        <v>19</v>
      </c>
      <c r="G1111" s="86">
        <v>300</v>
      </c>
      <c r="H1111" s="86">
        <v>5700</v>
      </c>
      <c r="I1111" s="86">
        <v>11806</v>
      </c>
      <c r="J1111" s="85" t="s">
        <v>4370</v>
      </c>
      <c r="K1111" s="85" t="s">
        <v>6197</v>
      </c>
      <c r="L1111" s="85" t="s">
        <v>4135</v>
      </c>
      <c r="M1111" s="85" t="s">
        <v>6293</v>
      </c>
    </row>
    <row r="1112" ht="213.75" spans="1:13">
      <c r="A1112" s="85" t="s">
        <v>6206</v>
      </c>
      <c r="B1112" s="85" t="s">
        <v>4959</v>
      </c>
      <c r="C1112" s="85" t="s">
        <v>4960</v>
      </c>
      <c r="D1112" s="85" t="s">
        <v>4596</v>
      </c>
      <c r="E1112" s="85" t="s">
        <v>4961</v>
      </c>
      <c r="F1112" s="86">
        <v>36.71</v>
      </c>
      <c r="G1112" s="86">
        <v>10</v>
      </c>
      <c r="H1112" s="86">
        <v>367.1</v>
      </c>
      <c r="I1112" s="86">
        <v>16710.62</v>
      </c>
      <c r="J1112" s="85" t="s">
        <v>2958</v>
      </c>
      <c r="K1112" s="85" t="s">
        <v>6197</v>
      </c>
      <c r="L1112" s="85" t="s">
        <v>4135</v>
      </c>
      <c r="M1112" s="85" t="s">
        <v>6294</v>
      </c>
    </row>
    <row r="1113" ht="213.75" spans="1:13">
      <c r="A1113" s="85" t="s">
        <v>6206</v>
      </c>
      <c r="B1113" s="85" t="s">
        <v>3063</v>
      </c>
      <c r="C1113" s="85" t="s">
        <v>3064</v>
      </c>
      <c r="D1113" s="85" t="s">
        <v>2992</v>
      </c>
      <c r="E1113" s="85" t="s">
        <v>1815</v>
      </c>
      <c r="F1113" s="86">
        <v>5.3</v>
      </c>
      <c r="G1113" s="86">
        <v>800</v>
      </c>
      <c r="H1113" s="86">
        <v>4240</v>
      </c>
      <c r="I1113" s="86">
        <v>16710.62</v>
      </c>
      <c r="J1113" s="85" t="s">
        <v>2958</v>
      </c>
      <c r="K1113" s="85" t="s">
        <v>6197</v>
      </c>
      <c r="L1113" s="85" t="s">
        <v>4135</v>
      </c>
      <c r="M1113" s="85" t="s">
        <v>6295</v>
      </c>
    </row>
    <row r="1114" ht="213.75" spans="1:13">
      <c r="A1114" s="85" t="s">
        <v>6196</v>
      </c>
      <c r="B1114" s="85" t="s">
        <v>3717</v>
      </c>
      <c r="C1114" s="85" t="s">
        <v>3718</v>
      </c>
      <c r="D1114" s="85" t="s">
        <v>3014</v>
      </c>
      <c r="E1114" s="85" t="s">
        <v>3718</v>
      </c>
      <c r="F1114" s="86">
        <v>110</v>
      </c>
      <c r="G1114" s="86">
        <v>5</v>
      </c>
      <c r="H1114" s="86">
        <v>550</v>
      </c>
      <c r="I1114" s="86">
        <v>16792.2</v>
      </c>
      <c r="J1114" s="85" t="s">
        <v>2965</v>
      </c>
      <c r="K1114" s="85" t="s">
        <v>6197</v>
      </c>
      <c r="L1114" s="85" t="s">
        <v>4135</v>
      </c>
      <c r="M1114" s="85" t="s">
        <v>6296</v>
      </c>
    </row>
    <row r="1115" ht="213.75" spans="1:13">
      <c r="A1115" s="85" t="s">
        <v>6196</v>
      </c>
      <c r="B1115" s="85" t="s">
        <v>5939</v>
      </c>
      <c r="C1115" s="85" t="s">
        <v>5940</v>
      </c>
      <c r="D1115" s="85" t="s">
        <v>5941</v>
      </c>
      <c r="E1115" s="85" t="s">
        <v>5940</v>
      </c>
      <c r="F1115" s="86">
        <v>47.34</v>
      </c>
      <c r="G1115" s="86">
        <v>5</v>
      </c>
      <c r="H1115" s="86">
        <v>236.7</v>
      </c>
      <c r="I1115" s="86">
        <v>16792.2</v>
      </c>
      <c r="J1115" s="85" t="s">
        <v>2965</v>
      </c>
      <c r="K1115" s="85" t="s">
        <v>6197</v>
      </c>
      <c r="L1115" s="85" t="s">
        <v>4135</v>
      </c>
      <c r="M1115" s="85" t="s">
        <v>6297</v>
      </c>
    </row>
    <row r="1116" ht="213.75" spans="1:13">
      <c r="A1116" s="85" t="s">
        <v>6196</v>
      </c>
      <c r="B1116" s="85" t="s">
        <v>6298</v>
      </c>
      <c r="C1116" s="85" t="s">
        <v>6299</v>
      </c>
      <c r="D1116" s="85" t="s">
        <v>3061</v>
      </c>
      <c r="E1116" s="85" t="s">
        <v>6299</v>
      </c>
      <c r="F1116" s="86">
        <v>315.92</v>
      </c>
      <c r="G1116" s="86">
        <v>5</v>
      </c>
      <c r="H1116" s="86">
        <v>1579.6</v>
      </c>
      <c r="I1116" s="86">
        <v>16792.2</v>
      </c>
      <c r="J1116" s="85" t="s">
        <v>2965</v>
      </c>
      <c r="K1116" s="85" t="s">
        <v>6197</v>
      </c>
      <c r="L1116" s="85" t="s">
        <v>4135</v>
      </c>
      <c r="M1116" s="85" t="s">
        <v>6300</v>
      </c>
    </row>
    <row r="1117" ht="242.25" spans="1:13">
      <c r="A1117" s="85" t="s">
        <v>6206</v>
      </c>
      <c r="B1117" s="85" t="s">
        <v>2985</v>
      </c>
      <c r="C1117" s="85" t="s">
        <v>2986</v>
      </c>
      <c r="D1117" s="85" t="s">
        <v>2987</v>
      </c>
      <c r="E1117" s="85" t="s">
        <v>2988</v>
      </c>
      <c r="F1117" s="86">
        <v>3.95</v>
      </c>
      <c r="G1117" s="86">
        <v>80</v>
      </c>
      <c r="H1117" s="86">
        <v>316</v>
      </c>
      <c r="I1117" s="86">
        <v>16710.62</v>
      </c>
      <c r="J1117" s="85" t="s">
        <v>2958</v>
      </c>
      <c r="K1117" s="85" t="s">
        <v>6197</v>
      </c>
      <c r="L1117" s="85" t="s">
        <v>4135</v>
      </c>
      <c r="M1117" s="85" t="s">
        <v>6301</v>
      </c>
    </row>
    <row r="1118" ht="213.75" spans="1:13">
      <c r="A1118" s="85" t="s">
        <v>6196</v>
      </c>
      <c r="B1118" s="85" t="s">
        <v>6302</v>
      </c>
      <c r="C1118" s="85" t="s">
        <v>6303</v>
      </c>
      <c r="D1118" s="85" t="s">
        <v>3593</v>
      </c>
      <c r="E1118" s="85" t="s">
        <v>6303</v>
      </c>
      <c r="F1118" s="86">
        <v>1.49</v>
      </c>
      <c r="G1118" s="86">
        <v>20</v>
      </c>
      <c r="H1118" s="86">
        <v>29.8</v>
      </c>
      <c r="I1118" s="86">
        <v>16792.2</v>
      </c>
      <c r="J1118" s="85" t="s">
        <v>2965</v>
      </c>
      <c r="K1118" s="85" t="s">
        <v>6197</v>
      </c>
      <c r="L1118" s="85" t="s">
        <v>4135</v>
      </c>
      <c r="M1118" s="85" t="s">
        <v>6304</v>
      </c>
    </row>
    <row r="1119" ht="213.75" spans="1:13">
      <c r="A1119" s="85" t="s">
        <v>6305</v>
      </c>
      <c r="B1119" s="85" t="s">
        <v>4655</v>
      </c>
      <c r="C1119" s="85" t="s">
        <v>4656</v>
      </c>
      <c r="D1119" s="85" t="s">
        <v>4657</v>
      </c>
      <c r="E1119" s="85" t="s">
        <v>4656</v>
      </c>
      <c r="F1119" s="86">
        <v>4000</v>
      </c>
      <c r="G1119" s="86">
        <v>1</v>
      </c>
      <c r="H1119" s="86">
        <v>4000</v>
      </c>
      <c r="I1119" s="86">
        <v>4000</v>
      </c>
      <c r="J1119" s="85" t="s">
        <v>4370</v>
      </c>
      <c r="K1119" s="85" t="s">
        <v>6306</v>
      </c>
      <c r="L1119" s="85" t="s">
        <v>4135</v>
      </c>
      <c r="M1119" s="85" t="s">
        <v>6307</v>
      </c>
    </row>
    <row r="1120" ht="213.75" spans="1:13">
      <c r="A1120" s="85" t="s">
        <v>6308</v>
      </c>
      <c r="B1120" s="85" t="s">
        <v>4635</v>
      </c>
      <c r="C1120" s="85" t="s">
        <v>4636</v>
      </c>
      <c r="D1120" s="85" t="s">
        <v>4637</v>
      </c>
      <c r="E1120" s="85" t="s">
        <v>4638</v>
      </c>
      <c r="F1120" s="86">
        <v>585</v>
      </c>
      <c r="G1120" s="86">
        <v>1</v>
      </c>
      <c r="H1120" s="86">
        <v>585</v>
      </c>
      <c r="I1120" s="86">
        <v>2465</v>
      </c>
      <c r="J1120" s="85" t="s">
        <v>4639</v>
      </c>
      <c r="K1120" s="85" t="s">
        <v>6309</v>
      </c>
      <c r="L1120" s="85" t="s">
        <v>4135</v>
      </c>
      <c r="M1120" s="85" t="s">
        <v>6310</v>
      </c>
    </row>
    <row r="1121" ht="285" spans="1:13">
      <c r="A1121" s="85" t="s">
        <v>6308</v>
      </c>
      <c r="B1121" s="85" t="s">
        <v>6311</v>
      </c>
      <c r="C1121" s="85" t="s">
        <v>6312</v>
      </c>
      <c r="D1121" s="85" t="s">
        <v>4637</v>
      </c>
      <c r="E1121" s="85" t="s">
        <v>4638</v>
      </c>
      <c r="F1121" s="86">
        <v>480</v>
      </c>
      <c r="G1121" s="86">
        <v>2</v>
      </c>
      <c r="H1121" s="86">
        <v>960</v>
      </c>
      <c r="I1121" s="86">
        <v>2465</v>
      </c>
      <c r="J1121" s="85" t="s">
        <v>4639</v>
      </c>
      <c r="K1121" s="85" t="s">
        <v>6309</v>
      </c>
      <c r="L1121" s="85" t="s">
        <v>4135</v>
      </c>
      <c r="M1121" s="85" t="s">
        <v>6313</v>
      </c>
    </row>
    <row r="1122" ht="213.75" spans="1:13">
      <c r="A1122" s="85" t="s">
        <v>6308</v>
      </c>
      <c r="B1122" s="85" t="s">
        <v>6314</v>
      </c>
      <c r="C1122" s="85" t="s">
        <v>6315</v>
      </c>
      <c r="D1122" s="85" t="s">
        <v>4637</v>
      </c>
      <c r="E1122" s="85" t="s">
        <v>4638</v>
      </c>
      <c r="F1122" s="86">
        <v>460</v>
      </c>
      <c r="G1122" s="86">
        <v>2</v>
      </c>
      <c r="H1122" s="86">
        <v>920</v>
      </c>
      <c r="I1122" s="86">
        <v>2465</v>
      </c>
      <c r="J1122" s="85" t="s">
        <v>4639</v>
      </c>
      <c r="K1122" s="85" t="s">
        <v>6309</v>
      </c>
      <c r="L1122" s="85" t="s">
        <v>4135</v>
      </c>
      <c r="M1122" s="85" t="s">
        <v>6316</v>
      </c>
    </row>
    <row r="1123" ht="213.75" spans="1:13">
      <c r="A1123" s="85" t="s">
        <v>6317</v>
      </c>
      <c r="B1123" s="85" t="s">
        <v>5854</v>
      </c>
      <c r="C1123" s="85" t="s">
        <v>5855</v>
      </c>
      <c r="D1123" s="85" t="s">
        <v>5240</v>
      </c>
      <c r="E1123" s="85" t="s">
        <v>4081</v>
      </c>
      <c r="F1123" s="86">
        <v>280</v>
      </c>
      <c r="G1123" s="86">
        <v>5</v>
      </c>
      <c r="H1123" s="86">
        <v>1400</v>
      </c>
      <c r="I1123" s="86">
        <v>47290</v>
      </c>
      <c r="J1123" s="85" t="s">
        <v>2938</v>
      </c>
      <c r="K1123" s="85" t="s">
        <v>6318</v>
      </c>
      <c r="L1123" s="85" t="s">
        <v>4135</v>
      </c>
      <c r="M1123" s="85" t="s">
        <v>6319</v>
      </c>
    </row>
    <row r="1124" ht="213.75" spans="1:13">
      <c r="A1124" s="85" t="s">
        <v>6317</v>
      </c>
      <c r="B1124" s="85" t="s">
        <v>5662</v>
      </c>
      <c r="C1124" s="85" t="s">
        <v>5663</v>
      </c>
      <c r="D1124" s="85" t="s">
        <v>4076</v>
      </c>
      <c r="E1124" s="85" t="s">
        <v>1832</v>
      </c>
      <c r="F1124" s="86">
        <v>128</v>
      </c>
      <c r="G1124" s="86">
        <v>330</v>
      </c>
      <c r="H1124" s="86">
        <v>42240</v>
      </c>
      <c r="I1124" s="86">
        <v>47290</v>
      </c>
      <c r="J1124" s="85" t="s">
        <v>2938</v>
      </c>
      <c r="K1124" s="85" t="s">
        <v>6318</v>
      </c>
      <c r="L1124" s="85" t="s">
        <v>4135</v>
      </c>
      <c r="M1124" s="85" t="s">
        <v>6320</v>
      </c>
    </row>
    <row r="1125" ht="213.75" spans="1:13">
      <c r="A1125" s="85" t="s">
        <v>6317</v>
      </c>
      <c r="B1125" s="85" t="s">
        <v>3546</v>
      </c>
      <c r="C1125" s="85" t="s">
        <v>3547</v>
      </c>
      <c r="D1125" s="85" t="s">
        <v>3548</v>
      </c>
      <c r="E1125" s="85" t="s">
        <v>1835</v>
      </c>
      <c r="F1125" s="86">
        <v>365</v>
      </c>
      <c r="G1125" s="86">
        <v>10</v>
      </c>
      <c r="H1125" s="86">
        <v>3650</v>
      </c>
      <c r="I1125" s="86">
        <v>47290</v>
      </c>
      <c r="J1125" s="85" t="s">
        <v>2938</v>
      </c>
      <c r="K1125" s="85" t="s">
        <v>6318</v>
      </c>
      <c r="L1125" s="85" t="s">
        <v>4135</v>
      </c>
      <c r="M1125" s="85" t="s">
        <v>6321</v>
      </c>
    </row>
    <row r="1126" ht="213.75" spans="1:13">
      <c r="A1126" s="85" t="s">
        <v>6322</v>
      </c>
      <c r="B1126" s="85" t="s">
        <v>3745</v>
      </c>
      <c r="C1126" s="85" t="s">
        <v>3746</v>
      </c>
      <c r="D1126" s="85" t="s">
        <v>3747</v>
      </c>
      <c r="E1126" s="85" t="s">
        <v>1827</v>
      </c>
      <c r="F1126" s="86">
        <v>134</v>
      </c>
      <c r="G1126" s="86">
        <v>280</v>
      </c>
      <c r="H1126" s="86">
        <v>37520</v>
      </c>
      <c r="I1126" s="86">
        <v>37520</v>
      </c>
      <c r="J1126" s="85" t="s">
        <v>2932</v>
      </c>
      <c r="K1126" s="85" t="s">
        <v>6323</v>
      </c>
      <c r="L1126" s="85" t="s">
        <v>4135</v>
      </c>
      <c r="M1126" s="85" t="s">
        <v>6324</v>
      </c>
    </row>
    <row r="1127" ht="213.75" spans="1:13">
      <c r="A1127" s="85" t="s">
        <v>6325</v>
      </c>
      <c r="B1127" s="85" t="s">
        <v>6326</v>
      </c>
      <c r="C1127" s="85" t="s">
        <v>6327</v>
      </c>
      <c r="D1127" s="85" t="s">
        <v>3753</v>
      </c>
      <c r="E1127" s="85" t="s">
        <v>3754</v>
      </c>
      <c r="F1127" s="86">
        <v>1950</v>
      </c>
      <c r="G1127" s="86">
        <v>32</v>
      </c>
      <c r="H1127" s="86">
        <v>62400</v>
      </c>
      <c r="I1127" s="86">
        <v>62400</v>
      </c>
      <c r="J1127" s="85" t="s">
        <v>6328</v>
      </c>
      <c r="K1127" s="85" t="s">
        <v>6329</v>
      </c>
      <c r="L1127" s="85" t="s">
        <v>4135</v>
      </c>
      <c r="M1127" s="85" t="s">
        <v>6330</v>
      </c>
    </row>
    <row r="1128" ht="213.75" spans="1:13">
      <c r="A1128" s="85" t="s">
        <v>6331</v>
      </c>
      <c r="B1128" s="85" t="s">
        <v>3788</v>
      </c>
      <c r="C1128" s="85" t="s">
        <v>3789</v>
      </c>
      <c r="D1128" s="85" t="s">
        <v>3189</v>
      </c>
      <c r="E1128" s="85" t="s">
        <v>3790</v>
      </c>
      <c r="F1128" s="86">
        <v>100</v>
      </c>
      <c r="G1128" s="86">
        <v>42</v>
      </c>
      <c r="H1128" s="86">
        <v>4200</v>
      </c>
      <c r="I1128" s="86">
        <v>4200</v>
      </c>
      <c r="J1128" s="85" t="s">
        <v>3304</v>
      </c>
      <c r="K1128" s="85" t="s">
        <v>6332</v>
      </c>
      <c r="L1128" s="85" t="s">
        <v>4135</v>
      </c>
      <c r="M1128" s="85" t="s">
        <v>6333</v>
      </c>
    </row>
    <row r="1129" ht="213.75" spans="1:13">
      <c r="A1129" s="85" t="s">
        <v>6334</v>
      </c>
      <c r="B1129" s="85" t="s">
        <v>6335</v>
      </c>
      <c r="C1129" s="85" t="s">
        <v>6336</v>
      </c>
      <c r="D1129" s="85" t="s">
        <v>3189</v>
      </c>
      <c r="E1129" s="85" t="s">
        <v>6337</v>
      </c>
      <c r="F1129" s="86">
        <v>27</v>
      </c>
      <c r="G1129" s="86">
        <v>200</v>
      </c>
      <c r="H1129" s="86">
        <v>5400</v>
      </c>
      <c r="I1129" s="86">
        <v>5400</v>
      </c>
      <c r="J1129" s="85" t="s">
        <v>3314</v>
      </c>
      <c r="K1129" s="85" t="s">
        <v>6338</v>
      </c>
      <c r="L1129" s="85" t="s">
        <v>4135</v>
      </c>
      <c r="M1129" s="85" t="s">
        <v>6339</v>
      </c>
    </row>
    <row r="1130" ht="213.75" spans="1:13">
      <c r="A1130" s="85" t="s">
        <v>6340</v>
      </c>
      <c r="B1130" s="85" t="s">
        <v>6341</v>
      </c>
      <c r="C1130" s="85" t="s">
        <v>6342</v>
      </c>
      <c r="D1130" s="85" t="s">
        <v>3288</v>
      </c>
      <c r="E1130" s="85" t="s">
        <v>6342</v>
      </c>
      <c r="F1130" s="86">
        <v>15</v>
      </c>
      <c r="G1130" s="86">
        <v>600</v>
      </c>
      <c r="H1130" s="86">
        <v>9000</v>
      </c>
      <c r="I1130" s="86">
        <v>27320</v>
      </c>
      <c r="J1130" s="85" t="s">
        <v>4370</v>
      </c>
      <c r="K1130" s="85" t="s">
        <v>6343</v>
      </c>
      <c r="L1130" s="85" t="s">
        <v>4135</v>
      </c>
      <c r="M1130" s="85" t="s">
        <v>6344</v>
      </c>
    </row>
    <row r="1131" ht="213.75" spans="1:13">
      <c r="A1131" s="85" t="s">
        <v>6340</v>
      </c>
      <c r="B1131" s="85" t="s">
        <v>6345</v>
      </c>
      <c r="C1131" s="85" t="s">
        <v>6346</v>
      </c>
      <c r="D1131" s="85" t="s">
        <v>6347</v>
      </c>
      <c r="E1131" s="85" t="s">
        <v>6348</v>
      </c>
      <c r="F1131" s="86">
        <v>298</v>
      </c>
      <c r="G1131" s="86">
        <v>40</v>
      </c>
      <c r="H1131" s="86">
        <v>11920</v>
      </c>
      <c r="I1131" s="86">
        <v>27320</v>
      </c>
      <c r="J1131" s="85" t="s">
        <v>4370</v>
      </c>
      <c r="K1131" s="85" t="s">
        <v>6343</v>
      </c>
      <c r="L1131" s="85" t="s">
        <v>4135</v>
      </c>
      <c r="M1131" s="85" t="s">
        <v>6349</v>
      </c>
    </row>
    <row r="1132" ht="213.75" spans="1:13">
      <c r="A1132" s="85" t="s">
        <v>6340</v>
      </c>
      <c r="B1132" s="85" t="s">
        <v>6350</v>
      </c>
      <c r="C1132" s="85" t="s">
        <v>6351</v>
      </c>
      <c r="D1132" s="85" t="s">
        <v>4866</v>
      </c>
      <c r="E1132" s="85" t="s">
        <v>6352</v>
      </c>
      <c r="F1132" s="86">
        <v>320</v>
      </c>
      <c r="G1132" s="86">
        <v>10</v>
      </c>
      <c r="H1132" s="86">
        <v>3200</v>
      </c>
      <c r="I1132" s="86">
        <v>27320</v>
      </c>
      <c r="J1132" s="85" t="s">
        <v>4370</v>
      </c>
      <c r="K1132" s="85" t="s">
        <v>6343</v>
      </c>
      <c r="L1132" s="85" t="s">
        <v>4135</v>
      </c>
      <c r="M1132" s="85" t="s">
        <v>6353</v>
      </c>
    </row>
    <row r="1133" ht="213.75" spans="1:13">
      <c r="A1133" s="85" t="s">
        <v>6340</v>
      </c>
      <c r="B1133" s="85" t="s">
        <v>6354</v>
      </c>
      <c r="C1133" s="85" t="s">
        <v>6355</v>
      </c>
      <c r="D1133" s="85" t="s">
        <v>5293</v>
      </c>
      <c r="E1133" s="85" t="s">
        <v>6356</v>
      </c>
      <c r="F1133" s="86">
        <v>160</v>
      </c>
      <c r="G1133" s="86">
        <v>20</v>
      </c>
      <c r="H1133" s="86">
        <v>3200</v>
      </c>
      <c r="I1133" s="86">
        <v>27320</v>
      </c>
      <c r="J1133" s="85" t="s">
        <v>4370</v>
      </c>
      <c r="K1133" s="85" t="s">
        <v>6343</v>
      </c>
      <c r="L1133" s="85" t="s">
        <v>4135</v>
      </c>
      <c r="M1133" s="85" t="s">
        <v>6357</v>
      </c>
    </row>
    <row r="1134" ht="213.75" spans="1:13">
      <c r="A1134" s="85" t="s">
        <v>6358</v>
      </c>
      <c r="B1134" s="85" t="s">
        <v>3116</v>
      </c>
      <c r="C1134" s="85" t="s">
        <v>3117</v>
      </c>
      <c r="D1134" s="85" t="s">
        <v>3118</v>
      </c>
      <c r="E1134" s="85" t="s">
        <v>3117</v>
      </c>
      <c r="F1134" s="86">
        <v>14000</v>
      </c>
      <c r="G1134" s="86">
        <v>1</v>
      </c>
      <c r="H1134" s="86">
        <v>14000</v>
      </c>
      <c r="I1134" s="86">
        <v>14000</v>
      </c>
      <c r="J1134" s="85" t="s">
        <v>4084</v>
      </c>
      <c r="K1134" s="85" t="s">
        <v>6359</v>
      </c>
      <c r="L1134" s="85" t="s">
        <v>4135</v>
      </c>
      <c r="M1134" s="85" t="s">
        <v>6360</v>
      </c>
    </row>
    <row r="1135" ht="213.75" spans="1:13">
      <c r="A1135" s="85" t="s">
        <v>6361</v>
      </c>
      <c r="B1135" s="85" t="s">
        <v>6362</v>
      </c>
      <c r="C1135" s="85" t="s">
        <v>6363</v>
      </c>
      <c r="D1135" s="85" t="s">
        <v>3041</v>
      </c>
      <c r="E1135" s="85" t="s">
        <v>3158</v>
      </c>
      <c r="F1135" s="86">
        <v>1</v>
      </c>
      <c r="G1135" s="86">
        <v>370</v>
      </c>
      <c r="H1135" s="86">
        <v>370</v>
      </c>
      <c r="I1135" s="86">
        <v>28272</v>
      </c>
      <c r="J1135" s="85" t="s">
        <v>2935</v>
      </c>
      <c r="K1135" s="85" t="s">
        <v>6364</v>
      </c>
      <c r="L1135" s="85" t="s">
        <v>4135</v>
      </c>
      <c r="M1135" s="85" t="s">
        <v>6365</v>
      </c>
    </row>
    <row r="1136" ht="213.75" spans="1:13">
      <c r="A1136" s="85" t="s">
        <v>6361</v>
      </c>
      <c r="B1136" s="85" t="s">
        <v>6366</v>
      </c>
      <c r="C1136" s="85" t="s">
        <v>6367</v>
      </c>
      <c r="D1136" s="85" t="s">
        <v>6368</v>
      </c>
      <c r="E1136" s="85" t="s">
        <v>6367</v>
      </c>
      <c r="F1136" s="86">
        <v>1320</v>
      </c>
      <c r="G1136" s="86">
        <v>2</v>
      </c>
      <c r="H1136" s="86">
        <v>2640</v>
      </c>
      <c r="I1136" s="86">
        <v>28272</v>
      </c>
      <c r="J1136" s="85" t="s">
        <v>2935</v>
      </c>
      <c r="K1136" s="85" t="s">
        <v>6364</v>
      </c>
      <c r="L1136" s="85" t="s">
        <v>4135</v>
      </c>
      <c r="M1136" s="85" t="s">
        <v>6369</v>
      </c>
    </row>
    <row r="1137" ht="213.75" spans="1:13">
      <c r="A1137" s="85" t="s">
        <v>6361</v>
      </c>
      <c r="B1137" s="85" t="s">
        <v>6370</v>
      </c>
      <c r="C1137" s="85" t="s">
        <v>6371</v>
      </c>
      <c r="D1137" s="85" t="s">
        <v>4637</v>
      </c>
      <c r="E1137" s="85" t="s">
        <v>6371</v>
      </c>
      <c r="F1137" s="86">
        <v>15</v>
      </c>
      <c r="G1137" s="86">
        <v>2</v>
      </c>
      <c r="H1137" s="86">
        <v>30</v>
      </c>
      <c r="I1137" s="86">
        <v>28272</v>
      </c>
      <c r="J1137" s="85" t="s">
        <v>2935</v>
      </c>
      <c r="K1137" s="85" t="s">
        <v>6364</v>
      </c>
      <c r="L1137" s="85" t="s">
        <v>4135</v>
      </c>
      <c r="M1137" s="85" t="s">
        <v>6372</v>
      </c>
    </row>
    <row r="1138" ht="213.75" spans="1:13">
      <c r="A1138" s="85" t="s">
        <v>6361</v>
      </c>
      <c r="B1138" s="85" t="s">
        <v>6373</v>
      </c>
      <c r="C1138" s="85" t="s">
        <v>6374</v>
      </c>
      <c r="D1138" s="85" t="s">
        <v>6375</v>
      </c>
      <c r="E1138" s="85" t="s">
        <v>6376</v>
      </c>
      <c r="F1138" s="86">
        <v>210</v>
      </c>
      <c r="G1138" s="86">
        <v>4</v>
      </c>
      <c r="H1138" s="86">
        <v>840</v>
      </c>
      <c r="I1138" s="86">
        <v>28272</v>
      </c>
      <c r="J1138" s="85" t="s">
        <v>2935</v>
      </c>
      <c r="K1138" s="85" t="s">
        <v>6364</v>
      </c>
      <c r="L1138" s="85" t="s">
        <v>4135</v>
      </c>
      <c r="M1138" s="85" t="s">
        <v>6377</v>
      </c>
    </row>
    <row r="1139" ht="213.75" spans="1:13">
      <c r="A1139" s="85" t="s">
        <v>6361</v>
      </c>
      <c r="B1139" s="85" t="s">
        <v>6378</v>
      </c>
      <c r="C1139" s="85" t="s">
        <v>6379</v>
      </c>
      <c r="D1139" s="85" t="s">
        <v>3041</v>
      </c>
      <c r="E1139" s="85" t="s">
        <v>5167</v>
      </c>
      <c r="F1139" s="86">
        <v>10</v>
      </c>
      <c r="G1139" s="86">
        <v>10</v>
      </c>
      <c r="H1139" s="86">
        <v>100</v>
      </c>
      <c r="I1139" s="86">
        <v>28272</v>
      </c>
      <c r="J1139" s="85" t="s">
        <v>2935</v>
      </c>
      <c r="K1139" s="85" t="s">
        <v>6364</v>
      </c>
      <c r="L1139" s="85" t="s">
        <v>4135</v>
      </c>
      <c r="M1139" s="85" t="s">
        <v>6380</v>
      </c>
    </row>
    <row r="1140" ht="270.75" spans="1:13">
      <c r="A1140" s="85" t="s">
        <v>6361</v>
      </c>
      <c r="B1140" s="85" t="s">
        <v>6381</v>
      </c>
      <c r="C1140" s="85" t="s">
        <v>6382</v>
      </c>
      <c r="D1140" s="85" t="s">
        <v>6368</v>
      </c>
      <c r="E1140" s="85" t="s">
        <v>6383</v>
      </c>
      <c r="F1140" s="86">
        <v>1870</v>
      </c>
      <c r="G1140" s="86">
        <v>1</v>
      </c>
      <c r="H1140" s="86">
        <v>1870</v>
      </c>
      <c r="I1140" s="86">
        <v>28272</v>
      </c>
      <c r="J1140" s="85" t="s">
        <v>2935</v>
      </c>
      <c r="K1140" s="85" t="s">
        <v>6364</v>
      </c>
      <c r="L1140" s="85" t="s">
        <v>4135</v>
      </c>
      <c r="M1140" s="85" t="s">
        <v>6384</v>
      </c>
    </row>
    <row r="1141" ht="213.75" spans="1:13">
      <c r="A1141" s="85" t="s">
        <v>6361</v>
      </c>
      <c r="B1141" s="85" t="s">
        <v>6385</v>
      </c>
      <c r="C1141" s="85" t="s">
        <v>6386</v>
      </c>
      <c r="D1141" s="85" t="s">
        <v>5378</v>
      </c>
      <c r="E1141" s="85" t="s">
        <v>6386</v>
      </c>
      <c r="F1141" s="86">
        <v>21</v>
      </c>
      <c r="G1141" s="86">
        <v>35</v>
      </c>
      <c r="H1141" s="86">
        <v>735</v>
      </c>
      <c r="I1141" s="86">
        <v>28272</v>
      </c>
      <c r="J1141" s="85" t="s">
        <v>2935</v>
      </c>
      <c r="K1141" s="85" t="s">
        <v>6364</v>
      </c>
      <c r="L1141" s="85" t="s">
        <v>4135</v>
      </c>
      <c r="M1141" s="85" t="s">
        <v>6387</v>
      </c>
    </row>
    <row r="1142" ht="213.75" spans="1:13">
      <c r="A1142" s="85" t="s">
        <v>6361</v>
      </c>
      <c r="B1142" s="85" t="s">
        <v>6388</v>
      </c>
      <c r="C1142" s="85" t="s">
        <v>6389</v>
      </c>
      <c r="D1142" s="85" t="s">
        <v>4177</v>
      </c>
      <c r="E1142" s="85" t="s">
        <v>4178</v>
      </c>
      <c r="F1142" s="86">
        <v>225</v>
      </c>
      <c r="G1142" s="86">
        <v>2</v>
      </c>
      <c r="H1142" s="86">
        <v>450</v>
      </c>
      <c r="I1142" s="86">
        <v>28272</v>
      </c>
      <c r="J1142" s="85" t="s">
        <v>2935</v>
      </c>
      <c r="K1142" s="85" t="s">
        <v>6364</v>
      </c>
      <c r="L1142" s="85" t="s">
        <v>4135</v>
      </c>
      <c r="M1142" s="85" t="s">
        <v>6390</v>
      </c>
    </row>
    <row r="1143" ht="213.75" spans="1:13">
      <c r="A1143" s="85" t="s">
        <v>6361</v>
      </c>
      <c r="B1143" s="85" t="s">
        <v>6391</v>
      </c>
      <c r="C1143" s="85" t="s">
        <v>6392</v>
      </c>
      <c r="D1143" s="85" t="s">
        <v>3753</v>
      </c>
      <c r="E1143" s="85" t="s">
        <v>6393</v>
      </c>
      <c r="F1143" s="86">
        <v>29</v>
      </c>
      <c r="G1143" s="86">
        <v>25</v>
      </c>
      <c r="H1143" s="86">
        <v>725</v>
      </c>
      <c r="I1143" s="86">
        <v>28272</v>
      </c>
      <c r="J1143" s="85" t="s">
        <v>2935</v>
      </c>
      <c r="K1143" s="85" t="s">
        <v>6364</v>
      </c>
      <c r="L1143" s="85" t="s">
        <v>4135</v>
      </c>
      <c r="M1143" s="85" t="s">
        <v>6394</v>
      </c>
    </row>
    <row r="1144" ht="213.75" spans="1:13">
      <c r="A1144" s="85" t="s">
        <v>6361</v>
      </c>
      <c r="B1144" s="85" t="s">
        <v>6395</v>
      </c>
      <c r="C1144" s="85" t="s">
        <v>6396</v>
      </c>
      <c r="D1144" s="85" t="s">
        <v>3617</v>
      </c>
      <c r="E1144" s="85" t="s">
        <v>6396</v>
      </c>
      <c r="F1144" s="86">
        <v>40</v>
      </c>
      <c r="G1144" s="86">
        <v>10</v>
      </c>
      <c r="H1144" s="86">
        <v>400</v>
      </c>
      <c r="I1144" s="86">
        <v>28272</v>
      </c>
      <c r="J1144" s="85" t="s">
        <v>2935</v>
      </c>
      <c r="K1144" s="85" t="s">
        <v>6364</v>
      </c>
      <c r="L1144" s="85" t="s">
        <v>4135</v>
      </c>
      <c r="M1144" s="85" t="s">
        <v>6397</v>
      </c>
    </row>
    <row r="1145" ht="213.75" spans="1:13">
      <c r="A1145" s="85" t="s">
        <v>6361</v>
      </c>
      <c r="B1145" s="85" t="s">
        <v>6398</v>
      </c>
      <c r="C1145" s="85" t="s">
        <v>6399</v>
      </c>
      <c r="D1145" s="85" t="s">
        <v>4848</v>
      </c>
      <c r="E1145" s="85" t="s">
        <v>4849</v>
      </c>
      <c r="F1145" s="86">
        <v>3</v>
      </c>
      <c r="G1145" s="86">
        <v>960</v>
      </c>
      <c r="H1145" s="86">
        <v>2880</v>
      </c>
      <c r="I1145" s="86">
        <v>28272</v>
      </c>
      <c r="J1145" s="85" t="s">
        <v>2935</v>
      </c>
      <c r="K1145" s="85" t="s">
        <v>6364</v>
      </c>
      <c r="L1145" s="85" t="s">
        <v>4135</v>
      </c>
      <c r="M1145" s="85" t="s">
        <v>6400</v>
      </c>
    </row>
    <row r="1146" ht="213.75" spans="1:13">
      <c r="A1146" s="85" t="s">
        <v>6361</v>
      </c>
      <c r="B1146" s="85" t="s">
        <v>6401</v>
      </c>
      <c r="C1146" s="85" t="s">
        <v>6402</v>
      </c>
      <c r="D1146" s="85" t="s">
        <v>3985</v>
      </c>
      <c r="E1146" s="85" t="s">
        <v>6403</v>
      </c>
      <c r="F1146" s="86">
        <v>50</v>
      </c>
      <c r="G1146" s="86">
        <v>8</v>
      </c>
      <c r="H1146" s="86">
        <v>400</v>
      </c>
      <c r="I1146" s="86">
        <v>28272</v>
      </c>
      <c r="J1146" s="85" t="s">
        <v>2935</v>
      </c>
      <c r="K1146" s="85" t="s">
        <v>6364</v>
      </c>
      <c r="L1146" s="85" t="s">
        <v>4135</v>
      </c>
      <c r="M1146" s="85" t="s">
        <v>6404</v>
      </c>
    </row>
    <row r="1147" ht="213.75" spans="1:13">
      <c r="A1147" s="85" t="s">
        <v>6361</v>
      </c>
      <c r="B1147" s="85" t="s">
        <v>6405</v>
      </c>
      <c r="C1147" s="85" t="s">
        <v>6406</v>
      </c>
      <c r="D1147" s="85" t="s">
        <v>6407</v>
      </c>
      <c r="E1147" s="85" t="s">
        <v>6408</v>
      </c>
      <c r="F1147" s="86">
        <v>3</v>
      </c>
      <c r="G1147" s="86">
        <v>370</v>
      </c>
      <c r="H1147" s="86">
        <v>1110</v>
      </c>
      <c r="I1147" s="86">
        <v>28272</v>
      </c>
      <c r="J1147" s="85" t="s">
        <v>2935</v>
      </c>
      <c r="K1147" s="85" t="s">
        <v>6364</v>
      </c>
      <c r="L1147" s="85" t="s">
        <v>4135</v>
      </c>
      <c r="M1147" s="85" t="s">
        <v>6409</v>
      </c>
    </row>
    <row r="1148" ht="213.75" spans="1:13">
      <c r="A1148" s="85" t="s">
        <v>6361</v>
      </c>
      <c r="B1148" s="85" t="s">
        <v>5349</v>
      </c>
      <c r="C1148" s="85" t="s">
        <v>5350</v>
      </c>
      <c r="D1148" s="85" t="s">
        <v>3189</v>
      </c>
      <c r="E1148" s="85" t="s">
        <v>5351</v>
      </c>
      <c r="F1148" s="86">
        <v>19</v>
      </c>
      <c r="G1148" s="86">
        <v>22</v>
      </c>
      <c r="H1148" s="86">
        <v>418</v>
      </c>
      <c r="I1148" s="86">
        <v>28272</v>
      </c>
      <c r="J1148" s="85" t="s">
        <v>2935</v>
      </c>
      <c r="K1148" s="85" t="s">
        <v>6364</v>
      </c>
      <c r="L1148" s="85" t="s">
        <v>4135</v>
      </c>
      <c r="M1148" s="85" t="s">
        <v>6410</v>
      </c>
    </row>
    <row r="1149" ht="213.75" spans="1:13">
      <c r="A1149" s="85" t="s">
        <v>6361</v>
      </c>
      <c r="B1149" s="85" t="s">
        <v>6411</v>
      </c>
      <c r="C1149" s="85" t="s">
        <v>6412</v>
      </c>
      <c r="D1149" s="85" t="s">
        <v>3273</v>
      </c>
      <c r="E1149" s="85" t="s">
        <v>6412</v>
      </c>
      <c r="F1149" s="86">
        <v>72</v>
      </c>
      <c r="G1149" s="86">
        <v>10</v>
      </c>
      <c r="H1149" s="86">
        <v>720</v>
      </c>
      <c r="I1149" s="86">
        <v>28272</v>
      </c>
      <c r="J1149" s="85" t="s">
        <v>2935</v>
      </c>
      <c r="K1149" s="85" t="s">
        <v>6364</v>
      </c>
      <c r="L1149" s="85" t="s">
        <v>4135</v>
      </c>
      <c r="M1149" s="85" t="s">
        <v>6413</v>
      </c>
    </row>
    <row r="1150" ht="213.75" spans="1:13">
      <c r="A1150" s="85" t="s">
        <v>6361</v>
      </c>
      <c r="B1150" s="85" t="s">
        <v>6414</v>
      </c>
      <c r="C1150" s="85" t="s">
        <v>6415</v>
      </c>
      <c r="D1150" s="85" t="s">
        <v>6416</v>
      </c>
      <c r="E1150" s="85" t="s">
        <v>6417</v>
      </c>
      <c r="F1150" s="86">
        <v>5</v>
      </c>
      <c r="G1150" s="86">
        <v>980</v>
      </c>
      <c r="H1150" s="86">
        <v>4900</v>
      </c>
      <c r="I1150" s="86">
        <v>28272</v>
      </c>
      <c r="J1150" s="85" t="s">
        <v>2935</v>
      </c>
      <c r="K1150" s="85" t="s">
        <v>6364</v>
      </c>
      <c r="L1150" s="85" t="s">
        <v>4135</v>
      </c>
      <c r="M1150" s="85" t="s">
        <v>6418</v>
      </c>
    </row>
    <row r="1151" ht="213.75" spans="1:13">
      <c r="A1151" s="85" t="s">
        <v>6361</v>
      </c>
      <c r="B1151" s="85" t="s">
        <v>6419</v>
      </c>
      <c r="C1151" s="85" t="s">
        <v>6420</v>
      </c>
      <c r="D1151" s="85" t="s">
        <v>3041</v>
      </c>
      <c r="E1151" s="85" t="s">
        <v>3158</v>
      </c>
      <c r="F1151" s="86">
        <v>18</v>
      </c>
      <c r="G1151" s="86">
        <v>30</v>
      </c>
      <c r="H1151" s="86">
        <v>540</v>
      </c>
      <c r="I1151" s="86">
        <v>28272</v>
      </c>
      <c r="J1151" s="85" t="s">
        <v>2935</v>
      </c>
      <c r="K1151" s="85" t="s">
        <v>6364</v>
      </c>
      <c r="L1151" s="85" t="s">
        <v>4135</v>
      </c>
      <c r="M1151" s="85" t="s">
        <v>6421</v>
      </c>
    </row>
    <row r="1152" ht="213.75" spans="1:13">
      <c r="A1152" s="85" t="s">
        <v>6361</v>
      </c>
      <c r="B1152" s="85" t="s">
        <v>6422</v>
      </c>
      <c r="C1152" s="85" t="s">
        <v>6423</v>
      </c>
      <c r="D1152" s="85" t="s">
        <v>6122</v>
      </c>
      <c r="E1152" s="85" t="s">
        <v>6424</v>
      </c>
      <c r="F1152" s="86">
        <v>15</v>
      </c>
      <c r="G1152" s="86">
        <v>15</v>
      </c>
      <c r="H1152" s="86">
        <v>225</v>
      </c>
      <c r="I1152" s="86">
        <v>28272</v>
      </c>
      <c r="J1152" s="85" t="s">
        <v>2935</v>
      </c>
      <c r="K1152" s="85" t="s">
        <v>6364</v>
      </c>
      <c r="L1152" s="85" t="s">
        <v>4135</v>
      </c>
      <c r="M1152" s="85" t="s">
        <v>6425</v>
      </c>
    </row>
    <row r="1153" ht="213.75" spans="1:13">
      <c r="A1153" s="85" t="s">
        <v>6361</v>
      </c>
      <c r="B1153" s="85" t="s">
        <v>6426</v>
      </c>
      <c r="C1153" s="85" t="s">
        <v>6427</v>
      </c>
      <c r="D1153" s="85" t="s">
        <v>3041</v>
      </c>
      <c r="E1153" s="85" t="s">
        <v>3158</v>
      </c>
      <c r="F1153" s="86">
        <v>10</v>
      </c>
      <c r="G1153" s="86">
        <v>10</v>
      </c>
      <c r="H1153" s="86">
        <v>100</v>
      </c>
      <c r="I1153" s="86">
        <v>28272</v>
      </c>
      <c r="J1153" s="85" t="s">
        <v>2935</v>
      </c>
      <c r="K1153" s="85" t="s">
        <v>6364</v>
      </c>
      <c r="L1153" s="85" t="s">
        <v>4135</v>
      </c>
      <c r="M1153" s="85" t="s">
        <v>6428</v>
      </c>
    </row>
    <row r="1154" ht="213.75" spans="1:13">
      <c r="A1154" s="85" t="s">
        <v>6361</v>
      </c>
      <c r="B1154" s="85" t="s">
        <v>6429</v>
      </c>
      <c r="C1154" s="85" t="s">
        <v>6430</v>
      </c>
      <c r="D1154" s="85" t="s">
        <v>4637</v>
      </c>
      <c r="E1154" s="85" t="s">
        <v>6431</v>
      </c>
      <c r="F1154" s="86">
        <v>60</v>
      </c>
      <c r="G1154" s="86">
        <v>8</v>
      </c>
      <c r="H1154" s="86">
        <v>480</v>
      </c>
      <c r="I1154" s="86">
        <v>28272</v>
      </c>
      <c r="J1154" s="85" t="s">
        <v>2935</v>
      </c>
      <c r="K1154" s="85" t="s">
        <v>6364</v>
      </c>
      <c r="L1154" s="85" t="s">
        <v>4135</v>
      </c>
      <c r="M1154" s="85" t="s">
        <v>6432</v>
      </c>
    </row>
    <row r="1155" ht="213.75" spans="1:13">
      <c r="A1155" s="85" t="s">
        <v>6361</v>
      </c>
      <c r="B1155" s="85" t="s">
        <v>6433</v>
      </c>
      <c r="C1155" s="85" t="s">
        <v>6434</v>
      </c>
      <c r="D1155" s="85" t="s">
        <v>3471</v>
      </c>
      <c r="E1155" s="85" t="s">
        <v>6434</v>
      </c>
      <c r="F1155" s="86">
        <v>680</v>
      </c>
      <c r="G1155" s="86">
        <v>4</v>
      </c>
      <c r="H1155" s="86">
        <v>2720</v>
      </c>
      <c r="I1155" s="86">
        <v>28272</v>
      </c>
      <c r="J1155" s="85" t="s">
        <v>2935</v>
      </c>
      <c r="K1155" s="85" t="s">
        <v>6364</v>
      </c>
      <c r="L1155" s="85" t="s">
        <v>4135</v>
      </c>
      <c r="M1155" s="85" t="s">
        <v>6435</v>
      </c>
    </row>
    <row r="1156" ht="213.75" spans="1:13">
      <c r="A1156" s="85" t="s">
        <v>6361</v>
      </c>
      <c r="B1156" s="85" t="s">
        <v>6436</v>
      </c>
      <c r="C1156" s="85" t="s">
        <v>6437</v>
      </c>
      <c r="D1156" s="85" t="s">
        <v>3737</v>
      </c>
      <c r="E1156" s="85" t="s">
        <v>6437</v>
      </c>
      <c r="F1156" s="86">
        <v>282</v>
      </c>
      <c r="G1156" s="86">
        <v>5</v>
      </c>
      <c r="H1156" s="86">
        <v>1410</v>
      </c>
      <c r="I1156" s="86">
        <v>28272</v>
      </c>
      <c r="J1156" s="85" t="s">
        <v>2935</v>
      </c>
      <c r="K1156" s="85" t="s">
        <v>6364</v>
      </c>
      <c r="L1156" s="85" t="s">
        <v>4135</v>
      </c>
      <c r="M1156" s="85" t="s">
        <v>6438</v>
      </c>
    </row>
    <row r="1157" ht="213.75" spans="1:13">
      <c r="A1157" s="85" t="s">
        <v>6361</v>
      </c>
      <c r="B1157" s="85" t="s">
        <v>6439</v>
      </c>
      <c r="C1157" s="85" t="s">
        <v>6440</v>
      </c>
      <c r="D1157" s="85" t="s">
        <v>3041</v>
      </c>
      <c r="E1157" s="85" t="s">
        <v>3158</v>
      </c>
      <c r="F1157" s="86">
        <v>1</v>
      </c>
      <c r="G1157" s="86">
        <v>487</v>
      </c>
      <c r="H1157" s="86">
        <v>487</v>
      </c>
      <c r="I1157" s="86">
        <v>28272</v>
      </c>
      <c r="J1157" s="85" t="s">
        <v>2935</v>
      </c>
      <c r="K1157" s="85" t="s">
        <v>6364</v>
      </c>
      <c r="L1157" s="85" t="s">
        <v>4135</v>
      </c>
      <c r="M1157" s="85" t="s">
        <v>6441</v>
      </c>
    </row>
    <row r="1158" ht="213.75" spans="1:13">
      <c r="A1158" s="85" t="s">
        <v>6361</v>
      </c>
      <c r="B1158" s="85" t="s">
        <v>6442</v>
      </c>
      <c r="C1158" s="85" t="s">
        <v>6443</v>
      </c>
      <c r="D1158" s="85" t="s">
        <v>3398</v>
      </c>
      <c r="E1158" s="85" t="s">
        <v>6444</v>
      </c>
      <c r="F1158" s="86">
        <v>1636</v>
      </c>
      <c r="G1158" s="86">
        <v>2</v>
      </c>
      <c r="H1158" s="86">
        <v>3272</v>
      </c>
      <c r="I1158" s="86">
        <v>28272</v>
      </c>
      <c r="J1158" s="85" t="s">
        <v>2935</v>
      </c>
      <c r="K1158" s="85" t="s">
        <v>6364</v>
      </c>
      <c r="L1158" s="85" t="s">
        <v>4135</v>
      </c>
      <c r="M1158" s="85" t="s">
        <v>6445</v>
      </c>
    </row>
    <row r="1159" ht="213.75" spans="1:13">
      <c r="A1159" s="85" t="s">
        <v>6361</v>
      </c>
      <c r="B1159" s="85" t="s">
        <v>6446</v>
      </c>
      <c r="C1159" s="85" t="s">
        <v>6447</v>
      </c>
      <c r="D1159" s="85" t="s">
        <v>3617</v>
      </c>
      <c r="E1159" s="85" t="s">
        <v>6448</v>
      </c>
      <c r="F1159" s="86">
        <v>22</v>
      </c>
      <c r="G1159" s="86">
        <v>15</v>
      </c>
      <c r="H1159" s="86">
        <v>330</v>
      </c>
      <c r="I1159" s="86">
        <v>28272</v>
      </c>
      <c r="J1159" s="85" t="s">
        <v>2935</v>
      </c>
      <c r="K1159" s="85" t="s">
        <v>6364</v>
      </c>
      <c r="L1159" s="85" t="s">
        <v>4135</v>
      </c>
      <c r="M1159" s="85" t="s">
        <v>6449</v>
      </c>
    </row>
    <row r="1160" ht="213.75" spans="1:13">
      <c r="A1160" s="85" t="s">
        <v>6361</v>
      </c>
      <c r="B1160" s="85" t="s">
        <v>6450</v>
      </c>
      <c r="C1160" s="85" t="s">
        <v>6451</v>
      </c>
      <c r="D1160" s="85" t="s">
        <v>3656</v>
      </c>
      <c r="E1160" s="85" t="s">
        <v>1789</v>
      </c>
      <c r="F1160" s="86">
        <v>12</v>
      </c>
      <c r="G1160" s="86">
        <v>10</v>
      </c>
      <c r="H1160" s="86">
        <v>120</v>
      </c>
      <c r="I1160" s="86">
        <v>28272</v>
      </c>
      <c r="J1160" s="85" t="s">
        <v>2935</v>
      </c>
      <c r="K1160" s="85" t="s">
        <v>6364</v>
      </c>
      <c r="L1160" s="85" t="s">
        <v>4135</v>
      </c>
      <c r="M1160" s="85" t="s">
        <v>6452</v>
      </c>
    </row>
    <row r="1161" ht="213.75" spans="1:13">
      <c r="A1161" s="85" t="s">
        <v>6453</v>
      </c>
      <c r="B1161" s="85" t="s">
        <v>3788</v>
      </c>
      <c r="C1161" s="85" t="s">
        <v>3789</v>
      </c>
      <c r="D1161" s="85" t="s">
        <v>3189</v>
      </c>
      <c r="E1161" s="85" t="s">
        <v>3790</v>
      </c>
      <c r="F1161" s="86">
        <v>100</v>
      </c>
      <c r="G1161" s="86">
        <v>36</v>
      </c>
      <c r="H1161" s="86">
        <v>3600</v>
      </c>
      <c r="I1161" s="86">
        <v>3600</v>
      </c>
      <c r="J1161" s="85" t="s">
        <v>3304</v>
      </c>
      <c r="K1161" s="85" t="s">
        <v>6454</v>
      </c>
      <c r="L1161" s="85" t="s">
        <v>4135</v>
      </c>
      <c r="M1161" s="85" t="s">
        <v>6455</v>
      </c>
    </row>
    <row r="1162" ht="213.75" spans="1:13">
      <c r="A1162" s="85" t="s">
        <v>6456</v>
      </c>
      <c r="B1162" s="85" t="s">
        <v>6457</v>
      </c>
      <c r="C1162" s="85" t="s">
        <v>6458</v>
      </c>
      <c r="D1162" s="85" t="s">
        <v>6459</v>
      </c>
      <c r="E1162" s="85" t="s">
        <v>6460</v>
      </c>
      <c r="F1162" s="86">
        <v>1</v>
      </c>
      <c r="G1162" s="86">
        <v>500</v>
      </c>
      <c r="H1162" s="86">
        <v>500</v>
      </c>
      <c r="I1162" s="86">
        <v>2335</v>
      </c>
      <c r="J1162" s="85" t="s">
        <v>2935</v>
      </c>
      <c r="K1162" s="85" t="s">
        <v>6461</v>
      </c>
      <c r="L1162" s="85" t="s">
        <v>4135</v>
      </c>
      <c r="M1162" s="85" t="s">
        <v>6462</v>
      </c>
    </row>
    <row r="1163" ht="213.75" spans="1:13">
      <c r="A1163" s="85" t="s">
        <v>6456</v>
      </c>
      <c r="B1163" s="85" t="s">
        <v>6463</v>
      </c>
      <c r="C1163" s="85" t="s">
        <v>6464</v>
      </c>
      <c r="D1163" s="85" t="s">
        <v>6465</v>
      </c>
      <c r="E1163" s="85" t="s">
        <v>6466</v>
      </c>
      <c r="F1163" s="86">
        <v>360</v>
      </c>
      <c r="G1163" s="86">
        <v>4</v>
      </c>
      <c r="H1163" s="86">
        <v>1440</v>
      </c>
      <c r="I1163" s="86">
        <v>2335</v>
      </c>
      <c r="J1163" s="85" t="s">
        <v>2935</v>
      </c>
      <c r="K1163" s="85" t="s">
        <v>6461</v>
      </c>
      <c r="L1163" s="85" t="s">
        <v>4135</v>
      </c>
      <c r="M1163" s="85" t="s">
        <v>6467</v>
      </c>
    </row>
    <row r="1164" ht="213.75" spans="1:13">
      <c r="A1164" s="85" t="s">
        <v>6456</v>
      </c>
      <c r="B1164" s="85" t="s">
        <v>6468</v>
      </c>
      <c r="C1164" s="85" t="s">
        <v>6469</v>
      </c>
      <c r="D1164" s="85" t="s">
        <v>6470</v>
      </c>
      <c r="E1164" s="85" t="s">
        <v>6471</v>
      </c>
      <c r="F1164" s="86">
        <v>35</v>
      </c>
      <c r="G1164" s="86">
        <v>5</v>
      </c>
      <c r="H1164" s="86">
        <v>175</v>
      </c>
      <c r="I1164" s="86">
        <v>2335</v>
      </c>
      <c r="J1164" s="85" t="s">
        <v>2935</v>
      </c>
      <c r="K1164" s="85" t="s">
        <v>6461</v>
      </c>
      <c r="L1164" s="85" t="s">
        <v>4135</v>
      </c>
      <c r="M1164" s="85" t="s">
        <v>6472</v>
      </c>
    </row>
    <row r="1165" ht="213.75" spans="1:13">
      <c r="A1165" s="85" t="s">
        <v>6456</v>
      </c>
      <c r="B1165" s="85" t="s">
        <v>6473</v>
      </c>
      <c r="C1165" s="85" t="s">
        <v>6474</v>
      </c>
      <c r="D1165" s="85" t="s">
        <v>6475</v>
      </c>
      <c r="E1165" s="85" t="s">
        <v>6476</v>
      </c>
      <c r="F1165" s="86">
        <v>22</v>
      </c>
      <c r="G1165" s="86">
        <v>10</v>
      </c>
      <c r="H1165" s="86">
        <v>220</v>
      </c>
      <c r="I1165" s="86">
        <v>2335</v>
      </c>
      <c r="J1165" s="85" t="s">
        <v>2935</v>
      </c>
      <c r="K1165" s="85" t="s">
        <v>6461</v>
      </c>
      <c r="L1165" s="85" t="s">
        <v>4135</v>
      </c>
      <c r="M1165" s="85" t="s">
        <v>6477</v>
      </c>
    </row>
    <row r="1166" ht="213.75" spans="1:13">
      <c r="A1166" s="85" t="s">
        <v>6478</v>
      </c>
      <c r="B1166" s="85" t="s">
        <v>6479</v>
      </c>
      <c r="C1166" s="85" t="s">
        <v>6480</v>
      </c>
      <c r="D1166" s="85" t="s">
        <v>6481</v>
      </c>
      <c r="E1166" s="85" t="s">
        <v>6480</v>
      </c>
      <c r="F1166" s="86">
        <v>4.63</v>
      </c>
      <c r="G1166" s="86">
        <v>50</v>
      </c>
      <c r="H1166" s="86">
        <v>231.5</v>
      </c>
      <c r="I1166" s="86">
        <v>15081.09</v>
      </c>
      <c r="J1166" s="85" t="s">
        <v>4391</v>
      </c>
      <c r="K1166" s="85" t="s">
        <v>6482</v>
      </c>
      <c r="L1166" s="85" t="s">
        <v>4135</v>
      </c>
      <c r="M1166" s="85" t="s">
        <v>6483</v>
      </c>
    </row>
    <row r="1167" ht="213.75" spans="1:13">
      <c r="A1167" s="85" t="s">
        <v>6478</v>
      </c>
      <c r="B1167" s="85" t="s">
        <v>6484</v>
      </c>
      <c r="C1167" s="85" t="s">
        <v>6485</v>
      </c>
      <c r="D1167" s="85" t="s">
        <v>3367</v>
      </c>
      <c r="E1167" s="85" t="s">
        <v>6485</v>
      </c>
      <c r="F1167" s="86">
        <v>21.9</v>
      </c>
      <c r="G1167" s="86">
        <v>10</v>
      </c>
      <c r="H1167" s="86">
        <v>219</v>
      </c>
      <c r="I1167" s="86">
        <v>15081.09</v>
      </c>
      <c r="J1167" s="85" t="s">
        <v>4391</v>
      </c>
      <c r="K1167" s="85" t="s">
        <v>6482</v>
      </c>
      <c r="L1167" s="85" t="s">
        <v>4135</v>
      </c>
      <c r="M1167" s="85" t="s">
        <v>6486</v>
      </c>
    </row>
    <row r="1168" ht="213.75" spans="1:13">
      <c r="A1168" s="85" t="s">
        <v>6478</v>
      </c>
      <c r="B1168" s="85" t="s">
        <v>6487</v>
      </c>
      <c r="C1168" s="85" t="s">
        <v>6488</v>
      </c>
      <c r="D1168" s="85" t="s">
        <v>4195</v>
      </c>
      <c r="E1168" s="85" t="s">
        <v>4369</v>
      </c>
      <c r="F1168" s="86">
        <v>392.8</v>
      </c>
      <c r="G1168" s="86">
        <v>6</v>
      </c>
      <c r="H1168" s="86">
        <v>2356.8</v>
      </c>
      <c r="I1168" s="86">
        <v>15081.09</v>
      </c>
      <c r="J1168" s="85" t="s">
        <v>4391</v>
      </c>
      <c r="K1168" s="85" t="s">
        <v>6482</v>
      </c>
      <c r="L1168" s="85" t="s">
        <v>4135</v>
      </c>
      <c r="M1168" s="85" t="s">
        <v>6489</v>
      </c>
    </row>
    <row r="1169" ht="213.75" spans="1:13">
      <c r="A1169" s="85" t="s">
        <v>6478</v>
      </c>
      <c r="B1169" s="85" t="s">
        <v>6490</v>
      </c>
      <c r="C1169" s="85" t="s">
        <v>6491</v>
      </c>
      <c r="D1169" s="85" t="s">
        <v>4425</v>
      </c>
      <c r="E1169" s="85" t="s">
        <v>6491</v>
      </c>
      <c r="F1169" s="86">
        <v>68.9</v>
      </c>
      <c r="G1169" s="86">
        <v>40</v>
      </c>
      <c r="H1169" s="86">
        <v>2756</v>
      </c>
      <c r="I1169" s="86">
        <v>15081.09</v>
      </c>
      <c r="J1169" s="85" t="s">
        <v>4391</v>
      </c>
      <c r="K1169" s="85" t="s">
        <v>6482</v>
      </c>
      <c r="L1169" s="85" t="s">
        <v>4135</v>
      </c>
      <c r="M1169" s="85" t="s">
        <v>6492</v>
      </c>
    </row>
    <row r="1170" ht="213.75" spans="1:13">
      <c r="A1170" s="85" t="s">
        <v>6478</v>
      </c>
      <c r="B1170" s="85" t="s">
        <v>6493</v>
      </c>
      <c r="C1170" s="85" t="s">
        <v>6494</v>
      </c>
      <c r="D1170" s="85" t="s">
        <v>3398</v>
      </c>
      <c r="E1170" s="85" t="s">
        <v>6495</v>
      </c>
      <c r="F1170" s="86">
        <v>637.2</v>
      </c>
      <c r="G1170" s="86">
        <v>1</v>
      </c>
      <c r="H1170" s="86">
        <v>637.2</v>
      </c>
      <c r="I1170" s="86">
        <v>15081.09</v>
      </c>
      <c r="J1170" s="85" t="s">
        <v>4391</v>
      </c>
      <c r="K1170" s="85" t="s">
        <v>6482</v>
      </c>
      <c r="L1170" s="85" t="s">
        <v>4135</v>
      </c>
      <c r="M1170" s="85" t="s">
        <v>6496</v>
      </c>
    </row>
    <row r="1171" ht="213.75" spans="1:13">
      <c r="A1171" s="85" t="s">
        <v>6478</v>
      </c>
      <c r="B1171" s="85" t="s">
        <v>6497</v>
      </c>
      <c r="C1171" s="85" t="s">
        <v>6498</v>
      </c>
      <c r="D1171" s="85" t="s">
        <v>3255</v>
      </c>
      <c r="E1171" s="85" t="s">
        <v>6498</v>
      </c>
      <c r="F1171" s="86">
        <v>39.22</v>
      </c>
      <c r="G1171" s="86">
        <v>2</v>
      </c>
      <c r="H1171" s="86">
        <v>78.44</v>
      </c>
      <c r="I1171" s="86">
        <v>15081.09</v>
      </c>
      <c r="J1171" s="85" t="s">
        <v>4391</v>
      </c>
      <c r="K1171" s="85" t="s">
        <v>6482</v>
      </c>
      <c r="L1171" s="85" t="s">
        <v>4135</v>
      </c>
      <c r="M1171" s="85" t="s">
        <v>6499</v>
      </c>
    </row>
    <row r="1172" ht="213.75" spans="1:13">
      <c r="A1172" s="85" t="s">
        <v>6478</v>
      </c>
      <c r="B1172" s="85" t="s">
        <v>6500</v>
      </c>
      <c r="C1172" s="85" t="s">
        <v>6501</v>
      </c>
      <c r="D1172" s="85" t="s">
        <v>3985</v>
      </c>
      <c r="E1172" s="85" t="s">
        <v>6502</v>
      </c>
      <c r="F1172" s="86">
        <v>36.5</v>
      </c>
      <c r="G1172" s="86">
        <v>4</v>
      </c>
      <c r="H1172" s="86">
        <v>146</v>
      </c>
      <c r="I1172" s="86">
        <v>15081.09</v>
      </c>
      <c r="J1172" s="85" t="s">
        <v>4391</v>
      </c>
      <c r="K1172" s="85" t="s">
        <v>6482</v>
      </c>
      <c r="L1172" s="85" t="s">
        <v>4135</v>
      </c>
      <c r="M1172" s="85" t="s">
        <v>6503</v>
      </c>
    </row>
    <row r="1173" ht="213.75" spans="1:13">
      <c r="A1173" s="85" t="s">
        <v>6478</v>
      </c>
      <c r="B1173" s="85" t="s">
        <v>6504</v>
      </c>
      <c r="C1173" s="85" t="s">
        <v>6505</v>
      </c>
      <c r="D1173" s="85" t="s">
        <v>3046</v>
      </c>
      <c r="E1173" s="85" t="s">
        <v>6506</v>
      </c>
      <c r="F1173" s="86">
        <v>359.9</v>
      </c>
      <c r="G1173" s="86">
        <v>2</v>
      </c>
      <c r="H1173" s="86">
        <v>719.8</v>
      </c>
      <c r="I1173" s="86">
        <v>15081.09</v>
      </c>
      <c r="J1173" s="85" t="s">
        <v>4391</v>
      </c>
      <c r="K1173" s="85" t="s">
        <v>6482</v>
      </c>
      <c r="L1173" s="85" t="s">
        <v>4135</v>
      </c>
      <c r="M1173" s="85" t="s">
        <v>6507</v>
      </c>
    </row>
    <row r="1174" ht="213.75" spans="1:13">
      <c r="A1174" s="85" t="s">
        <v>6478</v>
      </c>
      <c r="B1174" s="85" t="s">
        <v>6439</v>
      </c>
      <c r="C1174" s="85" t="s">
        <v>6440</v>
      </c>
      <c r="D1174" s="85" t="s">
        <v>3041</v>
      </c>
      <c r="E1174" s="85" t="s">
        <v>3158</v>
      </c>
      <c r="F1174" s="86">
        <v>1.8</v>
      </c>
      <c r="G1174" s="86">
        <v>720</v>
      </c>
      <c r="H1174" s="86">
        <v>1296</v>
      </c>
      <c r="I1174" s="86">
        <v>15081.09</v>
      </c>
      <c r="J1174" s="85" t="s">
        <v>4391</v>
      </c>
      <c r="K1174" s="85" t="s">
        <v>6482</v>
      </c>
      <c r="L1174" s="85" t="s">
        <v>4135</v>
      </c>
      <c r="M1174" s="85" t="s">
        <v>6508</v>
      </c>
    </row>
    <row r="1175" ht="213.75" spans="1:13">
      <c r="A1175" s="85" t="s">
        <v>6478</v>
      </c>
      <c r="B1175" s="85" t="s">
        <v>6509</v>
      </c>
      <c r="C1175" s="85" t="s">
        <v>6510</v>
      </c>
      <c r="D1175" s="85" t="s">
        <v>3003</v>
      </c>
      <c r="E1175" s="85" t="s">
        <v>6510</v>
      </c>
      <c r="F1175" s="86">
        <v>14.9</v>
      </c>
      <c r="G1175" s="86">
        <v>20</v>
      </c>
      <c r="H1175" s="86">
        <v>298</v>
      </c>
      <c r="I1175" s="86">
        <v>15081.09</v>
      </c>
      <c r="J1175" s="85" t="s">
        <v>4391</v>
      </c>
      <c r="K1175" s="85" t="s">
        <v>6482</v>
      </c>
      <c r="L1175" s="85" t="s">
        <v>4135</v>
      </c>
      <c r="M1175" s="85" t="s">
        <v>6511</v>
      </c>
    </row>
    <row r="1176" ht="213.75" spans="1:13">
      <c r="A1176" s="85" t="s">
        <v>6478</v>
      </c>
      <c r="B1176" s="85" t="s">
        <v>6512</v>
      </c>
      <c r="C1176" s="85" t="s">
        <v>6513</v>
      </c>
      <c r="D1176" s="85" t="s">
        <v>3014</v>
      </c>
      <c r="E1176" s="85" t="s">
        <v>6514</v>
      </c>
      <c r="F1176" s="86">
        <v>57.3</v>
      </c>
      <c r="G1176" s="86">
        <v>1</v>
      </c>
      <c r="H1176" s="86">
        <v>57.3</v>
      </c>
      <c r="I1176" s="86">
        <v>15081.09</v>
      </c>
      <c r="J1176" s="85" t="s">
        <v>4391</v>
      </c>
      <c r="K1176" s="85" t="s">
        <v>6482</v>
      </c>
      <c r="L1176" s="85" t="s">
        <v>4135</v>
      </c>
      <c r="M1176" s="85" t="s">
        <v>6515</v>
      </c>
    </row>
    <row r="1177" ht="213.75" spans="1:13">
      <c r="A1177" s="85" t="s">
        <v>6478</v>
      </c>
      <c r="B1177" s="85" t="s">
        <v>6516</v>
      </c>
      <c r="C1177" s="85" t="s">
        <v>6517</v>
      </c>
      <c r="D1177" s="85" t="s">
        <v>2956</v>
      </c>
      <c r="E1177" s="85" t="s">
        <v>6517</v>
      </c>
      <c r="F1177" s="86">
        <v>5.8</v>
      </c>
      <c r="G1177" s="86">
        <v>180</v>
      </c>
      <c r="H1177" s="86">
        <v>1044</v>
      </c>
      <c r="I1177" s="86">
        <v>15081.09</v>
      </c>
      <c r="J1177" s="85" t="s">
        <v>4391</v>
      </c>
      <c r="K1177" s="85" t="s">
        <v>6482</v>
      </c>
      <c r="L1177" s="85" t="s">
        <v>4135</v>
      </c>
      <c r="M1177" s="85" t="s">
        <v>6518</v>
      </c>
    </row>
    <row r="1178" ht="213.75" spans="1:13">
      <c r="A1178" s="85" t="s">
        <v>6478</v>
      </c>
      <c r="B1178" s="85" t="s">
        <v>6519</v>
      </c>
      <c r="C1178" s="85" t="s">
        <v>6520</v>
      </c>
      <c r="D1178" s="85" t="s">
        <v>3367</v>
      </c>
      <c r="E1178" s="85" t="s">
        <v>6520</v>
      </c>
      <c r="F1178" s="86">
        <v>6.2</v>
      </c>
      <c r="G1178" s="86">
        <v>10</v>
      </c>
      <c r="H1178" s="86">
        <v>62</v>
      </c>
      <c r="I1178" s="86">
        <v>15081.09</v>
      </c>
      <c r="J1178" s="85" t="s">
        <v>4391</v>
      </c>
      <c r="K1178" s="85" t="s">
        <v>6482</v>
      </c>
      <c r="L1178" s="85" t="s">
        <v>4135</v>
      </c>
      <c r="M1178" s="85" t="s">
        <v>6521</v>
      </c>
    </row>
    <row r="1179" ht="213.75" spans="1:13">
      <c r="A1179" s="85" t="s">
        <v>6478</v>
      </c>
      <c r="B1179" s="85" t="s">
        <v>6522</v>
      </c>
      <c r="C1179" s="85" t="s">
        <v>6523</v>
      </c>
      <c r="D1179" s="85" t="s">
        <v>4724</v>
      </c>
      <c r="E1179" s="85" t="s">
        <v>4725</v>
      </c>
      <c r="F1179" s="86">
        <v>9.12</v>
      </c>
      <c r="G1179" s="86">
        <v>300</v>
      </c>
      <c r="H1179" s="86">
        <v>2736</v>
      </c>
      <c r="I1179" s="86">
        <v>15081.09</v>
      </c>
      <c r="J1179" s="85" t="s">
        <v>4391</v>
      </c>
      <c r="K1179" s="85" t="s">
        <v>6482</v>
      </c>
      <c r="L1179" s="85" t="s">
        <v>4135</v>
      </c>
      <c r="M1179" s="85" t="s">
        <v>6524</v>
      </c>
    </row>
    <row r="1180" ht="213.75" spans="1:13">
      <c r="A1180" s="85" t="s">
        <v>6478</v>
      </c>
      <c r="B1180" s="85" t="s">
        <v>3922</v>
      </c>
      <c r="C1180" s="85" t="s">
        <v>3923</v>
      </c>
      <c r="D1180" s="85" t="s">
        <v>3189</v>
      </c>
      <c r="E1180" s="85" t="s">
        <v>3924</v>
      </c>
      <c r="F1180" s="86">
        <v>70</v>
      </c>
      <c r="G1180" s="86">
        <v>2</v>
      </c>
      <c r="H1180" s="86">
        <v>140</v>
      </c>
      <c r="I1180" s="86">
        <v>15081.09</v>
      </c>
      <c r="J1180" s="85" t="s">
        <v>4391</v>
      </c>
      <c r="K1180" s="85" t="s">
        <v>6482</v>
      </c>
      <c r="L1180" s="85" t="s">
        <v>4135</v>
      </c>
      <c r="M1180" s="85" t="s">
        <v>6525</v>
      </c>
    </row>
    <row r="1181" ht="213.75" spans="1:13">
      <c r="A1181" s="85" t="s">
        <v>6478</v>
      </c>
      <c r="B1181" s="85" t="s">
        <v>6526</v>
      </c>
      <c r="C1181" s="85" t="s">
        <v>6527</v>
      </c>
      <c r="D1181" s="85" t="s">
        <v>3367</v>
      </c>
      <c r="E1181" s="85" t="s">
        <v>6528</v>
      </c>
      <c r="F1181" s="86">
        <v>247.51</v>
      </c>
      <c r="G1181" s="86">
        <v>5</v>
      </c>
      <c r="H1181" s="86">
        <v>1237.55</v>
      </c>
      <c r="I1181" s="86">
        <v>15081.09</v>
      </c>
      <c r="J1181" s="85" t="s">
        <v>4391</v>
      </c>
      <c r="K1181" s="85" t="s">
        <v>6482</v>
      </c>
      <c r="L1181" s="85" t="s">
        <v>4135</v>
      </c>
      <c r="M1181" s="85" t="s">
        <v>6529</v>
      </c>
    </row>
    <row r="1182" ht="213.75" spans="1:13">
      <c r="A1182" s="85" t="s">
        <v>6478</v>
      </c>
      <c r="B1182" s="85" t="s">
        <v>6530</v>
      </c>
      <c r="C1182" s="85" t="s">
        <v>6531</v>
      </c>
      <c r="D1182" s="85" t="s">
        <v>6532</v>
      </c>
      <c r="E1182" s="85" t="s">
        <v>6533</v>
      </c>
      <c r="F1182" s="86">
        <v>29.2</v>
      </c>
      <c r="G1182" s="86">
        <v>5</v>
      </c>
      <c r="H1182" s="86">
        <v>146</v>
      </c>
      <c r="I1182" s="86">
        <v>15081.09</v>
      </c>
      <c r="J1182" s="85" t="s">
        <v>4391</v>
      </c>
      <c r="K1182" s="85" t="s">
        <v>6482</v>
      </c>
      <c r="L1182" s="85" t="s">
        <v>4135</v>
      </c>
      <c r="M1182" s="85" t="s">
        <v>6534</v>
      </c>
    </row>
    <row r="1183" ht="213.75" spans="1:13">
      <c r="A1183" s="85" t="s">
        <v>6478</v>
      </c>
      <c r="B1183" s="85" t="s">
        <v>6535</v>
      </c>
      <c r="C1183" s="85" t="s">
        <v>6536</v>
      </c>
      <c r="D1183" s="85" t="s">
        <v>4866</v>
      </c>
      <c r="E1183" s="85" t="s">
        <v>6537</v>
      </c>
      <c r="F1183" s="86">
        <v>2.9</v>
      </c>
      <c r="G1183" s="86">
        <v>280</v>
      </c>
      <c r="H1183" s="86">
        <v>812</v>
      </c>
      <c r="I1183" s="86">
        <v>15081.09</v>
      </c>
      <c r="J1183" s="85" t="s">
        <v>4391</v>
      </c>
      <c r="K1183" s="85" t="s">
        <v>6482</v>
      </c>
      <c r="L1183" s="85" t="s">
        <v>4135</v>
      </c>
      <c r="M1183" s="85" t="s">
        <v>6538</v>
      </c>
    </row>
    <row r="1184" ht="213.75" spans="1:13">
      <c r="A1184" s="85" t="s">
        <v>6478</v>
      </c>
      <c r="B1184" s="85" t="s">
        <v>6539</v>
      </c>
      <c r="C1184" s="85" t="s">
        <v>6540</v>
      </c>
      <c r="D1184" s="85" t="s">
        <v>6541</v>
      </c>
      <c r="E1184" s="85" t="s">
        <v>6540</v>
      </c>
      <c r="F1184" s="86">
        <v>18.75</v>
      </c>
      <c r="G1184" s="86">
        <v>4</v>
      </c>
      <c r="H1184" s="86">
        <v>75</v>
      </c>
      <c r="I1184" s="86">
        <v>15081.09</v>
      </c>
      <c r="J1184" s="85" t="s">
        <v>4391</v>
      </c>
      <c r="K1184" s="85" t="s">
        <v>6482</v>
      </c>
      <c r="L1184" s="85" t="s">
        <v>4135</v>
      </c>
      <c r="M1184" s="85" t="s">
        <v>6542</v>
      </c>
    </row>
    <row r="1185" ht="213.75" spans="1:13">
      <c r="A1185" s="85" t="s">
        <v>6478</v>
      </c>
      <c r="B1185" s="85" t="s">
        <v>6543</v>
      </c>
      <c r="C1185" s="85" t="s">
        <v>6544</v>
      </c>
      <c r="D1185" s="85" t="s">
        <v>3543</v>
      </c>
      <c r="E1185" s="85" t="s">
        <v>6544</v>
      </c>
      <c r="F1185" s="86">
        <v>6.5</v>
      </c>
      <c r="G1185" s="86">
        <v>5</v>
      </c>
      <c r="H1185" s="86">
        <v>32.5</v>
      </c>
      <c r="I1185" s="86">
        <v>15081.09</v>
      </c>
      <c r="J1185" s="85" t="s">
        <v>4391</v>
      </c>
      <c r="K1185" s="85" t="s">
        <v>6482</v>
      </c>
      <c r="L1185" s="85" t="s">
        <v>4135</v>
      </c>
      <c r="M1185" s="85" t="s">
        <v>6545</v>
      </c>
    </row>
    <row r="1186" ht="213.75" spans="1:13">
      <c r="A1186" s="85" t="s">
        <v>6546</v>
      </c>
      <c r="B1186" s="85" t="s">
        <v>6547</v>
      </c>
      <c r="C1186" s="85" t="s">
        <v>6548</v>
      </c>
      <c r="D1186" s="85" t="s">
        <v>3177</v>
      </c>
      <c r="E1186" s="85" t="s">
        <v>6549</v>
      </c>
      <c r="F1186" s="86">
        <v>120</v>
      </c>
      <c r="G1186" s="86">
        <v>12</v>
      </c>
      <c r="H1186" s="86">
        <v>1440</v>
      </c>
      <c r="I1186" s="86">
        <v>7892.4</v>
      </c>
      <c r="J1186" s="85" t="s">
        <v>6550</v>
      </c>
      <c r="K1186" s="85" t="s">
        <v>6551</v>
      </c>
      <c r="L1186" s="85" t="s">
        <v>4135</v>
      </c>
      <c r="M1186" s="85" t="s">
        <v>6552</v>
      </c>
    </row>
    <row r="1187" ht="213.75" spans="1:13">
      <c r="A1187" s="85" t="s">
        <v>6546</v>
      </c>
      <c r="B1187" s="85" t="s">
        <v>6553</v>
      </c>
      <c r="C1187" s="85" t="s">
        <v>6554</v>
      </c>
      <c r="D1187" s="85" t="s">
        <v>3068</v>
      </c>
      <c r="E1187" s="85" t="s">
        <v>6555</v>
      </c>
      <c r="F1187" s="86">
        <v>25</v>
      </c>
      <c r="G1187" s="86">
        <v>8</v>
      </c>
      <c r="H1187" s="86">
        <v>200</v>
      </c>
      <c r="I1187" s="86">
        <v>7892.4</v>
      </c>
      <c r="J1187" s="85" t="s">
        <v>6550</v>
      </c>
      <c r="K1187" s="85" t="s">
        <v>6551</v>
      </c>
      <c r="L1187" s="85" t="s">
        <v>4135</v>
      </c>
      <c r="M1187" s="85" t="s">
        <v>6556</v>
      </c>
    </row>
    <row r="1188" ht="213.75" spans="1:13">
      <c r="A1188" s="85" t="s">
        <v>6546</v>
      </c>
      <c r="B1188" s="85" t="s">
        <v>6557</v>
      </c>
      <c r="C1188" s="85" t="s">
        <v>6558</v>
      </c>
      <c r="D1188" s="85" t="s">
        <v>3834</v>
      </c>
      <c r="E1188" s="85" t="s">
        <v>6558</v>
      </c>
      <c r="F1188" s="86">
        <v>5</v>
      </c>
      <c r="G1188" s="86">
        <v>666</v>
      </c>
      <c r="H1188" s="86">
        <v>3330</v>
      </c>
      <c r="I1188" s="86">
        <v>7892.4</v>
      </c>
      <c r="J1188" s="85" t="s">
        <v>6550</v>
      </c>
      <c r="K1188" s="85" t="s">
        <v>6551</v>
      </c>
      <c r="L1188" s="85" t="s">
        <v>4135</v>
      </c>
      <c r="M1188" s="85" t="s">
        <v>6559</v>
      </c>
    </row>
    <row r="1189" ht="213.75" spans="1:13">
      <c r="A1189" s="85" t="s">
        <v>6546</v>
      </c>
      <c r="B1189" s="85" t="s">
        <v>6553</v>
      </c>
      <c r="C1189" s="85" t="s">
        <v>6554</v>
      </c>
      <c r="D1189" s="85" t="s">
        <v>3068</v>
      </c>
      <c r="E1189" s="85" t="s">
        <v>6555</v>
      </c>
      <c r="F1189" s="86">
        <v>20</v>
      </c>
      <c r="G1189" s="86">
        <v>137</v>
      </c>
      <c r="H1189" s="86">
        <v>2740</v>
      </c>
      <c r="I1189" s="86">
        <v>7892.4</v>
      </c>
      <c r="J1189" s="85" t="s">
        <v>6550</v>
      </c>
      <c r="K1189" s="85" t="s">
        <v>6551</v>
      </c>
      <c r="L1189" s="85" t="s">
        <v>4135</v>
      </c>
      <c r="M1189" s="85" t="s">
        <v>6560</v>
      </c>
    </row>
    <row r="1190" ht="213.75" spans="1:13">
      <c r="A1190" s="85" t="s">
        <v>6546</v>
      </c>
      <c r="B1190" s="85" t="s">
        <v>6561</v>
      </c>
      <c r="C1190" s="85" t="s">
        <v>6562</v>
      </c>
      <c r="D1190" s="85" t="s">
        <v>3183</v>
      </c>
      <c r="E1190" s="85" t="s">
        <v>6563</v>
      </c>
      <c r="F1190" s="86">
        <v>0.2</v>
      </c>
      <c r="G1190" s="86">
        <v>912</v>
      </c>
      <c r="H1190" s="86">
        <v>182.4</v>
      </c>
      <c r="I1190" s="86">
        <v>7892.4</v>
      </c>
      <c r="J1190" s="85" t="s">
        <v>6550</v>
      </c>
      <c r="K1190" s="85" t="s">
        <v>6551</v>
      </c>
      <c r="L1190" s="85" t="s">
        <v>4135</v>
      </c>
      <c r="M1190" s="85" t="s">
        <v>6564</v>
      </c>
    </row>
    <row r="1191" ht="213.75" spans="1:13">
      <c r="A1191" s="85" t="s">
        <v>6565</v>
      </c>
      <c r="B1191" s="85" t="s">
        <v>5251</v>
      </c>
      <c r="C1191" s="85" t="s">
        <v>5252</v>
      </c>
      <c r="D1191" s="85" t="s">
        <v>3753</v>
      </c>
      <c r="E1191" s="85" t="s">
        <v>3763</v>
      </c>
      <c r="F1191" s="86">
        <v>254.95</v>
      </c>
      <c r="G1191" s="86">
        <v>32</v>
      </c>
      <c r="H1191" s="86">
        <v>8158.4</v>
      </c>
      <c r="I1191" s="86">
        <v>48314.53</v>
      </c>
      <c r="J1191" s="85" t="s">
        <v>3112</v>
      </c>
      <c r="K1191" s="85" t="s">
        <v>6566</v>
      </c>
      <c r="L1191" s="85" t="s">
        <v>4135</v>
      </c>
      <c r="M1191" s="85" t="s">
        <v>6567</v>
      </c>
    </row>
    <row r="1192" ht="213.75" spans="1:13">
      <c r="A1192" s="85" t="s">
        <v>6565</v>
      </c>
      <c r="B1192" s="85" t="s">
        <v>5246</v>
      </c>
      <c r="C1192" s="85" t="s">
        <v>5247</v>
      </c>
      <c r="D1192" s="85" t="s">
        <v>3753</v>
      </c>
      <c r="E1192" s="85" t="s">
        <v>3763</v>
      </c>
      <c r="F1192" s="86">
        <v>183.57</v>
      </c>
      <c r="G1192" s="86">
        <v>32</v>
      </c>
      <c r="H1192" s="86">
        <v>5874.24</v>
      </c>
      <c r="I1192" s="86">
        <v>48314.53</v>
      </c>
      <c r="J1192" s="85" t="s">
        <v>3112</v>
      </c>
      <c r="K1192" s="85" t="s">
        <v>6566</v>
      </c>
      <c r="L1192" s="85" t="s">
        <v>4135</v>
      </c>
      <c r="M1192" s="85" t="s">
        <v>6568</v>
      </c>
    </row>
    <row r="1193" ht="213.75" spans="1:13">
      <c r="A1193" s="85" t="s">
        <v>6565</v>
      </c>
      <c r="B1193" s="85" t="s">
        <v>4124</v>
      </c>
      <c r="C1193" s="85" t="s">
        <v>4125</v>
      </c>
      <c r="D1193" s="85" t="s">
        <v>3753</v>
      </c>
      <c r="E1193" s="85" t="s">
        <v>3763</v>
      </c>
      <c r="F1193" s="86">
        <v>81.59</v>
      </c>
      <c r="G1193" s="86">
        <v>1</v>
      </c>
      <c r="H1193" s="86">
        <v>81.59</v>
      </c>
      <c r="I1193" s="86">
        <v>48314.53</v>
      </c>
      <c r="J1193" s="85" t="s">
        <v>3112</v>
      </c>
      <c r="K1193" s="85" t="s">
        <v>6566</v>
      </c>
      <c r="L1193" s="85" t="s">
        <v>4135</v>
      </c>
      <c r="M1193" s="85" t="s">
        <v>6569</v>
      </c>
    </row>
    <row r="1194" ht="213.75" spans="1:13">
      <c r="A1194" s="85" t="s">
        <v>6565</v>
      </c>
      <c r="B1194" s="85" t="s">
        <v>6570</v>
      </c>
      <c r="C1194" s="85" t="s">
        <v>6571</v>
      </c>
      <c r="D1194" s="85" t="s">
        <v>3753</v>
      </c>
      <c r="E1194" s="85" t="s">
        <v>3763</v>
      </c>
      <c r="F1194" s="86">
        <v>509.9</v>
      </c>
      <c r="G1194" s="86">
        <v>32</v>
      </c>
      <c r="H1194" s="86">
        <v>16316.8</v>
      </c>
      <c r="I1194" s="86">
        <v>48314.53</v>
      </c>
      <c r="J1194" s="85" t="s">
        <v>3112</v>
      </c>
      <c r="K1194" s="85" t="s">
        <v>6566</v>
      </c>
      <c r="L1194" s="85" t="s">
        <v>4135</v>
      </c>
      <c r="M1194" s="85" t="s">
        <v>6572</v>
      </c>
    </row>
    <row r="1195" ht="213.75" spans="1:13">
      <c r="A1195" s="85" t="s">
        <v>6565</v>
      </c>
      <c r="B1195" s="85" t="s">
        <v>6573</v>
      </c>
      <c r="C1195" s="85" t="s">
        <v>6574</v>
      </c>
      <c r="D1195" s="85" t="s">
        <v>3753</v>
      </c>
      <c r="E1195" s="85" t="s">
        <v>3763</v>
      </c>
      <c r="F1195" s="86">
        <v>254.95</v>
      </c>
      <c r="G1195" s="86">
        <v>32</v>
      </c>
      <c r="H1195" s="86">
        <v>8158.4</v>
      </c>
      <c r="I1195" s="86">
        <v>48314.53</v>
      </c>
      <c r="J1195" s="85" t="s">
        <v>3112</v>
      </c>
      <c r="K1195" s="85" t="s">
        <v>6566</v>
      </c>
      <c r="L1195" s="85" t="s">
        <v>4135</v>
      </c>
      <c r="M1195" s="85" t="s">
        <v>6575</v>
      </c>
    </row>
    <row r="1196" ht="213.75" spans="1:13">
      <c r="A1196" s="85" t="s">
        <v>6565</v>
      </c>
      <c r="B1196" s="85" t="s">
        <v>5263</v>
      </c>
      <c r="C1196" s="85" t="s">
        <v>5264</v>
      </c>
      <c r="D1196" s="85" t="s">
        <v>3753</v>
      </c>
      <c r="E1196" s="85" t="s">
        <v>3763</v>
      </c>
      <c r="F1196" s="86">
        <v>254.95</v>
      </c>
      <c r="G1196" s="86">
        <v>32</v>
      </c>
      <c r="H1196" s="86">
        <v>8158.4</v>
      </c>
      <c r="I1196" s="86">
        <v>48314.53</v>
      </c>
      <c r="J1196" s="85" t="s">
        <v>3112</v>
      </c>
      <c r="K1196" s="85" t="s">
        <v>6566</v>
      </c>
      <c r="L1196" s="85" t="s">
        <v>4135</v>
      </c>
      <c r="M1196" s="85" t="s">
        <v>6576</v>
      </c>
    </row>
    <row r="1197" ht="213.75" spans="1:13">
      <c r="A1197" s="85" t="s">
        <v>6565</v>
      </c>
      <c r="B1197" s="85" t="s">
        <v>6577</v>
      </c>
      <c r="C1197" s="85" t="s">
        <v>6578</v>
      </c>
      <c r="D1197" s="85" t="s">
        <v>3753</v>
      </c>
      <c r="E1197" s="85" t="s">
        <v>3763</v>
      </c>
      <c r="F1197" s="86">
        <v>15.3</v>
      </c>
      <c r="G1197" s="86">
        <v>96</v>
      </c>
      <c r="H1197" s="86">
        <v>1468.8</v>
      </c>
      <c r="I1197" s="86">
        <v>48314.53</v>
      </c>
      <c r="J1197" s="85" t="s">
        <v>3112</v>
      </c>
      <c r="K1197" s="85" t="s">
        <v>6566</v>
      </c>
      <c r="L1197" s="85" t="s">
        <v>4135</v>
      </c>
      <c r="M1197" s="85" t="s">
        <v>6579</v>
      </c>
    </row>
    <row r="1198" ht="213.75" spans="1:13">
      <c r="A1198" s="85" t="s">
        <v>6565</v>
      </c>
      <c r="B1198" s="85" t="s">
        <v>4704</v>
      </c>
      <c r="C1198" s="85" t="s">
        <v>4705</v>
      </c>
      <c r="D1198" s="85" t="s">
        <v>3753</v>
      </c>
      <c r="E1198" s="85" t="s">
        <v>3763</v>
      </c>
      <c r="F1198" s="86">
        <v>97.9</v>
      </c>
      <c r="G1198" s="86">
        <v>1</v>
      </c>
      <c r="H1198" s="86">
        <v>97.9</v>
      </c>
      <c r="I1198" s="86">
        <v>48314.53</v>
      </c>
      <c r="J1198" s="85" t="s">
        <v>3112</v>
      </c>
      <c r="K1198" s="85" t="s">
        <v>6566</v>
      </c>
      <c r="L1198" s="85" t="s">
        <v>4135</v>
      </c>
      <c r="M1198" s="85" t="s">
        <v>6580</v>
      </c>
    </row>
    <row r="1199" ht="213.75" spans="1:13">
      <c r="A1199" s="85" t="s">
        <v>6581</v>
      </c>
      <c r="B1199" s="85" t="s">
        <v>3745</v>
      </c>
      <c r="C1199" s="85" t="s">
        <v>3746</v>
      </c>
      <c r="D1199" s="85" t="s">
        <v>3747</v>
      </c>
      <c r="E1199" s="85" t="s">
        <v>1827</v>
      </c>
      <c r="F1199" s="86">
        <v>134</v>
      </c>
      <c r="G1199" s="86">
        <v>280</v>
      </c>
      <c r="H1199" s="86">
        <v>37520</v>
      </c>
      <c r="I1199" s="86">
        <v>37520</v>
      </c>
      <c r="J1199" s="85" t="s">
        <v>2932</v>
      </c>
      <c r="K1199" s="85" t="s">
        <v>6582</v>
      </c>
      <c r="L1199" s="85" t="s">
        <v>4135</v>
      </c>
      <c r="M1199" s="85" t="s">
        <v>6583</v>
      </c>
    </row>
    <row r="1200" ht="213.75" spans="1:13">
      <c r="A1200" s="85" t="s">
        <v>6584</v>
      </c>
      <c r="B1200" s="85" t="s">
        <v>5662</v>
      </c>
      <c r="C1200" s="85" t="s">
        <v>5663</v>
      </c>
      <c r="D1200" s="85" t="s">
        <v>4076</v>
      </c>
      <c r="E1200" s="85" t="s">
        <v>1832</v>
      </c>
      <c r="F1200" s="86">
        <v>128</v>
      </c>
      <c r="G1200" s="86">
        <v>300</v>
      </c>
      <c r="H1200" s="86">
        <v>38400</v>
      </c>
      <c r="I1200" s="86">
        <v>42050</v>
      </c>
      <c r="J1200" s="85" t="s">
        <v>2938</v>
      </c>
      <c r="K1200" s="85" t="s">
        <v>6585</v>
      </c>
      <c r="L1200" s="85" t="s">
        <v>4135</v>
      </c>
      <c r="M1200" s="85" t="s">
        <v>6586</v>
      </c>
    </row>
    <row r="1201" ht="213.75" spans="1:13">
      <c r="A1201" s="85" t="s">
        <v>6584</v>
      </c>
      <c r="B1201" s="85" t="s">
        <v>3546</v>
      </c>
      <c r="C1201" s="85" t="s">
        <v>3547</v>
      </c>
      <c r="D1201" s="85" t="s">
        <v>3548</v>
      </c>
      <c r="E1201" s="85" t="s">
        <v>1835</v>
      </c>
      <c r="F1201" s="86">
        <v>365</v>
      </c>
      <c r="G1201" s="86">
        <v>10</v>
      </c>
      <c r="H1201" s="86">
        <v>3650</v>
      </c>
      <c r="I1201" s="86">
        <v>42050</v>
      </c>
      <c r="J1201" s="85" t="s">
        <v>2938</v>
      </c>
      <c r="K1201" s="85" t="s">
        <v>6585</v>
      </c>
      <c r="L1201" s="85" t="s">
        <v>4135</v>
      </c>
      <c r="M1201" s="85" t="s">
        <v>6587</v>
      </c>
    </row>
    <row r="1202" ht="213.75" spans="1:13">
      <c r="A1202" s="85" t="s">
        <v>6588</v>
      </c>
      <c r="B1202" s="85" t="s">
        <v>5533</v>
      </c>
      <c r="C1202" s="85" t="s">
        <v>5534</v>
      </c>
      <c r="D1202" s="85" t="s">
        <v>3241</v>
      </c>
      <c r="E1202" s="85" t="s">
        <v>3689</v>
      </c>
      <c r="F1202" s="86">
        <v>15.75</v>
      </c>
      <c r="G1202" s="86">
        <v>2</v>
      </c>
      <c r="H1202" s="86">
        <v>31.5</v>
      </c>
      <c r="I1202" s="86">
        <v>4334.12</v>
      </c>
      <c r="J1202" s="85" t="s">
        <v>2958</v>
      </c>
      <c r="K1202" s="85" t="s">
        <v>6589</v>
      </c>
      <c r="L1202" s="85" t="s">
        <v>4135</v>
      </c>
      <c r="M1202" s="85" t="s">
        <v>6590</v>
      </c>
    </row>
    <row r="1203" ht="213.75" spans="1:13">
      <c r="A1203" s="85" t="s">
        <v>6588</v>
      </c>
      <c r="B1203" s="85" t="s">
        <v>3096</v>
      </c>
      <c r="C1203" s="85" t="s">
        <v>3097</v>
      </c>
      <c r="D1203" s="85" t="s">
        <v>2982</v>
      </c>
      <c r="E1203" s="85" t="s">
        <v>3098</v>
      </c>
      <c r="F1203" s="86">
        <v>22.89</v>
      </c>
      <c r="G1203" s="86">
        <v>8</v>
      </c>
      <c r="H1203" s="86">
        <v>183.12</v>
      </c>
      <c r="I1203" s="86">
        <v>4334.12</v>
      </c>
      <c r="J1203" s="85" t="s">
        <v>2958</v>
      </c>
      <c r="K1203" s="85" t="s">
        <v>6589</v>
      </c>
      <c r="L1203" s="85" t="s">
        <v>4135</v>
      </c>
      <c r="M1203" s="85" t="s">
        <v>6591</v>
      </c>
    </row>
    <row r="1204" ht="213.75" spans="1:13">
      <c r="A1204" s="85" t="s">
        <v>6592</v>
      </c>
      <c r="B1204" s="85" t="s">
        <v>5222</v>
      </c>
      <c r="C1204" s="85" t="s">
        <v>5223</v>
      </c>
      <c r="D1204" s="85" t="s">
        <v>4848</v>
      </c>
      <c r="E1204" s="85" t="s">
        <v>4849</v>
      </c>
      <c r="F1204" s="86">
        <v>1</v>
      </c>
      <c r="G1204" s="86">
        <v>500</v>
      </c>
      <c r="H1204" s="86">
        <v>500</v>
      </c>
      <c r="I1204" s="86">
        <v>1900</v>
      </c>
      <c r="J1204" s="85" t="s">
        <v>4370</v>
      </c>
      <c r="K1204" s="85" t="s">
        <v>6589</v>
      </c>
      <c r="L1204" s="85" t="s">
        <v>4135</v>
      </c>
      <c r="M1204" s="85" t="s">
        <v>6593</v>
      </c>
    </row>
    <row r="1205" ht="213.75" spans="1:13">
      <c r="A1205" s="85" t="s">
        <v>6594</v>
      </c>
      <c r="B1205" s="85" t="s">
        <v>6595</v>
      </c>
      <c r="C1205" s="85" t="s">
        <v>6596</v>
      </c>
      <c r="D1205" s="85" t="s">
        <v>5066</v>
      </c>
      <c r="E1205" s="85" t="s">
        <v>6596</v>
      </c>
      <c r="F1205" s="86">
        <v>202.92</v>
      </c>
      <c r="G1205" s="86">
        <v>3</v>
      </c>
      <c r="H1205" s="86">
        <v>608.76</v>
      </c>
      <c r="I1205" s="86">
        <v>17048.02</v>
      </c>
      <c r="J1205" s="85" t="s">
        <v>2965</v>
      </c>
      <c r="K1205" s="85" t="s">
        <v>6589</v>
      </c>
      <c r="L1205" s="85" t="s">
        <v>4135</v>
      </c>
      <c r="M1205" s="85" t="s">
        <v>6597</v>
      </c>
    </row>
    <row r="1206" ht="213.75" spans="1:13">
      <c r="A1206" s="85" t="s">
        <v>6598</v>
      </c>
      <c r="B1206" s="85" t="s">
        <v>4932</v>
      </c>
      <c r="C1206" s="85" t="s">
        <v>4933</v>
      </c>
      <c r="D1206" s="85" t="s">
        <v>2992</v>
      </c>
      <c r="E1206" s="85" t="s">
        <v>1815</v>
      </c>
      <c r="F1206" s="86">
        <v>17.7</v>
      </c>
      <c r="G1206" s="86">
        <v>80</v>
      </c>
      <c r="H1206" s="86">
        <v>1416</v>
      </c>
      <c r="I1206" s="86">
        <v>8488</v>
      </c>
      <c r="J1206" s="85" t="s">
        <v>2958</v>
      </c>
      <c r="K1206" s="85" t="s">
        <v>6589</v>
      </c>
      <c r="L1206" s="85" t="s">
        <v>4135</v>
      </c>
      <c r="M1206" s="85" t="s">
        <v>6599</v>
      </c>
    </row>
    <row r="1207" ht="213.75" spans="1:13">
      <c r="A1207" s="85" t="s">
        <v>6594</v>
      </c>
      <c r="B1207" s="85" t="s">
        <v>6600</v>
      </c>
      <c r="C1207" s="85" t="s">
        <v>6601</v>
      </c>
      <c r="D1207" s="85" t="s">
        <v>5546</v>
      </c>
      <c r="E1207" s="85" t="s">
        <v>6601</v>
      </c>
      <c r="F1207" s="86">
        <v>1436.89</v>
      </c>
      <c r="G1207" s="86">
        <v>1</v>
      </c>
      <c r="H1207" s="86">
        <v>1436.89</v>
      </c>
      <c r="I1207" s="86">
        <v>17048.02</v>
      </c>
      <c r="J1207" s="85" t="s">
        <v>2965</v>
      </c>
      <c r="K1207" s="85" t="s">
        <v>6589</v>
      </c>
      <c r="L1207" s="85" t="s">
        <v>4135</v>
      </c>
      <c r="M1207" s="85" t="s">
        <v>6602</v>
      </c>
    </row>
    <row r="1208" ht="213.75" spans="1:13">
      <c r="A1208" s="85" t="s">
        <v>6594</v>
      </c>
      <c r="B1208" s="85" t="s">
        <v>5917</v>
      </c>
      <c r="C1208" s="85" t="s">
        <v>5918</v>
      </c>
      <c r="D1208" s="85" t="s">
        <v>3463</v>
      </c>
      <c r="E1208" s="85" t="s">
        <v>5918</v>
      </c>
      <c r="F1208" s="86">
        <v>34.99</v>
      </c>
      <c r="G1208" s="86">
        <v>1</v>
      </c>
      <c r="H1208" s="86">
        <v>34.99</v>
      </c>
      <c r="I1208" s="86">
        <v>17048.02</v>
      </c>
      <c r="J1208" s="85" t="s">
        <v>2965</v>
      </c>
      <c r="K1208" s="85" t="s">
        <v>6589</v>
      </c>
      <c r="L1208" s="85" t="s">
        <v>4135</v>
      </c>
      <c r="M1208" s="85" t="s">
        <v>6603</v>
      </c>
    </row>
    <row r="1209" ht="213.75" spans="1:13">
      <c r="A1209" s="85" t="s">
        <v>6594</v>
      </c>
      <c r="B1209" s="85" t="s">
        <v>4477</v>
      </c>
      <c r="C1209" s="85" t="s">
        <v>4478</v>
      </c>
      <c r="D1209" s="85" t="s">
        <v>3183</v>
      </c>
      <c r="E1209" s="85" t="s">
        <v>4478</v>
      </c>
      <c r="F1209" s="86">
        <v>118</v>
      </c>
      <c r="G1209" s="86">
        <v>11</v>
      </c>
      <c r="H1209" s="86">
        <v>1298</v>
      </c>
      <c r="I1209" s="86">
        <v>17048.02</v>
      </c>
      <c r="J1209" s="85" t="s">
        <v>2965</v>
      </c>
      <c r="K1209" s="85" t="s">
        <v>6589</v>
      </c>
      <c r="L1209" s="85" t="s">
        <v>4135</v>
      </c>
      <c r="M1209" s="85" t="s">
        <v>6604</v>
      </c>
    </row>
    <row r="1210" ht="213.75" spans="1:13">
      <c r="A1210" s="85" t="s">
        <v>6594</v>
      </c>
      <c r="B1210" s="85" t="s">
        <v>6605</v>
      </c>
      <c r="C1210" s="85" t="s">
        <v>6606</v>
      </c>
      <c r="D1210" s="85" t="s">
        <v>3197</v>
      </c>
      <c r="E1210" s="85" t="s">
        <v>6606</v>
      </c>
      <c r="F1210" s="86">
        <v>6.91</v>
      </c>
      <c r="G1210" s="86">
        <v>5</v>
      </c>
      <c r="H1210" s="86">
        <v>34.55</v>
      </c>
      <c r="I1210" s="86">
        <v>17048.02</v>
      </c>
      <c r="J1210" s="85" t="s">
        <v>2965</v>
      </c>
      <c r="K1210" s="85" t="s">
        <v>6589</v>
      </c>
      <c r="L1210" s="85" t="s">
        <v>4135</v>
      </c>
      <c r="M1210" s="85" t="s">
        <v>6607</v>
      </c>
    </row>
    <row r="1211" ht="213.75" spans="1:13">
      <c r="A1211" s="85" t="s">
        <v>6594</v>
      </c>
      <c r="B1211" s="85" t="s">
        <v>6608</v>
      </c>
      <c r="C1211" s="85" t="s">
        <v>6609</v>
      </c>
      <c r="D1211" s="85" t="s">
        <v>3737</v>
      </c>
      <c r="E1211" s="85" t="s">
        <v>6609</v>
      </c>
      <c r="F1211" s="86">
        <v>129.2</v>
      </c>
      <c r="G1211" s="86">
        <v>1</v>
      </c>
      <c r="H1211" s="86">
        <v>129.2</v>
      </c>
      <c r="I1211" s="86">
        <v>17048.02</v>
      </c>
      <c r="J1211" s="85" t="s">
        <v>2965</v>
      </c>
      <c r="K1211" s="85" t="s">
        <v>6589</v>
      </c>
      <c r="L1211" s="85" t="s">
        <v>4135</v>
      </c>
      <c r="M1211" s="85" t="s">
        <v>6610</v>
      </c>
    </row>
    <row r="1212" ht="213.75" spans="1:13">
      <c r="A1212" s="85" t="s">
        <v>6588</v>
      </c>
      <c r="B1212" s="85" t="s">
        <v>6611</v>
      </c>
      <c r="C1212" s="85" t="s">
        <v>6612</v>
      </c>
      <c r="D1212" s="85" t="s">
        <v>6613</v>
      </c>
      <c r="E1212" s="85" t="s">
        <v>6614</v>
      </c>
      <c r="F1212" s="86">
        <v>29.3</v>
      </c>
      <c r="G1212" s="86">
        <v>8</v>
      </c>
      <c r="H1212" s="86">
        <v>234.4</v>
      </c>
      <c r="I1212" s="86">
        <v>4334.12</v>
      </c>
      <c r="J1212" s="85" t="s">
        <v>2958</v>
      </c>
      <c r="K1212" s="85" t="s">
        <v>6589</v>
      </c>
      <c r="L1212" s="85" t="s">
        <v>4135</v>
      </c>
      <c r="M1212" s="85" t="s">
        <v>6615</v>
      </c>
    </row>
    <row r="1213" ht="213.75" spans="1:13">
      <c r="A1213" s="85" t="s">
        <v>6594</v>
      </c>
      <c r="B1213" s="85" t="s">
        <v>4804</v>
      </c>
      <c r="C1213" s="85" t="s">
        <v>4805</v>
      </c>
      <c r="D1213" s="85" t="s">
        <v>3230</v>
      </c>
      <c r="E1213" s="85" t="s">
        <v>4805</v>
      </c>
      <c r="F1213" s="86">
        <v>9.6</v>
      </c>
      <c r="G1213" s="86">
        <v>5</v>
      </c>
      <c r="H1213" s="86">
        <v>48</v>
      </c>
      <c r="I1213" s="86">
        <v>17048.02</v>
      </c>
      <c r="J1213" s="85" t="s">
        <v>2965</v>
      </c>
      <c r="K1213" s="85" t="s">
        <v>6589</v>
      </c>
      <c r="L1213" s="85" t="s">
        <v>4135</v>
      </c>
      <c r="M1213" s="85" t="s">
        <v>6616</v>
      </c>
    </row>
    <row r="1214" ht="213.75" spans="1:13">
      <c r="A1214" s="85" t="s">
        <v>6594</v>
      </c>
      <c r="B1214" s="85" t="s">
        <v>6617</v>
      </c>
      <c r="C1214" s="85" t="s">
        <v>6618</v>
      </c>
      <c r="D1214" s="85" t="s">
        <v>3003</v>
      </c>
      <c r="E1214" s="85" t="s">
        <v>6618</v>
      </c>
      <c r="F1214" s="86">
        <v>20.3</v>
      </c>
      <c r="G1214" s="86">
        <v>24</v>
      </c>
      <c r="H1214" s="86">
        <v>487.2</v>
      </c>
      <c r="I1214" s="86">
        <v>17048.02</v>
      </c>
      <c r="J1214" s="85" t="s">
        <v>2965</v>
      </c>
      <c r="K1214" s="85" t="s">
        <v>6589</v>
      </c>
      <c r="L1214" s="85" t="s">
        <v>4135</v>
      </c>
      <c r="M1214" s="85" t="s">
        <v>6619</v>
      </c>
    </row>
    <row r="1215" ht="213.75" spans="1:13">
      <c r="A1215" s="85" t="s">
        <v>6594</v>
      </c>
      <c r="B1215" s="85" t="s">
        <v>5885</v>
      </c>
      <c r="C1215" s="85" t="s">
        <v>5886</v>
      </c>
      <c r="D1215" s="85" t="s">
        <v>5887</v>
      </c>
      <c r="E1215" s="85" t="s">
        <v>5886</v>
      </c>
      <c r="F1215" s="86">
        <v>68.31</v>
      </c>
      <c r="G1215" s="86">
        <v>21</v>
      </c>
      <c r="H1215" s="86">
        <v>1434.51</v>
      </c>
      <c r="I1215" s="86">
        <v>17048.02</v>
      </c>
      <c r="J1215" s="85" t="s">
        <v>2965</v>
      </c>
      <c r="K1215" s="85" t="s">
        <v>6589</v>
      </c>
      <c r="L1215" s="85" t="s">
        <v>4135</v>
      </c>
      <c r="M1215" s="85" t="s">
        <v>6620</v>
      </c>
    </row>
    <row r="1216" ht="213.75" spans="1:13">
      <c r="A1216" s="85" t="s">
        <v>6588</v>
      </c>
      <c r="B1216" s="85" t="s">
        <v>6621</v>
      </c>
      <c r="C1216" s="85" t="s">
        <v>6622</v>
      </c>
      <c r="D1216" s="85" t="s">
        <v>6613</v>
      </c>
      <c r="E1216" s="85" t="s">
        <v>6623</v>
      </c>
      <c r="F1216" s="86">
        <v>20</v>
      </c>
      <c r="G1216" s="86">
        <v>4</v>
      </c>
      <c r="H1216" s="86">
        <v>80</v>
      </c>
      <c r="I1216" s="86">
        <v>4334.12</v>
      </c>
      <c r="J1216" s="85" t="s">
        <v>2958</v>
      </c>
      <c r="K1216" s="85" t="s">
        <v>6589</v>
      </c>
      <c r="L1216" s="85" t="s">
        <v>4135</v>
      </c>
      <c r="M1216" s="85" t="s">
        <v>6624</v>
      </c>
    </row>
    <row r="1217" ht="213.75" spans="1:13">
      <c r="A1217" s="85" t="s">
        <v>6588</v>
      </c>
      <c r="B1217" s="85" t="s">
        <v>4959</v>
      </c>
      <c r="C1217" s="85" t="s">
        <v>4960</v>
      </c>
      <c r="D1217" s="85" t="s">
        <v>4596</v>
      </c>
      <c r="E1217" s="85" t="s">
        <v>4961</v>
      </c>
      <c r="F1217" s="86">
        <v>36.71</v>
      </c>
      <c r="G1217" s="86">
        <v>10</v>
      </c>
      <c r="H1217" s="86">
        <v>367.1</v>
      </c>
      <c r="I1217" s="86">
        <v>4334.12</v>
      </c>
      <c r="J1217" s="85" t="s">
        <v>2958</v>
      </c>
      <c r="K1217" s="85" t="s">
        <v>6589</v>
      </c>
      <c r="L1217" s="85" t="s">
        <v>4135</v>
      </c>
      <c r="M1217" s="85" t="s">
        <v>6625</v>
      </c>
    </row>
    <row r="1218" ht="213.75" spans="1:13">
      <c r="A1218" s="85" t="s">
        <v>6588</v>
      </c>
      <c r="B1218" s="85" t="s">
        <v>2975</v>
      </c>
      <c r="C1218" s="85" t="s">
        <v>2976</v>
      </c>
      <c r="D1218" s="85" t="s">
        <v>2977</v>
      </c>
      <c r="E1218" s="85" t="s">
        <v>2978</v>
      </c>
      <c r="F1218" s="86">
        <v>8.64</v>
      </c>
      <c r="G1218" s="86">
        <v>300</v>
      </c>
      <c r="H1218" s="86">
        <v>2592</v>
      </c>
      <c r="I1218" s="86">
        <v>4334.12</v>
      </c>
      <c r="J1218" s="85" t="s">
        <v>2958</v>
      </c>
      <c r="K1218" s="85" t="s">
        <v>6589</v>
      </c>
      <c r="L1218" s="85" t="s">
        <v>4135</v>
      </c>
      <c r="M1218" s="85" t="s">
        <v>6626</v>
      </c>
    </row>
    <row r="1219" ht="213.75" spans="1:13">
      <c r="A1219" s="85" t="s">
        <v>6594</v>
      </c>
      <c r="B1219" s="85" t="s">
        <v>6627</v>
      </c>
      <c r="C1219" s="85" t="s">
        <v>6628</v>
      </c>
      <c r="D1219" s="85" t="s">
        <v>3834</v>
      </c>
      <c r="E1219" s="85" t="s">
        <v>6628</v>
      </c>
      <c r="F1219" s="86">
        <v>460</v>
      </c>
      <c r="G1219" s="86">
        <v>1</v>
      </c>
      <c r="H1219" s="86">
        <v>460</v>
      </c>
      <c r="I1219" s="86">
        <v>17048.02</v>
      </c>
      <c r="J1219" s="85" t="s">
        <v>2965</v>
      </c>
      <c r="K1219" s="85" t="s">
        <v>6589</v>
      </c>
      <c r="L1219" s="85" t="s">
        <v>4135</v>
      </c>
      <c r="M1219" s="85" t="s">
        <v>6629</v>
      </c>
    </row>
    <row r="1220" ht="213.75" spans="1:13">
      <c r="A1220" s="85" t="s">
        <v>6598</v>
      </c>
      <c r="B1220" s="85" t="s">
        <v>3063</v>
      </c>
      <c r="C1220" s="85" t="s">
        <v>3064</v>
      </c>
      <c r="D1220" s="85" t="s">
        <v>2992</v>
      </c>
      <c r="E1220" s="85" t="s">
        <v>1815</v>
      </c>
      <c r="F1220" s="86">
        <v>5.3</v>
      </c>
      <c r="G1220" s="86">
        <v>800</v>
      </c>
      <c r="H1220" s="86">
        <v>4240</v>
      </c>
      <c r="I1220" s="86">
        <v>8488</v>
      </c>
      <c r="J1220" s="85" t="s">
        <v>2958</v>
      </c>
      <c r="K1220" s="85" t="s">
        <v>6589</v>
      </c>
      <c r="L1220" s="85" t="s">
        <v>4135</v>
      </c>
      <c r="M1220" s="85" t="s">
        <v>6630</v>
      </c>
    </row>
    <row r="1221" ht="213.75" spans="1:13">
      <c r="A1221" s="85" t="s">
        <v>6594</v>
      </c>
      <c r="B1221" s="85" t="s">
        <v>6631</v>
      </c>
      <c r="C1221" s="85" t="s">
        <v>6632</v>
      </c>
      <c r="D1221" s="85" t="s">
        <v>6633</v>
      </c>
      <c r="E1221" s="85" t="s">
        <v>6632</v>
      </c>
      <c r="F1221" s="86">
        <v>26.66</v>
      </c>
      <c r="G1221" s="86">
        <v>2</v>
      </c>
      <c r="H1221" s="86">
        <v>53.32</v>
      </c>
      <c r="I1221" s="86">
        <v>17048.02</v>
      </c>
      <c r="J1221" s="85" t="s">
        <v>2965</v>
      </c>
      <c r="K1221" s="85" t="s">
        <v>6589</v>
      </c>
      <c r="L1221" s="85" t="s">
        <v>4135</v>
      </c>
      <c r="M1221" s="85" t="s">
        <v>6634</v>
      </c>
    </row>
    <row r="1222" ht="213.75" spans="1:13">
      <c r="A1222" s="85" t="s">
        <v>6594</v>
      </c>
      <c r="B1222" s="85" t="s">
        <v>6635</v>
      </c>
      <c r="C1222" s="85" t="s">
        <v>6636</v>
      </c>
      <c r="D1222" s="85" t="s">
        <v>6236</v>
      </c>
      <c r="E1222" s="85" t="s">
        <v>6636</v>
      </c>
      <c r="F1222" s="86">
        <v>15.9</v>
      </c>
      <c r="G1222" s="86">
        <v>3</v>
      </c>
      <c r="H1222" s="86">
        <v>47.7</v>
      </c>
      <c r="I1222" s="86">
        <v>17048.02</v>
      </c>
      <c r="J1222" s="85" t="s">
        <v>2965</v>
      </c>
      <c r="K1222" s="85" t="s">
        <v>6589</v>
      </c>
      <c r="L1222" s="85" t="s">
        <v>4135</v>
      </c>
      <c r="M1222" s="85" t="s">
        <v>6637</v>
      </c>
    </row>
    <row r="1223" ht="213.75" spans="1:13">
      <c r="A1223" s="85" t="s">
        <v>6594</v>
      </c>
      <c r="B1223" s="85" t="s">
        <v>3942</v>
      </c>
      <c r="C1223" s="85" t="s">
        <v>3943</v>
      </c>
      <c r="D1223" s="85" t="s">
        <v>3944</v>
      </c>
      <c r="E1223" s="85" t="s">
        <v>3943</v>
      </c>
      <c r="F1223" s="86">
        <v>55.06</v>
      </c>
      <c r="G1223" s="86">
        <v>6</v>
      </c>
      <c r="H1223" s="86">
        <v>330.36</v>
      </c>
      <c r="I1223" s="86">
        <v>17048.02</v>
      </c>
      <c r="J1223" s="85" t="s">
        <v>2965</v>
      </c>
      <c r="K1223" s="85" t="s">
        <v>6589</v>
      </c>
      <c r="L1223" s="85" t="s">
        <v>4135</v>
      </c>
      <c r="M1223" s="85" t="s">
        <v>6638</v>
      </c>
    </row>
    <row r="1224" ht="213.75" spans="1:13">
      <c r="A1224" s="85" t="s">
        <v>6594</v>
      </c>
      <c r="B1224" s="85" t="s">
        <v>6639</v>
      </c>
      <c r="C1224" s="85" t="s">
        <v>6640</v>
      </c>
      <c r="D1224" s="85" t="s">
        <v>3737</v>
      </c>
      <c r="E1224" s="85" t="s">
        <v>6640</v>
      </c>
      <c r="F1224" s="86">
        <v>4.72</v>
      </c>
      <c r="G1224" s="86">
        <v>10</v>
      </c>
      <c r="H1224" s="86">
        <v>47.2</v>
      </c>
      <c r="I1224" s="86">
        <v>17048.02</v>
      </c>
      <c r="J1224" s="85" t="s">
        <v>2965</v>
      </c>
      <c r="K1224" s="85" t="s">
        <v>6589</v>
      </c>
      <c r="L1224" s="85" t="s">
        <v>4135</v>
      </c>
      <c r="M1224" s="85" t="s">
        <v>6641</v>
      </c>
    </row>
    <row r="1225" ht="213.75" spans="1:13">
      <c r="A1225" s="85" t="s">
        <v>6588</v>
      </c>
      <c r="B1225" s="85" t="s">
        <v>4576</v>
      </c>
      <c r="C1225" s="85" t="s">
        <v>4577</v>
      </c>
      <c r="D1225" s="85" t="s">
        <v>3241</v>
      </c>
      <c r="E1225" s="85" t="s">
        <v>4578</v>
      </c>
      <c r="F1225" s="86">
        <v>4.2</v>
      </c>
      <c r="G1225" s="86">
        <v>10</v>
      </c>
      <c r="H1225" s="86">
        <v>42</v>
      </c>
      <c r="I1225" s="86">
        <v>4334.12</v>
      </c>
      <c r="J1225" s="85" t="s">
        <v>2958</v>
      </c>
      <c r="K1225" s="85" t="s">
        <v>6589</v>
      </c>
      <c r="L1225" s="85" t="s">
        <v>4135</v>
      </c>
      <c r="M1225" s="85" t="s">
        <v>6642</v>
      </c>
    </row>
    <row r="1226" ht="213.75" spans="1:13">
      <c r="A1226" s="85" t="s">
        <v>6594</v>
      </c>
      <c r="B1226" s="85" t="s">
        <v>6643</v>
      </c>
      <c r="C1226" s="85" t="s">
        <v>6644</v>
      </c>
      <c r="D1226" s="85" t="s">
        <v>6645</v>
      </c>
      <c r="E1226" s="85" t="s">
        <v>6644</v>
      </c>
      <c r="F1226" s="86">
        <v>35.2</v>
      </c>
      <c r="G1226" s="86">
        <v>30</v>
      </c>
      <c r="H1226" s="86">
        <v>1056</v>
      </c>
      <c r="I1226" s="86">
        <v>17048.02</v>
      </c>
      <c r="J1226" s="85" t="s">
        <v>2965</v>
      </c>
      <c r="K1226" s="85" t="s">
        <v>6589</v>
      </c>
      <c r="L1226" s="85" t="s">
        <v>4135</v>
      </c>
      <c r="M1226" s="85" t="s">
        <v>6646</v>
      </c>
    </row>
    <row r="1227" ht="213.75" spans="1:13">
      <c r="A1227" s="85" t="s">
        <v>6594</v>
      </c>
      <c r="B1227" s="85" t="s">
        <v>6013</v>
      </c>
      <c r="C1227" s="85" t="s">
        <v>6014</v>
      </c>
      <c r="D1227" s="85" t="s">
        <v>5887</v>
      </c>
      <c r="E1227" s="85" t="s">
        <v>6014</v>
      </c>
      <c r="F1227" s="86">
        <v>68.31</v>
      </c>
      <c r="G1227" s="86">
        <v>1</v>
      </c>
      <c r="H1227" s="86">
        <v>68.31</v>
      </c>
      <c r="I1227" s="86">
        <v>17048.02</v>
      </c>
      <c r="J1227" s="85" t="s">
        <v>2965</v>
      </c>
      <c r="K1227" s="85" t="s">
        <v>6589</v>
      </c>
      <c r="L1227" s="85" t="s">
        <v>4135</v>
      </c>
      <c r="M1227" s="85" t="s">
        <v>6647</v>
      </c>
    </row>
    <row r="1228" ht="213.75" spans="1:13">
      <c r="A1228" s="85" t="s">
        <v>6594</v>
      </c>
      <c r="B1228" s="85" t="s">
        <v>5930</v>
      </c>
      <c r="C1228" s="85" t="s">
        <v>5931</v>
      </c>
      <c r="D1228" s="85" t="s">
        <v>3463</v>
      </c>
      <c r="E1228" s="85" t="s">
        <v>5931</v>
      </c>
      <c r="F1228" s="86">
        <v>34.99</v>
      </c>
      <c r="G1228" s="86">
        <v>1</v>
      </c>
      <c r="H1228" s="86">
        <v>34.99</v>
      </c>
      <c r="I1228" s="86">
        <v>17048.02</v>
      </c>
      <c r="J1228" s="85" t="s">
        <v>2965</v>
      </c>
      <c r="K1228" s="85" t="s">
        <v>6589</v>
      </c>
      <c r="L1228" s="85" t="s">
        <v>4135</v>
      </c>
      <c r="M1228" s="85" t="s">
        <v>6648</v>
      </c>
    </row>
    <row r="1229" ht="213.75" spans="1:13">
      <c r="A1229" s="85" t="s">
        <v>6594</v>
      </c>
      <c r="B1229" s="85" t="s">
        <v>6649</v>
      </c>
      <c r="C1229" s="85" t="s">
        <v>6650</v>
      </c>
      <c r="D1229" s="85" t="s">
        <v>3834</v>
      </c>
      <c r="E1229" s="85" t="s">
        <v>6650</v>
      </c>
      <c r="F1229" s="86">
        <v>402</v>
      </c>
      <c r="G1229" s="86">
        <v>10</v>
      </c>
      <c r="H1229" s="86">
        <v>4020</v>
      </c>
      <c r="I1229" s="86">
        <v>17048.02</v>
      </c>
      <c r="J1229" s="85" t="s">
        <v>2965</v>
      </c>
      <c r="K1229" s="85" t="s">
        <v>6589</v>
      </c>
      <c r="L1229" s="85" t="s">
        <v>4135</v>
      </c>
      <c r="M1229" s="85" t="s">
        <v>6651</v>
      </c>
    </row>
    <row r="1230" ht="213.75" spans="1:13">
      <c r="A1230" s="85" t="s">
        <v>6652</v>
      </c>
      <c r="B1230" s="85" t="s">
        <v>6653</v>
      </c>
      <c r="C1230" s="85" t="s">
        <v>6654</v>
      </c>
      <c r="D1230" s="85" t="s">
        <v>5406</v>
      </c>
      <c r="E1230" s="85" t="s">
        <v>2083</v>
      </c>
      <c r="F1230" s="86">
        <v>105</v>
      </c>
      <c r="G1230" s="86">
        <v>52</v>
      </c>
      <c r="H1230" s="86">
        <v>5460</v>
      </c>
      <c r="I1230" s="86">
        <v>7540</v>
      </c>
      <c r="J1230" s="85" t="s">
        <v>6655</v>
      </c>
      <c r="K1230" s="85" t="s">
        <v>6589</v>
      </c>
      <c r="L1230" s="85" t="s">
        <v>4135</v>
      </c>
      <c r="M1230" s="85" t="s">
        <v>6656</v>
      </c>
    </row>
    <row r="1231" ht="213.75" spans="1:13">
      <c r="A1231" s="85" t="s">
        <v>6594</v>
      </c>
      <c r="B1231" s="85" t="s">
        <v>5889</v>
      </c>
      <c r="C1231" s="85" t="s">
        <v>5890</v>
      </c>
      <c r="D1231" s="85" t="s">
        <v>5887</v>
      </c>
      <c r="E1231" s="85" t="s">
        <v>5890</v>
      </c>
      <c r="F1231" s="86">
        <v>68.31</v>
      </c>
      <c r="G1231" s="86">
        <v>1</v>
      </c>
      <c r="H1231" s="86">
        <v>68.31</v>
      </c>
      <c r="I1231" s="86">
        <v>17048.02</v>
      </c>
      <c r="J1231" s="85" t="s">
        <v>2965</v>
      </c>
      <c r="K1231" s="85" t="s">
        <v>6589</v>
      </c>
      <c r="L1231" s="85" t="s">
        <v>4135</v>
      </c>
      <c r="M1231" s="85" t="s">
        <v>6657</v>
      </c>
    </row>
    <row r="1232" ht="213.75" spans="1:13">
      <c r="A1232" s="85" t="s">
        <v>6594</v>
      </c>
      <c r="B1232" s="85" t="s">
        <v>5761</v>
      </c>
      <c r="C1232" s="85" t="s">
        <v>5762</v>
      </c>
      <c r="D1232" s="85" t="s">
        <v>3189</v>
      </c>
      <c r="E1232" s="85" t="s">
        <v>5762</v>
      </c>
      <c r="F1232" s="86">
        <v>135.59</v>
      </c>
      <c r="G1232" s="86">
        <v>5</v>
      </c>
      <c r="H1232" s="86">
        <v>677.95</v>
      </c>
      <c r="I1232" s="86">
        <v>17048.02</v>
      </c>
      <c r="J1232" s="85" t="s">
        <v>2965</v>
      </c>
      <c r="K1232" s="85" t="s">
        <v>6589</v>
      </c>
      <c r="L1232" s="85" t="s">
        <v>4135</v>
      </c>
      <c r="M1232" s="85" t="s">
        <v>6658</v>
      </c>
    </row>
    <row r="1233" ht="213.75" spans="1:13">
      <c r="A1233" s="85" t="s">
        <v>6594</v>
      </c>
      <c r="B1233" s="85" t="s">
        <v>6659</v>
      </c>
      <c r="C1233" s="85" t="s">
        <v>6660</v>
      </c>
      <c r="D1233" s="85" t="s">
        <v>3834</v>
      </c>
      <c r="E1233" s="85" t="s">
        <v>6660</v>
      </c>
      <c r="F1233" s="86">
        <v>21.8</v>
      </c>
      <c r="G1233" s="86">
        <v>30</v>
      </c>
      <c r="H1233" s="86">
        <v>654</v>
      </c>
      <c r="I1233" s="86">
        <v>17048.02</v>
      </c>
      <c r="J1233" s="85" t="s">
        <v>2965</v>
      </c>
      <c r="K1233" s="85" t="s">
        <v>6589</v>
      </c>
      <c r="L1233" s="85" t="s">
        <v>4135</v>
      </c>
      <c r="M1233" s="85" t="s">
        <v>6661</v>
      </c>
    </row>
    <row r="1234" ht="213.75" spans="1:13">
      <c r="A1234" s="85" t="s">
        <v>6594</v>
      </c>
      <c r="B1234" s="85" t="s">
        <v>6662</v>
      </c>
      <c r="C1234" s="85" t="s">
        <v>6663</v>
      </c>
      <c r="D1234" s="85" t="s">
        <v>6273</v>
      </c>
      <c r="E1234" s="85" t="s">
        <v>6663</v>
      </c>
      <c r="F1234" s="86">
        <v>27.92</v>
      </c>
      <c r="G1234" s="86">
        <v>2</v>
      </c>
      <c r="H1234" s="86">
        <v>55.84</v>
      </c>
      <c r="I1234" s="86">
        <v>17048.02</v>
      </c>
      <c r="J1234" s="85" t="s">
        <v>2965</v>
      </c>
      <c r="K1234" s="85" t="s">
        <v>6589</v>
      </c>
      <c r="L1234" s="85" t="s">
        <v>4135</v>
      </c>
      <c r="M1234" s="85" t="s">
        <v>6664</v>
      </c>
    </row>
    <row r="1235" ht="213.75" spans="1:13">
      <c r="A1235" s="85" t="s">
        <v>6594</v>
      </c>
      <c r="B1235" s="85" t="s">
        <v>4800</v>
      </c>
      <c r="C1235" s="85" t="s">
        <v>4801</v>
      </c>
      <c r="D1235" s="85" t="s">
        <v>4802</v>
      </c>
      <c r="E1235" s="85" t="s">
        <v>4801</v>
      </c>
      <c r="F1235" s="86">
        <v>24.39</v>
      </c>
      <c r="G1235" s="86">
        <v>40</v>
      </c>
      <c r="H1235" s="86">
        <v>975.6</v>
      </c>
      <c r="I1235" s="86">
        <v>17048.02</v>
      </c>
      <c r="J1235" s="85" t="s">
        <v>2965</v>
      </c>
      <c r="K1235" s="85" t="s">
        <v>6589</v>
      </c>
      <c r="L1235" s="85" t="s">
        <v>4135</v>
      </c>
      <c r="M1235" s="85" t="s">
        <v>6665</v>
      </c>
    </row>
    <row r="1236" ht="213.75" spans="1:13">
      <c r="A1236" s="85" t="s">
        <v>6594</v>
      </c>
      <c r="B1236" s="85" t="s">
        <v>3195</v>
      </c>
      <c r="C1236" s="85" t="s">
        <v>3196</v>
      </c>
      <c r="D1236" s="85" t="s">
        <v>3197</v>
      </c>
      <c r="E1236" s="85" t="s">
        <v>3196</v>
      </c>
      <c r="F1236" s="86">
        <v>14.65</v>
      </c>
      <c r="G1236" s="86">
        <v>49</v>
      </c>
      <c r="H1236" s="86">
        <v>717.85</v>
      </c>
      <c r="I1236" s="86">
        <v>17048.02</v>
      </c>
      <c r="J1236" s="85" t="s">
        <v>2965</v>
      </c>
      <c r="K1236" s="85" t="s">
        <v>6589</v>
      </c>
      <c r="L1236" s="85" t="s">
        <v>4135</v>
      </c>
      <c r="M1236" s="85" t="s">
        <v>6666</v>
      </c>
    </row>
    <row r="1237" ht="213.75" spans="1:13">
      <c r="A1237" s="85" t="s">
        <v>6598</v>
      </c>
      <c r="B1237" s="85" t="s">
        <v>3500</v>
      </c>
      <c r="C1237" s="85" t="s">
        <v>3501</v>
      </c>
      <c r="D1237" s="85" t="s">
        <v>2992</v>
      </c>
      <c r="E1237" s="85" t="s">
        <v>1815</v>
      </c>
      <c r="F1237" s="86">
        <v>17.7</v>
      </c>
      <c r="G1237" s="86">
        <v>160</v>
      </c>
      <c r="H1237" s="86">
        <v>2832</v>
      </c>
      <c r="I1237" s="86">
        <v>8488</v>
      </c>
      <c r="J1237" s="85" t="s">
        <v>2958</v>
      </c>
      <c r="K1237" s="85" t="s">
        <v>6589</v>
      </c>
      <c r="L1237" s="85" t="s">
        <v>4135</v>
      </c>
      <c r="M1237" s="85" t="s">
        <v>6667</v>
      </c>
    </row>
    <row r="1238" ht="213.75" spans="1:13">
      <c r="A1238" s="85" t="s">
        <v>6594</v>
      </c>
      <c r="B1238" s="85" t="s">
        <v>6668</v>
      </c>
      <c r="C1238" s="85" t="s">
        <v>6669</v>
      </c>
      <c r="D1238" s="85" t="s">
        <v>6250</v>
      </c>
      <c r="E1238" s="85" t="s">
        <v>6669</v>
      </c>
      <c r="F1238" s="86">
        <v>8.09</v>
      </c>
      <c r="G1238" s="86">
        <v>10</v>
      </c>
      <c r="H1238" s="86">
        <v>80.9</v>
      </c>
      <c r="I1238" s="86">
        <v>17048.02</v>
      </c>
      <c r="J1238" s="85" t="s">
        <v>2965</v>
      </c>
      <c r="K1238" s="85" t="s">
        <v>6589</v>
      </c>
      <c r="L1238" s="85" t="s">
        <v>4135</v>
      </c>
      <c r="M1238" s="85" t="s">
        <v>6670</v>
      </c>
    </row>
    <row r="1239" ht="213.75" spans="1:13">
      <c r="A1239" s="85" t="s">
        <v>6594</v>
      </c>
      <c r="B1239" s="85" t="s">
        <v>6671</v>
      </c>
      <c r="C1239" s="85" t="s">
        <v>6672</v>
      </c>
      <c r="D1239" s="85" t="s">
        <v>3213</v>
      </c>
      <c r="E1239" s="85" t="s">
        <v>6672</v>
      </c>
      <c r="F1239" s="86">
        <v>48.14</v>
      </c>
      <c r="G1239" s="86">
        <v>2</v>
      </c>
      <c r="H1239" s="86">
        <v>96.28</v>
      </c>
      <c r="I1239" s="86">
        <v>17048.02</v>
      </c>
      <c r="J1239" s="85" t="s">
        <v>2965</v>
      </c>
      <c r="K1239" s="85" t="s">
        <v>6589</v>
      </c>
      <c r="L1239" s="85" t="s">
        <v>4135</v>
      </c>
      <c r="M1239" s="85" t="s">
        <v>6673</v>
      </c>
    </row>
    <row r="1240" ht="213.75" spans="1:13">
      <c r="A1240" s="85" t="s">
        <v>6594</v>
      </c>
      <c r="B1240" s="85" t="s">
        <v>5958</v>
      </c>
      <c r="C1240" s="85" t="s">
        <v>5959</v>
      </c>
      <c r="D1240" s="85" t="s">
        <v>3463</v>
      </c>
      <c r="E1240" s="85" t="s">
        <v>5959</v>
      </c>
      <c r="F1240" s="86">
        <v>34.99</v>
      </c>
      <c r="G1240" s="86">
        <v>1</v>
      </c>
      <c r="H1240" s="86">
        <v>34.99</v>
      </c>
      <c r="I1240" s="86">
        <v>17048.02</v>
      </c>
      <c r="J1240" s="85" t="s">
        <v>2965</v>
      </c>
      <c r="K1240" s="85" t="s">
        <v>6589</v>
      </c>
      <c r="L1240" s="85" t="s">
        <v>4135</v>
      </c>
      <c r="M1240" s="85" t="s">
        <v>6674</v>
      </c>
    </row>
    <row r="1241" ht="213.75" spans="1:13">
      <c r="A1241" s="85" t="s">
        <v>6594</v>
      </c>
      <c r="B1241" s="85" t="s">
        <v>5993</v>
      </c>
      <c r="C1241" s="85" t="s">
        <v>5994</v>
      </c>
      <c r="D1241" s="85" t="s">
        <v>3463</v>
      </c>
      <c r="E1241" s="85" t="s">
        <v>5994</v>
      </c>
      <c r="F1241" s="86">
        <v>34.99</v>
      </c>
      <c r="G1241" s="86">
        <v>1</v>
      </c>
      <c r="H1241" s="86">
        <v>34.99</v>
      </c>
      <c r="I1241" s="86">
        <v>17048.02</v>
      </c>
      <c r="J1241" s="85" t="s">
        <v>2965</v>
      </c>
      <c r="K1241" s="85" t="s">
        <v>6589</v>
      </c>
      <c r="L1241" s="85" t="s">
        <v>4135</v>
      </c>
      <c r="M1241" s="85" t="s">
        <v>6675</v>
      </c>
    </row>
    <row r="1242" ht="213.75" spans="1:13">
      <c r="A1242" s="85" t="s">
        <v>6594</v>
      </c>
      <c r="B1242" s="85" t="s">
        <v>6676</v>
      </c>
      <c r="C1242" s="85" t="s">
        <v>6677</v>
      </c>
      <c r="D1242" s="85" t="s">
        <v>3367</v>
      </c>
      <c r="E1242" s="85" t="s">
        <v>6677</v>
      </c>
      <c r="F1242" s="86">
        <v>6.95</v>
      </c>
      <c r="G1242" s="86">
        <v>5</v>
      </c>
      <c r="H1242" s="86">
        <v>34.75</v>
      </c>
      <c r="I1242" s="86">
        <v>17048.02</v>
      </c>
      <c r="J1242" s="85" t="s">
        <v>2965</v>
      </c>
      <c r="K1242" s="85" t="s">
        <v>6589</v>
      </c>
      <c r="L1242" s="85" t="s">
        <v>4135</v>
      </c>
      <c r="M1242" s="85" t="s">
        <v>6678</v>
      </c>
    </row>
    <row r="1243" ht="213.75" spans="1:13">
      <c r="A1243" s="85" t="s">
        <v>6594</v>
      </c>
      <c r="B1243" s="85" t="s">
        <v>5980</v>
      </c>
      <c r="C1243" s="85" t="s">
        <v>5981</v>
      </c>
      <c r="D1243" s="85" t="s">
        <v>5887</v>
      </c>
      <c r="E1243" s="85" t="s">
        <v>5981</v>
      </c>
      <c r="F1243" s="86">
        <v>68.31</v>
      </c>
      <c r="G1243" s="86">
        <v>1</v>
      </c>
      <c r="H1243" s="86">
        <v>68.31</v>
      </c>
      <c r="I1243" s="86">
        <v>17048.02</v>
      </c>
      <c r="J1243" s="85" t="s">
        <v>2965</v>
      </c>
      <c r="K1243" s="85" t="s">
        <v>6589</v>
      </c>
      <c r="L1243" s="85" t="s">
        <v>4135</v>
      </c>
      <c r="M1243" s="85" t="s">
        <v>6679</v>
      </c>
    </row>
    <row r="1244" ht="213.75" spans="1:13">
      <c r="A1244" s="85" t="s">
        <v>6594</v>
      </c>
      <c r="B1244" s="85" t="s">
        <v>6271</v>
      </c>
      <c r="C1244" s="85" t="s">
        <v>6272</v>
      </c>
      <c r="D1244" s="85" t="s">
        <v>6273</v>
      </c>
      <c r="E1244" s="85" t="s">
        <v>6272</v>
      </c>
      <c r="F1244" s="86">
        <v>3.14</v>
      </c>
      <c r="G1244" s="86">
        <v>5</v>
      </c>
      <c r="H1244" s="86">
        <v>15.7</v>
      </c>
      <c r="I1244" s="86">
        <v>17048.02</v>
      </c>
      <c r="J1244" s="85" t="s">
        <v>2965</v>
      </c>
      <c r="K1244" s="85" t="s">
        <v>6589</v>
      </c>
      <c r="L1244" s="85" t="s">
        <v>4135</v>
      </c>
      <c r="M1244" s="85" t="s">
        <v>6680</v>
      </c>
    </row>
    <row r="1245" ht="213.75" spans="1:13">
      <c r="A1245" s="85" t="s">
        <v>6652</v>
      </c>
      <c r="B1245" s="85" t="s">
        <v>6681</v>
      </c>
      <c r="C1245" s="85" t="s">
        <v>6682</v>
      </c>
      <c r="D1245" s="85" t="s">
        <v>5406</v>
      </c>
      <c r="E1245" s="85" t="s">
        <v>2083</v>
      </c>
      <c r="F1245" s="86">
        <v>80</v>
      </c>
      <c r="G1245" s="86">
        <v>26</v>
      </c>
      <c r="H1245" s="86">
        <v>2080</v>
      </c>
      <c r="I1245" s="86">
        <v>7540</v>
      </c>
      <c r="J1245" s="85" t="s">
        <v>6655</v>
      </c>
      <c r="K1245" s="85" t="s">
        <v>6589</v>
      </c>
      <c r="L1245" s="85" t="s">
        <v>4135</v>
      </c>
      <c r="M1245" s="85" t="s">
        <v>6683</v>
      </c>
    </row>
    <row r="1246" ht="213.75" spans="1:13">
      <c r="A1246" s="85" t="s">
        <v>6594</v>
      </c>
      <c r="B1246" s="85" t="s">
        <v>3487</v>
      </c>
      <c r="C1246" s="85" t="s">
        <v>3488</v>
      </c>
      <c r="D1246" s="85" t="s">
        <v>3082</v>
      </c>
      <c r="E1246" s="85" t="s">
        <v>3488</v>
      </c>
      <c r="F1246" s="86">
        <v>59.06</v>
      </c>
      <c r="G1246" s="86">
        <v>25</v>
      </c>
      <c r="H1246" s="86">
        <v>1476.5</v>
      </c>
      <c r="I1246" s="86">
        <v>17048.02</v>
      </c>
      <c r="J1246" s="85" t="s">
        <v>2965</v>
      </c>
      <c r="K1246" s="85" t="s">
        <v>6589</v>
      </c>
      <c r="L1246" s="85" t="s">
        <v>4135</v>
      </c>
      <c r="M1246" s="85" t="s">
        <v>6684</v>
      </c>
    </row>
    <row r="1247" ht="213.75" spans="1:13">
      <c r="A1247" s="85" t="s">
        <v>6685</v>
      </c>
      <c r="B1247" s="85" t="s">
        <v>6686</v>
      </c>
      <c r="C1247" s="85" t="s">
        <v>6687</v>
      </c>
      <c r="D1247" s="85" t="s">
        <v>6688</v>
      </c>
      <c r="E1247" s="85" t="s">
        <v>1991</v>
      </c>
      <c r="F1247" s="86">
        <v>2.8</v>
      </c>
      <c r="G1247" s="86">
        <v>200</v>
      </c>
      <c r="H1247" s="86">
        <v>560</v>
      </c>
      <c r="I1247" s="86">
        <v>560</v>
      </c>
      <c r="J1247" s="85" t="s">
        <v>3031</v>
      </c>
      <c r="K1247" s="85" t="s">
        <v>6589</v>
      </c>
      <c r="L1247" s="85" t="s">
        <v>4135</v>
      </c>
      <c r="M1247" s="85" t="s">
        <v>6689</v>
      </c>
    </row>
    <row r="1248" ht="213.75" spans="1:13">
      <c r="A1248" s="85" t="s">
        <v>6592</v>
      </c>
      <c r="B1248" s="85" t="s">
        <v>5204</v>
      </c>
      <c r="C1248" s="85" t="s">
        <v>5205</v>
      </c>
      <c r="D1248" s="85" t="s">
        <v>4848</v>
      </c>
      <c r="E1248" s="85" t="s">
        <v>4849</v>
      </c>
      <c r="F1248" s="86">
        <v>1</v>
      </c>
      <c r="G1248" s="86">
        <v>400</v>
      </c>
      <c r="H1248" s="86">
        <v>400</v>
      </c>
      <c r="I1248" s="86">
        <v>1900</v>
      </c>
      <c r="J1248" s="85" t="s">
        <v>4370</v>
      </c>
      <c r="K1248" s="85" t="s">
        <v>6589</v>
      </c>
      <c r="L1248" s="85" t="s">
        <v>4135</v>
      </c>
      <c r="M1248" s="85" t="s">
        <v>6690</v>
      </c>
    </row>
    <row r="1249" ht="213.75" spans="1:13">
      <c r="A1249" s="85" t="s">
        <v>6594</v>
      </c>
      <c r="B1249" s="85" t="s">
        <v>6691</v>
      </c>
      <c r="C1249" s="85" t="s">
        <v>6692</v>
      </c>
      <c r="D1249" s="85" t="s">
        <v>3406</v>
      </c>
      <c r="E1249" s="85" t="s">
        <v>6692</v>
      </c>
      <c r="F1249" s="86">
        <v>16</v>
      </c>
      <c r="G1249" s="86">
        <v>2</v>
      </c>
      <c r="H1249" s="86">
        <v>32</v>
      </c>
      <c r="I1249" s="86">
        <v>17048.02</v>
      </c>
      <c r="J1249" s="85" t="s">
        <v>2965</v>
      </c>
      <c r="K1249" s="85" t="s">
        <v>6589</v>
      </c>
      <c r="L1249" s="85" t="s">
        <v>4135</v>
      </c>
      <c r="M1249" s="85" t="s">
        <v>6693</v>
      </c>
    </row>
    <row r="1250" ht="213.75" spans="1:13">
      <c r="A1250" s="85" t="s">
        <v>6594</v>
      </c>
      <c r="B1250" s="85" t="s">
        <v>6694</v>
      </c>
      <c r="C1250" s="85" t="s">
        <v>6695</v>
      </c>
      <c r="D1250" s="85" t="s">
        <v>3367</v>
      </c>
      <c r="E1250" s="85" t="s">
        <v>6695</v>
      </c>
      <c r="F1250" s="86">
        <v>2.27</v>
      </c>
      <c r="G1250" s="86">
        <v>10</v>
      </c>
      <c r="H1250" s="86">
        <v>22.7</v>
      </c>
      <c r="I1250" s="86">
        <v>17048.02</v>
      </c>
      <c r="J1250" s="85" t="s">
        <v>2965</v>
      </c>
      <c r="K1250" s="85" t="s">
        <v>6589</v>
      </c>
      <c r="L1250" s="85" t="s">
        <v>4135</v>
      </c>
      <c r="M1250" s="85" t="s">
        <v>6696</v>
      </c>
    </row>
    <row r="1251" ht="213.75" spans="1:13">
      <c r="A1251" s="85" t="s">
        <v>6697</v>
      </c>
      <c r="B1251" s="85" t="s">
        <v>4537</v>
      </c>
      <c r="C1251" s="85" t="s">
        <v>4538</v>
      </c>
      <c r="D1251" s="85" t="s">
        <v>2997</v>
      </c>
      <c r="E1251" s="85" t="s">
        <v>2998</v>
      </c>
      <c r="F1251" s="86">
        <v>18</v>
      </c>
      <c r="G1251" s="86">
        <v>250</v>
      </c>
      <c r="H1251" s="86">
        <v>4500</v>
      </c>
      <c r="I1251" s="86">
        <v>6460</v>
      </c>
      <c r="J1251" s="85" t="s">
        <v>2999</v>
      </c>
      <c r="K1251" s="85" t="s">
        <v>6589</v>
      </c>
      <c r="L1251" s="85" t="s">
        <v>4135</v>
      </c>
      <c r="M1251" s="85" t="s">
        <v>6698</v>
      </c>
    </row>
    <row r="1252" ht="213.75" spans="1:13">
      <c r="A1252" s="85" t="s">
        <v>6594</v>
      </c>
      <c r="B1252" s="85" t="s">
        <v>6699</v>
      </c>
      <c r="C1252" s="85" t="s">
        <v>6700</v>
      </c>
      <c r="D1252" s="85" t="s">
        <v>6701</v>
      </c>
      <c r="E1252" s="85" t="s">
        <v>6700</v>
      </c>
      <c r="F1252" s="86">
        <v>150.62</v>
      </c>
      <c r="G1252" s="86">
        <v>1</v>
      </c>
      <c r="H1252" s="86">
        <v>150.62</v>
      </c>
      <c r="I1252" s="86">
        <v>17048.02</v>
      </c>
      <c r="J1252" s="85" t="s">
        <v>2965</v>
      </c>
      <c r="K1252" s="85" t="s">
        <v>6589</v>
      </c>
      <c r="L1252" s="85" t="s">
        <v>4135</v>
      </c>
      <c r="M1252" s="85" t="s">
        <v>6702</v>
      </c>
    </row>
    <row r="1253" ht="213.75" spans="1:13">
      <c r="A1253" s="85" t="s">
        <v>6588</v>
      </c>
      <c r="B1253" s="85" t="s">
        <v>6032</v>
      </c>
      <c r="C1253" s="85" t="s">
        <v>6033</v>
      </c>
      <c r="D1253" s="85" t="s">
        <v>2982</v>
      </c>
      <c r="E1253" s="85" t="s">
        <v>5752</v>
      </c>
      <c r="F1253" s="86">
        <v>14.75</v>
      </c>
      <c r="G1253" s="86">
        <v>24</v>
      </c>
      <c r="H1253" s="86">
        <v>354</v>
      </c>
      <c r="I1253" s="86">
        <v>4334.12</v>
      </c>
      <c r="J1253" s="85" t="s">
        <v>2958</v>
      </c>
      <c r="K1253" s="85" t="s">
        <v>6589</v>
      </c>
      <c r="L1253" s="85" t="s">
        <v>4135</v>
      </c>
      <c r="M1253" s="85" t="s">
        <v>6703</v>
      </c>
    </row>
    <row r="1254" ht="213.75" spans="1:13">
      <c r="A1254" s="85" t="s">
        <v>6594</v>
      </c>
      <c r="B1254" s="85" t="s">
        <v>5863</v>
      </c>
      <c r="C1254" s="85" t="s">
        <v>5864</v>
      </c>
      <c r="D1254" s="85" t="s">
        <v>3054</v>
      </c>
      <c r="E1254" s="85" t="s">
        <v>5864</v>
      </c>
      <c r="F1254" s="86">
        <v>1.88</v>
      </c>
      <c r="G1254" s="86">
        <v>25</v>
      </c>
      <c r="H1254" s="86">
        <v>47</v>
      </c>
      <c r="I1254" s="86">
        <v>17048.02</v>
      </c>
      <c r="J1254" s="85" t="s">
        <v>2965</v>
      </c>
      <c r="K1254" s="85" t="s">
        <v>6589</v>
      </c>
      <c r="L1254" s="85" t="s">
        <v>4135</v>
      </c>
      <c r="M1254" s="85" t="s">
        <v>6704</v>
      </c>
    </row>
    <row r="1255" ht="213.75" spans="1:13">
      <c r="A1255" s="85" t="s">
        <v>6592</v>
      </c>
      <c r="B1255" s="85" t="s">
        <v>6705</v>
      </c>
      <c r="C1255" s="85" t="s">
        <v>6706</v>
      </c>
      <c r="D1255" s="85" t="s">
        <v>4848</v>
      </c>
      <c r="E1255" s="85" t="s">
        <v>6707</v>
      </c>
      <c r="F1255" s="86">
        <v>2</v>
      </c>
      <c r="G1255" s="86">
        <v>500</v>
      </c>
      <c r="H1255" s="86">
        <v>1000</v>
      </c>
      <c r="I1255" s="86">
        <v>1900</v>
      </c>
      <c r="J1255" s="85" t="s">
        <v>4370</v>
      </c>
      <c r="K1255" s="85" t="s">
        <v>6589</v>
      </c>
      <c r="L1255" s="85" t="s">
        <v>4135</v>
      </c>
      <c r="M1255" s="85" t="s">
        <v>6708</v>
      </c>
    </row>
    <row r="1256" ht="213.75" spans="1:13">
      <c r="A1256" s="85" t="s">
        <v>6709</v>
      </c>
      <c r="B1256" s="85" t="s">
        <v>6005</v>
      </c>
      <c r="C1256" s="85" t="s">
        <v>6006</v>
      </c>
      <c r="D1256" s="85" t="s">
        <v>3684</v>
      </c>
      <c r="E1256" s="85" t="s">
        <v>3685</v>
      </c>
      <c r="F1256" s="86">
        <v>57.5</v>
      </c>
      <c r="G1256" s="86">
        <v>1</v>
      </c>
      <c r="H1256" s="86">
        <v>57.5</v>
      </c>
      <c r="I1256" s="86">
        <v>57.5</v>
      </c>
      <c r="J1256" s="85" t="s">
        <v>3075</v>
      </c>
      <c r="K1256" s="85" t="s">
        <v>6589</v>
      </c>
      <c r="L1256" s="85" t="s">
        <v>4135</v>
      </c>
      <c r="M1256" s="85" t="s">
        <v>6710</v>
      </c>
    </row>
    <row r="1257" ht="213.75" spans="1:13">
      <c r="A1257" s="85" t="s">
        <v>6594</v>
      </c>
      <c r="B1257" s="85" t="s">
        <v>6711</v>
      </c>
      <c r="C1257" s="85" t="s">
        <v>6712</v>
      </c>
      <c r="D1257" s="85" t="s">
        <v>6713</v>
      </c>
      <c r="E1257" s="85" t="s">
        <v>6712</v>
      </c>
      <c r="F1257" s="86">
        <v>2.47</v>
      </c>
      <c r="G1257" s="86">
        <v>10</v>
      </c>
      <c r="H1257" s="86">
        <v>24.7</v>
      </c>
      <c r="I1257" s="86">
        <v>17048.02</v>
      </c>
      <c r="J1257" s="85" t="s">
        <v>2965</v>
      </c>
      <c r="K1257" s="85" t="s">
        <v>6589</v>
      </c>
      <c r="L1257" s="85" t="s">
        <v>4135</v>
      </c>
      <c r="M1257" s="85" t="s">
        <v>6714</v>
      </c>
    </row>
    <row r="1258" ht="213.75" spans="1:13">
      <c r="A1258" s="85" t="s">
        <v>6588</v>
      </c>
      <c r="B1258" s="85" t="s">
        <v>3048</v>
      </c>
      <c r="C1258" s="85" t="s">
        <v>3049</v>
      </c>
      <c r="D1258" s="85" t="s">
        <v>2982</v>
      </c>
      <c r="E1258" s="85" t="s">
        <v>3050</v>
      </c>
      <c r="F1258" s="86">
        <v>4.5</v>
      </c>
      <c r="G1258" s="86">
        <v>100</v>
      </c>
      <c r="H1258" s="86">
        <v>450</v>
      </c>
      <c r="I1258" s="86">
        <v>4334.12</v>
      </c>
      <c r="J1258" s="85" t="s">
        <v>2958</v>
      </c>
      <c r="K1258" s="85" t="s">
        <v>6589</v>
      </c>
      <c r="L1258" s="85" t="s">
        <v>4135</v>
      </c>
      <c r="M1258" s="85" t="s">
        <v>6715</v>
      </c>
    </row>
    <row r="1259" ht="213.75" spans="1:13">
      <c r="A1259" s="85" t="s">
        <v>6594</v>
      </c>
      <c r="B1259" s="85" t="s">
        <v>3228</v>
      </c>
      <c r="C1259" s="85" t="s">
        <v>3229</v>
      </c>
      <c r="D1259" s="85" t="s">
        <v>3230</v>
      </c>
      <c r="E1259" s="85" t="s">
        <v>3229</v>
      </c>
      <c r="F1259" s="86">
        <v>6.54</v>
      </c>
      <c r="G1259" s="86">
        <v>4</v>
      </c>
      <c r="H1259" s="86">
        <v>26.16</v>
      </c>
      <c r="I1259" s="86">
        <v>17048.02</v>
      </c>
      <c r="J1259" s="85" t="s">
        <v>2965</v>
      </c>
      <c r="K1259" s="85" t="s">
        <v>6589</v>
      </c>
      <c r="L1259" s="85" t="s">
        <v>4135</v>
      </c>
      <c r="M1259" s="85" t="s">
        <v>6716</v>
      </c>
    </row>
    <row r="1260" ht="213.75" spans="1:13">
      <c r="A1260" s="85" t="s">
        <v>6594</v>
      </c>
      <c r="B1260" s="85" t="s">
        <v>5989</v>
      </c>
      <c r="C1260" s="85" t="s">
        <v>5990</v>
      </c>
      <c r="D1260" s="85" t="s">
        <v>5991</v>
      </c>
      <c r="E1260" s="85" t="s">
        <v>5990</v>
      </c>
      <c r="F1260" s="86">
        <v>34.99</v>
      </c>
      <c r="G1260" s="86">
        <v>1</v>
      </c>
      <c r="H1260" s="86">
        <v>34.99</v>
      </c>
      <c r="I1260" s="86">
        <v>17048.02</v>
      </c>
      <c r="J1260" s="85" t="s">
        <v>2965</v>
      </c>
      <c r="K1260" s="85" t="s">
        <v>6589</v>
      </c>
      <c r="L1260" s="85" t="s">
        <v>4135</v>
      </c>
      <c r="M1260" s="85" t="s">
        <v>6717</v>
      </c>
    </row>
    <row r="1261" ht="213.75" spans="1:13">
      <c r="A1261" s="85" t="s">
        <v>6697</v>
      </c>
      <c r="B1261" s="85" t="s">
        <v>5926</v>
      </c>
      <c r="C1261" s="85" t="s">
        <v>5927</v>
      </c>
      <c r="D1261" s="85" t="s">
        <v>5909</v>
      </c>
      <c r="E1261" s="85" t="s">
        <v>5910</v>
      </c>
      <c r="F1261" s="86">
        <v>98</v>
      </c>
      <c r="G1261" s="86">
        <v>20</v>
      </c>
      <c r="H1261" s="86">
        <v>1960</v>
      </c>
      <c r="I1261" s="86">
        <v>6460</v>
      </c>
      <c r="J1261" s="85" t="s">
        <v>2999</v>
      </c>
      <c r="K1261" s="85" t="s">
        <v>6589</v>
      </c>
      <c r="L1261" s="85" t="s">
        <v>4135</v>
      </c>
      <c r="M1261" s="85" t="s">
        <v>6718</v>
      </c>
    </row>
    <row r="1262" ht="213.75" spans="1:13">
      <c r="A1262" s="85" t="s">
        <v>6594</v>
      </c>
      <c r="B1262" s="85" t="s">
        <v>6248</v>
      </c>
      <c r="C1262" s="85" t="s">
        <v>6249</v>
      </c>
      <c r="D1262" s="85" t="s">
        <v>6250</v>
      </c>
      <c r="E1262" s="85" t="s">
        <v>6249</v>
      </c>
      <c r="F1262" s="86">
        <v>8.79</v>
      </c>
      <c r="G1262" s="86">
        <v>10</v>
      </c>
      <c r="H1262" s="86">
        <v>87.9</v>
      </c>
      <c r="I1262" s="86">
        <v>17048.02</v>
      </c>
      <c r="J1262" s="85" t="s">
        <v>2965</v>
      </c>
      <c r="K1262" s="85" t="s">
        <v>6589</v>
      </c>
      <c r="L1262" s="85" t="s">
        <v>4135</v>
      </c>
      <c r="M1262" s="85" t="s">
        <v>6719</v>
      </c>
    </row>
    <row r="1263" ht="213.75" spans="1:13">
      <c r="A1263" s="85" t="s">
        <v>6720</v>
      </c>
      <c r="B1263" s="85" t="s">
        <v>6335</v>
      </c>
      <c r="C1263" s="85" t="s">
        <v>6336</v>
      </c>
      <c r="D1263" s="85" t="s">
        <v>3189</v>
      </c>
      <c r="E1263" s="85" t="s">
        <v>6337</v>
      </c>
      <c r="F1263" s="86">
        <v>27</v>
      </c>
      <c r="G1263" s="86">
        <v>260</v>
      </c>
      <c r="H1263" s="86">
        <v>7020</v>
      </c>
      <c r="I1263" s="86">
        <v>7020</v>
      </c>
      <c r="J1263" s="85" t="s">
        <v>3314</v>
      </c>
      <c r="K1263" s="85" t="s">
        <v>6721</v>
      </c>
      <c r="L1263" s="85" t="s">
        <v>4135</v>
      </c>
      <c r="M1263" s="85" t="s">
        <v>6722</v>
      </c>
    </row>
    <row r="1264" ht="213.75" spans="1:13">
      <c r="A1264" s="85" t="s">
        <v>6723</v>
      </c>
      <c r="B1264" s="85" t="s">
        <v>4655</v>
      </c>
      <c r="C1264" s="85" t="s">
        <v>4656</v>
      </c>
      <c r="D1264" s="85" t="s">
        <v>4657</v>
      </c>
      <c r="E1264" s="85" t="s">
        <v>4656</v>
      </c>
      <c r="F1264" s="86">
        <v>2800</v>
      </c>
      <c r="G1264" s="86">
        <v>1</v>
      </c>
      <c r="H1264" s="86">
        <v>2800</v>
      </c>
      <c r="I1264" s="86">
        <v>2800</v>
      </c>
      <c r="J1264" s="85" t="s">
        <v>6724</v>
      </c>
      <c r="K1264" s="85" t="s">
        <v>6725</v>
      </c>
      <c r="L1264" s="85" t="s">
        <v>4135</v>
      </c>
      <c r="M1264" s="85" t="s">
        <v>6726</v>
      </c>
    </row>
    <row r="1265" ht="213.75" spans="1:13">
      <c r="A1265" s="85" t="s">
        <v>6727</v>
      </c>
      <c r="B1265" s="85" t="s">
        <v>4155</v>
      </c>
      <c r="C1265" s="85" t="s">
        <v>4156</v>
      </c>
      <c r="D1265" s="85" t="s">
        <v>4157</v>
      </c>
      <c r="E1265" s="85" t="s">
        <v>4156</v>
      </c>
      <c r="F1265" s="86">
        <v>49250</v>
      </c>
      <c r="G1265" s="86">
        <v>1</v>
      </c>
      <c r="H1265" s="86">
        <v>49250</v>
      </c>
      <c r="I1265" s="86">
        <v>49250</v>
      </c>
      <c r="J1265" s="85" t="s">
        <v>4158</v>
      </c>
      <c r="K1265" s="85" t="s">
        <v>6728</v>
      </c>
      <c r="L1265" s="85" t="s">
        <v>4135</v>
      </c>
      <c r="M1265" s="85" t="s">
        <v>6729</v>
      </c>
    </row>
    <row r="1266" ht="213.75" spans="1:13">
      <c r="A1266" s="85" t="s">
        <v>6730</v>
      </c>
      <c r="B1266" s="85" t="s">
        <v>4047</v>
      </c>
      <c r="C1266" s="85" t="s">
        <v>4048</v>
      </c>
      <c r="D1266" s="85" t="s">
        <v>4049</v>
      </c>
      <c r="E1266" s="85" t="s">
        <v>4048</v>
      </c>
      <c r="F1266" s="86">
        <v>24000</v>
      </c>
      <c r="G1266" s="86">
        <v>1</v>
      </c>
      <c r="H1266" s="86">
        <v>24000</v>
      </c>
      <c r="I1266" s="86">
        <v>24000</v>
      </c>
      <c r="J1266" s="85" t="s">
        <v>4058</v>
      </c>
      <c r="K1266" s="85" t="s">
        <v>6731</v>
      </c>
      <c r="L1266" s="85" t="s">
        <v>4135</v>
      </c>
      <c r="M1266" s="85" t="s">
        <v>6732</v>
      </c>
    </row>
    <row r="1267" ht="213.75" spans="1:13">
      <c r="A1267" s="85" t="s">
        <v>6733</v>
      </c>
      <c r="B1267" s="85" t="s">
        <v>2901</v>
      </c>
      <c r="C1267" s="85" t="s">
        <v>2902</v>
      </c>
      <c r="D1267" s="85" t="s">
        <v>2903</v>
      </c>
      <c r="E1267" s="85" t="s">
        <v>2902</v>
      </c>
      <c r="F1267" s="86">
        <v>35570</v>
      </c>
      <c r="G1267" s="86">
        <v>1</v>
      </c>
      <c r="H1267" s="86">
        <v>35570</v>
      </c>
      <c r="I1267" s="86">
        <v>35570</v>
      </c>
      <c r="J1267" s="85" t="s">
        <v>6734</v>
      </c>
      <c r="K1267" s="85" t="s">
        <v>6735</v>
      </c>
      <c r="L1267" s="85" t="s">
        <v>4135</v>
      </c>
      <c r="M1267" s="85" t="s">
        <v>6736</v>
      </c>
    </row>
    <row r="1268" ht="213.75" spans="1:13">
      <c r="A1268" s="85" t="s">
        <v>6737</v>
      </c>
      <c r="B1268" s="85" t="s">
        <v>6738</v>
      </c>
      <c r="C1268" s="85" t="s">
        <v>6739</v>
      </c>
      <c r="D1268" s="85" t="s">
        <v>4596</v>
      </c>
      <c r="E1268" s="85" t="s">
        <v>4226</v>
      </c>
      <c r="F1268" s="86">
        <v>9.9</v>
      </c>
      <c r="G1268" s="86">
        <v>15</v>
      </c>
      <c r="H1268" s="86">
        <v>148.5</v>
      </c>
      <c r="I1268" s="86">
        <v>454.5</v>
      </c>
      <c r="J1268" s="85" t="s">
        <v>2958</v>
      </c>
      <c r="K1268" s="85" t="s">
        <v>6740</v>
      </c>
      <c r="L1268" s="85" t="s">
        <v>4135</v>
      </c>
      <c r="M1268" s="85" t="s">
        <v>6741</v>
      </c>
    </row>
    <row r="1269" ht="213.75" spans="1:13">
      <c r="A1269" s="85" t="s">
        <v>6742</v>
      </c>
      <c r="B1269" s="85" t="s">
        <v>6743</v>
      </c>
      <c r="C1269" s="85" t="s">
        <v>6744</v>
      </c>
      <c r="D1269" s="85" t="s">
        <v>6745</v>
      </c>
      <c r="E1269" s="85" t="s">
        <v>6746</v>
      </c>
      <c r="F1269" s="86">
        <v>180</v>
      </c>
      <c r="G1269" s="86">
        <v>4</v>
      </c>
      <c r="H1269" s="86">
        <v>720</v>
      </c>
      <c r="I1269" s="86">
        <v>2480</v>
      </c>
      <c r="J1269" s="85" t="s">
        <v>3031</v>
      </c>
      <c r="K1269" s="85" t="s">
        <v>6740</v>
      </c>
      <c r="L1269" s="85" t="s">
        <v>4135</v>
      </c>
      <c r="M1269" s="85" t="s">
        <v>6747</v>
      </c>
    </row>
    <row r="1270" ht="213.75" spans="1:13">
      <c r="A1270" s="85" t="s">
        <v>6737</v>
      </c>
      <c r="B1270" s="85" t="s">
        <v>5179</v>
      </c>
      <c r="C1270" s="85" t="s">
        <v>5180</v>
      </c>
      <c r="D1270" s="85" t="s">
        <v>2977</v>
      </c>
      <c r="E1270" s="85" t="s">
        <v>5181</v>
      </c>
      <c r="F1270" s="86">
        <v>50</v>
      </c>
      <c r="G1270" s="86">
        <v>1</v>
      </c>
      <c r="H1270" s="86">
        <v>50</v>
      </c>
      <c r="I1270" s="86">
        <v>454.5</v>
      </c>
      <c r="J1270" s="85" t="s">
        <v>2958</v>
      </c>
      <c r="K1270" s="85" t="s">
        <v>6740</v>
      </c>
      <c r="L1270" s="85" t="s">
        <v>4135</v>
      </c>
      <c r="M1270" s="85" t="s">
        <v>6748</v>
      </c>
    </row>
    <row r="1271" ht="213.75" spans="1:13">
      <c r="A1271" s="85" t="s">
        <v>6737</v>
      </c>
      <c r="B1271" s="85" t="s">
        <v>6749</v>
      </c>
      <c r="C1271" s="85" t="s">
        <v>6750</v>
      </c>
      <c r="D1271" s="85" t="s">
        <v>3241</v>
      </c>
      <c r="E1271" s="85" t="s">
        <v>6751</v>
      </c>
      <c r="F1271" s="86">
        <v>50</v>
      </c>
      <c r="G1271" s="86">
        <v>2</v>
      </c>
      <c r="H1271" s="86">
        <v>100</v>
      </c>
      <c r="I1271" s="86">
        <v>454.5</v>
      </c>
      <c r="J1271" s="85" t="s">
        <v>2958</v>
      </c>
      <c r="K1271" s="85" t="s">
        <v>6740</v>
      </c>
      <c r="L1271" s="85" t="s">
        <v>4135</v>
      </c>
      <c r="M1271" s="85" t="s">
        <v>6752</v>
      </c>
    </row>
    <row r="1272" ht="213.75" spans="1:13">
      <c r="A1272" s="85" t="s">
        <v>6753</v>
      </c>
      <c r="B1272" s="85" t="s">
        <v>6754</v>
      </c>
      <c r="C1272" s="85" t="s">
        <v>6755</v>
      </c>
      <c r="D1272" s="85" t="s">
        <v>3367</v>
      </c>
      <c r="E1272" s="85" t="s">
        <v>6755</v>
      </c>
      <c r="F1272" s="86">
        <v>20.02</v>
      </c>
      <c r="G1272" s="86">
        <v>3</v>
      </c>
      <c r="H1272" s="86">
        <v>60.06</v>
      </c>
      <c r="I1272" s="86">
        <v>60.06</v>
      </c>
      <c r="J1272" s="85" t="s">
        <v>2965</v>
      </c>
      <c r="K1272" s="85" t="s">
        <v>6740</v>
      </c>
      <c r="L1272" s="85" t="s">
        <v>4135</v>
      </c>
      <c r="M1272" s="85" t="s">
        <v>6756</v>
      </c>
    </row>
    <row r="1273" ht="213.75" spans="1:13">
      <c r="A1273" s="85" t="s">
        <v>6737</v>
      </c>
      <c r="B1273" s="85" t="s">
        <v>6757</v>
      </c>
      <c r="C1273" s="85" t="s">
        <v>6758</v>
      </c>
      <c r="D1273" s="85" t="s">
        <v>4596</v>
      </c>
      <c r="E1273" s="85" t="s">
        <v>4226</v>
      </c>
      <c r="F1273" s="86">
        <v>7.8</v>
      </c>
      <c r="G1273" s="86">
        <v>20</v>
      </c>
      <c r="H1273" s="86">
        <v>156</v>
      </c>
      <c r="I1273" s="86">
        <v>454.5</v>
      </c>
      <c r="J1273" s="85" t="s">
        <v>2958</v>
      </c>
      <c r="K1273" s="85" t="s">
        <v>6740</v>
      </c>
      <c r="L1273" s="85" t="s">
        <v>4135</v>
      </c>
      <c r="M1273" s="85" t="s">
        <v>6759</v>
      </c>
    </row>
    <row r="1274" ht="213.75" spans="1:13">
      <c r="A1274" s="85" t="s">
        <v>6742</v>
      </c>
      <c r="B1274" s="85" t="s">
        <v>5280</v>
      </c>
      <c r="C1274" s="85" t="s">
        <v>5281</v>
      </c>
      <c r="D1274" s="85" t="s">
        <v>5282</v>
      </c>
      <c r="E1274" s="85" t="s">
        <v>5283</v>
      </c>
      <c r="F1274" s="86">
        <v>28</v>
      </c>
      <c r="G1274" s="86">
        <v>20</v>
      </c>
      <c r="H1274" s="86">
        <v>560</v>
      </c>
      <c r="I1274" s="86">
        <v>2480</v>
      </c>
      <c r="J1274" s="85" t="s">
        <v>3031</v>
      </c>
      <c r="K1274" s="85" t="s">
        <v>6740</v>
      </c>
      <c r="L1274" s="85" t="s">
        <v>4135</v>
      </c>
      <c r="M1274" s="85" t="s">
        <v>6760</v>
      </c>
    </row>
    <row r="1275" ht="213.75" spans="1:13">
      <c r="A1275" s="85" t="s">
        <v>6742</v>
      </c>
      <c r="B1275" s="85" t="s">
        <v>6761</v>
      </c>
      <c r="C1275" s="85" t="s">
        <v>6762</v>
      </c>
      <c r="D1275" s="85" t="s">
        <v>6763</v>
      </c>
      <c r="E1275" s="85" t="s">
        <v>6764</v>
      </c>
      <c r="F1275" s="86">
        <v>25</v>
      </c>
      <c r="G1275" s="86">
        <v>48</v>
      </c>
      <c r="H1275" s="86">
        <v>1200</v>
      </c>
      <c r="I1275" s="86">
        <v>2480</v>
      </c>
      <c r="J1275" s="85" t="s">
        <v>3031</v>
      </c>
      <c r="K1275" s="85" t="s">
        <v>6740</v>
      </c>
      <c r="L1275" s="85" t="s">
        <v>4135</v>
      </c>
      <c r="M1275" s="85" t="s">
        <v>6765</v>
      </c>
    </row>
    <row r="1276" ht="213.75" spans="1:13">
      <c r="A1276" s="85" t="s">
        <v>6766</v>
      </c>
      <c r="B1276" s="85" t="s">
        <v>2901</v>
      </c>
      <c r="C1276" s="85" t="s">
        <v>2902</v>
      </c>
      <c r="D1276" s="85" t="s">
        <v>2903</v>
      </c>
      <c r="E1276" s="85" t="s">
        <v>2902</v>
      </c>
      <c r="F1276" s="86">
        <v>12597.13</v>
      </c>
      <c r="G1276" s="86">
        <v>1</v>
      </c>
      <c r="H1276" s="86">
        <v>12597.13</v>
      </c>
      <c r="I1276" s="86">
        <v>12597.13</v>
      </c>
      <c r="J1276" s="85" t="s">
        <v>5093</v>
      </c>
      <c r="K1276" s="85" t="s">
        <v>6767</v>
      </c>
      <c r="L1276" s="85" t="s">
        <v>4135</v>
      </c>
      <c r="M1276" s="85" t="s">
        <v>6768</v>
      </c>
    </row>
    <row r="1277" ht="213.75" spans="1:13">
      <c r="A1277" s="85" t="s">
        <v>6769</v>
      </c>
      <c r="B1277" s="85" t="s">
        <v>2901</v>
      </c>
      <c r="C1277" s="85" t="s">
        <v>2902</v>
      </c>
      <c r="D1277" s="85" t="s">
        <v>2903</v>
      </c>
      <c r="E1277" s="85" t="s">
        <v>2902</v>
      </c>
      <c r="F1277" s="86">
        <v>12669</v>
      </c>
      <c r="G1277" s="86">
        <v>1</v>
      </c>
      <c r="H1277" s="86">
        <v>12669</v>
      </c>
      <c r="I1277" s="86">
        <v>12669</v>
      </c>
      <c r="J1277" s="85" t="s">
        <v>6770</v>
      </c>
      <c r="K1277" s="85" t="s">
        <v>6771</v>
      </c>
      <c r="L1277" s="85" t="s">
        <v>4135</v>
      </c>
      <c r="M1277" s="85" t="s">
        <v>6772</v>
      </c>
    </row>
    <row r="1278" ht="213.75" spans="1:13">
      <c r="A1278" s="85" t="s">
        <v>6773</v>
      </c>
      <c r="B1278" s="85" t="s">
        <v>3509</v>
      </c>
      <c r="C1278" s="85" t="s">
        <v>3510</v>
      </c>
      <c r="D1278" s="85" t="s">
        <v>3511</v>
      </c>
      <c r="E1278" s="85" t="s">
        <v>3510</v>
      </c>
      <c r="F1278" s="86">
        <v>4929</v>
      </c>
      <c r="G1278" s="86">
        <v>1</v>
      </c>
      <c r="H1278" s="86">
        <v>4929</v>
      </c>
      <c r="I1278" s="86">
        <v>4929</v>
      </c>
      <c r="J1278" s="85" t="s">
        <v>5678</v>
      </c>
      <c r="K1278" s="85" t="s">
        <v>6774</v>
      </c>
      <c r="L1278" s="85" t="s">
        <v>4135</v>
      </c>
      <c r="M1278" s="85" t="s">
        <v>6775</v>
      </c>
    </row>
    <row r="1279" ht="213.75" spans="1:13">
      <c r="A1279" s="85" t="s">
        <v>6776</v>
      </c>
      <c r="B1279" s="85" t="s">
        <v>4131</v>
      </c>
      <c r="C1279" s="85" t="s">
        <v>4132</v>
      </c>
      <c r="D1279" s="85" t="s">
        <v>4133</v>
      </c>
      <c r="E1279" s="85" t="s">
        <v>4132</v>
      </c>
      <c r="F1279" s="86">
        <v>28000</v>
      </c>
      <c r="G1279" s="86">
        <v>1</v>
      </c>
      <c r="H1279" s="86">
        <v>28000</v>
      </c>
      <c r="I1279" s="86">
        <v>28000</v>
      </c>
      <c r="J1279" s="85" t="s">
        <v>3898</v>
      </c>
      <c r="K1279" s="85" t="s">
        <v>6777</v>
      </c>
      <c r="L1279" s="85" t="s">
        <v>4135</v>
      </c>
      <c r="M1279" s="85" t="s">
        <v>6778</v>
      </c>
    </row>
    <row r="1280" ht="213.75" spans="1:13">
      <c r="A1280" s="85" t="s">
        <v>6779</v>
      </c>
      <c r="B1280" s="85" t="s">
        <v>4148</v>
      </c>
      <c r="C1280" s="85" t="s">
        <v>4149</v>
      </c>
      <c r="D1280" s="85" t="s">
        <v>4150</v>
      </c>
      <c r="E1280" s="85" t="s">
        <v>4149</v>
      </c>
      <c r="F1280" s="86">
        <v>58800</v>
      </c>
      <c r="G1280" s="86">
        <v>1</v>
      </c>
      <c r="H1280" s="86">
        <v>58800</v>
      </c>
      <c r="I1280" s="86">
        <v>58800</v>
      </c>
      <c r="J1280" s="85" t="s">
        <v>4151</v>
      </c>
      <c r="K1280" s="85" t="s">
        <v>6780</v>
      </c>
      <c r="L1280" s="85" t="s">
        <v>4135</v>
      </c>
      <c r="M1280" s="85" t="s">
        <v>6781</v>
      </c>
    </row>
    <row r="1281" ht="213.75" spans="1:13">
      <c r="A1281" s="85" t="s">
        <v>6782</v>
      </c>
      <c r="B1281" s="85" t="s">
        <v>6783</v>
      </c>
      <c r="C1281" s="85" t="s">
        <v>6784</v>
      </c>
      <c r="D1281" s="85" t="s">
        <v>6785</v>
      </c>
      <c r="E1281" s="85" t="s">
        <v>6784</v>
      </c>
      <c r="F1281" s="86">
        <v>45240</v>
      </c>
      <c r="G1281" s="86">
        <v>1</v>
      </c>
      <c r="H1281" s="86">
        <v>45240</v>
      </c>
      <c r="I1281" s="86">
        <v>45240</v>
      </c>
      <c r="J1281" s="85" t="s">
        <v>3805</v>
      </c>
      <c r="K1281" s="85" t="s">
        <v>6786</v>
      </c>
      <c r="L1281" s="85" t="s">
        <v>4135</v>
      </c>
      <c r="M1281" s="85" t="s">
        <v>6787</v>
      </c>
    </row>
    <row r="1282" ht="213.75" spans="1:13">
      <c r="A1282" s="85" t="s">
        <v>6788</v>
      </c>
      <c r="B1282" s="85" t="s">
        <v>4166</v>
      </c>
      <c r="C1282" s="85" t="s">
        <v>4167</v>
      </c>
      <c r="D1282" s="85" t="s">
        <v>4168</v>
      </c>
      <c r="E1282" s="85" t="s">
        <v>4167</v>
      </c>
      <c r="F1282" s="86">
        <v>35139</v>
      </c>
      <c r="G1282" s="86">
        <v>1</v>
      </c>
      <c r="H1282" s="86">
        <v>35139</v>
      </c>
      <c r="I1282" s="86">
        <v>35139</v>
      </c>
      <c r="J1282" s="85" t="s">
        <v>6789</v>
      </c>
      <c r="K1282" s="85" t="s">
        <v>6790</v>
      </c>
      <c r="L1282" s="85" t="s">
        <v>4135</v>
      </c>
      <c r="M1282" s="85" t="s">
        <v>6791</v>
      </c>
    </row>
    <row r="1283" ht="213.75" spans="1:13">
      <c r="A1283" s="85" t="s">
        <v>6792</v>
      </c>
      <c r="B1283" s="85" t="s">
        <v>6793</v>
      </c>
      <c r="C1283" s="85" t="s">
        <v>6794</v>
      </c>
      <c r="D1283" s="85" t="s">
        <v>6795</v>
      </c>
      <c r="E1283" s="85" t="s">
        <v>6796</v>
      </c>
      <c r="F1283" s="86">
        <v>1.5</v>
      </c>
      <c r="G1283" s="86">
        <v>400</v>
      </c>
      <c r="H1283" s="86">
        <v>600</v>
      </c>
      <c r="I1283" s="86">
        <v>29835</v>
      </c>
      <c r="J1283" s="85" t="s">
        <v>2935</v>
      </c>
      <c r="K1283" s="85" t="s">
        <v>6797</v>
      </c>
      <c r="L1283" s="85" t="s">
        <v>4135</v>
      </c>
      <c r="M1283" s="85" t="s">
        <v>6798</v>
      </c>
    </row>
    <row r="1284" ht="213.75" spans="1:13">
      <c r="A1284" s="85" t="s">
        <v>6792</v>
      </c>
      <c r="B1284" s="85" t="s">
        <v>6799</v>
      </c>
      <c r="C1284" s="85" t="s">
        <v>6800</v>
      </c>
      <c r="D1284" s="85" t="s">
        <v>5510</v>
      </c>
      <c r="E1284" s="85" t="s">
        <v>1782</v>
      </c>
      <c r="F1284" s="86">
        <v>9.9</v>
      </c>
      <c r="G1284" s="86">
        <v>50</v>
      </c>
      <c r="H1284" s="86">
        <v>495</v>
      </c>
      <c r="I1284" s="86">
        <v>29835</v>
      </c>
      <c r="J1284" s="85" t="s">
        <v>2935</v>
      </c>
      <c r="K1284" s="85" t="s">
        <v>6797</v>
      </c>
      <c r="L1284" s="85" t="s">
        <v>4135</v>
      </c>
      <c r="M1284" s="85" t="s">
        <v>6801</v>
      </c>
    </row>
    <row r="1285" ht="213.75" spans="1:13">
      <c r="A1285" s="85" t="s">
        <v>6792</v>
      </c>
      <c r="B1285" s="85" t="s">
        <v>6802</v>
      </c>
      <c r="C1285" s="85" t="s">
        <v>6803</v>
      </c>
      <c r="D1285" s="85" t="s">
        <v>3189</v>
      </c>
      <c r="E1285" s="85" t="s">
        <v>6804</v>
      </c>
      <c r="F1285" s="86">
        <v>63</v>
      </c>
      <c r="G1285" s="86">
        <v>10</v>
      </c>
      <c r="H1285" s="86">
        <v>630</v>
      </c>
      <c r="I1285" s="86">
        <v>29835</v>
      </c>
      <c r="J1285" s="85" t="s">
        <v>2935</v>
      </c>
      <c r="K1285" s="85" t="s">
        <v>6797</v>
      </c>
      <c r="L1285" s="85" t="s">
        <v>4135</v>
      </c>
      <c r="M1285" s="85" t="s">
        <v>6805</v>
      </c>
    </row>
    <row r="1286" ht="213.75" spans="1:13">
      <c r="A1286" s="85" t="s">
        <v>6792</v>
      </c>
      <c r="B1286" s="85" t="s">
        <v>6806</v>
      </c>
      <c r="C1286" s="85" t="s">
        <v>6807</v>
      </c>
      <c r="D1286" s="85" t="s">
        <v>3189</v>
      </c>
      <c r="E1286" s="85" t="s">
        <v>6804</v>
      </c>
      <c r="F1286" s="86">
        <v>120</v>
      </c>
      <c r="G1286" s="86">
        <v>2</v>
      </c>
      <c r="H1286" s="86">
        <v>240</v>
      </c>
      <c r="I1286" s="86">
        <v>29835</v>
      </c>
      <c r="J1286" s="85" t="s">
        <v>2935</v>
      </c>
      <c r="K1286" s="85" t="s">
        <v>6797</v>
      </c>
      <c r="L1286" s="85" t="s">
        <v>4135</v>
      </c>
      <c r="M1286" s="85" t="s">
        <v>6808</v>
      </c>
    </row>
    <row r="1287" ht="213.75" spans="1:13">
      <c r="A1287" s="85" t="s">
        <v>6792</v>
      </c>
      <c r="B1287" s="85" t="s">
        <v>6809</v>
      </c>
      <c r="C1287" s="85" t="s">
        <v>6810</v>
      </c>
      <c r="D1287" s="85" t="s">
        <v>6811</v>
      </c>
      <c r="E1287" s="85" t="s">
        <v>6812</v>
      </c>
      <c r="F1287" s="86">
        <v>45</v>
      </c>
      <c r="G1287" s="86">
        <v>1</v>
      </c>
      <c r="H1287" s="86">
        <v>45</v>
      </c>
      <c r="I1287" s="86">
        <v>29835</v>
      </c>
      <c r="J1287" s="85" t="s">
        <v>2935</v>
      </c>
      <c r="K1287" s="85" t="s">
        <v>6797</v>
      </c>
      <c r="L1287" s="85" t="s">
        <v>4135</v>
      </c>
      <c r="M1287" s="85" t="s">
        <v>6813</v>
      </c>
    </row>
    <row r="1288" ht="213.75" spans="1:13">
      <c r="A1288" s="85" t="s">
        <v>6792</v>
      </c>
      <c r="B1288" s="85" t="s">
        <v>6814</v>
      </c>
      <c r="C1288" s="85" t="s">
        <v>6815</v>
      </c>
      <c r="D1288" s="85" t="s">
        <v>5302</v>
      </c>
      <c r="E1288" s="85" t="s">
        <v>6816</v>
      </c>
      <c r="F1288" s="86">
        <v>65</v>
      </c>
      <c r="G1288" s="86">
        <v>5</v>
      </c>
      <c r="H1288" s="86">
        <v>325</v>
      </c>
      <c r="I1288" s="86">
        <v>29835</v>
      </c>
      <c r="J1288" s="85" t="s">
        <v>2935</v>
      </c>
      <c r="K1288" s="85" t="s">
        <v>6797</v>
      </c>
      <c r="L1288" s="85" t="s">
        <v>4135</v>
      </c>
      <c r="M1288" s="85" t="s">
        <v>6817</v>
      </c>
    </row>
    <row r="1289" ht="213.75" spans="1:13">
      <c r="A1289" s="85" t="s">
        <v>6792</v>
      </c>
      <c r="B1289" s="85" t="s">
        <v>6818</v>
      </c>
      <c r="C1289" s="85" t="s">
        <v>6819</v>
      </c>
      <c r="D1289" s="85" t="s">
        <v>6795</v>
      </c>
      <c r="E1289" s="85" t="s">
        <v>1558</v>
      </c>
      <c r="F1289" s="86">
        <v>0.9</v>
      </c>
      <c r="G1289" s="86">
        <v>160</v>
      </c>
      <c r="H1289" s="86">
        <v>144</v>
      </c>
      <c r="I1289" s="86">
        <v>29835</v>
      </c>
      <c r="J1289" s="85" t="s">
        <v>2935</v>
      </c>
      <c r="K1289" s="85" t="s">
        <v>6797</v>
      </c>
      <c r="L1289" s="85" t="s">
        <v>4135</v>
      </c>
      <c r="M1289" s="85" t="s">
        <v>6820</v>
      </c>
    </row>
    <row r="1290" ht="213.75" spans="1:13">
      <c r="A1290" s="85" t="s">
        <v>6792</v>
      </c>
      <c r="B1290" s="85" t="s">
        <v>5138</v>
      </c>
      <c r="C1290" s="85" t="s">
        <v>5139</v>
      </c>
      <c r="D1290" s="85" t="s">
        <v>5140</v>
      </c>
      <c r="E1290" s="85" t="s">
        <v>5139</v>
      </c>
      <c r="F1290" s="86">
        <v>4.9</v>
      </c>
      <c r="G1290" s="86">
        <v>100</v>
      </c>
      <c r="H1290" s="86">
        <v>490</v>
      </c>
      <c r="I1290" s="86">
        <v>29835</v>
      </c>
      <c r="J1290" s="85" t="s">
        <v>2935</v>
      </c>
      <c r="K1290" s="85" t="s">
        <v>6797</v>
      </c>
      <c r="L1290" s="85" t="s">
        <v>4135</v>
      </c>
      <c r="M1290" s="85" t="s">
        <v>6821</v>
      </c>
    </row>
    <row r="1291" ht="213.75" spans="1:13">
      <c r="A1291" s="85" t="s">
        <v>6792</v>
      </c>
      <c r="B1291" s="85" t="s">
        <v>6822</v>
      </c>
      <c r="C1291" s="85" t="s">
        <v>6823</v>
      </c>
      <c r="D1291" s="85" t="s">
        <v>6824</v>
      </c>
      <c r="E1291" s="85" t="s">
        <v>6825</v>
      </c>
      <c r="F1291" s="86">
        <v>150</v>
      </c>
      <c r="G1291" s="86">
        <v>30</v>
      </c>
      <c r="H1291" s="86">
        <v>4500</v>
      </c>
      <c r="I1291" s="86">
        <v>29835</v>
      </c>
      <c r="J1291" s="85" t="s">
        <v>2935</v>
      </c>
      <c r="K1291" s="85" t="s">
        <v>6797</v>
      </c>
      <c r="L1291" s="85" t="s">
        <v>4135</v>
      </c>
      <c r="M1291" s="85" t="s">
        <v>6826</v>
      </c>
    </row>
    <row r="1292" ht="213.75" spans="1:13">
      <c r="A1292" s="85" t="s">
        <v>6792</v>
      </c>
      <c r="B1292" s="85" t="s">
        <v>6827</v>
      </c>
      <c r="C1292" s="85" t="s">
        <v>6828</v>
      </c>
      <c r="D1292" s="85" t="s">
        <v>3959</v>
      </c>
      <c r="E1292" s="85" t="s">
        <v>6829</v>
      </c>
      <c r="F1292" s="86">
        <v>130</v>
      </c>
      <c r="G1292" s="86">
        <v>1</v>
      </c>
      <c r="H1292" s="86">
        <v>130</v>
      </c>
      <c r="I1292" s="86">
        <v>29835</v>
      </c>
      <c r="J1292" s="85" t="s">
        <v>2935</v>
      </c>
      <c r="K1292" s="85" t="s">
        <v>6797</v>
      </c>
      <c r="L1292" s="85" t="s">
        <v>4135</v>
      </c>
      <c r="M1292" s="85" t="s">
        <v>6830</v>
      </c>
    </row>
    <row r="1293" ht="213.75" spans="1:13">
      <c r="A1293" s="85" t="s">
        <v>6792</v>
      </c>
      <c r="B1293" s="85" t="s">
        <v>6831</v>
      </c>
      <c r="C1293" s="85" t="s">
        <v>6832</v>
      </c>
      <c r="D1293" s="85" t="s">
        <v>6795</v>
      </c>
      <c r="E1293" s="85" t="s">
        <v>6796</v>
      </c>
      <c r="F1293" s="86">
        <v>0.9</v>
      </c>
      <c r="G1293" s="86">
        <v>200</v>
      </c>
      <c r="H1293" s="86">
        <v>180</v>
      </c>
      <c r="I1293" s="86">
        <v>29835</v>
      </c>
      <c r="J1293" s="85" t="s">
        <v>2935</v>
      </c>
      <c r="K1293" s="85" t="s">
        <v>6797</v>
      </c>
      <c r="L1293" s="85" t="s">
        <v>4135</v>
      </c>
      <c r="M1293" s="85" t="s">
        <v>6833</v>
      </c>
    </row>
    <row r="1294" ht="213.75" spans="1:13">
      <c r="A1294" s="85" t="s">
        <v>6792</v>
      </c>
      <c r="B1294" s="85" t="s">
        <v>6834</v>
      </c>
      <c r="C1294" s="85" t="s">
        <v>6835</v>
      </c>
      <c r="D1294" s="85" t="s">
        <v>5131</v>
      </c>
      <c r="E1294" s="85" t="s">
        <v>5132</v>
      </c>
      <c r="F1294" s="86">
        <v>24</v>
      </c>
      <c r="G1294" s="86">
        <v>15</v>
      </c>
      <c r="H1294" s="86">
        <v>360</v>
      </c>
      <c r="I1294" s="86">
        <v>29835</v>
      </c>
      <c r="J1294" s="85" t="s">
        <v>2935</v>
      </c>
      <c r="K1294" s="85" t="s">
        <v>6797</v>
      </c>
      <c r="L1294" s="85" t="s">
        <v>4135</v>
      </c>
      <c r="M1294" s="85" t="s">
        <v>6836</v>
      </c>
    </row>
    <row r="1295" ht="213.75" spans="1:13">
      <c r="A1295" s="85" t="s">
        <v>6792</v>
      </c>
      <c r="B1295" s="85" t="s">
        <v>6837</v>
      </c>
      <c r="C1295" s="85" t="s">
        <v>6838</v>
      </c>
      <c r="D1295" s="85" t="s">
        <v>2992</v>
      </c>
      <c r="E1295" s="85" t="s">
        <v>6838</v>
      </c>
      <c r="F1295" s="86">
        <v>6</v>
      </c>
      <c r="G1295" s="86">
        <v>20</v>
      </c>
      <c r="H1295" s="86">
        <v>120</v>
      </c>
      <c r="I1295" s="86">
        <v>29835</v>
      </c>
      <c r="J1295" s="85" t="s">
        <v>2935</v>
      </c>
      <c r="K1295" s="85" t="s">
        <v>6797</v>
      </c>
      <c r="L1295" s="85" t="s">
        <v>4135</v>
      </c>
      <c r="M1295" s="85" t="s">
        <v>6839</v>
      </c>
    </row>
    <row r="1296" ht="213.75" spans="1:13">
      <c r="A1296" s="85" t="s">
        <v>6792</v>
      </c>
      <c r="B1296" s="85" t="s">
        <v>6840</v>
      </c>
      <c r="C1296" s="85" t="s">
        <v>6841</v>
      </c>
      <c r="D1296" s="85" t="s">
        <v>6795</v>
      </c>
      <c r="E1296" s="85" t="s">
        <v>6796</v>
      </c>
      <c r="F1296" s="86">
        <v>1.6</v>
      </c>
      <c r="G1296" s="86">
        <v>500</v>
      </c>
      <c r="H1296" s="86">
        <v>800</v>
      </c>
      <c r="I1296" s="86">
        <v>29835</v>
      </c>
      <c r="J1296" s="85" t="s">
        <v>2935</v>
      </c>
      <c r="K1296" s="85" t="s">
        <v>6797</v>
      </c>
      <c r="L1296" s="85" t="s">
        <v>4135</v>
      </c>
      <c r="M1296" s="85" t="s">
        <v>6842</v>
      </c>
    </row>
    <row r="1297" ht="213.75" spans="1:13">
      <c r="A1297" s="85" t="s">
        <v>6792</v>
      </c>
      <c r="B1297" s="85" t="s">
        <v>6843</v>
      </c>
      <c r="C1297" s="85" t="s">
        <v>6844</v>
      </c>
      <c r="D1297" s="85" t="s">
        <v>5144</v>
      </c>
      <c r="E1297" s="85" t="s">
        <v>6845</v>
      </c>
      <c r="F1297" s="86">
        <v>55</v>
      </c>
      <c r="G1297" s="86">
        <v>1</v>
      </c>
      <c r="H1297" s="86">
        <v>55</v>
      </c>
      <c r="I1297" s="86">
        <v>29835</v>
      </c>
      <c r="J1297" s="85" t="s">
        <v>2935</v>
      </c>
      <c r="K1297" s="85" t="s">
        <v>6797</v>
      </c>
      <c r="L1297" s="85" t="s">
        <v>4135</v>
      </c>
      <c r="M1297" s="85" t="s">
        <v>6846</v>
      </c>
    </row>
    <row r="1298" ht="213.75" spans="1:13">
      <c r="A1298" s="85" t="s">
        <v>6792</v>
      </c>
      <c r="B1298" s="85" t="s">
        <v>6847</v>
      </c>
      <c r="C1298" s="85" t="s">
        <v>6848</v>
      </c>
      <c r="D1298" s="85" t="s">
        <v>4911</v>
      </c>
      <c r="E1298" s="85" t="s">
        <v>4761</v>
      </c>
      <c r="F1298" s="86">
        <v>7.5</v>
      </c>
      <c r="G1298" s="86">
        <v>10</v>
      </c>
      <c r="H1298" s="86">
        <v>75</v>
      </c>
      <c r="I1298" s="86">
        <v>29835</v>
      </c>
      <c r="J1298" s="85" t="s">
        <v>2935</v>
      </c>
      <c r="K1298" s="85" t="s">
        <v>6797</v>
      </c>
      <c r="L1298" s="85" t="s">
        <v>4135</v>
      </c>
      <c r="M1298" s="85" t="s">
        <v>6849</v>
      </c>
    </row>
    <row r="1299" ht="213.75" spans="1:13">
      <c r="A1299" s="85" t="s">
        <v>6792</v>
      </c>
      <c r="B1299" s="85" t="s">
        <v>6850</v>
      </c>
      <c r="C1299" s="85" t="s">
        <v>6851</v>
      </c>
      <c r="D1299" s="85" t="s">
        <v>6852</v>
      </c>
      <c r="E1299" s="85" t="s">
        <v>6853</v>
      </c>
      <c r="F1299" s="86">
        <v>18.5</v>
      </c>
      <c r="G1299" s="86">
        <v>60</v>
      </c>
      <c r="H1299" s="86">
        <v>1110</v>
      </c>
      <c r="I1299" s="86">
        <v>29835</v>
      </c>
      <c r="J1299" s="85" t="s">
        <v>2935</v>
      </c>
      <c r="K1299" s="85" t="s">
        <v>6797</v>
      </c>
      <c r="L1299" s="85" t="s">
        <v>4135</v>
      </c>
      <c r="M1299" s="85" t="s">
        <v>6854</v>
      </c>
    </row>
    <row r="1300" ht="213.75" spans="1:13">
      <c r="A1300" s="85" t="s">
        <v>6792</v>
      </c>
      <c r="B1300" s="85" t="s">
        <v>6855</v>
      </c>
      <c r="C1300" s="85" t="s">
        <v>6856</v>
      </c>
      <c r="D1300" s="85" t="s">
        <v>3656</v>
      </c>
      <c r="E1300" s="85" t="s">
        <v>1789</v>
      </c>
      <c r="F1300" s="86">
        <v>12</v>
      </c>
      <c r="G1300" s="86">
        <v>30</v>
      </c>
      <c r="H1300" s="86">
        <v>360</v>
      </c>
      <c r="I1300" s="86">
        <v>29835</v>
      </c>
      <c r="J1300" s="85" t="s">
        <v>2935</v>
      </c>
      <c r="K1300" s="85" t="s">
        <v>6797</v>
      </c>
      <c r="L1300" s="85" t="s">
        <v>4135</v>
      </c>
      <c r="M1300" s="85" t="s">
        <v>6857</v>
      </c>
    </row>
    <row r="1301" ht="213.75" spans="1:13">
      <c r="A1301" s="85" t="s">
        <v>6792</v>
      </c>
      <c r="B1301" s="85" t="s">
        <v>6858</v>
      </c>
      <c r="C1301" s="85" t="s">
        <v>6859</v>
      </c>
      <c r="D1301" s="85" t="s">
        <v>3907</v>
      </c>
      <c r="E1301" s="85" t="s">
        <v>6860</v>
      </c>
      <c r="F1301" s="86">
        <v>71.5</v>
      </c>
      <c r="G1301" s="86">
        <v>200</v>
      </c>
      <c r="H1301" s="86">
        <v>14300</v>
      </c>
      <c r="I1301" s="86">
        <v>29835</v>
      </c>
      <c r="J1301" s="85" t="s">
        <v>2935</v>
      </c>
      <c r="K1301" s="85" t="s">
        <v>6797</v>
      </c>
      <c r="L1301" s="85" t="s">
        <v>4135</v>
      </c>
      <c r="M1301" s="85" t="s">
        <v>6861</v>
      </c>
    </row>
    <row r="1302" ht="213.75" spans="1:13">
      <c r="A1302" s="85" t="s">
        <v>6792</v>
      </c>
      <c r="B1302" s="85" t="s">
        <v>6862</v>
      </c>
      <c r="C1302" s="85" t="s">
        <v>6863</v>
      </c>
      <c r="D1302" s="85" t="s">
        <v>3834</v>
      </c>
      <c r="E1302" s="85" t="s">
        <v>6863</v>
      </c>
      <c r="F1302" s="86">
        <v>25</v>
      </c>
      <c r="G1302" s="86">
        <v>20</v>
      </c>
      <c r="H1302" s="86">
        <v>500</v>
      </c>
      <c r="I1302" s="86">
        <v>29835</v>
      </c>
      <c r="J1302" s="85" t="s">
        <v>2935</v>
      </c>
      <c r="K1302" s="85" t="s">
        <v>6797</v>
      </c>
      <c r="L1302" s="85" t="s">
        <v>4135</v>
      </c>
      <c r="M1302" s="85" t="s">
        <v>6864</v>
      </c>
    </row>
    <row r="1303" ht="213.75" spans="1:13">
      <c r="A1303" s="85" t="s">
        <v>6792</v>
      </c>
      <c r="B1303" s="85" t="s">
        <v>6865</v>
      </c>
      <c r="C1303" s="85" t="s">
        <v>6866</v>
      </c>
      <c r="D1303" s="85" t="s">
        <v>2977</v>
      </c>
      <c r="E1303" s="85" t="s">
        <v>6866</v>
      </c>
      <c r="F1303" s="86">
        <v>136</v>
      </c>
      <c r="G1303" s="86">
        <v>1</v>
      </c>
      <c r="H1303" s="86">
        <v>136</v>
      </c>
      <c r="I1303" s="86">
        <v>29835</v>
      </c>
      <c r="J1303" s="85" t="s">
        <v>2935</v>
      </c>
      <c r="K1303" s="85" t="s">
        <v>6797</v>
      </c>
      <c r="L1303" s="85" t="s">
        <v>4135</v>
      </c>
      <c r="M1303" s="85" t="s">
        <v>6867</v>
      </c>
    </row>
    <row r="1304" ht="213.75" spans="1:13">
      <c r="A1304" s="85" t="s">
        <v>6792</v>
      </c>
      <c r="B1304" s="85" t="s">
        <v>6868</v>
      </c>
      <c r="C1304" s="85" t="s">
        <v>6869</v>
      </c>
      <c r="D1304" s="85" t="s">
        <v>3617</v>
      </c>
      <c r="E1304" s="85" t="s">
        <v>6448</v>
      </c>
      <c r="F1304" s="86">
        <v>40</v>
      </c>
      <c r="G1304" s="86">
        <v>5</v>
      </c>
      <c r="H1304" s="86">
        <v>200</v>
      </c>
      <c r="I1304" s="86">
        <v>29835</v>
      </c>
      <c r="J1304" s="85" t="s">
        <v>2935</v>
      </c>
      <c r="K1304" s="85" t="s">
        <v>6797</v>
      </c>
      <c r="L1304" s="85" t="s">
        <v>4135</v>
      </c>
      <c r="M1304" s="85" t="s">
        <v>6870</v>
      </c>
    </row>
    <row r="1305" ht="213.75" spans="1:13">
      <c r="A1305" s="85" t="s">
        <v>6792</v>
      </c>
      <c r="B1305" s="85" t="s">
        <v>6871</v>
      </c>
      <c r="C1305" s="85" t="s">
        <v>6872</v>
      </c>
      <c r="D1305" s="85" t="s">
        <v>3753</v>
      </c>
      <c r="E1305" s="85" t="s">
        <v>5809</v>
      </c>
      <c r="F1305" s="86">
        <v>4</v>
      </c>
      <c r="G1305" s="86">
        <v>25</v>
      </c>
      <c r="H1305" s="86">
        <v>100</v>
      </c>
      <c r="I1305" s="86">
        <v>29835</v>
      </c>
      <c r="J1305" s="85" t="s">
        <v>2935</v>
      </c>
      <c r="K1305" s="85" t="s">
        <v>6797</v>
      </c>
      <c r="L1305" s="85" t="s">
        <v>4135</v>
      </c>
      <c r="M1305" s="85" t="s">
        <v>6873</v>
      </c>
    </row>
    <row r="1306" ht="213.75" spans="1:13">
      <c r="A1306" s="85" t="s">
        <v>6792</v>
      </c>
      <c r="B1306" s="85" t="s">
        <v>6874</v>
      </c>
      <c r="C1306" s="85" t="s">
        <v>6875</v>
      </c>
      <c r="D1306" s="85" t="s">
        <v>3197</v>
      </c>
      <c r="E1306" s="85" t="s">
        <v>6876</v>
      </c>
      <c r="F1306" s="86">
        <v>85</v>
      </c>
      <c r="G1306" s="86">
        <v>10</v>
      </c>
      <c r="H1306" s="86">
        <v>850</v>
      </c>
      <c r="I1306" s="86">
        <v>29835</v>
      </c>
      <c r="J1306" s="85" t="s">
        <v>2935</v>
      </c>
      <c r="K1306" s="85" t="s">
        <v>6797</v>
      </c>
      <c r="L1306" s="85" t="s">
        <v>4135</v>
      </c>
      <c r="M1306" s="85" t="s">
        <v>6877</v>
      </c>
    </row>
    <row r="1307" ht="213.75" spans="1:13">
      <c r="A1307" s="85" t="s">
        <v>6792</v>
      </c>
      <c r="B1307" s="85" t="s">
        <v>6878</v>
      </c>
      <c r="C1307" s="85" t="s">
        <v>6879</v>
      </c>
      <c r="D1307" s="85" t="s">
        <v>6795</v>
      </c>
      <c r="E1307" s="85" t="s">
        <v>1558</v>
      </c>
      <c r="F1307" s="86">
        <v>1.4</v>
      </c>
      <c r="G1307" s="86">
        <v>400</v>
      </c>
      <c r="H1307" s="86">
        <v>560</v>
      </c>
      <c r="I1307" s="86">
        <v>29835</v>
      </c>
      <c r="J1307" s="85" t="s">
        <v>2935</v>
      </c>
      <c r="K1307" s="85" t="s">
        <v>6797</v>
      </c>
      <c r="L1307" s="85" t="s">
        <v>4135</v>
      </c>
      <c r="M1307" s="85" t="s">
        <v>6880</v>
      </c>
    </row>
    <row r="1308" ht="213.75" spans="1:13">
      <c r="A1308" s="85" t="s">
        <v>6792</v>
      </c>
      <c r="B1308" s="85" t="s">
        <v>6881</v>
      </c>
      <c r="C1308" s="85" t="s">
        <v>6882</v>
      </c>
      <c r="D1308" s="85" t="s">
        <v>3753</v>
      </c>
      <c r="E1308" s="85" t="s">
        <v>5809</v>
      </c>
      <c r="F1308" s="86">
        <v>4</v>
      </c>
      <c r="G1308" s="86">
        <v>50</v>
      </c>
      <c r="H1308" s="86">
        <v>200</v>
      </c>
      <c r="I1308" s="86">
        <v>29835</v>
      </c>
      <c r="J1308" s="85" t="s">
        <v>2935</v>
      </c>
      <c r="K1308" s="85" t="s">
        <v>6797</v>
      </c>
      <c r="L1308" s="85" t="s">
        <v>4135</v>
      </c>
      <c r="M1308" s="85" t="s">
        <v>6883</v>
      </c>
    </row>
    <row r="1309" ht="213.75" spans="1:13">
      <c r="A1309" s="85" t="s">
        <v>6792</v>
      </c>
      <c r="B1309" s="85" t="s">
        <v>5349</v>
      </c>
      <c r="C1309" s="85" t="s">
        <v>5350</v>
      </c>
      <c r="D1309" s="85" t="s">
        <v>3189</v>
      </c>
      <c r="E1309" s="85" t="s">
        <v>5351</v>
      </c>
      <c r="F1309" s="86">
        <v>19</v>
      </c>
      <c r="G1309" s="86">
        <v>30</v>
      </c>
      <c r="H1309" s="86">
        <v>570</v>
      </c>
      <c r="I1309" s="86">
        <v>29835</v>
      </c>
      <c r="J1309" s="85" t="s">
        <v>2935</v>
      </c>
      <c r="K1309" s="85" t="s">
        <v>6797</v>
      </c>
      <c r="L1309" s="85" t="s">
        <v>4135</v>
      </c>
      <c r="M1309" s="85" t="s">
        <v>6884</v>
      </c>
    </row>
    <row r="1310" ht="213.75" spans="1:13">
      <c r="A1310" s="85" t="s">
        <v>6792</v>
      </c>
      <c r="B1310" s="85" t="s">
        <v>6885</v>
      </c>
      <c r="C1310" s="85" t="s">
        <v>6886</v>
      </c>
      <c r="D1310" s="85" t="s">
        <v>4246</v>
      </c>
      <c r="E1310" s="85" t="s">
        <v>6886</v>
      </c>
      <c r="F1310" s="86">
        <v>88</v>
      </c>
      <c r="G1310" s="86">
        <v>20</v>
      </c>
      <c r="H1310" s="86">
        <v>1760</v>
      </c>
      <c r="I1310" s="86">
        <v>29835</v>
      </c>
      <c r="J1310" s="85" t="s">
        <v>2935</v>
      </c>
      <c r="K1310" s="85" t="s">
        <v>6797</v>
      </c>
      <c r="L1310" s="85" t="s">
        <v>4135</v>
      </c>
      <c r="M1310" s="85" t="s">
        <v>6887</v>
      </c>
    </row>
    <row r="1311" ht="213.75" spans="1:13">
      <c r="A1311" s="85" t="s">
        <v>6888</v>
      </c>
      <c r="B1311" s="85" t="s">
        <v>2901</v>
      </c>
      <c r="C1311" s="85" t="s">
        <v>2902</v>
      </c>
      <c r="D1311" s="85" t="s">
        <v>2903</v>
      </c>
      <c r="E1311" s="85" t="s">
        <v>2902</v>
      </c>
      <c r="F1311" s="86">
        <v>39482.2</v>
      </c>
      <c r="G1311" s="86">
        <v>1</v>
      </c>
      <c r="H1311" s="86">
        <v>39482.2</v>
      </c>
      <c r="I1311" s="86">
        <v>39482.2</v>
      </c>
      <c r="J1311" s="85" t="s">
        <v>6889</v>
      </c>
      <c r="K1311" s="85" t="s">
        <v>6890</v>
      </c>
      <c r="L1311" s="85" t="s">
        <v>4135</v>
      </c>
      <c r="M1311" s="85" t="s">
        <v>6891</v>
      </c>
    </row>
    <row r="1312" ht="213.75" spans="1:13">
      <c r="A1312" s="85" t="s">
        <v>6892</v>
      </c>
      <c r="B1312" s="85" t="s">
        <v>2901</v>
      </c>
      <c r="C1312" s="85" t="s">
        <v>2902</v>
      </c>
      <c r="D1312" s="85" t="s">
        <v>2903</v>
      </c>
      <c r="E1312" s="85" t="s">
        <v>2902</v>
      </c>
      <c r="F1312" s="86">
        <v>850000</v>
      </c>
      <c r="G1312" s="86">
        <v>1</v>
      </c>
      <c r="H1312" s="86">
        <v>850000</v>
      </c>
      <c r="I1312" s="86">
        <v>850000</v>
      </c>
      <c r="J1312" s="85" t="s">
        <v>4054</v>
      </c>
      <c r="K1312" s="85" t="s">
        <v>6893</v>
      </c>
      <c r="L1312" s="85" t="s">
        <v>4135</v>
      </c>
      <c r="M1312" s="85" t="s">
        <v>6894</v>
      </c>
    </row>
    <row r="1313" ht="213.75" spans="1:13">
      <c r="A1313" s="85" t="s">
        <v>6895</v>
      </c>
      <c r="B1313" s="85" t="s">
        <v>4690</v>
      </c>
      <c r="C1313" s="85" t="s">
        <v>4691</v>
      </c>
      <c r="D1313" s="85" t="s">
        <v>4692</v>
      </c>
      <c r="E1313" s="85" t="s">
        <v>4693</v>
      </c>
      <c r="F1313" s="86">
        <v>101.59</v>
      </c>
      <c r="G1313" s="86">
        <v>230</v>
      </c>
      <c r="H1313" s="86">
        <v>23365.7</v>
      </c>
      <c r="I1313" s="86">
        <v>23365.7</v>
      </c>
      <c r="J1313" s="85" t="s">
        <v>4391</v>
      </c>
      <c r="K1313" s="85" t="s">
        <v>6896</v>
      </c>
      <c r="L1313" s="85" t="s">
        <v>4135</v>
      </c>
      <c r="M1313" s="85" t="s">
        <v>6897</v>
      </c>
    </row>
    <row r="1314" ht="213.75" spans="1:13">
      <c r="A1314" s="85" t="s">
        <v>6898</v>
      </c>
      <c r="B1314" s="85" t="s">
        <v>6899</v>
      </c>
      <c r="C1314" s="85" t="s">
        <v>6900</v>
      </c>
      <c r="D1314" s="85" t="s">
        <v>6901</v>
      </c>
      <c r="E1314" s="85" t="s">
        <v>5752</v>
      </c>
      <c r="F1314" s="86">
        <v>34.4</v>
      </c>
      <c r="G1314" s="86">
        <v>100</v>
      </c>
      <c r="H1314" s="86">
        <v>3440</v>
      </c>
      <c r="I1314" s="86">
        <v>11295.32</v>
      </c>
      <c r="J1314" s="85" t="s">
        <v>4391</v>
      </c>
      <c r="K1314" s="85" t="s">
        <v>6902</v>
      </c>
      <c r="L1314" s="85" t="s">
        <v>4135</v>
      </c>
      <c r="M1314" s="85" t="s">
        <v>6903</v>
      </c>
    </row>
    <row r="1315" ht="213.75" spans="1:13">
      <c r="A1315" s="85" t="s">
        <v>6898</v>
      </c>
      <c r="B1315" s="85" t="s">
        <v>5429</v>
      </c>
      <c r="C1315" s="85" t="s">
        <v>5430</v>
      </c>
      <c r="D1315" s="85" t="s">
        <v>5431</v>
      </c>
      <c r="E1315" s="85" t="s">
        <v>5432</v>
      </c>
      <c r="F1315" s="86">
        <v>117.6</v>
      </c>
      <c r="G1315" s="86">
        <v>20</v>
      </c>
      <c r="H1315" s="86">
        <v>2352</v>
      </c>
      <c r="I1315" s="86">
        <v>11295.32</v>
      </c>
      <c r="J1315" s="85" t="s">
        <v>4391</v>
      </c>
      <c r="K1315" s="85" t="s">
        <v>6902</v>
      </c>
      <c r="L1315" s="85" t="s">
        <v>4135</v>
      </c>
      <c r="M1315" s="85" t="s">
        <v>6904</v>
      </c>
    </row>
    <row r="1316" ht="213.75" spans="1:13">
      <c r="A1316" s="85" t="s">
        <v>6898</v>
      </c>
      <c r="B1316" s="85" t="s">
        <v>6905</v>
      </c>
      <c r="C1316" s="85" t="s">
        <v>6906</v>
      </c>
      <c r="D1316" s="85" t="s">
        <v>4546</v>
      </c>
      <c r="E1316" s="85" t="s">
        <v>6907</v>
      </c>
      <c r="F1316" s="86">
        <v>322.5</v>
      </c>
      <c r="G1316" s="86">
        <v>6</v>
      </c>
      <c r="H1316" s="86">
        <v>1935</v>
      </c>
      <c r="I1316" s="86">
        <v>11295.32</v>
      </c>
      <c r="J1316" s="85" t="s">
        <v>4391</v>
      </c>
      <c r="K1316" s="85" t="s">
        <v>6902</v>
      </c>
      <c r="L1316" s="85" t="s">
        <v>4135</v>
      </c>
      <c r="M1316" s="85" t="s">
        <v>6908</v>
      </c>
    </row>
    <row r="1317" ht="213.75" spans="1:13">
      <c r="A1317" s="85" t="s">
        <v>6898</v>
      </c>
      <c r="B1317" s="85" t="s">
        <v>6909</v>
      </c>
      <c r="C1317" s="85" t="s">
        <v>6910</v>
      </c>
      <c r="D1317" s="85" t="s">
        <v>4546</v>
      </c>
      <c r="E1317" s="85" t="s">
        <v>6907</v>
      </c>
      <c r="F1317" s="86">
        <v>362.76</v>
      </c>
      <c r="G1317" s="86">
        <v>9</v>
      </c>
      <c r="H1317" s="86">
        <v>3264.84</v>
      </c>
      <c r="I1317" s="86">
        <v>11295.32</v>
      </c>
      <c r="J1317" s="85" t="s">
        <v>4391</v>
      </c>
      <c r="K1317" s="85" t="s">
        <v>6902</v>
      </c>
      <c r="L1317" s="85" t="s">
        <v>4135</v>
      </c>
      <c r="M1317" s="85" t="s">
        <v>6911</v>
      </c>
    </row>
    <row r="1318" ht="213.75" spans="1:13">
      <c r="A1318" s="85" t="s">
        <v>6898</v>
      </c>
      <c r="B1318" s="85" t="s">
        <v>5061</v>
      </c>
      <c r="C1318" s="85" t="s">
        <v>5062</v>
      </c>
      <c r="D1318" s="85" t="s">
        <v>3189</v>
      </c>
      <c r="E1318" s="85" t="s">
        <v>4327</v>
      </c>
      <c r="F1318" s="86">
        <v>37.17</v>
      </c>
      <c r="G1318" s="86">
        <v>4</v>
      </c>
      <c r="H1318" s="86">
        <v>148.68</v>
      </c>
      <c r="I1318" s="86">
        <v>11295.32</v>
      </c>
      <c r="J1318" s="85" t="s">
        <v>4391</v>
      </c>
      <c r="K1318" s="85" t="s">
        <v>6902</v>
      </c>
      <c r="L1318" s="85" t="s">
        <v>4135</v>
      </c>
      <c r="M1318" s="85" t="s">
        <v>6912</v>
      </c>
    </row>
    <row r="1319" ht="213.75" spans="1:13">
      <c r="A1319" s="85" t="s">
        <v>6898</v>
      </c>
      <c r="B1319" s="85" t="s">
        <v>6913</v>
      </c>
      <c r="C1319" s="85" t="s">
        <v>6914</v>
      </c>
      <c r="D1319" s="85" t="s">
        <v>3189</v>
      </c>
      <c r="E1319" s="85" t="s">
        <v>6914</v>
      </c>
      <c r="F1319" s="86">
        <v>30.96</v>
      </c>
      <c r="G1319" s="86">
        <v>5</v>
      </c>
      <c r="H1319" s="86">
        <v>154.8</v>
      </c>
      <c r="I1319" s="86">
        <v>11295.32</v>
      </c>
      <c r="J1319" s="85" t="s">
        <v>4391</v>
      </c>
      <c r="K1319" s="85" t="s">
        <v>6902</v>
      </c>
      <c r="L1319" s="85" t="s">
        <v>4135</v>
      </c>
      <c r="M1319" s="85" t="s">
        <v>6915</v>
      </c>
    </row>
    <row r="1320" ht="213.75" spans="1:13">
      <c r="A1320" s="85" t="s">
        <v>6916</v>
      </c>
      <c r="B1320" s="85" t="s">
        <v>6917</v>
      </c>
      <c r="C1320" s="85" t="s">
        <v>6918</v>
      </c>
      <c r="D1320" s="85" t="s">
        <v>4246</v>
      </c>
      <c r="E1320" s="85" t="s">
        <v>6919</v>
      </c>
      <c r="F1320" s="86">
        <v>108.95</v>
      </c>
      <c r="G1320" s="86">
        <v>70</v>
      </c>
      <c r="H1320" s="86">
        <v>7626.5</v>
      </c>
      <c r="I1320" s="86">
        <v>19518.7</v>
      </c>
      <c r="J1320" s="85" t="s">
        <v>4391</v>
      </c>
      <c r="K1320" s="85" t="s">
        <v>6920</v>
      </c>
      <c r="L1320" s="85" t="s">
        <v>4135</v>
      </c>
      <c r="M1320" s="85" t="s">
        <v>6921</v>
      </c>
    </row>
    <row r="1321" ht="213.75" spans="1:13">
      <c r="A1321" s="85" t="s">
        <v>6916</v>
      </c>
      <c r="B1321" s="85" t="s">
        <v>6922</v>
      </c>
      <c r="C1321" s="85" t="s">
        <v>6923</v>
      </c>
      <c r="D1321" s="85" t="s">
        <v>6924</v>
      </c>
      <c r="E1321" s="85" t="s">
        <v>6923</v>
      </c>
      <c r="F1321" s="86">
        <v>30.8</v>
      </c>
      <c r="G1321" s="86">
        <v>5</v>
      </c>
      <c r="H1321" s="86">
        <v>154</v>
      </c>
      <c r="I1321" s="86">
        <v>19518.7</v>
      </c>
      <c r="J1321" s="85" t="s">
        <v>4391</v>
      </c>
      <c r="K1321" s="85" t="s">
        <v>6920</v>
      </c>
      <c r="L1321" s="85" t="s">
        <v>4135</v>
      </c>
      <c r="M1321" s="85" t="s">
        <v>6925</v>
      </c>
    </row>
    <row r="1322" ht="213.75" spans="1:13">
      <c r="A1322" s="85" t="s">
        <v>6916</v>
      </c>
      <c r="B1322" s="85" t="s">
        <v>6926</v>
      </c>
      <c r="C1322" s="85" t="s">
        <v>6927</v>
      </c>
      <c r="D1322" s="85" t="s">
        <v>3617</v>
      </c>
      <c r="E1322" s="85" t="s">
        <v>6448</v>
      </c>
      <c r="F1322" s="86">
        <v>20.9</v>
      </c>
      <c r="G1322" s="86">
        <v>20</v>
      </c>
      <c r="H1322" s="86">
        <v>418</v>
      </c>
      <c r="I1322" s="86">
        <v>19518.7</v>
      </c>
      <c r="J1322" s="85" t="s">
        <v>4391</v>
      </c>
      <c r="K1322" s="85" t="s">
        <v>6920</v>
      </c>
      <c r="L1322" s="85" t="s">
        <v>4135</v>
      </c>
      <c r="M1322" s="85" t="s">
        <v>6928</v>
      </c>
    </row>
    <row r="1323" ht="213.75" spans="1:13">
      <c r="A1323" s="85" t="s">
        <v>6916</v>
      </c>
      <c r="B1323" s="85" t="s">
        <v>6929</v>
      </c>
      <c r="C1323" s="85" t="s">
        <v>6930</v>
      </c>
      <c r="D1323" s="85" t="s">
        <v>3907</v>
      </c>
      <c r="E1323" s="85" t="s">
        <v>6930</v>
      </c>
      <c r="F1323" s="86">
        <v>103.6</v>
      </c>
      <c r="G1323" s="86">
        <v>100</v>
      </c>
      <c r="H1323" s="86">
        <v>10360</v>
      </c>
      <c r="I1323" s="86">
        <v>19518.7</v>
      </c>
      <c r="J1323" s="85" t="s">
        <v>4391</v>
      </c>
      <c r="K1323" s="85" t="s">
        <v>6920</v>
      </c>
      <c r="L1323" s="85" t="s">
        <v>4135</v>
      </c>
      <c r="M1323" s="85" t="s">
        <v>6931</v>
      </c>
    </row>
    <row r="1324" ht="213.75" spans="1:13">
      <c r="A1324" s="85" t="s">
        <v>6916</v>
      </c>
      <c r="B1324" s="85" t="s">
        <v>6932</v>
      </c>
      <c r="C1324" s="85" t="s">
        <v>6933</v>
      </c>
      <c r="D1324" s="85" t="s">
        <v>5449</v>
      </c>
      <c r="E1324" s="85" t="s">
        <v>6933</v>
      </c>
      <c r="F1324" s="86">
        <v>24.9</v>
      </c>
      <c r="G1324" s="86">
        <v>8</v>
      </c>
      <c r="H1324" s="86">
        <v>199.2</v>
      </c>
      <c r="I1324" s="86">
        <v>19518.7</v>
      </c>
      <c r="J1324" s="85" t="s">
        <v>4391</v>
      </c>
      <c r="K1324" s="85" t="s">
        <v>6920</v>
      </c>
      <c r="L1324" s="85" t="s">
        <v>4135</v>
      </c>
      <c r="M1324" s="85" t="s">
        <v>6934</v>
      </c>
    </row>
    <row r="1325" ht="213.75" spans="1:13">
      <c r="A1325" s="85" t="s">
        <v>6916</v>
      </c>
      <c r="B1325" s="85" t="s">
        <v>6935</v>
      </c>
      <c r="C1325" s="85" t="s">
        <v>6936</v>
      </c>
      <c r="D1325" s="85" t="s">
        <v>6924</v>
      </c>
      <c r="E1325" s="85" t="s">
        <v>6936</v>
      </c>
      <c r="F1325" s="86">
        <v>39.9</v>
      </c>
      <c r="G1325" s="86">
        <v>5</v>
      </c>
      <c r="H1325" s="86">
        <v>199.5</v>
      </c>
      <c r="I1325" s="86">
        <v>19518.7</v>
      </c>
      <c r="J1325" s="85" t="s">
        <v>4391</v>
      </c>
      <c r="K1325" s="85" t="s">
        <v>6920</v>
      </c>
      <c r="L1325" s="85" t="s">
        <v>4135</v>
      </c>
      <c r="M1325" s="85" t="s">
        <v>6937</v>
      </c>
    </row>
    <row r="1326" ht="213.75" spans="1:13">
      <c r="A1326" s="85" t="s">
        <v>6916</v>
      </c>
      <c r="B1326" s="85" t="s">
        <v>6938</v>
      </c>
      <c r="C1326" s="85" t="s">
        <v>6939</v>
      </c>
      <c r="D1326" s="85" t="s">
        <v>3014</v>
      </c>
      <c r="E1326" s="85" t="s">
        <v>6940</v>
      </c>
      <c r="F1326" s="86">
        <v>33.5</v>
      </c>
      <c r="G1326" s="86">
        <v>3</v>
      </c>
      <c r="H1326" s="86">
        <v>100.5</v>
      </c>
      <c r="I1326" s="86">
        <v>19518.7</v>
      </c>
      <c r="J1326" s="85" t="s">
        <v>4391</v>
      </c>
      <c r="K1326" s="85" t="s">
        <v>6920</v>
      </c>
      <c r="L1326" s="85" t="s">
        <v>4135</v>
      </c>
      <c r="M1326" s="85" t="s">
        <v>6941</v>
      </c>
    </row>
    <row r="1327" ht="213.75" spans="1:13">
      <c r="A1327" s="85" t="s">
        <v>6916</v>
      </c>
      <c r="B1327" s="85" t="s">
        <v>6942</v>
      </c>
      <c r="C1327" s="85" t="s">
        <v>6943</v>
      </c>
      <c r="D1327" s="85" t="s">
        <v>5978</v>
      </c>
      <c r="E1327" s="85" t="s">
        <v>6944</v>
      </c>
      <c r="F1327" s="86">
        <v>14.6</v>
      </c>
      <c r="G1327" s="86">
        <v>10</v>
      </c>
      <c r="H1327" s="86">
        <v>146</v>
      </c>
      <c r="I1327" s="86">
        <v>19518.7</v>
      </c>
      <c r="J1327" s="85" t="s">
        <v>4391</v>
      </c>
      <c r="K1327" s="85" t="s">
        <v>6920</v>
      </c>
      <c r="L1327" s="85" t="s">
        <v>4135</v>
      </c>
      <c r="M1327" s="85" t="s">
        <v>6945</v>
      </c>
    </row>
    <row r="1328" ht="213.75" spans="1:13">
      <c r="A1328" s="85" t="s">
        <v>6916</v>
      </c>
      <c r="B1328" s="85" t="s">
        <v>6946</v>
      </c>
      <c r="C1328" s="85" t="s">
        <v>6947</v>
      </c>
      <c r="D1328" s="85" t="s">
        <v>5978</v>
      </c>
      <c r="E1328" s="85" t="s">
        <v>6948</v>
      </c>
      <c r="F1328" s="86">
        <v>14.6</v>
      </c>
      <c r="G1328" s="86">
        <v>10</v>
      </c>
      <c r="H1328" s="86">
        <v>146</v>
      </c>
      <c r="I1328" s="86">
        <v>19518.7</v>
      </c>
      <c r="J1328" s="85" t="s">
        <v>4391</v>
      </c>
      <c r="K1328" s="85" t="s">
        <v>6920</v>
      </c>
      <c r="L1328" s="85" t="s">
        <v>4135</v>
      </c>
      <c r="M1328" s="85" t="s">
        <v>6949</v>
      </c>
    </row>
    <row r="1329" ht="213.75" spans="1:13">
      <c r="A1329" s="85" t="s">
        <v>6916</v>
      </c>
      <c r="B1329" s="85" t="s">
        <v>6950</v>
      </c>
      <c r="C1329" s="85" t="s">
        <v>6951</v>
      </c>
      <c r="D1329" s="85" t="s">
        <v>4182</v>
      </c>
      <c r="E1329" s="85" t="s">
        <v>6952</v>
      </c>
      <c r="F1329" s="86">
        <v>1.69</v>
      </c>
      <c r="G1329" s="86">
        <v>100</v>
      </c>
      <c r="H1329" s="86">
        <v>169</v>
      </c>
      <c r="I1329" s="86">
        <v>19518.7</v>
      </c>
      <c r="J1329" s="85" t="s">
        <v>4391</v>
      </c>
      <c r="K1329" s="85" t="s">
        <v>6920</v>
      </c>
      <c r="L1329" s="85" t="s">
        <v>4135</v>
      </c>
      <c r="M1329" s="85" t="s">
        <v>6953</v>
      </c>
    </row>
    <row r="1330" ht="213.75" spans="1:13">
      <c r="A1330" s="85" t="s">
        <v>6954</v>
      </c>
      <c r="B1330" s="85" t="s">
        <v>2948</v>
      </c>
      <c r="C1330" s="85" t="s">
        <v>2949</v>
      </c>
      <c r="D1330" s="85" t="s">
        <v>2950</v>
      </c>
      <c r="E1330" s="85" t="s">
        <v>1720</v>
      </c>
      <c r="F1330" s="86">
        <v>7940</v>
      </c>
      <c r="G1330" s="86">
        <v>1</v>
      </c>
      <c r="H1330" s="86">
        <v>7940</v>
      </c>
      <c r="I1330" s="86">
        <v>7940</v>
      </c>
      <c r="J1330" s="85" t="s">
        <v>4370</v>
      </c>
      <c r="K1330" s="85" t="s">
        <v>6955</v>
      </c>
      <c r="L1330" s="85" t="s">
        <v>4135</v>
      </c>
      <c r="M1330" s="85" t="s">
        <v>6956</v>
      </c>
    </row>
    <row r="1331" ht="213.75" spans="1:13">
      <c r="A1331" s="85" t="s">
        <v>6957</v>
      </c>
      <c r="B1331" s="85" t="s">
        <v>3546</v>
      </c>
      <c r="C1331" s="85" t="s">
        <v>3547</v>
      </c>
      <c r="D1331" s="85" t="s">
        <v>3548</v>
      </c>
      <c r="E1331" s="85" t="s">
        <v>1835</v>
      </c>
      <c r="F1331" s="86">
        <v>365</v>
      </c>
      <c r="G1331" s="86">
        <v>10</v>
      </c>
      <c r="H1331" s="86">
        <v>3650</v>
      </c>
      <c r="I1331" s="86">
        <v>39490</v>
      </c>
      <c r="J1331" s="85" t="s">
        <v>2938</v>
      </c>
      <c r="K1331" s="85" t="s">
        <v>6958</v>
      </c>
      <c r="L1331" s="85" t="s">
        <v>4135</v>
      </c>
      <c r="M1331" s="85" t="s">
        <v>6959</v>
      </c>
    </row>
    <row r="1332" ht="213.75" spans="1:13">
      <c r="A1332" s="85" t="s">
        <v>6957</v>
      </c>
      <c r="B1332" s="85" t="s">
        <v>5662</v>
      </c>
      <c r="C1332" s="85" t="s">
        <v>5663</v>
      </c>
      <c r="D1332" s="85" t="s">
        <v>4076</v>
      </c>
      <c r="E1332" s="85" t="s">
        <v>1832</v>
      </c>
      <c r="F1332" s="86">
        <v>128</v>
      </c>
      <c r="G1332" s="86">
        <v>280</v>
      </c>
      <c r="H1332" s="86">
        <v>35840</v>
      </c>
      <c r="I1332" s="86">
        <v>39490</v>
      </c>
      <c r="J1332" s="85" t="s">
        <v>2938</v>
      </c>
      <c r="K1332" s="85" t="s">
        <v>6958</v>
      </c>
      <c r="L1332" s="85" t="s">
        <v>4135</v>
      </c>
      <c r="M1332" s="85" t="s">
        <v>6960</v>
      </c>
    </row>
    <row r="1333" ht="213.75" spans="1:13">
      <c r="A1333" s="85" t="s">
        <v>6961</v>
      </c>
      <c r="B1333" s="85" t="s">
        <v>3820</v>
      </c>
      <c r="C1333" s="85" t="s">
        <v>3821</v>
      </c>
      <c r="D1333" s="85" t="s">
        <v>2911</v>
      </c>
      <c r="E1333" s="85" t="s">
        <v>3822</v>
      </c>
      <c r="F1333" s="86">
        <v>500</v>
      </c>
      <c r="G1333" s="86">
        <v>160</v>
      </c>
      <c r="H1333" s="86">
        <v>80000</v>
      </c>
      <c r="I1333" s="86">
        <v>80000</v>
      </c>
      <c r="J1333" s="85" t="s">
        <v>4639</v>
      </c>
      <c r="K1333" s="85" t="s">
        <v>6962</v>
      </c>
      <c r="L1333" s="85" t="s">
        <v>4135</v>
      </c>
      <c r="M1333" s="85" t="s">
        <v>6963</v>
      </c>
    </row>
    <row r="1334" ht="213.75" spans="1:13">
      <c r="A1334" s="85" t="s">
        <v>6964</v>
      </c>
      <c r="B1334" s="85" t="s">
        <v>3745</v>
      </c>
      <c r="C1334" s="85" t="s">
        <v>3746</v>
      </c>
      <c r="D1334" s="85" t="s">
        <v>3747</v>
      </c>
      <c r="E1334" s="85" t="s">
        <v>1827</v>
      </c>
      <c r="F1334" s="86">
        <v>134</v>
      </c>
      <c r="G1334" s="86">
        <v>300</v>
      </c>
      <c r="H1334" s="86">
        <v>40200</v>
      </c>
      <c r="I1334" s="86">
        <v>40200</v>
      </c>
      <c r="J1334" s="85" t="s">
        <v>2932</v>
      </c>
      <c r="K1334" s="85" t="s">
        <v>6965</v>
      </c>
      <c r="L1334" s="85" t="s">
        <v>4135</v>
      </c>
      <c r="M1334" s="85" t="s">
        <v>6966</v>
      </c>
    </row>
    <row r="1335" ht="213.75" spans="1:13">
      <c r="A1335" s="85" t="s">
        <v>6967</v>
      </c>
      <c r="B1335" s="85" t="s">
        <v>4047</v>
      </c>
      <c r="C1335" s="85" t="s">
        <v>4048</v>
      </c>
      <c r="D1335" s="85" t="s">
        <v>4049</v>
      </c>
      <c r="E1335" s="85" t="s">
        <v>4048</v>
      </c>
      <c r="F1335" s="86">
        <v>40833.33</v>
      </c>
      <c r="G1335" s="86">
        <v>1</v>
      </c>
      <c r="H1335" s="86">
        <v>40833.33</v>
      </c>
      <c r="I1335" s="86">
        <v>40833.33</v>
      </c>
      <c r="J1335" s="85" t="s">
        <v>4162</v>
      </c>
      <c r="K1335" s="85" t="s">
        <v>6968</v>
      </c>
      <c r="L1335" s="85" t="s">
        <v>4135</v>
      </c>
      <c r="M1335" s="85" t="s">
        <v>6969</v>
      </c>
    </row>
    <row r="1336" ht="213.75" spans="1:13">
      <c r="A1336" s="85" t="s">
        <v>6970</v>
      </c>
      <c r="B1336" s="85" t="s">
        <v>4047</v>
      </c>
      <c r="C1336" s="85" t="s">
        <v>4048</v>
      </c>
      <c r="D1336" s="85" t="s">
        <v>4049</v>
      </c>
      <c r="E1336" s="85" t="s">
        <v>4048</v>
      </c>
      <c r="F1336" s="86">
        <v>70000</v>
      </c>
      <c r="G1336" s="86">
        <v>1</v>
      </c>
      <c r="H1336" s="86">
        <v>70000</v>
      </c>
      <c r="I1336" s="86">
        <v>70000</v>
      </c>
      <c r="J1336" s="85" t="s">
        <v>4162</v>
      </c>
      <c r="K1336" s="85" t="s">
        <v>6971</v>
      </c>
      <c r="L1336" s="85" t="s">
        <v>4135</v>
      </c>
      <c r="M1336" s="85" t="s">
        <v>6972</v>
      </c>
    </row>
    <row r="1337" ht="213.75" spans="1:13">
      <c r="A1337" s="85" t="s">
        <v>6973</v>
      </c>
      <c r="B1337" s="85" t="s">
        <v>6974</v>
      </c>
      <c r="C1337" s="85" t="s">
        <v>6975</v>
      </c>
      <c r="D1337" s="85" t="s">
        <v>6976</v>
      </c>
      <c r="E1337" s="85" t="s">
        <v>6977</v>
      </c>
      <c r="F1337" s="86">
        <v>1</v>
      </c>
      <c r="G1337" s="86">
        <v>629</v>
      </c>
      <c r="H1337" s="86">
        <v>629.26</v>
      </c>
      <c r="I1337" s="86">
        <v>629.26</v>
      </c>
      <c r="J1337" s="85" t="s">
        <v>6978</v>
      </c>
      <c r="K1337" s="85" t="s">
        <v>6979</v>
      </c>
      <c r="L1337" s="85" t="s">
        <v>6980</v>
      </c>
      <c r="M1337" s="85" t="s">
        <v>6981</v>
      </c>
    </row>
    <row r="1338" ht="213.75" spans="1:13">
      <c r="A1338" s="85" t="s">
        <v>6982</v>
      </c>
      <c r="B1338" s="85" t="s">
        <v>3820</v>
      </c>
      <c r="C1338" s="85" t="s">
        <v>3821</v>
      </c>
      <c r="D1338" s="85" t="s">
        <v>2911</v>
      </c>
      <c r="E1338" s="85" t="s">
        <v>3822</v>
      </c>
      <c r="F1338" s="86">
        <v>36</v>
      </c>
      <c r="G1338" s="86">
        <v>100</v>
      </c>
      <c r="H1338" s="86">
        <v>3600</v>
      </c>
      <c r="I1338" s="86">
        <v>3600</v>
      </c>
      <c r="J1338" s="85" t="s">
        <v>6983</v>
      </c>
      <c r="K1338" s="85" t="s">
        <v>6984</v>
      </c>
      <c r="L1338" s="85" t="s">
        <v>4135</v>
      </c>
      <c r="M1338" s="85" t="s">
        <v>6985</v>
      </c>
    </row>
    <row r="1339" ht="213.75" spans="1:13">
      <c r="A1339" s="85" t="s">
        <v>6986</v>
      </c>
      <c r="B1339" s="85" t="s">
        <v>3772</v>
      </c>
      <c r="C1339" s="85" t="s">
        <v>3773</v>
      </c>
      <c r="D1339" s="85" t="s">
        <v>3189</v>
      </c>
      <c r="E1339" s="85" t="s">
        <v>3774</v>
      </c>
      <c r="F1339" s="86">
        <v>27</v>
      </c>
      <c r="G1339" s="86">
        <v>160</v>
      </c>
      <c r="H1339" s="86">
        <v>4320</v>
      </c>
      <c r="I1339" s="86">
        <v>4320</v>
      </c>
      <c r="J1339" s="85" t="s">
        <v>3314</v>
      </c>
      <c r="K1339" s="85" t="s">
        <v>6987</v>
      </c>
      <c r="L1339" s="85" t="s">
        <v>4135</v>
      </c>
      <c r="M1339" s="85" t="s">
        <v>6988</v>
      </c>
    </row>
    <row r="1340" ht="213.75" spans="1:13">
      <c r="A1340" s="85" t="s">
        <v>6989</v>
      </c>
      <c r="B1340" s="85" t="s">
        <v>2901</v>
      </c>
      <c r="C1340" s="85" t="s">
        <v>2902</v>
      </c>
      <c r="D1340" s="85" t="s">
        <v>2903</v>
      </c>
      <c r="E1340" s="85" t="s">
        <v>2902</v>
      </c>
      <c r="F1340" s="86">
        <v>4841</v>
      </c>
      <c r="G1340" s="86">
        <v>1</v>
      </c>
      <c r="H1340" s="86">
        <v>4841</v>
      </c>
      <c r="I1340" s="86">
        <v>4841</v>
      </c>
      <c r="J1340" s="85" t="s">
        <v>3307</v>
      </c>
      <c r="K1340" s="85" t="s">
        <v>6990</v>
      </c>
      <c r="L1340" s="85" t="s">
        <v>4135</v>
      </c>
      <c r="M1340" s="85" t="s">
        <v>6991</v>
      </c>
    </row>
    <row r="1341" ht="213.75" spans="1:13">
      <c r="A1341" s="85" t="s">
        <v>6992</v>
      </c>
      <c r="B1341" s="85" t="s">
        <v>2901</v>
      </c>
      <c r="C1341" s="85" t="s">
        <v>2902</v>
      </c>
      <c r="D1341" s="85" t="s">
        <v>2903</v>
      </c>
      <c r="E1341" s="85" t="s">
        <v>2902</v>
      </c>
      <c r="F1341" s="86">
        <v>57715</v>
      </c>
      <c r="G1341" s="86">
        <v>1</v>
      </c>
      <c r="H1341" s="86">
        <v>57715</v>
      </c>
      <c r="I1341" s="86">
        <v>57715</v>
      </c>
      <c r="J1341" s="85" t="s">
        <v>5093</v>
      </c>
      <c r="K1341" s="85" t="s">
        <v>6993</v>
      </c>
      <c r="L1341" s="85" t="s">
        <v>4135</v>
      </c>
      <c r="M1341" s="85" t="s">
        <v>6994</v>
      </c>
    </row>
    <row r="1342" ht="213.75" spans="1:13">
      <c r="A1342" s="85" t="s">
        <v>6995</v>
      </c>
      <c r="B1342" s="85" t="s">
        <v>3788</v>
      </c>
      <c r="C1342" s="85" t="s">
        <v>3789</v>
      </c>
      <c r="D1342" s="85" t="s">
        <v>3189</v>
      </c>
      <c r="E1342" s="85" t="s">
        <v>3790</v>
      </c>
      <c r="F1342" s="86">
        <v>100</v>
      </c>
      <c r="G1342" s="86">
        <v>54</v>
      </c>
      <c r="H1342" s="86">
        <v>5400</v>
      </c>
      <c r="I1342" s="86">
        <v>5400</v>
      </c>
      <c r="J1342" s="85" t="s">
        <v>3304</v>
      </c>
      <c r="K1342" s="85" t="s">
        <v>6996</v>
      </c>
      <c r="L1342" s="85" t="s">
        <v>4135</v>
      </c>
      <c r="M1342" s="85" t="s">
        <v>6997</v>
      </c>
    </row>
    <row r="1343" ht="213.75" spans="1:13">
      <c r="A1343" s="85" t="s">
        <v>6998</v>
      </c>
      <c r="B1343" s="85" t="s">
        <v>5761</v>
      </c>
      <c r="C1343" s="85" t="s">
        <v>5762</v>
      </c>
      <c r="D1343" s="85" t="s">
        <v>3189</v>
      </c>
      <c r="E1343" s="85" t="s">
        <v>5762</v>
      </c>
      <c r="F1343" s="86">
        <v>135.59</v>
      </c>
      <c r="G1343" s="86">
        <v>10</v>
      </c>
      <c r="H1343" s="86">
        <v>1355.9</v>
      </c>
      <c r="I1343" s="86">
        <v>23340.91</v>
      </c>
      <c r="J1343" s="85" t="s">
        <v>2965</v>
      </c>
      <c r="K1343" s="85" t="s">
        <v>6999</v>
      </c>
      <c r="L1343" s="85" t="s">
        <v>4135</v>
      </c>
      <c r="M1343" s="85" t="s">
        <v>7000</v>
      </c>
    </row>
    <row r="1344" ht="213.75" spans="1:13">
      <c r="A1344" s="85" t="s">
        <v>6998</v>
      </c>
      <c r="B1344" s="85" t="s">
        <v>7001</v>
      </c>
      <c r="C1344" s="85" t="s">
        <v>7002</v>
      </c>
      <c r="D1344" s="85" t="s">
        <v>2977</v>
      </c>
      <c r="E1344" s="85" t="s">
        <v>7002</v>
      </c>
      <c r="F1344" s="86">
        <v>6.19</v>
      </c>
      <c r="G1344" s="86">
        <v>5</v>
      </c>
      <c r="H1344" s="86">
        <v>30.95</v>
      </c>
      <c r="I1344" s="86">
        <v>23340.91</v>
      </c>
      <c r="J1344" s="85" t="s">
        <v>2965</v>
      </c>
      <c r="K1344" s="85" t="s">
        <v>6999</v>
      </c>
      <c r="L1344" s="85" t="s">
        <v>4135</v>
      </c>
      <c r="M1344" s="85" t="s">
        <v>7003</v>
      </c>
    </row>
    <row r="1345" ht="213.75" spans="1:13">
      <c r="A1345" s="85" t="s">
        <v>6998</v>
      </c>
      <c r="B1345" s="85" t="s">
        <v>7004</v>
      </c>
      <c r="C1345" s="85" t="s">
        <v>7005</v>
      </c>
      <c r="D1345" s="85" t="s">
        <v>4037</v>
      </c>
      <c r="E1345" s="85" t="s">
        <v>7005</v>
      </c>
      <c r="F1345" s="86">
        <v>85.5</v>
      </c>
      <c r="G1345" s="86">
        <v>5</v>
      </c>
      <c r="H1345" s="86">
        <v>427.5</v>
      </c>
      <c r="I1345" s="86">
        <v>23340.91</v>
      </c>
      <c r="J1345" s="85" t="s">
        <v>2965</v>
      </c>
      <c r="K1345" s="85" t="s">
        <v>6999</v>
      </c>
      <c r="L1345" s="85" t="s">
        <v>4135</v>
      </c>
      <c r="M1345" s="85" t="s">
        <v>7006</v>
      </c>
    </row>
    <row r="1346" ht="213.75" spans="1:13">
      <c r="A1346" s="85" t="s">
        <v>6998</v>
      </c>
      <c r="B1346" s="85" t="s">
        <v>7007</v>
      </c>
      <c r="C1346" s="85" t="s">
        <v>7008</v>
      </c>
      <c r="D1346" s="85" t="s">
        <v>7009</v>
      </c>
      <c r="E1346" s="85" t="s">
        <v>7008</v>
      </c>
      <c r="F1346" s="86">
        <v>18.65</v>
      </c>
      <c r="G1346" s="86">
        <v>10</v>
      </c>
      <c r="H1346" s="86">
        <v>186.5</v>
      </c>
      <c r="I1346" s="86">
        <v>23340.91</v>
      </c>
      <c r="J1346" s="85" t="s">
        <v>2965</v>
      </c>
      <c r="K1346" s="85" t="s">
        <v>6999</v>
      </c>
      <c r="L1346" s="85" t="s">
        <v>4135</v>
      </c>
      <c r="M1346" s="85" t="s">
        <v>7010</v>
      </c>
    </row>
    <row r="1347" ht="213.75" spans="1:13">
      <c r="A1347" s="85" t="s">
        <v>6998</v>
      </c>
      <c r="B1347" s="85" t="s">
        <v>7011</v>
      </c>
      <c r="C1347" s="85" t="s">
        <v>7012</v>
      </c>
      <c r="D1347" s="85" t="s">
        <v>3197</v>
      </c>
      <c r="E1347" s="85" t="s">
        <v>7012</v>
      </c>
      <c r="F1347" s="86">
        <v>18.4</v>
      </c>
      <c r="G1347" s="86">
        <v>10</v>
      </c>
      <c r="H1347" s="86">
        <v>184</v>
      </c>
      <c r="I1347" s="86">
        <v>23340.91</v>
      </c>
      <c r="J1347" s="85" t="s">
        <v>2965</v>
      </c>
      <c r="K1347" s="85" t="s">
        <v>6999</v>
      </c>
      <c r="L1347" s="85" t="s">
        <v>4135</v>
      </c>
      <c r="M1347" s="85" t="s">
        <v>7013</v>
      </c>
    </row>
    <row r="1348" ht="213.75" spans="1:13">
      <c r="A1348" s="85" t="s">
        <v>6998</v>
      </c>
      <c r="B1348" s="85" t="s">
        <v>3942</v>
      </c>
      <c r="C1348" s="85" t="s">
        <v>3943</v>
      </c>
      <c r="D1348" s="85" t="s">
        <v>3944</v>
      </c>
      <c r="E1348" s="85" t="s">
        <v>3943</v>
      </c>
      <c r="F1348" s="86">
        <v>55.06</v>
      </c>
      <c r="G1348" s="86">
        <v>4</v>
      </c>
      <c r="H1348" s="86">
        <v>220.24</v>
      </c>
      <c r="I1348" s="86">
        <v>23340.91</v>
      </c>
      <c r="J1348" s="85" t="s">
        <v>2965</v>
      </c>
      <c r="K1348" s="85" t="s">
        <v>6999</v>
      </c>
      <c r="L1348" s="85" t="s">
        <v>4135</v>
      </c>
      <c r="M1348" s="85" t="s">
        <v>7014</v>
      </c>
    </row>
    <row r="1349" ht="213.75" spans="1:13">
      <c r="A1349" s="85" t="s">
        <v>6998</v>
      </c>
      <c r="B1349" s="85" t="s">
        <v>7015</v>
      </c>
      <c r="C1349" s="85" t="s">
        <v>7016</v>
      </c>
      <c r="D1349" s="85" t="s">
        <v>3054</v>
      </c>
      <c r="E1349" s="85" t="s">
        <v>7016</v>
      </c>
      <c r="F1349" s="86">
        <v>48.93</v>
      </c>
      <c r="G1349" s="86">
        <v>10</v>
      </c>
      <c r="H1349" s="86">
        <v>489.3</v>
      </c>
      <c r="I1349" s="86">
        <v>23340.91</v>
      </c>
      <c r="J1349" s="85" t="s">
        <v>2965</v>
      </c>
      <c r="K1349" s="85" t="s">
        <v>6999</v>
      </c>
      <c r="L1349" s="85" t="s">
        <v>4135</v>
      </c>
      <c r="M1349" s="85" t="s">
        <v>7017</v>
      </c>
    </row>
    <row r="1350" ht="213.75" spans="1:13">
      <c r="A1350" s="85" t="s">
        <v>6998</v>
      </c>
      <c r="B1350" s="85" t="s">
        <v>3290</v>
      </c>
      <c r="C1350" s="85" t="s">
        <v>3291</v>
      </c>
      <c r="D1350" s="85" t="s">
        <v>2973</v>
      </c>
      <c r="E1350" s="85" t="s">
        <v>3291</v>
      </c>
      <c r="F1350" s="86">
        <v>245</v>
      </c>
      <c r="G1350" s="86">
        <v>5</v>
      </c>
      <c r="H1350" s="86">
        <v>1225</v>
      </c>
      <c r="I1350" s="86">
        <v>23340.91</v>
      </c>
      <c r="J1350" s="85" t="s">
        <v>2965</v>
      </c>
      <c r="K1350" s="85" t="s">
        <v>6999</v>
      </c>
      <c r="L1350" s="85" t="s">
        <v>4135</v>
      </c>
      <c r="M1350" s="85" t="s">
        <v>7018</v>
      </c>
    </row>
    <row r="1351" ht="213.75" spans="1:13">
      <c r="A1351" s="85" t="s">
        <v>6998</v>
      </c>
      <c r="B1351" s="85" t="s">
        <v>7019</v>
      </c>
      <c r="C1351" s="85" t="s">
        <v>7020</v>
      </c>
      <c r="D1351" s="85" t="s">
        <v>3148</v>
      </c>
      <c r="E1351" s="85" t="s">
        <v>7020</v>
      </c>
      <c r="F1351" s="86">
        <v>22.88</v>
      </c>
      <c r="G1351" s="86">
        <v>20</v>
      </c>
      <c r="H1351" s="86">
        <v>457.6</v>
      </c>
      <c r="I1351" s="86">
        <v>23340.91</v>
      </c>
      <c r="J1351" s="85" t="s">
        <v>2965</v>
      </c>
      <c r="K1351" s="85" t="s">
        <v>6999</v>
      </c>
      <c r="L1351" s="85" t="s">
        <v>4135</v>
      </c>
      <c r="M1351" s="85" t="s">
        <v>7021</v>
      </c>
    </row>
    <row r="1352" ht="213.75" spans="1:13">
      <c r="A1352" s="85" t="s">
        <v>6998</v>
      </c>
      <c r="B1352" s="85" t="s">
        <v>7022</v>
      </c>
      <c r="C1352" s="85" t="s">
        <v>7023</v>
      </c>
      <c r="D1352" s="85" t="s">
        <v>7024</v>
      </c>
      <c r="E1352" s="85" t="s">
        <v>7023</v>
      </c>
      <c r="F1352" s="86">
        <v>215.67</v>
      </c>
      <c r="G1352" s="86">
        <v>5</v>
      </c>
      <c r="H1352" s="86">
        <v>1078.35</v>
      </c>
      <c r="I1352" s="86">
        <v>23340.91</v>
      </c>
      <c r="J1352" s="85" t="s">
        <v>2965</v>
      </c>
      <c r="K1352" s="85" t="s">
        <v>6999</v>
      </c>
      <c r="L1352" s="85" t="s">
        <v>4135</v>
      </c>
      <c r="M1352" s="85" t="s">
        <v>7025</v>
      </c>
    </row>
    <row r="1353" ht="213.75" spans="1:13">
      <c r="A1353" s="85" t="s">
        <v>6998</v>
      </c>
      <c r="B1353" s="85" t="s">
        <v>5936</v>
      </c>
      <c r="C1353" s="85" t="s">
        <v>5937</v>
      </c>
      <c r="D1353" s="85" t="s">
        <v>2964</v>
      </c>
      <c r="E1353" s="85" t="s">
        <v>5937</v>
      </c>
      <c r="F1353" s="86">
        <v>52.78</v>
      </c>
      <c r="G1353" s="86">
        <v>5</v>
      </c>
      <c r="H1353" s="86">
        <v>263.9</v>
      </c>
      <c r="I1353" s="86">
        <v>23340.91</v>
      </c>
      <c r="J1353" s="85" t="s">
        <v>2965</v>
      </c>
      <c r="K1353" s="85" t="s">
        <v>6999</v>
      </c>
      <c r="L1353" s="85" t="s">
        <v>4135</v>
      </c>
      <c r="M1353" s="85" t="s">
        <v>7026</v>
      </c>
    </row>
    <row r="1354" ht="213.75" spans="1:13">
      <c r="A1354" s="85" t="s">
        <v>6998</v>
      </c>
      <c r="B1354" s="85" t="s">
        <v>3487</v>
      </c>
      <c r="C1354" s="85" t="s">
        <v>3488</v>
      </c>
      <c r="D1354" s="85" t="s">
        <v>3082</v>
      </c>
      <c r="E1354" s="85" t="s">
        <v>3488</v>
      </c>
      <c r="F1354" s="86">
        <v>59.06</v>
      </c>
      <c r="G1354" s="86">
        <v>150</v>
      </c>
      <c r="H1354" s="86">
        <v>8859</v>
      </c>
      <c r="I1354" s="86">
        <v>23340.91</v>
      </c>
      <c r="J1354" s="85" t="s">
        <v>2965</v>
      </c>
      <c r="K1354" s="85" t="s">
        <v>6999</v>
      </c>
      <c r="L1354" s="85" t="s">
        <v>4135</v>
      </c>
      <c r="M1354" s="85" t="s">
        <v>7027</v>
      </c>
    </row>
    <row r="1355" ht="213.75" spans="1:13">
      <c r="A1355" s="85" t="s">
        <v>6998</v>
      </c>
      <c r="B1355" s="85" t="s">
        <v>7028</v>
      </c>
      <c r="C1355" s="85" t="s">
        <v>7029</v>
      </c>
      <c r="D1355" s="85" t="s">
        <v>3014</v>
      </c>
      <c r="E1355" s="85" t="s">
        <v>7029</v>
      </c>
      <c r="F1355" s="86">
        <v>83.72</v>
      </c>
      <c r="G1355" s="86">
        <v>6</v>
      </c>
      <c r="H1355" s="86">
        <v>502.32</v>
      </c>
      <c r="I1355" s="86">
        <v>23340.91</v>
      </c>
      <c r="J1355" s="85" t="s">
        <v>2965</v>
      </c>
      <c r="K1355" s="85" t="s">
        <v>6999</v>
      </c>
      <c r="L1355" s="85" t="s">
        <v>4135</v>
      </c>
      <c r="M1355" s="85" t="s">
        <v>7030</v>
      </c>
    </row>
    <row r="1356" ht="213.75" spans="1:13">
      <c r="A1356" s="85" t="s">
        <v>6998</v>
      </c>
      <c r="B1356" s="85" t="s">
        <v>7031</v>
      </c>
      <c r="C1356" s="85" t="s">
        <v>7032</v>
      </c>
      <c r="D1356" s="85" t="s">
        <v>7024</v>
      </c>
      <c r="E1356" s="85" t="s">
        <v>7032</v>
      </c>
      <c r="F1356" s="86">
        <v>215.67</v>
      </c>
      <c r="G1356" s="86">
        <v>5</v>
      </c>
      <c r="H1356" s="86">
        <v>1078.35</v>
      </c>
      <c r="I1356" s="86">
        <v>23340.91</v>
      </c>
      <c r="J1356" s="85" t="s">
        <v>2965</v>
      </c>
      <c r="K1356" s="85" t="s">
        <v>6999</v>
      </c>
      <c r="L1356" s="85" t="s">
        <v>4135</v>
      </c>
      <c r="M1356" s="85" t="s">
        <v>7033</v>
      </c>
    </row>
    <row r="1357" ht="213.75" spans="1:13">
      <c r="A1357" s="85" t="s">
        <v>6998</v>
      </c>
      <c r="B1357" s="85" t="s">
        <v>7034</v>
      </c>
      <c r="C1357" s="85" t="s">
        <v>7035</v>
      </c>
      <c r="D1357" s="85" t="s">
        <v>3434</v>
      </c>
      <c r="E1357" s="85" t="s">
        <v>7035</v>
      </c>
      <c r="F1357" s="86">
        <v>13.95</v>
      </c>
      <c r="G1357" s="86">
        <v>30</v>
      </c>
      <c r="H1357" s="86">
        <v>418.5</v>
      </c>
      <c r="I1357" s="86">
        <v>23340.91</v>
      </c>
      <c r="J1357" s="85" t="s">
        <v>2965</v>
      </c>
      <c r="K1357" s="85" t="s">
        <v>6999</v>
      </c>
      <c r="L1357" s="85" t="s">
        <v>4135</v>
      </c>
      <c r="M1357" s="85" t="s">
        <v>7036</v>
      </c>
    </row>
    <row r="1358" ht="213.75" spans="1:13">
      <c r="A1358" s="85" t="s">
        <v>6998</v>
      </c>
      <c r="B1358" s="85" t="s">
        <v>6208</v>
      </c>
      <c r="C1358" s="85" t="s">
        <v>6209</v>
      </c>
      <c r="D1358" s="85" t="s">
        <v>3153</v>
      </c>
      <c r="E1358" s="85" t="s">
        <v>6209</v>
      </c>
      <c r="F1358" s="86">
        <v>250.25</v>
      </c>
      <c r="G1358" s="86">
        <v>5</v>
      </c>
      <c r="H1358" s="86">
        <v>1251.25</v>
      </c>
      <c r="I1358" s="86">
        <v>23340.91</v>
      </c>
      <c r="J1358" s="85" t="s">
        <v>2965</v>
      </c>
      <c r="K1358" s="85" t="s">
        <v>6999</v>
      </c>
      <c r="L1358" s="85" t="s">
        <v>4135</v>
      </c>
      <c r="M1358" s="85" t="s">
        <v>7037</v>
      </c>
    </row>
    <row r="1359" ht="213.75" spans="1:13">
      <c r="A1359" s="85" t="s">
        <v>6998</v>
      </c>
      <c r="B1359" s="85" t="s">
        <v>7038</v>
      </c>
      <c r="C1359" s="85" t="s">
        <v>7039</v>
      </c>
      <c r="D1359" s="85" t="s">
        <v>7024</v>
      </c>
      <c r="E1359" s="85" t="s">
        <v>7039</v>
      </c>
      <c r="F1359" s="86">
        <v>215.67</v>
      </c>
      <c r="G1359" s="86">
        <v>5</v>
      </c>
      <c r="H1359" s="86">
        <v>1078.35</v>
      </c>
      <c r="I1359" s="86">
        <v>23340.91</v>
      </c>
      <c r="J1359" s="85" t="s">
        <v>2965</v>
      </c>
      <c r="K1359" s="85" t="s">
        <v>6999</v>
      </c>
      <c r="L1359" s="85" t="s">
        <v>4135</v>
      </c>
      <c r="M1359" s="85" t="s">
        <v>7040</v>
      </c>
    </row>
    <row r="1360" ht="327.75" spans="1:13">
      <c r="A1360" s="85" t="s">
        <v>6998</v>
      </c>
      <c r="B1360" s="85" t="s">
        <v>3275</v>
      </c>
      <c r="C1360" s="85" t="s">
        <v>3276</v>
      </c>
      <c r="D1360" s="85" t="s">
        <v>3153</v>
      </c>
      <c r="E1360" s="85" t="s">
        <v>3276</v>
      </c>
      <c r="F1360" s="86">
        <v>128.39</v>
      </c>
      <c r="G1360" s="86">
        <v>10</v>
      </c>
      <c r="H1360" s="86">
        <v>1283.9</v>
      </c>
      <c r="I1360" s="86">
        <v>23340.91</v>
      </c>
      <c r="J1360" s="85" t="s">
        <v>2965</v>
      </c>
      <c r="K1360" s="85" t="s">
        <v>6999</v>
      </c>
      <c r="L1360" s="85" t="s">
        <v>4135</v>
      </c>
      <c r="M1360" s="85" t="s">
        <v>7041</v>
      </c>
    </row>
    <row r="1361" ht="213.75" spans="1:13">
      <c r="A1361" s="85" t="s">
        <v>6998</v>
      </c>
      <c r="B1361" s="85" t="s">
        <v>4477</v>
      </c>
      <c r="C1361" s="85" t="s">
        <v>4478</v>
      </c>
      <c r="D1361" s="85" t="s">
        <v>3183</v>
      </c>
      <c r="E1361" s="85" t="s">
        <v>4478</v>
      </c>
      <c r="F1361" s="86">
        <v>118</v>
      </c>
      <c r="G1361" s="86">
        <v>25</v>
      </c>
      <c r="H1361" s="86">
        <v>2950</v>
      </c>
      <c r="I1361" s="86">
        <v>23340.91</v>
      </c>
      <c r="J1361" s="85" t="s">
        <v>2965</v>
      </c>
      <c r="K1361" s="85" t="s">
        <v>6999</v>
      </c>
      <c r="L1361" s="85" t="s">
        <v>4135</v>
      </c>
      <c r="M1361" s="85" t="s">
        <v>7042</v>
      </c>
    </row>
    <row r="1362" ht="213.75" spans="1:13">
      <c r="A1362" s="85" t="s">
        <v>7043</v>
      </c>
      <c r="B1362" s="85" t="s">
        <v>4142</v>
      </c>
      <c r="C1362" s="85" t="s">
        <v>4143</v>
      </c>
      <c r="D1362" s="85" t="s">
        <v>4144</v>
      </c>
      <c r="E1362" s="85" t="s">
        <v>4143</v>
      </c>
      <c r="F1362" s="86">
        <v>3845613.52</v>
      </c>
      <c r="G1362" s="86">
        <v>1</v>
      </c>
      <c r="H1362" s="86">
        <v>3845613.52</v>
      </c>
      <c r="I1362" s="86">
        <v>3845613.52</v>
      </c>
      <c r="J1362" s="85" t="s">
        <v>3898</v>
      </c>
      <c r="K1362" s="85" t="s">
        <v>7044</v>
      </c>
      <c r="L1362" s="85" t="s">
        <v>4135</v>
      </c>
      <c r="M1362" s="85" t="s">
        <v>7045</v>
      </c>
    </row>
    <row r="1363" ht="213.75" spans="1:13">
      <c r="A1363" s="85" t="s">
        <v>7046</v>
      </c>
      <c r="B1363" s="85" t="s">
        <v>4873</v>
      </c>
      <c r="C1363" s="85" t="s">
        <v>4874</v>
      </c>
      <c r="D1363" s="85" t="s">
        <v>4875</v>
      </c>
      <c r="E1363" s="85" t="s">
        <v>1919</v>
      </c>
      <c r="F1363" s="86">
        <v>45</v>
      </c>
      <c r="G1363" s="86">
        <v>10</v>
      </c>
      <c r="H1363" s="86">
        <v>450</v>
      </c>
      <c r="I1363" s="86">
        <v>990</v>
      </c>
      <c r="J1363" s="85" t="s">
        <v>3031</v>
      </c>
      <c r="K1363" s="85" t="s">
        <v>7047</v>
      </c>
      <c r="L1363" s="85" t="s">
        <v>4135</v>
      </c>
      <c r="M1363" s="85" t="s">
        <v>7048</v>
      </c>
    </row>
    <row r="1364" ht="213.75" spans="1:13">
      <c r="A1364" s="85" t="s">
        <v>7049</v>
      </c>
      <c r="B1364" s="85" t="s">
        <v>7050</v>
      </c>
      <c r="C1364" s="85" t="s">
        <v>7051</v>
      </c>
      <c r="D1364" s="85" t="s">
        <v>2977</v>
      </c>
      <c r="E1364" s="85" t="s">
        <v>2978</v>
      </c>
      <c r="F1364" s="86">
        <v>12.96</v>
      </c>
      <c r="G1364" s="86">
        <v>10</v>
      </c>
      <c r="H1364" s="86">
        <v>129.6</v>
      </c>
      <c r="I1364" s="86">
        <v>3432.6</v>
      </c>
      <c r="J1364" s="85" t="s">
        <v>2958</v>
      </c>
      <c r="K1364" s="85" t="s">
        <v>7047</v>
      </c>
      <c r="L1364" s="85" t="s">
        <v>4135</v>
      </c>
      <c r="M1364" s="85" t="s">
        <v>7052</v>
      </c>
    </row>
    <row r="1365" ht="213.75" spans="1:13">
      <c r="A1365" s="85" t="s">
        <v>7049</v>
      </c>
      <c r="B1365" s="85" t="s">
        <v>3092</v>
      </c>
      <c r="C1365" s="85" t="s">
        <v>3093</v>
      </c>
      <c r="D1365" s="85" t="s">
        <v>2982</v>
      </c>
      <c r="E1365" s="85" t="s">
        <v>3094</v>
      </c>
      <c r="F1365" s="86">
        <v>13.23</v>
      </c>
      <c r="G1365" s="86">
        <v>100</v>
      </c>
      <c r="H1365" s="86">
        <v>1323</v>
      </c>
      <c r="I1365" s="86">
        <v>3432.6</v>
      </c>
      <c r="J1365" s="85" t="s">
        <v>2958</v>
      </c>
      <c r="K1365" s="85" t="s">
        <v>7047</v>
      </c>
      <c r="L1365" s="85" t="s">
        <v>4135</v>
      </c>
      <c r="M1365" s="85" t="s">
        <v>7053</v>
      </c>
    </row>
    <row r="1366" ht="213.75" spans="1:13">
      <c r="A1366" s="85" t="s">
        <v>7054</v>
      </c>
      <c r="B1366" s="85" t="s">
        <v>7055</v>
      </c>
      <c r="C1366" s="85" t="s">
        <v>7056</v>
      </c>
      <c r="D1366" s="85" t="s">
        <v>2992</v>
      </c>
      <c r="E1366" s="85" t="s">
        <v>1815</v>
      </c>
      <c r="F1366" s="86">
        <v>8</v>
      </c>
      <c r="G1366" s="86">
        <v>400</v>
      </c>
      <c r="H1366" s="86">
        <v>3200</v>
      </c>
      <c r="I1366" s="86">
        <v>7440</v>
      </c>
      <c r="J1366" s="85" t="s">
        <v>2958</v>
      </c>
      <c r="K1366" s="85" t="s">
        <v>7047</v>
      </c>
      <c r="L1366" s="85" t="s">
        <v>4135</v>
      </c>
      <c r="M1366" s="85" t="s">
        <v>7057</v>
      </c>
    </row>
    <row r="1367" ht="213.75" spans="1:13">
      <c r="A1367" s="85" t="s">
        <v>7058</v>
      </c>
      <c r="B1367" s="85" t="s">
        <v>4537</v>
      </c>
      <c r="C1367" s="85" t="s">
        <v>4538</v>
      </c>
      <c r="D1367" s="85" t="s">
        <v>2997</v>
      </c>
      <c r="E1367" s="85" t="s">
        <v>2998</v>
      </c>
      <c r="F1367" s="86">
        <v>18</v>
      </c>
      <c r="G1367" s="86">
        <v>60</v>
      </c>
      <c r="H1367" s="86">
        <v>1080</v>
      </c>
      <c r="I1367" s="86">
        <v>1570</v>
      </c>
      <c r="J1367" s="85" t="s">
        <v>2999</v>
      </c>
      <c r="K1367" s="85" t="s">
        <v>7047</v>
      </c>
      <c r="L1367" s="85" t="s">
        <v>4135</v>
      </c>
      <c r="M1367" s="85" t="s">
        <v>7059</v>
      </c>
    </row>
    <row r="1368" ht="228" spans="1:13">
      <c r="A1368" s="85" t="s">
        <v>7049</v>
      </c>
      <c r="B1368" s="85" t="s">
        <v>7060</v>
      </c>
      <c r="C1368" s="85" t="s">
        <v>7061</v>
      </c>
      <c r="D1368" s="85" t="s">
        <v>2982</v>
      </c>
      <c r="E1368" s="85" t="s">
        <v>7062</v>
      </c>
      <c r="F1368" s="86">
        <v>95</v>
      </c>
      <c r="G1368" s="86">
        <v>1</v>
      </c>
      <c r="H1368" s="86">
        <v>95</v>
      </c>
      <c r="I1368" s="86">
        <v>3432.6</v>
      </c>
      <c r="J1368" s="85" t="s">
        <v>2958</v>
      </c>
      <c r="K1368" s="85" t="s">
        <v>7047</v>
      </c>
      <c r="L1368" s="85" t="s">
        <v>4135</v>
      </c>
      <c r="M1368" s="85" t="s">
        <v>7063</v>
      </c>
    </row>
    <row r="1369" ht="213.75" spans="1:13">
      <c r="A1369" s="85" t="s">
        <v>7058</v>
      </c>
      <c r="B1369" s="85" t="s">
        <v>5926</v>
      </c>
      <c r="C1369" s="85" t="s">
        <v>5927</v>
      </c>
      <c r="D1369" s="85" t="s">
        <v>5909</v>
      </c>
      <c r="E1369" s="85" t="s">
        <v>5910</v>
      </c>
      <c r="F1369" s="86">
        <v>98</v>
      </c>
      <c r="G1369" s="86">
        <v>5</v>
      </c>
      <c r="H1369" s="86">
        <v>490</v>
      </c>
      <c r="I1369" s="86">
        <v>1570</v>
      </c>
      <c r="J1369" s="85" t="s">
        <v>2999</v>
      </c>
      <c r="K1369" s="85" t="s">
        <v>7047</v>
      </c>
      <c r="L1369" s="85" t="s">
        <v>4135</v>
      </c>
      <c r="M1369" s="85" t="s">
        <v>7064</v>
      </c>
    </row>
    <row r="1370" ht="213.75" spans="1:13">
      <c r="A1370" s="85" t="s">
        <v>7049</v>
      </c>
      <c r="B1370" s="85" t="s">
        <v>4759</v>
      </c>
      <c r="C1370" s="85" t="s">
        <v>4760</v>
      </c>
      <c r="D1370" s="85" t="s">
        <v>2982</v>
      </c>
      <c r="E1370" s="85" t="s">
        <v>4761</v>
      </c>
      <c r="F1370" s="86">
        <v>10.95</v>
      </c>
      <c r="G1370" s="86">
        <v>100</v>
      </c>
      <c r="H1370" s="86">
        <v>1095</v>
      </c>
      <c r="I1370" s="86">
        <v>3432.6</v>
      </c>
      <c r="J1370" s="85" t="s">
        <v>2958</v>
      </c>
      <c r="K1370" s="85" t="s">
        <v>7047</v>
      </c>
      <c r="L1370" s="85" t="s">
        <v>4135</v>
      </c>
      <c r="M1370" s="85" t="s">
        <v>7065</v>
      </c>
    </row>
    <row r="1371" ht="242.25" spans="1:13">
      <c r="A1371" s="85" t="s">
        <v>7049</v>
      </c>
      <c r="B1371" s="85" t="s">
        <v>2985</v>
      </c>
      <c r="C1371" s="85" t="s">
        <v>2986</v>
      </c>
      <c r="D1371" s="85" t="s">
        <v>2987</v>
      </c>
      <c r="E1371" s="85" t="s">
        <v>2988</v>
      </c>
      <c r="F1371" s="86">
        <v>3.95</v>
      </c>
      <c r="G1371" s="86">
        <v>200</v>
      </c>
      <c r="H1371" s="86">
        <v>790</v>
      </c>
      <c r="I1371" s="86">
        <v>3432.6</v>
      </c>
      <c r="J1371" s="85" t="s">
        <v>2958</v>
      </c>
      <c r="K1371" s="85" t="s">
        <v>7047</v>
      </c>
      <c r="L1371" s="85" t="s">
        <v>4135</v>
      </c>
      <c r="M1371" s="85" t="s">
        <v>7066</v>
      </c>
    </row>
    <row r="1372" ht="213.75" spans="1:13">
      <c r="A1372" s="85" t="s">
        <v>7054</v>
      </c>
      <c r="B1372" s="85" t="s">
        <v>3063</v>
      </c>
      <c r="C1372" s="85" t="s">
        <v>3064</v>
      </c>
      <c r="D1372" s="85" t="s">
        <v>2992</v>
      </c>
      <c r="E1372" s="85" t="s">
        <v>1815</v>
      </c>
      <c r="F1372" s="86">
        <v>5.3</v>
      </c>
      <c r="G1372" s="86">
        <v>800</v>
      </c>
      <c r="H1372" s="86">
        <v>4240</v>
      </c>
      <c r="I1372" s="86">
        <v>7440</v>
      </c>
      <c r="J1372" s="85" t="s">
        <v>2958</v>
      </c>
      <c r="K1372" s="85" t="s">
        <v>7047</v>
      </c>
      <c r="L1372" s="85" t="s">
        <v>4135</v>
      </c>
      <c r="M1372" s="85" t="s">
        <v>7067</v>
      </c>
    </row>
    <row r="1373" ht="213.75" spans="1:13">
      <c r="A1373" s="85" t="s">
        <v>7046</v>
      </c>
      <c r="B1373" s="85" t="s">
        <v>5597</v>
      </c>
      <c r="C1373" s="85" t="s">
        <v>5598</v>
      </c>
      <c r="D1373" s="85" t="s">
        <v>3030</v>
      </c>
      <c r="E1373" s="85" t="s">
        <v>1916</v>
      </c>
      <c r="F1373" s="86">
        <v>90</v>
      </c>
      <c r="G1373" s="86">
        <v>6</v>
      </c>
      <c r="H1373" s="86">
        <v>540</v>
      </c>
      <c r="I1373" s="86">
        <v>990</v>
      </c>
      <c r="J1373" s="85" t="s">
        <v>3031</v>
      </c>
      <c r="K1373" s="85" t="s">
        <v>7047</v>
      </c>
      <c r="L1373" s="85" t="s">
        <v>4135</v>
      </c>
      <c r="M1373" s="85" t="s">
        <v>7068</v>
      </c>
    </row>
    <row r="1374" ht="213.75" spans="1:13">
      <c r="A1374" s="85" t="s">
        <v>7069</v>
      </c>
      <c r="B1374" s="85" t="s">
        <v>7070</v>
      </c>
      <c r="C1374" s="85" t="s">
        <v>7071</v>
      </c>
      <c r="D1374" s="85" t="s">
        <v>7072</v>
      </c>
      <c r="E1374" s="85" t="s">
        <v>2081</v>
      </c>
      <c r="F1374" s="86">
        <v>5015</v>
      </c>
      <c r="G1374" s="86">
        <v>2</v>
      </c>
      <c r="H1374" s="86">
        <v>10030</v>
      </c>
      <c r="I1374" s="86">
        <v>15035</v>
      </c>
      <c r="J1374" s="85" t="s">
        <v>6655</v>
      </c>
      <c r="K1374" s="85" t="s">
        <v>7073</v>
      </c>
      <c r="L1374" s="85" t="s">
        <v>4135</v>
      </c>
      <c r="M1374" s="85" t="s">
        <v>7074</v>
      </c>
    </row>
    <row r="1375" ht="213.75" spans="1:13">
      <c r="A1375" s="85" t="s">
        <v>7069</v>
      </c>
      <c r="B1375" s="85" t="s">
        <v>7075</v>
      </c>
      <c r="C1375" s="85" t="s">
        <v>7076</v>
      </c>
      <c r="D1375" s="85" t="s">
        <v>7072</v>
      </c>
      <c r="E1375" s="85" t="s">
        <v>2081</v>
      </c>
      <c r="F1375" s="86">
        <v>2665</v>
      </c>
      <c r="G1375" s="86">
        <v>1</v>
      </c>
      <c r="H1375" s="86">
        <v>2665</v>
      </c>
      <c r="I1375" s="86">
        <v>15035</v>
      </c>
      <c r="J1375" s="85" t="s">
        <v>6655</v>
      </c>
      <c r="K1375" s="85" t="s">
        <v>7073</v>
      </c>
      <c r="L1375" s="85" t="s">
        <v>4135</v>
      </c>
      <c r="M1375" s="85" t="s">
        <v>7077</v>
      </c>
    </row>
    <row r="1376" ht="213.75" spans="1:13">
      <c r="A1376" s="85" t="s">
        <v>7069</v>
      </c>
      <c r="B1376" s="85" t="s">
        <v>7078</v>
      </c>
      <c r="C1376" s="85" t="s">
        <v>7079</v>
      </c>
      <c r="D1376" s="85" t="s">
        <v>5406</v>
      </c>
      <c r="E1376" s="85" t="s">
        <v>2083</v>
      </c>
      <c r="F1376" s="86">
        <v>90</v>
      </c>
      <c r="G1376" s="86">
        <v>26</v>
      </c>
      <c r="H1376" s="86">
        <v>2340</v>
      </c>
      <c r="I1376" s="86">
        <v>15035</v>
      </c>
      <c r="J1376" s="85" t="s">
        <v>6655</v>
      </c>
      <c r="K1376" s="85" t="s">
        <v>7073</v>
      </c>
      <c r="L1376" s="85" t="s">
        <v>4135</v>
      </c>
      <c r="M1376" s="85" t="s">
        <v>7080</v>
      </c>
    </row>
    <row r="1377" ht="213.75" spans="1:13">
      <c r="A1377" s="85" t="s">
        <v>7081</v>
      </c>
      <c r="B1377" s="85" t="s">
        <v>7082</v>
      </c>
      <c r="C1377" s="85" t="s">
        <v>7083</v>
      </c>
      <c r="D1377" s="85" t="s">
        <v>7084</v>
      </c>
      <c r="E1377" s="85" t="s">
        <v>7083</v>
      </c>
      <c r="F1377" s="86">
        <v>444000</v>
      </c>
      <c r="G1377" s="86">
        <v>1</v>
      </c>
      <c r="H1377" s="86">
        <v>444000</v>
      </c>
      <c r="I1377" s="86">
        <v>444000</v>
      </c>
      <c r="J1377" s="85" t="s">
        <v>7085</v>
      </c>
      <c r="K1377" s="85" t="s">
        <v>7086</v>
      </c>
      <c r="L1377" s="85" t="s">
        <v>6980</v>
      </c>
      <c r="M1377" s="85" t="s">
        <v>7087</v>
      </c>
    </row>
    <row r="1378" ht="213.75" spans="1:13">
      <c r="A1378" s="85" t="s">
        <v>7088</v>
      </c>
      <c r="B1378" s="85" t="s">
        <v>7082</v>
      </c>
      <c r="C1378" s="85" t="s">
        <v>7083</v>
      </c>
      <c r="D1378" s="85" t="s">
        <v>7084</v>
      </c>
      <c r="E1378" s="85" t="s">
        <v>7083</v>
      </c>
      <c r="F1378" s="86">
        <v>444000</v>
      </c>
      <c r="G1378" s="86">
        <v>1</v>
      </c>
      <c r="H1378" s="86">
        <v>444000</v>
      </c>
      <c r="I1378" s="86">
        <v>444000</v>
      </c>
      <c r="J1378" s="85" t="s">
        <v>7085</v>
      </c>
      <c r="K1378" s="85" t="s">
        <v>7086</v>
      </c>
      <c r="L1378" s="85" t="s">
        <v>6980</v>
      </c>
      <c r="M1378" s="85" t="s">
        <v>7089</v>
      </c>
    </row>
    <row r="1379" ht="213.75" spans="1:13">
      <c r="A1379" s="85" t="s">
        <v>7090</v>
      </c>
      <c r="B1379" s="85" t="s">
        <v>7082</v>
      </c>
      <c r="C1379" s="85" t="s">
        <v>7083</v>
      </c>
      <c r="D1379" s="85" t="s">
        <v>7084</v>
      </c>
      <c r="E1379" s="85" t="s">
        <v>7083</v>
      </c>
      <c r="F1379" s="86">
        <v>444000</v>
      </c>
      <c r="G1379" s="86">
        <v>1</v>
      </c>
      <c r="H1379" s="86">
        <v>444000</v>
      </c>
      <c r="I1379" s="86">
        <v>444000</v>
      </c>
      <c r="J1379" s="85" t="s">
        <v>7085</v>
      </c>
      <c r="K1379" s="85" t="s">
        <v>7086</v>
      </c>
      <c r="L1379" s="85" t="s">
        <v>6980</v>
      </c>
      <c r="M1379" s="85" t="s">
        <v>7091</v>
      </c>
    </row>
    <row r="1380" ht="213.75" spans="1:13">
      <c r="A1380" s="85" t="s">
        <v>7092</v>
      </c>
      <c r="B1380" s="85" t="s">
        <v>5662</v>
      </c>
      <c r="C1380" s="85" t="s">
        <v>5663</v>
      </c>
      <c r="D1380" s="85" t="s">
        <v>4076</v>
      </c>
      <c r="E1380" s="85" t="s">
        <v>1832</v>
      </c>
      <c r="F1380" s="86">
        <v>128</v>
      </c>
      <c r="G1380" s="86">
        <v>280</v>
      </c>
      <c r="H1380" s="86">
        <v>35840</v>
      </c>
      <c r="I1380" s="86">
        <v>43265</v>
      </c>
      <c r="J1380" s="85" t="s">
        <v>2938</v>
      </c>
      <c r="K1380" s="85" t="s">
        <v>7093</v>
      </c>
      <c r="L1380" s="85" t="s">
        <v>4135</v>
      </c>
      <c r="M1380" s="85" t="s">
        <v>7094</v>
      </c>
    </row>
    <row r="1381" ht="213.75" spans="1:13">
      <c r="A1381" s="85" t="s">
        <v>7092</v>
      </c>
      <c r="B1381" s="85" t="s">
        <v>5854</v>
      </c>
      <c r="C1381" s="85" t="s">
        <v>5855</v>
      </c>
      <c r="D1381" s="85" t="s">
        <v>5240</v>
      </c>
      <c r="E1381" s="85" t="s">
        <v>4081</v>
      </c>
      <c r="F1381" s="86">
        <v>280</v>
      </c>
      <c r="G1381" s="86">
        <v>20</v>
      </c>
      <c r="H1381" s="86">
        <v>5600</v>
      </c>
      <c r="I1381" s="86">
        <v>43265</v>
      </c>
      <c r="J1381" s="85" t="s">
        <v>2938</v>
      </c>
      <c r="K1381" s="85" t="s">
        <v>7093</v>
      </c>
      <c r="L1381" s="85" t="s">
        <v>4135</v>
      </c>
      <c r="M1381" s="85" t="s">
        <v>7095</v>
      </c>
    </row>
    <row r="1382" ht="213.75" spans="1:13">
      <c r="A1382" s="85" t="s">
        <v>7092</v>
      </c>
      <c r="B1382" s="85" t="s">
        <v>3546</v>
      </c>
      <c r="C1382" s="85" t="s">
        <v>3547</v>
      </c>
      <c r="D1382" s="85" t="s">
        <v>3548</v>
      </c>
      <c r="E1382" s="85" t="s">
        <v>1835</v>
      </c>
      <c r="F1382" s="86">
        <v>365</v>
      </c>
      <c r="G1382" s="86">
        <v>5</v>
      </c>
      <c r="H1382" s="86">
        <v>1825</v>
      </c>
      <c r="I1382" s="86">
        <v>43265</v>
      </c>
      <c r="J1382" s="85" t="s">
        <v>2938</v>
      </c>
      <c r="K1382" s="85" t="s">
        <v>7093</v>
      </c>
      <c r="L1382" s="85" t="s">
        <v>4135</v>
      </c>
      <c r="M1382" s="85" t="s">
        <v>7096</v>
      </c>
    </row>
    <row r="1383" ht="213.75" spans="1:13">
      <c r="A1383" s="85" t="s">
        <v>7097</v>
      </c>
      <c r="B1383" s="85" t="s">
        <v>7098</v>
      </c>
      <c r="C1383" s="85" t="s">
        <v>7099</v>
      </c>
      <c r="D1383" s="85" t="s">
        <v>7100</v>
      </c>
      <c r="E1383" s="85" t="s">
        <v>7099</v>
      </c>
      <c r="F1383" s="86">
        <v>13</v>
      </c>
      <c r="G1383" s="86">
        <v>6</v>
      </c>
      <c r="H1383" s="86">
        <v>78</v>
      </c>
      <c r="I1383" s="86">
        <v>26426</v>
      </c>
      <c r="J1383" s="85" t="s">
        <v>2935</v>
      </c>
      <c r="K1383" s="85" t="s">
        <v>7101</v>
      </c>
      <c r="L1383" s="85" t="s">
        <v>4135</v>
      </c>
      <c r="M1383" s="85" t="s">
        <v>7102</v>
      </c>
    </row>
    <row r="1384" ht="213.75" spans="1:13">
      <c r="A1384" s="85" t="s">
        <v>7097</v>
      </c>
      <c r="B1384" s="85" t="s">
        <v>7103</v>
      </c>
      <c r="C1384" s="85" t="s">
        <v>7104</v>
      </c>
      <c r="D1384" s="85" t="s">
        <v>3834</v>
      </c>
      <c r="E1384" s="85" t="s">
        <v>3855</v>
      </c>
      <c r="F1384" s="86">
        <v>820</v>
      </c>
      <c r="G1384" s="86">
        <v>6</v>
      </c>
      <c r="H1384" s="86">
        <v>4920</v>
      </c>
      <c r="I1384" s="86">
        <v>26426</v>
      </c>
      <c r="J1384" s="85" t="s">
        <v>2935</v>
      </c>
      <c r="K1384" s="85" t="s">
        <v>7101</v>
      </c>
      <c r="L1384" s="85" t="s">
        <v>4135</v>
      </c>
      <c r="M1384" s="85" t="s">
        <v>7105</v>
      </c>
    </row>
    <row r="1385" ht="213.75" spans="1:13">
      <c r="A1385" s="85" t="s">
        <v>7097</v>
      </c>
      <c r="B1385" s="85" t="s">
        <v>7106</v>
      </c>
      <c r="C1385" s="85" t="s">
        <v>7107</v>
      </c>
      <c r="D1385" s="85" t="s">
        <v>4246</v>
      </c>
      <c r="E1385" s="85" t="s">
        <v>4247</v>
      </c>
      <c r="F1385" s="86">
        <v>16</v>
      </c>
      <c r="G1385" s="86">
        <v>20</v>
      </c>
      <c r="H1385" s="86">
        <v>320</v>
      </c>
      <c r="I1385" s="86">
        <v>26426</v>
      </c>
      <c r="J1385" s="85" t="s">
        <v>2935</v>
      </c>
      <c r="K1385" s="85" t="s">
        <v>7101</v>
      </c>
      <c r="L1385" s="85" t="s">
        <v>4135</v>
      </c>
      <c r="M1385" s="85" t="s">
        <v>7108</v>
      </c>
    </row>
    <row r="1386" ht="213.75" spans="1:13">
      <c r="A1386" s="85" t="s">
        <v>7097</v>
      </c>
      <c r="B1386" s="85" t="s">
        <v>7109</v>
      </c>
      <c r="C1386" s="85" t="s">
        <v>7110</v>
      </c>
      <c r="D1386" s="85" t="s">
        <v>4246</v>
      </c>
      <c r="E1386" s="85" t="s">
        <v>7110</v>
      </c>
      <c r="F1386" s="86">
        <v>22</v>
      </c>
      <c r="G1386" s="86">
        <v>20</v>
      </c>
      <c r="H1386" s="86">
        <v>440</v>
      </c>
      <c r="I1386" s="86">
        <v>26426</v>
      </c>
      <c r="J1386" s="85" t="s">
        <v>2935</v>
      </c>
      <c r="K1386" s="85" t="s">
        <v>7101</v>
      </c>
      <c r="L1386" s="85" t="s">
        <v>4135</v>
      </c>
      <c r="M1386" s="85" t="s">
        <v>7111</v>
      </c>
    </row>
    <row r="1387" ht="213.75" spans="1:13">
      <c r="A1387" s="85" t="s">
        <v>7097</v>
      </c>
      <c r="B1387" s="85" t="s">
        <v>7109</v>
      </c>
      <c r="C1387" s="85" t="s">
        <v>7110</v>
      </c>
      <c r="D1387" s="85" t="s">
        <v>4246</v>
      </c>
      <c r="E1387" s="85" t="s">
        <v>7110</v>
      </c>
      <c r="F1387" s="86">
        <v>105</v>
      </c>
      <c r="G1387" s="86">
        <v>1</v>
      </c>
      <c r="H1387" s="86">
        <v>105</v>
      </c>
      <c r="I1387" s="86">
        <v>26426</v>
      </c>
      <c r="J1387" s="85" t="s">
        <v>2935</v>
      </c>
      <c r="K1387" s="85" t="s">
        <v>7101</v>
      </c>
      <c r="L1387" s="85" t="s">
        <v>4135</v>
      </c>
      <c r="M1387" s="85" t="s">
        <v>7112</v>
      </c>
    </row>
    <row r="1388" ht="213.75" spans="1:13">
      <c r="A1388" s="85" t="s">
        <v>7097</v>
      </c>
      <c r="B1388" s="85" t="s">
        <v>5349</v>
      </c>
      <c r="C1388" s="85" t="s">
        <v>5350</v>
      </c>
      <c r="D1388" s="85" t="s">
        <v>3189</v>
      </c>
      <c r="E1388" s="85" t="s">
        <v>5351</v>
      </c>
      <c r="F1388" s="86">
        <v>19</v>
      </c>
      <c r="G1388" s="86">
        <v>21</v>
      </c>
      <c r="H1388" s="86">
        <v>399</v>
      </c>
      <c r="I1388" s="86">
        <v>26426</v>
      </c>
      <c r="J1388" s="85" t="s">
        <v>2935</v>
      </c>
      <c r="K1388" s="85" t="s">
        <v>7101</v>
      </c>
      <c r="L1388" s="85" t="s">
        <v>4135</v>
      </c>
      <c r="M1388" s="85" t="s">
        <v>7113</v>
      </c>
    </row>
    <row r="1389" ht="213.75" spans="1:13">
      <c r="A1389" s="85" t="s">
        <v>7097</v>
      </c>
      <c r="B1389" s="85" t="s">
        <v>7114</v>
      </c>
      <c r="C1389" s="85" t="s">
        <v>7115</v>
      </c>
      <c r="D1389" s="85" t="s">
        <v>4246</v>
      </c>
      <c r="E1389" s="85" t="s">
        <v>7115</v>
      </c>
      <c r="F1389" s="86">
        <v>88</v>
      </c>
      <c r="G1389" s="86">
        <v>20</v>
      </c>
      <c r="H1389" s="86">
        <v>1760</v>
      </c>
      <c r="I1389" s="86">
        <v>26426</v>
      </c>
      <c r="J1389" s="85" t="s">
        <v>2935</v>
      </c>
      <c r="K1389" s="85" t="s">
        <v>7101</v>
      </c>
      <c r="L1389" s="85" t="s">
        <v>4135</v>
      </c>
      <c r="M1389" s="85" t="s">
        <v>7116</v>
      </c>
    </row>
    <row r="1390" ht="213.75" spans="1:13">
      <c r="A1390" s="85" t="s">
        <v>7097</v>
      </c>
      <c r="B1390" s="85" t="s">
        <v>7117</v>
      </c>
      <c r="C1390" s="85" t="s">
        <v>7118</v>
      </c>
      <c r="D1390" s="85" t="s">
        <v>4264</v>
      </c>
      <c r="E1390" s="85" t="s">
        <v>4265</v>
      </c>
      <c r="F1390" s="86">
        <v>76</v>
      </c>
      <c r="G1390" s="86">
        <v>20</v>
      </c>
      <c r="H1390" s="86">
        <v>1520</v>
      </c>
      <c r="I1390" s="86">
        <v>26426</v>
      </c>
      <c r="J1390" s="85" t="s">
        <v>2935</v>
      </c>
      <c r="K1390" s="85" t="s">
        <v>7101</v>
      </c>
      <c r="L1390" s="85" t="s">
        <v>4135</v>
      </c>
      <c r="M1390" s="85" t="s">
        <v>7119</v>
      </c>
    </row>
    <row r="1391" ht="213.75" spans="1:13">
      <c r="A1391" s="85" t="s">
        <v>7097</v>
      </c>
      <c r="B1391" s="85" t="s">
        <v>7120</v>
      </c>
      <c r="C1391" s="85" t="s">
        <v>7121</v>
      </c>
      <c r="D1391" s="85" t="s">
        <v>3862</v>
      </c>
      <c r="E1391" s="85" t="s">
        <v>7121</v>
      </c>
      <c r="F1391" s="86">
        <v>30</v>
      </c>
      <c r="G1391" s="86">
        <v>10</v>
      </c>
      <c r="H1391" s="86">
        <v>300</v>
      </c>
      <c r="I1391" s="86">
        <v>26426</v>
      </c>
      <c r="J1391" s="85" t="s">
        <v>2935</v>
      </c>
      <c r="K1391" s="85" t="s">
        <v>7101</v>
      </c>
      <c r="L1391" s="85" t="s">
        <v>4135</v>
      </c>
      <c r="M1391" s="85" t="s">
        <v>7122</v>
      </c>
    </row>
    <row r="1392" ht="213.75" spans="1:13">
      <c r="A1392" s="85" t="s">
        <v>7097</v>
      </c>
      <c r="B1392" s="85" t="s">
        <v>6395</v>
      </c>
      <c r="C1392" s="85" t="s">
        <v>6396</v>
      </c>
      <c r="D1392" s="85" t="s">
        <v>3617</v>
      </c>
      <c r="E1392" s="85" t="s">
        <v>6396</v>
      </c>
      <c r="F1392" s="86">
        <v>40</v>
      </c>
      <c r="G1392" s="86">
        <v>10</v>
      </c>
      <c r="H1392" s="86">
        <v>400</v>
      </c>
      <c r="I1392" s="86">
        <v>26426</v>
      </c>
      <c r="J1392" s="85" t="s">
        <v>2935</v>
      </c>
      <c r="K1392" s="85" t="s">
        <v>7101</v>
      </c>
      <c r="L1392" s="85" t="s">
        <v>4135</v>
      </c>
      <c r="M1392" s="85" t="s">
        <v>7123</v>
      </c>
    </row>
    <row r="1393" ht="213.75" spans="1:13">
      <c r="A1393" s="85" t="s">
        <v>7097</v>
      </c>
      <c r="B1393" s="85" t="s">
        <v>7124</v>
      </c>
      <c r="C1393" s="85" t="s">
        <v>7125</v>
      </c>
      <c r="D1393" s="85" t="s">
        <v>4752</v>
      </c>
      <c r="E1393" s="85" t="s">
        <v>4753</v>
      </c>
      <c r="F1393" s="86">
        <v>56.5</v>
      </c>
      <c r="G1393" s="86">
        <v>30</v>
      </c>
      <c r="H1393" s="86">
        <v>1695</v>
      </c>
      <c r="I1393" s="86">
        <v>26426</v>
      </c>
      <c r="J1393" s="85" t="s">
        <v>2935</v>
      </c>
      <c r="K1393" s="85" t="s">
        <v>7101</v>
      </c>
      <c r="L1393" s="85" t="s">
        <v>4135</v>
      </c>
      <c r="M1393" s="85" t="s">
        <v>7126</v>
      </c>
    </row>
    <row r="1394" ht="213.75" spans="1:13">
      <c r="A1394" s="85" t="s">
        <v>7097</v>
      </c>
      <c r="B1394" s="85" t="s">
        <v>7127</v>
      </c>
      <c r="C1394" s="85" t="s">
        <v>7128</v>
      </c>
      <c r="D1394" s="85" t="s">
        <v>3371</v>
      </c>
      <c r="E1394" s="85" t="s">
        <v>7128</v>
      </c>
      <c r="F1394" s="86">
        <v>30</v>
      </c>
      <c r="G1394" s="86">
        <v>10</v>
      </c>
      <c r="H1394" s="86">
        <v>300</v>
      </c>
      <c r="I1394" s="86">
        <v>26426</v>
      </c>
      <c r="J1394" s="85" t="s">
        <v>2935</v>
      </c>
      <c r="K1394" s="85" t="s">
        <v>7101</v>
      </c>
      <c r="L1394" s="85" t="s">
        <v>4135</v>
      </c>
      <c r="M1394" s="85" t="s">
        <v>7129</v>
      </c>
    </row>
    <row r="1395" ht="213.75" spans="1:13">
      <c r="A1395" s="85" t="s">
        <v>7097</v>
      </c>
      <c r="B1395" s="85" t="s">
        <v>7130</v>
      </c>
      <c r="C1395" s="85" t="s">
        <v>7131</v>
      </c>
      <c r="D1395" s="85" t="s">
        <v>3450</v>
      </c>
      <c r="E1395" s="85" t="s">
        <v>7132</v>
      </c>
      <c r="F1395" s="86">
        <v>335</v>
      </c>
      <c r="G1395" s="86">
        <v>1</v>
      </c>
      <c r="H1395" s="86">
        <v>335</v>
      </c>
      <c r="I1395" s="86">
        <v>26426</v>
      </c>
      <c r="J1395" s="85" t="s">
        <v>2935</v>
      </c>
      <c r="K1395" s="85" t="s">
        <v>7101</v>
      </c>
      <c r="L1395" s="85" t="s">
        <v>4135</v>
      </c>
      <c r="M1395" s="85" t="s">
        <v>7133</v>
      </c>
    </row>
    <row r="1396" ht="213.75" spans="1:13">
      <c r="A1396" s="85" t="s">
        <v>7097</v>
      </c>
      <c r="B1396" s="85" t="s">
        <v>7134</v>
      </c>
      <c r="C1396" s="85" t="s">
        <v>7135</v>
      </c>
      <c r="D1396" s="85" t="s">
        <v>4251</v>
      </c>
      <c r="E1396" s="85" t="s">
        <v>7136</v>
      </c>
      <c r="F1396" s="86">
        <v>3</v>
      </c>
      <c r="G1396" s="86">
        <v>4</v>
      </c>
      <c r="H1396" s="86">
        <v>12</v>
      </c>
      <c r="I1396" s="86">
        <v>26426</v>
      </c>
      <c r="J1396" s="85" t="s">
        <v>2935</v>
      </c>
      <c r="K1396" s="85" t="s">
        <v>7101</v>
      </c>
      <c r="L1396" s="85" t="s">
        <v>4135</v>
      </c>
      <c r="M1396" s="85" t="s">
        <v>7137</v>
      </c>
    </row>
    <row r="1397" ht="213.75" spans="1:13">
      <c r="A1397" s="85" t="s">
        <v>7097</v>
      </c>
      <c r="B1397" s="85" t="s">
        <v>7138</v>
      </c>
      <c r="C1397" s="85" t="s">
        <v>7139</v>
      </c>
      <c r="D1397" s="85" t="s">
        <v>7140</v>
      </c>
      <c r="E1397" s="85" t="s">
        <v>7141</v>
      </c>
      <c r="F1397" s="86">
        <v>77</v>
      </c>
      <c r="G1397" s="86">
        <v>20</v>
      </c>
      <c r="H1397" s="86">
        <v>1540</v>
      </c>
      <c r="I1397" s="86">
        <v>26426</v>
      </c>
      <c r="J1397" s="85" t="s">
        <v>2935</v>
      </c>
      <c r="K1397" s="85" t="s">
        <v>7101</v>
      </c>
      <c r="L1397" s="85" t="s">
        <v>4135</v>
      </c>
      <c r="M1397" s="85" t="s">
        <v>7142</v>
      </c>
    </row>
    <row r="1398" ht="213.75" spans="1:13">
      <c r="A1398" s="85" t="s">
        <v>7097</v>
      </c>
      <c r="B1398" s="85" t="s">
        <v>3820</v>
      </c>
      <c r="C1398" s="85" t="s">
        <v>3821</v>
      </c>
      <c r="D1398" s="85" t="s">
        <v>2911</v>
      </c>
      <c r="E1398" s="85" t="s">
        <v>3822</v>
      </c>
      <c r="F1398" s="86">
        <v>980</v>
      </c>
      <c r="G1398" s="86">
        <v>5</v>
      </c>
      <c r="H1398" s="86">
        <v>4900</v>
      </c>
      <c r="I1398" s="86">
        <v>26426</v>
      </c>
      <c r="J1398" s="85" t="s">
        <v>2935</v>
      </c>
      <c r="K1398" s="85" t="s">
        <v>7101</v>
      </c>
      <c r="L1398" s="85" t="s">
        <v>4135</v>
      </c>
      <c r="M1398" s="85" t="s">
        <v>7143</v>
      </c>
    </row>
    <row r="1399" ht="213.75" spans="1:13">
      <c r="A1399" s="85" t="s">
        <v>7097</v>
      </c>
      <c r="B1399" s="85" t="s">
        <v>7144</v>
      </c>
      <c r="C1399" s="85" t="s">
        <v>7145</v>
      </c>
      <c r="D1399" s="85" t="s">
        <v>7146</v>
      </c>
      <c r="E1399" s="85" t="s">
        <v>4452</v>
      </c>
      <c r="F1399" s="86">
        <v>98</v>
      </c>
      <c r="G1399" s="86">
        <v>10</v>
      </c>
      <c r="H1399" s="86">
        <v>980</v>
      </c>
      <c r="I1399" s="86">
        <v>26426</v>
      </c>
      <c r="J1399" s="85" t="s">
        <v>2935</v>
      </c>
      <c r="K1399" s="85" t="s">
        <v>7101</v>
      </c>
      <c r="L1399" s="85" t="s">
        <v>4135</v>
      </c>
      <c r="M1399" s="85" t="s">
        <v>7147</v>
      </c>
    </row>
    <row r="1400" ht="213.75" spans="1:13">
      <c r="A1400" s="85" t="s">
        <v>7097</v>
      </c>
      <c r="B1400" s="85" t="s">
        <v>7148</v>
      </c>
      <c r="C1400" s="85" t="s">
        <v>7149</v>
      </c>
      <c r="D1400" s="85" t="s">
        <v>7150</v>
      </c>
      <c r="E1400" s="85" t="s">
        <v>7151</v>
      </c>
      <c r="F1400" s="86">
        <v>486</v>
      </c>
      <c r="G1400" s="86">
        <v>10</v>
      </c>
      <c r="H1400" s="86">
        <v>4860</v>
      </c>
      <c r="I1400" s="86">
        <v>26426</v>
      </c>
      <c r="J1400" s="85" t="s">
        <v>2935</v>
      </c>
      <c r="K1400" s="85" t="s">
        <v>7101</v>
      </c>
      <c r="L1400" s="85" t="s">
        <v>4135</v>
      </c>
      <c r="M1400" s="85" t="s">
        <v>7152</v>
      </c>
    </row>
    <row r="1401" ht="213.75" spans="1:13">
      <c r="A1401" s="85" t="s">
        <v>7097</v>
      </c>
      <c r="B1401" s="85" t="s">
        <v>7153</v>
      </c>
      <c r="C1401" s="85" t="s">
        <v>7154</v>
      </c>
      <c r="D1401" s="85" t="s">
        <v>5406</v>
      </c>
      <c r="E1401" s="85" t="s">
        <v>7154</v>
      </c>
      <c r="F1401" s="86">
        <v>1562</v>
      </c>
      <c r="G1401" s="86">
        <v>1</v>
      </c>
      <c r="H1401" s="86">
        <v>1562</v>
      </c>
      <c r="I1401" s="86">
        <v>26426</v>
      </c>
      <c r="J1401" s="85" t="s">
        <v>2935</v>
      </c>
      <c r="K1401" s="85" t="s">
        <v>7101</v>
      </c>
      <c r="L1401" s="85" t="s">
        <v>4135</v>
      </c>
      <c r="M1401" s="85" t="s">
        <v>7155</v>
      </c>
    </row>
    <row r="1402" ht="213.75" spans="1:13">
      <c r="A1402" s="85" t="s">
        <v>7156</v>
      </c>
      <c r="B1402" s="85" t="s">
        <v>3745</v>
      </c>
      <c r="C1402" s="85" t="s">
        <v>3746</v>
      </c>
      <c r="D1402" s="85" t="s">
        <v>3747</v>
      </c>
      <c r="E1402" s="85" t="s">
        <v>1827</v>
      </c>
      <c r="F1402" s="86">
        <v>134</v>
      </c>
      <c r="G1402" s="86">
        <v>200</v>
      </c>
      <c r="H1402" s="86">
        <v>26800</v>
      </c>
      <c r="I1402" s="86">
        <v>26800</v>
      </c>
      <c r="J1402" s="85" t="s">
        <v>2932</v>
      </c>
      <c r="K1402" s="85" t="s">
        <v>7157</v>
      </c>
      <c r="L1402" s="85" t="s">
        <v>4135</v>
      </c>
      <c r="M1402" s="85" t="s">
        <v>7158</v>
      </c>
    </row>
    <row r="1403" ht="213.75" spans="1:13">
      <c r="A1403" s="85" t="s">
        <v>7159</v>
      </c>
      <c r="B1403" s="85" t="s">
        <v>3116</v>
      </c>
      <c r="C1403" s="85" t="s">
        <v>3117</v>
      </c>
      <c r="D1403" s="85" t="s">
        <v>3118</v>
      </c>
      <c r="E1403" s="85" t="s">
        <v>3117</v>
      </c>
      <c r="F1403" s="86">
        <v>30000</v>
      </c>
      <c r="G1403" s="86">
        <v>1</v>
      </c>
      <c r="H1403" s="86">
        <v>30000</v>
      </c>
      <c r="I1403" s="86">
        <v>30000</v>
      </c>
      <c r="J1403" s="85" t="s">
        <v>7160</v>
      </c>
      <c r="K1403" s="85" t="s">
        <v>7161</v>
      </c>
      <c r="L1403" s="85" t="s">
        <v>4135</v>
      </c>
      <c r="M1403" s="85" t="s">
        <v>7162</v>
      </c>
    </row>
    <row r="1404" ht="213.75" spans="1:13">
      <c r="A1404" s="85" t="s">
        <v>7163</v>
      </c>
      <c r="B1404" s="85" t="s">
        <v>3123</v>
      </c>
      <c r="C1404" s="85" t="s">
        <v>3124</v>
      </c>
      <c r="D1404" s="85" t="s">
        <v>3125</v>
      </c>
      <c r="E1404" s="85" t="s">
        <v>3124</v>
      </c>
      <c r="F1404" s="86">
        <v>70000</v>
      </c>
      <c r="G1404" s="86">
        <v>1</v>
      </c>
      <c r="H1404" s="86">
        <v>70000</v>
      </c>
      <c r="I1404" s="86">
        <v>70000</v>
      </c>
      <c r="J1404" s="85" t="s">
        <v>5669</v>
      </c>
      <c r="K1404" s="85" t="s">
        <v>7164</v>
      </c>
      <c r="L1404" s="85" t="s">
        <v>4135</v>
      </c>
      <c r="M1404" s="85" t="s">
        <v>7165</v>
      </c>
    </row>
    <row r="1405" ht="213.75" spans="1:13">
      <c r="A1405" s="85" t="s">
        <v>7166</v>
      </c>
      <c r="B1405" s="85" t="s">
        <v>6468</v>
      </c>
      <c r="C1405" s="85" t="s">
        <v>6469</v>
      </c>
      <c r="D1405" s="85" t="s">
        <v>6470</v>
      </c>
      <c r="E1405" s="85" t="s">
        <v>6471</v>
      </c>
      <c r="F1405" s="86">
        <v>35</v>
      </c>
      <c r="G1405" s="86">
        <v>25</v>
      </c>
      <c r="H1405" s="86">
        <v>875</v>
      </c>
      <c r="I1405" s="86">
        <v>2431</v>
      </c>
      <c r="J1405" s="85" t="s">
        <v>2935</v>
      </c>
      <c r="K1405" s="85" t="s">
        <v>7167</v>
      </c>
      <c r="L1405" s="85" t="s">
        <v>4135</v>
      </c>
      <c r="M1405" s="85" t="s">
        <v>7168</v>
      </c>
    </row>
    <row r="1406" ht="213.75" spans="1:13">
      <c r="A1406" s="85" t="s">
        <v>7166</v>
      </c>
      <c r="B1406" s="85" t="s">
        <v>7169</v>
      </c>
      <c r="C1406" s="85" t="s">
        <v>7170</v>
      </c>
      <c r="D1406" s="85" t="s">
        <v>5382</v>
      </c>
      <c r="E1406" s="85" t="s">
        <v>5383</v>
      </c>
      <c r="F1406" s="86">
        <v>29</v>
      </c>
      <c r="G1406" s="86">
        <v>4</v>
      </c>
      <c r="H1406" s="86">
        <v>116</v>
      </c>
      <c r="I1406" s="86">
        <v>2431</v>
      </c>
      <c r="J1406" s="85" t="s">
        <v>2935</v>
      </c>
      <c r="K1406" s="85" t="s">
        <v>7167</v>
      </c>
      <c r="L1406" s="85" t="s">
        <v>4135</v>
      </c>
      <c r="M1406" s="85" t="s">
        <v>7171</v>
      </c>
    </row>
    <row r="1407" ht="213.75" spans="1:13">
      <c r="A1407" s="85" t="s">
        <v>7166</v>
      </c>
      <c r="B1407" s="85" t="s">
        <v>6463</v>
      </c>
      <c r="C1407" s="85" t="s">
        <v>6464</v>
      </c>
      <c r="D1407" s="85" t="s">
        <v>6465</v>
      </c>
      <c r="E1407" s="85" t="s">
        <v>6466</v>
      </c>
      <c r="F1407" s="86">
        <v>360</v>
      </c>
      <c r="G1407" s="86">
        <v>4</v>
      </c>
      <c r="H1407" s="86">
        <v>1440</v>
      </c>
      <c r="I1407" s="86">
        <v>2431</v>
      </c>
      <c r="J1407" s="85" t="s">
        <v>2935</v>
      </c>
      <c r="K1407" s="85" t="s">
        <v>7167</v>
      </c>
      <c r="L1407" s="85" t="s">
        <v>4135</v>
      </c>
      <c r="M1407" s="85" t="s">
        <v>7172</v>
      </c>
    </row>
    <row r="1408" ht="213.75" spans="1:13">
      <c r="A1408" s="85" t="s">
        <v>7173</v>
      </c>
      <c r="B1408" s="85" t="s">
        <v>4148</v>
      </c>
      <c r="C1408" s="85" t="s">
        <v>4149</v>
      </c>
      <c r="D1408" s="85" t="s">
        <v>4150</v>
      </c>
      <c r="E1408" s="85" t="s">
        <v>4149</v>
      </c>
      <c r="F1408" s="86">
        <v>40608</v>
      </c>
      <c r="G1408" s="86">
        <v>1</v>
      </c>
      <c r="H1408" s="86">
        <v>40608</v>
      </c>
      <c r="I1408" s="86">
        <v>40608</v>
      </c>
      <c r="J1408" s="85" t="s">
        <v>7174</v>
      </c>
      <c r="K1408" s="85" t="s">
        <v>7175</v>
      </c>
      <c r="L1408" s="85" t="s">
        <v>6980</v>
      </c>
      <c r="M1408" s="85" t="s">
        <v>7176</v>
      </c>
    </row>
    <row r="1409" ht="213.75" spans="1:13">
      <c r="A1409" s="85" t="s">
        <v>7177</v>
      </c>
      <c r="B1409" s="85" t="s">
        <v>7178</v>
      </c>
      <c r="C1409" s="85" t="s">
        <v>7179</v>
      </c>
      <c r="D1409" s="85" t="s">
        <v>7180</v>
      </c>
      <c r="E1409" s="85" t="s">
        <v>7179</v>
      </c>
      <c r="F1409" s="86">
        <v>11.95</v>
      </c>
      <c r="G1409" s="86">
        <v>10</v>
      </c>
      <c r="H1409" s="86">
        <v>119.5</v>
      </c>
      <c r="I1409" s="86">
        <v>6217.46</v>
      </c>
      <c r="J1409" s="85" t="s">
        <v>4391</v>
      </c>
      <c r="K1409" s="85" t="s">
        <v>7181</v>
      </c>
      <c r="L1409" s="85" t="s">
        <v>4135</v>
      </c>
      <c r="M1409" s="85" t="s">
        <v>7182</v>
      </c>
    </row>
    <row r="1410" ht="213.75" spans="1:13">
      <c r="A1410" s="85" t="s">
        <v>7177</v>
      </c>
      <c r="B1410" s="85" t="s">
        <v>5413</v>
      </c>
      <c r="C1410" s="85" t="s">
        <v>5414</v>
      </c>
      <c r="D1410" s="85" t="s">
        <v>3189</v>
      </c>
      <c r="E1410" s="85" t="s">
        <v>5414</v>
      </c>
      <c r="F1410" s="86">
        <v>37.17</v>
      </c>
      <c r="G1410" s="86">
        <v>8</v>
      </c>
      <c r="H1410" s="86">
        <v>297.36</v>
      </c>
      <c r="I1410" s="86">
        <v>6217.46</v>
      </c>
      <c r="J1410" s="85" t="s">
        <v>4391</v>
      </c>
      <c r="K1410" s="85" t="s">
        <v>7181</v>
      </c>
      <c r="L1410" s="85" t="s">
        <v>4135</v>
      </c>
      <c r="M1410" s="85" t="s">
        <v>7183</v>
      </c>
    </row>
    <row r="1411" ht="213.75" spans="1:13">
      <c r="A1411" s="85" t="s">
        <v>7177</v>
      </c>
      <c r="B1411" s="85" t="s">
        <v>7184</v>
      </c>
      <c r="C1411" s="85" t="s">
        <v>7185</v>
      </c>
      <c r="D1411" s="85" t="s">
        <v>7100</v>
      </c>
      <c r="E1411" s="85" t="s">
        <v>7185</v>
      </c>
      <c r="F1411" s="86">
        <v>21.96</v>
      </c>
      <c r="G1411" s="86">
        <v>60</v>
      </c>
      <c r="H1411" s="86">
        <v>1317.6</v>
      </c>
      <c r="I1411" s="86">
        <v>6217.46</v>
      </c>
      <c r="J1411" s="85" t="s">
        <v>4391</v>
      </c>
      <c r="K1411" s="85" t="s">
        <v>7181</v>
      </c>
      <c r="L1411" s="85" t="s">
        <v>4135</v>
      </c>
      <c r="M1411" s="85" t="s">
        <v>7186</v>
      </c>
    </row>
    <row r="1412" ht="213.75" spans="1:13">
      <c r="A1412" s="85" t="s">
        <v>7177</v>
      </c>
      <c r="B1412" s="85" t="s">
        <v>5779</v>
      </c>
      <c r="C1412" s="85" t="s">
        <v>5780</v>
      </c>
      <c r="D1412" s="85" t="s">
        <v>3148</v>
      </c>
      <c r="E1412" s="85" t="s">
        <v>4242</v>
      </c>
      <c r="F1412" s="86">
        <v>12.8</v>
      </c>
      <c r="G1412" s="86">
        <v>50</v>
      </c>
      <c r="H1412" s="86">
        <v>640</v>
      </c>
      <c r="I1412" s="86">
        <v>6217.46</v>
      </c>
      <c r="J1412" s="85" t="s">
        <v>4391</v>
      </c>
      <c r="K1412" s="85" t="s">
        <v>7181</v>
      </c>
      <c r="L1412" s="85" t="s">
        <v>4135</v>
      </c>
      <c r="M1412" s="85" t="s">
        <v>7187</v>
      </c>
    </row>
    <row r="1413" ht="213.75" spans="1:13">
      <c r="A1413" s="85" t="s">
        <v>7177</v>
      </c>
      <c r="B1413" s="85" t="s">
        <v>7188</v>
      </c>
      <c r="C1413" s="85" t="s">
        <v>7189</v>
      </c>
      <c r="D1413" s="85" t="s">
        <v>7180</v>
      </c>
      <c r="E1413" s="85" t="s">
        <v>7189</v>
      </c>
      <c r="F1413" s="86">
        <v>62.9</v>
      </c>
      <c r="G1413" s="86">
        <v>2</v>
      </c>
      <c r="H1413" s="86">
        <v>125.8</v>
      </c>
      <c r="I1413" s="86">
        <v>6217.46</v>
      </c>
      <c r="J1413" s="85" t="s">
        <v>4391</v>
      </c>
      <c r="K1413" s="85" t="s">
        <v>7181</v>
      </c>
      <c r="L1413" s="85" t="s">
        <v>4135</v>
      </c>
      <c r="M1413" s="85" t="s">
        <v>7190</v>
      </c>
    </row>
    <row r="1414" ht="213.75" spans="1:13">
      <c r="A1414" s="85" t="s">
        <v>7177</v>
      </c>
      <c r="B1414" s="85" t="s">
        <v>6913</v>
      </c>
      <c r="C1414" s="85" t="s">
        <v>6914</v>
      </c>
      <c r="D1414" s="85" t="s">
        <v>3189</v>
      </c>
      <c r="E1414" s="85" t="s">
        <v>6914</v>
      </c>
      <c r="F1414" s="86">
        <v>30.96</v>
      </c>
      <c r="G1414" s="86">
        <v>10</v>
      </c>
      <c r="H1414" s="86">
        <v>309.6</v>
      </c>
      <c r="I1414" s="86">
        <v>6217.46</v>
      </c>
      <c r="J1414" s="85" t="s">
        <v>4391</v>
      </c>
      <c r="K1414" s="85" t="s">
        <v>7181</v>
      </c>
      <c r="L1414" s="85" t="s">
        <v>4135</v>
      </c>
      <c r="M1414" s="85" t="s">
        <v>7191</v>
      </c>
    </row>
    <row r="1415" ht="213.75" spans="1:13">
      <c r="A1415" s="85" t="s">
        <v>7177</v>
      </c>
      <c r="B1415" s="85" t="s">
        <v>7192</v>
      </c>
      <c r="C1415" s="85" t="s">
        <v>7193</v>
      </c>
      <c r="D1415" s="85" t="s">
        <v>3722</v>
      </c>
      <c r="E1415" s="85" t="s">
        <v>7193</v>
      </c>
      <c r="F1415" s="86">
        <v>39.2</v>
      </c>
      <c r="G1415" s="86">
        <v>12</v>
      </c>
      <c r="H1415" s="86">
        <v>470.4</v>
      </c>
      <c r="I1415" s="86">
        <v>6217.46</v>
      </c>
      <c r="J1415" s="85" t="s">
        <v>4391</v>
      </c>
      <c r="K1415" s="85" t="s">
        <v>7181</v>
      </c>
      <c r="L1415" s="85" t="s">
        <v>4135</v>
      </c>
      <c r="M1415" s="85" t="s">
        <v>7194</v>
      </c>
    </row>
    <row r="1416" ht="213.75" spans="1:13">
      <c r="A1416" s="85" t="s">
        <v>7177</v>
      </c>
      <c r="B1416" s="85" t="s">
        <v>7114</v>
      </c>
      <c r="C1416" s="85" t="s">
        <v>7115</v>
      </c>
      <c r="D1416" s="85" t="s">
        <v>4246</v>
      </c>
      <c r="E1416" s="85" t="s">
        <v>7115</v>
      </c>
      <c r="F1416" s="86">
        <v>97.2</v>
      </c>
      <c r="G1416" s="86">
        <v>30</v>
      </c>
      <c r="H1416" s="86">
        <v>2916</v>
      </c>
      <c r="I1416" s="86">
        <v>6217.46</v>
      </c>
      <c r="J1416" s="85" t="s">
        <v>4391</v>
      </c>
      <c r="K1416" s="85" t="s">
        <v>7181</v>
      </c>
      <c r="L1416" s="85" t="s">
        <v>4135</v>
      </c>
      <c r="M1416" s="85" t="s">
        <v>7195</v>
      </c>
    </row>
    <row r="1417" ht="213.75" spans="1:13">
      <c r="A1417" s="85" t="s">
        <v>7177</v>
      </c>
      <c r="B1417" s="85" t="s">
        <v>7196</v>
      </c>
      <c r="C1417" s="85" t="s">
        <v>7197</v>
      </c>
      <c r="D1417" s="85" t="s">
        <v>5121</v>
      </c>
      <c r="E1417" s="85" t="s">
        <v>5122</v>
      </c>
      <c r="F1417" s="86">
        <v>1.06</v>
      </c>
      <c r="G1417" s="86">
        <v>20</v>
      </c>
      <c r="H1417" s="86">
        <v>21.2</v>
      </c>
      <c r="I1417" s="86">
        <v>6217.46</v>
      </c>
      <c r="J1417" s="85" t="s">
        <v>4391</v>
      </c>
      <c r="K1417" s="85" t="s">
        <v>7181</v>
      </c>
      <c r="L1417" s="85" t="s">
        <v>4135</v>
      </c>
      <c r="M1417" s="85" t="s">
        <v>7198</v>
      </c>
    </row>
    <row r="1418" ht="213.75" spans="1:13">
      <c r="A1418" s="85" t="s">
        <v>7199</v>
      </c>
      <c r="B1418" s="85" t="s">
        <v>4635</v>
      </c>
      <c r="C1418" s="85" t="s">
        <v>4636</v>
      </c>
      <c r="D1418" s="85" t="s">
        <v>4637</v>
      </c>
      <c r="E1418" s="85" t="s">
        <v>4638</v>
      </c>
      <c r="F1418" s="86">
        <v>585</v>
      </c>
      <c r="G1418" s="86">
        <v>4</v>
      </c>
      <c r="H1418" s="86">
        <v>2340</v>
      </c>
      <c r="I1418" s="86">
        <v>11700</v>
      </c>
      <c r="J1418" s="85" t="s">
        <v>4639</v>
      </c>
      <c r="K1418" s="85" t="s">
        <v>7200</v>
      </c>
      <c r="L1418" s="85" t="s">
        <v>4135</v>
      </c>
      <c r="M1418" s="85" t="s">
        <v>7201</v>
      </c>
    </row>
    <row r="1419" ht="285" spans="1:13">
      <c r="A1419" s="85" t="s">
        <v>7199</v>
      </c>
      <c r="B1419" s="85" t="s">
        <v>6311</v>
      </c>
      <c r="C1419" s="85" t="s">
        <v>6312</v>
      </c>
      <c r="D1419" s="85" t="s">
        <v>4637</v>
      </c>
      <c r="E1419" s="85" t="s">
        <v>4638</v>
      </c>
      <c r="F1419" s="86">
        <v>480</v>
      </c>
      <c r="G1419" s="86">
        <v>8</v>
      </c>
      <c r="H1419" s="86">
        <v>3840</v>
      </c>
      <c r="I1419" s="86">
        <v>11700</v>
      </c>
      <c r="J1419" s="85" t="s">
        <v>4639</v>
      </c>
      <c r="K1419" s="85" t="s">
        <v>7200</v>
      </c>
      <c r="L1419" s="85" t="s">
        <v>4135</v>
      </c>
      <c r="M1419" s="85" t="s">
        <v>7202</v>
      </c>
    </row>
    <row r="1420" ht="213.75" spans="1:13">
      <c r="A1420" s="85" t="s">
        <v>7199</v>
      </c>
      <c r="B1420" s="85" t="s">
        <v>6314</v>
      </c>
      <c r="C1420" s="85" t="s">
        <v>6315</v>
      </c>
      <c r="D1420" s="85" t="s">
        <v>4637</v>
      </c>
      <c r="E1420" s="85" t="s">
        <v>4638</v>
      </c>
      <c r="F1420" s="86">
        <v>460</v>
      </c>
      <c r="G1420" s="86">
        <v>12</v>
      </c>
      <c r="H1420" s="86">
        <v>5520</v>
      </c>
      <c r="I1420" s="86">
        <v>11700</v>
      </c>
      <c r="J1420" s="85" t="s">
        <v>4639</v>
      </c>
      <c r="K1420" s="85" t="s">
        <v>7200</v>
      </c>
      <c r="L1420" s="85" t="s">
        <v>4135</v>
      </c>
      <c r="M1420" s="85" t="s">
        <v>7203</v>
      </c>
    </row>
    <row r="1421" ht="213.75" spans="1:13">
      <c r="A1421" s="85" t="s">
        <v>7204</v>
      </c>
      <c r="B1421" s="85" t="s">
        <v>4622</v>
      </c>
      <c r="C1421" s="85" t="s">
        <v>4623</v>
      </c>
      <c r="D1421" s="85" t="s">
        <v>4617</v>
      </c>
      <c r="E1421" s="85" t="s">
        <v>4618</v>
      </c>
      <c r="F1421" s="86">
        <v>580</v>
      </c>
      <c r="G1421" s="86">
        <v>12</v>
      </c>
      <c r="H1421" s="86">
        <v>6960</v>
      </c>
      <c r="I1421" s="86">
        <v>6960</v>
      </c>
      <c r="J1421" s="85" t="s">
        <v>4619</v>
      </c>
      <c r="K1421" s="85" t="s">
        <v>7205</v>
      </c>
      <c r="L1421" s="85" t="s">
        <v>4135</v>
      </c>
      <c r="M1421" s="85" t="s">
        <v>7206</v>
      </c>
    </row>
    <row r="1422" ht="213.75" spans="1:13">
      <c r="A1422" s="85" t="s">
        <v>7207</v>
      </c>
      <c r="B1422" s="85" t="s">
        <v>3820</v>
      </c>
      <c r="C1422" s="85" t="s">
        <v>3821</v>
      </c>
      <c r="D1422" s="85" t="s">
        <v>2911</v>
      </c>
      <c r="E1422" s="85" t="s">
        <v>3822</v>
      </c>
      <c r="F1422" s="86">
        <v>110</v>
      </c>
      <c r="G1422" s="86">
        <v>3</v>
      </c>
      <c r="H1422" s="86">
        <v>330</v>
      </c>
      <c r="I1422" s="86">
        <v>4080</v>
      </c>
      <c r="J1422" s="85" t="s">
        <v>7208</v>
      </c>
      <c r="K1422" s="85" t="s">
        <v>7209</v>
      </c>
      <c r="L1422" s="85" t="s">
        <v>4135</v>
      </c>
      <c r="M1422" s="85" t="s">
        <v>7210</v>
      </c>
    </row>
    <row r="1423" ht="213.75" spans="1:13">
      <c r="A1423" s="85" t="s">
        <v>7207</v>
      </c>
      <c r="B1423" s="85" t="s">
        <v>3820</v>
      </c>
      <c r="C1423" s="85" t="s">
        <v>3821</v>
      </c>
      <c r="D1423" s="85" t="s">
        <v>2911</v>
      </c>
      <c r="E1423" s="85" t="s">
        <v>3822</v>
      </c>
      <c r="F1423" s="86">
        <v>70</v>
      </c>
      <c r="G1423" s="86">
        <v>6</v>
      </c>
      <c r="H1423" s="86">
        <v>420</v>
      </c>
      <c r="I1423" s="86">
        <v>4080</v>
      </c>
      <c r="J1423" s="85" t="s">
        <v>7208</v>
      </c>
      <c r="K1423" s="85" t="s">
        <v>7209</v>
      </c>
      <c r="L1423" s="85" t="s">
        <v>4135</v>
      </c>
      <c r="M1423" s="85" t="s">
        <v>7211</v>
      </c>
    </row>
    <row r="1424" ht="213.75" spans="1:13">
      <c r="A1424" s="85" t="s">
        <v>7207</v>
      </c>
      <c r="B1424" s="85" t="s">
        <v>3820</v>
      </c>
      <c r="C1424" s="85" t="s">
        <v>3821</v>
      </c>
      <c r="D1424" s="85" t="s">
        <v>2911</v>
      </c>
      <c r="E1424" s="85" t="s">
        <v>3822</v>
      </c>
      <c r="F1424" s="86">
        <v>180</v>
      </c>
      <c r="G1424" s="86">
        <v>5</v>
      </c>
      <c r="H1424" s="86">
        <v>900</v>
      </c>
      <c r="I1424" s="86">
        <v>4080</v>
      </c>
      <c r="J1424" s="85" t="s">
        <v>7208</v>
      </c>
      <c r="K1424" s="85" t="s">
        <v>7209</v>
      </c>
      <c r="L1424" s="85" t="s">
        <v>4135</v>
      </c>
      <c r="M1424" s="85" t="s">
        <v>7212</v>
      </c>
    </row>
    <row r="1425" ht="213.75" spans="1:13">
      <c r="A1425" s="85" t="s">
        <v>7207</v>
      </c>
      <c r="B1425" s="85" t="s">
        <v>3820</v>
      </c>
      <c r="C1425" s="85" t="s">
        <v>3821</v>
      </c>
      <c r="D1425" s="85" t="s">
        <v>2911</v>
      </c>
      <c r="E1425" s="85" t="s">
        <v>3822</v>
      </c>
      <c r="F1425" s="86">
        <v>130</v>
      </c>
      <c r="G1425" s="86">
        <v>12</v>
      </c>
      <c r="H1425" s="86">
        <v>1560</v>
      </c>
      <c r="I1425" s="86">
        <v>4080</v>
      </c>
      <c r="J1425" s="85" t="s">
        <v>7208</v>
      </c>
      <c r="K1425" s="85" t="s">
        <v>7209</v>
      </c>
      <c r="L1425" s="85" t="s">
        <v>4135</v>
      </c>
      <c r="M1425" s="85" t="s">
        <v>7213</v>
      </c>
    </row>
    <row r="1426" ht="213.75" spans="1:13">
      <c r="A1426" s="85" t="s">
        <v>7207</v>
      </c>
      <c r="B1426" s="85" t="s">
        <v>3820</v>
      </c>
      <c r="C1426" s="85" t="s">
        <v>3821</v>
      </c>
      <c r="D1426" s="85" t="s">
        <v>2911</v>
      </c>
      <c r="E1426" s="85" t="s">
        <v>3822</v>
      </c>
      <c r="F1426" s="86">
        <v>110</v>
      </c>
      <c r="G1426" s="86">
        <v>3</v>
      </c>
      <c r="H1426" s="86">
        <v>330</v>
      </c>
      <c r="I1426" s="86">
        <v>4080</v>
      </c>
      <c r="J1426" s="85" t="s">
        <v>7208</v>
      </c>
      <c r="K1426" s="85" t="s">
        <v>7209</v>
      </c>
      <c r="L1426" s="85" t="s">
        <v>4135</v>
      </c>
      <c r="M1426" s="85" t="s">
        <v>7214</v>
      </c>
    </row>
    <row r="1427" ht="213.75" spans="1:13">
      <c r="A1427" s="85" t="s">
        <v>7207</v>
      </c>
      <c r="B1427" s="85" t="s">
        <v>3820</v>
      </c>
      <c r="C1427" s="85" t="s">
        <v>3821</v>
      </c>
      <c r="D1427" s="85" t="s">
        <v>2911</v>
      </c>
      <c r="E1427" s="85" t="s">
        <v>3822</v>
      </c>
      <c r="F1427" s="86">
        <v>180</v>
      </c>
      <c r="G1427" s="86">
        <v>3</v>
      </c>
      <c r="H1427" s="86">
        <v>540</v>
      </c>
      <c r="I1427" s="86">
        <v>4080</v>
      </c>
      <c r="J1427" s="85" t="s">
        <v>7208</v>
      </c>
      <c r="K1427" s="85" t="s">
        <v>7209</v>
      </c>
      <c r="L1427" s="85" t="s">
        <v>4135</v>
      </c>
      <c r="M1427" s="85" t="s">
        <v>7215</v>
      </c>
    </row>
    <row r="1428" ht="213.75" spans="1:13">
      <c r="A1428" s="85" t="s">
        <v>7216</v>
      </c>
      <c r="B1428" s="85" t="s">
        <v>3772</v>
      </c>
      <c r="C1428" s="85" t="s">
        <v>3773</v>
      </c>
      <c r="D1428" s="85" t="s">
        <v>3189</v>
      </c>
      <c r="E1428" s="85" t="s">
        <v>3774</v>
      </c>
      <c r="F1428" s="86">
        <v>27</v>
      </c>
      <c r="G1428" s="86">
        <v>100</v>
      </c>
      <c r="H1428" s="86">
        <v>2700</v>
      </c>
      <c r="I1428" s="86">
        <v>2700</v>
      </c>
      <c r="J1428" s="85" t="s">
        <v>3314</v>
      </c>
      <c r="K1428" s="85" t="s">
        <v>7217</v>
      </c>
      <c r="L1428" s="85" t="s">
        <v>4135</v>
      </c>
      <c r="M1428" s="85" t="s">
        <v>7218</v>
      </c>
    </row>
    <row r="1429" ht="213.75" spans="1:13">
      <c r="A1429" s="85" t="s">
        <v>7219</v>
      </c>
      <c r="B1429" s="85" t="s">
        <v>3717</v>
      </c>
      <c r="C1429" s="85" t="s">
        <v>3718</v>
      </c>
      <c r="D1429" s="85" t="s">
        <v>3014</v>
      </c>
      <c r="E1429" s="85" t="s">
        <v>3718</v>
      </c>
      <c r="F1429" s="86">
        <v>110</v>
      </c>
      <c r="G1429" s="86">
        <v>2</v>
      </c>
      <c r="H1429" s="86">
        <v>220</v>
      </c>
      <c r="I1429" s="86">
        <v>11759</v>
      </c>
      <c r="J1429" s="85" t="s">
        <v>2965</v>
      </c>
      <c r="K1429" s="85" t="s">
        <v>7220</v>
      </c>
      <c r="L1429" s="85" t="s">
        <v>4135</v>
      </c>
      <c r="M1429" s="85" t="s">
        <v>7221</v>
      </c>
    </row>
    <row r="1430" ht="213.75" spans="1:13">
      <c r="A1430" s="85" t="s">
        <v>7222</v>
      </c>
      <c r="B1430" s="85" t="s">
        <v>7223</v>
      </c>
      <c r="C1430" s="85" t="s">
        <v>7224</v>
      </c>
      <c r="D1430" s="85" t="s">
        <v>7225</v>
      </c>
      <c r="E1430" s="85" t="s">
        <v>7226</v>
      </c>
      <c r="F1430" s="86">
        <v>12</v>
      </c>
      <c r="G1430" s="86">
        <v>20</v>
      </c>
      <c r="H1430" s="86">
        <v>240</v>
      </c>
      <c r="I1430" s="86">
        <v>6033.99</v>
      </c>
      <c r="J1430" s="85" t="s">
        <v>2958</v>
      </c>
      <c r="K1430" s="85" t="s">
        <v>7220</v>
      </c>
      <c r="L1430" s="85" t="s">
        <v>4135</v>
      </c>
      <c r="M1430" s="85" t="s">
        <v>7227</v>
      </c>
    </row>
    <row r="1431" ht="213.75" spans="1:13">
      <c r="A1431" s="85" t="s">
        <v>7219</v>
      </c>
      <c r="B1431" s="85" t="s">
        <v>3674</v>
      </c>
      <c r="C1431" s="85" t="s">
        <v>3675</v>
      </c>
      <c r="D1431" s="85" t="s">
        <v>3288</v>
      </c>
      <c r="E1431" s="85" t="s">
        <v>3675</v>
      </c>
      <c r="F1431" s="86">
        <v>23.94</v>
      </c>
      <c r="G1431" s="86">
        <v>4</v>
      </c>
      <c r="H1431" s="86">
        <v>95.76</v>
      </c>
      <c r="I1431" s="86">
        <v>11759</v>
      </c>
      <c r="J1431" s="85" t="s">
        <v>2965</v>
      </c>
      <c r="K1431" s="85" t="s">
        <v>7220</v>
      </c>
      <c r="L1431" s="85" t="s">
        <v>4135</v>
      </c>
      <c r="M1431" s="85" t="s">
        <v>7228</v>
      </c>
    </row>
    <row r="1432" ht="213.75" spans="1:13">
      <c r="A1432" s="85" t="s">
        <v>7219</v>
      </c>
      <c r="B1432" s="85" t="s">
        <v>7229</v>
      </c>
      <c r="C1432" s="85" t="s">
        <v>7230</v>
      </c>
      <c r="D1432" s="85" t="s">
        <v>5355</v>
      </c>
      <c r="E1432" s="85" t="s">
        <v>7230</v>
      </c>
      <c r="F1432" s="86">
        <v>659.12</v>
      </c>
      <c r="G1432" s="86">
        <v>5</v>
      </c>
      <c r="H1432" s="86">
        <v>3295.6</v>
      </c>
      <c r="I1432" s="86">
        <v>11759</v>
      </c>
      <c r="J1432" s="85" t="s">
        <v>2965</v>
      </c>
      <c r="K1432" s="85" t="s">
        <v>7220</v>
      </c>
      <c r="L1432" s="85" t="s">
        <v>4135</v>
      </c>
      <c r="M1432" s="85" t="s">
        <v>7231</v>
      </c>
    </row>
    <row r="1433" ht="213.75" spans="1:13">
      <c r="A1433" s="85" t="s">
        <v>7219</v>
      </c>
      <c r="B1433" s="85" t="s">
        <v>7232</v>
      </c>
      <c r="C1433" s="85" t="s">
        <v>7233</v>
      </c>
      <c r="D1433" s="85" t="s">
        <v>6273</v>
      </c>
      <c r="E1433" s="85" t="s">
        <v>7233</v>
      </c>
      <c r="F1433" s="86">
        <v>9.78</v>
      </c>
      <c r="G1433" s="86">
        <v>2</v>
      </c>
      <c r="H1433" s="86">
        <v>19.56</v>
      </c>
      <c r="I1433" s="86">
        <v>11759</v>
      </c>
      <c r="J1433" s="85" t="s">
        <v>2965</v>
      </c>
      <c r="K1433" s="85" t="s">
        <v>7220</v>
      </c>
      <c r="L1433" s="85" t="s">
        <v>4135</v>
      </c>
      <c r="M1433" s="85" t="s">
        <v>7234</v>
      </c>
    </row>
    <row r="1434" ht="213.75" spans="1:13">
      <c r="A1434" s="85" t="s">
        <v>7219</v>
      </c>
      <c r="B1434" s="85" t="s">
        <v>7235</v>
      </c>
      <c r="C1434" s="85" t="s">
        <v>7236</v>
      </c>
      <c r="D1434" s="85" t="s">
        <v>3288</v>
      </c>
      <c r="E1434" s="85" t="s">
        <v>7236</v>
      </c>
      <c r="F1434" s="86">
        <v>7</v>
      </c>
      <c r="G1434" s="86">
        <v>30</v>
      </c>
      <c r="H1434" s="86">
        <v>210</v>
      </c>
      <c r="I1434" s="86">
        <v>11759</v>
      </c>
      <c r="J1434" s="85" t="s">
        <v>2965</v>
      </c>
      <c r="K1434" s="85" t="s">
        <v>7220</v>
      </c>
      <c r="L1434" s="85" t="s">
        <v>4135</v>
      </c>
      <c r="M1434" s="85" t="s">
        <v>7237</v>
      </c>
    </row>
    <row r="1435" ht="213.75" spans="1:13">
      <c r="A1435" s="85" t="s">
        <v>7222</v>
      </c>
      <c r="B1435" s="85" t="s">
        <v>7238</v>
      </c>
      <c r="C1435" s="85" t="s">
        <v>7239</v>
      </c>
      <c r="D1435" s="85" t="s">
        <v>3241</v>
      </c>
      <c r="E1435" s="85" t="s">
        <v>6010</v>
      </c>
      <c r="F1435" s="86">
        <v>6.21</v>
      </c>
      <c r="G1435" s="86">
        <v>20</v>
      </c>
      <c r="H1435" s="86">
        <v>124.2</v>
      </c>
      <c r="I1435" s="86">
        <v>6033.99</v>
      </c>
      <c r="J1435" s="85" t="s">
        <v>2958</v>
      </c>
      <c r="K1435" s="85" t="s">
        <v>7220</v>
      </c>
      <c r="L1435" s="85" t="s">
        <v>4135</v>
      </c>
      <c r="M1435" s="85" t="s">
        <v>7240</v>
      </c>
    </row>
    <row r="1436" ht="213.75" spans="1:13">
      <c r="A1436" s="85" t="s">
        <v>7219</v>
      </c>
      <c r="B1436" s="85" t="s">
        <v>4025</v>
      </c>
      <c r="C1436" s="85" t="s">
        <v>4026</v>
      </c>
      <c r="D1436" s="85" t="s">
        <v>3068</v>
      </c>
      <c r="E1436" s="85" t="s">
        <v>4026</v>
      </c>
      <c r="F1436" s="86">
        <v>6.15</v>
      </c>
      <c r="G1436" s="86">
        <v>30</v>
      </c>
      <c r="H1436" s="86">
        <v>184.5</v>
      </c>
      <c r="I1436" s="86">
        <v>11759</v>
      </c>
      <c r="J1436" s="85" t="s">
        <v>2965</v>
      </c>
      <c r="K1436" s="85" t="s">
        <v>7220</v>
      </c>
      <c r="L1436" s="85" t="s">
        <v>4135</v>
      </c>
      <c r="M1436" s="85" t="s">
        <v>7241</v>
      </c>
    </row>
    <row r="1437" ht="213.75" spans="1:13">
      <c r="A1437" s="85" t="s">
        <v>7219</v>
      </c>
      <c r="B1437" s="85" t="s">
        <v>7242</v>
      </c>
      <c r="C1437" s="85" t="s">
        <v>7243</v>
      </c>
      <c r="D1437" s="85" t="s">
        <v>3593</v>
      </c>
      <c r="E1437" s="85" t="s">
        <v>7243</v>
      </c>
      <c r="F1437" s="86">
        <v>0.55</v>
      </c>
      <c r="G1437" s="86">
        <v>24</v>
      </c>
      <c r="H1437" s="86">
        <v>13.2</v>
      </c>
      <c r="I1437" s="86">
        <v>11759</v>
      </c>
      <c r="J1437" s="85" t="s">
        <v>2965</v>
      </c>
      <c r="K1437" s="85" t="s">
        <v>7220</v>
      </c>
      <c r="L1437" s="85" t="s">
        <v>4135</v>
      </c>
      <c r="M1437" s="85" t="s">
        <v>7244</v>
      </c>
    </row>
    <row r="1438" ht="213.75" spans="1:13">
      <c r="A1438" s="85" t="s">
        <v>7222</v>
      </c>
      <c r="B1438" s="85" t="s">
        <v>7245</v>
      </c>
      <c r="C1438" s="85" t="s">
        <v>7246</v>
      </c>
      <c r="D1438" s="85" t="s">
        <v>2977</v>
      </c>
      <c r="E1438" s="85" t="s">
        <v>2978</v>
      </c>
      <c r="F1438" s="86">
        <v>16.92</v>
      </c>
      <c r="G1438" s="86">
        <v>8</v>
      </c>
      <c r="H1438" s="86">
        <v>135.36</v>
      </c>
      <c r="I1438" s="86">
        <v>6033.99</v>
      </c>
      <c r="J1438" s="85" t="s">
        <v>2958</v>
      </c>
      <c r="K1438" s="85" t="s">
        <v>7220</v>
      </c>
      <c r="L1438" s="85" t="s">
        <v>4135</v>
      </c>
      <c r="M1438" s="85" t="s">
        <v>7247</v>
      </c>
    </row>
    <row r="1439" ht="213.75" spans="1:13">
      <c r="A1439" s="85" t="s">
        <v>7219</v>
      </c>
      <c r="B1439" s="85" t="s">
        <v>7248</v>
      </c>
      <c r="C1439" s="85" t="s">
        <v>7249</v>
      </c>
      <c r="D1439" s="85" t="s">
        <v>2969</v>
      </c>
      <c r="E1439" s="85" t="s">
        <v>7249</v>
      </c>
      <c r="F1439" s="86">
        <v>4.76</v>
      </c>
      <c r="G1439" s="86">
        <v>20</v>
      </c>
      <c r="H1439" s="86">
        <v>95.2</v>
      </c>
      <c r="I1439" s="86">
        <v>11759</v>
      </c>
      <c r="J1439" s="85" t="s">
        <v>2965</v>
      </c>
      <c r="K1439" s="85" t="s">
        <v>7220</v>
      </c>
      <c r="L1439" s="85" t="s">
        <v>4135</v>
      </c>
      <c r="M1439" s="85" t="s">
        <v>7250</v>
      </c>
    </row>
    <row r="1440" ht="213.75" spans="1:13">
      <c r="A1440" s="85" t="s">
        <v>7219</v>
      </c>
      <c r="B1440" s="85" t="s">
        <v>7251</v>
      </c>
      <c r="C1440" s="85" t="s">
        <v>7252</v>
      </c>
      <c r="D1440" s="85" t="s">
        <v>4182</v>
      </c>
      <c r="E1440" s="85" t="s">
        <v>7252</v>
      </c>
      <c r="F1440" s="86">
        <v>58.97</v>
      </c>
      <c r="G1440" s="86">
        <v>3</v>
      </c>
      <c r="H1440" s="86">
        <v>176.91</v>
      </c>
      <c r="I1440" s="86">
        <v>11759</v>
      </c>
      <c r="J1440" s="85" t="s">
        <v>2965</v>
      </c>
      <c r="K1440" s="85" t="s">
        <v>7220</v>
      </c>
      <c r="L1440" s="85" t="s">
        <v>4135</v>
      </c>
      <c r="M1440" s="85" t="s">
        <v>7253</v>
      </c>
    </row>
    <row r="1441" ht="213.75" spans="1:13">
      <c r="A1441" s="85" t="s">
        <v>7219</v>
      </c>
      <c r="B1441" s="85" t="s">
        <v>5470</v>
      </c>
      <c r="C1441" s="85" t="s">
        <v>5471</v>
      </c>
      <c r="D1441" s="85" t="s">
        <v>3593</v>
      </c>
      <c r="E1441" s="85" t="s">
        <v>5471</v>
      </c>
      <c r="F1441" s="86">
        <v>11.76</v>
      </c>
      <c r="G1441" s="86">
        <v>40</v>
      </c>
      <c r="H1441" s="86">
        <v>470.4</v>
      </c>
      <c r="I1441" s="86">
        <v>11759</v>
      </c>
      <c r="J1441" s="85" t="s">
        <v>2965</v>
      </c>
      <c r="K1441" s="85" t="s">
        <v>7220</v>
      </c>
      <c r="L1441" s="85" t="s">
        <v>4135</v>
      </c>
      <c r="M1441" s="85" t="s">
        <v>7254</v>
      </c>
    </row>
    <row r="1442" ht="213.75" spans="1:13">
      <c r="A1442" s="85" t="s">
        <v>7222</v>
      </c>
      <c r="B1442" s="85" t="s">
        <v>5894</v>
      </c>
      <c r="C1442" s="85" t="s">
        <v>5895</v>
      </c>
      <c r="D1442" s="85" t="s">
        <v>3201</v>
      </c>
      <c r="E1442" s="85" t="s">
        <v>3209</v>
      </c>
      <c r="F1442" s="86">
        <v>5.88</v>
      </c>
      <c r="G1442" s="86">
        <v>200</v>
      </c>
      <c r="H1442" s="86">
        <v>1176</v>
      </c>
      <c r="I1442" s="86">
        <v>6033.99</v>
      </c>
      <c r="J1442" s="85" t="s">
        <v>2958</v>
      </c>
      <c r="K1442" s="85" t="s">
        <v>7220</v>
      </c>
      <c r="L1442" s="85" t="s">
        <v>4135</v>
      </c>
      <c r="M1442" s="85" t="s">
        <v>7255</v>
      </c>
    </row>
    <row r="1443" ht="213.75" spans="1:13">
      <c r="A1443" s="85" t="s">
        <v>7219</v>
      </c>
      <c r="B1443" s="85" t="s">
        <v>3228</v>
      </c>
      <c r="C1443" s="85" t="s">
        <v>3229</v>
      </c>
      <c r="D1443" s="85" t="s">
        <v>3230</v>
      </c>
      <c r="E1443" s="85" t="s">
        <v>3229</v>
      </c>
      <c r="F1443" s="86">
        <v>6.54</v>
      </c>
      <c r="G1443" s="86">
        <v>20</v>
      </c>
      <c r="H1443" s="86">
        <v>130.8</v>
      </c>
      <c r="I1443" s="86">
        <v>11759</v>
      </c>
      <c r="J1443" s="85" t="s">
        <v>2965</v>
      </c>
      <c r="K1443" s="85" t="s">
        <v>7220</v>
      </c>
      <c r="L1443" s="85" t="s">
        <v>4135</v>
      </c>
      <c r="M1443" s="85" t="s">
        <v>7256</v>
      </c>
    </row>
    <row r="1444" ht="213.75" spans="1:13">
      <c r="A1444" s="85" t="s">
        <v>7222</v>
      </c>
      <c r="B1444" s="85" t="s">
        <v>7257</v>
      </c>
      <c r="C1444" s="85" t="s">
        <v>7258</v>
      </c>
      <c r="D1444" s="85" t="s">
        <v>3241</v>
      </c>
      <c r="E1444" s="85" t="s">
        <v>5952</v>
      </c>
      <c r="F1444" s="86">
        <v>9.9</v>
      </c>
      <c r="G1444" s="86">
        <v>5</v>
      </c>
      <c r="H1444" s="86">
        <v>49.5</v>
      </c>
      <c r="I1444" s="86">
        <v>6033.99</v>
      </c>
      <c r="J1444" s="85" t="s">
        <v>2958</v>
      </c>
      <c r="K1444" s="85" t="s">
        <v>7220</v>
      </c>
      <c r="L1444" s="85" t="s">
        <v>4135</v>
      </c>
      <c r="M1444" s="85" t="s">
        <v>7259</v>
      </c>
    </row>
    <row r="1445" ht="213.75" spans="1:13">
      <c r="A1445" s="85" t="s">
        <v>7219</v>
      </c>
      <c r="B1445" s="85" t="s">
        <v>7260</v>
      </c>
      <c r="C1445" s="85" t="s">
        <v>7261</v>
      </c>
      <c r="D1445" s="85" t="s">
        <v>5410</v>
      </c>
      <c r="E1445" s="85" t="s">
        <v>7261</v>
      </c>
      <c r="F1445" s="86">
        <v>20.3</v>
      </c>
      <c r="G1445" s="86">
        <v>10</v>
      </c>
      <c r="H1445" s="86">
        <v>203</v>
      </c>
      <c r="I1445" s="86">
        <v>11759</v>
      </c>
      <c r="J1445" s="85" t="s">
        <v>2965</v>
      </c>
      <c r="K1445" s="85" t="s">
        <v>7220</v>
      </c>
      <c r="L1445" s="85" t="s">
        <v>4135</v>
      </c>
      <c r="M1445" s="85" t="s">
        <v>7262</v>
      </c>
    </row>
    <row r="1446" ht="213.75" spans="1:13">
      <c r="A1446" s="85" t="s">
        <v>7219</v>
      </c>
      <c r="B1446" s="85" t="s">
        <v>5477</v>
      </c>
      <c r="C1446" s="85" t="s">
        <v>5478</v>
      </c>
      <c r="D1446" s="85" t="s">
        <v>5479</v>
      </c>
      <c r="E1446" s="85" t="s">
        <v>5478</v>
      </c>
      <c r="F1446" s="86">
        <v>30</v>
      </c>
      <c r="G1446" s="86">
        <v>60</v>
      </c>
      <c r="H1446" s="86">
        <v>1800</v>
      </c>
      <c r="I1446" s="86">
        <v>11759</v>
      </c>
      <c r="J1446" s="85" t="s">
        <v>2965</v>
      </c>
      <c r="K1446" s="85" t="s">
        <v>7220</v>
      </c>
      <c r="L1446" s="85" t="s">
        <v>4135</v>
      </c>
      <c r="M1446" s="85" t="s">
        <v>7263</v>
      </c>
    </row>
    <row r="1447" ht="213.75" spans="1:13">
      <c r="A1447" s="85" t="s">
        <v>7222</v>
      </c>
      <c r="B1447" s="85" t="s">
        <v>7264</v>
      </c>
      <c r="C1447" s="85" t="s">
        <v>7265</v>
      </c>
      <c r="D1447" s="85" t="s">
        <v>3241</v>
      </c>
      <c r="E1447" s="85" t="s">
        <v>3247</v>
      </c>
      <c r="F1447" s="86">
        <v>16.2</v>
      </c>
      <c r="G1447" s="86">
        <v>3</v>
      </c>
      <c r="H1447" s="86">
        <v>48.6</v>
      </c>
      <c r="I1447" s="86">
        <v>6033.99</v>
      </c>
      <c r="J1447" s="85" t="s">
        <v>2958</v>
      </c>
      <c r="K1447" s="85" t="s">
        <v>7220</v>
      </c>
      <c r="L1447" s="85" t="s">
        <v>4135</v>
      </c>
      <c r="M1447" s="85" t="s">
        <v>7266</v>
      </c>
    </row>
    <row r="1448" ht="213.75" spans="1:13">
      <c r="A1448" s="85" t="s">
        <v>7267</v>
      </c>
      <c r="B1448" s="85" t="s">
        <v>4537</v>
      </c>
      <c r="C1448" s="85" t="s">
        <v>4538</v>
      </c>
      <c r="D1448" s="85" t="s">
        <v>2997</v>
      </c>
      <c r="E1448" s="85" t="s">
        <v>2998</v>
      </c>
      <c r="F1448" s="86">
        <v>18</v>
      </c>
      <c r="G1448" s="86">
        <v>100</v>
      </c>
      <c r="H1448" s="86">
        <v>1800</v>
      </c>
      <c r="I1448" s="86">
        <v>2209</v>
      </c>
      <c r="J1448" s="85" t="s">
        <v>2999</v>
      </c>
      <c r="K1448" s="85" t="s">
        <v>7220</v>
      </c>
      <c r="L1448" s="85" t="s">
        <v>4135</v>
      </c>
      <c r="M1448" s="85" t="s">
        <v>7268</v>
      </c>
    </row>
    <row r="1449" ht="213.75" spans="1:13">
      <c r="A1449" s="85" t="s">
        <v>7219</v>
      </c>
      <c r="B1449" s="85" t="s">
        <v>7269</v>
      </c>
      <c r="C1449" s="85" t="s">
        <v>7270</v>
      </c>
      <c r="D1449" s="85" t="s">
        <v>7271</v>
      </c>
      <c r="E1449" s="85" t="s">
        <v>7270</v>
      </c>
      <c r="F1449" s="86">
        <v>15.92</v>
      </c>
      <c r="G1449" s="86">
        <v>1</v>
      </c>
      <c r="H1449" s="86">
        <v>15.92</v>
      </c>
      <c r="I1449" s="86">
        <v>11759</v>
      </c>
      <c r="J1449" s="85" t="s">
        <v>2965</v>
      </c>
      <c r="K1449" s="85" t="s">
        <v>7220</v>
      </c>
      <c r="L1449" s="85" t="s">
        <v>4135</v>
      </c>
      <c r="M1449" s="85" t="s">
        <v>7272</v>
      </c>
    </row>
    <row r="1450" ht="213.75" spans="1:13">
      <c r="A1450" s="85" t="s">
        <v>7222</v>
      </c>
      <c r="B1450" s="85" t="s">
        <v>3687</v>
      </c>
      <c r="C1450" s="85" t="s">
        <v>3688</v>
      </c>
      <c r="D1450" s="85" t="s">
        <v>3241</v>
      </c>
      <c r="E1450" s="85" t="s">
        <v>3689</v>
      </c>
      <c r="F1450" s="86">
        <v>8.79</v>
      </c>
      <c r="G1450" s="86">
        <v>11</v>
      </c>
      <c r="H1450" s="86">
        <v>96.69</v>
      </c>
      <c r="I1450" s="86">
        <v>6033.99</v>
      </c>
      <c r="J1450" s="85" t="s">
        <v>2958</v>
      </c>
      <c r="K1450" s="85" t="s">
        <v>7220</v>
      </c>
      <c r="L1450" s="85" t="s">
        <v>4135</v>
      </c>
      <c r="M1450" s="85" t="s">
        <v>7273</v>
      </c>
    </row>
    <row r="1451" ht="213.75" spans="1:13">
      <c r="A1451" s="85" t="s">
        <v>7267</v>
      </c>
      <c r="B1451" s="85" t="s">
        <v>7274</v>
      </c>
      <c r="C1451" s="85" t="s">
        <v>7275</v>
      </c>
      <c r="D1451" s="85" t="s">
        <v>5909</v>
      </c>
      <c r="E1451" s="85" t="s">
        <v>5910</v>
      </c>
      <c r="F1451" s="86">
        <v>81.8</v>
      </c>
      <c r="G1451" s="86">
        <v>5</v>
      </c>
      <c r="H1451" s="86">
        <v>409</v>
      </c>
      <c r="I1451" s="86">
        <v>2209</v>
      </c>
      <c r="J1451" s="85" t="s">
        <v>2999</v>
      </c>
      <c r="K1451" s="85" t="s">
        <v>7220</v>
      </c>
      <c r="L1451" s="85" t="s">
        <v>4135</v>
      </c>
      <c r="M1451" s="85" t="s">
        <v>7276</v>
      </c>
    </row>
    <row r="1452" ht="213.75" spans="1:13">
      <c r="A1452" s="85" t="s">
        <v>7219</v>
      </c>
      <c r="B1452" s="85" t="s">
        <v>7277</v>
      </c>
      <c r="C1452" s="85" t="s">
        <v>7278</v>
      </c>
      <c r="D1452" s="85" t="s">
        <v>7279</v>
      </c>
      <c r="E1452" s="85" t="s">
        <v>7278</v>
      </c>
      <c r="F1452" s="86">
        <v>2.55</v>
      </c>
      <c r="G1452" s="86">
        <v>12</v>
      </c>
      <c r="H1452" s="86">
        <v>30.6</v>
      </c>
      <c r="I1452" s="86">
        <v>11759</v>
      </c>
      <c r="J1452" s="85" t="s">
        <v>2965</v>
      </c>
      <c r="K1452" s="85" t="s">
        <v>7220</v>
      </c>
      <c r="L1452" s="85" t="s">
        <v>4135</v>
      </c>
      <c r="M1452" s="85" t="s">
        <v>7280</v>
      </c>
    </row>
    <row r="1453" ht="213.75" spans="1:13">
      <c r="A1453" s="85" t="s">
        <v>7219</v>
      </c>
      <c r="B1453" s="85" t="s">
        <v>7281</v>
      </c>
      <c r="C1453" s="85" t="s">
        <v>7282</v>
      </c>
      <c r="D1453" s="85" t="s">
        <v>6633</v>
      </c>
      <c r="E1453" s="85" t="s">
        <v>7282</v>
      </c>
      <c r="F1453" s="86">
        <v>0.33</v>
      </c>
      <c r="G1453" s="86">
        <v>60</v>
      </c>
      <c r="H1453" s="86">
        <v>19.8</v>
      </c>
      <c r="I1453" s="86">
        <v>11759</v>
      </c>
      <c r="J1453" s="85" t="s">
        <v>2965</v>
      </c>
      <c r="K1453" s="85" t="s">
        <v>7220</v>
      </c>
      <c r="L1453" s="85" t="s">
        <v>4135</v>
      </c>
      <c r="M1453" s="85" t="s">
        <v>7283</v>
      </c>
    </row>
    <row r="1454" ht="213.75" spans="1:13">
      <c r="A1454" s="85" t="s">
        <v>7219</v>
      </c>
      <c r="B1454" s="85" t="s">
        <v>5939</v>
      </c>
      <c r="C1454" s="85" t="s">
        <v>5940</v>
      </c>
      <c r="D1454" s="85" t="s">
        <v>5941</v>
      </c>
      <c r="E1454" s="85" t="s">
        <v>5940</v>
      </c>
      <c r="F1454" s="86">
        <v>47.34</v>
      </c>
      <c r="G1454" s="86">
        <v>10</v>
      </c>
      <c r="H1454" s="86">
        <v>473.4</v>
      </c>
      <c r="I1454" s="86">
        <v>11759</v>
      </c>
      <c r="J1454" s="85" t="s">
        <v>2965</v>
      </c>
      <c r="K1454" s="85" t="s">
        <v>7220</v>
      </c>
      <c r="L1454" s="85" t="s">
        <v>4135</v>
      </c>
      <c r="M1454" s="85" t="s">
        <v>7284</v>
      </c>
    </row>
    <row r="1455" ht="213.75" spans="1:13">
      <c r="A1455" s="85" t="s">
        <v>7219</v>
      </c>
      <c r="B1455" s="85" t="s">
        <v>7285</v>
      </c>
      <c r="C1455" s="85" t="s">
        <v>7286</v>
      </c>
      <c r="D1455" s="85" t="s">
        <v>3284</v>
      </c>
      <c r="E1455" s="85" t="s">
        <v>7286</v>
      </c>
      <c r="F1455" s="86">
        <v>21.12</v>
      </c>
      <c r="G1455" s="86">
        <v>4</v>
      </c>
      <c r="H1455" s="86">
        <v>84.48</v>
      </c>
      <c r="I1455" s="86">
        <v>11759</v>
      </c>
      <c r="J1455" s="85" t="s">
        <v>2965</v>
      </c>
      <c r="K1455" s="85" t="s">
        <v>7220</v>
      </c>
      <c r="L1455" s="85" t="s">
        <v>4135</v>
      </c>
      <c r="M1455" s="85" t="s">
        <v>7287</v>
      </c>
    </row>
    <row r="1456" ht="213.75" spans="1:13">
      <c r="A1456" s="85" t="s">
        <v>7219</v>
      </c>
      <c r="B1456" s="85" t="s">
        <v>3664</v>
      </c>
      <c r="C1456" s="85" t="s">
        <v>3665</v>
      </c>
      <c r="D1456" s="85" t="s">
        <v>2973</v>
      </c>
      <c r="E1456" s="85" t="s">
        <v>3665</v>
      </c>
      <c r="F1456" s="86">
        <v>314.1</v>
      </c>
      <c r="G1456" s="86">
        <v>1</v>
      </c>
      <c r="H1456" s="86">
        <v>314.1</v>
      </c>
      <c r="I1456" s="86">
        <v>11759</v>
      </c>
      <c r="J1456" s="85" t="s">
        <v>2965</v>
      </c>
      <c r="K1456" s="85" t="s">
        <v>7220</v>
      </c>
      <c r="L1456" s="85" t="s">
        <v>4135</v>
      </c>
      <c r="M1456" s="85" t="s">
        <v>7288</v>
      </c>
    </row>
    <row r="1457" ht="213.75" spans="1:13">
      <c r="A1457" s="85" t="s">
        <v>7222</v>
      </c>
      <c r="B1457" s="85" t="s">
        <v>5590</v>
      </c>
      <c r="C1457" s="85" t="s">
        <v>5591</v>
      </c>
      <c r="D1457" s="85" t="s">
        <v>3201</v>
      </c>
      <c r="E1457" s="85" t="s">
        <v>3209</v>
      </c>
      <c r="F1457" s="86">
        <v>5.88</v>
      </c>
      <c r="G1457" s="86">
        <v>200</v>
      </c>
      <c r="H1457" s="86">
        <v>1176</v>
      </c>
      <c r="I1457" s="86">
        <v>6033.99</v>
      </c>
      <c r="J1457" s="85" t="s">
        <v>2958</v>
      </c>
      <c r="K1457" s="85" t="s">
        <v>7220</v>
      </c>
      <c r="L1457" s="85" t="s">
        <v>4135</v>
      </c>
      <c r="M1457" s="85" t="s">
        <v>7289</v>
      </c>
    </row>
    <row r="1458" ht="213.75" spans="1:13">
      <c r="A1458" s="85" t="s">
        <v>7219</v>
      </c>
      <c r="B1458" s="85" t="s">
        <v>7290</v>
      </c>
      <c r="C1458" s="85" t="s">
        <v>7291</v>
      </c>
      <c r="D1458" s="85" t="s">
        <v>3068</v>
      </c>
      <c r="E1458" s="85" t="s">
        <v>7291</v>
      </c>
      <c r="F1458" s="86">
        <v>8.31</v>
      </c>
      <c r="G1458" s="86">
        <v>80</v>
      </c>
      <c r="H1458" s="86">
        <v>664.8</v>
      </c>
      <c r="I1458" s="86">
        <v>11759</v>
      </c>
      <c r="J1458" s="85" t="s">
        <v>2965</v>
      </c>
      <c r="K1458" s="85" t="s">
        <v>7220</v>
      </c>
      <c r="L1458" s="85" t="s">
        <v>4135</v>
      </c>
      <c r="M1458" s="85" t="s">
        <v>7292</v>
      </c>
    </row>
    <row r="1459" ht="213.75" spans="1:13">
      <c r="A1459" s="85" t="s">
        <v>7219</v>
      </c>
      <c r="B1459" s="85" t="s">
        <v>5550</v>
      </c>
      <c r="C1459" s="85" t="s">
        <v>5551</v>
      </c>
      <c r="D1459" s="85" t="s">
        <v>5552</v>
      </c>
      <c r="E1459" s="85" t="s">
        <v>5551</v>
      </c>
      <c r="F1459" s="86">
        <v>77.26</v>
      </c>
      <c r="G1459" s="86">
        <v>2</v>
      </c>
      <c r="H1459" s="86">
        <v>154.52</v>
      </c>
      <c r="I1459" s="86">
        <v>11759</v>
      </c>
      <c r="J1459" s="85" t="s">
        <v>2965</v>
      </c>
      <c r="K1459" s="85" t="s">
        <v>7220</v>
      </c>
      <c r="L1459" s="85" t="s">
        <v>4135</v>
      </c>
      <c r="M1459" s="85" t="s">
        <v>7293</v>
      </c>
    </row>
    <row r="1460" ht="213.75" spans="1:13">
      <c r="A1460" s="85" t="s">
        <v>7219</v>
      </c>
      <c r="B1460" s="85" t="s">
        <v>7294</v>
      </c>
      <c r="C1460" s="85" t="s">
        <v>7295</v>
      </c>
      <c r="D1460" s="85" t="s">
        <v>3484</v>
      </c>
      <c r="E1460" s="85" t="s">
        <v>7295</v>
      </c>
      <c r="F1460" s="86">
        <v>12.73</v>
      </c>
      <c r="G1460" s="86">
        <v>10</v>
      </c>
      <c r="H1460" s="86">
        <v>127.3</v>
      </c>
      <c r="I1460" s="86">
        <v>11759</v>
      </c>
      <c r="J1460" s="85" t="s">
        <v>2965</v>
      </c>
      <c r="K1460" s="85" t="s">
        <v>7220</v>
      </c>
      <c r="L1460" s="85" t="s">
        <v>4135</v>
      </c>
      <c r="M1460" s="85" t="s">
        <v>7296</v>
      </c>
    </row>
    <row r="1461" ht="213.75" spans="1:13">
      <c r="A1461" s="85" t="s">
        <v>7219</v>
      </c>
      <c r="B1461" s="85" t="s">
        <v>7297</v>
      </c>
      <c r="C1461" s="85" t="s">
        <v>7298</v>
      </c>
      <c r="D1461" s="85" t="s">
        <v>3434</v>
      </c>
      <c r="E1461" s="85" t="s">
        <v>7298</v>
      </c>
      <c r="F1461" s="86">
        <v>12.5</v>
      </c>
      <c r="G1461" s="86">
        <v>6</v>
      </c>
      <c r="H1461" s="86">
        <v>75</v>
      </c>
      <c r="I1461" s="86">
        <v>11759</v>
      </c>
      <c r="J1461" s="85" t="s">
        <v>2965</v>
      </c>
      <c r="K1461" s="85" t="s">
        <v>7220</v>
      </c>
      <c r="L1461" s="85" t="s">
        <v>4135</v>
      </c>
      <c r="M1461" s="85" t="s">
        <v>7299</v>
      </c>
    </row>
    <row r="1462" ht="213.75" spans="1:13">
      <c r="A1462" s="85" t="s">
        <v>7219</v>
      </c>
      <c r="B1462" s="85" t="s">
        <v>7300</v>
      </c>
      <c r="C1462" s="85" t="s">
        <v>7301</v>
      </c>
      <c r="D1462" s="85" t="s">
        <v>3371</v>
      </c>
      <c r="E1462" s="85" t="s">
        <v>7301</v>
      </c>
      <c r="F1462" s="86">
        <v>1.16</v>
      </c>
      <c r="G1462" s="86">
        <v>100</v>
      </c>
      <c r="H1462" s="86">
        <v>116</v>
      </c>
      <c r="I1462" s="86">
        <v>11759</v>
      </c>
      <c r="J1462" s="85" t="s">
        <v>2965</v>
      </c>
      <c r="K1462" s="85" t="s">
        <v>7220</v>
      </c>
      <c r="L1462" s="85" t="s">
        <v>4135</v>
      </c>
      <c r="M1462" s="85" t="s">
        <v>7302</v>
      </c>
    </row>
    <row r="1463" ht="213.75" spans="1:13">
      <c r="A1463" s="85" t="s">
        <v>7222</v>
      </c>
      <c r="B1463" s="85" t="s">
        <v>4107</v>
      </c>
      <c r="C1463" s="85" t="s">
        <v>4108</v>
      </c>
      <c r="D1463" s="85" t="s">
        <v>3241</v>
      </c>
      <c r="E1463" s="85" t="s">
        <v>4109</v>
      </c>
      <c r="F1463" s="86">
        <v>2.7</v>
      </c>
      <c r="G1463" s="86">
        <v>10</v>
      </c>
      <c r="H1463" s="86">
        <v>27</v>
      </c>
      <c r="I1463" s="86">
        <v>6033.99</v>
      </c>
      <c r="J1463" s="85" t="s">
        <v>2958</v>
      </c>
      <c r="K1463" s="85" t="s">
        <v>7220</v>
      </c>
      <c r="L1463" s="85" t="s">
        <v>4135</v>
      </c>
      <c r="M1463" s="85" t="s">
        <v>7303</v>
      </c>
    </row>
    <row r="1464" ht="213.75" spans="1:13">
      <c r="A1464" s="85" t="s">
        <v>7219</v>
      </c>
      <c r="B1464" s="85" t="s">
        <v>6081</v>
      </c>
      <c r="C1464" s="85" t="s">
        <v>6082</v>
      </c>
      <c r="D1464" s="85" t="s">
        <v>3054</v>
      </c>
      <c r="E1464" s="85" t="s">
        <v>6082</v>
      </c>
      <c r="F1464" s="86">
        <v>5.82</v>
      </c>
      <c r="G1464" s="86">
        <v>30</v>
      </c>
      <c r="H1464" s="86">
        <v>174.6</v>
      </c>
      <c r="I1464" s="86">
        <v>11759</v>
      </c>
      <c r="J1464" s="85" t="s">
        <v>2965</v>
      </c>
      <c r="K1464" s="85" t="s">
        <v>7220</v>
      </c>
      <c r="L1464" s="85" t="s">
        <v>4135</v>
      </c>
      <c r="M1464" s="85" t="s">
        <v>7304</v>
      </c>
    </row>
    <row r="1465" ht="213.75" spans="1:13">
      <c r="A1465" s="85" t="s">
        <v>7219</v>
      </c>
      <c r="B1465" s="85" t="s">
        <v>7305</v>
      </c>
      <c r="C1465" s="85" t="s">
        <v>7306</v>
      </c>
      <c r="D1465" s="85" t="s">
        <v>2973</v>
      </c>
      <c r="E1465" s="85" t="s">
        <v>7306</v>
      </c>
      <c r="F1465" s="86">
        <v>44</v>
      </c>
      <c r="G1465" s="86">
        <v>2</v>
      </c>
      <c r="H1465" s="86">
        <v>88</v>
      </c>
      <c r="I1465" s="86">
        <v>11759</v>
      </c>
      <c r="J1465" s="85" t="s">
        <v>2965</v>
      </c>
      <c r="K1465" s="85" t="s">
        <v>7220</v>
      </c>
      <c r="L1465" s="85" t="s">
        <v>4135</v>
      </c>
      <c r="M1465" s="85" t="s">
        <v>7307</v>
      </c>
    </row>
    <row r="1466" ht="213.75" spans="1:13">
      <c r="A1466" s="85" t="s">
        <v>7222</v>
      </c>
      <c r="B1466" s="85" t="s">
        <v>7308</v>
      </c>
      <c r="C1466" s="85" t="s">
        <v>7309</v>
      </c>
      <c r="D1466" s="85" t="s">
        <v>2977</v>
      </c>
      <c r="E1466" s="85" t="s">
        <v>2978</v>
      </c>
      <c r="F1466" s="86">
        <v>4.14</v>
      </c>
      <c r="G1466" s="86">
        <v>500</v>
      </c>
      <c r="H1466" s="86">
        <v>2070</v>
      </c>
      <c r="I1466" s="86">
        <v>6033.99</v>
      </c>
      <c r="J1466" s="85" t="s">
        <v>2958</v>
      </c>
      <c r="K1466" s="85" t="s">
        <v>7220</v>
      </c>
      <c r="L1466" s="85" t="s">
        <v>4135</v>
      </c>
      <c r="M1466" s="85" t="s">
        <v>7310</v>
      </c>
    </row>
    <row r="1467" ht="213.75" spans="1:13">
      <c r="A1467" s="85" t="s">
        <v>7219</v>
      </c>
      <c r="B1467" s="85" t="s">
        <v>7311</v>
      </c>
      <c r="C1467" s="85" t="s">
        <v>7312</v>
      </c>
      <c r="D1467" s="85" t="s">
        <v>7313</v>
      </c>
      <c r="E1467" s="85" t="s">
        <v>7312</v>
      </c>
      <c r="F1467" s="86">
        <v>12.1</v>
      </c>
      <c r="G1467" s="86">
        <v>10</v>
      </c>
      <c r="H1467" s="86">
        <v>121</v>
      </c>
      <c r="I1467" s="86">
        <v>11759</v>
      </c>
      <c r="J1467" s="85" t="s">
        <v>2965</v>
      </c>
      <c r="K1467" s="85" t="s">
        <v>7220</v>
      </c>
      <c r="L1467" s="85" t="s">
        <v>4135</v>
      </c>
      <c r="M1467" s="85" t="s">
        <v>7314</v>
      </c>
    </row>
    <row r="1468" ht="213.75" spans="1:13">
      <c r="A1468" s="85" t="s">
        <v>7219</v>
      </c>
      <c r="B1468" s="85" t="s">
        <v>7315</v>
      </c>
      <c r="C1468" s="85" t="s">
        <v>7316</v>
      </c>
      <c r="D1468" s="85" t="s">
        <v>3014</v>
      </c>
      <c r="E1468" s="85" t="s">
        <v>7316</v>
      </c>
      <c r="F1468" s="86">
        <v>35.85</v>
      </c>
      <c r="G1468" s="86">
        <v>2</v>
      </c>
      <c r="H1468" s="86">
        <v>71.7</v>
      </c>
      <c r="I1468" s="86">
        <v>11759</v>
      </c>
      <c r="J1468" s="85" t="s">
        <v>2965</v>
      </c>
      <c r="K1468" s="85" t="s">
        <v>7220</v>
      </c>
      <c r="L1468" s="85" t="s">
        <v>4135</v>
      </c>
      <c r="M1468" s="85" t="s">
        <v>7317</v>
      </c>
    </row>
    <row r="1469" ht="213.75" spans="1:13">
      <c r="A1469" s="85" t="s">
        <v>7219</v>
      </c>
      <c r="B1469" s="85" t="s">
        <v>3160</v>
      </c>
      <c r="C1469" s="85" t="s">
        <v>3161</v>
      </c>
      <c r="D1469" s="85" t="s">
        <v>3046</v>
      </c>
      <c r="E1469" s="85" t="s">
        <v>3161</v>
      </c>
      <c r="F1469" s="86">
        <v>29.7</v>
      </c>
      <c r="G1469" s="86">
        <v>10</v>
      </c>
      <c r="H1469" s="86">
        <v>297</v>
      </c>
      <c r="I1469" s="86">
        <v>11759</v>
      </c>
      <c r="J1469" s="85" t="s">
        <v>2965</v>
      </c>
      <c r="K1469" s="85" t="s">
        <v>7220</v>
      </c>
      <c r="L1469" s="85" t="s">
        <v>4135</v>
      </c>
      <c r="M1469" s="85" t="s">
        <v>7318</v>
      </c>
    </row>
    <row r="1470" ht="213.75" spans="1:13">
      <c r="A1470" s="85" t="s">
        <v>7219</v>
      </c>
      <c r="B1470" s="85" t="s">
        <v>5761</v>
      </c>
      <c r="C1470" s="85" t="s">
        <v>5762</v>
      </c>
      <c r="D1470" s="85" t="s">
        <v>3189</v>
      </c>
      <c r="E1470" s="85" t="s">
        <v>5762</v>
      </c>
      <c r="F1470" s="86">
        <v>135.59</v>
      </c>
      <c r="G1470" s="86">
        <v>12</v>
      </c>
      <c r="H1470" s="86">
        <v>1627.08</v>
      </c>
      <c r="I1470" s="86">
        <v>11759</v>
      </c>
      <c r="J1470" s="85" t="s">
        <v>2965</v>
      </c>
      <c r="K1470" s="85" t="s">
        <v>7220</v>
      </c>
      <c r="L1470" s="85" t="s">
        <v>4135</v>
      </c>
      <c r="M1470" s="85" t="s">
        <v>7319</v>
      </c>
    </row>
    <row r="1471" ht="213.75" spans="1:13">
      <c r="A1471" s="85" t="s">
        <v>7219</v>
      </c>
      <c r="B1471" s="85" t="s">
        <v>7320</v>
      </c>
      <c r="C1471" s="85" t="s">
        <v>7321</v>
      </c>
      <c r="D1471" s="85" t="s">
        <v>3284</v>
      </c>
      <c r="E1471" s="85" t="s">
        <v>7321</v>
      </c>
      <c r="F1471" s="86">
        <v>21.12</v>
      </c>
      <c r="G1471" s="86">
        <v>4</v>
      </c>
      <c r="H1471" s="86">
        <v>84.48</v>
      </c>
      <c r="I1471" s="86">
        <v>11759</v>
      </c>
      <c r="J1471" s="85" t="s">
        <v>2965</v>
      </c>
      <c r="K1471" s="85" t="s">
        <v>7220</v>
      </c>
      <c r="L1471" s="85" t="s">
        <v>4135</v>
      </c>
      <c r="M1471" s="85" t="s">
        <v>7322</v>
      </c>
    </row>
    <row r="1472" ht="213.75" spans="1:13">
      <c r="A1472" s="85" t="s">
        <v>7222</v>
      </c>
      <c r="B1472" s="85" t="s">
        <v>3239</v>
      </c>
      <c r="C1472" s="85" t="s">
        <v>3240</v>
      </c>
      <c r="D1472" s="85" t="s">
        <v>3241</v>
      </c>
      <c r="E1472" s="85" t="s">
        <v>3242</v>
      </c>
      <c r="F1472" s="86">
        <v>4.5</v>
      </c>
      <c r="G1472" s="86">
        <v>10</v>
      </c>
      <c r="H1472" s="86">
        <v>45</v>
      </c>
      <c r="I1472" s="86">
        <v>6033.99</v>
      </c>
      <c r="J1472" s="85" t="s">
        <v>2958</v>
      </c>
      <c r="K1472" s="85" t="s">
        <v>7220</v>
      </c>
      <c r="L1472" s="85" t="s">
        <v>4135</v>
      </c>
      <c r="M1472" s="85" t="s">
        <v>7323</v>
      </c>
    </row>
    <row r="1473" ht="213.75" spans="1:13">
      <c r="A1473" s="85" t="s">
        <v>7222</v>
      </c>
      <c r="B1473" s="85" t="s">
        <v>7324</v>
      </c>
      <c r="C1473" s="85" t="s">
        <v>7325</v>
      </c>
      <c r="D1473" s="85" t="s">
        <v>7326</v>
      </c>
      <c r="E1473" s="85" t="s">
        <v>7327</v>
      </c>
      <c r="F1473" s="86">
        <v>97.51</v>
      </c>
      <c r="G1473" s="86">
        <v>4</v>
      </c>
      <c r="H1473" s="86">
        <v>390.04</v>
      </c>
      <c r="I1473" s="86">
        <v>6033.99</v>
      </c>
      <c r="J1473" s="85" t="s">
        <v>2958</v>
      </c>
      <c r="K1473" s="85" t="s">
        <v>7220</v>
      </c>
      <c r="L1473" s="85" t="s">
        <v>4135</v>
      </c>
      <c r="M1473" s="85" t="s">
        <v>7328</v>
      </c>
    </row>
    <row r="1474" ht="213.75" spans="1:13">
      <c r="A1474" s="85" t="s">
        <v>7329</v>
      </c>
      <c r="B1474" s="85" t="s">
        <v>3063</v>
      </c>
      <c r="C1474" s="85" t="s">
        <v>3064</v>
      </c>
      <c r="D1474" s="85" t="s">
        <v>2992</v>
      </c>
      <c r="E1474" s="85" t="s">
        <v>1815</v>
      </c>
      <c r="F1474" s="86">
        <v>5.3</v>
      </c>
      <c r="G1474" s="86">
        <v>800</v>
      </c>
      <c r="H1474" s="86">
        <v>4240</v>
      </c>
      <c r="I1474" s="86">
        <v>4240</v>
      </c>
      <c r="J1474" s="85" t="s">
        <v>2958</v>
      </c>
      <c r="K1474" s="85" t="s">
        <v>7220</v>
      </c>
      <c r="L1474" s="85" t="s">
        <v>4135</v>
      </c>
      <c r="M1474" s="85" t="s">
        <v>7330</v>
      </c>
    </row>
    <row r="1475" ht="213.75" spans="1:13">
      <c r="A1475" s="85" t="s">
        <v>7219</v>
      </c>
      <c r="B1475" s="85" t="s">
        <v>7331</v>
      </c>
      <c r="C1475" s="85" t="s">
        <v>7332</v>
      </c>
      <c r="D1475" s="85" t="s">
        <v>3054</v>
      </c>
      <c r="E1475" s="85" t="s">
        <v>7332</v>
      </c>
      <c r="F1475" s="86">
        <v>19</v>
      </c>
      <c r="G1475" s="86">
        <v>2</v>
      </c>
      <c r="H1475" s="86">
        <v>38</v>
      </c>
      <c r="I1475" s="86">
        <v>11759</v>
      </c>
      <c r="J1475" s="85" t="s">
        <v>2965</v>
      </c>
      <c r="K1475" s="85" t="s">
        <v>7220</v>
      </c>
      <c r="L1475" s="85" t="s">
        <v>4135</v>
      </c>
      <c r="M1475" s="85" t="s">
        <v>7333</v>
      </c>
    </row>
    <row r="1476" ht="213.75" spans="1:13">
      <c r="A1476" s="85" t="s">
        <v>7334</v>
      </c>
      <c r="B1476" s="85" t="s">
        <v>7335</v>
      </c>
      <c r="C1476" s="85" t="s">
        <v>7336</v>
      </c>
      <c r="D1476" s="85" t="s">
        <v>5282</v>
      </c>
      <c r="E1476" s="85" t="s">
        <v>7337</v>
      </c>
      <c r="F1476" s="86">
        <v>62.4</v>
      </c>
      <c r="G1476" s="86">
        <v>5</v>
      </c>
      <c r="H1476" s="86">
        <v>312</v>
      </c>
      <c r="I1476" s="86">
        <v>312</v>
      </c>
      <c r="J1476" s="85" t="s">
        <v>3612</v>
      </c>
      <c r="K1476" s="85" t="s">
        <v>7220</v>
      </c>
      <c r="L1476" s="85" t="s">
        <v>4135</v>
      </c>
      <c r="M1476" s="85" t="s">
        <v>7338</v>
      </c>
    </row>
    <row r="1477" ht="213.75" spans="1:13">
      <c r="A1477" s="85" t="s">
        <v>7219</v>
      </c>
      <c r="B1477" s="85" t="s">
        <v>7011</v>
      </c>
      <c r="C1477" s="85" t="s">
        <v>7012</v>
      </c>
      <c r="D1477" s="85" t="s">
        <v>3197</v>
      </c>
      <c r="E1477" s="85" t="s">
        <v>7012</v>
      </c>
      <c r="F1477" s="86">
        <v>18.4</v>
      </c>
      <c r="G1477" s="86">
        <v>13</v>
      </c>
      <c r="H1477" s="86">
        <v>239.2</v>
      </c>
      <c r="I1477" s="86">
        <v>11759</v>
      </c>
      <c r="J1477" s="85" t="s">
        <v>2965</v>
      </c>
      <c r="K1477" s="85" t="s">
        <v>7220</v>
      </c>
      <c r="L1477" s="85" t="s">
        <v>4135</v>
      </c>
      <c r="M1477" s="85" t="s">
        <v>7339</v>
      </c>
    </row>
    <row r="1478" ht="213.75" spans="1:13">
      <c r="A1478" s="85" t="s">
        <v>7222</v>
      </c>
      <c r="B1478" s="85" t="s">
        <v>7340</v>
      </c>
      <c r="C1478" s="85" t="s">
        <v>7341</v>
      </c>
      <c r="D1478" s="85" t="s">
        <v>6613</v>
      </c>
      <c r="E1478" s="85" t="s">
        <v>7342</v>
      </c>
      <c r="F1478" s="86">
        <v>17.6</v>
      </c>
      <c r="G1478" s="86">
        <v>6</v>
      </c>
      <c r="H1478" s="86">
        <v>105.6</v>
      </c>
      <c r="I1478" s="86">
        <v>6033.99</v>
      </c>
      <c r="J1478" s="85" t="s">
        <v>2958</v>
      </c>
      <c r="K1478" s="85" t="s">
        <v>7220</v>
      </c>
      <c r="L1478" s="85" t="s">
        <v>4135</v>
      </c>
      <c r="M1478" s="85" t="s">
        <v>7343</v>
      </c>
    </row>
    <row r="1479" ht="213.75" spans="1:13">
      <c r="A1479" s="85" t="s">
        <v>7219</v>
      </c>
      <c r="B1479" s="85" t="s">
        <v>7344</v>
      </c>
      <c r="C1479" s="85" t="s">
        <v>7345</v>
      </c>
      <c r="D1479" s="85" t="s">
        <v>7271</v>
      </c>
      <c r="E1479" s="85" t="s">
        <v>7345</v>
      </c>
      <c r="F1479" s="86">
        <v>9.03</v>
      </c>
      <c r="G1479" s="86">
        <v>3</v>
      </c>
      <c r="H1479" s="86">
        <v>27.09</v>
      </c>
      <c r="I1479" s="86">
        <v>11759</v>
      </c>
      <c r="J1479" s="85" t="s">
        <v>2965</v>
      </c>
      <c r="K1479" s="85" t="s">
        <v>7220</v>
      </c>
      <c r="L1479" s="85" t="s">
        <v>4135</v>
      </c>
      <c r="M1479" s="85" t="s">
        <v>7346</v>
      </c>
    </row>
    <row r="1480" ht="213.75" spans="1:13">
      <c r="A1480" s="85" t="s">
        <v>7222</v>
      </c>
      <c r="B1480" s="85" t="s">
        <v>2980</v>
      </c>
      <c r="C1480" s="85" t="s">
        <v>2981</v>
      </c>
      <c r="D1480" s="85" t="s">
        <v>2982</v>
      </c>
      <c r="E1480" s="85" t="s">
        <v>2983</v>
      </c>
      <c r="F1480" s="86">
        <v>35</v>
      </c>
      <c r="G1480" s="86">
        <v>10</v>
      </c>
      <c r="H1480" s="86">
        <v>350</v>
      </c>
      <c r="I1480" s="86">
        <v>6033.99</v>
      </c>
      <c r="J1480" s="85" t="s">
        <v>2958</v>
      </c>
      <c r="K1480" s="85" t="s">
        <v>7220</v>
      </c>
      <c r="L1480" s="85" t="s">
        <v>4135</v>
      </c>
      <c r="M1480" s="85" t="s">
        <v>7347</v>
      </c>
    </row>
    <row r="1481" ht="213.75" spans="1:13">
      <c r="A1481" s="85" t="s">
        <v>7348</v>
      </c>
      <c r="B1481" s="85" t="s">
        <v>3123</v>
      </c>
      <c r="C1481" s="85" t="s">
        <v>3124</v>
      </c>
      <c r="D1481" s="85" t="s">
        <v>3125</v>
      </c>
      <c r="E1481" s="85" t="s">
        <v>3124</v>
      </c>
      <c r="F1481" s="86">
        <v>4768.9</v>
      </c>
      <c r="G1481" s="86">
        <v>1</v>
      </c>
      <c r="H1481" s="86">
        <v>4768.9</v>
      </c>
      <c r="I1481" s="86">
        <v>4768.9</v>
      </c>
      <c r="J1481" s="85" t="s">
        <v>7349</v>
      </c>
      <c r="K1481" s="85" t="s">
        <v>7350</v>
      </c>
      <c r="L1481" s="85" t="s">
        <v>4135</v>
      </c>
      <c r="M1481" s="85" t="s">
        <v>7351</v>
      </c>
    </row>
    <row r="1482" ht="213.75" spans="1:13">
      <c r="A1482" s="85" t="s">
        <v>7352</v>
      </c>
      <c r="B1482" s="85" t="s">
        <v>3509</v>
      </c>
      <c r="C1482" s="85" t="s">
        <v>3510</v>
      </c>
      <c r="D1482" s="85" t="s">
        <v>3511</v>
      </c>
      <c r="E1482" s="85" t="s">
        <v>3510</v>
      </c>
      <c r="F1482" s="86">
        <v>12000</v>
      </c>
      <c r="G1482" s="86">
        <v>1</v>
      </c>
      <c r="H1482" s="86">
        <v>12000</v>
      </c>
      <c r="I1482" s="86">
        <v>12000</v>
      </c>
      <c r="J1482" s="85" t="s">
        <v>7353</v>
      </c>
      <c r="K1482" s="85" t="s">
        <v>7354</v>
      </c>
      <c r="L1482" s="85" t="s">
        <v>4135</v>
      </c>
      <c r="M1482" s="85" t="s">
        <v>7355</v>
      </c>
    </row>
    <row r="1483" ht="213.75" spans="1:13">
      <c r="A1483" s="85" t="s">
        <v>7356</v>
      </c>
      <c r="B1483" s="85" t="s">
        <v>4047</v>
      </c>
      <c r="C1483" s="85" t="s">
        <v>4048</v>
      </c>
      <c r="D1483" s="85" t="s">
        <v>4049</v>
      </c>
      <c r="E1483" s="85" t="s">
        <v>4048</v>
      </c>
      <c r="F1483" s="86">
        <v>3780</v>
      </c>
      <c r="G1483" s="86">
        <v>1</v>
      </c>
      <c r="H1483" s="86">
        <v>3780</v>
      </c>
      <c r="I1483" s="86">
        <v>3780</v>
      </c>
      <c r="J1483" s="85" t="s">
        <v>2920</v>
      </c>
      <c r="K1483" s="85" t="s">
        <v>7357</v>
      </c>
      <c r="L1483" s="85" t="s">
        <v>4135</v>
      </c>
      <c r="M1483" s="85" t="s">
        <v>7358</v>
      </c>
    </row>
    <row r="1484" ht="213.75" spans="1:13">
      <c r="A1484" s="85" t="s">
        <v>7359</v>
      </c>
      <c r="B1484" s="85" t="s">
        <v>4047</v>
      </c>
      <c r="C1484" s="85" t="s">
        <v>4048</v>
      </c>
      <c r="D1484" s="85" t="s">
        <v>4049</v>
      </c>
      <c r="E1484" s="85" t="s">
        <v>4048</v>
      </c>
      <c r="F1484" s="86">
        <v>77079</v>
      </c>
      <c r="G1484" s="86">
        <v>1</v>
      </c>
      <c r="H1484" s="86">
        <v>77079</v>
      </c>
      <c r="I1484" s="86">
        <v>77079</v>
      </c>
      <c r="J1484" s="85" t="s">
        <v>4138</v>
      </c>
      <c r="K1484" s="85" t="s">
        <v>7360</v>
      </c>
      <c r="L1484" s="85" t="s">
        <v>4135</v>
      </c>
      <c r="M1484" s="85" t="s">
        <v>7361</v>
      </c>
    </row>
    <row r="1485" ht="213.75" spans="1:13">
      <c r="A1485" s="85" t="s">
        <v>7362</v>
      </c>
      <c r="B1485" s="85" t="s">
        <v>2917</v>
      </c>
      <c r="C1485" s="85" t="s">
        <v>2918</v>
      </c>
      <c r="D1485" s="85" t="s">
        <v>2919</v>
      </c>
      <c r="E1485" s="85" t="s">
        <v>2918</v>
      </c>
      <c r="F1485" s="86">
        <v>9800</v>
      </c>
      <c r="G1485" s="86">
        <v>1</v>
      </c>
      <c r="H1485" s="86">
        <v>9800</v>
      </c>
      <c r="I1485" s="86">
        <v>9800</v>
      </c>
      <c r="J1485" s="85" t="s">
        <v>7363</v>
      </c>
      <c r="K1485" s="85" t="s">
        <v>7364</v>
      </c>
      <c r="L1485" s="85" t="s">
        <v>4135</v>
      </c>
      <c r="M1485" s="85" t="s">
        <v>7365</v>
      </c>
    </row>
    <row r="1486" ht="213.75" spans="1:13">
      <c r="A1486" s="85" t="s">
        <v>7366</v>
      </c>
      <c r="B1486" s="85" t="s">
        <v>5413</v>
      </c>
      <c r="C1486" s="85" t="s">
        <v>5414</v>
      </c>
      <c r="D1486" s="85" t="s">
        <v>3189</v>
      </c>
      <c r="E1486" s="85" t="s">
        <v>5414</v>
      </c>
      <c r="F1486" s="86">
        <v>37.17</v>
      </c>
      <c r="G1486" s="86">
        <v>12</v>
      </c>
      <c r="H1486" s="86">
        <v>446.04</v>
      </c>
      <c r="I1486" s="86">
        <v>5825.54</v>
      </c>
      <c r="J1486" s="85" t="s">
        <v>4391</v>
      </c>
      <c r="K1486" s="85" t="s">
        <v>7367</v>
      </c>
      <c r="L1486" s="85" t="s">
        <v>4135</v>
      </c>
      <c r="M1486" s="85" t="s">
        <v>7368</v>
      </c>
    </row>
    <row r="1487" ht="213.75" spans="1:13">
      <c r="A1487" s="85" t="s">
        <v>7366</v>
      </c>
      <c r="B1487" s="85" t="s">
        <v>7369</v>
      </c>
      <c r="C1487" s="85" t="s">
        <v>7370</v>
      </c>
      <c r="D1487" s="85" t="s">
        <v>6541</v>
      </c>
      <c r="E1487" s="85" t="s">
        <v>7370</v>
      </c>
      <c r="F1487" s="86">
        <v>5.25</v>
      </c>
      <c r="G1487" s="86">
        <v>75</v>
      </c>
      <c r="H1487" s="86">
        <v>393.75</v>
      </c>
      <c r="I1487" s="86">
        <v>5825.54</v>
      </c>
      <c r="J1487" s="85" t="s">
        <v>4391</v>
      </c>
      <c r="K1487" s="85" t="s">
        <v>7367</v>
      </c>
      <c r="L1487" s="85" t="s">
        <v>4135</v>
      </c>
      <c r="M1487" s="85" t="s">
        <v>7371</v>
      </c>
    </row>
    <row r="1488" ht="213.75" spans="1:13">
      <c r="A1488" s="85" t="s">
        <v>7366</v>
      </c>
      <c r="B1488" s="85" t="s">
        <v>7372</v>
      </c>
      <c r="C1488" s="85" t="s">
        <v>7373</v>
      </c>
      <c r="D1488" s="85" t="s">
        <v>4911</v>
      </c>
      <c r="E1488" s="85" t="s">
        <v>4761</v>
      </c>
      <c r="F1488" s="86">
        <v>117.6</v>
      </c>
      <c r="G1488" s="86">
        <v>20</v>
      </c>
      <c r="H1488" s="86">
        <v>2352</v>
      </c>
      <c r="I1488" s="86">
        <v>5825.54</v>
      </c>
      <c r="J1488" s="85" t="s">
        <v>4391</v>
      </c>
      <c r="K1488" s="85" t="s">
        <v>7367</v>
      </c>
      <c r="L1488" s="85" t="s">
        <v>4135</v>
      </c>
      <c r="M1488" s="85" t="s">
        <v>7374</v>
      </c>
    </row>
    <row r="1489" ht="213.75" spans="1:13">
      <c r="A1489" s="85" t="s">
        <v>7366</v>
      </c>
      <c r="B1489" s="85" t="s">
        <v>7375</v>
      </c>
      <c r="C1489" s="85" t="s">
        <v>7376</v>
      </c>
      <c r="D1489" s="85" t="s">
        <v>7377</v>
      </c>
      <c r="E1489" s="85" t="s">
        <v>7378</v>
      </c>
      <c r="F1489" s="86">
        <v>10.48</v>
      </c>
      <c r="G1489" s="86">
        <v>50</v>
      </c>
      <c r="H1489" s="86">
        <v>524</v>
      </c>
      <c r="I1489" s="86">
        <v>5825.54</v>
      </c>
      <c r="J1489" s="85" t="s">
        <v>4391</v>
      </c>
      <c r="K1489" s="85" t="s">
        <v>7367</v>
      </c>
      <c r="L1489" s="85" t="s">
        <v>4135</v>
      </c>
      <c r="M1489" s="85" t="s">
        <v>7379</v>
      </c>
    </row>
    <row r="1490" ht="213.75" spans="1:13">
      <c r="A1490" s="85" t="s">
        <v>7366</v>
      </c>
      <c r="B1490" s="85" t="s">
        <v>7380</v>
      </c>
      <c r="C1490" s="85" t="s">
        <v>7381</v>
      </c>
      <c r="D1490" s="85" t="s">
        <v>3189</v>
      </c>
      <c r="E1490" s="85" t="s">
        <v>7381</v>
      </c>
      <c r="F1490" s="86">
        <v>18.75</v>
      </c>
      <c r="G1490" s="86">
        <v>10</v>
      </c>
      <c r="H1490" s="86">
        <v>187.5</v>
      </c>
      <c r="I1490" s="86">
        <v>5825.54</v>
      </c>
      <c r="J1490" s="85" t="s">
        <v>4391</v>
      </c>
      <c r="K1490" s="85" t="s">
        <v>7367</v>
      </c>
      <c r="L1490" s="85" t="s">
        <v>4135</v>
      </c>
      <c r="M1490" s="85" t="s">
        <v>7382</v>
      </c>
    </row>
    <row r="1491" ht="213.75" spans="1:13">
      <c r="A1491" s="85" t="s">
        <v>7366</v>
      </c>
      <c r="B1491" s="85" t="s">
        <v>7383</v>
      </c>
      <c r="C1491" s="85" t="s">
        <v>7384</v>
      </c>
      <c r="D1491" s="85" t="s">
        <v>2977</v>
      </c>
      <c r="E1491" s="85" t="s">
        <v>7384</v>
      </c>
      <c r="F1491" s="86">
        <v>20.51</v>
      </c>
      <c r="G1491" s="86">
        <v>75</v>
      </c>
      <c r="H1491" s="86">
        <v>1538.25</v>
      </c>
      <c r="I1491" s="86">
        <v>5825.54</v>
      </c>
      <c r="J1491" s="85" t="s">
        <v>4391</v>
      </c>
      <c r="K1491" s="85" t="s">
        <v>7367</v>
      </c>
      <c r="L1491" s="85" t="s">
        <v>4135</v>
      </c>
      <c r="M1491" s="85" t="s">
        <v>7385</v>
      </c>
    </row>
    <row r="1492" ht="213.75" spans="1:13">
      <c r="A1492" s="85" t="s">
        <v>7366</v>
      </c>
      <c r="B1492" s="85" t="s">
        <v>5779</v>
      </c>
      <c r="C1492" s="85" t="s">
        <v>5780</v>
      </c>
      <c r="D1492" s="85" t="s">
        <v>3148</v>
      </c>
      <c r="E1492" s="85" t="s">
        <v>4242</v>
      </c>
      <c r="F1492" s="86">
        <v>12.8</v>
      </c>
      <c r="G1492" s="86">
        <v>30</v>
      </c>
      <c r="H1492" s="86">
        <v>384</v>
      </c>
      <c r="I1492" s="86">
        <v>5825.54</v>
      </c>
      <c r="J1492" s="85" t="s">
        <v>4391</v>
      </c>
      <c r="K1492" s="85" t="s">
        <v>7367</v>
      </c>
      <c r="L1492" s="85" t="s">
        <v>4135</v>
      </c>
      <c r="M1492" s="85" t="s">
        <v>7386</v>
      </c>
    </row>
    <row r="1493" ht="213.75" spans="1:13">
      <c r="A1493" s="85" t="s">
        <v>7387</v>
      </c>
      <c r="B1493" s="85" t="s">
        <v>7388</v>
      </c>
      <c r="C1493" s="85" t="s">
        <v>7389</v>
      </c>
      <c r="D1493" s="85" t="s">
        <v>4848</v>
      </c>
      <c r="E1493" s="85" t="s">
        <v>6707</v>
      </c>
      <c r="F1493" s="86">
        <v>15</v>
      </c>
      <c r="G1493" s="86">
        <v>5</v>
      </c>
      <c r="H1493" s="86">
        <v>75</v>
      </c>
      <c r="I1493" s="86">
        <v>6782</v>
      </c>
      <c r="J1493" s="85" t="s">
        <v>2935</v>
      </c>
      <c r="K1493" s="85" t="s">
        <v>7390</v>
      </c>
      <c r="L1493" s="85" t="s">
        <v>4135</v>
      </c>
      <c r="M1493" s="85" t="s">
        <v>7391</v>
      </c>
    </row>
    <row r="1494" ht="213.75" spans="1:13">
      <c r="A1494" s="85" t="s">
        <v>7387</v>
      </c>
      <c r="B1494" s="85" t="s">
        <v>7392</v>
      </c>
      <c r="C1494" s="85" t="s">
        <v>7393</v>
      </c>
      <c r="D1494" s="85" t="s">
        <v>7326</v>
      </c>
      <c r="E1494" s="85" t="s">
        <v>7394</v>
      </c>
      <c r="F1494" s="86">
        <v>1488</v>
      </c>
      <c r="G1494" s="86">
        <v>2</v>
      </c>
      <c r="H1494" s="86">
        <v>2976</v>
      </c>
      <c r="I1494" s="86">
        <v>6782</v>
      </c>
      <c r="J1494" s="85" t="s">
        <v>2935</v>
      </c>
      <c r="K1494" s="85" t="s">
        <v>7390</v>
      </c>
      <c r="L1494" s="85" t="s">
        <v>4135</v>
      </c>
      <c r="M1494" s="85" t="s">
        <v>7395</v>
      </c>
    </row>
    <row r="1495" ht="213.75" spans="1:13">
      <c r="A1495" s="85" t="s">
        <v>7387</v>
      </c>
      <c r="B1495" s="85" t="s">
        <v>7396</v>
      </c>
      <c r="C1495" s="85" t="s">
        <v>7397</v>
      </c>
      <c r="D1495" s="85" t="s">
        <v>5449</v>
      </c>
      <c r="E1495" s="85" t="s">
        <v>7397</v>
      </c>
      <c r="F1495" s="86">
        <v>37</v>
      </c>
      <c r="G1495" s="86">
        <v>4</v>
      </c>
      <c r="H1495" s="86">
        <v>148</v>
      </c>
      <c r="I1495" s="86">
        <v>6782</v>
      </c>
      <c r="J1495" s="85" t="s">
        <v>2935</v>
      </c>
      <c r="K1495" s="85" t="s">
        <v>7390</v>
      </c>
      <c r="L1495" s="85" t="s">
        <v>4135</v>
      </c>
      <c r="M1495" s="85" t="s">
        <v>7398</v>
      </c>
    </row>
    <row r="1496" ht="213.75" spans="1:13">
      <c r="A1496" s="85" t="s">
        <v>7387</v>
      </c>
      <c r="B1496" s="85" t="s">
        <v>7399</v>
      </c>
      <c r="C1496" s="85" t="s">
        <v>7400</v>
      </c>
      <c r="D1496" s="85" t="s">
        <v>4177</v>
      </c>
      <c r="E1496" s="85" t="s">
        <v>7400</v>
      </c>
      <c r="F1496" s="86">
        <v>32</v>
      </c>
      <c r="G1496" s="86">
        <v>5</v>
      </c>
      <c r="H1496" s="86">
        <v>160</v>
      </c>
      <c r="I1496" s="86">
        <v>6782</v>
      </c>
      <c r="J1496" s="85" t="s">
        <v>2935</v>
      </c>
      <c r="K1496" s="85" t="s">
        <v>7390</v>
      </c>
      <c r="L1496" s="85" t="s">
        <v>4135</v>
      </c>
      <c r="M1496" s="85" t="s">
        <v>7401</v>
      </c>
    </row>
    <row r="1497" ht="213.75" spans="1:13">
      <c r="A1497" s="85" t="s">
        <v>7387</v>
      </c>
      <c r="B1497" s="85" t="s">
        <v>7402</v>
      </c>
      <c r="C1497" s="85" t="s">
        <v>7403</v>
      </c>
      <c r="D1497" s="85" t="s">
        <v>4739</v>
      </c>
      <c r="E1497" s="85" t="s">
        <v>7404</v>
      </c>
      <c r="F1497" s="86">
        <v>8.5</v>
      </c>
      <c r="G1497" s="86">
        <v>4</v>
      </c>
      <c r="H1497" s="86">
        <v>34</v>
      </c>
      <c r="I1497" s="86">
        <v>6782</v>
      </c>
      <c r="J1497" s="85" t="s">
        <v>2935</v>
      </c>
      <c r="K1497" s="85" t="s">
        <v>7390</v>
      </c>
      <c r="L1497" s="85" t="s">
        <v>4135</v>
      </c>
      <c r="M1497" s="85" t="s">
        <v>7405</v>
      </c>
    </row>
    <row r="1498" ht="213.75" spans="1:13">
      <c r="A1498" s="85" t="s">
        <v>7387</v>
      </c>
      <c r="B1498" s="85" t="s">
        <v>7406</v>
      </c>
      <c r="C1498" s="85" t="s">
        <v>7407</v>
      </c>
      <c r="D1498" s="85" t="s">
        <v>3386</v>
      </c>
      <c r="E1498" s="85" t="s">
        <v>7407</v>
      </c>
      <c r="F1498" s="86">
        <v>638</v>
      </c>
      <c r="G1498" s="86">
        <v>2</v>
      </c>
      <c r="H1498" s="86">
        <v>1276</v>
      </c>
      <c r="I1498" s="86">
        <v>6782</v>
      </c>
      <c r="J1498" s="85" t="s">
        <v>2935</v>
      </c>
      <c r="K1498" s="85" t="s">
        <v>7390</v>
      </c>
      <c r="L1498" s="85" t="s">
        <v>4135</v>
      </c>
      <c r="M1498" s="85" t="s">
        <v>7408</v>
      </c>
    </row>
    <row r="1499" ht="213.75" spans="1:13">
      <c r="A1499" s="85" t="s">
        <v>7387</v>
      </c>
      <c r="B1499" s="85" t="s">
        <v>7409</v>
      </c>
      <c r="C1499" s="85" t="s">
        <v>7410</v>
      </c>
      <c r="D1499" s="85" t="s">
        <v>6127</v>
      </c>
      <c r="E1499" s="85" t="s">
        <v>7411</v>
      </c>
      <c r="F1499" s="86">
        <v>1543</v>
      </c>
      <c r="G1499" s="86">
        <v>1</v>
      </c>
      <c r="H1499" s="86">
        <v>1543</v>
      </c>
      <c r="I1499" s="86">
        <v>6782</v>
      </c>
      <c r="J1499" s="85" t="s">
        <v>2935</v>
      </c>
      <c r="K1499" s="85" t="s">
        <v>7390</v>
      </c>
      <c r="L1499" s="85" t="s">
        <v>4135</v>
      </c>
      <c r="M1499" s="85" t="s">
        <v>7412</v>
      </c>
    </row>
    <row r="1500" ht="213.75" spans="1:13">
      <c r="A1500" s="85" t="s">
        <v>7387</v>
      </c>
      <c r="B1500" s="85" t="s">
        <v>5349</v>
      </c>
      <c r="C1500" s="85" t="s">
        <v>5350</v>
      </c>
      <c r="D1500" s="85" t="s">
        <v>3189</v>
      </c>
      <c r="E1500" s="85" t="s">
        <v>5351</v>
      </c>
      <c r="F1500" s="86">
        <v>19</v>
      </c>
      <c r="G1500" s="86">
        <v>30</v>
      </c>
      <c r="H1500" s="86">
        <v>570</v>
      </c>
      <c r="I1500" s="86">
        <v>6782</v>
      </c>
      <c r="J1500" s="85" t="s">
        <v>2935</v>
      </c>
      <c r="K1500" s="85" t="s">
        <v>7390</v>
      </c>
      <c r="L1500" s="85" t="s">
        <v>4135</v>
      </c>
      <c r="M1500" s="85" t="s">
        <v>7413</v>
      </c>
    </row>
    <row r="1501" ht="213.75" spans="1:13">
      <c r="A1501" s="85" t="s">
        <v>7414</v>
      </c>
      <c r="B1501" s="85" t="s">
        <v>3682</v>
      </c>
      <c r="C1501" s="85" t="s">
        <v>3683</v>
      </c>
      <c r="D1501" s="85" t="s">
        <v>3684</v>
      </c>
      <c r="E1501" s="85" t="s">
        <v>3685</v>
      </c>
      <c r="F1501" s="86">
        <v>16</v>
      </c>
      <c r="G1501" s="86">
        <v>10</v>
      </c>
      <c r="H1501" s="86">
        <v>160</v>
      </c>
      <c r="I1501" s="86">
        <v>6136</v>
      </c>
      <c r="J1501" s="85" t="s">
        <v>3075</v>
      </c>
      <c r="K1501" s="85" t="s">
        <v>7415</v>
      </c>
      <c r="L1501" s="85" t="s">
        <v>4135</v>
      </c>
      <c r="M1501" s="85" t="s">
        <v>7416</v>
      </c>
    </row>
    <row r="1502" ht="213.75" spans="1:13">
      <c r="A1502" s="85" t="s">
        <v>7417</v>
      </c>
      <c r="B1502" s="85" t="s">
        <v>7418</v>
      </c>
      <c r="C1502" s="85" t="s">
        <v>7419</v>
      </c>
      <c r="D1502" s="85" t="s">
        <v>3367</v>
      </c>
      <c r="E1502" s="85" t="s">
        <v>7419</v>
      </c>
      <c r="F1502" s="86">
        <v>24</v>
      </c>
      <c r="G1502" s="86">
        <v>20</v>
      </c>
      <c r="H1502" s="86">
        <v>480</v>
      </c>
      <c r="I1502" s="86">
        <v>480</v>
      </c>
      <c r="J1502" s="85" t="s">
        <v>2965</v>
      </c>
      <c r="K1502" s="85" t="s">
        <v>7415</v>
      </c>
      <c r="L1502" s="85" t="s">
        <v>4135</v>
      </c>
      <c r="M1502" s="85" t="s">
        <v>7420</v>
      </c>
    </row>
    <row r="1503" ht="213.75" spans="1:13">
      <c r="A1503" s="85" t="s">
        <v>7414</v>
      </c>
      <c r="B1503" s="85" t="s">
        <v>3699</v>
      </c>
      <c r="C1503" s="85" t="s">
        <v>3700</v>
      </c>
      <c r="D1503" s="85" t="s">
        <v>3074</v>
      </c>
      <c r="E1503" s="85" t="s">
        <v>1969</v>
      </c>
      <c r="F1503" s="86">
        <v>209.6</v>
      </c>
      <c r="G1503" s="86">
        <v>10</v>
      </c>
      <c r="H1503" s="86">
        <v>2096</v>
      </c>
      <c r="I1503" s="86">
        <v>6136</v>
      </c>
      <c r="J1503" s="85" t="s">
        <v>3075</v>
      </c>
      <c r="K1503" s="85" t="s">
        <v>7415</v>
      </c>
      <c r="L1503" s="85" t="s">
        <v>4135</v>
      </c>
      <c r="M1503" s="85" t="s">
        <v>7421</v>
      </c>
    </row>
    <row r="1504" ht="213.75" spans="1:13">
      <c r="A1504" s="85" t="s">
        <v>7422</v>
      </c>
      <c r="B1504" s="85" t="s">
        <v>7423</v>
      </c>
      <c r="C1504" s="85" t="s">
        <v>7424</v>
      </c>
      <c r="D1504" s="85" t="s">
        <v>2977</v>
      </c>
      <c r="E1504" s="85" t="s">
        <v>7425</v>
      </c>
      <c r="F1504" s="86">
        <v>23.4</v>
      </c>
      <c r="G1504" s="86">
        <v>75</v>
      </c>
      <c r="H1504" s="86">
        <v>1755</v>
      </c>
      <c r="I1504" s="86">
        <v>1755</v>
      </c>
      <c r="J1504" s="85" t="s">
        <v>2958</v>
      </c>
      <c r="K1504" s="85" t="s">
        <v>7415</v>
      </c>
      <c r="L1504" s="85" t="s">
        <v>4135</v>
      </c>
      <c r="M1504" s="85" t="s">
        <v>7426</v>
      </c>
    </row>
    <row r="1505" ht="213.75" spans="1:13">
      <c r="A1505" s="85" t="s">
        <v>7414</v>
      </c>
      <c r="B1505" s="85" t="s">
        <v>3588</v>
      </c>
      <c r="C1505" s="85" t="s">
        <v>3589</v>
      </c>
      <c r="D1505" s="85" t="s">
        <v>3074</v>
      </c>
      <c r="E1505" s="85" t="s">
        <v>1969</v>
      </c>
      <c r="F1505" s="86">
        <v>388</v>
      </c>
      <c r="G1505" s="86">
        <v>10</v>
      </c>
      <c r="H1505" s="86">
        <v>3880</v>
      </c>
      <c r="I1505" s="86">
        <v>6136</v>
      </c>
      <c r="J1505" s="85" t="s">
        <v>3075</v>
      </c>
      <c r="K1505" s="85" t="s">
        <v>7415</v>
      </c>
      <c r="L1505" s="85" t="s">
        <v>4135</v>
      </c>
      <c r="M1505" s="85" t="s">
        <v>7427</v>
      </c>
    </row>
    <row r="1506" ht="213.75" spans="1:13">
      <c r="A1506" s="85" t="s">
        <v>7428</v>
      </c>
      <c r="B1506" s="85" t="s">
        <v>7429</v>
      </c>
      <c r="C1506" s="85" t="s">
        <v>7430</v>
      </c>
      <c r="D1506" s="85" t="s">
        <v>7072</v>
      </c>
      <c r="E1506" s="85" t="s">
        <v>2081</v>
      </c>
      <c r="F1506" s="86">
        <v>3915</v>
      </c>
      <c r="G1506" s="86">
        <v>1</v>
      </c>
      <c r="H1506" s="86">
        <v>3915</v>
      </c>
      <c r="I1506" s="86">
        <v>3915</v>
      </c>
      <c r="J1506" s="85" t="s">
        <v>6655</v>
      </c>
      <c r="K1506" s="85" t="s">
        <v>7415</v>
      </c>
      <c r="L1506" s="85" t="s">
        <v>4135</v>
      </c>
      <c r="M1506" s="85" t="s">
        <v>7431</v>
      </c>
    </row>
    <row r="1507" ht="213.75" spans="1:13">
      <c r="A1507" s="85" t="s">
        <v>7432</v>
      </c>
      <c r="B1507" s="85" t="s">
        <v>3745</v>
      </c>
      <c r="C1507" s="85" t="s">
        <v>3746</v>
      </c>
      <c r="D1507" s="85" t="s">
        <v>3747</v>
      </c>
      <c r="E1507" s="85" t="s">
        <v>1827</v>
      </c>
      <c r="F1507" s="86">
        <v>134</v>
      </c>
      <c r="G1507" s="86">
        <v>200</v>
      </c>
      <c r="H1507" s="86">
        <v>26800</v>
      </c>
      <c r="I1507" s="86">
        <v>26800</v>
      </c>
      <c r="J1507" s="85" t="s">
        <v>2932</v>
      </c>
      <c r="K1507" s="85" t="s">
        <v>7433</v>
      </c>
      <c r="L1507" s="85" t="s">
        <v>4135</v>
      </c>
      <c r="M1507" s="85" t="s">
        <v>7434</v>
      </c>
    </row>
    <row r="1508" ht="213.75" spans="1:13">
      <c r="A1508" s="85" t="s">
        <v>7435</v>
      </c>
      <c r="B1508" s="85" t="s">
        <v>3772</v>
      </c>
      <c r="C1508" s="85" t="s">
        <v>3773</v>
      </c>
      <c r="D1508" s="85" t="s">
        <v>3189</v>
      </c>
      <c r="E1508" s="85" t="s">
        <v>3774</v>
      </c>
      <c r="F1508" s="86">
        <v>27</v>
      </c>
      <c r="G1508" s="86">
        <v>150</v>
      </c>
      <c r="H1508" s="86">
        <v>4050</v>
      </c>
      <c r="I1508" s="86">
        <v>4050</v>
      </c>
      <c r="J1508" s="85" t="s">
        <v>3314</v>
      </c>
      <c r="K1508" s="85" t="s">
        <v>7436</v>
      </c>
      <c r="L1508" s="85" t="s">
        <v>4135</v>
      </c>
      <c r="M1508" s="85" t="s">
        <v>7437</v>
      </c>
    </row>
    <row r="1509" ht="213.75" spans="1:13">
      <c r="A1509" s="85" t="s">
        <v>7438</v>
      </c>
      <c r="B1509" s="85" t="s">
        <v>3530</v>
      </c>
      <c r="C1509" s="85" t="s">
        <v>3531</v>
      </c>
      <c r="D1509" s="85" t="s">
        <v>3532</v>
      </c>
      <c r="E1509" s="85" t="s">
        <v>3533</v>
      </c>
      <c r="F1509" s="86">
        <v>198</v>
      </c>
      <c r="G1509" s="86">
        <v>10</v>
      </c>
      <c r="H1509" s="86">
        <v>1980</v>
      </c>
      <c r="I1509" s="86">
        <v>26845</v>
      </c>
      <c r="J1509" s="85" t="s">
        <v>2938</v>
      </c>
      <c r="K1509" s="85" t="s">
        <v>7439</v>
      </c>
      <c r="L1509" s="85" t="s">
        <v>4135</v>
      </c>
      <c r="M1509" s="85" t="s">
        <v>7440</v>
      </c>
    </row>
    <row r="1510" ht="213.75" spans="1:13">
      <c r="A1510" s="85" t="s">
        <v>7438</v>
      </c>
      <c r="B1510" s="85" t="s">
        <v>5662</v>
      </c>
      <c r="C1510" s="85" t="s">
        <v>5663</v>
      </c>
      <c r="D1510" s="85" t="s">
        <v>4076</v>
      </c>
      <c r="E1510" s="85" t="s">
        <v>1832</v>
      </c>
      <c r="F1510" s="86">
        <v>128</v>
      </c>
      <c r="G1510" s="86">
        <v>180</v>
      </c>
      <c r="H1510" s="86">
        <v>23040</v>
      </c>
      <c r="I1510" s="86">
        <v>26845</v>
      </c>
      <c r="J1510" s="85" t="s">
        <v>2938</v>
      </c>
      <c r="K1510" s="85" t="s">
        <v>7439</v>
      </c>
      <c r="L1510" s="85" t="s">
        <v>4135</v>
      </c>
      <c r="M1510" s="85" t="s">
        <v>7441</v>
      </c>
    </row>
    <row r="1511" ht="213.75" spans="1:13">
      <c r="A1511" s="85" t="s">
        <v>7438</v>
      </c>
      <c r="B1511" s="85" t="s">
        <v>3546</v>
      </c>
      <c r="C1511" s="85" t="s">
        <v>3547</v>
      </c>
      <c r="D1511" s="85" t="s">
        <v>3548</v>
      </c>
      <c r="E1511" s="85" t="s">
        <v>1835</v>
      </c>
      <c r="F1511" s="86">
        <v>365</v>
      </c>
      <c r="G1511" s="86">
        <v>5</v>
      </c>
      <c r="H1511" s="86">
        <v>1825</v>
      </c>
      <c r="I1511" s="86">
        <v>26845</v>
      </c>
      <c r="J1511" s="85" t="s">
        <v>2938</v>
      </c>
      <c r="K1511" s="85" t="s">
        <v>7439</v>
      </c>
      <c r="L1511" s="85" t="s">
        <v>4135</v>
      </c>
      <c r="M1511" s="85" t="s">
        <v>7442</v>
      </c>
    </row>
    <row r="1512" ht="213.75" spans="1:13">
      <c r="A1512" s="85" t="s">
        <v>7443</v>
      </c>
      <c r="B1512" s="85" t="s">
        <v>7444</v>
      </c>
      <c r="C1512" s="85" t="s">
        <v>7445</v>
      </c>
      <c r="D1512" s="85" t="s">
        <v>3189</v>
      </c>
      <c r="E1512" s="85" t="s">
        <v>7446</v>
      </c>
      <c r="F1512" s="86">
        <v>15.75</v>
      </c>
      <c r="G1512" s="86">
        <v>800</v>
      </c>
      <c r="H1512" s="86">
        <v>12600</v>
      </c>
      <c r="I1512" s="86">
        <v>12600</v>
      </c>
      <c r="J1512" s="85" t="s">
        <v>2935</v>
      </c>
      <c r="K1512" s="85" t="s">
        <v>7447</v>
      </c>
      <c r="L1512" s="85" t="s">
        <v>4135</v>
      </c>
      <c r="M1512" s="85" t="s">
        <v>7448</v>
      </c>
    </row>
    <row r="1513" ht="213.75" spans="1:13">
      <c r="A1513" s="85" t="s">
        <v>7449</v>
      </c>
      <c r="B1513" s="85" t="s">
        <v>7450</v>
      </c>
      <c r="C1513" s="85" t="s">
        <v>7451</v>
      </c>
      <c r="D1513" s="85" t="s">
        <v>5909</v>
      </c>
      <c r="E1513" s="85" t="s">
        <v>7451</v>
      </c>
      <c r="F1513" s="86">
        <v>110.93</v>
      </c>
      <c r="G1513" s="86">
        <v>11</v>
      </c>
      <c r="H1513" s="86">
        <v>1220.23</v>
      </c>
      <c r="I1513" s="86">
        <v>1220.23</v>
      </c>
      <c r="J1513" s="85" t="s">
        <v>2965</v>
      </c>
      <c r="K1513" s="85" t="s">
        <v>7452</v>
      </c>
      <c r="L1513" s="85" t="s">
        <v>4135</v>
      </c>
      <c r="M1513" s="85" t="s">
        <v>7453</v>
      </c>
    </row>
    <row r="1514" ht="213.75" spans="1:13">
      <c r="A1514" s="85" t="s">
        <v>7454</v>
      </c>
      <c r="B1514" s="85" t="s">
        <v>3408</v>
      </c>
      <c r="C1514" s="85" t="s">
        <v>3409</v>
      </c>
      <c r="D1514" s="85" t="s">
        <v>3410</v>
      </c>
      <c r="E1514" s="85" t="s">
        <v>3409</v>
      </c>
      <c r="F1514" s="86">
        <v>4.45</v>
      </c>
      <c r="G1514" s="86">
        <v>100</v>
      </c>
      <c r="H1514" s="86">
        <v>445</v>
      </c>
      <c r="I1514" s="86">
        <v>4140.06</v>
      </c>
      <c r="J1514" s="85" t="s">
        <v>2965</v>
      </c>
      <c r="K1514" s="85" t="s">
        <v>7455</v>
      </c>
      <c r="L1514" s="85" t="s">
        <v>4135</v>
      </c>
      <c r="M1514" s="85" t="s">
        <v>7456</v>
      </c>
    </row>
    <row r="1515" ht="213.75" spans="1:13">
      <c r="A1515" s="85" t="s">
        <v>7454</v>
      </c>
      <c r="B1515" s="85" t="s">
        <v>5477</v>
      </c>
      <c r="C1515" s="85" t="s">
        <v>5478</v>
      </c>
      <c r="D1515" s="85" t="s">
        <v>5479</v>
      </c>
      <c r="E1515" s="85" t="s">
        <v>5478</v>
      </c>
      <c r="F1515" s="86">
        <v>30</v>
      </c>
      <c r="G1515" s="86">
        <v>100</v>
      </c>
      <c r="H1515" s="86">
        <v>3000</v>
      </c>
      <c r="I1515" s="86">
        <v>4140.06</v>
      </c>
      <c r="J1515" s="85" t="s">
        <v>2965</v>
      </c>
      <c r="K1515" s="85" t="s">
        <v>7455</v>
      </c>
      <c r="L1515" s="85" t="s">
        <v>4135</v>
      </c>
      <c r="M1515" s="85" t="s">
        <v>7457</v>
      </c>
    </row>
    <row r="1516" ht="213.75" spans="1:13">
      <c r="A1516" s="85" t="s">
        <v>7454</v>
      </c>
      <c r="B1516" s="85" t="s">
        <v>7458</v>
      </c>
      <c r="C1516" s="85" t="s">
        <v>7459</v>
      </c>
      <c r="D1516" s="85" t="s">
        <v>5546</v>
      </c>
      <c r="E1516" s="85" t="s">
        <v>7459</v>
      </c>
      <c r="F1516" s="86">
        <v>606.06</v>
      </c>
      <c r="G1516" s="86">
        <v>1</v>
      </c>
      <c r="H1516" s="86">
        <v>606.06</v>
      </c>
      <c r="I1516" s="86">
        <v>4140.06</v>
      </c>
      <c r="J1516" s="85" t="s">
        <v>2965</v>
      </c>
      <c r="K1516" s="85" t="s">
        <v>7455</v>
      </c>
      <c r="L1516" s="85" t="s">
        <v>4135</v>
      </c>
      <c r="M1516" s="85" t="s">
        <v>7460</v>
      </c>
    </row>
    <row r="1517" ht="213.75" spans="1:13">
      <c r="A1517" s="85" t="s">
        <v>7454</v>
      </c>
      <c r="B1517" s="85" t="s">
        <v>3490</v>
      </c>
      <c r="C1517" s="85" t="s">
        <v>3491</v>
      </c>
      <c r="D1517" s="85" t="s">
        <v>3410</v>
      </c>
      <c r="E1517" s="85" t="s">
        <v>3491</v>
      </c>
      <c r="F1517" s="86">
        <v>4.45</v>
      </c>
      <c r="G1517" s="86">
        <v>20</v>
      </c>
      <c r="H1517" s="86">
        <v>89</v>
      </c>
      <c r="I1517" s="86">
        <v>4140.06</v>
      </c>
      <c r="J1517" s="85" t="s">
        <v>2965</v>
      </c>
      <c r="K1517" s="85" t="s">
        <v>7455</v>
      </c>
      <c r="L1517" s="85" t="s">
        <v>4135</v>
      </c>
      <c r="M1517" s="85" t="s">
        <v>7461</v>
      </c>
    </row>
    <row r="1518" ht="213.75" spans="1:13">
      <c r="A1518" s="85" t="s">
        <v>7462</v>
      </c>
      <c r="B1518" s="85" t="s">
        <v>3509</v>
      </c>
      <c r="C1518" s="85" t="s">
        <v>3510</v>
      </c>
      <c r="D1518" s="85" t="s">
        <v>3511</v>
      </c>
      <c r="E1518" s="85" t="s">
        <v>3510</v>
      </c>
      <c r="F1518" s="86">
        <v>8906.83</v>
      </c>
      <c r="G1518" s="86">
        <v>1</v>
      </c>
      <c r="H1518" s="86">
        <v>8906.83</v>
      </c>
      <c r="I1518" s="86">
        <v>8906.83</v>
      </c>
      <c r="J1518" s="85" t="s">
        <v>7463</v>
      </c>
      <c r="K1518" s="85" t="s">
        <v>7464</v>
      </c>
      <c r="L1518" s="85" t="s">
        <v>4135</v>
      </c>
      <c r="M1518" s="85" t="s">
        <v>7465</v>
      </c>
    </row>
    <row r="1519" ht="213.75" spans="1:13">
      <c r="A1519" s="85" t="s">
        <v>7466</v>
      </c>
      <c r="B1519" s="85" t="s">
        <v>2901</v>
      </c>
      <c r="C1519" s="85" t="s">
        <v>2902</v>
      </c>
      <c r="D1519" s="85" t="s">
        <v>2903</v>
      </c>
      <c r="E1519" s="85" t="s">
        <v>2902</v>
      </c>
      <c r="F1519" s="86">
        <v>34192</v>
      </c>
      <c r="G1519" s="86">
        <v>1</v>
      </c>
      <c r="H1519" s="86">
        <v>34192</v>
      </c>
      <c r="I1519" s="86">
        <v>34192</v>
      </c>
      <c r="J1519" s="85" t="s">
        <v>4197</v>
      </c>
      <c r="K1519" s="85" t="s">
        <v>7467</v>
      </c>
      <c r="L1519" s="85" t="s">
        <v>4135</v>
      </c>
      <c r="M1519" s="85" t="s">
        <v>7468</v>
      </c>
    </row>
    <row r="1520" ht="213.75" spans="1:13">
      <c r="A1520" s="85" t="s">
        <v>7469</v>
      </c>
      <c r="B1520" s="85" t="s">
        <v>4047</v>
      </c>
      <c r="C1520" s="85" t="s">
        <v>4048</v>
      </c>
      <c r="D1520" s="85" t="s">
        <v>4049</v>
      </c>
      <c r="E1520" s="85" t="s">
        <v>4048</v>
      </c>
      <c r="F1520" s="86">
        <v>33000</v>
      </c>
      <c r="G1520" s="86">
        <v>1</v>
      </c>
      <c r="H1520" s="86">
        <v>33000</v>
      </c>
      <c r="I1520" s="86">
        <v>33000</v>
      </c>
      <c r="J1520" s="85" t="s">
        <v>4050</v>
      </c>
      <c r="K1520" s="85" t="s">
        <v>7470</v>
      </c>
      <c r="L1520" s="85" t="s">
        <v>4135</v>
      </c>
      <c r="M1520" s="85" t="s">
        <v>7471</v>
      </c>
    </row>
    <row r="1521" ht="213.75" spans="1:13">
      <c r="A1521" s="85" t="s">
        <v>7472</v>
      </c>
      <c r="B1521" s="85" t="s">
        <v>7473</v>
      </c>
      <c r="C1521" s="85" t="s">
        <v>7474</v>
      </c>
      <c r="D1521" s="85" t="s">
        <v>7475</v>
      </c>
      <c r="E1521" s="85" t="s">
        <v>7476</v>
      </c>
      <c r="F1521" s="86">
        <v>15000</v>
      </c>
      <c r="G1521" s="86">
        <v>1</v>
      </c>
      <c r="H1521" s="86">
        <v>15000</v>
      </c>
      <c r="I1521" s="86">
        <v>15000</v>
      </c>
      <c r="J1521" s="85" t="s">
        <v>3947</v>
      </c>
      <c r="K1521" s="85" t="s">
        <v>7477</v>
      </c>
      <c r="L1521" s="85" t="s">
        <v>4135</v>
      </c>
      <c r="M1521" s="85" t="s">
        <v>7478</v>
      </c>
    </row>
    <row r="1522" ht="213.75" spans="1:13">
      <c r="A1522" s="85" t="s">
        <v>7479</v>
      </c>
      <c r="B1522" s="85" t="s">
        <v>2901</v>
      </c>
      <c r="C1522" s="85" t="s">
        <v>2902</v>
      </c>
      <c r="D1522" s="85" t="s">
        <v>2903</v>
      </c>
      <c r="E1522" s="85" t="s">
        <v>2902</v>
      </c>
      <c r="F1522" s="86">
        <v>22997.76</v>
      </c>
      <c r="G1522" s="86">
        <v>1</v>
      </c>
      <c r="H1522" s="86">
        <v>22997.76</v>
      </c>
      <c r="I1522" s="86">
        <v>22997.76</v>
      </c>
      <c r="J1522" s="85" t="s">
        <v>3816</v>
      </c>
      <c r="K1522" s="85" t="s">
        <v>7480</v>
      </c>
      <c r="L1522" s="85" t="s">
        <v>4135</v>
      </c>
      <c r="M1522" s="85" t="s">
        <v>7481</v>
      </c>
    </row>
    <row r="1523" ht="213.75" spans="1:13">
      <c r="A1523" s="85" t="s">
        <v>7482</v>
      </c>
      <c r="B1523" s="85" t="s">
        <v>7245</v>
      </c>
      <c r="C1523" s="85" t="s">
        <v>7246</v>
      </c>
      <c r="D1523" s="85" t="s">
        <v>2977</v>
      </c>
      <c r="E1523" s="85" t="s">
        <v>2978</v>
      </c>
      <c r="F1523" s="86">
        <v>16.92</v>
      </c>
      <c r="G1523" s="86">
        <v>5</v>
      </c>
      <c r="H1523" s="86">
        <v>84.6</v>
      </c>
      <c r="I1523" s="86">
        <v>2568.6</v>
      </c>
      <c r="J1523" s="85" t="s">
        <v>2958</v>
      </c>
      <c r="K1523" s="85" t="s">
        <v>7483</v>
      </c>
      <c r="L1523" s="85" t="s">
        <v>4135</v>
      </c>
      <c r="M1523" s="85" t="s">
        <v>7484</v>
      </c>
    </row>
    <row r="1524" ht="213.75" spans="1:13">
      <c r="A1524" s="85" t="s">
        <v>7485</v>
      </c>
      <c r="B1524" s="85" t="s">
        <v>3699</v>
      </c>
      <c r="C1524" s="85" t="s">
        <v>3700</v>
      </c>
      <c r="D1524" s="85" t="s">
        <v>3074</v>
      </c>
      <c r="E1524" s="85" t="s">
        <v>1969</v>
      </c>
      <c r="F1524" s="86">
        <v>209.6</v>
      </c>
      <c r="G1524" s="86">
        <v>10</v>
      </c>
      <c r="H1524" s="86">
        <v>2096</v>
      </c>
      <c r="I1524" s="86">
        <v>6136</v>
      </c>
      <c r="J1524" s="85" t="s">
        <v>3075</v>
      </c>
      <c r="K1524" s="85" t="s">
        <v>7483</v>
      </c>
      <c r="L1524" s="85" t="s">
        <v>4135</v>
      </c>
      <c r="M1524" s="85" t="s">
        <v>7486</v>
      </c>
    </row>
    <row r="1525" ht="213.75" spans="1:13">
      <c r="A1525" s="85" t="s">
        <v>7482</v>
      </c>
      <c r="B1525" s="85" t="s">
        <v>7308</v>
      </c>
      <c r="C1525" s="85" t="s">
        <v>7309</v>
      </c>
      <c r="D1525" s="85" t="s">
        <v>2977</v>
      </c>
      <c r="E1525" s="85" t="s">
        <v>2978</v>
      </c>
      <c r="F1525" s="86">
        <v>4.14</v>
      </c>
      <c r="G1525" s="86">
        <v>600</v>
      </c>
      <c r="H1525" s="86">
        <v>2484</v>
      </c>
      <c r="I1525" s="86">
        <v>2568.6</v>
      </c>
      <c r="J1525" s="85" t="s">
        <v>2958</v>
      </c>
      <c r="K1525" s="85" t="s">
        <v>7483</v>
      </c>
      <c r="L1525" s="85" t="s">
        <v>4135</v>
      </c>
      <c r="M1525" s="85" t="s">
        <v>7487</v>
      </c>
    </row>
    <row r="1526" ht="213.75" spans="1:13">
      <c r="A1526" s="85" t="s">
        <v>7488</v>
      </c>
      <c r="B1526" s="85" t="s">
        <v>7489</v>
      </c>
      <c r="C1526" s="85" t="s">
        <v>7490</v>
      </c>
      <c r="D1526" s="85" t="s">
        <v>3371</v>
      </c>
      <c r="E1526" s="85" t="s">
        <v>7490</v>
      </c>
      <c r="F1526" s="86">
        <v>47.23</v>
      </c>
      <c r="G1526" s="86">
        <v>2</v>
      </c>
      <c r="H1526" s="86">
        <v>94.46</v>
      </c>
      <c r="I1526" s="86">
        <v>995.51</v>
      </c>
      <c r="J1526" s="85" t="s">
        <v>2965</v>
      </c>
      <c r="K1526" s="85" t="s">
        <v>7483</v>
      </c>
      <c r="L1526" s="85" t="s">
        <v>4135</v>
      </c>
      <c r="M1526" s="85" t="s">
        <v>7491</v>
      </c>
    </row>
    <row r="1527" ht="213.75" spans="1:13">
      <c r="A1527" s="85" t="s">
        <v>7488</v>
      </c>
      <c r="B1527" s="85" t="s">
        <v>7127</v>
      </c>
      <c r="C1527" s="85" t="s">
        <v>7128</v>
      </c>
      <c r="D1527" s="85" t="s">
        <v>3371</v>
      </c>
      <c r="E1527" s="85" t="s">
        <v>7128</v>
      </c>
      <c r="F1527" s="86">
        <v>35.49</v>
      </c>
      <c r="G1527" s="86">
        <v>20</v>
      </c>
      <c r="H1527" s="86">
        <v>709.8</v>
      </c>
      <c r="I1527" s="86">
        <v>995.51</v>
      </c>
      <c r="J1527" s="85" t="s">
        <v>2965</v>
      </c>
      <c r="K1527" s="85" t="s">
        <v>7483</v>
      </c>
      <c r="L1527" s="85" t="s">
        <v>4135</v>
      </c>
      <c r="M1527" s="85" t="s">
        <v>7492</v>
      </c>
    </row>
    <row r="1528" ht="213.75" spans="1:13">
      <c r="A1528" s="85" t="s">
        <v>7485</v>
      </c>
      <c r="B1528" s="85" t="s">
        <v>3682</v>
      </c>
      <c r="C1528" s="85" t="s">
        <v>3683</v>
      </c>
      <c r="D1528" s="85" t="s">
        <v>3684</v>
      </c>
      <c r="E1528" s="85" t="s">
        <v>3685</v>
      </c>
      <c r="F1528" s="86">
        <v>16</v>
      </c>
      <c r="G1528" s="86">
        <v>10</v>
      </c>
      <c r="H1528" s="86">
        <v>160</v>
      </c>
      <c r="I1528" s="86">
        <v>6136</v>
      </c>
      <c r="J1528" s="85" t="s">
        <v>3075</v>
      </c>
      <c r="K1528" s="85" t="s">
        <v>7483</v>
      </c>
      <c r="L1528" s="85" t="s">
        <v>4135</v>
      </c>
      <c r="M1528" s="85" t="s">
        <v>7493</v>
      </c>
    </row>
    <row r="1529" ht="213.75" spans="1:13">
      <c r="A1529" s="85" t="s">
        <v>7488</v>
      </c>
      <c r="B1529" s="85" t="s">
        <v>7494</v>
      </c>
      <c r="C1529" s="85" t="s">
        <v>7495</v>
      </c>
      <c r="D1529" s="85" t="s">
        <v>3153</v>
      </c>
      <c r="E1529" s="85" t="s">
        <v>7495</v>
      </c>
      <c r="F1529" s="86">
        <v>63.75</v>
      </c>
      <c r="G1529" s="86">
        <v>3</v>
      </c>
      <c r="H1529" s="86">
        <v>191.25</v>
      </c>
      <c r="I1529" s="86">
        <v>995.51</v>
      </c>
      <c r="J1529" s="85" t="s">
        <v>2965</v>
      </c>
      <c r="K1529" s="85" t="s">
        <v>7483</v>
      </c>
      <c r="L1529" s="85" t="s">
        <v>4135</v>
      </c>
      <c r="M1529" s="85" t="s">
        <v>7496</v>
      </c>
    </row>
    <row r="1530" ht="213.75" spans="1:13">
      <c r="A1530" s="85" t="s">
        <v>7485</v>
      </c>
      <c r="B1530" s="85" t="s">
        <v>3588</v>
      </c>
      <c r="C1530" s="85" t="s">
        <v>3589</v>
      </c>
      <c r="D1530" s="85" t="s">
        <v>3074</v>
      </c>
      <c r="E1530" s="85" t="s">
        <v>1969</v>
      </c>
      <c r="F1530" s="86">
        <v>388</v>
      </c>
      <c r="G1530" s="86">
        <v>10</v>
      </c>
      <c r="H1530" s="86">
        <v>3880</v>
      </c>
      <c r="I1530" s="86">
        <v>6136</v>
      </c>
      <c r="J1530" s="85" t="s">
        <v>3075</v>
      </c>
      <c r="K1530" s="85" t="s">
        <v>7483</v>
      </c>
      <c r="L1530" s="85" t="s">
        <v>4135</v>
      </c>
      <c r="M1530" s="85" t="s">
        <v>7497</v>
      </c>
    </row>
    <row r="1531" ht="213.75" spans="1:13">
      <c r="A1531" s="85" t="s">
        <v>7498</v>
      </c>
      <c r="B1531" s="85" t="s">
        <v>7499</v>
      </c>
      <c r="C1531" s="85" t="s">
        <v>7500</v>
      </c>
      <c r="D1531" s="85" t="s">
        <v>3261</v>
      </c>
      <c r="E1531" s="85" t="s">
        <v>3262</v>
      </c>
      <c r="F1531" s="86">
        <v>10.5</v>
      </c>
      <c r="G1531" s="86">
        <v>100</v>
      </c>
      <c r="H1531" s="86">
        <v>1050</v>
      </c>
      <c r="I1531" s="86">
        <v>1050</v>
      </c>
      <c r="J1531" s="85" t="s">
        <v>2999</v>
      </c>
      <c r="K1531" s="85" t="s">
        <v>7483</v>
      </c>
      <c r="L1531" s="85" t="s">
        <v>4135</v>
      </c>
      <c r="M1531" s="85" t="s">
        <v>7501</v>
      </c>
    </row>
    <row r="1532" ht="213.75" spans="1:13">
      <c r="A1532" s="85" t="s">
        <v>7502</v>
      </c>
      <c r="B1532" s="85" t="s">
        <v>3487</v>
      </c>
      <c r="C1532" s="85" t="s">
        <v>3488</v>
      </c>
      <c r="D1532" s="85" t="s">
        <v>3082</v>
      </c>
      <c r="E1532" s="85" t="s">
        <v>3488</v>
      </c>
      <c r="F1532" s="86">
        <v>59.06</v>
      </c>
      <c r="G1532" s="86">
        <v>50</v>
      </c>
      <c r="H1532" s="86">
        <v>2953</v>
      </c>
      <c r="I1532" s="86">
        <v>9049.17</v>
      </c>
      <c r="J1532" s="85" t="s">
        <v>2965</v>
      </c>
      <c r="K1532" s="85" t="s">
        <v>7503</v>
      </c>
      <c r="L1532" s="85" t="s">
        <v>4135</v>
      </c>
      <c r="M1532" s="85" t="s">
        <v>7504</v>
      </c>
    </row>
    <row r="1533" ht="213.75" spans="1:13">
      <c r="A1533" s="85" t="s">
        <v>7502</v>
      </c>
      <c r="B1533" s="85" t="s">
        <v>7505</v>
      </c>
      <c r="C1533" s="85" t="s">
        <v>7506</v>
      </c>
      <c r="D1533" s="85" t="s">
        <v>3068</v>
      </c>
      <c r="E1533" s="85" t="s">
        <v>7506</v>
      </c>
      <c r="F1533" s="86">
        <v>7.19</v>
      </c>
      <c r="G1533" s="86">
        <v>80</v>
      </c>
      <c r="H1533" s="86">
        <v>575.2</v>
      </c>
      <c r="I1533" s="86">
        <v>9049.17</v>
      </c>
      <c r="J1533" s="85" t="s">
        <v>2965</v>
      </c>
      <c r="K1533" s="85" t="s">
        <v>7503</v>
      </c>
      <c r="L1533" s="85" t="s">
        <v>4135</v>
      </c>
      <c r="M1533" s="85" t="s">
        <v>7507</v>
      </c>
    </row>
    <row r="1534" ht="213.75" spans="1:13">
      <c r="A1534" s="85" t="s">
        <v>7502</v>
      </c>
      <c r="B1534" s="85" t="s">
        <v>3228</v>
      </c>
      <c r="C1534" s="85" t="s">
        <v>3229</v>
      </c>
      <c r="D1534" s="85" t="s">
        <v>3230</v>
      </c>
      <c r="E1534" s="85" t="s">
        <v>3229</v>
      </c>
      <c r="F1534" s="86">
        <v>6.54</v>
      </c>
      <c r="G1534" s="86">
        <v>20</v>
      </c>
      <c r="H1534" s="86">
        <v>130.8</v>
      </c>
      <c r="I1534" s="86">
        <v>9049.17</v>
      </c>
      <c r="J1534" s="85" t="s">
        <v>2965</v>
      </c>
      <c r="K1534" s="85" t="s">
        <v>7503</v>
      </c>
      <c r="L1534" s="85" t="s">
        <v>4135</v>
      </c>
      <c r="M1534" s="85" t="s">
        <v>7508</v>
      </c>
    </row>
    <row r="1535" ht="213.75" spans="1:13">
      <c r="A1535" s="85" t="s">
        <v>7502</v>
      </c>
      <c r="B1535" s="85" t="s">
        <v>5470</v>
      </c>
      <c r="C1535" s="85" t="s">
        <v>5471</v>
      </c>
      <c r="D1535" s="85" t="s">
        <v>3593</v>
      </c>
      <c r="E1535" s="85" t="s">
        <v>5471</v>
      </c>
      <c r="F1535" s="86">
        <v>11.76</v>
      </c>
      <c r="G1535" s="86">
        <v>20</v>
      </c>
      <c r="H1535" s="86">
        <v>235.2</v>
      </c>
      <c r="I1535" s="86">
        <v>9049.17</v>
      </c>
      <c r="J1535" s="85" t="s">
        <v>2965</v>
      </c>
      <c r="K1535" s="85" t="s">
        <v>7503</v>
      </c>
      <c r="L1535" s="85" t="s">
        <v>4135</v>
      </c>
      <c r="M1535" s="85" t="s">
        <v>7509</v>
      </c>
    </row>
    <row r="1536" ht="213.75" spans="1:13">
      <c r="A1536" s="85" t="s">
        <v>7510</v>
      </c>
      <c r="B1536" s="85" t="s">
        <v>3063</v>
      </c>
      <c r="C1536" s="85" t="s">
        <v>3064</v>
      </c>
      <c r="D1536" s="85" t="s">
        <v>2992</v>
      </c>
      <c r="E1536" s="85" t="s">
        <v>1815</v>
      </c>
      <c r="F1536" s="86">
        <v>5.3</v>
      </c>
      <c r="G1536" s="86">
        <v>800</v>
      </c>
      <c r="H1536" s="86">
        <v>4240</v>
      </c>
      <c r="I1536" s="86">
        <v>4240</v>
      </c>
      <c r="J1536" s="85" t="s">
        <v>2958</v>
      </c>
      <c r="K1536" s="85" t="s">
        <v>7503</v>
      </c>
      <c r="L1536" s="85" t="s">
        <v>4135</v>
      </c>
      <c r="M1536" s="85" t="s">
        <v>7511</v>
      </c>
    </row>
    <row r="1537" ht="213.75" spans="1:13">
      <c r="A1537" s="85" t="s">
        <v>7502</v>
      </c>
      <c r="B1537" s="85" t="s">
        <v>7512</v>
      </c>
      <c r="C1537" s="85" t="s">
        <v>7513</v>
      </c>
      <c r="D1537" s="85" t="s">
        <v>3410</v>
      </c>
      <c r="E1537" s="85" t="s">
        <v>7513</v>
      </c>
      <c r="F1537" s="86">
        <v>6.27</v>
      </c>
      <c r="G1537" s="86">
        <v>20</v>
      </c>
      <c r="H1537" s="86">
        <v>125.4</v>
      </c>
      <c r="I1537" s="86">
        <v>9049.17</v>
      </c>
      <c r="J1537" s="85" t="s">
        <v>2965</v>
      </c>
      <c r="K1537" s="85" t="s">
        <v>7503</v>
      </c>
      <c r="L1537" s="85" t="s">
        <v>4135</v>
      </c>
      <c r="M1537" s="85" t="s">
        <v>7514</v>
      </c>
    </row>
    <row r="1538" ht="213.75" spans="1:13">
      <c r="A1538" s="85" t="s">
        <v>7502</v>
      </c>
      <c r="B1538" s="85" t="s">
        <v>7515</v>
      </c>
      <c r="C1538" s="85" t="s">
        <v>7516</v>
      </c>
      <c r="D1538" s="85" t="s">
        <v>3068</v>
      </c>
      <c r="E1538" s="85" t="s">
        <v>7516</v>
      </c>
      <c r="F1538" s="86">
        <v>5.72</v>
      </c>
      <c r="G1538" s="86">
        <v>100</v>
      </c>
      <c r="H1538" s="86">
        <v>572</v>
      </c>
      <c r="I1538" s="86">
        <v>9049.17</v>
      </c>
      <c r="J1538" s="85" t="s">
        <v>2965</v>
      </c>
      <c r="K1538" s="85" t="s">
        <v>7503</v>
      </c>
      <c r="L1538" s="85" t="s">
        <v>4135</v>
      </c>
      <c r="M1538" s="85" t="s">
        <v>7517</v>
      </c>
    </row>
    <row r="1539" ht="213.75" spans="1:13">
      <c r="A1539" s="85" t="s">
        <v>7502</v>
      </c>
      <c r="B1539" s="85" t="s">
        <v>7518</v>
      </c>
      <c r="C1539" s="85" t="s">
        <v>7519</v>
      </c>
      <c r="D1539" s="85" t="s">
        <v>5293</v>
      </c>
      <c r="E1539" s="85" t="s">
        <v>7519</v>
      </c>
      <c r="F1539" s="86">
        <v>29.03</v>
      </c>
      <c r="G1539" s="86">
        <v>30</v>
      </c>
      <c r="H1539" s="86">
        <v>870.9</v>
      </c>
      <c r="I1539" s="86">
        <v>9049.17</v>
      </c>
      <c r="J1539" s="85" t="s">
        <v>2965</v>
      </c>
      <c r="K1539" s="85" t="s">
        <v>7503</v>
      </c>
      <c r="L1539" s="85" t="s">
        <v>4135</v>
      </c>
      <c r="M1539" s="85" t="s">
        <v>7520</v>
      </c>
    </row>
    <row r="1540" ht="213.75" spans="1:13">
      <c r="A1540" s="85" t="s">
        <v>7502</v>
      </c>
      <c r="B1540" s="85" t="s">
        <v>7521</v>
      </c>
      <c r="C1540" s="85" t="s">
        <v>7522</v>
      </c>
      <c r="D1540" s="85" t="s">
        <v>7523</v>
      </c>
      <c r="E1540" s="85" t="s">
        <v>7522</v>
      </c>
      <c r="F1540" s="86">
        <v>11.5</v>
      </c>
      <c r="G1540" s="86">
        <v>3</v>
      </c>
      <c r="H1540" s="86">
        <v>34.5</v>
      </c>
      <c r="I1540" s="86">
        <v>9049.17</v>
      </c>
      <c r="J1540" s="85" t="s">
        <v>2965</v>
      </c>
      <c r="K1540" s="85" t="s">
        <v>7503</v>
      </c>
      <c r="L1540" s="85" t="s">
        <v>4135</v>
      </c>
      <c r="M1540" s="85" t="s">
        <v>7524</v>
      </c>
    </row>
    <row r="1541" ht="213.75" spans="1:13">
      <c r="A1541" s="85" t="s">
        <v>7502</v>
      </c>
      <c r="B1541" s="85" t="s">
        <v>4025</v>
      </c>
      <c r="C1541" s="85" t="s">
        <v>4026</v>
      </c>
      <c r="D1541" s="85" t="s">
        <v>3068</v>
      </c>
      <c r="E1541" s="85" t="s">
        <v>4026</v>
      </c>
      <c r="F1541" s="86">
        <v>6.15</v>
      </c>
      <c r="G1541" s="86">
        <v>100</v>
      </c>
      <c r="H1541" s="86">
        <v>615</v>
      </c>
      <c r="I1541" s="86">
        <v>9049.17</v>
      </c>
      <c r="J1541" s="85" t="s">
        <v>2965</v>
      </c>
      <c r="K1541" s="85" t="s">
        <v>7503</v>
      </c>
      <c r="L1541" s="85" t="s">
        <v>4135</v>
      </c>
      <c r="M1541" s="85" t="s">
        <v>7525</v>
      </c>
    </row>
    <row r="1542" ht="213.75" spans="1:13">
      <c r="A1542" s="85" t="s">
        <v>7502</v>
      </c>
      <c r="B1542" s="85" t="s">
        <v>3942</v>
      </c>
      <c r="C1542" s="85" t="s">
        <v>3943</v>
      </c>
      <c r="D1542" s="85" t="s">
        <v>3944</v>
      </c>
      <c r="E1542" s="85" t="s">
        <v>3943</v>
      </c>
      <c r="F1542" s="86">
        <v>55.06</v>
      </c>
      <c r="G1542" s="86">
        <v>4</v>
      </c>
      <c r="H1542" s="86">
        <v>220.24</v>
      </c>
      <c r="I1542" s="86">
        <v>9049.17</v>
      </c>
      <c r="J1542" s="85" t="s">
        <v>2965</v>
      </c>
      <c r="K1542" s="85" t="s">
        <v>7503</v>
      </c>
      <c r="L1542" s="85" t="s">
        <v>4135</v>
      </c>
      <c r="M1542" s="85" t="s">
        <v>7526</v>
      </c>
    </row>
    <row r="1543" ht="213.75" spans="1:13">
      <c r="A1543" s="85" t="s">
        <v>7502</v>
      </c>
      <c r="B1543" s="85" t="s">
        <v>3236</v>
      </c>
      <c r="C1543" s="85" t="s">
        <v>3237</v>
      </c>
      <c r="D1543" s="85" t="s">
        <v>3183</v>
      </c>
      <c r="E1543" s="85" t="s">
        <v>3237</v>
      </c>
      <c r="F1543" s="86">
        <v>57.72</v>
      </c>
      <c r="G1543" s="86">
        <v>10</v>
      </c>
      <c r="H1543" s="86">
        <v>577.2</v>
      </c>
      <c r="I1543" s="86">
        <v>9049.17</v>
      </c>
      <c r="J1543" s="85" t="s">
        <v>2965</v>
      </c>
      <c r="K1543" s="85" t="s">
        <v>7503</v>
      </c>
      <c r="L1543" s="85" t="s">
        <v>4135</v>
      </c>
      <c r="M1543" s="85" t="s">
        <v>7527</v>
      </c>
    </row>
    <row r="1544" ht="213.75" spans="1:13">
      <c r="A1544" s="85" t="s">
        <v>7502</v>
      </c>
      <c r="B1544" s="85" t="s">
        <v>7528</v>
      </c>
      <c r="C1544" s="85" t="s">
        <v>7529</v>
      </c>
      <c r="D1544" s="85" t="s">
        <v>7523</v>
      </c>
      <c r="E1544" s="85" t="s">
        <v>7529</v>
      </c>
      <c r="F1544" s="86">
        <v>9.09</v>
      </c>
      <c r="G1544" s="86">
        <v>5</v>
      </c>
      <c r="H1544" s="86">
        <v>45.45</v>
      </c>
      <c r="I1544" s="86">
        <v>9049.17</v>
      </c>
      <c r="J1544" s="85" t="s">
        <v>2965</v>
      </c>
      <c r="K1544" s="85" t="s">
        <v>7503</v>
      </c>
      <c r="L1544" s="85" t="s">
        <v>4135</v>
      </c>
      <c r="M1544" s="85" t="s">
        <v>7530</v>
      </c>
    </row>
    <row r="1545" ht="213.75" spans="1:13">
      <c r="A1545" s="85" t="s">
        <v>7502</v>
      </c>
      <c r="B1545" s="85" t="s">
        <v>7531</v>
      </c>
      <c r="C1545" s="85" t="s">
        <v>7532</v>
      </c>
      <c r="D1545" s="85" t="s">
        <v>7533</v>
      </c>
      <c r="E1545" s="85" t="s">
        <v>7532</v>
      </c>
      <c r="F1545" s="86">
        <v>4.36</v>
      </c>
      <c r="G1545" s="86">
        <v>20</v>
      </c>
      <c r="H1545" s="86">
        <v>87.2</v>
      </c>
      <c r="I1545" s="86">
        <v>9049.17</v>
      </c>
      <c r="J1545" s="85" t="s">
        <v>2965</v>
      </c>
      <c r="K1545" s="85" t="s">
        <v>7503</v>
      </c>
      <c r="L1545" s="85" t="s">
        <v>4135</v>
      </c>
      <c r="M1545" s="85" t="s">
        <v>7534</v>
      </c>
    </row>
    <row r="1546" ht="213.75" spans="1:13">
      <c r="A1546" s="85" t="s">
        <v>7535</v>
      </c>
      <c r="B1546" s="85" t="s">
        <v>7536</v>
      </c>
      <c r="C1546" s="85" t="s">
        <v>7537</v>
      </c>
      <c r="D1546" s="85" t="s">
        <v>3189</v>
      </c>
      <c r="E1546" s="85" t="s">
        <v>7538</v>
      </c>
      <c r="F1546" s="86">
        <v>13.37</v>
      </c>
      <c r="G1546" s="86">
        <v>10</v>
      </c>
      <c r="H1546" s="86">
        <v>133.7</v>
      </c>
      <c r="I1546" s="86">
        <v>6428.55</v>
      </c>
      <c r="J1546" s="85" t="s">
        <v>2958</v>
      </c>
      <c r="K1546" s="85" t="s">
        <v>7503</v>
      </c>
      <c r="L1546" s="85" t="s">
        <v>4135</v>
      </c>
      <c r="M1546" s="85" t="s">
        <v>7539</v>
      </c>
    </row>
    <row r="1547" ht="213.75" spans="1:13">
      <c r="A1547" s="85" t="s">
        <v>7502</v>
      </c>
      <c r="B1547" s="85" t="s">
        <v>5761</v>
      </c>
      <c r="C1547" s="85" t="s">
        <v>5762</v>
      </c>
      <c r="D1547" s="85" t="s">
        <v>3189</v>
      </c>
      <c r="E1547" s="85" t="s">
        <v>5762</v>
      </c>
      <c r="F1547" s="86">
        <v>135.59</v>
      </c>
      <c r="G1547" s="86">
        <v>12</v>
      </c>
      <c r="H1547" s="86">
        <v>1627.08</v>
      </c>
      <c r="I1547" s="86">
        <v>9049.17</v>
      </c>
      <c r="J1547" s="85" t="s">
        <v>2965</v>
      </c>
      <c r="K1547" s="85" t="s">
        <v>7503</v>
      </c>
      <c r="L1547" s="85" t="s">
        <v>4135</v>
      </c>
      <c r="M1547" s="85" t="s">
        <v>7540</v>
      </c>
    </row>
    <row r="1548" ht="213.75" spans="1:13">
      <c r="A1548" s="85" t="s">
        <v>7502</v>
      </c>
      <c r="B1548" s="85" t="s">
        <v>7541</v>
      </c>
      <c r="C1548" s="85" t="s">
        <v>7542</v>
      </c>
      <c r="D1548" s="85" t="s">
        <v>5378</v>
      </c>
      <c r="E1548" s="85" t="s">
        <v>7542</v>
      </c>
      <c r="F1548" s="86">
        <v>11.78</v>
      </c>
      <c r="G1548" s="86">
        <v>15</v>
      </c>
      <c r="H1548" s="86">
        <v>176.7</v>
      </c>
      <c r="I1548" s="86">
        <v>9049.17</v>
      </c>
      <c r="J1548" s="85" t="s">
        <v>2965</v>
      </c>
      <c r="K1548" s="85" t="s">
        <v>7503</v>
      </c>
      <c r="L1548" s="85" t="s">
        <v>4135</v>
      </c>
      <c r="M1548" s="85" t="s">
        <v>7543</v>
      </c>
    </row>
    <row r="1549" ht="213.75" spans="1:13">
      <c r="A1549" s="85" t="s">
        <v>7535</v>
      </c>
      <c r="B1549" s="85" t="s">
        <v>7544</v>
      </c>
      <c r="C1549" s="85" t="s">
        <v>7545</v>
      </c>
      <c r="D1549" s="85" t="s">
        <v>3241</v>
      </c>
      <c r="E1549" s="85" t="s">
        <v>7546</v>
      </c>
      <c r="F1549" s="86">
        <v>15.75</v>
      </c>
      <c r="G1549" s="86">
        <v>3</v>
      </c>
      <c r="H1549" s="86">
        <v>47.25</v>
      </c>
      <c r="I1549" s="86">
        <v>6428.55</v>
      </c>
      <c r="J1549" s="85" t="s">
        <v>2958</v>
      </c>
      <c r="K1549" s="85" t="s">
        <v>7503</v>
      </c>
      <c r="L1549" s="85" t="s">
        <v>4135</v>
      </c>
      <c r="M1549" s="85" t="s">
        <v>7547</v>
      </c>
    </row>
    <row r="1550" ht="213.75" spans="1:13">
      <c r="A1550" s="85" t="s">
        <v>7535</v>
      </c>
      <c r="B1550" s="85" t="s">
        <v>7308</v>
      </c>
      <c r="C1550" s="85" t="s">
        <v>7309</v>
      </c>
      <c r="D1550" s="85" t="s">
        <v>2977</v>
      </c>
      <c r="E1550" s="85" t="s">
        <v>2978</v>
      </c>
      <c r="F1550" s="86">
        <v>4.14</v>
      </c>
      <c r="G1550" s="86">
        <v>400</v>
      </c>
      <c r="H1550" s="86">
        <v>1656</v>
      </c>
      <c r="I1550" s="86">
        <v>6428.55</v>
      </c>
      <c r="J1550" s="85" t="s">
        <v>2958</v>
      </c>
      <c r="K1550" s="85" t="s">
        <v>7503</v>
      </c>
      <c r="L1550" s="85" t="s">
        <v>4135</v>
      </c>
      <c r="M1550" s="85" t="s">
        <v>7548</v>
      </c>
    </row>
    <row r="1551" ht="213.75" spans="1:13">
      <c r="A1551" s="85" t="s">
        <v>7502</v>
      </c>
      <c r="B1551" s="85" t="s">
        <v>7549</v>
      </c>
      <c r="C1551" s="85" t="s">
        <v>7550</v>
      </c>
      <c r="D1551" s="85" t="s">
        <v>3197</v>
      </c>
      <c r="E1551" s="85" t="s">
        <v>7550</v>
      </c>
      <c r="F1551" s="86">
        <v>2.4</v>
      </c>
      <c r="G1551" s="86">
        <v>20</v>
      </c>
      <c r="H1551" s="86">
        <v>48</v>
      </c>
      <c r="I1551" s="86">
        <v>9049.17</v>
      </c>
      <c r="J1551" s="85" t="s">
        <v>2965</v>
      </c>
      <c r="K1551" s="85" t="s">
        <v>7503</v>
      </c>
      <c r="L1551" s="85" t="s">
        <v>4135</v>
      </c>
      <c r="M1551" s="85" t="s">
        <v>7551</v>
      </c>
    </row>
    <row r="1552" ht="213.75" spans="1:13">
      <c r="A1552" s="85" t="s">
        <v>7502</v>
      </c>
      <c r="B1552" s="85" t="s">
        <v>7552</v>
      </c>
      <c r="C1552" s="85" t="s">
        <v>7553</v>
      </c>
      <c r="D1552" s="85" t="s">
        <v>3367</v>
      </c>
      <c r="E1552" s="85" t="s">
        <v>7553</v>
      </c>
      <c r="F1552" s="86">
        <v>2.37</v>
      </c>
      <c r="G1552" s="86">
        <v>50</v>
      </c>
      <c r="H1552" s="86">
        <v>118.5</v>
      </c>
      <c r="I1552" s="86">
        <v>9049.17</v>
      </c>
      <c r="J1552" s="85" t="s">
        <v>2965</v>
      </c>
      <c r="K1552" s="85" t="s">
        <v>7503</v>
      </c>
      <c r="L1552" s="85" t="s">
        <v>4135</v>
      </c>
      <c r="M1552" s="85" t="s">
        <v>7554</v>
      </c>
    </row>
    <row r="1553" ht="213.75" spans="1:13">
      <c r="A1553" s="85" t="s">
        <v>7535</v>
      </c>
      <c r="B1553" s="85" t="s">
        <v>7555</v>
      </c>
      <c r="C1553" s="85" t="s">
        <v>7556</v>
      </c>
      <c r="D1553" s="85" t="s">
        <v>3201</v>
      </c>
      <c r="E1553" s="85" t="s">
        <v>5227</v>
      </c>
      <c r="F1553" s="86">
        <v>25.02</v>
      </c>
      <c r="G1553" s="86">
        <v>80</v>
      </c>
      <c r="H1553" s="86">
        <v>2001.6</v>
      </c>
      <c r="I1553" s="86">
        <v>6428.55</v>
      </c>
      <c r="J1553" s="85" t="s">
        <v>2958</v>
      </c>
      <c r="K1553" s="85" t="s">
        <v>7503</v>
      </c>
      <c r="L1553" s="85" t="s">
        <v>4135</v>
      </c>
      <c r="M1553" s="85" t="s">
        <v>7557</v>
      </c>
    </row>
    <row r="1554" ht="213.75" spans="1:13">
      <c r="A1554" s="85" t="s">
        <v>7535</v>
      </c>
      <c r="B1554" s="85" t="s">
        <v>3215</v>
      </c>
      <c r="C1554" s="85" t="s">
        <v>3216</v>
      </c>
      <c r="D1554" s="85" t="s">
        <v>3201</v>
      </c>
      <c r="E1554" s="85" t="s">
        <v>3217</v>
      </c>
      <c r="F1554" s="86">
        <v>37</v>
      </c>
      <c r="G1554" s="86">
        <v>70</v>
      </c>
      <c r="H1554" s="86">
        <v>2590</v>
      </c>
      <c r="I1554" s="86">
        <v>6428.55</v>
      </c>
      <c r="J1554" s="85" t="s">
        <v>2958</v>
      </c>
      <c r="K1554" s="85" t="s">
        <v>7503</v>
      </c>
      <c r="L1554" s="85" t="s">
        <v>4135</v>
      </c>
      <c r="M1554" s="85" t="s">
        <v>7558</v>
      </c>
    </row>
    <row r="1555" ht="213.75" spans="1:13">
      <c r="A1555" s="85" t="s">
        <v>7502</v>
      </c>
      <c r="B1555" s="85" t="s">
        <v>3392</v>
      </c>
      <c r="C1555" s="85" t="s">
        <v>3393</v>
      </c>
      <c r="D1555" s="85" t="s">
        <v>3394</v>
      </c>
      <c r="E1555" s="85" t="s">
        <v>3393</v>
      </c>
      <c r="F1555" s="86">
        <v>7.36</v>
      </c>
      <c r="G1555" s="86">
        <v>5</v>
      </c>
      <c r="H1555" s="86">
        <v>36.8</v>
      </c>
      <c r="I1555" s="86">
        <v>9049.17</v>
      </c>
      <c r="J1555" s="85" t="s">
        <v>2965</v>
      </c>
      <c r="K1555" s="85" t="s">
        <v>7503</v>
      </c>
      <c r="L1555" s="85" t="s">
        <v>4135</v>
      </c>
      <c r="M1555" s="85" t="s">
        <v>7559</v>
      </c>
    </row>
    <row r="1556" ht="213.75" spans="1:13">
      <c r="A1556" s="85" t="s">
        <v>7560</v>
      </c>
      <c r="B1556" s="85" t="s">
        <v>7561</v>
      </c>
      <c r="C1556" s="85" t="s">
        <v>7562</v>
      </c>
      <c r="D1556" s="85" t="s">
        <v>5302</v>
      </c>
      <c r="E1556" s="85" t="s">
        <v>7563</v>
      </c>
      <c r="F1556" s="86">
        <v>7</v>
      </c>
      <c r="G1556" s="86">
        <v>30</v>
      </c>
      <c r="H1556" s="86">
        <v>210</v>
      </c>
      <c r="I1556" s="86">
        <v>210</v>
      </c>
      <c r="J1556" s="85" t="s">
        <v>3031</v>
      </c>
      <c r="K1556" s="85" t="s">
        <v>7564</v>
      </c>
      <c r="L1556" s="85" t="s">
        <v>4135</v>
      </c>
      <c r="M1556" s="85" t="s">
        <v>7565</v>
      </c>
    </row>
    <row r="1557" ht="213.75" spans="1:13">
      <c r="A1557" s="85" t="s">
        <v>7566</v>
      </c>
      <c r="B1557" s="85" t="s">
        <v>7567</v>
      </c>
      <c r="C1557" s="85" t="s">
        <v>7568</v>
      </c>
      <c r="D1557" s="85" t="s">
        <v>3054</v>
      </c>
      <c r="E1557" s="85" t="s">
        <v>7568</v>
      </c>
      <c r="F1557" s="86">
        <v>57.53</v>
      </c>
      <c r="G1557" s="86">
        <v>10</v>
      </c>
      <c r="H1557" s="86">
        <v>575.3</v>
      </c>
      <c r="I1557" s="86">
        <v>2935.14</v>
      </c>
      <c r="J1557" s="85" t="s">
        <v>2965</v>
      </c>
      <c r="K1557" s="85" t="s">
        <v>7564</v>
      </c>
      <c r="L1557" s="85" t="s">
        <v>4135</v>
      </c>
      <c r="M1557" s="85" t="s">
        <v>7569</v>
      </c>
    </row>
    <row r="1558" ht="213.75" spans="1:13">
      <c r="A1558" s="85" t="s">
        <v>7566</v>
      </c>
      <c r="B1558" s="85" t="s">
        <v>7570</v>
      </c>
      <c r="C1558" s="85" t="s">
        <v>7571</v>
      </c>
      <c r="D1558" s="85" t="s">
        <v>3617</v>
      </c>
      <c r="E1558" s="85" t="s">
        <v>7571</v>
      </c>
      <c r="F1558" s="86">
        <v>61.79</v>
      </c>
      <c r="G1558" s="86">
        <v>20</v>
      </c>
      <c r="H1558" s="86">
        <v>1235.8</v>
      </c>
      <c r="I1558" s="86">
        <v>2935.14</v>
      </c>
      <c r="J1558" s="85" t="s">
        <v>2965</v>
      </c>
      <c r="K1558" s="85" t="s">
        <v>7564</v>
      </c>
      <c r="L1558" s="85" t="s">
        <v>4135</v>
      </c>
      <c r="M1558" s="85" t="s">
        <v>7572</v>
      </c>
    </row>
    <row r="1559" ht="213.75" spans="1:13">
      <c r="A1559" s="85" t="s">
        <v>7566</v>
      </c>
      <c r="B1559" s="85" t="s">
        <v>7573</v>
      </c>
      <c r="C1559" s="85" t="s">
        <v>7574</v>
      </c>
      <c r="D1559" s="85" t="s">
        <v>4177</v>
      </c>
      <c r="E1559" s="85" t="s">
        <v>7574</v>
      </c>
      <c r="F1559" s="86">
        <v>399</v>
      </c>
      <c r="G1559" s="86">
        <v>1</v>
      </c>
      <c r="H1559" s="86">
        <v>399</v>
      </c>
      <c r="I1559" s="86">
        <v>2935.14</v>
      </c>
      <c r="J1559" s="85" t="s">
        <v>2965</v>
      </c>
      <c r="K1559" s="85" t="s">
        <v>7564</v>
      </c>
      <c r="L1559" s="85" t="s">
        <v>4135</v>
      </c>
      <c r="M1559" s="85" t="s">
        <v>7575</v>
      </c>
    </row>
    <row r="1560" ht="213.75" spans="1:13">
      <c r="A1560" s="85" t="s">
        <v>7566</v>
      </c>
      <c r="B1560" s="85" t="s">
        <v>7576</v>
      </c>
      <c r="C1560" s="85" t="s">
        <v>7577</v>
      </c>
      <c r="D1560" s="85" t="s">
        <v>5293</v>
      </c>
      <c r="E1560" s="85" t="s">
        <v>7577</v>
      </c>
      <c r="F1560" s="86">
        <v>163.8</v>
      </c>
      <c r="G1560" s="86">
        <v>2</v>
      </c>
      <c r="H1560" s="86">
        <v>327.6</v>
      </c>
      <c r="I1560" s="86">
        <v>2935.14</v>
      </c>
      <c r="J1560" s="85" t="s">
        <v>2965</v>
      </c>
      <c r="K1560" s="85" t="s">
        <v>7564</v>
      </c>
      <c r="L1560" s="85" t="s">
        <v>4135</v>
      </c>
      <c r="M1560" s="85" t="s">
        <v>7578</v>
      </c>
    </row>
    <row r="1561" ht="213.75" spans="1:13">
      <c r="A1561" s="85" t="s">
        <v>7566</v>
      </c>
      <c r="B1561" s="85" t="s">
        <v>3052</v>
      </c>
      <c r="C1561" s="85" t="s">
        <v>3053</v>
      </c>
      <c r="D1561" s="85" t="s">
        <v>3054</v>
      </c>
      <c r="E1561" s="85" t="s">
        <v>3053</v>
      </c>
      <c r="F1561" s="86">
        <v>28.29</v>
      </c>
      <c r="G1561" s="86">
        <v>10</v>
      </c>
      <c r="H1561" s="86">
        <v>282.9</v>
      </c>
      <c r="I1561" s="86">
        <v>2935.14</v>
      </c>
      <c r="J1561" s="85" t="s">
        <v>2965</v>
      </c>
      <c r="K1561" s="85" t="s">
        <v>7564</v>
      </c>
      <c r="L1561" s="85" t="s">
        <v>4135</v>
      </c>
      <c r="M1561" s="85" t="s">
        <v>7579</v>
      </c>
    </row>
    <row r="1562" ht="213.75" spans="1:13">
      <c r="A1562" s="85" t="s">
        <v>7566</v>
      </c>
      <c r="B1562" s="85" t="s">
        <v>7580</v>
      </c>
      <c r="C1562" s="85" t="s">
        <v>7581</v>
      </c>
      <c r="D1562" s="85" t="s">
        <v>3484</v>
      </c>
      <c r="E1562" s="85" t="s">
        <v>7581</v>
      </c>
      <c r="F1562" s="86">
        <v>114.54</v>
      </c>
      <c r="G1562" s="86">
        <v>1</v>
      </c>
      <c r="H1562" s="86">
        <v>114.54</v>
      </c>
      <c r="I1562" s="86">
        <v>2935.14</v>
      </c>
      <c r="J1562" s="85" t="s">
        <v>2965</v>
      </c>
      <c r="K1562" s="85" t="s">
        <v>7564</v>
      </c>
      <c r="L1562" s="85" t="s">
        <v>4135</v>
      </c>
      <c r="M1562" s="85" t="s">
        <v>7582</v>
      </c>
    </row>
    <row r="1563" ht="213.75" spans="1:13">
      <c r="A1563" s="85" t="s">
        <v>7583</v>
      </c>
      <c r="B1563" s="85" t="s">
        <v>7584</v>
      </c>
      <c r="C1563" s="85" t="s">
        <v>7585</v>
      </c>
      <c r="D1563" s="85" t="s">
        <v>3061</v>
      </c>
      <c r="E1563" s="85" t="s">
        <v>4757</v>
      </c>
      <c r="F1563" s="86">
        <v>85.4</v>
      </c>
      <c r="G1563" s="86">
        <v>10</v>
      </c>
      <c r="H1563" s="86">
        <v>854</v>
      </c>
      <c r="I1563" s="86">
        <v>854</v>
      </c>
      <c r="J1563" s="85" t="s">
        <v>4391</v>
      </c>
      <c r="K1563" s="85" t="s">
        <v>7586</v>
      </c>
      <c r="L1563" s="85" t="s">
        <v>4135</v>
      </c>
      <c r="M1563" s="85" t="s">
        <v>7587</v>
      </c>
    </row>
    <row r="1564" ht="213.75" spans="1:13">
      <c r="A1564" s="85" t="s">
        <v>7588</v>
      </c>
      <c r="B1564" s="85" t="s">
        <v>7589</v>
      </c>
      <c r="C1564" s="85" t="s">
        <v>7590</v>
      </c>
      <c r="D1564" s="85" t="s">
        <v>3046</v>
      </c>
      <c r="E1564" s="85" t="s">
        <v>6506</v>
      </c>
      <c r="F1564" s="86">
        <v>630</v>
      </c>
      <c r="G1564" s="86">
        <v>5</v>
      </c>
      <c r="H1564" s="86">
        <v>3150</v>
      </c>
      <c r="I1564" s="86">
        <v>5346</v>
      </c>
      <c r="J1564" s="85" t="s">
        <v>2935</v>
      </c>
      <c r="K1564" s="85" t="s">
        <v>7591</v>
      </c>
      <c r="L1564" s="85" t="s">
        <v>4135</v>
      </c>
      <c r="M1564" s="85" t="s">
        <v>7592</v>
      </c>
    </row>
    <row r="1565" ht="213.75" spans="1:13">
      <c r="A1565" s="85" t="s">
        <v>7588</v>
      </c>
      <c r="B1565" s="85" t="s">
        <v>7593</v>
      </c>
      <c r="C1565" s="85" t="s">
        <v>7594</v>
      </c>
      <c r="D1565" s="85" t="s">
        <v>3579</v>
      </c>
      <c r="E1565" s="85" t="s">
        <v>5737</v>
      </c>
      <c r="F1565" s="86">
        <v>448</v>
      </c>
      <c r="G1565" s="86">
        <v>3</v>
      </c>
      <c r="H1565" s="86">
        <v>1344</v>
      </c>
      <c r="I1565" s="86">
        <v>5346</v>
      </c>
      <c r="J1565" s="85" t="s">
        <v>2935</v>
      </c>
      <c r="K1565" s="85" t="s">
        <v>7591</v>
      </c>
      <c r="L1565" s="85" t="s">
        <v>4135</v>
      </c>
      <c r="M1565" s="85" t="s">
        <v>7595</v>
      </c>
    </row>
    <row r="1566" ht="213.75" spans="1:13">
      <c r="A1566" s="85" t="s">
        <v>7588</v>
      </c>
      <c r="B1566" s="85" t="s">
        <v>7596</v>
      </c>
      <c r="C1566" s="85" t="s">
        <v>7597</v>
      </c>
      <c r="D1566" s="85" t="s">
        <v>3579</v>
      </c>
      <c r="E1566" s="85" t="s">
        <v>5737</v>
      </c>
      <c r="F1566" s="86">
        <v>426</v>
      </c>
      <c r="G1566" s="86">
        <v>2</v>
      </c>
      <c r="H1566" s="86">
        <v>852</v>
      </c>
      <c r="I1566" s="86">
        <v>5346</v>
      </c>
      <c r="J1566" s="85" t="s">
        <v>2935</v>
      </c>
      <c r="K1566" s="85" t="s">
        <v>7591</v>
      </c>
      <c r="L1566" s="85" t="s">
        <v>4135</v>
      </c>
      <c r="M1566" s="85" t="s">
        <v>7598</v>
      </c>
    </row>
    <row r="1567" ht="213.75" spans="1:13">
      <c r="A1567" s="85" t="s">
        <v>7599</v>
      </c>
      <c r="B1567" s="85" t="s">
        <v>7600</v>
      </c>
      <c r="C1567" s="85" t="s">
        <v>7601</v>
      </c>
      <c r="D1567" s="85" t="s">
        <v>3169</v>
      </c>
      <c r="E1567" s="85" t="s">
        <v>7602</v>
      </c>
      <c r="F1567" s="86">
        <v>15</v>
      </c>
      <c r="G1567" s="86">
        <v>50</v>
      </c>
      <c r="H1567" s="86">
        <v>750</v>
      </c>
      <c r="I1567" s="86">
        <v>750</v>
      </c>
      <c r="J1567" s="85" t="s">
        <v>4370</v>
      </c>
      <c r="K1567" s="85" t="s">
        <v>7603</v>
      </c>
      <c r="L1567" s="85" t="s">
        <v>4135</v>
      </c>
      <c r="M1567" s="85" t="s">
        <v>7604</v>
      </c>
    </row>
    <row r="1568" ht="213.75" spans="1:13">
      <c r="A1568" s="85" t="s">
        <v>7605</v>
      </c>
      <c r="B1568" s="85" t="s">
        <v>4112</v>
      </c>
      <c r="C1568" s="85" t="s">
        <v>4113</v>
      </c>
      <c r="D1568" s="85" t="s">
        <v>2982</v>
      </c>
      <c r="E1568" s="85" t="s">
        <v>4114</v>
      </c>
      <c r="F1568" s="86">
        <v>23.1</v>
      </c>
      <c r="G1568" s="86">
        <v>20</v>
      </c>
      <c r="H1568" s="86">
        <v>462</v>
      </c>
      <c r="I1568" s="86">
        <v>462</v>
      </c>
      <c r="J1568" s="85" t="s">
        <v>2958</v>
      </c>
      <c r="K1568" s="85" t="s">
        <v>7603</v>
      </c>
      <c r="L1568" s="85" t="s">
        <v>4135</v>
      </c>
      <c r="M1568" s="85" t="s">
        <v>7606</v>
      </c>
    </row>
    <row r="1569" ht="213.75" spans="1:13">
      <c r="A1569" s="85" t="s">
        <v>7607</v>
      </c>
      <c r="B1569" s="85" t="s">
        <v>3509</v>
      </c>
      <c r="C1569" s="85" t="s">
        <v>3510</v>
      </c>
      <c r="D1569" s="85" t="s">
        <v>3511</v>
      </c>
      <c r="E1569" s="85" t="s">
        <v>3510</v>
      </c>
      <c r="F1569" s="86">
        <v>2370</v>
      </c>
      <c r="G1569" s="86">
        <v>1</v>
      </c>
      <c r="H1569" s="86">
        <v>2370</v>
      </c>
      <c r="I1569" s="86">
        <v>2370</v>
      </c>
      <c r="J1569" s="85" t="s">
        <v>5678</v>
      </c>
      <c r="K1569" s="85" t="s">
        <v>7608</v>
      </c>
      <c r="L1569" s="85" t="s">
        <v>4135</v>
      </c>
      <c r="M1569" s="85" t="s">
        <v>7609</v>
      </c>
    </row>
    <row r="1570" ht="213.75" spans="1:13">
      <c r="A1570" s="85" t="s">
        <v>7610</v>
      </c>
      <c r="B1570" s="85" t="s">
        <v>7611</v>
      </c>
      <c r="C1570" s="85" t="s">
        <v>7612</v>
      </c>
      <c r="D1570" s="85" t="s">
        <v>3153</v>
      </c>
      <c r="E1570" s="85" t="s">
        <v>7612</v>
      </c>
      <c r="F1570" s="86">
        <v>45.6</v>
      </c>
      <c r="G1570" s="86">
        <v>10</v>
      </c>
      <c r="H1570" s="86">
        <v>456</v>
      </c>
      <c r="I1570" s="86">
        <v>4957</v>
      </c>
      <c r="J1570" s="85" t="s">
        <v>4391</v>
      </c>
      <c r="K1570" s="85" t="s">
        <v>7613</v>
      </c>
      <c r="L1570" s="85" t="s">
        <v>4135</v>
      </c>
      <c r="M1570" s="85" t="s">
        <v>7614</v>
      </c>
    </row>
    <row r="1571" ht="213.75" spans="1:13">
      <c r="A1571" s="85" t="s">
        <v>7610</v>
      </c>
      <c r="B1571" s="85" t="s">
        <v>7615</v>
      </c>
      <c r="C1571" s="85" t="s">
        <v>7616</v>
      </c>
      <c r="D1571" s="85" t="s">
        <v>3543</v>
      </c>
      <c r="E1571" s="85" t="s">
        <v>7616</v>
      </c>
      <c r="F1571" s="86">
        <v>392.8</v>
      </c>
      <c r="G1571" s="86">
        <v>10</v>
      </c>
      <c r="H1571" s="86">
        <v>3928</v>
      </c>
      <c r="I1571" s="86">
        <v>4957</v>
      </c>
      <c r="J1571" s="85" t="s">
        <v>4391</v>
      </c>
      <c r="K1571" s="85" t="s">
        <v>7613</v>
      </c>
      <c r="L1571" s="85" t="s">
        <v>4135</v>
      </c>
      <c r="M1571" s="85" t="s">
        <v>7617</v>
      </c>
    </row>
    <row r="1572" ht="213.75" spans="1:13">
      <c r="A1572" s="85" t="s">
        <v>7610</v>
      </c>
      <c r="B1572" s="85" t="s">
        <v>7618</v>
      </c>
      <c r="C1572" s="85" t="s">
        <v>7619</v>
      </c>
      <c r="D1572" s="85" t="s">
        <v>6368</v>
      </c>
      <c r="E1572" s="85" t="s">
        <v>7619</v>
      </c>
      <c r="F1572" s="86">
        <v>247</v>
      </c>
      <c r="G1572" s="86">
        <v>1</v>
      </c>
      <c r="H1572" s="86">
        <v>247</v>
      </c>
      <c r="I1572" s="86">
        <v>4957</v>
      </c>
      <c r="J1572" s="85" t="s">
        <v>4391</v>
      </c>
      <c r="K1572" s="85" t="s">
        <v>7613</v>
      </c>
      <c r="L1572" s="85" t="s">
        <v>4135</v>
      </c>
      <c r="M1572" s="85" t="s">
        <v>7620</v>
      </c>
    </row>
    <row r="1573" ht="213.75" spans="1:13">
      <c r="A1573" s="85" t="s">
        <v>7610</v>
      </c>
      <c r="B1573" s="85" t="s">
        <v>7621</v>
      </c>
      <c r="C1573" s="85" t="s">
        <v>7622</v>
      </c>
      <c r="D1573" s="85" t="s">
        <v>3230</v>
      </c>
      <c r="E1573" s="85" t="s">
        <v>7622</v>
      </c>
      <c r="F1573" s="86">
        <v>3.26</v>
      </c>
      <c r="G1573" s="86">
        <v>100</v>
      </c>
      <c r="H1573" s="86">
        <v>326</v>
      </c>
      <c r="I1573" s="86">
        <v>4957</v>
      </c>
      <c r="J1573" s="85" t="s">
        <v>4391</v>
      </c>
      <c r="K1573" s="85" t="s">
        <v>7613</v>
      </c>
      <c r="L1573" s="85" t="s">
        <v>4135</v>
      </c>
      <c r="M1573" s="85" t="s">
        <v>7623</v>
      </c>
    </row>
    <row r="1574" ht="213.75" spans="1:13">
      <c r="A1574" s="85" t="s">
        <v>7624</v>
      </c>
      <c r="B1574" s="85" t="s">
        <v>5326</v>
      </c>
      <c r="C1574" s="85" t="s">
        <v>5327</v>
      </c>
      <c r="D1574" s="85" t="s">
        <v>3189</v>
      </c>
      <c r="E1574" s="85" t="s">
        <v>5327</v>
      </c>
      <c r="F1574" s="86">
        <v>27</v>
      </c>
      <c r="G1574" s="86">
        <v>600</v>
      </c>
      <c r="H1574" s="86">
        <v>16200</v>
      </c>
      <c r="I1574" s="86">
        <v>16200</v>
      </c>
      <c r="J1574" s="85" t="s">
        <v>3314</v>
      </c>
      <c r="K1574" s="85" t="s">
        <v>7625</v>
      </c>
      <c r="L1574" s="85" t="s">
        <v>4135</v>
      </c>
      <c r="M1574" s="85" t="s">
        <v>7626</v>
      </c>
    </row>
    <row r="1575" ht="213.75" spans="1:13">
      <c r="A1575" s="85" t="s">
        <v>7627</v>
      </c>
      <c r="B1575" s="85" t="s">
        <v>7628</v>
      </c>
      <c r="C1575" s="85" t="s">
        <v>7629</v>
      </c>
      <c r="D1575" s="85" t="s">
        <v>7630</v>
      </c>
      <c r="E1575" s="85" t="s">
        <v>7629</v>
      </c>
      <c r="F1575" s="86">
        <v>89</v>
      </c>
      <c r="G1575" s="86">
        <v>20</v>
      </c>
      <c r="H1575" s="86">
        <v>1780</v>
      </c>
      <c r="I1575" s="86">
        <v>12883.24</v>
      </c>
      <c r="J1575" s="85" t="s">
        <v>2965</v>
      </c>
      <c r="K1575" s="85" t="s">
        <v>7631</v>
      </c>
      <c r="L1575" s="85" t="s">
        <v>4135</v>
      </c>
      <c r="M1575" s="85" t="s">
        <v>7632</v>
      </c>
    </row>
    <row r="1576" ht="213.75" spans="1:13">
      <c r="A1576" s="85" t="s">
        <v>7627</v>
      </c>
      <c r="B1576" s="85" t="s">
        <v>7633</v>
      </c>
      <c r="C1576" s="85" t="s">
        <v>7634</v>
      </c>
      <c r="D1576" s="85" t="s">
        <v>7635</v>
      </c>
      <c r="E1576" s="85" t="s">
        <v>7634</v>
      </c>
      <c r="F1576" s="86">
        <v>115.5</v>
      </c>
      <c r="G1576" s="86">
        <v>5</v>
      </c>
      <c r="H1576" s="86">
        <v>577.5</v>
      </c>
      <c r="I1576" s="86">
        <v>12883.24</v>
      </c>
      <c r="J1576" s="85" t="s">
        <v>2965</v>
      </c>
      <c r="K1576" s="85" t="s">
        <v>7631</v>
      </c>
      <c r="L1576" s="85" t="s">
        <v>4135</v>
      </c>
      <c r="M1576" s="85" t="s">
        <v>7636</v>
      </c>
    </row>
    <row r="1577" ht="213.75" spans="1:13">
      <c r="A1577" s="85" t="s">
        <v>7627</v>
      </c>
      <c r="B1577" s="85" t="s">
        <v>7637</v>
      </c>
      <c r="C1577" s="85" t="s">
        <v>7638</v>
      </c>
      <c r="D1577" s="85" t="s">
        <v>3398</v>
      </c>
      <c r="E1577" s="85" t="s">
        <v>7638</v>
      </c>
      <c r="F1577" s="86">
        <v>452.54</v>
      </c>
      <c r="G1577" s="86">
        <v>9</v>
      </c>
      <c r="H1577" s="86">
        <v>4072.86</v>
      </c>
      <c r="I1577" s="86">
        <v>12883.24</v>
      </c>
      <c r="J1577" s="85" t="s">
        <v>2965</v>
      </c>
      <c r="K1577" s="85" t="s">
        <v>7631</v>
      </c>
      <c r="L1577" s="85" t="s">
        <v>4135</v>
      </c>
      <c r="M1577" s="85" t="s">
        <v>7639</v>
      </c>
    </row>
    <row r="1578" ht="213.75" spans="1:13">
      <c r="A1578" s="85" t="s">
        <v>7627</v>
      </c>
      <c r="B1578" s="85" t="s">
        <v>7640</v>
      </c>
      <c r="C1578" s="85" t="s">
        <v>7641</v>
      </c>
      <c r="D1578" s="85" t="s">
        <v>3753</v>
      </c>
      <c r="E1578" s="85" t="s">
        <v>7641</v>
      </c>
      <c r="F1578" s="86">
        <v>17.29</v>
      </c>
      <c r="G1578" s="86">
        <v>30</v>
      </c>
      <c r="H1578" s="86">
        <v>518.7</v>
      </c>
      <c r="I1578" s="86">
        <v>12883.24</v>
      </c>
      <c r="J1578" s="85" t="s">
        <v>2965</v>
      </c>
      <c r="K1578" s="85" t="s">
        <v>7631</v>
      </c>
      <c r="L1578" s="85" t="s">
        <v>4135</v>
      </c>
      <c r="M1578" s="85" t="s">
        <v>7642</v>
      </c>
    </row>
    <row r="1579" ht="213.75" spans="1:13">
      <c r="A1579" s="85" t="s">
        <v>7627</v>
      </c>
      <c r="B1579" s="85" t="s">
        <v>3487</v>
      </c>
      <c r="C1579" s="85" t="s">
        <v>3488</v>
      </c>
      <c r="D1579" s="85" t="s">
        <v>3082</v>
      </c>
      <c r="E1579" s="85" t="s">
        <v>3488</v>
      </c>
      <c r="F1579" s="86">
        <v>59.06</v>
      </c>
      <c r="G1579" s="86">
        <v>50</v>
      </c>
      <c r="H1579" s="86">
        <v>2953</v>
      </c>
      <c r="I1579" s="86">
        <v>12883.24</v>
      </c>
      <c r="J1579" s="85" t="s">
        <v>2965</v>
      </c>
      <c r="K1579" s="85" t="s">
        <v>7631</v>
      </c>
      <c r="L1579" s="85" t="s">
        <v>4135</v>
      </c>
      <c r="M1579" s="85" t="s">
        <v>7643</v>
      </c>
    </row>
    <row r="1580" ht="213.75" spans="1:13">
      <c r="A1580" s="85" t="s">
        <v>7627</v>
      </c>
      <c r="B1580" s="85" t="s">
        <v>7570</v>
      </c>
      <c r="C1580" s="85" t="s">
        <v>7571</v>
      </c>
      <c r="D1580" s="85" t="s">
        <v>3617</v>
      </c>
      <c r="E1580" s="85" t="s">
        <v>7571</v>
      </c>
      <c r="F1580" s="86">
        <v>61.79</v>
      </c>
      <c r="G1580" s="86">
        <v>20</v>
      </c>
      <c r="H1580" s="86">
        <v>1235.8</v>
      </c>
      <c r="I1580" s="86">
        <v>12883.24</v>
      </c>
      <c r="J1580" s="85" t="s">
        <v>2965</v>
      </c>
      <c r="K1580" s="85" t="s">
        <v>7631</v>
      </c>
      <c r="L1580" s="85" t="s">
        <v>4135</v>
      </c>
      <c r="M1580" s="85" t="s">
        <v>7644</v>
      </c>
    </row>
    <row r="1581" ht="213.75" spans="1:13">
      <c r="A1581" s="85" t="s">
        <v>7627</v>
      </c>
      <c r="B1581" s="85" t="s">
        <v>7645</v>
      </c>
      <c r="C1581" s="85" t="s">
        <v>7646</v>
      </c>
      <c r="D1581" s="85" t="s">
        <v>3669</v>
      </c>
      <c r="E1581" s="85" t="s">
        <v>7646</v>
      </c>
      <c r="F1581" s="86">
        <v>23.66</v>
      </c>
      <c r="G1581" s="86">
        <v>5</v>
      </c>
      <c r="H1581" s="86">
        <v>118.3</v>
      </c>
      <c r="I1581" s="86">
        <v>12883.24</v>
      </c>
      <c r="J1581" s="85" t="s">
        <v>2965</v>
      </c>
      <c r="K1581" s="85" t="s">
        <v>7631</v>
      </c>
      <c r="L1581" s="85" t="s">
        <v>4135</v>
      </c>
      <c r="M1581" s="85" t="s">
        <v>7647</v>
      </c>
    </row>
    <row r="1582" ht="213.75" spans="1:13">
      <c r="A1582" s="85" t="s">
        <v>7627</v>
      </c>
      <c r="B1582" s="85" t="s">
        <v>5761</v>
      </c>
      <c r="C1582" s="85" t="s">
        <v>5762</v>
      </c>
      <c r="D1582" s="85" t="s">
        <v>3189</v>
      </c>
      <c r="E1582" s="85" t="s">
        <v>5762</v>
      </c>
      <c r="F1582" s="86">
        <v>135.59</v>
      </c>
      <c r="G1582" s="86">
        <v>12</v>
      </c>
      <c r="H1582" s="86">
        <v>1627.08</v>
      </c>
      <c r="I1582" s="86">
        <v>12883.24</v>
      </c>
      <c r="J1582" s="85" t="s">
        <v>2965</v>
      </c>
      <c r="K1582" s="85" t="s">
        <v>7631</v>
      </c>
      <c r="L1582" s="85" t="s">
        <v>4135</v>
      </c>
      <c r="M1582" s="85" t="s">
        <v>7648</v>
      </c>
    </row>
    <row r="1583" ht="213.75" spans="1:13">
      <c r="A1583" s="85" t="s">
        <v>7649</v>
      </c>
      <c r="B1583" s="85" t="s">
        <v>7650</v>
      </c>
      <c r="C1583" s="85" t="s">
        <v>7651</v>
      </c>
      <c r="D1583" s="85" t="s">
        <v>6795</v>
      </c>
      <c r="E1583" s="85" t="s">
        <v>6796</v>
      </c>
      <c r="F1583" s="86">
        <v>2.3</v>
      </c>
      <c r="G1583" s="86">
        <v>200</v>
      </c>
      <c r="H1583" s="86">
        <v>460</v>
      </c>
      <c r="I1583" s="86">
        <v>28251</v>
      </c>
      <c r="J1583" s="85" t="s">
        <v>2935</v>
      </c>
      <c r="K1583" s="85" t="s">
        <v>7652</v>
      </c>
      <c r="L1583" s="85" t="s">
        <v>4135</v>
      </c>
      <c r="M1583" s="85" t="s">
        <v>7653</v>
      </c>
    </row>
    <row r="1584" ht="213.75" spans="1:13">
      <c r="A1584" s="85" t="s">
        <v>7649</v>
      </c>
      <c r="B1584" s="85" t="s">
        <v>7654</v>
      </c>
      <c r="C1584" s="85" t="s">
        <v>7655</v>
      </c>
      <c r="D1584" s="85" t="s">
        <v>3014</v>
      </c>
      <c r="E1584" s="85" t="s">
        <v>7655</v>
      </c>
      <c r="F1584" s="86">
        <v>85</v>
      </c>
      <c r="G1584" s="86">
        <v>5</v>
      </c>
      <c r="H1584" s="86">
        <v>425</v>
      </c>
      <c r="I1584" s="86">
        <v>28251</v>
      </c>
      <c r="J1584" s="85" t="s">
        <v>2935</v>
      </c>
      <c r="K1584" s="85" t="s">
        <v>7652</v>
      </c>
      <c r="L1584" s="85" t="s">
        <v>4135</v>
      </c>
      <c r="M1584" s="85" t="s">
        <v>7656</v>
      </c>
    </row>
    <row r="1585" ht="213.75" spans="1:13">
      <c r="A1585" s="85" t="s">
        <v>7649</v>
      </c>
      <c r="B1585" s="85" t="s">
        <v>7657</v>
      </c>
      <c r="C1585" s="85" t="s">
        <v>7658</v>
      </c>
      <c r="D1585" s="85" t="s">
        <v>4752</v>
      </c>
      <c r="E1585" s="85" t="s">
        <v>7659</v>
      </c>
      <c r="F1585" s="86">
        <v>29</v>
      </c>
      <c r="G1585" s="86">
        <v>10</v>
      </c>
      <c r="H1585" s="86">
        <v>290</v>
      </c>
      <c r="I1585" s="86">
        <v>28251</v>
      </c>
      <c r="J1585" s="85" t="s">
        <v>2935</v>
      </c>
      <c r="K1585" s="85" t="s">
        <v>7652</v>
      </c>
      <c r="L1585" s="85" t="s">
        <v>4135</v>
      </c>
      <c r="M1585" s="85" t="s">
        <v>7660</v>
      </c>
    </row>
    <row r="1586" ht="213.75" spans="1:13">
      <c r="A1586" s="85" t="s">
        <v>7649</v>
      </c>
      <c r="B1586" s="85" t="s">
        <v>7661</v>
      </c>
      <c r="C1586" s="85" t="s">
        <v>7662</v>
      </c>
      <c r="D1586" s="85" t="s">
        <v>7663</v>
      </c>
      <c r="E1586" s="85" t="s">
        <v>7664</v>
      </c>
      <c r="F1586" s="86">
        <v>21.6</v>
      </c>
      <c r="G1586" s="86">
        <v>100</v>
      </c>
      <c r="H1586" s="86">
        <v>2160</v>
      </c>
      <c r="I1586" s="86">
        <v>28251</v>
      </c>
      <c r="J1586" s="85" t="s">
        <v>2935</v>
      </c>
      <c r="K1586" s="85" t="s">
        <v>7652</v>
      </c>
      <c r="L1586" s="85" t="s">
        <v>4135</v>
      </c>
      <c r="M1586" s="85" t="s">
        <v>7665</v>
      </c>
    </row>
    <row r="1587" ht="213.75" spans="1:13">
      <c r="A1587" s="85" t="s">
        <v>7649</v>
      </c>
      <c r="B1587" s="85" t="s">
        <v>7666</v>
      </c>
      <c r="C1587" s="85" t="s">
        <v>7667</v>
      </c>
      <c r="D1587" s="85" t="s">
        <v>6795</v>
      </c>
      <c r="E1587" s="85" t="s">
        <v>6796</v>
      </c>
      <c r="F1587" s="86">
        <v>1.5</v>
      </c>
      <c r="G1587" s="86">
        <v>400</v>
      </c>
      <c r="H1587" s="86">
        <v>600</v>
      </c>
      <c r="I1587" s="86">
        <v>28251</v>
      </c>
      <c r="J1587" s="85" t="s">
        <v>2935</v>
      </c>
      <c r="K1587" s="85" t="s">
        <v>7652</v>
      </c>
      <c r="L1587" s="85" t="s">
        <v>4135</v>
      </c>
      <c r="M1587" s="85" t="s">
        <v>7668</v>
      </c>
    </row>
    <row r="1588" ht="213.75" spans="1:13">
      <c r="A1588" s="85" t="s">
        <v>7649</v>
      </c>
      <c r="B1588" s="85" t="s">
        <v>5349</v>
      </c>
      <c r="C1588" s="85" t="s">
        <v>5350</v>
      </c>
      <c r="D1588" s="85" t="s">
        <v>3189</v>
      </c>
      <c r="E1588" s="85" t="s">
        <v>5351</v>
      </c>
      <c r="F1588" s="86">
        <v>19</v>
      </c>
      <c r="G1588" s="86">
        <v>42</v>
      </c>
      <c r="H1588" s="86">
        <v>798</v>
      </c>
      <c r="I1588" s="86">
        <v>28251</v>
      </c>
      <c r="J1588" s="85" t="s">
        <v>2935</v>
      </c>
      <c r="K1588" s="85" t="s">
        <v>7652</v>
      </c>
      <c r="L1588" s="85" t="s">
        <v>4135</v>
      </c>
      <c r="M1588" s="85" t="s">
        <v>7669</v>
      </c>
    </row>
    <row r="1589" ht="213.75" spans="1:13">
      <c r="A1589" s="85" t="s">
        <v>7649</v>
      </c>
      <c r="B1589" s="85" t="s">
        <v>7670</v>
      </c>
      <c r="C1589" s="85" t="s">
        <v>7671</v>
      </c>
      <c r="D1589" s="85" t="s">
        <v>3273</v>
      </c>
      <c r="E1589" s="85" t="s">
        <v>7671</v>
      </c>
      <c r="F1589" s="86">
        <v>790</v>
      </c>
      <c r="G1589" s="86">
        <v>2</v>
      </c>
      <c r="H1589" s="86">
        <v>1580</v>
      </c>
      <c r="I1589" s="86">
        <v>28251</v>
      </c>
      <c r="J1589" s="85" t="s">
        <v>2935</v>
      </c>
      <c r="K1589" s="85" t="s">
        <v>7652</v>
      </c>
      <c r="L1589" s="85" t="s">
        <v>4135</v>
      </c>
      <c r="M1589" s="85" t="s">
        <v>7672</v>
      </c>
    </row>
    <row r="1590" ht="213.75" spans="1:13">
      <c r="A1590" s="85" t="s">
        <v>7649</v>
      </c>
      <c r="B1590" s="85" t="s">
        <v>7673</v>
      </c>
      <c r="C1590" s="85" t="s">
        <v>7674</v>
      </c>
      <c r="D1590" s="85" t="s">
        <v>6795</v>
      </c>
      <c r="E1590" s="85" t="s">
        <v>6796</v>
      </c>
      <c r="F1590" s="86">
        <v>0.9</v>
      </c>
      <c r="G1590" s="86">
        <v>600</v>
      </c>
      <c r="H1590" s="86">
        <v>540</v>
      </c>
      <c r="I1590" s="86">
        <v>28251</v>
      </c>
      <c r="J1590" s="85" t="s">
        <v>2935</v>
      </c>
      <c r="K1590" s="85" t="s">
        <v>7652</v>
      </c>
      <c r="L1590" s="85" t="s">
        <v>4135</v>
      </c>
      <c r="M1590" s="85" t="s">
        <v>7675</v>
      </c>
    </row>
    <row r="1591" ht="213.75" spans="1:13">
      <c r="A1591" s="85" t="s">
        <v>7649</v>
      </c>
      <c r="B1591" s="85" t="s">
        <v>4290</v>
      </c>
      <c r="C1591" s="85" t="s">
        <v>4291</v>
      </c>
      <c r="D1591" s="85" t="s">
        <v>3189</v>
      </c>
      <c r="E1591" s="85" t="s">
        <v>4292</v>
      </c>
      <c r="F1591" s="86">
        <v>13</v>
      </c>
      <c r="G1591" s="86">
        <v>60</v>
      </c>
      <c r="H1591" s="86">
        <v>780</v>
      </c>
      <c r="I1591" s="86">
        <v>28251</v>
      </c>
      <c r="J1591" s="85" t="s">
        <v>2935</v>
      </c>
      <c r="K1591" s="85" t="s">
        <v>7652</v>
      </c>
      <c r="L1591" s="85" t="s">
        <v>4135</v>
      </c>
      <c r="M1591" s="85" t="s">
        <v>7676</v>
      </c>
    </row>
    <row r="1592" ht="213.75" spans="1:13">
      <c r="A1592" s="85" t="s">
        <v>7649</v>
      </c>
      <c r="B1592" s="85" t="s">
        <v>6938</v>
      </c>
      <c r="C1592" s="85" t="s">
        <v>6939</v>
      </c>
      <c r="D1592" s="85" t="s">
        <v>3014</v>
      </c>
      <c r="E1592" s="85" t="s">
        <v>6940</v>
      </c>
      <c r="F1592" s="86">
        <v>2</v>
      </c>
      <c r="G1592" s="86">
        <v>50</v>
      </c>
      <c r="H1592" s="86">
        <v>100</v>
      </c>
      <c r="I1592" s="86">
        <v>28251</v>
      </c>
      <c r="J1592" s="85" t="s">
        <v>2935</v>
      </c>
      <c r="K1592" s="85" t="s">
        <v>7652</v>
      </c>
      <c r="L1592" s="85" t="s">
        <v>4135</v>
      </c>
      <c r="M1592" s="85" t="s">
        <v>7677</v>
      </c>
    </row>
    <row r="1593" ht="213.75" spans="1:13">
      <c r="A1593" s="85" t="s">
        <v>7649</v>
      </c>
      <c r="B1593" s="85" t="s">
        <v>7678</v>
      </c>
      <c r="C1593" s="85" t="s">
        <v>7679</v>
      </c>
      <c r="D1593" s="85" t="s">
        <v>5909</v>
      </c>
      <c r="E1593" s="85" t="s">
        <v>5910</v>
      </c>
      <c r="F1593" s="86">
        <v>93</v>
      </c>
      <c r="G1593" s="86">
        <v>10</v>
      </c>
      <c r="H1593" s="86">
        <v>930</v>
      </c>
      <c r="I1593" s="86">
        <v>28251</v>
      </c>
      <c r="J1593" s="85" t="s">
        <v>2935</v>
      </c>
      <c r="K1593" s="85" t="s">
        <v>7652</v>
      </c>
      <c r="L1593" s="85" t="s">
        <v>4135</v>
      </c>
      <c r="M1593" s="85" t="s">
        <v>7680</v>
      </c>
    </row>
    <row r="1594" ht="213.75" spans="1:13">
      <c r="A1594" s="85" t="s">
        <v>7649</v>
      </c>
      <c r="B1594" s="85" t="s">
        <v>7681</v>
      </c>
      <c r="C1594" s="85" t="s">
        <v>7682</v>
      </c>
      <c r="D1594" s="85" t="s">
        <v>6795</v>
      </c>
      <c r="E1594" s="85" t="s">
        <v>6796</v>
      </c>
      <c r="F1594" s="86">
        <v>1.6</v>
      </c>
      <c r="G1594" s="86">
        <v>600</v>
      </c>
      <c r="H1594" s="86">
        <v>960</v>
      </c>
      <c r="I1594" s="86">
        <v>28251</v>
      </c>
      <c r="J1594" s="85" t="s">
        <v>2935</v>
      </c>
      <c r="K1594" s="85" t="s">
        <v>7652</v>
      </c>
      <c r="L1594" s="85" t="s">
        <v>4135</v>
      </c>
      <c r="M1594" s="85" t="s">
        <v>7683</v>
      </c>
    </row>
    <row r="1595" ht="213.75" spans="1:13">
      <c r="A1595" s="85" t="s">
        <v>7649</v>
      </c>
      <c r="B1595" s="85" t="s">
        <v>7684</v>
      </c>
      <c r="C1595" s="85" t="s">
        <v>7685</v>
      </c>
      <c r="D1595" s="85" t="s">
        <v>3617</v>
      </c>
      <c r="E1595" s="85" t="s">
        <v>6448</v>
      </c>
      <c r="F1595" s="86">
        <v>46</v>
      </c>
      <c r="G1595" s="86">
        <v>40</v>
      </c>
      <c r="H1595" s="86">
        <v>1840</v>
      </c>
      <c r="I1595" s="86">
        <v>28251</v>
      </c>
      <c r="J1595" s="85" t="s">
        <v>2935</v>
      </c>
      <c r="K1595" s="85" t="s">
        <v>7652</v>
      </c>
      <c r="L1595" s="85" t="s">
        <v>4135</v>
      </c>
      <c r="M1595" s="85" t="s">
        <v>7686</v>
      </c>
    </row>
    <row r="1596" ht="213.75" spans="1:13">
      <c r="A1596" s="85" t="s">
        <v>7649</v>
      </c>
      <c r="B1596" s="85" t="s">
        <v>7687</v>
      </c>
      <c r="C1596" s="85" t="s">
        <v>7688</v>
      </c>
      <c r="D1596" s="85" t="s">
        <v>3153</v>
      </c>
      <c r="E1596" s="85" t="s">
        <v>7689</v>
      </c>
      <c r="F1596" s="86">
        <v>390</v>
      </c>
      <c r="G1596" s="86">
        <v>5</v>
      </c>
      <c r="H1596" s="86">
        <v>1950</v>
      </c>
      <c r="I1596" s="86">
        <v>28251</v>
      </c>
      <c r="J1596" s="85" t="s">
        <v>2935</v>
      </c>
      <c r="K1596" s="85" t="s">
        <v>7652</v>
      </c>
      <c r="L1596" s="85" t="s">
        <v>4135</v>
      </c>
      <c r="M1596" s="85" t="s">
        <v>7690</v>
      </c>
    </row>
    <row r="1597" ht="213.75" spans="1:13">
      <c r="A1597" s="85" t="s">
        <v>7649</v>
      </c>
      <c r="B1597" s="85" t="s">
        <v>7691</v>
      </c>
      <c r="C1597" s="85" t="s">
        <v>7692</v>
      </c>
      <c r="D1597" s="85" t="s">
        <v>4752</v>
      </c>
      <c r="E1597" s="85" t="s">
        <v>4753</v>
      </c>
      <c r="F1597" s="86">
        <v>56.5</v>
      </c>
      <c r="G1597" s="86">
        <v>22</v>
      </c>
      <c r="H1597" s="86">
        <v>1243</v>
      </c>
      <c r="I1597" s="86">
        <v>28251</v>
      </c>
      <c r="J1597" s="85" t="s">
        <v>2935</v>
      </c>
      <c r="K1597" s="85" t="s">
        <v>7652</v>
      </c>
      <c r="L1597" s="85" t="s">
        <v>4135</v>
      </c>
      <c r="M1597" s="85" t="s">
        <v>7693</v>
      </c>
    </row>
    <row r="1598" ht="213.75" spans="1:13">
      <c r="A1598" s="85" t="s">
        <v>7649</v>
      </c>
      <c r="B1598" s="85" t="s">
        <v>7694</v>
      </c>
      <c r="C1598" s="85" t="s">
        <v>7695</v>
      </c>
      <c r="D1598" s="85" t="s">
        <v>7696</v>
      </c>
      <c r="E1598" s="85" t="s">
        <v>7697</v>
      </c>
      <c r="F1598" s="86">
        <v>84</v>
      </c>
      <c r="G1598" s="86">
        <v>12</v>
      </c>
      <c r="H1598" s="86">
        <v>1008</v>
      </c>
      <c r="I1598" s="86">
        <v>28251</v>
      </c>
      <c r="J1598" s="85" t="s">
        <v>2935</v>
      </c>
      <c r="K1598" s="85" t="s">
        <v>7652</v>
      </c>
      <c r="L1598" s="85" t="s">
        <v>4135</v>
      </c>
      <c r="M1598" s="85" t="s">
        <v>7698</v>
      </c>
    </row>
    <row r="1599" ht="213.75" spans="1:13">
      <c r="A1599" s="85" t="s">
        <v>7649</v>
      </c>
      <c r="B1599" s="85" t="s">
        <v>7699</v>
      </c>
      <c r="C1599" s="85" t="s">
        <v>7700</v>
      </c>
      <c r="D1599" s="85" t="s">
        <v>4772</v>
      </c>
      <c r="E1599" s="85" t="s">
        <v>4773</v>
      </c>
      <c r="F1599" s="86">
        <v>75</v>
      </c>
      <c r="G1599" s="86">
        <v>8</v>
      </c>
      <c r="H1599" s="86">
        <v>600</v>
      </c>
      <c r="I1599" s="86">
        <v>28251</v>
      </c>
      <c r="J1599" s="85" t="s">
        <v>2935</v>
      </c>
      <c r="K1599" s="85" t="s">
        <v>7652</v>
      </c>
      <c r="L1599" s="85" t="s">
        <v>4135</v>
      </c>
      <c r="M1599" s="85" t="s">
        <v>7701</v>
      </c>
    </row>
    <row r="1600" ht="213.75" spans="1:13">
      <c r="A1600" s="85" t="s">
        <v>7649</v>
      </c>
      <c r="B1600" s="85" t="s">
        <v>7702</v>
      </c>
      <c r="C1600" s="85" t="s">
        <v>7703</v>
      </c>
      <c r="D1600" s="85" t="s">
        <v>6924</v>
      </c>
      <c r="E1600" s="85" t="s">
        <v>7703</v>
      </c>
      <c r="F1600" s="86">
        <v>80</v>
      </c>
      <c r="G1600" s="86">
        <v>4</v>
      </c>
      <c r="H1600" s="86">
        <v>320</v>
      </c>
      <c r="I1600" s="86">
        <v>28251</v>
      </c>
      <c r="J1600" s="85" t="s">
        <v>2935</v>
      </c>
      <c r="K1600" s="85" t="s">
        <v>7652</v>
      </c>
      <c r="L1600" s="85" t="s">
        <v>4135</v>
      </c>
      <c r="M1600" s="85" t="s">
        <v>7704</v>
      </c>
    </row>
    <row r="1601" ht="213.75" spans="1:13">
      <c r="A1601" s="85" t="s">
        <v>7649</v>
      </c>
      <c r="B1601" s="85" t="s">
        <v>7596</v>
      </c>
      <c r="C1601" s="85" t="s">
        <v>7597</v>
      </c>
      <c r="D1601" s="85" t="s">
        <v>3579</v>
      </c>
      <c r="E1601" s="85" t="s">
        <v>5737</v>
      </c>
      <c r="F1601" s="86">
        <v>504</v>
      </c>
      <c r="G1601" s="86">
        <v>5</v>
      </c>
      <c r="H1601" s="86">
        <v>2520</v>
      </c>
      <c r="I1601" s="86">
        <v>28251</v>
      </c>
      <c r="J1601" s="85" t="s">
        <v>2935</v>
      </c>
      <c r="K1601" s="85" t="s">
        <v>7652</v>
      </c>
      <c r="L1601" s="85" t="s">
        <v>4135</v>
      </c>
      <c r="M1601" s="85" t="s">
        <v>7705</v>
      </c>
    </row>
    <row r="1602" ht="213.75" spans="1:13">
      <c r="A1602" s="85" t="s">
        <v>7649</v>
      </c>
      <c r="B1602" s="85" t="s">
        <v>7706</v>
      </c>
      <c r="C1602" s="85" t="s">
        <v>7707</v>
      </c>
      <c r="D1602" s="85" t="s">
        <v>5144</v>
      </c>
      <c r="E1602" s="85" t="s">
        <v>7707</v>
      </c>
      <c r="F1602" s="86">
        <v>395</v>
      </c>
      <c r="G1602" s="86">
        <v>5</v>
      </c>
      <c r="H1602" s="86">
        <v>1975</v>
      </c>
      <c r="I1602" s="86">
        <v>28251</v>
      </c>
      <c r="J1602" s="85" t="s">
        <v>2935</v>
      </c>
      <c r="K1602" s="85" t="s">
        <v>7652</v>
      </c>
      <c r="L1602" s="85" t="s">
        <v>4135</v>
      </c>
      <c r="M1602" s="85" t="s">
        <v>7708</v>
      </c>
    </row>
    <row r="1603" ht="213.75" spans="1:13">
      <c r="A1603" s="85" t="s">
        <v>7649</v>
      </c>
      <c r="B1603" s="85" t="s">
        <v>7709</v>
      </c>
      <c r="C1603" s="85" t="s">
        <v>7710</v>
      </c>
      <c r="D1603" s="85" t="s">
        <v>4246</v>
      </c>
      <c r="E1603" s="85" t="s">
        <v>7710</v>
      </c>
      <c r="F1603" s="86">
        <v>3</v>
      </c>
      <c r="G1603" s="86">
        <v>30</v>
      </c>
      <c r="H1603" s="86">
        <v>90</v>
      </c>
      <c r="I1603" s="86">
        <v>28251</v>
      </c>
      <c r="J1603" s="85" t="s">
        <v>2935</v>
      </c>
      <c r="K1603" s="85" t="s">
        <v>7652</v>
      </c>
      <c r="L1603" s="85" t="s">
        <v>4135</v>
      </c>
      <c r="M1603" s="85" t="s">
        <v>7711</v>
      </c>
    </row>
    <row r="1604" ht="213.75" spans="1:13">
      <c r="A1604" s="85" t="s">
        <v>7649</v>
      </c>
      <c r="B1604" s="85" t="s">
        <v>7712</v>
      </c>
      <c r="C1604" s="85" t="s">
        <v>7713</v>
      </c>
      <c r="D1604" s="85" t="s">
        <v>7714</v>
      </c>
      <c r="E1604" s="85" t="s">
        <v>7715</v>
      </c>
      <c r="F1604" s="86">
        <v>180</v>
      </c>
      <c r="G1604" s="86">
        <v>4</v>
      </c>
      <c r="H1604" s="86">
        <v>720</v>
      </c>
      <c r="I1604" s="86">
        <v>28251</v>
      </c>
      <c r="J1604" s="85" t="s">
        <v>2935</v>
      </c>
      <c r="K1604" s="85" t="s">
        <v>7652</v>
      </c>
      <c r="L1604" s="85" t="s">
        <v>4135</v>
      </c>
      <c r="M1604" s="85" t="s">
        <v>7716</v>
      </c>
    </row>
    <row r="1605" ht="213.75" spans="1:13">
      <c r="A1605" s="85" t="s">
        <v>7649</v>
      </c>
      <c r="B1605" s="85" t="s">
        <v>7712</v>
      </c>
      <c r="C1605" s="85" t="s">
        <v>7713</v>
      </c>
      <c r="D1605" s="85" t="s">
        <v>7714</v>
      </c>
      <c r="E1605" s="85" t="s">
        <v>7715</v>
      </c>
      <c r="F1605" s="86">
        <v>120</v>
      </c>
      <c r="G1605" s="86">
        <v>5</v>
      </c>
      <c r="H1605" s="86">
        <v>600</v>
      </c>
      <c r="I1605" s="86">
        <v>28251</v>
      </c>
      <c r="J1605" s="85" t="s">
        <v>2935</v>
      </c>
      <c r="K1605" s="85" t="s">
        <v>7652</v>
      </c>
      <c r="L1605" s="85" t="s">
        <v>4135</v>
      </c>
      <c r="M1605" s="85" t="s">
        <v>7717</v>
      </c>
    </row>
    <row r="1606" ht="213.75" spans="1:13">
      <c r="A1606" s="85" t="s">
        <v>7649</v>
      </c>
      <c r="B1606" s="85" t="s">
        <v>7718</v>
      </c>
      <c r="C1606" s="85" t="s">
        <v>7719</v>
      </c>
      <c r="D1606" s="85" t="s">
        <v>3722</v>
      </c>
      <c r="E1606" s="85" t="s">
        <v>7719</v>
      </c>
      <c r="F1606" s="86">
        <v>38.5</v>
      </c>
      <c r="G1606" s="86">
        <v>12</v>
      </c>
      <c r="H1606" s="86">
        <v>462</v>
      </c>
      <c r="I1606" s="86">
        <v>28251</v>
      </c>
      <c r="J1606" s="85" t="s">
        <v>2935</v>
      </c>
      <c r="K1606" s="85" t="s">
        <v>7652</v>
      </c>
      <c r="L1606" s="85" t="s">
        <v>4135</v>
      </c>
      <c r="M1606" s="85" t="s">
        <v>7720</v>
      </c>
    </row>
    <row r="1607" ht="213.75" spans="1:13">
      <c r="A1607" s="85" t="s">
        <v>7649</v>
      </c>
      <c r="B1607" s="85" t="s">
        <v>7721</v>
      </c>
      <c r="C1607" s="85" t="s">
        <v>7722</v>
      </c>
      <c r="D1607" s="85" t="s">
        <v>6127</v>
      </c>
      <c r="E1607" s="85" t="s">
        <v>7723</v>
      </c>
      <c r="F1607" s="86">
        <v>1100</v>
      </c>
      <c r="G1607" s="86">
        <v>1</v>
      </c>
      <c r="H1607" s="86">
        <v>1100</v>
      </c>
      <c r="I1607" s="86">
        <v>28251</v>
      </c>
      <c r="J1607" s="85" t="s">
        <v>2935</v>
      </c>
      <c r="K1607" s="85" t="s">
        <v>7652</v>
      </c>
      <c r="L1607" s="85" t="s">
        <v>4135</v>
      </c>
      <c r="M1607" s="85" t="s">
        <v>7724</v>
      </c>
    </row>
    <row r="1608" ht="213.75" spans="1:13">
      <c r="A1608" s="85" t="s">
        <v>7649</v>
      </c>
      <c r="B1608" s="85" t="s">
        <v>7725</v>
      </c>
      <c r="C1608" s="85" t="s">
        <v>7726</v>
      </c>
      <c r="D1608" s="85" t="s">
        <v>6795</v>
      </c>
      <c r="E1608" s="85" t="s">
        <v>6796</v>
      </c>
      <c r="F1608" s="86">
        <v>2.7</v>
      </c>
      <c r="G1608" s="86">
        <v>200</v>
      </c>
      <c r="H1608" s="86">
        <v>540</v>
      </c>
      <c r="I1608" s="86">
        <v>28251</v>
      </c>
      <c r="J1608" s="85" t="s">
        <v>2935</v>
      </c>
      <c r="K1608" s="85" t="s">
        <v>7652</v>
      </c>
      <c r="L1608" s="85" t="s">
        <v>4135</v>
      </c>
      <c r="M1608" s="85" t="s">
        <v>7727</v>
      </c>
    </row>
    <row r="1609" ht="213.75" spans="1:13">
      <c r="A1609" s="85" t="s">
        <v>7649</v>
      </c>
      <c r="B1609" s="85" t="s">
        <v>5021</v>
      </c>
      <c r="C1609" s="85" t="s">
        <v>5022</v>
      </c>
      <c r="D1609" s="85" t="s">
        <v>5023</v>
      </c>
      <c r="E1609" s="85" t="s">
        <v>5024</v>
      </c>
      <c r="F1609" s="86">
        <v>12.2</v>
      </c>
      <c r="G1609" s="86">
        <v>300</v>
      </c>
      <c r="H1609" s="86">
        <v>3660</v>
      </c>
      <c r="I1609" s="86">
        <v>28251</v>
      </c>
      <c r="J1609" s="85" t="s">
        <v>2935</v>
      </c>
      <c r="K1609" s="85" t="s">
        <v>7652</v>
      </c>
      <c r="L1609" s="85" t="s">
        <v>4135</v>
      </c>
      <c r="M1609" s="85" t="s">
        <v>7728</v>
      </c>
    </row>
    <row r="1610" ht="213.75" spans="1:13">
      <c r="A1610" s="85" t="s">
        <v>7729</v>
      </c>
      <c r="B1610" s="85" t="s">
        <v>3123</v>
      </c>
      <c r="C1610" s="85" t="s">
        <v>3124</v>
      </c>
      <c r="D1610" s="85" t="s">
        <v>3125</v>
      </c>
      <c r="E1610" s="85" t="s">
        <v>3124</v>
      </c>
      <c r="F1610" s="86">
        <v>158000</v>
      </c>
      <c r="G1610" s="86">
        <v>1</v>
      </c>
      <c r="H1610" s="86">
        <v>158000</v>
      </c>
      <c r="I1610" s="86">
        <v>158000</v>
      </c>
      <c r="J1610" s="85" t="s">
        <v>5100</v>
      </c>
      <c r="K1610" s="85" t="s">
        <v>7730</v>
      </c>
      <c r="L1610" s="85" t="s">
        <v>4135</v>
      </c>
      <c r="M1610" s="85" t="s">
        <v>7731</v>
      </c>
    </row>
    <row r="1611" ht="213.75" spans="1:13">
      <c r="A1611" s="85" t="s">
        <v>7732</v>
      </c>
      <c r="B1611" s="85" t="s">
        <v>7733</v>
      </c>
      <c r="C1611" s="85" t="s">
        <v>7734</v>
      </c>
      <c r="D1611" s="85" t="s">
        <v>2997</v>
      </c>
      <c r="E1611" s="85" t="s">
        <v>2998</v>
      </c>
      <c r="F1611" s="86">
        <v>25.61</v>
      </c>
      <c r="G1611" s="86">
        <v>40</v>
      </c>
      <c r="H1611" s="86">
        <v>1024.4</v>
      </c>
      <c r="I1611" s="86">
        <v>5787</v>
      </c>
      <c r="J1611" s="85" t="s">
        <v>4391</v>
      </c>
      <c r="K1611" s="85" t="s">
        <v>7735</v>
      </c>
      <c r="L1611" s="85" t="s">
        <v>4135</v>
      </c>
      <c r="M1611" s="85" t="s">
        <v>7736</v>
      </c>
    </row>
    <row r="1612" ht="213.75" spans="1:13">
      <c r="A1612" s="85" t="s">
        <v>7732</v>
      </c>
      <c r="B1612" s="85" t="s">
        <v>7737</v>
      </c>
      <c r="C1612" s="85" t="s">
        <v>7738</v>
      </c>
      <c r="D1612" s="85" t="s">
        <v>7739</v>
      </c>
      <c r="E1612" s="85" t="s">
        <v>7738</v>
      </c>
      <c r="F1612" s="86">
        <v>52.65</v>
      </c>
      <c r="G1612" s="86">
        <v>4</v>
      </c>
      <c r="H1612" s="86">
        <v>210.6</v>
      </c>
      <c r="I1612" s="86">
        <v>5787</v>
      </c>
      <c r="J1612" s="85" t="s">
        <v>4391</v>
      </c>
      <c r="K1612" s="85" t="s">
        <v>7735</v>
      </c>
      <c r="L1612" s="85" t="s">
        <v>4135</v>
      </c>
      <c r="M1612" s="85" t="s">
        <v>7740</v>
      </c>
    </row>
    <row r="1613" ht="213.75" spans="1:13">
      <c r="A1613" s="85" t="s">
        <v>7732</v>
      </c>
      <c r="B1613" s="85" t="s">
        <v>7117</v>
      </c>
      <c r="C1613" s="85" t="s">
        <v>7118</v>
      </c>
      <c r="D1613" s="85" t="s">
        <v>4264</v>
      </c>
      <c r="E1613" s="85" t="s">
        <v>4265</v>
      </c>
      <c r="F1613" s="86">
        <v>49.3</v>
      </c>
      <c r="G1613" s="86">
        <v>10</v>
      </c>
      <c r="H1613" s="86">
        <v>493</v>
      </c>
      <c r="I1613" s="86">
        <v>5787</v>
      </c>
      <c r="J1613" s="85" t="s">
        <v>4391</v>
      </c>
      <c r="K1613" s="85" t="s">
        <v>7735</v>
      </c>
      <c r="L1613" s="85" t="s">
        <v>4135</v>
      </c>
      <c r="M1613" s="85" t="s">
        <v>7741</v>
      </c>
    </row>
    <row r="1614" ht="213.75" spans="1:13">
      <c r="A1614" s="85" t="s">
        <v>7732</v>
      </c>
      <c r="B1614" s="85" t="s">
        <v>7742</v>
      </c>
      <c r="C1614" s="85" t="s">
        <v>7743</v>
      </c>
      <c r="D1614" s="85" t="s">
        <v>3928</v>
      </c>
      <c r="E1614" s="85" t="s">
        <v>7744</v>
      </c>
      <c r="F1614" s="86">
        <v>202.95</v>
      </c>
      <c r="G1614" s="86">
        <v>20</v>
      </c>
      <c r="H1614" s="86">
        <v>4059</v>
      </c>
      <c r="I1614" s="86">
        <v>5787</v>
      </c>
      <c r="J1614" s="85" t="s">
        <v>4391</v>
      </c>
      <c r="K1614" s="85" t="s">
        <v>7735</v>
      </c>
      <c r="L1614" s="85" t="s">
        <v>4135</v>
      </c>
      <c r="M1614" s="85" t="s">
        <v>7745</v>
      </c>
    </row>
    <row r="1615" ht="213.75" spans="1:13">
      <c r="A1615" s="85" t="s">
        <v>7746</v>
      </c>
      <c r="B1615" s="85" t="s">
        <v>7747</v>
      </c>
      <c r="C1615" s="85" t="s">
        <v>7748</v>
      </c>
      <c r="D1615" s="85" t="s">
        <v>7749</v>
      </c>
      <c r="E1615" s="85" t="s">
        <v>2055</v>
      </c>
      <c r="F1615" s="86">
        <v>650</v>
      </c>
      <c r="G1615" s="86">
        <v>4</v>
      </c>
      <c r="H1615" s="86">
        <v>2600</v>
      </c>
      <c r="I1615" s="86">
        <v>8158</v>
      </c>
      <c r="J1615" s="85" t="s">
        <v>2935</v>
      </c>
      <c r="K1615" s="85" t="s">
        <v>7750</v>
      </c>
      <c r="L1615" s="85" t="s">
        <v>4135</v>
      </c>
      <c r="M1615" s="85" t="s">
        <v>7751</v>
      </c>
    </row>
    <row r="1616" ht="213.75" spans="1:13">
      <c r="A1616" s="85" t="s">
        <v>7746</v>
      </c>
      <c r="B1616" s="85" t="s">
        <v>7752</v>
      </c>
      <c r="C1616" s="85" t="s">
        <v>7753</v>
      </c>
      <c r="D1616" s="85" t="s">
        <v>3633</v>
      </c>
      <c r="E1616" s="85" t="s">
        <v>7753</v>
      </c>
      <c r="F1616" s="86">
        <v>4</v>
      </c>
      <c r="G1616" s="86">
        <v>20</v>
      </c>
      <c r="H1616" s="86">
        <v>80</v>
      </c>
      <c r="I1616" s="86">
        <v>8158</v>
      </c>
      <c r="J1616" s="85" t="s">
        <v>2935</v>
      </c>
      <c r="K1616" s="85" t="s">
        <v>7750</v>
      </c>
      <c r="L1616" s="85" t="s">
        <v>4135</v>
      </c>
      <c r="M1616" s="85" t="s">
        <v>7754</v>
      </c>
    </row>
    <row r="1617" ht="213.75" spans="1:13">
      <c r="A1617" s="85" t="s">
        <v>7746</v>
      </c>
      <c r="B1617" s="85" t="s">
        <v>7755</v>
      </c>
      <c r="C1617" s="85" t="s">
        <v>7756</v>
      </c>
      <c r="D1617" s="85" t="s">
        <v>3617</v>
      </c>
      <c r="E1617" s="85" t="s">
        <v>6448</v>
      </c>
      <c r="F1617" s="86">
        <v>32</v>
      </c>
      <c r="G1617" s="86">
        <v>40</v>
      </c>
      <c r="H1617" s="86">
        <v>1280</v>
      </c>
      <c r="I1617" s="86">
        <v>8158</v>
      </c>
      <c r="J1617" s="85" t="s">
        <v>2935</v>
      </c>
      <c r="K1617" s="85" t="s">
        <v>7750</v>
      </c>
      <c r="L1617" s="85" t="s">
        <v>4135</v>
      </c>
      <c r="M1617" s="85" t="s">
        <v>7757</v>
      </c>
    </row>
    <row r="1618" ht="213.75" spans="1:13">
      <c r="A1618" s="85" t="s">
        <v>7746</v>
      </c>
      <c r="B1618" s="85" t="s">
        <v>7758</v>
      </c>
      <c r="C1618" s="85" t="s">
        <v>7759</v>
      </c>
      <c r="D1618" s="85" t="s">
        <v>3189</v>
      </c>
      <c r="E1618" s="85" t="s">
        <v>7760</v>
      </c>
      <c r="F1618" s="86">
        <v>22</v>
      </c>
      <c r="G1618" s="86">
        <v>60</v>
      </c>
      <c r="H1618" s="86">
        <v>1320</v>
      </c>
      <c r="I1618" s="86">
        <v>8158</v>
      </c>
      <c r="J1618" s="85" t="s">
        <v>2935</v>
      </c>
      <c r="K1618" s="85" t="s">
        <v>7750</v>
      </c>
      <c r="L1618" s="85" t="s">
        <v>4135</v>
      </c>
      <c r="M1618" s="85" t="s">
        <v>7761</v>
      </c>
    </row>
    <row r="1619" ht="213.75" spans="1:13">
      <c r="A1619" s="85" t="s">
        <v>7746</v>
      </c>
      <c r="B1619" s="85" t="s">
        <v>7762</v>
      </c>
      <c r="C1619" s="85" t="s">
        <v>7763</v>
      </c>
      <c r="D1619" s="85" t="s">
        <v>3288</v>
      </c>
      <c r="E1619" s="85" t="s">
        <v>7763</v>
      </c>
      <c r="F1619" s="86">
        <v>328</v>
      </c>
      <c r="G1619" s="86">
        <v>1</v>
      </c>
      <c r="H1619" s="86">
        <v>328</v>
      </c>
      <c r="I1619" s="86">
        <v>8158</v>
      </c>
      <c r="J1619" s="85" t="s">
        <v>2935</v>
      </c>
      <c r="K1619" s="85" t="s">
        <v>7750</v>
      </c>
      <c r="L1619" s="85" t="s">
        <v>4135</v>
      </c>
      <c r="M1619" s="85" t="s">
        <v>7764</v>
      </c>
    </row>
    <row r="1620" ht="213.75" spans="1:13">
      <c r="A1620" s="85" t="s">
        <v>7746</v>
      </c>
      <c r="B1620" s="85" t="s">
        <v>7765</v>
      </c>
      <c r="C1620" s="85" t="s">
        <v>7766</v>
      </c>
      <c r="D1620" s="85" t="s">
        <v>3753</v>
      </c>
      <c r="E1620" s="85" t="s">
        <v>6393</v>
      </c>
      <c r="F1620" s="86">
        <v>29</v>
      </c>
      <c r="G1620" s="86">
        <v>10</v>
      </c>
      <c r="H1620" s="86">
        <v>290</v>
      </c>
      <c r="I1620" s="86">
        <v>8158</v>
      </c>
      <c r="J1620" s="85" t="s">
        <v>2935</v>
      </c>
      <c r="K1620" s="85" t="s">
        <v>7750</v>
      </c>
      <c r="L1620" s="85" t="s">
        <v>4135</v>
      </c>
      <c r="M1620" s="85" t="s">
        <v>7767</v>
      </c>
    </row>
    <row r="1621" ht="213.75" spans="1:13">
      <c r="A1621" s="85" t="s">
        <v>7746</v>
      </c>
      <c r="B1621" s="85" t="s">
        <v>7768</v>
      </c>
      <c r="C1621" s="85" t="s">
        <v>7769</v>
      </c>
      <c r="D1621" s="85" t="s">
        <v>3189</v>
      </c>
      <c r="E1621" s="85" t="s">
        <v>6804</v>
      </c>
      <c r="F1621" s="86">
        <v>67</v>
      </c>
      <c r="G1621" s="86">
        <v>30</v>
      </c>
      <c r="H1621" s="86">
        <v>2010</v>
      </c>
      <c r="I1621" s="86">
        <v>8158</v>
      </c>
      <c r="J1621" s="85" t="s">
        <v>2935</v>
      </c>
      <c r="K1621" s="85" t="s">
        <v>7750</v>
      </c>
      <c r="L1621" s="85" t="s">
        <v>4135</v>
      </c>
      <c r="M1621" s="85" t="s">
        <v>7770</v>
      </c>
    </row>
    <row r="1622" ht="213.75" spans="1:13">
      <c r="A1622" s="85" t="s">
        <v>7746</v>
      </c>
      <c r="B1622" s="85" t="s">
        <v>7771</v>
      </c>
      <c r="C1622" s="85" t="s">
        <v>7772</v>
      </c>
      <c r="D1622" s="85" t="s">
        <v>3963</v>
      </c>
      <c r="E1622" s="85" t="s">
        <v>7772</v>
      </c>
      <c r="F1622" s="86">
        <v>25</v>
      </c>
      <c r="G1622" s="86">
        <v>10</v>
      </c>
      <c r="H1622" s="86">
        <v>250</v>
      </c>
      <c r="I1622" s="86">
        <v>8158</v>
      </c>
      <c r="J1622" s="85" t="s">
        <v>2935</v>
      </c>
      <c r="K1622" s="85" t="s">
        <v>7750</v>
      </c>
      <c r="L1622" s="85" t="s">
        <v>4135</v>
      </c>
      <c r="M1622" s="85" t="s">
        <v>7773</v>
      </c>
    </row>
    <row r="1623" ht="213.75" spans="1:13">
      <c r="A1623" s="85" t="s">
        <v>7774</v>
      </c>
      <c r="B1623" s="85" t="s">
        <v>7775</v>
      </c>
      <c r="C1623" s="85" t="s">
        <v>7776</v>
      </c>
      <c r="D1623" s="85" t="s">
        <v>7777</v>
      </c>
      <c r="E1623" s="85" t="s">
        <v>7776</v>
      </c>
      <c r="F1623" s="86">
        <v>50000</v>
      </c>
      <c r="G1623" s="86">
        <v>1</v>
      </c>
      <c r="H1623" s="86">
        <v>50000</v>
      </c>
      <c r="I1623" s="86">
        <v>50000</v>
      </c>
      <c r="J1623" s="85" t="s">
        <v>5334</v>
      </c>
      <c r="K1623" s="85" t="s">
        <v>7778</v>
      </c>
      <c r="L1623" s="85" t="s">
        <v>4135</v>
      </c>
      <c r="M1623" s="85" t="s">
        <v>7779</v>
      </c>
    </row>
    <row r="1624" ht="213.75" spans="1:13">
      <c r="A1624" s="85" t="s">
        <v>7780</v>
      </c>
      <c r="B1624" s="85" t="s">
        <v>4062</v>
      </c>
      <c r="C1624" s="85" t="s">
        <v>4063</v>
      </c>
      <c r="D1624" s="85" t="s">
        <v>4064</v>
      </c>
      <c r="E1624" s="85" t="s">
        <v>4063</v>
      </c>
      <c r="F1624" s="86">
        <v>73572</v>
      </c>
      <c r="G1624" s="86">
        <v>1</v>
      </c>
      <c r="H1624" s="86">
        <v>73572</v>
      </c>
      <c r="I1624" s="86">
        <v>73572</v>
      </c>
      <c r="J1624" s="85" t="s">
        <v>4065</v>
      </c>
      <c r="K1624" s="85" t="s">
        <v>7781</v>
      </c>
      <c r="L1624" s="85" t="s">
        <v>4135</v>
      </c>
      <c r="M1624" s="85" t="s">
        <v>7782</v>
      </c>
    </row>
    <row r="1625" ht="213.75" spans="1:13">
      <c r="A1625" s="85" t="s">
        <v>7783</v>
      </c>
      <c r="B1625" s="85" t="s">
        <v>7082</v>
      </c>
      <c r="C1625" s="85" t="s">
        <v>7083</v>
      </c>
      <c r="D1625" s="85" t="s">
        <v>7084</v>
      </c>
      <c r="E1625" s="85" t="s">
        <v>7083</v>
      </c>
      <c r="F1625" s="86">
        <v>592000</v>
      </c>
      <c r="G1625" s="86">
        <v>1</v>
      </c>
      <c r="H1625" s="86">
        <v>592000</v>
      </c>
      <c r="I1625" s="86">
        <v>592000</v>
      </c>
      <c r="J1625" s="85" t="s">
        <v>7085</v>
      </c>
      <c r="K1625" s="85" t="s">
        <v>7784</v>
      </c>
      <c r="L1625" s="85" t="s">
        <v>6980</v>
      </c>
      <c r="M1625" s="85" t="s">
        <v>7785</v>
      </c>
    </row>
    <row r="1626" ht="213.75" spans="1:13">
      <c r="A1626" s="85" t="s">
        <v>7786</v>
      </c>
      <c r="B1626" s="85" t="s">
        <v>6974</v>
      </c>
      <c r="C1626" s="85" t="s">
        <v>6975</v>
      </c>
      <c r="D1626" s="85" t="s">
        <v>6976</v>
      </c>
      <c r="E1626" s="85" t="s">
        <v>6977</v>
      </c>
      <c r="F1626" s="86">
        <v>1</v>
      </c>
      <c r="G1626" s="86">
        <v>1220</v>
      </c>
      <c r="H1626" s="86">
        <v>1220.22</v>
      </c>
      <c r="I1626" s="86">
        <v>1220.22</v>
      </c>
      <c r="J1626" s="85" t="s">
        <v>6978</v>
      </c>
      <c r="K1626" s="85" t="s">
        <v>7787</v>
      </c>
      <c r="L1626" s="85" t="s">
        <v>6980</v>
      </c>
      <c r="M1626" s="85" t="s">
        <v>7788</v>
      </c>
    </row>
    <row r="1627" ht="213.75" spans="1:13">
      <c r="A1627" s="85" t="s">
        <v>7789</v>
      </c>
      <c r="B1627" s="85" t="s">
        <v>3794</v>
      </c>
      <c r="C1627" s="85" t="s">
        <v>3795</v>
      </c>
      <c r="D1627" s="85" t="s">
        <v>3796</v>
      </c>
      <c r="E1627" s="85" t="s">
        <v>3795</v>
      </c>
      <c r="F1627" s="86">
        <v>203520</v>
      </c>
      <c r="G1627" s="86">
        <v>1</v>
      </c>
      <c r="H1627" s="86">
        <v>203520</v>
      </c>
      <c r="I1627" s="86">
        <v>203520</v>
      </c>
      <c r="J1627" s="85" t="s">
        <v>3797</v>
      </c>
      <c r="K1627" s="85" t="s">
        <v>7790</v>
      </c>
      <c r="L1627" s="85" t="s">
        <v>4135</v>
      </c>
      <c r="M1627" s="85" t="s">
        <v>7791</v>
      </c>
    </row>
    <row r="1628" ht="213.75" spans="1:13">
      <c r="A1628" s="85" t="s">
        <v>7792</v>
      </c>
      <c r="B1628" s="85" t="s">
        <v>7308</v>
      </c>
      <c r="C1628" s="85" t="s">
        <v>7309</v>
      </c>
      <c r="D1628" s="85" t="s">
        <v>2977</v>
      </c>
      <c r="E1628" s="85" t="s">
        <v>2978</v>
      </c>
      <c r="F1628" s="86">
        <v>4.14</v>
      </c>
      <c r="G1628" s="86">
        <v>500</v>
      </c>
      <c r="H1628" s="86">
        <v>2070</v>
      </c>
      <c r="I1628" s="86">
        <v>10289.25</v>
      </c>
      <c r="J1628" s="85" t="s">
        <v>2958</v>
      </c>
      <c r="K1628" s="85" t="s">
        <v>7793</v>
      </c>
      <c r="L1628" s="85" t="s">
        <v>4135</v>
      </c>
      <c r="M1628" s="85" t="s">
        <v>7794</v>
      </c>
    </row>
    <row r="1629" ht="213.75" spans="1:13">
      <c r="A1629" s="85" t="s">
        <v>7795</v>
      </c>
      <c r="B1629" s="85" t="s">
        <v>7796</v>
      </c>
      <c r="C1629" s="85" t="s">
        <v>7797</v>
      </c>
      <c r="D1629" s="85" t="s">
        <v>3463</v>
      </c>
      <c r="E1629" s="85" t="s">
        <v>7797</v>
      </c>
      <c r="F1629" s="86">
        <v>34.25</v>
      </c>
      <c r="G1629" s="86">
        <v>4</v>
      </c>
      <c r="H1629" s="86">
        <v>137</v>
      </c>
      <c r="I1629" s="86">
        <v>11400.37</v>
      </c>
      <c r="J1629" s="85" t="s">
        <v>2965</v>
      </c>
      <c r="K1629" s="85" t="s">
        <v>7793</v>
      </c>
      <c r="L1629" s="85" t="s">
        <v>4135</v>
      </c>
      <c r="M1629" s="85" t="s">
        <v>7798</v>
      </c>
    </row>
    <row r="1630" ht="213.75" spans="1:13">
      <c r="A1630" s="85" t="s">
        <v>7795</v>
      </c>
      <c r="B1630" s="85" t="s">
        <v>5867</v>
      </c>
      <c r="C1630" s="85" t="s">
        <v>5868</v>
      </c>
      <c r="D1630" s="85" t="s">
        <v>3394</v>
      </c>
      <c r="E1630" s="85" t="s">
        <v>5868</v>
      </c>
      <c r="F1630" s="86">
        <v>37.53</v>
      </c>
      <c r="G1630" s="86">
        <v>10</v>
      </c>
      <c r="H1630" s="86">
        <v>375.3</v>
      </c>
      <c r="I1630" s="86">
        <v>11400.37</v>
      </c>
      <c r="J1630" s="85" t="s">
        <v>2965</v>
      </c>
      <c r="K1630" s="85" t="s">
        <v>7793</v>
      </c>
      <c r="L1630" s="85" t="s">
        <v>4135</v>
      </c>
      <c r="M1630" s="85" t="s">
        <v>7799</v>
      </c>
    </row>
    <row r="1631" ht="213.75" spans="1:13">
      <c r="A1631" s="85" t="s">
        <v>7795</v>
      </c>
      <c r="B1631" s="85" t="s">
        <v>3228</v>
      </c>
      <c r="C1631" s="85" t="s">
        <v>3229</v>
      </c>
      <c r="D1631" s="85" t="s">
        <v>3230</v>
      </c>
      <c r="E1631" s="85" t="s">
        <v>3229</v>
      </c>
      <c r="F1631" s="86">
        <v>6.54</v>
      </c>
      <c r="G1631" s="86">
        <v>20</v>
      </c>
      <c r="H1631" s="86">
        <v>130.8</v>
      </c>
      <c r="I1631" s="86">
        <v>11400.37</v>
      </c>
      <c r="J1631" s="85" t="s">
        <v>2965</v>
      </c>
      <c r="K1631" s="85" t="s">
        <v>7793</v>
      </c>
      <c r="L1631" s="85" t="s">
        <v>4135</v>
      </c>
      <c r="M1631" s="85" t="s">
        <v>7800</v>
      </c>
    </row>
    <row r="1632" ht="213.75" spans="1:13">
      <c r="A1632" s="85" t="s">
        <v>7801</v>
      </c>
      <c r="B1632" s="85" t="s">
        <v>7802</v>
      </c>
      <c r="C1632" s="85" t="s">
        <v>7803</v>
      </c>
      <c r="D1632" s="85" t="s">
        <v>4246</v>
      </c>
      <c r="E1632" s="85" t="s">
        <v>6030</v>
      </c>
      <c r="F1632" s="86">
        <v>151</v>
      </c>
      <c r="G1632" s="86">
        <v>20</v>
      </c>
      <c r="H1632" s="86">
        <v>3020</v>
      </c>
      <c r="I1632" s="86">
        <v>8385.7</v>
      </c>
      <c r="J1632" s="85" t="s">
        <v>2999</v>
      </c>
      <c r="K1632" s="85" t="s">
        <v>7793</v>
      </c>
      <c r="L1632" s="85" t="s">
        <v>4135</v>
      </c>
      <c r="M1632" s="85" t="s">
        <v>7804</v>
      </c>
    </row>
    <row r="1633" ht="213.75" spans="1:13">
      <c r="A1633" s="85" t="s">
        <v>7801</v>
      </c>
      <c r="B1633" s="85" t="s">
        <v>7805</v>
      </c>
      <c r="C1633" s="85" t="s">
        <v>7806</v>
      </c>
      <c r="D1633" s="85" t="s">
        <v>5479</v>
      </c>
      <c r="E1633" s="85" t="s">
        <v>7807</v>
      </c>
      <c r="F1633" s="86">
        <v>17.9</v>
      </c>
      <c r="G1633" s="86">
        <v>50</v>
      </c>
      <c r="H1633" s="86">
        <v>895</v>
      </c>
      <c r="I1633" s="86">
        <v>8385.7</v>
      </c>
      <c r="J1633" s="85" t="s">
        <v>2999</v>
      </c>
      <c r="K1633" s="85" t="s">
        <v>7793</v>
      </c>
      <c r="L1633" s="85" t="s">
        <v>4135</v>
      </c>
      <c r="M1633" s="85" t="s">
        <v>7808</v>
      </c>
    </row>
    <row r="1634" ht="213.75" spans="1:13">
      <c r="A1634" s="85" t="s">
        <v>7792</v>
      </c>
      <c r="B1634" s="85" t="s">
        <v>7809</v>
      </c>
      <c r="C1634" s="85" t="s">
        <v>7810</v>
      </c>
      <c r="D1634" s="85" t="s">
        <v>6613</v>
      </c>
      <c r="E1634" s="85" t="s">
        <v>6623</v>
      </c>
      <c r="F1634" s="86">
        <v>77</v>
      </c>
      <c r="G1634" s="86">
        <v>2</v>
      </c>
      <c r="H1634" s="86">
        <v>154</v>
      </c>
      <c r="I1634" s="86">
        <v>10289.25</v>
      </c>
      <c r="J1634" s="85" t="s">
        <v>2958</v>
      </c>
      <c r="K1634" s="85" t="s">
        <v>7793</v>
      </c>
      <c r="L1634" s="85" t="s">
        <v>4135</v>
      </c>
      <c r="M1634" s="85" t="s">
        <v>7811</v>
      </c>
    </row>
    <row r="1635" ht="213.75" spans="1:13">
      <c r="A1635" s="85" t="s">
        <v>7795</v>
      </c>
      <c r="B1635" s="85" t="s">
        <v>7812</v>
      </c>
      <c r="C1635" s="85" t="s">
        <v>7813</v>
      </c>
      <c r="D1635" s="85" t="s">
        <v>3054</v>
      </c>
      <c r="E1635" s="85" t="s">
        <v>7813</v>
      </c>
      <c r="F1635" s="86">
        <v>3.48</v>
      </c>
      <c r="G1635" s="86">
        <v>100</v>
      </c>
      <c r="H1635" s="86">
        <v>348</v>
      </c>
      <c r="I1635" s="86">
        <v>11400.37</v>
      </c>
      <c r="J1635" s="85" t="s">
        <v>2965</v>
      </c>
      <c r="K1635" s="85" t="s">
        <v>7793</v>
      </c>
      <c r="L1635" s="85" t="s">
        <v>4135</v>
      </c>
      <c r="M1635" s="85" t="s">
        <v>7814</v>
      </c>
    </row>
    <row r="1636" ht="213.75" spans="1:13">
      <c r="A1636" s="85" t="s">
        <v>7795</v>
      </c>
      <c r="B1636" s="85" t="s">
        <v>7815</v>
      </c>
      <c r="C1636" s="85" t="s">
        <v>7816</v>
      </c>
      <c r="D1636" s="85" t="s">
        <v>6273</v>
      </c>
      <c r="E1636" s="85" t="s">
        <v>7816</v>
      </c>
      <c r="F1636" s="86">
        <v>25.39</v>
      </c>
      <c r="G1636" s="86">
        <v>3</v>
      </c>
      <c r="H1636" s="86">
        <v>76.17</v>
      </c>
      <c r="I1636" s="86">
        <v>11400.37</v>
      </c>
      <c r="J1636" s="85" t="s">
        <v>2965</v>
      </c>
      <c r="K1636" s="85" t="s">
        <v>7793</v>
      </c>
      <c r="L1636" s="85" t="s">
        <v>4135</v>
      </c>
      <c r="M1636" s="85" t="s">
        <v>7817</v>
      </c>
    </row>
    <row r="1637" ht="213.75" spans="1:13">
      <c r="A1637" s="85" t="s">
        <v>7792</v>
      </c>
      <c r="B1637" s="85" t="s">
        <v>7818</v>
      </c>
      <c r="C1637" s="85" t="s">
        <v>7819</v>
      </c>
      <c r="D1637" s="85" t="s">
        <v>3398</v>
      </c>
      <c r="E1637" s="85" t="s">
        <v>7820</v>
      </c>
      <c r="F1637" s="86">
        <v>117.5</v>
      </c>
      <c r="G1637" s="86">
        <v>2</v>
      </c>
      <c r="H1637" s="86">
        <v>235</v>
      </c>
      <c r="I1637" s="86">
        <v>10289.25</v>
      </c>
      <c r="J1637" s="85" t="s">
        <v>2958</v>
      </c>
      <c r="K1637" s="85" t="s">
        <v>7793</v>
      </c>
      <c r="L1637" s="85" t="s">
        <v>4135</v>
      </c>
      <c r="M1637" s="85" t="s">
        <v>7821</v>
      </c>
    </row>
    <row r="1638" ht="213.75" spans="1:13">
      <c r="A1638" s="85" t="s">
        <v>7795</v>
      </c>
      <c r="B1638" s="85" t="s">
        <v>7822</v>
      </c>
      <c r="C1638" s="85" t="s">
        <v>7823</v>
      </c>
      <c r="D1638" s="85" t="s">
        <v>3708</v>
      </c>
      <c r="E1638" s="85" t="s">
        <v>7823</v>
      </c>
      <c r="F1638" s="86">
        <v>85.36</v>
      </c>
      <c r="G1638" s="86">
        <v>2</v>
      </c>
      <c r="H1638" s="86">
        <v>170.72</v>
      </c>
      <c r="I1638" s="86">
        <v>11400.37</v>
      </c>
      <c r="J1638" s="85" t="s">
        <v>2965</v>
      </c>
      <c r="K1638" s="85" t="s">
        <v>7793</v>
      </c>
      <c r="L1638" s="85" t="s">
        <v>4135</v>
      </c>
      <c r="M1638" s="85" t="s">
        <v>7824</v>
      </c>
    </row>
    <row r="1639" ht="213.75" spans="1:13">
      <c r="A1639" s="85" t="s">
        <v>7795</v>
      </c>
      <c r="B1639" s="85" t="s">
        <v>7019</v>
      </c>
      <c r="C1639" s="85" t="s">
        <v>7020</v>
      </c>
      <c r="D1639" s="85" t="s">
        <v>3148</v>
      </c>
      <c r="E1639" s="85" t="s">
        <v>7020</v>
      </c>
      <c r="F1639" s="86">
        <v>22.88</v>
      </c>
      <c r="G1639" s="86">
        <v>10</v>
      </c>
      <c r="H1639" s="86">
        <v>228.8</v>
      </c>
      <c r="I1639" s="86">
        <v>11400.37</v>
      </c>
      <c r="J1639" s="85" t="s">
        <v>2965</v>
      </c>
      <c r="K1639" s="85" t="s">
        <v>7793</v>
      </c>
      <c r="L1639" s="85" t="s">
        <v>4135</v>
      </c>
      <c r="M1639" s="85" t="s">
        <v>7825</v>
      </c>
    </row>
    <row r="1640" ht="213.75" spans="1:13">
      <c r="A1640" s="85" t="s">
        <v>7795</v>
      </c>
      <c r="B1640" s="85" t="s">
        <v>7826</v>
      </c>
      <c r="C1640" s="85" t="s">
        <v>7827</v>
      </c>
      <c r="D1640" s="85" t="s">
        <v>3390</v>
      </c>
      <c r="E1640" s="85" t="s">
        <v>7827</v>
      </c>
      <c r="F1640" s="86">
        <v>1.39</v>
      </c>
      <c r="G1640" s="86">
        <v>30</v>
      </c>
      <c r="H1640" s="86">
        <v>41.7</v>
      </c>
      <c r="I1640" s="86">
        <v>11400.37</v>
      </c>
      <c r="J1640" s="85" t="s">
        <v>2965</v>
      </c>
      <c r="K1640" s="85" t="s">
        <v>7793</v>
      </c>
      <c r="L1640" s="85" t="s">
        <v>4135</v>
      </c>
      <c r="M1640" s="85" t="s">
        <v>7828</v>
      </c>
    </row>
    <row r="1641" ht="213.75" spans="1:13">
      <c r="A1641" s="85" t="s">
        <v>7795</v>
      </c>
      <c r="B1641" s="85" t="s">
        <v>7829</v>
      </c>
      <c r="C1641" s="85" t="s">
        <v>7830</v>
      </c>
      <c r="D1641" s="85" t="s">
        <v>3733</v>
      </c>
      <c r="E1641" s="85" t="s">
        <v>7830</v>
      </c>
      <c r="F1641" s="86">
        <v>2.7</v>
      </c>
      <c r="G1641" s="86">
        <v>20</v>
      </c>
      <c r="H1641" s="86">
        <v>54</v>
      </c>
      <c r="I1641" s="86">
        <v>11400.37</v>
      </c>
      <c r="J1641" s="85" t="s">
        <v>2965</v>
      </c>
      <c r="K1641" s="85" t="s">
        <v>7793</v>
      </c>
      <c r="L1641" s="85" t="s">
        <v>4135</v>
      </c>
      <c r="M1641" s="85" t="s">
        <v>7831</v>
      </c>
    </row>
    <row r="1642" ht="213.75" spans="1:13">
      <c r="A1642" s="85" t="s">
        <v>7795</v>
      </c>
      <c r="B1642" s="85" t="s">
        <v>7832</v>
      </c>
      <c r="C1642" s="85" t="s">
        <v>7833</v>
      </c>
      <c r="D1642" s="85" t="s">
        <v>2964</v>
      </c>
      <c r="E1642" s="85" t="s">
        <v>7833</v>
      </c>
      <c r="F1642" s="86">
        <v>27.78</v>
      </c>
      <c r="G1642" s="86">
        <v>30</v>
      </c>
      <c r="H1642" s="86">
        <v>833.4</v>
      </c>
      <c r="I1642" s="86">
        <v>11400.37</v>
      </c>
      <c r="J1642" s="85" t="s">
        <v>2965</v>
      </c>
      <c r="K1642" s="85" t="s">
        <v>7793</v>
      </c>
      <c r="L1642" s="85" t="s">
        <v>4135</v>
      </c>
      <c r="M1642" s="85" t="s">
        <v>7834</v>
      </c>
    </row>
    <row r="1643" ht="213.75" spans="1:13">
      <c r="A1643" s="85" t="s">
        <v>7801</v>
      </c>
      <c r="B1643" s="85" t="s">
        <v>7835</v>
      </c>
      <c r="C1643" s="85" t="s">
        <v>7836</v>
      </c>
      <c r="D1643" s="85" t="s">
        <v>6924</v>
      </c>
      <c r="E1643" s="85" t="s">
        <v>7837</v>
      </c>
      <c r="F1643" s="86">
        <v>5.9</v>
      </c>
      <c r="G1643" s="86">
        <v>100</v>
      </c>
      <c r="H1643" s="86">
        <v>590</v>
      </c>
      <c r="I1643" s="86">
        <v>8385.7</v>
      </c>
      <c r="J1643" s="85" t="s">
        <v>2999</v>
      </c>
      <c r="K1643" s="85" t="s">
        <v>7793</v>
      </c>
      <c r="L1643" s="85" t="s">
        <v>4135</v>
      </c>
      <c r="M1643" s="85" t="s">
        <v>7838</v>
      </c>
    </row>
    <row r="1644" ht="213.75" spans="1:13">
      <c r="A1644" s="85" t="s">
        <v>7801</v>
      </c>
      <c r="B1644" s="85" t="s">
        <v>7839</v>
      </c>
      <c r="C1644" s="85" t="s">
        <v>7840</v>
      </c>
      <c r="D1644" s="85" t="s">
        <v>4264</v>
      </c>
      <c r="E1644" s="85" t="s">
        <v>4265</v>
      </c>
      <c r="F1644" s="86">
        <v>7.1</v>
      </c>
      <c r="G1644" s="86">
        <v>50</v>
      </c>
      <c r="H1644" s="86">
        <v>355</v>
      </c>
      <c r="I1644" s="86">
        <v>8385.7</v>
      </c>
      <c r="J1644" s="85" t="s">
        <v>2999</v>
      </c>
      <c r="K1644" s="85" t="s">
        <v>7793</v>
      </c>
      <c r="L1644" s="85" t="s">
        <v>4135</v>
      </c>
      <c r="M1644" s="85" t="s">
        <v>7841</v>
      </c>
    </row>
    <row r="1645" ht="213.75" spans="1:13">
      <c r="A1645" s="85" t="s">
        <v>7842</v>
      </c>
      <c r="B1645" s="85" t="s">
        <v>4548</v>
      </c>
      <c r="C1645" s="85" t="s">
        <v>4549</v>
      </c>
      <c r="D1645" s="85" t="s">
        <v>3169</v>
      </c>
      <c r="E1645" s="85" t="s">
        <v>3170</v>
      </c>
      <c r="F1645" s="86">
        <v>0.38</v>
      </c>
      <c r="G1645" s="86">
        <v>2000</v>
      </c>
      <c r="H1645" s="86">
        <v>760</v>
      </c>
      <c r="I1645" s="86">
        <v>3835</v>
      </c>
      <c r="J1645" s="85" t="s">
        <v>4370</v>
      </c>
      <c r="K1645" s="85" t="s">
        <v>7793</v>
      </c>
      <c r="L1645" s="85" t="s">
        <v>4135</v>
      </c>
      <c r="M1645" s="85" t="s">
        <v>7843</v>
      </c>
    </row>
    <row r="1646" ht="213.75" spans="1:13">
      <c r="A1646" s="85" t="s">
        <v>7801</v>
      </c>
      <c r="B1646" s="85" t="s">
        <v>6028</v>
      </c>
      <c r="C1646" s="85" t="s">
        <v>6029</v>
      </c>
      <c r="D1646" s="85" t="s">
        <v>4246</v>
      </c>
      <c r="E1646" s="85" t="s">
        <v>6030</v>
      </c>
      <c r="F1646" s="86">
        <v>26.91</v>
      </c>
      <c r="G1646" s="86">
        <v>20</v>
      </c>
      <c r="H1646" s="86">
        <v>538.2</v>
      </c>
      <c r="I1646" s="86">
        <v>8385.7</v>
      </c>
      <c r="J1646" s="85" t="s">
        <v>2999</v>
      </c>
      <c r="K1646" s="85" t="s">
        <v>7793</v>
      </c>
      <c r="L1646" s="85" t="s">
        <v>4135</v>
      </c>
      <c r="M1646" s="85" t="s">
        <v>7844</v>
      </c>
    </row>
    <row r="1647" ht="213.75" spans="1:13">
      <c r="A1647" s="85" t="s">
        <v>7792</v>
      </c>
      <c r="B1647" s="85" t="s">
        <v>3643</v>
      </c>
      <c r="C1647" s="85" t="s">
        <v>3644</v>
      </c>
      <c r="D1647" s="85" t="s">
        <v>2982</v>
      </c>
      <c r="E1647" s="85" t="s">
        <v>3645</v>
      </c>
      <c r="F1647" s="86">
        <v>8</v>
      </c>
      <c r="G1647" s="86">
        <v>80</v>
      </c>
      <c r="H1647" s="86">
        <v>640</v>
      </c>
      <c r="I1647" s="86">
        <v>10289.25</v>
      </c>
      <c r="J1647" s="85" t="s">
        <v>2958</v>
      </c>
      <c r="K1647" s="85" t="s">
        <v>7793</v>
      </c>
      <c r="L1647" s="85" t="s">
        <v>4135</v>
      </c>
      <c r="M1647" s="85" t="s">
        <v>7845</v>
      </c>
    </row>
    <row r="1648" ht="213.75" spans="1:13">
      <c r="A1648" s="85" t="s">
        <v>7792</v>
      </c>
      <c r="B1648" s="85" t="s">
        <v>7846</v>
      </c>
      <c r="C1648" s="85" t="s">
        <v>7847</v>
      </c>
      <c r="D1648" s="85" t="s">
        <v>2982</v>
      </c>
      <c r="E1648" s="85" t="s">
        <v>4761</v>
      </c>
      <c r="F1648" s="86">
        <v>76</v>
      </c>
      <c r="G1648" s="86">
        <v>50</v>
      </c>
      <c r="H1648" s="86">
        <v>3800</v>
      </c>
      <c r="I1648" s="86">
        <v>10289.25</v>
      </c>
      <c r="J1648" s="85" t="s">
        <v>2958</v>
      </c>
      <c r="K1648" s="85" t="s">
        <v>7793</v>
      </c>
      <c r="L1648" s="85" t="s">
        <v>4135</v>
      </c>
      <c r="M1648" s="85" t="s">
        <v>7848</v>
      </c>
    </row>
    <row r="1649" ht="213.75" spans="1:13">
      <c r="A1649" s="85" t="s">
        <v>7842</v>
      </c>
      <c r="B1649" s="85" t="s">
        <v>7600</v>
      </c>
      <c r="C1649" s="85" t="s">
        <v>7601</v>
      </c>
      <c r="D1649" s="85" t="s">
        <v>3169</v>
      </c>
      <c r="E1649" s="85" t="s">
        <v>7602</v>
      </c>
      <c r="F1649" s="86">
        <v>15</v>
      </c>
      <c r="G1649" s="86">
        <v>135</v>
      </c>
      <c r="H1649" s="86">
        <v>2025</v>
      </c>
      <c r="I1649" s="86">
        <v>3835</v>
      </c>
      <c r="J1649" s="85" t="s">
        <v>4370</v>
      </c>
      <c r="K1649" s="85" t="s">
        <v>7793</v>
      </c>
      <c r="L1649" s="85" t="s">
        <v>4135</v>
      </c>
      <c r="M1649" s="85" t="s">
        <v>7849</v>
      </c>
    </row>
    <row r="1650" ht="327.75" spans="1:13">
      <c r="A1650" s="85" t="s">
        <v>7795</v>
      </c>
      <c r="B1650" s="85" t="s">
        <v>3275</v>
      </c>
      <c r="C1650" s="85" t="s">
        <v>3276</v>
      </c>
      <c r="D1650" s="85" t="s">
        <v>3153</v>
      </c>
      <c r="E1650" s="85" t="s">
        <v>3276</v>
      </c>
      <c r="F1650" s="86">
        <v>128.39</v>
      </c>
      <c r="G1650" s="86">
        <v>10</v>
      </c>
      <c r="H1650" s="86">
        <v>1283.9</v>
      </c>
      <c r="I1650" s="86">
        <v>11400.37</v>
      </c>
      <c r="J1650" s="85" t="s">
        <v>2965</v>
      </c>
      <c r="K1650" s="85" t="s">
        <v>7793</v>
      </c>
      <c r="L1650" s="85" t="s">
        <v>4135</v>
      </c>
      <c r="M1650" s="85" t="s">
        <v>7850</v>
      </c>
    </row>
    <row r="1651" ht="213.75" spans="1:13">
      <c r="A1651" s="85" t="s">
        <v>7795</v>
      </c>
      <c r="B1651" s="85" t="s">
        <v>7851</v>
      </c>
      <c r="C1651" s="85" t="s">
        <v>7852</v>
      </c>
      <c r="D1651" s="85" t="s">
        <v>5766</v>
      </c>
      <c r="E1651" s="85" t="s">
        <v>7852</v>
      </c>
      <c r="F1651" s="86">
        <v>3.63</v>
      </c>
      <c r="G1651" s="86">
        <v>100</v>
      </c>
      <c r="H1651" s="86">
        <v>363</v>
      </c>
      <c r="I1651" s="86">
        <v>11400.37</v>
      </c>
      <c r="J1651" s="85" t="s">
        <v>2965</v>
      </c>
      <c r="K1651" s="85" t="s">
        <v>7793</v>
      </c>
      <c r="L1651" s="85" t="s">
        <v>4135</v>
      </c>
      <c r="M1651" s="85" t="s">
        <v>7853</v>
      </c>
    </row>
    <row r="1652" ht="213.75" spans="1:13">
      <c r="A1652" s="85" t="s">
        <v>7795</v>
      </c>
      <c r="B1652" s="85" t="s">
        <v>7854</v>
      </c>
      <c r="C1652" s="85" t="s">
        <v>7855</v>
      </c>
      <c r="D1652" s="85" t="s">
        <v>5887</v>
      </c>
      <c r="E1652" s="85" t="s">
        <v>7855</v>
      </c>
      <c r="F1652" s="86">
        <v>1.23</v>
      </c>
      <c r="G1652" s="86">
        <v>50</v>
      </c>
      <c r="H1652" s="86">
        <v>61.5</v>
      </c>
      <c r="I1652" s="86">
        <v>11400.37</v>
      </c>
      <c r="J1652" s="85" t="s">
        <v>2965</v>
      </c>
      <c r="K1652" s="85" t="s">
        <v>7793</v>
      </c>
      <c r="L1652" s="85" t="s">
        <v>4135</v>
      </c>
      <c r="M1652" s="85" t="s">
        <v>7856</v>
      </c>
    </row>
    <row r="1653" ht="213.75" spans="1:13">
      <c r="A1653" s="85" t="s">
        <v>7792</v>
      </c>
      <c r="B1653" s="85" t="s">
        <v>7544</v>
      </c>
      <c r="C1653" s="85" t="s">
        <v>7545</v>
      </c>
      <c r="D1653" s="85" t="s">
        <v>3241</v>
      </c>
      <c r="E1653" s="85" t="s">
        <v>7546</v>
      </c>
      <c r="F1653" s="86">
        <v>15.75</v>
      </c>
      <c r="G1653" s="86">
        <v>3</v>
      </c>
      <c r="H1653" s="86">
        <v>47.25</v>
      </c>
      <c r="I1653" s="86">
        <v>10289.25</v>
      </c>
      <c r="J1653" s="85" t="s">
        <v>2958</v>
      </c>
      <c r="K1653" s="85" t="s">
        <v>7793</v>
      </c>
      <c r="L1653" s="85" t="s">
        <v>4135</v>
      </c>
      <c r="M1653" s="85" t="s">
        <v>7857</v>
      </c>
    </row>
    <row r="1654" ht="213.75" spans="1:13">
      <c r="A1654" s="85" t="s">
        <v>7795</v>
      </c>
      <c r="B1654" s="85" t="s">
        <v>7858</v>
      </c>
      <c r="C1654" s="85" t="s">
        <v>7859</v>
      </c>
      <c r="D1654" s="85" t="s">
        <v>4030</v>
      </c>
      <c r="E1654" s="85" t="s">
        <v>7859</v>
      </c>
      <c r="F1654" s="86">
        <v>1.99</v>
      </c>
      <c r="G1654" s="86">
        <v>200</v>
      </c>
      <c r="H1654" s="86">
        <v>398</v>
      </c>
      <c r="I1654" s="86">
        <v>11400.37</v>
      </c>
      <c r="J1654" s="85" t="s">
        <v>2965</v>
      </c>
      <c r="K1654" s="85" t="s">
        <v>7793</v>
      </c>
      <c r="L1654" s="85" t="s">
        <v>4135</v>
      </c>
      <c r="M1654" s="85" t="s">
        <v>7860</v>
      </c>
    </row>
    <row r="1655" ht="213.75" spans="1:13">
      <c r="A1655" s="85" t="s">
        <v>7842</v>
      </c>
      <c r="B1655" s="85" t="s">
        <v>5222</v>
      </c>
      <c r="C1655" s="85" t="s">
        <v>5223</v>
      </c>
      <c r="D1655" s="85" t="s">
        <v>4848</v>
      </c>
      <c r="E1655" s="85" t="s">
        <v>4849</v>
      </c>
      <c r="F1655" s="86">
        <v>1</v>
      </c>
      <c r="G1655" s="86">
        <v>600</v>
      </c>
      <c r="H1655" s="86">
        <v>600</v>
      </c>
      <c r="I1655" s="86">
        <v>3835</v>
      </c>
      <c r="J1655" s="85" t="s">
        <v>4370</v>
      </c>
      <c r="K1655" s="85" t="s">
        <v>7793</v>
      </c>
      <c r="L1655" s="85" t="s">
        <v>4135</v>
      </c>
      <c r="M1655" s="85" t="s">
        <v>7861</v>
      </c>
    </row>
    <row r="1656" ht="213.75" spans="1:13">
      <c r="A1656" s="85" t="s">
        <v>7862</v>
      </c>
      <c r="B1656" s="85" t="s">
        <v>3063</v>
      </c>
      <c r="C1656" s="85" t="s">
        <v>3064</v>
      </c>
      <c r="D1656" s="85" t="s">
        <v>2992</v>
      </c>
      <c r="E1656" s="85" t="s">
        <v>1815</v>
      </c>
      <c r="F1656" s="86">
        <v>5.3</v>
      </c>
      <c r="G1656" s="86">
        <v>400</v>
      </c>
      <c r="H1656" s="86">
        <v>2120</v>
      </c>
      <c r="I1656" s="86">
        <v>2120</v>
      </c>
      <c r="J1656" s="85" t="s">
        <v>2958</v>
      </c>
      <c r="K1656" s="85" t="s">
        <v>7793</v>
      </c>
      <c r="L1656" s="85" t="s">
        <v>4135</v>
      </c>
      <c r="M1656" s="85" t="s">
        <v>7863</v>
      </c>
    </row>
    <row r="1657" ht="213.75" spans="1:13">
      <c r="A1657" s="85" t="s">
        <v>7795</v>
      </c>
      <c r="B1657" s="85" t="s">
        <v>3717</v>
      </c>
      <c r="C1657" s="85" t="s">
        <v>3718</v>
      </c>
      <c r="D1657" s="85" t="s">
        <v>3014</v>
      </c>
      <c r="E1657" s="85" t="s">
        <v>3718</v>
      </c>
      <c r="F1657" s="86">
        <v>110</v>
      </c>
      <c r="G1657" s="86">
        <v>2</v>
      </c>
      <c r="H1657" s="86">
        <v>220</v>
      </c>
      <c r="I1657" s="86">
        <v>11400.37</v>
      </c>
      <c r="J1657" s="85" t="s">
        <v>2965</v>
      </c>
      <c r="K1657" s="85" t="s">
        <v>7793</v>
      </c>
      <c r="L1657" s="85" t="s">
        <v>4135</v>
      </c>
      <c r="M1657" s="85" t="s">
        <v>7864</v>
      </c>
    </row>
    <row r="1658" ht="213.75" spans="1:13">
      <c r="A1658" s="85" t="s">
        <v>7795</v>
      </c>
      <c r="B1658" s="85" t="s">
        <v>3957</v>
      </c>
      <c r="C1658" s="85" t="s">
        <v>3958</v>
      </c>
      <c r="D1658" s="85" t="s">
        <v>3959</v>
      </c>
      <c r="E1658" s="85" t="s">
        <v>3958</v>
      </c>
      <c r="F1658" s="86">
        <v>59.84</v>
      </c>
      <c r="G1658" s="86">
        <v>3</v>
      </c>
      <c r="H1658" s="86">
        <v>179.52</v>
      </c>
      <c r="I1658" s="86">
        <v>11400.37</v>
      </c>
      <c r="J1658" s="85" t="s">
        <v>2965</v>
      </c>
      <c r="K1658" s="85" t="s">
        <v>7793</v>
      </c>
      <c r="L1658" s="85" t="s">
        <v>4135</v>
      </c>
      <c r="M1658" s="85" t="s">
        <v>7865</v>
      </c>
    </row>
    <row r="1659" ht="213.75" spans="1:13">
      <c r="A1659" s="85" t="s">
        <v>7795</v>
      </c>
      <c r="B1659" s="85" t="s">
        <v>5782</v>
      </c>
      <c r="C1659" s="85" t="s">
        <v>5783</v>
      </c>
      <c r="D1659" s="85" t="s">
        <v>3189</v>
      </c>
      <c r="E1659" s="85" t="s">
        <v>5783</v>
      </c>
      <c r="F1659" s="86">
        <v>42.25</v>
      </c>
      <c r="G1659" s="86">
        <v>10</v>
      </c>
      <c r="H1659" s="86">
        <v>422.5</v>
      </c>
      <c r="I1659" s="86">
        <v>11400.37</v>
      </c>
      <c r="J1659" s="85" t="s">
        <v>2965</v>
      </c>
      <c r="K1659" s="85" t="s">
        <v>7793</v>
      </c>
      <c r="L1659" s="85" t="s">
        <v>4135</v>
      </c>
      <c r="M1659" s="85" t="s">
        <v>7866</v>
      </c>
    </row>
    <row r="1660" ht="213.75" spans="1:13">
      <c r="A1660" s="85" t="s">
        <v>7795</v>
      </c>
      <c r="B1660" s="85" t="s">
        <v>7867</v>
      </c>
      <c r="C1660" s="85" t="s">
        <v>7868</v>
      </c>
      <c r="D1660" s="85" t="s">
        <v>2964</v>
      </c>
      <c r="E1660" s="85" t="s">
        <v>7868</v>
      </c>
      <c r="F1660" s="86">
        <v>15.02</v>
      </c>
      <c r="G1660" s="86">
        <v>10</v>
      </c>
      <c r="H1660" s="86">
        <v>150.2</v>
      </c>
      <c r="I1660" s="86">
        <v>11400.37</v>
      </c>
      <c r="J1660" s="85" t="s">
        <v>2965</v>
      </c>
      <c r="K1660" s="85" t="s">
        <v>7793</v>
      </c>
      <c r="L1660" s="85" t="s">
        <v>4135</v>
      </c>
      <c r="M1660" s="85" t="s">
        <v>7869</v>
      </c>
    </row>
    <row r="1661" ht="213.75" spans="1:13">
      <c r="A1661" s="85" t="s">
        <v>7795</v>
      </c>
      <c r="B1661" s="85" t="s">
        <v>7870</v>
      </c>
      <c r="C1661" s="85" t="s">
        <v>7871</v>
      </c>
      <c r="D1661" s="85" t="s">
        <v>3371</v>
      </c>
      <c r="E1661" s="85" t="s">
        <v>7871</v>
      </c>
      <c r="F1661" s="86">
        <v>15.22</v>
      </c>
      <c r="G1661" s="86">
        <v>10</v>
      </c>
      <c r="H1661" s="86">
        <v>152.2</v>
      </c>
      <c r="I1661" s="86">
        <v>11400.37</v>
      </c>
      <c r="J1661" s="85" t="s">
        <v>2965</v>
      </c>
      <c r="K1661" s="85" t="s">
        <v>7793</v>
      </c>
      <c r="L1661" s="85" t="s">
        <v>4135</v>
      </c>
      <c r="M1661" s="85" t="s">
        <v>7872</v>
      </c>
    </row>
    <row r="1662" ht="242.25" spans="1:13">
      <c r="A1662" s="85" t="s">
        <v>7795</v>
      </c>
      <c r="B1662" s="85" t="s">
        <v>7873</v>
      </c>
      <c r="C1662" s="85" t="s">
        <v>7874</v>
      </c>
      <c r="D1662" s="85" t="s">
        <v>3014</v>
      </c>
      <c r="E1662" s="85" t="s">
        <v>7874</v>
      </c>
      <c r="F1662" s="86">
        <v>36.4</v>
      </c>
      <c r="G1662" s="86">
        <v>5</v>
      </c>
      <c r="H1662" s="86">
        <v>182</v>
      </c>
      <c r="I1662" s="86">
        <v>11400.37</v>
      </c>
      <c r="J1662" s="85" t="s">
        <v>2965</v>
      </c>
      <c r="K1662" s="85" t="s">
        <v>7793</v>
      </c>
      <c r="L1662" s="85" t="s">
        <v>4135</v>
      </c>
      <c r="M1662" s="85" t="s">
        <v>7875</v>
      </c>
    </row>
    <row r="1663" ht="213.75" spans="1:13">
      <c r="A1663" s="85" t="s">
        <v>7795</v>
      </c>
      <c r="B1663" s="85" t="s">
        <v>7876</v>
      </c>
      <c r="C1663" s="85" t="s">
        <v>7877</v>
      </c>
      <c r="D1663" s="85" t="s">
        <v>3068</v>
      </c>
      <c r="E1663" s="85" t="s">
        <v>7877</v>
      </c>
      <c r="F1663" s="86">
        <v>7.9</v>
      </c>
      <c r="G1663" s="86">
        <v>10</v>
      </c>
      <c r="H1663" s="86">
        <v>79</v>
      </c>
      <c r="I1663" s="86">
        <v>11400.37</v>
      </c>
      <c r="J1663" s="85" t="s">
        <v>2965</v>
      </c>
      <c r="K1663" s="85" t="s">
        <v>7793</v>
      </c>
      <c r="L1663" s="85" t="s">
        <v>4135</v>
      </c>
      <c r="M1663" s="85" t="s">
        <v>7878</v>
      </c>
    </row>
    <row r="1664" ht="213.75" spans="1:13">
      <c r="A1664" s="85" t="s">
        <v>7795</v>
      </c>
      <c r="B1664" s="85" t="s">
        <v>7879</v>
      </c>
      <c r="C1664" s="85" t="s">
        <v>7880</v>
      </c>
      <c r="D1664" s="85" t="s">
        <v>7881</v>
      </c>
      <c r="E1664" s="85" t="s">
        <v>7880</v>
      </c>
      <c r="F1664" s="86">
        <v>36.55</v>
      </c>
      <c r="G1664" s="86">
        <v>20</v>
      </c>
      <c r="H1664" s="86">
        <v>731</v>
      </c>
      <c r="I1664" s="86">
        <v>11400.37</v>
      </c>
      <c r="J1664" s="85" t="s">
        <v>2965</v>
      </c>
      <c r="K1664" s="85" t="s">
        <v>7793</v>
      </c>
      <c r="L1664" s="85" t="s">
        <v>4135</v>
      </c>
      <c r="M1664" s="85" t="s">
        <v>7882</v>
      </c>
    </row>
    <row r="1665" ht="213.75" spans="1:13">
      <c r="A1665" s="85" t="s">
        <v>7801</v>
      </c>
      <c r="B1665" s="85" t="s">
        <v>7883</v>
      </c>
      <c r="C1665" s="85" t="s">
        <v>7884</v>
      </c>
      <c r="D1665" s="85" t="s">
        <v>4264</v>
      </c>
      <c r="E1665" s="85" t="s">
        <v>4265</v>
      </c>
      <c r="F1665" s="86">
        <v>9.55</v>
      </c>
      <c r="G1665" s="86">
        <v>50</v>
      </c>
      <c r="H1665" s="86">
        <v>477.5</v>
      </c>
      <c r="I1665" s="86">
        <v>8385.7</v>
      </c>
      <c r="J1665" s="85" t="s">
        <v>2999</v>
      </c>
      <c r="K1665" s="85" t="s">
        <v>7793</v>
      </c>
      <c r="L1665" s="85" t="s">
        <v>4135</v>
      </c>
      <c r="M1665" s="85" t="s">
        <v>7885</v>
      </c>
    </row>
    <row r="1666" ht="213.75" spans="1:13">
      <c r="A1666" s="85" t="s">
        <v>7795</v>
      </c>
      <c r="B1666" s="85" t="s">
        <v>4032</v>
      </c>
      <c r="C1666" s="85" t="s">
        <v>4033</v>
      </c>
      <c r="D1666" s="85" t="s">
        <v>4030</v>
      </c>
      <c r="E1666" s="85" t="s">
        <v>4033</v>
      </c>
      <c r="F1666" s="86">
        <v>2.11</v>
      </c>
      <c r="G1666" s="86">
        <v>20</v>
      </c>
      <c r="H1666" s="86">
        <v>42.2</v>
      </c>
      <c r="I1666" s="86">
        <v>11400.37</v>
      </c>
      <c r="J1666" s="85" t="s">
        <v>2965</v>
      </c>
      <c r="K1666" s="85" t="s">
        <v>7793</v>
      </c>
      <c r="L1666" s="85" t="s">
        <v>4135</v>
      </c>
      <c r="M1666" s="85" t="s">
        <v>7886</v>
      </c>
    </row>
    <row r="1667" ht="213.75" spans="1:13">
      <c r="A1667" s="85" t="s">
        <v>7795</v>
      </c>
      <c r="B1667" s="85" t="s">
        <v>7887</v>
      </c>
      <c r="C1667" s="85" t="s">
        <v>7888</v>
      </c>
      <c r="D1667" s="85" t="s">
        <v>3003</v>
      </c>
      <c r="E1667" s="85" t="s">
        <v>7888</v>
      </c>
      <c r="F1667" s="86">
        <v>2.93</v>
      </c>
      <c r="G1667" s="86">
        <v>20</v>
      </c>
      <c r="H1667" s="86">
        <v>58.6</v>
      </c>
      <c r="I1667" s="86">
        <v>11400.37</v>
      </c>
      <c r="J1667" s="85" t="s">
        <v>2965</v>
      </c>
      <c r="K1667" s="85" t="s">
        <v>7793</v>
      </c>
      <c r="L1667" s="85" t="s">
        <v>4135</v>
      </c>
      <c r="M1667" s="85" t="s">
        <v>7889</v>
      </c>
    </row>
    <row r="1668" ht="213.75" spans="1:13">
      <c r="A1668" s="85" t="s">
        <v>7795</v>
      </c>
      <c r="B1668" s="85" t="s">
        <v>7890</v>
      </c>
      <c r="C1668" s="85" t="s">
        <v>7891</v>
      </c>
      <c r="D1668" s="85" t="s">
        <v>5423</v>
      </c>
      <c r="E1668" s="85" t="s">
        <v>7891</v>
      </c>
      <c r="F1668" s="86">
        <v>0.97</v>
      </c>
      <c r="G1668" s="86">
        <v>100</v>
      </c>
      <c r="H1668" s="86">
        <v>97</v>
      </c>
      <c r="I1668" s="86">
        <v>11400.37</v>
      </c>
      <c r="J1668" s="85" t="s">
        <v>2965</v>
      </c>
      <c r="K1668" s="85" t="s">
        <v>7793</v>
      </c>
      <c r="L1668" s="85" t="s">
        <v>4135</v>
      </c>
      <c r="M1668" s="85" t="s">
        <v>7892</v>
      </c>
    </row>
    <row r="1669" ht="213.75" spans="1:13">
      <c r="A1669" s="85" t="s">
        <v>7795</v>
      </c>
      <c r="B1669" s="85" t="s">
        <v>4028</v>
      </c>
      <c r="C1669" s="85" t="s">
        <v>4029</v>
      </c>
      <c r="D1669" s="85" t="s">
        <v>4030</v>
      </c>
      <c r="E1669" s="85" t="s">
        <v>4029</v>
      </c>
      <c r="F1669" s="86">
        <v>2.11</v>
      </c>
      <c r="G1669" s="86">
        <v>20</v>
      </c>
      <c r="H1669" s="86">
        <v>42.2</v>
      </c>
      <c r="I1669" s="86">
        <v>11400.37</v>
      </c>
      <c r="J1669" s="85" t="s">
        <v>2965</v>
      </c>
      <c r="K1669" s="85" t="s">
        <v>7793</v>
      </c>
      <c r="L1669" s="85" t="s">
        <v>4135</v>
      </c>
      <c r="M1669" s="85" t="s">
        <v>7893</v>
      </c>
    </row>
    <row r="1670" ht="213.75" spans="1:13">
      <c r="A1670" s="85" t="s">
        <v>7842</v>
      </c>
      <c r="B1670" s="85" t="s">
        <v>4510</v>
      </c>
      <c r="C1670" s="85" t="s">
        <v>4511</v>
      </c>
      <c r="D1670" s="85" t="s">
        <v>3041</v>
      </c>
      <c r="E1670" s="85" t="s">
        <v>3042</v>
      </c>
      <c r="F1670" s="86">
        <v>9</v>
      </c>
      <c r="G1670" s="86">
        <v>50</v>
      </c>
      <c r="H1670" s="86">
        <v>450</v>
      </c>
      <c r="I1670" s="86">
        <v>3835</v>
      </c>
      <c r="J1670" s="85" t="s">
        <v>4370</v>
      </c>
      <c r="K1670" s="85" t="s">
        <v>7793</v>
      </c>
      <c r="L1670" s="85" t="s">
        <v>4135</v>
      </c>
      <c r="M1670" s="85" t="s">
        <v>7894</v>
      </c>
    </row>
    <row r="1671" ht="213.75" spans="1:13">
      <c r="A1671" s="85" t="s">
        <v>7792</v>
      </c>
      <c r="B1671" s="85" t="s">
        <v>3092</v>
      </c>
      <c r="C1671" s="85" t="s">
        <v>3093</v>
      </c>
      <c r="D1671" s="85" t="s">
        <v>2982</v>
      </c>
      <c r="E1671" s="85" t="s">
        <v>3094</v>
      </c>
      <c r="F1671" s="86">
        <v>13.23</v>
      </c>
      <c r="G1671" s="86">
        <v>100</v>
      </c>
      <c r="H1671" s="86">
        <v>1323</v>
      </c>
      <c r="I1671" s="86">
        <v>10289.25</v>
      </c>
      <c r="J1671" s="85" t="s">
        <v>2958</v>
      </c>
      <c r="K1671" s="85" t="s">
        <v>7793</v>
      </c>
      <c r="L1671" s="85" t="s">
        <v>4135</v>
      </c>
      <c r="M1671" s="85" t="s">
        <v>7895</v>
      </c>
    </row>
    <row r="1672" ht="213.75" spans="1:13">
      <c r="A1672" s="85" t="s">
        <v>7795</v>
      </c>
      <c r="B1672" s="85" t="s">
        <v>7896</v>
      </c>
      <c r="C1672" s="85" t="s">
        <v>7897</v>
      </c>
      <c r="D1672" s="85" t="s">
        <v>3367</v>
      </c>
      <c r="E1672" s="85" t="s">
        <v>7897</v>
      </c>
      <c r="F1672" s="86">
        <v>9.6</v>
      </c>
      <c r="G1672" s="86">
        <v>50</v>
      </c>
      <c r="H1672" s="86">
        <v>480</v>
      </c>
      <c r="I1672" s="86">
        <v>11400.37</v>
      </c>
      <c r="J1672" s="85" t="s">
        <v>2965</v>
      </c>
      <c r="K1672" s="85" t="s">
        <v>7793</v>
      </c>
      <c r="L1672" s="85" t="s">
        <v>4135</v>
      </c>
      <c r="M1672" s="85" t="s">
        <v>7898</v>
      </c>
    </row>
    <row r="1673" ht="213.75" spans="1:13">
      <c r="A1673" s="85" t="s">
        <v>7795</v>
      </c>
      <c r="B1673" s="85" t="s">
        <v>7549</v>
      </c>
      <c r="C1673" s="85" t="s">
        <v>7550</v>
      </c>
      <c r="D1673" s="85" t="s">
        <v>3197</v>
      </c>
      <c r="E1673" s="85" t="s">
        <v>7550</v>
      </c>
      <c r="F1673" s="86">
        <v>2.4</v>
      </c>
      <c r="G1673" s="86">
        <v>20</v>
      </c>
      <c r="H1673" s="86">
        <v>48</v>
      </c>
      <c r="I1673" s="86">
        <v>11400.37</v>
      </c>
      <c r="J1673" s="85" t="s">
        <v>2965</v>
      </c>
      <c r="K1673" s="85" t="s">
        <v>7793</v>
      </c>
      <c r="L1673" s="85" t="s">
        <v>4135</v>
      </c>
      <c r="M1673" s="85" t="s">
        <v>7899</v>
      </c>
    </row>
    <row r="1674" ht="213.75" spans="1:13">
      <c r="A1674" s="85" t="s">
        <v>7795</v>
      </c>
      <c r="B1674" s="85" t="s">
        <v>5530</v>
      </c>
      <c r="C1674" s="85" t="s">
        <v>5531</v>
      </c>
      <c r="D1674" s="85" t="s">
        <v>3637</v>
      </c>
      <c r="E1674" s="85" t="s">
        <v>5531</v>
      </c>
      <c r="F1674" s="86">
        <v>68.02</v>
      </c>
      <c r="G1674" s="86">
        <v>5</v>
      </c>
      <c r="H1674" s="86">
        <v>340.1</v>
      </c>
      <c r="I1674" s="86">
        <v>11400.37</v>
      </c>
      <c r="J1674" s="85" t="s">
        <v>2965</v>
      </c>
      <c r="K1674" s="85" t="s">
        <v>7793</v>
      </c>
      <c r="L1674" s="85" t="s">
        <v>4135</v>
      </c>
      <c r="M1674" s="85" t="s">
        <v>7900</v>
      </c>
    </row>
    <row r="1675" ht="213.75" spans="1:13">
      <c r="A1675" s="85" t="s">
        <v>7795</v>
      </c>
      <c r="B1675" s="85" t="s">
        <v>3674</v>
      </c>
      <c r="C1675" s="85" t="s">
        <v>3675</v>
      </c>
      <c r="D1675" s="85" t="s">
        <v>3288</v>
      </c>
      <c r="E1675" s="85" t="s">
        <v>3675</v>
      </c>
      <c r="F1675" s="86">
        <v>23.94</v>
      </c>
      <c r="G1675" s="86">
        <v>5</v>
      </c>
      <c r="H1675" s="86">
        <v>119.7</v>
      </c>
      <c r="I1675" s="86">
        <v>11400.37</v>
      </c>
      <c r="J1675" s="85" t="s">
        <v>2965</v>
      </c>
      <c r="K1675" s="85" t="s">
        <v>7793</v>
      </c>
      <c r="L1675" s="85" t="s">
        <v>4135</v>
      </c>
      <c r="M1675" s="85" t="s">
        <v>7901</v>
      </c>
    </row>
    <row r="1676" ht="213.75" spans="1:13">
      <c r="A1676" s="85" t="s">
        <v>7792</v>
      </c>
      <c r="B1676" s="85" t="s">
        <v>3048</v>
      </c>
      <c r="C1676" s="85" t="s">
        <v>3049</v>
      </c>
      <c r="D1676" s="85" t="s">
        <v>2982</v>
      </c>
      <c r="E1676" s="85" t="s">
        <v>3050</v>
      </c>
      <c r="F1676" s="86">
        <v>4.5</v>
      </c>
      <c r="G1676" s="86">
        <v>200</v>
      </c>
      <c r="H1676" s="86">
        <v>900</v>
      </c>
      <c r="I1676" s="86">
        <v>10289.25</v>
      </c>
      <c r="J1676" s="85" t="s">
        <v>2958</v>
      </c>
      <c r="K1676" s="85" t="s">
        <v>7793</v>
      </c>
      <c r="L1676" s="85" t="s">
        <v>4135</v>
      </c>
      <c r="M1676" s="85" t="s">
        <v>7902</v>
      </c>
    </row>
    <row r="1677" ht="213.75" spans="1:13">
      <c r="A1677" s="85" t="s">
        <v>7801</v>
      </c>
      <c r="B1677" s="85" t="s">
        <v>7903</v>
      </c>
      <c r="C1677" s="85" t="s">
        <v>7904</v>
      </c>
      <c r="D1677" s="85" t="s">
        <v>7635</v>
      </c>
      <c r="E1677" s="85" t="s">
        <v>7905</v>
      </c>
      <c r="F1677" s="86">
        <v>10</v>
      </c>
      <c r="G1677" s="86">
        <v>30</v>
      </c>
      <c r="H1677" s="86">
        <v>300</v>
      </c>
      <c r="I1677" s="86">
        <v>8385.7</v>
      </c>
      <c r="J1677" s="85" t="s">
        <v>2999</v>
      </c>
      <c r="K1677" s="85" t="s">
        <v>7793</v>
      </c>
      <c r="L1677" s="85" t="s">
        <v>4135</v>
      </c>
      <c r="M1677" s="85" t="s">
        <v>7906</v>
      </c>
    </row>
    <row r="1678" ht="213.75" spans="1:13">
      <c r="A1678" s="85" t="s">
        <v>7795</v>
      </c>
      <c r="B1678" s="85" t="s">
        <v>4477</v>
      </c>
      <c r="C1678" s="85" t="s">
        <v>4478</v>
      </c>
      <c r="D1678" s="85" t="s">
        <v>3183</v>
      </c>
      <c r="E1678" s="85" t="s">
        <v>4478</v>
      </c>
      <c r="F1678" s="86">
        <v>118</v>
      </c>
      <c r="G1678" s="86">
        <v>10</v>
      </c>
      <c r="H1678" s="86">
        <v>1180</v>
      </c>
      <c r="I1678" s="86">
        <v>11400.37</v>
      </c>
      <c r="J1678" s="85" t="s">
        <v>2965</v>
      </c>
      <c r="K1678" s="85" t="s">
        <v>7793</v>
      </c>
      <c r="L1678" s="85" t="s">
        <v>4135</v>
      </c>
      <c r="M1678" s="85" t="s">
        <v>7907</v>
      </c>
    </row>
    <row r="1679" ht="213.75" spans="1:13">
      <c r="A1679" s="85" t="s">
        <v>7795</v>
      </c>
      <c r="B1679" s="85" t="s">
        <v>5863</v>
      </c>
      <c r="C1679" s="85" t="s">
        <v>5864</v>
      </c>
      <c r="D1679" s="85" t="s">
        <v>3054</v>
      </c>
      <c r="E1679" s="85" t="s">
        <v>5864</v>
      </c>
      <c r="F1679" s="86">
        <v>1.88</v>
      </c>
      <c r="G1679" s="86">
        <v>100</v>
      </c>
      <c r="H1679" s="86">
        <v>188</v>
      </c>
      <c r="I1679" s="86">
        <v>11400.37</v>
      </c>
      <c r="J1679" s="85" t="s">
        <v>2965</v>
      </c>
      <c r="K1679" s="85" t="s">
        <v>7793</v>
      </c>
      <c r="L1679" s="85" t="s">
        <v>4135</v>
      </c>
      <c r="M1679" s="85" t="s">
        <v>7908</v>
      </c>
    </row>
    <row r="1680" ht="213.75" spans="1:13">
      <c r="A1680" s="85" t="s">
        <v>7795</v>
      </c>
      <c r="B1680" s="85" t="s">
        <v>7909</v>
      </c>
      <c r="C1680" s="85" t="s">
        <v>7910</v>
      </c>
      <c r="D1680" s="85" t="s">
        <v>3003</v>
      </c>
      <c r="E1680" s="85" t="s">
        <v>7910</v>
      </c>
      <c r="F1680" s="86">
        <v>11.88</v>
      </c>
      <c r="G1680" s="86">
        <v>30</v>
      </c>
      <c r="H1680" s="86">
        <v>356.4</v>
      </c>
      <c r="I1680" s="86">
        <v>11400.37</v>
      </c>
      <c r="J1680" s="85" t="s">
        <v>2965</v>
      </c>
      <c r="K1680" s="85" t="s">
        <v>7793</v>
      </c>
      <c r="L1680" s="85" t="s">
        <v>4135</v>
      </c>
      <c r="M1680" s="85" t="s">
        <v>7911</v>
      </c>
    </row>
    <row r="1681" ht="213.75" spans="1:13">
      <c r="A1681" s="85" t="s">
        <v>7795</v>
      </c>
      <c r="B1681" s="85" t="s">
        <v>4025</v>
      </c>
      <c r="C1681" s="85" t="s">
        <v>4026</v>
      </c>
      <c r="D1681" s="85" t="s">
        <v>3068</v>
      </c>
      <c r="E1681" s="85" t="s">
        <v>4026</v>
      </c>
      <c r="F1681" s="86">
        <v>6.15</v>
      </c>
      <c r="G1681" s="86">
        <v>24</v>
      </c>
      <c r="H1681" s="86">
        <v>147.6</v>
      </c>
      <c r="I1681" s="86">
        <v>11400.37</v>
      </c>
      <c r="J1681" s="85" t="s">
        <v>2965</v>
      </c>
      <c r="K1681" s="85" t="s">
        <v>7793</v>
      </c>
      <c r="L1681" s="85" t="s">
        <v>4135</v>
      </c>
      <c r="M1681" s="85" t="s">
        <v>7912</v>
      </c>
    </row>
    <row r="1682" ht="213.75" spans="1:13">
      <c r="A1682" s="85" t="s">
        <v>7801</v>
      </c>
      <c r="B1682" s="85" t="s">
        <v>7913</v>
      </c>
      <c r="C1682" s="85" t="s">
        <v>7914</v>
      </c>
      <c r="D1682" s="85" t="s">
        <v>4264</v>
      </c>
      <c r="E1682" s="85" t="s">
        <v>4265</v>
      </c>
      <c r="F1682" s="86">
        <v>8.2</v>
      </c>
      <c r="G1682" s="86">
        <v>50</v>
      </c>
      <c r="H1682" s="86">
        <v>410</v>
      </c>
      <c r="I1682" s="86">
        <v>8385.7</v>
      </c>
      <c r="J1682" s="85" t="s">
        <v>2999</v>
      </c>
      <c r="K1682" s="85" t="s">
        <v>7793</v>
      </c>
      <c r="L1682" s="85" t="s">
        <v>4135</v>
      </c>
      <c r="M1682" s="85" t="s">
        <v>7915</v>
      </c>
    </row>
    <row r="1683" ht="213.75" spans="1:13">
      <c r="A1683" s="85" t="s">
        <v>7792</v>
      </c>
      <c r="B1683" s="85" t="s">
        <v>5465</v>
      </c>
      <c r="C1683" s="85" t="s">
        <v>5466</v>
      </c>
      <c r="D1683" s="85" t="s">
        <v>3201</v>
      </c>
      <c r="E1683" s="85" t="s">
        <v>3662</v>
      </c>
      <c r="F1683" s="86">
        <v>16</v>
      </c>
      <c r="G1683" s="86">
        <v>70</v>
      </c>
      <c r="H1683" s="86">
        <v>1120</v>
      </c>
      <c r="I1683" s="86">
        <v>10289.25</v>
      </c>
      <c r="J1683" s="85" t="s">
        <v>2958</v>
      </c>
      <c r="K1683" s="85" t="s">
        <v>7793</v>
      </c>
      <c r="L1683" s="85" t="s">
        <v>4135</v>
      </c>
      <c r="M1683" s="85" t="s">
        <v>7916</v>
      </c>
    </row>
    <row r="1684" ht="213.75" spans="1:13">
      <c r="A1684" s="85" t="s">
        <v>7795</v>
      </c>
      <c r="B1684" s="85" t="s">
        <v>3620</v>
      </c>
      <c r="C1684" s="85" t="s">
        <v>3621</v>
      </c>
      <c r="D1684" s="85" t="s">
        <v>3003</v>
      </c>
      <c r="E1684" s="85" t="s">
        <v>3621</v>
      </c>
      <c r="F1684" s="86">
        <v>101.61</v>
      </c>
      <c r="G1684" s="86">
        <v>6</v>
      </c>
      <c r="H1684" s="86">
        <v>609.66</v>
      </c>
      <c r="I1684" s="86">
        <v>11400.37</v>
      </c>
      <c r="J1684" s="85" t="s">
        <v>2965</v>
      </c>
      <c r="K1684" s="85" t="s">
        <v>7793</v>
      </c>
      <c r="L1684" s="85" t="s">
        <v>4135</v>
      </c>
      <c r="M1684" s="85" t="s">
        <v>7917</v>
      </c>
    </row>
    <row r="1685" ht="213.75" spans="1:13">
      <c r="A1685" s="85" t="s">
        <v>7795</v>
      </c>
      <c r="B1685" s="85" t="s">
        <v>3979</v>
      </c>
      <c r="C1685" s="85" t="s">
        <v>3980</v>
      </c>
      <c r="D1685" s="85" t="s">
        <v>3003</v>
      </c>
      <c r="E1685" s="85" t="s">
        <v>3980</v>
      </c>
      <c r="F1685" s="86">
        <v>17.87</v>
      </c>
      <c r="G1685" s="86">
        <v>60</v>
      </c>
      <c r="H1685" s="86">
        <v>1072.2</v>
      </c>
      <c r="I1685" s="86">
        <v>11400.37</v>
      </c>
      <c r="J1685" s="85" t="s">
        <v>2965</v>
      </c>
      <c r="K1685" s="85" t="s">
        <v>7793</v>
      </c>
      <c r="L1685" s="85" t="s">
        <v>4135</v>
      </c>
      <c r="M1685" s="85" t="s">
        <v>7918</v>
      </c>
    </row>
    <row r="1686" ht="213.75" spans="1:13">
      <c r="A1686" s="85" t="s">
        <v>7801</v>
      </c>
      <c r="B1686" s="85" t="s">
        <v>4497</v>
      </c>
      <c r="C1686" s="85" t="s">
        <v>4498</v>
      </c>
      <c r="D1686" s="85" t="s">
        <v>2997</v>
      </c>
      <c r="E1686" s="85" t="s">
        <v>2998</v>
      </c>
      <c r="F1686" s="86">
        <v>18</v>
      </c>
      <c r="G1686" s="86">
        <v>100</v>
      </c>
      <c r="H1686" s="86">
        <v>1800</v>
      </c>
      <c r="I1686" s="86">
        <v>8385.7</v>
      </c>
      <c r="J1686" s="85" t="s">
        <v>2999</v>
      </c>
      <c r="K1686" s="85" t="s">
        <v>7793</v>
      </c>
      <c r="L1686" s="85" t="s">
        <v>4135</v>
      </c>
      <c r="M1686" s="85" t="s">
        <v>7919</v>
      </c>
    </row>
    <row r="1687" ht="213.75" spans="1:13">
      <c r="A1687" s="85" t="s">
        <v>7920</v>
      </c>
      <c r="B1687" s="85" t="s">
        <v>3745</v>
      </c>
      <c r="C1687" s="85" t="s">
        <v>3746</v>
      </c>
      <c r="D1687" s="85" t="s">
        <v>3747</v>
      </c>
      <c r="E1687" s="85" t="s">
        <v>1827</v>
      </c>
      <c r="F1687" s="86">
        <v>134</v>
      </c>
      <c r="G1687" s="86">
        <v>400</v>
      </c>
      <c r="H1687" s="86">
        <v>53600</v>
      </c>
      <c r="I1687" s="86">
        <v>53600</v>
      </c>
      <c r="J1687" s="85" t="s">
        <v>2932</v>
      </c>
      <c r="K1687" s="85" t="s">
        <v>7921</v>
      </c>
      <c r="L1687" s="85" t="s">
        <v>4135</v>
      </c>
      <c r="M1687" s="85" t="s">
        <v>7922</v>
      </c>
    </row>
    <row r="1688" ht="213.75" spans="1:13">
      <c r="A1688" s="85" t="s">
        <v>7923</v>
      </c>
      <c r="B1688" s="85" t="s">
        <v>7924</v>
      </c>
      <c r="C1688" s="85" t="s">
        <v>7925</v>
      </c>
      <c r="D1688" s="85" t="s">
        <v>3548</v>
      </c>
      <c r="E1688" s="85" t="s">
        <v>1835</v>
      </c>
      <c r="F1688" s="86">
        <v>365</v>
      </c>
      <c r="G1688" s="86">
        <v>5</v>
      </c>
      <c r="H1688" s="86">
        <v>1825</v>
      </c>
      <c r="I1688" s="86">
        <v>50783</v>
      </c>
      <c r="J1688" s="85" t="s">
        <v>2938</v>
      </c>
      <c r="K1688" s="85" t="s">
        <v>7926</v>
      </c>
      <c r="L1688" s="85" t="s">
        <v>4135</v>
      </c>
      <c r="M1688" s="85" t="s">
        <v>7927</v>
      </c>
    </row>
    <row r="1689" ht="213.75" spans="1:13">
      <c r="A1689" s="85" t="s">
        <v>7923</v>
      </c>
      <c r="B1689" s="85" t="s">
        <v>5662</v>
      </c>
      <c r="C1689" s="85" t="s">
        <v>5663</v>
      </c>
      <c r="D1689" s="85" t="s">
        <v>4076</v>
      </c>
      <c r="E1689" s="85" t="s">
        <v>1832</v>
      </c>
      <c r="F1689" s="86">
        <v>128</v>
      </c>
      <c r="G1689" s="86">
        <v>350</v>
      </c>
      <c r="H1689" s="86">
        <v>44800</v>
      </c>
      <c r="I1689" s="86">
        <v>50783</v>
      </c>
      <c r="J1689" s="85" t="s">
        <v>2938</v>
      </c>
      <c r="K1689" s="85" t="s">
        <v>7926</v>
      </c>
      <c r="L1689" s="85" t="s">
        <v>4135</v>
      </c>
      <c r="M1689" s="85" t="s">
        <v>7928</v>
      </c>
    </row>
    <row r="1690" ht="213.75" spans="1:13">
      <c r="A1690" s="85" t="s">
        <v>7923</v>
      </c>
      <c r="B1690" s="85" t="s">
        <v>3530</v>
      </c>
      <c r="C1690" s="85" t="s">
        <v>3531</v>
      </c>
      <c r="D1690" s="85" t="s">
        <v>3532</v>
      </c>
      <c r="E1690" s="85" t="s">
        <v>3533</v>
      </c>
      <c r="F1690" s="86">
        <v>198</v>
      </c>
      <c r="G1690" s="86">
        <v>21</v>
      </c>
      <c r="H1690" s="86">
        <v>4158</v>
      </c>
      <c r="I1690" s="86">
        <v>50783</v>
      </c>
      <c r="J1690" s="85" t="s">
        <v>2938</v>
      </c>
      <c r="K1690" s="85" t="s">
        <v>7926</v>
      </c>
      <c r="L1690" s="85" t="s">
        <v>4135</v>
      </c>
      <c r="M1690" s="85" t="s">
        <v>7929</v>
      </c>
    </row>
    <row r="1691" ht="213.75" spans="1:13">
      <c r="A1691" s="85" t="s">
        <v>7930</v>
      </c>
      <c r="B1691" s="85" t="s">
        <v>2901</v>
      </c>
      <c r="C1691" s="85" t="s">
        <v>2902</v>
      </c>
      <c r="D1691" s="85" t="s">
        <v>2903</v>
      </c>
      <c r="E1691" s="85" t="s">
        <v>2902</v>
      </c>
      <c r="F1691" s="86">
        <v>23040</v>
      </c>
      <c r="G1691" s="86">
        <v>1</v>
      </c>
      <c r="H1691" s="86">
        <v>23040</v>
      </c>
      <c r="I1691" s="86">
        <v>23040</v>
      </c>
      <c r="J1691" s="85" t="s">
        <v>4054</v>
      </c>
      <c r="K1691" s="85" t="s">
        <v>7931</v>
      </c>
      <c r="L1691" s="85" t="s">
        <v>4135</v>
      </c>
      <c r="M1691" s="85" t="s">
        <v>7932</v>
      </c>
    </row>
    <row r="1692" ht="213.75" spans="1:13">
      <c r="A1692" s="85" t="s">
        <v>7933</v>
      </c>
      <c r="B1692" s="85" t="s">
        <v>3788</v>
      </c>
      <c r="C1692" s="85" t="s">
        <v>3789</v>
      </c>
      <c r="D1692" s="85" t="s">
        <v>3189</v>
      </c>
      <c r="E1692" s="85" t="s">
        <v>3790</v>
      </c>
      <c r="F1692" s="86">
        <v>100</v>
      </c>
      <c r="G1692" s="86">
        <v>90</v>
      </c>
      <c r="H1692" s="86">
        <v>9000</v>
      </c>
      <c r="I1692" s="86">
        <v>9000</v>
      </c>
      <c r="J1692" s="85" t="s">
        <v>7934</v>
      </c>
      <c r="K1692" s="85" t="s">
        <v>7935</v>
      </c>
      <c r="L1692" s="85" t="s">
        <v>4135</v>
      </c>
      <c r="M1692" s="85" t="s">
        <v>7936</v>
      </c>
    </row>
    <row r="1693" ht="213.75" spans="1:13">
      <c r="A1693" s="85" t="s">
        <v>7937</v>
      </c>
      <c r="B1693" s="85" t="s">
        <v>3896</v>
      </c>
      <c r="C1693" s="85" t="s">
        <v>1308</v>
      </c>
      <c r="D1693" s="85" t="s">
        <v>3897</v>
      </c>
      <c r="E1693" s="85" t="s">
        <v>1308</v>
      </c>
      <c r="F1693" s="86">
        <v>105718.09</v>
      </c>
      <c r="G1693" s="86">
        <v>1</v>
      </c>
      <c r="H1693" s="86">
        <v>105718.09</v>
      </c>
      <c r="I1693" s="86">
        <v>105718.09</v>
      </c>
      <c r="J1693" s="85" t="s">
        <v>7938</v>
      </c>
      <c r="K1693" s="85" t="s">
        <v>7939</v>
      </c>
      <c r="L1693" s="85" t="s">
        <v>6980</v>
      </c>
      <c r="M1693" s="85" t="s">
        <v>7940</v>
      </c>
    </row>
    <row r="1694" ht="213.75" spans="1:13">
      <c r="A1694" s="85" t="s">
        <v>7941</v>
      </c>
      <c r="B1694" s="85" t="s">
        <v>2901</v>
      </c>
      <c r="C1694" s="85" t="s">
        <v>2902</v>
      </c>
      <c r="D1694" s="85" t="s">
        <v>2903</v>
      </c>
      <c r="E1694" s="85" t="s">
        <v>2902</v>
      </c>
      <c r="F1694" s="86">
        <v>19120</v>
      </c>
      <c r="G1694" s="86">
        <v>1</v>
      </c>
      <c r="H1694" s="86">
        <v>19120</v>
      </c>
      <c r="I1694" s="86">
        <v>19120</v>
      </c>
      <c r="J1694" s="85" t="s">
        <v>5093</v>
      </c>
      <c r="K1694" s="85" t="s">
        <v>7942</v>
      </c>
      <c r="L1694" s="85" t="s">
        <v>4135</v>
      </c>
      <c r="M1694" s="85" t="s">
        <v>7943</v>
      </c>
    </row>
    <row r="1695" ht="213.75" spans="1:13">
      <c r="A1695" s="85" t="s">
        <v>7944</v>
      </c>
      <c r="B1695" s="85" t="s">
        <v>2901</v>
      </c>
      <c r="C1695" s="85" t="s">
        <v>2902</v>
      </c>
      <c r="D1695" s="85" t="s">
        <v>2903</v>
      </c>
      <c r="E1695" s="85" t="s">
        <v>2902</v>
      </c>
      <c r="F1695" s="86">
        <v>13920</v>
      </c>
      <c r="G1695" s="86">
        <v>1</v>
      </c>
      <c r="H1695" s="86">
        <v>13920</v>
      </c>
      <c r="I1695" s="86">
        <v>13920</v>
      </c>
      <c r="J1695" s="85" t="s">
        <v>4197</v>
      </c>
      <c r="K1695" s="85" t="s">
        <v>7945</v>
      </c>
      <c r="L1695" s="85" t="s">
        <v>4135</v>
      </c>
      <c r="M1695" s="85" t="s">
        <v>7946</v>
      </c>
    </row>
    <row r="1696" ht="213.75" spans="1:13">
      <c r="A1696" s="85" t="s">
        <v>7947</v>
      </c>
      <c r="B1696" s="85" t="s">
        <v>2948</v>
      </c>
      <c r="C1696" s="85" t="s">
        <v>2949</v>
      </c>
      <c r="D1696" s="85" t="s">
        <v>2950</v>
      </c>
      <c r="E1696" s="85" t="s">
        <v>1720</v>
      </c>
      <c r="F1696" s="86">
        <v>28014</v>
      </c>
      <c r="G1696" s="86">
        <v>1</v>
      </c>
      <c r="H1696" s="86">
        <v>28014</v>
      </c>
      <c r="I1696" s="86">
        <v>56303.04</v>
      </c>
      <c r="J1696" s="85" t="s">
        <v>7948</v>
      </c>
      <c r="K1696" s="85" t="s">
        <v>7949</v>
      </c>
      <c r="L1696" s="85" t="s">
        <v>4135</v>
      </c>
      <c r="M1696" s="85" t="s">
        <v>7950</v>
      </c>
    </row>
    <row r="1697" ht="213.75" spans="1:13">
      <c r="A1697" s="85" t="s">
        <v>7947</v>
      </c>
      <c r="B1697" s="85" t="s">
        <v>2948</v>
      </c>
      <c r="C1697" s="85" t="s">
        <v>2949</v>
      </c>
      <c r="D1697" s="85" t="s">
        <v>2950</v>
      </c>
      <c r="E1697" s="85" t="s">
        <v>1720</v>
      </c>
      <c r="F1697" s="86">
        <v>28289.04</v>
      </c>
      <c r="G1697" s="86">
        <v>1</v>
      </c>
      <c r="H1697" s="86">
        <v>28289.04</v>
      </c>
      <c r="I1697" s="86">
        <v>56303.04</v>
      </c>
      <c r="J1697" s="85" t="s">
        <v>7948</v>
      </c>
      <c r="K1697" s="85" t="s">
        <v>7949</v>
      </c>
      <c r="L1697" s="85" t="s">
        <v>4135</v>
      </c>
      <c r="M1697" s="85" t="s">
        <v>7951</v>
      </c>
    </row>
    <row r="1698" ht="213.75" spans="1:13">
      <c r="A1698" s="85" t="s">
        <v>7952</v>
      </c>
      <c r="B1698" s="85" t="s">
        <v>7953</v>
      </c>
      <c r="C1698" s="85" t="s">
        <v>7954</v>
      </c>
      <c r="D1698" s="85" t="s">
        <v>7955</v>
      </c>
      <c r="E1698" s="85" t="s">
        <v>7956</v>
      </c>
      <c r="F1698" s="86">
        <v>2500</v>
      </c>
      <c r="G1698" s="86">
        <v>1</v>
      </c>
      <c r="H1698" s="86">
        <v>2500</v>
      </c>
      <c r="I1698" s="86">
        <v>79520</v>
      </c>
      <c r="J1698" s="85" t="s">
        <v>2935</v>
      </c>
      <c r="K1698" s="85" t="s">
        <v>7957</v>
      </c>
      <c r="L1698" s="85" t="s">
        <v>4135</v>
      </c>
      <c r="M1698" s="85" t="s">
        <v>7958</v>
      </c>
    </row>
    <row r="1699" ht="213.75" spans="1:13">
      <c r="A1699" s="85" t="s">
        <v>7952</v>
      </c>
      <c r="B1699" s="85" t="s">
        <v>7959</v>
      </c>
      <c r="C1699" s="85" t="s">
        <v>7960</v>
      </c>
      <c r="D1699" s="85" t="s">
        <v>3398</v>
      </c>
      <c r="E1699" s="85" t="s">
        <v>7961</v>
      </c>
      <c r="F1699" s="86">
        <v>23300</v>
      </c>
      <c r="G1699" s="86">
        <v>1</v>
      </c>
      <c r="H1699" s="86">
        <v>23300</v>
      </c>
      <c r="I1699" s="86">
        <v>79520</v>
      </c>
      <c r="J1699" s="85" t="s">
        <v>2935</v>
      </c>
      <c r="K1699" s="85" t="s">
        <v>7957</v>
      </c>
      <c r="L1699" s="85" t="s">
        <v>4135</v>
      </c>
      <c r="M1699" s="85" t="s">
        <v>7962</v>
      </c>
    </row>
    <row r="1700" ht="213.75" spans="1:13">
      <c r="A1700" s="85" t="s">
        <v>7952</v>
      </c>
      <c r="B1700" s="85" t="s">
        <v>4184</v>
      </c>
      <c r="C1700" s="85" t="s">
        <v>4185</v>
      </c>
      <c r="D1700" s="85" t="s">
        <v>3086</v>
      </c>
      <c r="E1700" s="85" t="s">
        <v>4186</v>
      </c>
      <c r="F1700" s="86">
        <v>101.5</v>
      </c>
      <c r="G1700" s="86">
        <v>500</v>
      </c>
      <c r="H1700" s="86">
        <v>50750</v>
      </c>
      <c r="I1700" s="86">
        <v>79520</v>
      </c>
      <c r="J1700" s="85" t="s">
        <v>2935</v>
      </c>
      <c r="K1700" s="85" t="s">
        <v>7957</v>
      </c>
      <c r="L1700" s="85" t="s">
        <v>4135</v>
      </c>
      <c r="M1700" s="85" t="s">
        <v>7963</v>
      </c>
    </row>
    <row r="1701" ht="213.75" spans="1:13">
      <c r="A1701" s="85" t="s">
        <v>7952</v>
      </c>
      <c r="B1701" s="85" t="s">
        <v>7964</v>
      </c>
      <c r="C1701" s="85" t="s">
        <v>7965</v>
      </c>
      <c r="D1701" s="85" t="s">
        <v>3014</v>
      </c>
      <c r="E1701" s="85" t="s">
        <v>7965</v>
      </c>
      <c r="F1701" s="86">
        <v>990</v>
      </c>
      <c r="G1701" s="86">
        <v>3</v>
      </c>
      <c r="H1701" s="86">
        <v>2970</v>
      </c>
      <c r="I1701" s="86">
        <v>79520</v>
      </c>
      <c r="J1701" s="85" t="s">
        <v>2935</v>
      </c>
      <c r="K1701" s="85" t="s">
        <v>7957</v>
      </c>
      <c r="L1701" s="85" t="s">
        <v>4135</v>
      </c>
      <c r="M1701" s="85" t="s">
        <v>7966</v>
      </c>
    </row>
    <row r="1702" ht="213.75" spans="1:13">
      <c r="A1702" s="85" t="s">
        <v>7967</v>
      </c>
      <c r="B1702" s="85" t="s">
        <v>7968</v>
      </c>
      <c r="C1702" s="85" t="s">
        <v>7969</v>
      </c>
      <c r="D1702" s="85" t="s">
        <v>3398</v>
      </c>
      <c r="E1702" s="85" t="s">
        <v>7961</v>
      </c>
      <c r="F1702" s="86">
        <v>10530</v>
      </c>
      <c r="G1702" s="86">
        <v>1</v>
      </c>
      <c r="H1702" s="86">
        <v>10530</v>
      </c>
      <c r="I1702" s="86">
        <v>10530</v>
      </c>
      <c r="J1702" s="85" t="s">
        <v>4391</v>
      </c>
      <c r="K1702" s="85" t="s">
        <v>7970</v>
      </c>
      <c r="L1702" s="85" t="s">
        <v>4135</v>
      </c>
      <c r="M1702" s="85" t="s">
        <v>7971</v>
      </c>
    </row>
    <row r="1703" ht="213.75" spans="1:13">
      <c r="A1703" s="85" t="s">
        <v>7972</v>
      </c>
      <c r="B1703" s="85" t="s">
        <v>3765</v>
      </c>
      <c r="C1703" s="85" t="s">
        <v>3766</v>
      </c>
      <c r="D1703" s="85" t="s">
        <v>3753</v>
      </c>
      <c r="E1703" s="85" t="s">
        <v>3763</v>
      </c>
      <c r="F1703" s="86">
        <v>500</v>
      </c>
      <c r="G1703" s="86">
        <v>1</v>
      </c>
      <c r="H1703" s="86">
        <v>500</v>
      </c>
      <c r="I1703" s="86">
        <v>2938.52</v>
      </c>
      <c r="J1703" s="85" t="s">
        <v>3112</v>
      </c>
      <c r="K1703" s="85" t="s">
        <v>7973</v>
      </c>
      <c r="L1703" s="85" t="s">
        <v>4135</v>
      </c>
      <c r="M1703" s="85" t="s">
        <v>7974</v>
      </c>
    </row>
    <row r="1704" ht="213.75" spans="1:13">
      <c r="A1704" s="85" t="s">
        <v>7972</v>
      </c>
      <c r="B1704" s="85" t="s">
        <v>7975</v>
      </c>
      <c r="C1704" s="85" t="s">
        <v>7976</v>
      </c>
      <c r="D1704" s="85" t="s">
        <v>3753</v>
      </c>
      <c r="E1704" s="85" t="s">
        <v>3763</v>
      </c>
      <c r="F1704" s="86">
        <v>254.95</v>
      </c>
      <c r="G1704" s="86">
        <v>1</v>
      </c>
      <c r="H1704" s="86">
        <v>254.95</v>
      </c>
      <c r="I1704" s="86">
        <v>2938.52</v>
      </c>
      <c r="J1704" s="85" t="s">
        <v>3112</v>
      </c>
      <c r="K1704" s="85" t="s">
        <v>7973</v>
      </c>
      <c r="L1704" s="85" t="s">
        <v>4135</v>
      </c>
      <c r="M1704" s="85" t="s">
        <v>7977</v>
      </c>
    </row>
    <row r="1705" ht="213.75" spans="1:13">
      <c r="A1705" s="85" t="s">
        <v>7972</v>
      </c>
      <c r="B1705" s="85" t="s">
        <v>7978</v>
      </c>
      <c r="C1705" s="85" t="s">
        <v>7979</v>
      </c>
      <c r="D1705" s="85" t="s">
        <v>3753</v>
      </c>
      <c r="E1705" s="85" t="s">
        <v>3763</v>
      </c>
      <c r="F1705" s="86">
        <v>183.57</v>
      </c>
      <c r="G1705" s="86">
        <v>1</v>
      </c>
      <c r="H1705" s="86">
        <v>183.57</v>
      </c>
      <c r="I1705" s="86">
        <v>2938.52</v>
      </c>
      <c r="J1705" s="85" t="s">
        <v>3112</v>
      </c>
      <c r="K1705" s="85" t="s">
        <v>7973</v>
      </c>
      <c r="L1705" s="85" t="s">
        <v>4135</v>
      </c>
      <c r="M1705" s="85" t="s">
        <v>7980</v>
      </c>
    </row>
    <row r="1706" ht="213.75" spans="1:13">
      <c r="A1706" s="85" t="s">
        <v>7972</v>
      </c>
      <c r="B1706" s="85" t="s">
        <v>6570</v>
      </c>
      <c r="C1706" s="85" t="s">
        <v>6571</v>
      </c>
      <c r="D1706" s="85" t="s">
        <v>3753</v>
      </c>
      <c r="E1706" s="85" t="s">
        <v>3763</v>
      </c>
      <c r="F1706" s="86">
        <v>1000</v>
      </c>
      <c r="G1706" s="86">
        <v>2</v>
      </c>
      <c r="H1706" s="86">
        <v>2000</v>
      </c>
      <c r="I1706" s="86">
        <v>2938.52</v>
      </c>
      <c r="J1706" s="85" t="s">
        <v>3112</v>
      </c>
      <c r="K1706" s="85" t="s">
        <v>7973</v>
      </c>
      <c r="L1706" s="85" t="s">
        <v>4135</v>
      </c>
      <c r="M1706" s="85" t="s">
        <v>7981</v>
      </c>
    </row>
    <row r="1707" ht="213.75" spans="1:13">
      <c r="A1707" s="85" t="s">
        <v>7982</v>
      </c>
      <c r="B1707" s="85" t="s">
        <v>4651</v>
      </c>
      <c r="C1707" s="85" t="s">
        <v>4652</v>
      </c>
      <c r="D1707" s="85" t="s">
        <v>4617</v>
      </c>
      <c r="E1707" s="85" t="s">
        <v>4618</v>
      </c>
      <c r="F1707" s="86">
        <v>460</v>
      </c>
      <c r="G1707" s="86">
        <v>112</v>
      </c>
      <c r="H1707" s="86">
        <v>51520</v>
      </c>
      <c r="I1707" s="86">
        <v>247060</v>
      </c>
      <c r="J1707" s="85" t="s">
        <v>4639</v>
      </c>
      <c r="K1707" s="85" t="s">
        <v>7983</v>
      </c>
      <c r="L1707" s="85" t="s">
        <v>4135</v>
      </c>
      <c r="M1707" s="85" t="s">
        <v>7984</v>
      </c>
    </row>
    <row r="1708" ht="213.75" spans="1:13">
      <c r="A1708" s="85" t="s">
        <v>7982</v>
      </c>
      <c r="B1708" s="85" t="s">
        <v>6314</v>
      </c>
      <c r="C1708" s="85" t="s">
        <v>6315</v>
      </c>
      <c r="D1708" s="85" t="s">
        <v>4637</v>
      </c>
      <c r="E1708" s="85" t="s">
        <v>4638</v>
      </c>
      <c r="F1708" s="86">
        <v>480</v>
      </c>
      <c r="G1708" s="86">
        <v>120</v>
      </c>
      <c r="H1708" s="86">
        <v>57600</v>
      </c>
      <c r="I1708" s="86">
        <v>247060</v>
      </c>
      <c r="J1708" s="85" t="s">
        <v>4639</v>
      </c>
      <c r="K1708" s="85" t="s">
        <v>7983</v>
      </c>
      <c r="L1708" s="85" t="s">
        <v>4135</v>
      </c>
      <c r="M1708" s="85" t="s">
        <v>7985</v>
      </c>
    </row>
    <row r="1709" ht="213.75" spans="1:13">
      <c r="A1709" s="85" t="s">
        <v>7982</v>
      </c>
      <c r="B1709" s="85" t="s">
        <v>4635</v>
      </c>
      <c r="C1709" s="85" t="s">
        <v>4636</v>
      </c>
      <c r="D1709" s="85" t="s">
        <v>4637</v>
      </c>
      <c r="E1709" s="85" t="s">
        <v>4638</v>
      </c>
      <c r="F1709" s="86">
        <v>585</v>
      </c>
      <c r="G1709" s="86">
        <v>60</v>
      </c>
      <c r="H1709" s="86">
        <v>35100</v>
      </c>
      <c r="I1709" s="86">
        <v>247060</v>
      </c>
      <c r="J1709" s="85" t="s">
        <v>4639</v>
      </c>
      <c r="K1709" s="85" t="s">
        <v>7983</v>
      </c>
      <c r="L1709" s="85" t="s">
        <v>4135</v>
      </c>
      <c r="M1709" s="85" t="s">
        <v>7986</v>
      </c>
    </row>
    <row r="1710" ht="213.75" spans="1:13">
      <c r="A1710" s="85" t="s">
        <v>7982</v>
      </c>
      <c r="B1710" s="85" t="s">
        <v>4645</v>
      </c>
      <c r="C1710" s="85" t="s">
        <v>4646</v>
      </c>
      <c r="D1710" s="85" t="s">
        <v>4647</v>
      </c>
      <c r="E1710" s="85" t="s">
        <v>4648</v>
      </c>
      <c r="F1710" s="86">
        <v>500</v>
      </c>
      <c r="G1710" s="86">
        <v>68</v>
      </c>
      <c r="H1710" s="86">
        <v>34000</v>
      </c>
      <c r="I1710" s="86">
        <v>247060</v>
      </c>
      <c r="J1710" s="85" t="s">
        <v>4639</v>
      </c>
      <c r="K1710" s="85" t="s">
        <v>7983</v>
      </c>
      <c r="L1710" s="85" t="s">
        <v>4135</v>
      </c>
      <c r="M1710" s="85" t="s">
        <v>7987</v>
      </c>
    </row>
    <row r="1711" ht="213.75" spans="1:13">
      <c r="A1711" s="85" t="s">
        <v>7982</v>
      </c>
      <c r="B1711" s="85" t="s">
        <v>4645</v>
      </c>
      <c r="C1711" s="85" t="s">
        <v>4646</v>
      </c>
      <c r="D1711" s="85" t="s">
        <v>4647</v>
      </c>
      <c r="E1711" s="85" t="s">
        <v>4648</v>
      </c>
      <c r="F1711" s="86">
        <v>230</v>
      </c>
      <c r="G1711" s="86">
        <v>68</v>
      </c>
      <c r="H1711" s="86">
        <v>15640</v>
      </c>
      <c r="I1711" s="86">
        <v>247060</v>
      </c>
      <c r="J1711" s="85" t="s">
        <v>4639</v>
      </c>
      <c r="K1711" s="85" t="s">
        <v>7983</v>
      </c>
      <c r="L1711" s="85" t="s">
        <v>4135</v>
      </c>
      <c r="M1711" s="85" t="s">
        <v>7988</v>
      </c>
    </row>
    <row r="1712" ht="213.75" spans="1:13">
      <c r="A1712" s="85" t="s">
        <v>7982</v>
      </c>
      <c r="B1712" s="85" t="s">
        <v>7989</v>
      </c>
      <c r="C1712" s="85" t="s">
        <v>7990</v>
      </c>
      <c r="D1712" s="85" t="s">
        <v>3543</v>
      </c>
      <c r="E1712" s="85" t="s">
        <v>7990</v>
      </c>
      <c r="F1712" s="86">
        <v>380</v>
      </c>
      <c r="G1712" s="86">
        <v>140</v>
      </c>
      <c r="H1712" s="86">
        <v>53200</v>
      </c>
      <c r="I1712" s="86">
        <v>247060</v>
      </c>
      <c r="J1712" s="85" t="s">
        <v>4639</v>
      </c>
      <c r="K1712" s="85" t="s">
        <v>7983</v>
      </c>
      <c r="L1712" s="85" t="s">
        <v>4135</v>
      </c>
      <c r="M1712" s="85" t="s">
        <v>7991</v>
      </c>
    </row>
    <row r="1713" ht="213.75" spans="1:13">
      <c r="A1713" s="85" t="s">
        <v>7992</v>
      </c>
      <c r="B1713" s="85" t="s">
        <v>4625</v>
      </c>
      <c r="C1713" s="85" t="s">
        <v>4626</v>
      </c>
      <c r="D1713" s="85" t="s">
        <v>4617</v>
      </c>
      <c r="E1713" s="85" t="s">
        <v>4618</v>
      </c>
      <c r="F1713" s="86">
        <v>550</v>
      </c>
      <c r="G1713" s="86">
        <v>56</v>
      </c>
      <c r="H1713" s="86">
        <v>30800</v>
      </c>
      <c r="I1713" s="86">
        <v>47040</v>
      </c>
      <c r="J1713" s="85" t="s">
        <v>4619</v>
      </c>
      <c r="K1713" s="85" t="s">
        <v>7993</v>
      </c>
      <c r="L1713" s="85" t="s">
        <v>4135</v>
      </c>
      <c r="M1713" s="85" t="s">
        <v>7994</v>
      </c>
    </row>
    <row r="1714" ht="213.75" spans="1:13">
      <c r="A1714" s="85" t="s">
        <v>7992</v>
      </c>
      <c r="B1714" s="85" t="s">
        <v>4622</v>
      </c>
      <c r="C1714" s="85" t="s">
        <v>4623</v>
      </c>
      <c r="D1714" s="85" t="s">
        <v>4617</v>
      </c>
      <c r="E1714" s="85" t="s">
        <v>4618</v>
      </c>
      <c r="F1714" s="86">
        <v>580</v>
      </c>
      <c r="G1714" s="86">
        <v>28</v>
      </c>
      <c r="H1714" s="86">
        <v>16240</v>
      </c>
      <c r="I1714" s="86">
        <v>47040</v>
      </c>
      <c r="J1714" s="85" t="s">
        <v>4619</v>
      </c>
      <c r="K1714" s="85" t="s">
        <v>7993</v>
      </c>
      <c r="L1714" s="85" t="s">
        <v>4135</v>
      </c>
      <c r="M1714" s="85" t="s">
        <v>7995</v>
      </c>
    </row>
    <row r="1715" ht="213.75" spans="1:13">
      <c r="A1715" s="85" t="s">
        <v>7996</v>
      </c>
      <c r="B1715" s="85" t="s">
        <v>4166</v>
      </c>
      <c r="C1715" s="85" t="s">
        <v>4167</v>
      </c>
      <c r="D1715" s="85" t="s">
        <v>4168</v>
      </c>
      <c r="E1715" s="85" t="s">
        <v>4167</v>
      </c>
      <c r="F1715" s="86">
        <v>27946.62</v>
      </c>
      <c r="G1715" s="86">
        <v>1</v>
      </c>
      <c r="H1715" s="86">
        <v>27946.62</v>
      </c>
      <c r="I1715" s="86">
        <v>27946.62</v>
      </c>
      <c r="J1715" s="85" t="s">
        <v>7997</v>
      </c>
      <c r="K1715" s="85" t="s">
        <v>7998</v>
      </c>
      <c r="L1715" s="85" t="s">
        <v>6980</v>
      </c>
      <c r="M1715" s="85" t="s">
        <v>7999</v>
      </c>
    </row>
    <row r="1716" ht="213.75" spans="1:13">
      <c r="A1716" s="85" t="s">
        <v>8000</v>
      </c>
      <c r="B1716" s="85" t="s">
        <v>3123</v>
      </c>
      <c r="C1716" s="85" t="s">
        <v>3124</v>
      </c>
      <c r="D1716" s="85" t="s">
        <v>3125</v>
      </c>
      <c r="E1716" s="85" t="s">
        <v>3124</v>
      </c>
      <c r="F1716" s="86">
        <v>72105</v>
      </c>
      <c r="G1716" s="86">
        <v>1</v>
      </c>
      <c r="H1716" s="86">
        <v>72105</v>
      </c>
      <c r="I1716" s="86">
        <v>72105</v>
      </c>
      <c r="J1716" s="85" t="s">
        <v>8001</v>
      </c>
      <c r="K1716" s="85" t="s">
        <v>8002</v>
      </c>
      <c r="L1716" s="85" t="s">
        <v>4135</v>
      </c>
      <c r="M1716" s="85" t="s">
        <v>8003</v>
      </c>
    </row>
    <row r="1717" ht="213.75" spans="1:13">
      <c r="A1717" s="85" t="s">
        <v>8004</v>
      </c>
      <c r="B1717" s="85" t="s">
        <v>2917</v>
      </c>
      <c r="C1717" s="85" t="s">
        <v>2918</v>
      </c>
      <c r="D1717" s="85" t="s">
        <v>2919</v>
      </c>
      <c r="E1717" s="85" t="s">
        <v>2918</v>
      </c>
      <c r="F1717" s="86">
        <v>7899</v>
      </c>
      <c r="G1717" s="86">
        <v>1</v>
      </c>
      <c r="H1717" s="86">
        <v>7899</v>
      </c>
      <c r="I1717" s="86">
        <v>7899</v>
      </c>
      <c r="J1717" s="85" t="s">
        <v>2920</v>
      </c>
      <c r="K1717" s="85" t="s">
        <v>8005</v>
      </c>
      <c r="L1717" s="85" t="s">
        <v>4135</v>
      </c>
      <c r="M1717" s="85" t="s">
        <v>8006</v>
      </c>
    </row>
    <row r="1718" ht="213.75" spans="1:13">
      <c r="A1718" s="85" t="s">
        <v>8007</v>
      </c>
      <c r="B1718" s="85" t="s">
        <v>2917</v>
      </c>
      <c r="C1718" s="85" t="s">
        <v>2918</v>
      </c>
      <c r="D1718" s="85" t="s">
        <v>2919</v>
      </c>
      <c r="E1718" s="85" t="s">
        <v>2918</v>
      </c>
      <c r="F1718" s="86">
        <v>198610</v>
      </c>
      <c r="G1718" s="86">
        <v>1</v>
      </c>
      <c r="H1718" s="86">
        <v>198610</v>
      </c>
      <c r="I1718" s="86">
        <v>198610</v>
      </c>
      <c r="J1718" s="85" t="s">
        <v>4043</v>
      </c>
      <c r="K1718" s="85" t="s">
        <v>8008</v>
      </c>
      <c r="L1718" s="85" t="s">
        <v>4135</v>
      </c>
      <c r="M1718" s="85" t="s">
        <v>8009</v>
      </c>
    </row>
    <row r="1719" ht="213.75" spans="1:13">
      <c r="A1719" s="85" t="s">
        <v>8010</v>
      </c>
      <c r="B1719" s="85" t="s">
        <v>3509</v>
      </c>
      <c r="C1719" s="85" t="s">
        <v>3510</v>
      </c>
      <c r="D1719" s="85" t="s">
        <v>3511</v>
      </c>
      <c r="E1719" s="85" t="s">
        <v>3510</v>
      </c>
      <c r="F1719" s="86">
        <v>37630</v>
      </c>
      <c r="G1719" s="86">
        <v>1</v>
      </c>
      <c r="H1719" s="86">
        <v>37630</v>
      </c>
      <c r="I1719" s="86">
        <v>37630</v>
      </c>
      <c r="J1719" s="85" t="s">
        <v>4658</v>
      </c>
      <c r="K1719" s="85" t="s">
        <v>8011</v>
      </c>
      <c r="L1719" s="85" t="s">
        <v>4135</v>
      </c>
      <c r="M1719" s="85" t="s">
        <v>8012</v>
      </c>
    </row>
    <row r="1720" ht="213.75" spans="1:13">
      <c r="A1720" s="85" t="s">
        <v>8013</v>
      </c>
      <c r="B1720" s="85" t="s">
        <v>2901</v>
      </c>
      <c r="C1720" s="85" t="s">
        <v>2902</v>
      </c>
      <c r="D1720" s="85" t="s">
        <v>2903</v>
      </c>
      <c r="E1720" s="85" t="s">
        <v>2902</v>
      </c>
      <c r="F1720" s="86">
        <v>4950</v>
      </c>
      <c r="G1720" s="86">
        <v>1</v>
      </c>
      <c r="H1720" s="86">
        <v>4950</v>
      </c>
      <c r="I1720" s="86">
        <v>4950</v>
      </c>
      <c r="J1720" s="85" t="s">
        <v>4054</v>
      </c>
      <c r="K1720" s="85" t="s">
        <v>8014</v>
      </c>
      <c r="L1720" s="85" t="s">
        <v>4135</v>
      </c>
      <c r="M1720" s="85" t="s">
        <v>8015</v>
      </c>
    </row>
    <row r="1721" ht="213.75" spans="1:13">
      <c r="A1721" s="85" t="s">
        <v>8016</v>
      </c>
      <c r="B1721" s="85" t="s">
        <v>3745</v>
      </c>
      <c r="C1721" s="85" t="s">
        <v>3746</v>
      </c>
      <c r="D1721" s="85" t="s">
        <v>3747</v>
      </c>
      <c r="E1721" s="85" t="s">
        <v>1827</v>
      </c>
      <c r="F1721" s="86">
        <v>134</v>
      </c>
      <c r="G1721" s="86">
        <v>410</v>
      </c>
      <c r="H1721" s="86">
        <v>54940</v>
      </c>
      <c r="I1721" s="86">
        <v>54940</v>
      </c>
      <c r="J1721" s="85" t="s">
        <v>2932</v>
      </c>
      <c r="K1721" s="85" t="s">
        <v>8017</v>
      </c>
      <c r="L1721" s="85" t="s">
        <v>4135</v>
      </c>
      <c r="M1721" s="85" t="s">
        <v>8018</v>
      </c>
    </row>
    <row r="1722" ht="213.75" spans="1:13">
      <c r="A1722" s="85" t="s">
        <v>8019</v>
      </c>
      <c r="B1722" s="85" t="s">
        <v>7924</v>
      </c>
      <c r="C1722" s="85" t="s">
        <v>7925</v>
      </c>
      <c r="D1722" s="85" t="s">
        <v>3548</v>
      </c>
      <c r="E1722" s="85" t="s">
        <v>1835</v>
      </c>
      <c r="F1722" s="86">
        <v>365</v>
      </c>
      <c r="G1722" s="86">
        <v>20</v>
      </c>
      <c r="H1722" s="86">
        <v>7300</v>
      </c>
      <c r="I1722" s="86">
        <v>42940</v>
      </c>
      <c r="J1722" s="85" t="s">
        <v>2938</v>
      </c>
      <c r="K1722" s="85" t="s">
        <v>8020</v>
      </c>
      <c r="L1722" s="85" t="s">
        <v>4135</v>
      </c>
      <c r="M1722" s="85" t="s">
        <v>8021</v>
      </c>
    </row>
    <row r="1723" ht="213.75" spans="1:13">
      <c r="A1723" s="85" t="s">
        <v>8019</v>
      </c>
      <c r="B1723" s="85" t="s">
        <v>5854</v>
      </c>
      <c r="C1723" s="85" t="s">
        <v>5855</v>
      </c>
      <c r="D1723" s="85" t="s">
        <v>5240</v>
      </c>
      <c r="E1723" s="85" t="s">
        <v>4081</v>
      </c>
      <c r="F1723" s="86">
        <v>280</v>
      </c>
      <c r="G1723" s="86">
        <v>13</v>
      </c>
      <c r="H1723" s="86">
        <v>3640</v>
      </c>
      <c r="I1723" s="86">
        <v>42940</v>
      </c>
      <c r="J1723" s="85" t="s">
        <v>2938</v>
      </c>
      <c r="K1723" s="85" t="s">
        <v>8020</v>
      </c>
      <c r="L1723" s="85" t="s">
        <v>4135</v>
      </c>
      <c r="M1723" s="85" t="s">
        <v>8022</v>
      </c>
    </row>
    <row r="1724" ht="213.75" spans="1:13">
      <c r="A1724" s="85" t="s">
        <v>8019</v>
      </c>
      <c r="B1724" s="85" t="s">
        <v>5662</v>
      </c>
      <c r="C1724" s="85" t="s">
        <v>5663</v>
      </c>
      <c r="D1724" s="85" t="s">
        <v>4076</v>
      </c>
      <c r="E1724" s="85" t="s">
        <v>1832</v>
      </c>
      <c r="F1724" s="86">
        <v>128</v>
      </c>
      <c r="G1724" s="86">
        <v>250</v>
      </c>
      <c r="H1724" s="86">
        <v>32000</v>
      </c>
      <c r="I1724" s="86">
        <v>42940</v>
      </c>
      <c r="J1724" s="85" t="s">
        <v>2938</v>
      </c>
      <c r="K1724" s="85" t="s">
        <v>8020</v>
      </c>
      <c r="L1724" s="85" t="s">
        <v>4135</v>
      </c>
      <c r="M1724" s="85" t="s">
        <v>8023</v>
      </c>
    </row>
    <row r="1725" ht="213.75" spans="1:13">
      <c r="A1725" s="85" t="s">
        <v>8024</v>
      </c>
      <c r="B1725" s="85" t="s">
        <v>3643</v>
      </c>
      <c r="C1725" s="85" t="s">
        <v>3644</v>
      </c>
      <c r="D1725" s="85" t="s">
        <v>2982</v>
      </c>
      <c r="E1725" s="85" t="s">
        <v>3645</v>
      </c>
      <c r="F1725" s="86">
        <v>8</v>
      </c>
      <c r="G1725" s="86">
        <v>80</v>
      </c>
      <c r="H1725" s="86">
        <v>640</v>
      </c>
      <c r="I1725" s="86">
        <v>4660</v>
      </c>
      <c r="J1725" s="85" t="s">
        <v>2958</v>
      </c>
      <c r="K1725" s="85" t="s">
        <v>8025</v>
      </c>
      <c r="L1725" s="85" t="s">
        <v>4135</v>
      </c>
      <c r="M1725" s="85" t="s">
        <v>8026</v>
      </c>
    </row>
    <row r="1726" ht="213.75" spans="1:13">
      <c r="A1726" s="85" t="s">
        <v>8024</v>
      </c>
      <c r="B1726" s="85" t="s">
        <v>8027</v>
      </c>
      <c r="C1726" s="85" t="s">
        <v>8028</v>
      </c>
      <c r="D1726" s="85" t="s">
        <v>3241</v>
      </c>
      <c r="E1726" s="85" t="s">
        <v>5195</v>
      </c>
      <c r="F1726" s="86">
        <v>22</v>
      </c>
      <c r="G1726" s="86">
        <v>10</v>
      </c>
      <c r="H1726" s="86">
        <v>220</v>
      </c>
      <c r="I1726" s="86">
        <v>4660</v>
      </c>
      <c r="J1726" s="85" t="s">
        <v>2958</v>
      </c>
      <c r="K1726" s="85" t="s">
        <v>8025</v>
      </c>
      <c r="L1726" s="85" t="s">
        <v>4135</v>
      </c>
      <c r="M1726" s="85" t="s">
        <v>8029</v>
      </c>
    </row>
    <row r="1727" ht="213.75" spans="1:13">
      <c r="A1727" s="85" t="s">
        <v>8024</v>
      </c>
      <c r="B1727" s="85" t="s">
        <v>8030</v>
      </c>
      <c r="C1727" s="85" t="s">
        <v>8031</v>
      </c>
      <c r="D1727" s="85" t="s">
        <v>2977</v>
      </c>
      <c r="E1727" s="85" t="s">
        <v>8032</v>
      </c>
      <c r="F1727" s="86">
        <v>12</v>
      </c>
      <c r="G1727" s="86">
        <v>40</v>
      </c>
      <c r="H1727" s="86">
        <v>480</v>
      </c>
      <c r="I1727" s="86">
        <v>4660</v>
      </c>
      <c r="J1727" s="85" t="s">
        <v>2958</v>
      </c>
      <c r="K1727" s="85" t="s">
        <v>8025</v>
      </c>
      <c r="L1727" s="85" t="s">
        <v>4135</v>
      </c>
      <c r="M1727" s="85" t="s">
        <v>8033</v>
      </c>
    </row>
    <row r="1728" ht="213.75" spans="1:13">
      <c r="A1728" s="85" t="s">
        <v>8024</v>
      </c>
      <c r="B1728" s="85" t="s">
        <v>8034</v>
      </c>
      <c r="C1728" s="85" t="s">
        <v>8035</v>
      </c>
      <c r="D1728" s="85" t="s">
        <v>8036</v>
      </c>
      <c r="E1728" s="85" t="s">
        <v>8037</v>
      </c>
      <c r="F1728" s="86">
        <v>332</v>
      </c>
      <c r="G1728" s="86">
        <v>10</v>
      </c>
      <c r="H1728" s="86">
        <v>3320</v>
      </c>
      <c r="I1728" s="86">
        <v>4660</v>
      </c>
      <c r="J1728" s="85" t="s">
        <v>2958</v>
      </c>
      <c r="K1728" s="85" t="s">
        <v>8025</v>
      </c>
      <c r="L1728" s="85" t="s">
        <v>4135</v>
      </c>
      <c r="M1728" s="85" t="s">
        <v>8038</v>
      </c>
    </row>
    <row r="1729" ht="213.75" spans="1:13">
      <c r="A1729" s="85" t="s">
        <v>8039</v>
      </c>
      <c r="B1729" s="85" t="s">
        <v>5349</v>
      </c>
      <c r="C1729" s="85" t="s">
        <v>5350</v>
      </c>
      <c r="D1729" s="85" t="s">
        <v>3189</v>
      </c>
      <c r="E1729" s="85" t="s">
        <v>5351</v>
      </c>
      <c r="F1729" s="86">
        <v>19</v>
      </c>
      <c r="G1729" s="86">
        <v>21</v>
      </c>
      <c r="H1729" s="86">
        <v>399</v>
      </c>
      <c r="I1729" s="86">
        <v>69999</v>
      </c>
      <c r="J1729" s="85" t="s">
        <v>2935</v>
      </c>
      <c r="K1729" s="85" t="s">
        <v>8040</v>
      </c>
      <c r="L1729" s="85" t="s">
        <v>4135</v>
      </c>
      <c r="M1729" s="85" t="s">
        <v>8041</v>
      </c>
    </row>
    <row r="1730" ht="213.75" spans="1:13">
      <c r="A1730" s="85" t="s">
        <v>8039</v>
      </c>
      <c r="B1730" s="85" t="s">
        <v>8042</v>
      </c>
      <c r="C1730" s="85" t="s">
        <v>8043</v>
      </c>
      <c r="D1730" s="85" t="s">
        <v>3617</v>
      </c>
      <c r="E1730" s="85" t="s">
        <v>8044</v>
      </c>
      <c r="F1730" s="86">
        <v>2334</v>
      </c>
      <c r="G1730" s="86">
        <v>8</v>
      </c>
      <c r="H1730" s="86">
        <v>18672</v>
      </c>
      <c r="I1730" s="86">
        <v>69999</v>
      </c>
      <c r="J1730" s="85" t="s">
        <v>2935</v>
      </c>
      <c r="K1730" s="85" t="s">
        <v>8040</v>
      </c>
      <c r="L1730" s="85" t="s">
        <v>4135</v>
      </c>
      <c r="M1730" s="85" t="s">
        <v>8045</v>
      </c>
    </row>
    <row r="1731" ht="213.75" spans="1:13">
      <c r="A1731" s="85" t="s">
        <v>8039</v>
      </c>
      <c r="B1731" s="85" t="s">
        <v>8046</v>
      </c>
      <c r="C1731" s="85" t="s">
        <v>8047</v>
      </c>
      <c r="D1731" s="85" t="s">
        <v>4601</v>
      </c>
      <c r="E1731" s="85" t="s">
        <v>8047</v>
      </c>
      <c r="F1731" s="86">
        <v>4</v>
      </c>
      <c r="G1731" s="86">
        <v>1500</v>
      </c>
      <c r="H1731" s="86">
        <v>6000</v>
      </c>
      <c r="I1731" s="86">
        <v>69999</v>
      </c>
      <c r="J1731" s="85" t="s">
        <v>2935</v>
      </c>
      <c r="K1731" s="85" t="s">
        <v>8040</v>
      </c>
      <c r="L1731" s="85" t="s">
        <v>4135</v>
      </c>
      <c r="M1731" s="85" t="s">
        <v>8048</v>
      </c>
    </row>
    <row r="1732" ht="213.75" spans="1:13">
      <c r="A1732" s="85" t="s">
        <v>8039</v>
      </c>
      <c r="B1732" s="85" t="s">
        <v>8049</v>
      </c>
      <c r="C1732" s="85" t="s">
        <v>8050</v>
      </c>
      <c r="D1732" s="85" t="s">
        <v>3538</v>
      </c>
      <c r="E1732" s="85" t="s">
        <v>3539</v>
      </c>
      <c r="F1732" s="86">
        <v>13</v>
      </c>
      <c r="G1732" s="86">
        <v>6</v>
      </c>
      <c r="H1732" s="86">
        <v>78</v>
      </c>
      <c r="I1732" s="86">
        <v>69999</v>
      </c>
      <c r="J1732" s="85" t="s">
        <v>2935</v>
      </c>
      <c r="K1732" s="85" t="s">
        <v>8040</v>
      </c>
      <c r="L1732" s="85" t="s">
        <v>4135</v>
      </c>
      <c r="M1732" s="85" t="s">
        <v>8051</v>
      </c>
    </row>
    <row r="1733" ht="213.75" spans="1:13">
      <c r="A1733" s="85" t="s">
        <v>8039</v>
      </c>
      <c r="B1733" s="85" t="s">
        <v>8052</v>
      </c>
      <c r="C1733" s="85" t="s">
        <v>8053</v>
      </c>
      <c r="D1733" s="85" t="s">
        <v>3907</v>
      </c>
      <c r="E1733" s="85" t="s">
        <v>6860</v>
      </c>
      <c r="F1733" s="86">
        <v>71.5</v>
      </c>
      <c r="G1733" s="86">
        <v>300</v>
      </c>
      <c r="H1733" s="86">
        <v>21450</v>
      </c>
      <c r="I1733" s="86">
        <v>69999</v>
      </c>
      <c r="J1733" s="85" t="s">
        <v>2935</v>
      </c>
      <c r="K1733" s="85" t="s">
        <v>8040</v>
      </c>
      <c r="L1733" s="85" t="s">
        <v>4135</v>
      </c>
      <c r="M1733" s="85" t="s">
        <v>8054</v>
      </c>
    </row>
    <row r="1734" ht="213.75" spans="1:13">
      <c r="A1734" s="85" t="s">
        <v>8039</v>
      </c>
      <c r="B1734" s="85" t="s">
        <v>8055</v>
      </c>
      <c r="C1734" s="85" t="s">
        <v>8056</v>
      </c>
      <c r="D1734" s="85" t="s">
        <v>3543</v>
      </c>
      <c r="E1734" s="85" t="s">
        <v>8057</v>
      </c>
      <c r="F1734" s="86">
        <v>1140</v>
      </c>
      <c r="G1734" s="86">
        <v>20</v>
      </c>
      <c r="H1734" s="86">
        <v>22800</v>
      </c>
      <c r="I1734" s="86">
        <v>69999</v>
      </c>
      <c r="J1734" s="85" t="s">
        <v>2935</v>
      </c>
      <c r="K1734" s="85" t="s">
        <v>8040</v>
      </c>
      <c r="L1734" s="85" t="s">
        <v>4135</v>
      </c>
      <c r="M1734" s="85" t="s">
        <v>8058</v>
      </c>
    </row>
    <row r="1735" ht="213.75" spans="1:13">
      <c r="A1735" s="85" t="s">
        <v>8039</v>
      </c>
      <c r="B1735" s="85" t="s">
        <v>5761</v>
      </c>
      <c r="C1735" s="85" t="s">
        <v>5762</v>
      </c>
      <c r="D1735" s="85" t="s">
        <v>3189</v>
      </c>
      <c r="E1735" s="85" t="s">
        <v>5762</v>
      </c>
      <c r="F1735" s="86">
        <v>120</v>
      </c>
      <c r="G1735" s="86">
        <v>5</v>
      </c>
      <c r="H1735" s="86">
        <v>600</v>
      </c>
      <c r="I1735" s="86">
        <v>69999</v>
      </c>
      <c r="J1735" s="85" t="s">
        <v>2935</v>
      </c>
      <c r="K1735" s="85" t="s">
        <v>8040</v>
      </c>
      <c r="L1735" s="85" t="s">
        <v>4135</v>
      </c>
      <c r="M1735" s="85" t="s">
        <v>8059</v>
      </c>
    </row>
    <row r="1736" ht="213.75" spans="1:13">
      <c r="A1736" s="85" t="s">
        <v>8060</v>
      </c>
      <c r="B1736" s="85" t="s">
        <v>8061</v>
      </c>
      <c r="C1736" s="85" t="s">
        <v>8062</v>
      </c>
      <c r="D1736" s="85" t="s">
        <v>8063</v>
      </c>
      <c r="E1736" s="85" t="s">
        <v>8064</v>
      </c>
      <c r="F1736" s="86">
        <v>4990</v>
      </c>
      <c r="G1736" s="86">
        <v>2</v>
      </c>
      <c r="H1736" s="86">
        <v>9980</v>
      </c>
      <c r="I1736" s="86">
        <v>15180</v>
      </c>
      <c r="J1736" s="85" t="s">
        <v>3112</v>
      </c>
      <c r="K1736" s="85" t="s">
        <v>8065</v>
      </c>
      <c r="L1736" s="85" t="s">
        <v>4135</v>
      </c>
      <c r="M1736" s="85" t="s">
        <v>8066</v>
      </c>
    </row>
    <row r="1737" ht="213.75" spans="1:13">
      <c r="A1737" s="85" t="s">
        <v>8060</v>
      </c>
      <c r="B1737" s="85" t="s">
        <v>3757</v>
      </c>
      <c r="C1737" s="85" t="s">
        <v>8067</v>
      </c>
      <c r="D1737" s="85" t="s">
        <v>3753</v>
      </c>
      <c r="E1737" s="85" t="s">
        <v>3754</v>
      </c>
      <c r="F1737" s="86">
        <v>150</v>
      </c>
      <c r="G1737" s="86">
        <v>2</v>
      </c>
      <c r="H1737" s="86">
        <v>300</v>
      </c>
      <c r="I1737" s="86">
        <v>15180</v>
      </c>
      <c r="J1737" s="85" t="s">
        <v>3112</v>
      </c>
      <c r="K1737" s="85" t="s">
        <v>8065</v>
      </c>
      <c r="L1737" s="85" t="s">
        <v>4135</v>
      </c>
      <c r="M1737" s="85" t="s">
        <v>8068</v>
      </c>
    </row>
    <row r="1738" ht="213.75" spans="1:13">
      <c r="A1738" s="85" t="s">
        <v>8060</v>
      </c>
      <c r="B1738" s="85" t="s">
        <v>4671</v>
      </c>
      <c r="C1738" s="85" t="s">
        <v>8069</v>
      </c>
      <c r="D1738" s="85" t="s">
        <v>3753</v>
      </c>
      <c r="E1738" s="85" t="s">
        <v>3754</v>
      </c>
      <c r="F1738" s="86">
        <v>900</v>
      </c>
      <c r="G1738" s="86">
        <v>2</v>
      </c>
      <c r="H1738" s="86">
        <v>1800</v>
      </c>
      <c r="I1738" s="86">
        <v>15180</v>
      </c>
      <c r="J1738" s="85" t="s">
        <v>3112</v>
      </c>
      <c r="K1738" s="85" t="s">
        <v>8065</v>
      </c>
      <c r="L1738" s="85" t="s">
        <v>4135</v>
      </c>
      <c r="M1738" s="85" t="s">
        <v>8070</v>
      </c>
    </row>
    <row r="1739" ht="213.75" spans="1:13">
      <c r="A1739" s="85" t="s">
        <v>8060</v>
      </c>
      <c r="B1739" s="85" t="s">
        <v>4667</v>
      </c>
      <c r="C1739" s="85" t="s">
        <v>8071</v>
      </c>
      <c r="D1739" s="85" t="s">
        <v>3753</v>
      </c>
      <c r="E1739" s="85" t="s">
        <v>3754</v>
      </c>
      <c r="F1739" s="86">
        <v>200</v>
      </c>
      <c r="G1739" s="86">
        <v>2</v>
      </c>
      <c r="H1739" s="86">
        <v>400</v>
      </c>
      <c r="I1739" s="86">
        <v>15180</v>
      </c>
      <c r="J1739" s="85" t="s">
        <v>3112</v>
      </c>
      <c r="K1739" s="85" t="s">
        <v>8065</v>
      </c>
      <c r="L1739" s="85" t="s">
        <v>4135</v>
      </c>
      <c r="M1739" s="85" t="s">
        <v>8072</v>
      </c>
    </row>
    <row r="1740" ht="213.75" spans="1:13">
      <c r="A1740" s="85" t="s">
        <v>8060</v>
      </c>
      <c r="B1740" s="85" t="s">
        <v>3751</v>
      </c>
      <c r="C1740" s="85" t="s">
        <v>8073</v>
      </c>
      <c r="D1740" s="85" t="s">
        <v>3753</v>
      </c>
      <c r="E1740" s="85" t="s">
        <v>3754</v>
      </c>
      <c r="F1740" s="86">
        <v>300</v>
      </c>
      <c r="G1740" s="86">
        <v>2</v>
      </c>
      <c r="H1740" s="86">
        <v>600</v>
      </c>
      <c r="I1740" s="86">
        <v>15180</v>
      </c>
      <c r="J1740" s="85" t="s">
        <v>3112</v>
      </c>
      <c r="K1740" s="85" t="s">
        <v>8065</v>
      </c>
      <c r="L1740" s="85" t="s">
        <v>4135</v>
      </c>
      <c r="M1740" s="85" t="s">
        <v>8074</v>
      </c>
    </row>
    <row r="1741" ht="213.75" spans="1:13">
      <c r="A1741" s="85" t="s">
        <v>8060</v>
      </c>
      <c r="B1741" s="85" t="s">
        <v>4354</v>
      </c>
      <c r="C1741" s="85" t="s">
        <v>8075</v>
      </c>
      <c r="D1741" s="85" t="s">
        <v>3753</v>
      </c>
      <c r="E1741" s="85" t="s">
        <v>3754</v>
      </c>
      <c r="F1741" s="86">
        <v>250</v>
      </c>
      <c r="G1741" s="86">
        <v>2</v>
      </c>
      <c r="H1741" s="86">
        <v>500</v>
      </c>
      <c r="I1741" s="86">
        <v>15180</v>
      </c>
      <c r="J1741" s="85" t="s">
        <v>3112</v>
      </c>
      <c r="K1741" s="85" t="s">
        <v>8065</v>
      </c>
      <c r="L1741" s="85" t="s">
        <v>4135</v>
      </c>
      <c r="M1741" s="85" t="s">
        <v>8076</v>
      </c>
    </row>
    <row r="1742" ht="213.75" spans="1:13">
      <c r="A1742" s="85" t="s">
        <v>8060</v>
      </c>
      <c r="B1742" s="85" t="s">
        <v>4664</v>
      </c>
      <c r="C1742" s="85" t="s">
        <v>8077</v>
      </c>
      <c r="D1742" s="85" t="s">
        <v>3753</v>
      </c>
      <c r="E1742" s="85" t="s">
        <v>3754</v>
      </c>
      <c r="F1742" s="86">
        <v>800</v>
      </c>
      <c r="G1742" s="86">
        <v>2</v>
      </c>
      <c r="H1742" s="86">
        <v>1600</v>
      </c>
      <c r="I1742" s="86">
        <v>15180</v>
      </c>
      <c r="J1742" s="85" t="s">
        <v>3112</v>
      </c>
      <c r="K1742" s="85" t="s">
        <v>8065</v>
      </c>
      <c r="L1742" s="85" t="s">
        <v>4135</v>
      </c>
      <c r="M1742" s="85" t="s">
        <v>8078</v>
      </c>
    </row>
    <row r="1743" ht="213.75" spans="1:13">
      <c r="A1743" s="85" t="s">
        <v>8079</v>
      </c>
      <c r="B1743" s="85" t="s">
        <v>3896</v>
      </c>
      <c r="C1743" s="85" t="s">
        <v>1308</v>
      </c>
      <c r="D1743" s="85" t="s">
        <v>3897</v>
      </c>
      <c r="E1743" s="85" t="s">
        <v>1308</v>
      </c>
      <c r="F1743" s="86">
        <v>433400.64</v>
      </c>
      <c r="G1743" s="86">
        <v>1</v>
      </c>
      <c r="H1743" s="86">
        <v>433400.64</v>
      </c>
      <c r="I1743" s="86">
        <v>433400.64</v>
      </c>
      <c r="J1743" s="85" t="s">
        <v>3898</v>
      </c>
      <c r="K1743" s="85" t="s">
        <v>8080</v>
      </c>
      <c r="L1743" s="85" t="s">
        <v>4135</v>
      </c>
      <c r="M1743" s="85" t="s">
        <v>8081</v>
      </c>
    </row>
    <row r="1744" ht="213.75" spans="1:13">
      <c r="A1744" s="85" t="s">
        <v>8082</v>
      </c>
      <c r="B1744" s="85" t="s">
        <v>6208</v>
      </c>
      <c r="C1744" s="85" t="s">
        <v>6209</v>
      </c>
      <c r="D1744" s="85" t="s">
        <v>3153</v>
      </c>
      <c r="E1744" s="85" t="s">
        <v>6209</v>
      </c>
      <c r="F1744" s="86">
        <v>250.25</v>
      </c>
      <c r="G1744" s="86">
        <v>5</v>
      </c>
      <c r="H1744" s="86">
        <v>1251.25</v>
      </c>
      <c r="I1744" s="86">
        <v>37639.68</v>
      </c>
      <c r="J1744" s="85" t="s">
        <v>2965</v>
      </c>
      <c r="K1744" s="85" t="s">
        <v>8083</v>
      </c>
      <c r="L1744" s="85" t="s">
        <v>4135</v>
      </c>
      <c r="M1744" s="85" t="s">
        <v>8084</v>
      </c>
    </row>
    <row r="1745" ht="213.75" spans="1:13">
      <c r="A1745" s="85" t="s">
        <v>8082</v>
      </c>
      <c r="B1745" s="85" t="s">
        <v>8085</v>
      </c>
      <c r="C1745" s="85" t="s">
        <v>8086</v>
      </c>
      <c r="D1745" s="85" t="s">
        <v>3014</v>
      </c>
      <c r="E1745" s="85" t="s">
        <v>8086</v>
      </c>
      <c r="F1745" s="86">
        <v>139.23</v>
      </c>
      <c r="G1745" s="86">
        <v>2</v>
      </c>
      <c r="H1745" s="86">
        <v>278.46</v>
      </c>
      <c r="I1745" s="86">
        <v>37639.68</v>
      </c>
      <c r="J1745" s="85" t="s">
        <v>2965</v>
      </c>
      <c r="K1745" s="85" t="s">
        <v>8083</v>
      </c>
      <c r="L1745" s="85" t="s">
        <v>4135</v>
      </c>
      <c r="M1745" s="85" t="s">
        <v>8087</v>
      </c>
    </row>
    <row r="1746" ht="213.75" spans="1:13">
      <c r="A1746" s="85" t="s">
        <v>8082</v>
      </c>
      <c r="B1746" s="85" t="s">
        <v>3005</v>
      </c>
      <c r="C1746" s="85" t="s">
        <v>3006</v>
      </c>
      <c r="D1746" s="85" t="s">
        <v>2973</v>
      </c>
      <c r="E1746" s="85" t="s">
        <v>3006</v>
      </c>
      <c r="F1746" s="86">
        <v>573.85</v>
      </c>
      <c r="G1746" s="86">
        <v>22</v>
      </c>
      <c r="H1746" s="86">
        <v>12624.7</v>
      </c>
      <c r="I1746" s="86">
        <v>37639.68</v>
      </c>
      <c r="J1746" s="85" t="s">
        <v>2965</v>
      </c>
      <c r="K1746" s="85" t="s">
        <v>8083</v>
      </c>
      <c r="L1746" s="85" t="s">
        <v>4135</v>
      </c>
      <c r="M1746" s="85" t="s">
        <v>8088</v>
      </c>
    </row>
    <row r="1747" ht="213.75" spans="1:13">
      <c r="A1747" s="85" t="s">
        <v>8082</v>
      </c>
      <c r="B1747" s="85" t="s">
        <v>8089</v>
      </c>
      <c r="C1747" s="85" t="s">
        <v>8090</v>
      </c>
      <c r="D1747" s="85" t="s">
        <v>3386</v>
      </c>
      <c r="E1747" s="85" t="s">
        <v>8090</v>
      </c>
      <c r="F1747" s="86">
        <v>1037.4</v>
      </c>
      <c r="G1747" s="86">
        <v>2</v>
      </c>
      <c r="H1747" s="86">
        <v>2074.8</v>
      </c>
      <c r="I1747" s="86">
        <v>37639.68</v>
      </c>
      <c r="J1747" s="85" t="s">
        <v>2965</v>
      </c>
      <c r="K1747" s="85" t="s">
        <v>8083</v>
      </c>
      <c r="L1747" s="85" t="s">
        <v>4135</v>
      </c>
      <c r="M1747" s="85" t="s">
        <v>8091</v>
      </c>
    </row>
    <row r="1748" ht="213.75" spans="1:13">
      <c r="A1748" s="85" t="s">
        <v>8082</v>
      </c>
      <c r="B1748" s="85" t="s">
        <v>8092</v>
      </c>
      <c r="C1748" s="85" t="s">
        <v>8093</v>
      </c>
      <c r="D1748" s="85" t="s">
        <v>3014</v>
      </c>
      <c r="E1748" s="85" t="s">
        <v>8093</v>
      </c>
      <c r="F1748" s="86">
        <v>517.79</v>
      </c>
      <c r="G1748" s="86">
        <v>5</v>
      </c>
      <c r="H1748" s="86">
        <v>2588.95</v>
      </c>
      <c r="I1748" s="86">
        <v>37639.68</v>
      </c>
      <c r="J1748" s="85" t="s">
        <v>2965</v>
      </c>
      <c r="K1748" s="85" t="s">
        <v>8083</v>
      </c>
      <c r="L1748" s="85" t="s">
        <v>4135</v>
      </c>
      <c r="M1748" s="85" t="s">
        <v>8094</v>
      </c>
    </row>
    <row r="1749" ht="213.75" spans="1:13">
      <c r="A1749" s="85" t="s">
        <v>8082</v>
      </c>
      <c r="B1749" s="85" t="s">
        <v>8095</v>
      </c>
      <c r="C1749" s="85" t="s">
        <v>8096</v>
      </c>
      <c r="D1749" s="85" t="s">
        <v>2956</v>
      </c>
      <c r="E1749" s="85" t="s">
        <v>8096</v>
      </c>
      <c r="F1749" s="86">
        <v>4464</v>
      </c>
      <c r="G1749" s="86">
        <v>2</v>
      </c>
      <c r="H1749" s="86">
        <v>8928</v>
      </c>
      <c r="I1749" s="86">
        <v>37639.68</v>
      </c>
      <c r="J1749" s="85" t="s">
        <v>2965</v>
      </c>
      <c r="K1749" s="85" t="s">
        <v>8083</v>
      </c>
      <c r="L1749" s="85" t="s">
        <v>4135</v>
      </c>
      <c r="M1749" s="85" t="s">
        <v>8097</v>
      </c>
    </row>
    <row r="1750" ht="213.75" spans="1:13">
      <c r="A1750" s="85" t="s">
        <v>8082</v>
      </c>
      <c r="B1750" s="85" t="s">
        <v>8098</v>
      </c>
      <c r="C1750" s="85" t="s">
        <v>8099</v>
      </c>
      <c r="D1750" s="85" t="s">
        <v>5302</v>
      </c>
      <c r="E1750" s="85" t="s">
        <v>8099</v>
      </c>
      <c r="F1750" s="86">
        <v>450.45</v>
      </c>
      <c r="G1750" s="86">
        <v>20</v>
      </c>
      <c r="H1750" s="86">
        <v>9009</v>
      </c>
      <c r="I1750" s="86">
        <v>37639.68</v>
      </c>
      <c r="J1750" s="85" t="s">
        <v>2965</v>
      </c>
      <c r="K1750" s="85" t="s">
        <v>8083</v>
      </c>
      <c r="L1750" s="85" t="s">
        <v>4135</v>
      </c>
      <c r="M1750" s="85" t="s">
        <v>8100</v>
      </c>
    </row>
    <row r="1751" ht="213.75" spans="1:13">
      <c r="A1751" s="85" t="s">
        <v>8082</v>
      </c>
      <c r="B1751" s="85" t="s">
        <v>4544</v>
      </c>
      <c r="C1751" s="85" t="s">
        <v>4545</v>
      </c>
      <c r="D1751" s="85" t="s">
        <v>4546</v>
      </c>
      <c r="E1751" s="85" t="s">
        <v>4545</v>
      </c>
      <c r="F1751" s="86">
        <v>294.84</v>
      </c>
      <c r="G1751" s="86">
        <v>3</v>
      </c>
      <c r="H1751" s="86">
        <v>884.52</v>
      </c>
      <c r="I1751" s="86">
        <v>37639.68</v>
      </c>
      <c r="J1751" s="85" t="s">
        <v>2965</v>
      </c>
      <c r="K1751" s="85" t="s">
        <v>8083</v>
      </c>
      <c r="L1751" s="85" t="s">
        <v>4135</v>
      </c>
      <c r="M1751" s="85" t="s">
        <v>8101</v>
      </c>
    </row>
    <row r="1752" ht="228" spans="1:13">
      <c r="A1752" s="85" t="s">
        <v>8102</v>
      </c>
      <c r="B1752" s="85" t="s">
        <v>8103</v>
      </c>
      <c r="C1752" s="85" t="s">
        <v>8104</v>
      </c>
      <c r="D1752" s="85" t="s">
        <v>5510</v>
      </c>
      <c r="E1752" s="85" t="s">
        <v>1782</v>
      </c>
      <c r="F1752" s="86">
        <v>34.2</v>
      </c>
      <c r="G1752" s="86">
        <v>10</v>
      </c>
      <c r="H1752" s="86">
        <v>342</v>
      </c>
      <c r="I1752" s="86">
        <v>342</v>
      </c>
      <c r="J1752" s="85" t="s">
        <v>2958</v>
      </c>
      <c r="K1752" s="85" t="s">
        <v>8105</v>
      </c>
      <c r="L1752" s="85" t="s">
        <v>4135</v>
      </c>
      <c r="M1752" s="85" t="s">
        <v>8106</v>
      </c>
    </row>
    <row r="1753" ht="213.75" spans="1:13">
      <c r="A1753" s="85" t="s">
        <v>8107</v>
      </c>
      <c r="B1753" s="85" t="s">
        <v>8108</v>
      </c>
      <c r="C1753" s="85" t="s">
        <v>8109</v>
      </c>
      <c r="D1753" s="85" t="s">
        <v>5449</v>
      </c>
      <c r="E1753" s="85" t="s">
        <v>8110</v>
      </c>
      <c r="F1753" s="86">
        <v>45</v>
      </c>
      <c r="G1753" s="86">
        <v>100</v>
      </c>
      <c r="H1753" s="86">
        <v>4500</v>
      </c>
      <c r="I1753" s="86">
        <v>4500</v>
      </c>
      <c r="J1753" s="85" t="s">
        <v>4370</v>
      </c>
      <c r="K1753" s="85" t="s">
        <v>8111</v>
      </c>
      <c r="L1753" s="85" t="s">
        <v>4135</v>
      </c>
      <c r="M1753" s="85" t="s">
        <v>8112</v>
      </c>
    </row>
    <row r="1754" ht="213.75" spans="1:13">
      <c r="A1754" s="85" t="s">
        <v>8113</v>
      </c>
      <c r="B1754" s="85" t="s">
        <v>8114</v>
      </c>
      <c r="C1754" s="85" t="s">
        <v>8115</v>
      </c>
      <c r="D1754" s="85" t="s">
        <v>3261</v>
      </c>
      <c r="E1754" s="85" t="s">
        <v>3262</v>
      </c>
      <c r="F1754" s="86">
        <v>33.25</v>
      </c>
      <c r="G1754" s="86">
        <v>40</v>
      </c>
      <c r="H1754" s="86">
        <v>1330</v>
      </c>
      <c r="I1754" s="86">
        <v>8362.5</v>
      </c>
      <c r="J1754" s="85" t="s">
        <v>4391</v>
      </c>
      <c r="K1754" s="85" t="s">
        <v>8116</v>
      </c>
      <c r="L1754" s="85" t="s">
        <v>4135</v>
      </c>
      <c r="M1754" s="85" t="s">
        <v>8117</v>
      </c>
    </row>
    <row r="1755" ht="213.75" spans="1:13">
      <c r="A1755" s="85" t="s">
        <v>8113</v>
      </c>
      <c r="B1755" s="85" t="s">
        <v>8118</v>
      </c>
      <c r="C1755" s="85" t="s">
        <v>8119</v>
      </c>
      <c r="D1755" s="85" t="s">
        <v>4246</v>
      </c>
      <c r="E1755" s="85" t="s">
        <v>6919</v>
      </c>
      <c r="F1755" s="86">
        <v>29.9</v>
      </c>
      <c r="G1755" s="86">
        <v>5</v>
      </c>
      <c r="H1755" s="86">
        <v>149.5</v>
      </c>
      <c r="I1755" s="86">
        <v>8362.5</v>
      </c>
      <c r="J1755" s="85" t="s">
        <v>4391</v>
      </c>
      <c r="K1755" s="85" t="s">
        <v>8116</v>
      </c>
      <c r="L1755" s="85" t="s">
        <v>4135</v>
      </c>
      <c r="M1755" s="85" t="s">
        <v>8120</v>
      </c>
    </row>
    <row r="1756" ht="213.75" spans="1:13">
      <c r="A1756" s="85" t="s">
        <v>8113</v>
      </c>
      <c r="B1756" s="85" t="s">
        <v>7802</v>
      </c>
      <c r="C1756" s="85" t="s">
        <v>7803</v>
      </c>
      <c r="D1756" s="85" t="s">
        <v>4246</v>
      </c>
      <c r="E1756" s="85" t="s">
        <v>6030</v>
      </c>
      <c r="F1756" s="86">
        <v>187.5</v>
      </c>
      <c r="G1756" s="86">
        <v>10</v>
      </c>
      <c r="H1756" s="86">
        <v>1875</v>
      </c>
      <c r="I1756" s="86">
        <v>8362.5</v>
      </c>
      <c r="J1756" s="85" t="s">
        <v>4391</v>
      </c>
      <c r="K1756" s="85" t="s">
        <v>8116</v>
      </c>
      <c r="L1756" s="85" t="s">
        <v>4135</v>
      </c>
      <c r="M1756" s="85" t="s">
        <v>8121</v>
      </c>
    </row>
    <row r="1757" ht="213.75" spans="1:13">
      <c r="A1757" s="85" t="s">
        <v>8113</v>
      </c>
      <c r="B1757" s="85" t="s">
        <v>8122</v>
      </c>
      <c r="C1757" s="85" t="s">
        <v>8123</v>
      </c>
      <c r="D1757" s="85" t="s">
        <v>2997</v>
      </c>
      <c r="E1757" s="85" t="s">
        <v>2998</v>
      </c>
      <c r="F1757" s="86">
        <v>71.55</v>
      </c>
      <c r="G1757" s="86">
        <v>60</v>
      </c>
      <c r="H1757" s="86">
        <v>4293</v>
      </c>
      <c r="I1757" s="86">
        <v>8362.5</v>
      </c>
      <c r="J1757" s="85" t="s">
        <v>4391</v>
      </c>
      <c r="K1757" s="85" t="s">
        <v>8116</v>
      </c>
      <c r="L1757" s="85" t="s">
        <v>4135</v>
      </c>
      <c r="M1757" s="85" t="s">
        <v>8124</v>
      </c>
    </row>
    <row r="1758" ht="213.75" spans="1:13">
      <c r="A1758" s="85" t="s">
        <v>8113</v>
      </c>
      <c r="B1758" s="85" t="s">
        <v>8125</v>
      </c>
      <c r="C1758" s="85" t="s">
        <v>8126</v>
      </c>
      <c r="D1758" s="85" t="s">
        <v>4246</v>
      </c>
      <c r="E1758" s="85" t="s">
        <v>6919</v>
      </c>
      <c r="F1758" s="86">
        <v>71.5</v>
      </c>
      <c r="G1758" s="86">
        <v>10</v>
      </c>
      <c r="H1758" s="86">
        <v>715</v>
      </c>
      <c r="I1758" s="86">
        <v>8362.5</v>
      </c>
      <c r="J1758" s="85" t="s">
        <v>4391</v>
      </c>
      <c r="K1758" s="85" t="s">
        <v>8116</v>
      </c>
      <c r="L1758" s="85" t="s">
        <v>4135</v>
      </c>
      <c r="M1758" s="85" t="s">
        <v>8127</v>
      </c>
    </row>
    <row r="1759" ht="213.75" spans="1:13">
      <c r="A1759" s="85" t="s">
        <v>8128</v>
      </c>
      <c r="B1759" s="85" t="s">
        <v>4107</v>
      </c>
      <c r="C1759" s="85" t="s">
        <v>4108</v>
      </c>
      <c r="D1759" s="85" t="s">
        <v>3241</v>
      </c>
      <c r="E1759" s="85" t="s">
        <v>4109</v>
      </c>
      <c r="F1759" s="86">
        <v>2.7</v>
      </c>
      <c r="G1759" s="86">
        <v>6</v>
      </c>
      <c r="H1759" s="86">
        <v>16.2</v>
      </c>
      <c r="I1759" s="86">
        <v>6164.06</v>
      </c>
      <c r="J1759" s="85" t="s">
        <v>2958</v>
      </c>
      <c r="K1759" s="85" t="s">
        <v>8129</v>
      </c>
      <c r="L1759" s="85" t="s">
        <v>4135</v>
      </c>
      <c r="M1759" s="85" t="s">
        <v>8130</v>
      </c>
    </row>
    <row r="1760" ht="213.75" spans="1:13">
      <c r="A1760" s="85" t="s">
        <v>8131</v>
      </c>
      <c r="B1760" s="85" t="s">
        <v>8132</v>
      </c>
      <c r="C1760" s="85" t="s">
        <v>8133</v>
      </c>
      <c r="D1760" s="85" t="s">
        <v>8134</v>
      </c>
      <c r="E1760" s="85" t="s">
        <v>8135</v>
      </c>
      <c r="F1760" s="86">
        <v>1250</v>
      </c>
      <c r="G1760" s="86">
        <v>1</v>
      </c>
      <c r="H1760" s="86">
        <v>1250</v>
      </c>
      <c r="I1760" s="86">
        <v>22584</v>
      </c>
      <c r="J1760" s="85" t="s">
        <v>4370</v>
      </c>
      <c r="K1760" s="85" t="s">
        <v>8129</v>
      </c>
      <c r="L1760" s="85" t="s">
        <v>4135</v>
      </c>
      <c r="M1760" s="85" t="s">
        <v>8136</v>
      </c>
    </row>
    <row r="1761" ht="213.75" spans="1:13">
      <c r="A1761" s="85" t="s">
        <v>8131</v>
      </c>
      <c r="B1761" s="85" t="s">
        <v>4864</v>
      </c>
      <c r="C1761" s="85" t="s">
        <v>4865</v>
      </c>
      <c r="D1761" s="85" t="s">
        <v>4866</v>
      </c>
      <c r="E1761" s="85" t="s">
        <v>4867</v>
      </c>
      <c r="F1761" s="86">
        <v>97</v>
      </c>
      <c r="G1761" s="86">
        <v>2</v>
      </c>
      <c r="H1761" s="86">
        <v>194</v>
      </c>
      <c r="I1761" s="86">
        <v>22584</v>
      </c>
      <c r="J1761" s="85" t="s">
        <v>4370</v>
      </c>
      <c r="K1761" s="85" t="s">
        <v>8129</v>
      </c>
      <c r="L1761" s="85" t="s">
        <v>4135</v>
      </c>
      <c r="M1761" s="85" t="s">
        <v>8137</v>
      </c>
    </row>
    <row r="1762" ht="213.75" spans="1:13">
      <c r="A1762" s="85" t="s">
        <v>8138</v>
      </c>
      <c r="B1762" s="85" t="s">
        <v>8139</v>
      </c>
      <c r="C1762" s="85" t="s">
        <v>8140</v>
      </c>
      <c r="D1762" s="85" t="s">
        <v>3014</v>
      </c>
      <c r="E1762" s="85" t="s">
        <v>8141</v>
      </c>
      <c r="F1762" s="86">
        <v>245</v>
      </c>
      <c r="G1762" s="86">
        <v>1</v>
      </c>
      <c r="H1762" s="86">
        <v>245</v>
      </c>
      <c r="I1762" s="86">
        <v>245</v>
      </c>
      <c r="J1762" s="85" t="s">
        <v>5083</v>
      </c>
      <c r="K1762" s="85" t="s">
        <v>8129</v>
      </c>
      <c r="L1762" s="85" t="s">
        <v>4135</v>
      </c>
      <c r="M1762" s="85" t="s">
        <v>8142</v>
      </c>
    </row>
    <row r="1763" ht="213.75" spans="1:13">
      <c r="A1763" s="85" t="s">
        <v>8143</v>
      </c>
      <c r="B1763" s="85" t="s">
        <v>7031</v>
      </c>
      <c r="C1763" s="85" t="s">
        <v>7032</v>
      </c>
      <c r="D1763" s="85" t="s">
        <v>7024</v>
      </c>
      <c r="E1763" s="85" t="s">
        <v>7032</v>
      </c>
      <c r="F1763" s="86">
        <v>215.67</v>
      </c>
      <c r="G1763" s="86">
        <v>4</v>
      </c>
      <c r="H1763" s="86">
        <v>862.68</v>
      </c>
      <c r="I1763" s="86">
        <v>12164.41</v>
      </c>
      <c r="J1763" s="85" t="s">
        <v>2965</v>
      </c>
      <c r="K1763" s="85" t="s">
        <v>8129</v>
      </c>
      <c r="L1763" s="85" t="s">
        <v>4135</v>
      </c>
      <c r="M1763" s="85" t="s">
        <v>8144</v>
      </c>
    </row>
    <row r="1764" ht="213.75" spans="1:13">
      <c r="A1764" s="85" t="s">
        <v>8143</v>
      </c>
      <c r="B1764" s="85" t="s">
        <v>8145</v>
      </c>
      <c r="C1764" s="85" t="s">
        <v>8146</v>
      </c>
      <c r="D1764" s="85" t="s">
        <v>3197</v>
      </c>
      <c r="E1764" s="85" t="s">
        <v>8146</v>
      </c>
      <c r="F1764" s="86">
        <v>16.29</v>
      </c>
      <c r="G1764" s="86">
        <v>2</v>
      </c>
      <c r="H1764" s="86">
        <v>32.58</v>
      </c>
      <c r="I1764" s="86">
        <v>12164.41</v>
      </c>
      <c r="J1764" s="85" t="s">
        <v>2965</v>
      </c>
      <c r="K1764" s="85" t="s">
        <v>8129</v>
      </c>
      <c r="L1764" s="85" t="s">
        <v>4135</v>
      </c>
      <c r="M1764" s="85" t="s">
        <v>8147</v>
      </c>
    </row>
    <row r="1765" ht="213.75" spans="1:13">
      <c r="A1765" s="85" t="s">
        <v>8128</v>
      </c>
      <c r="B1765" s="85" t="s">
        <v>8148</v>
      </c>
      <c r="C1765" s="85" t="s">
        <v>8149</v>
      </c>
      <c r="D1765" s="85" t="s">
        <v>3656</v>
      </c>
      <c r="E1765" s="85" t="s">
        <v>8150</v>
      </c>
      <c r="F1765" s="86">
        <v>16.5</v>
      </c>
      <c r="G1765" s="86">
        <v>100</v>
      </c>
      <c r="H1765" s="86">
        <v>1650</v>
      </c>
      <c r="I1765" s="86">
        <v>6164.06</v>
      </c>
      <c r="J1765" s="85" t="s">
        <v>2958</v>
      </c>
      <c r="K1765" s="85" t="s">
        <v>8129</v>
      </c>
      <c r="L1765" s="85" t="s">
        <v>4135</v>
      </c>
      <c r="M1765" s="85" t="s">
        <v>8151</v>
      </c>
    </row>
    <row r="1766" ht="228" spans="1:13">
      <c r="A1766" s="85" t="s">
        <v>8131</v>
      </c>
      <c r="B1766" s="85" t="s">
        <v>8152</v>
      </c>
      <c r="C1766" s="85" t="s">
        <v>8153</v>
      </c>
      <c r="D1766" s="85" t="s">
        <v>4195</v>
      </c>
      <c r="E1766" s="85" t="s">
        <v>4369</v>
      </c>
      <c r="F1766" s="86">
        <v>1900</v>
      </c>
      <c r="G1766" s="86">
        <v>2</v>
      </c>
      <c r="H1766" s="86">
        <v>3800</v>
      </c>
      <c r="I1766" s="86">
        <v>22584</v>
      </c>
      <c r="J1766" s="85" t="s">
        <v>4370</v>
      </c>
      <c r="K1766" s="85" t="s">
        <v>8129</v>
      </c>
      <c r="L1766" s="85" t="s">
        <v>4135</v>
      </c>
      <c r="M1766" s="85" t="s">
        <v>8154</v>
      </c>
    </row>
    <row r="1767" ht="213.75" spans="1:13">
      <c r="A1767" s="85" t="s">
        <v>8155</v>
      </c>
      <c r="B1767" s="85" t="s">
        <v>4497</v>
      </c>
      <c r="C1767" s="85" t="s">
        <v>4498</v>
      </c>
      <c r="D1767" s="85" t="s">
        <v>2997</v>
      </c>
      <c r="E1767" s="85" t="s">
        <v>2998</v>
      </c>
      <c r="F1767" s="86">
        <v>18</v>
      </c>
      <c r="G1767" s="86">
        <v>150</v>
      </c>
      <c r="H1767" s="86">
        <v>2700</v>
      </c>
      <c r="I1767" s="86">
        <v>5720</v>
      </c>
      <c r="J1767" s="85" t="s">
        <v>2999</v>
      </c>
      <c r="K1767" s="85" t="s">
        <v>8129</v>
      </c>
      <c r="L1767" s="85" t="s">
        <v>4135</v>
      </c>
      <c r="M1767" s="85" t="s">
        <v>8156</v>
      </c>
    </row>
    <row r="1768" ht="213.75" spans="1:13">
      <c r="A1768" s="85" t="s">
        <v>8128</v>
      </c>
      <c r="B1768" s="85" t="s">
        <v>3048</v>
      </c>
      <c r="C1768" s="85" t="s">
        <v>3049</v>
      </c>
      <c r="D1768" s="85" t="s">
        <v>2982</v>
      </c>
      <c r="E1768" s="85" t="s">
        <v>3050</v>
      </c>
      <c r="F1768" s="86">
        <v>4.5</v>
      </c>
      <c r="G1768" s="86">
        <v>100</v>
      </c>
      <c r="H1768" s="86">
        <v>450</v>
      </c>
      <c r="I1768" s="86">
        <v>6164.06</v>
      </c>
      <c r="J1768" s="85" t="s">
        <v>2958</v>
      </c>
      <c r="K1768" s="85" t="s">
        <v>8129</v>
      </c>
      <c r="L1768" s="85" t="s">
        <v>4135</v>
      </c>
      <c r="M1768" s="85" t="s">
        <v>8157</v>
      </c>
    </row>
    <row r="1769" ht="213.75" spans="1:13">
      <c r="A1769" s="85" t="s">
        <v>8158</v>
      </c>
      <c r="B1769" s="85" t="s">
        <v>3063</v>
      </c>
      <c r="C1769" s="85" t="s">
        <v>3064</v>
      </c>
      <c r="D1769" s="85" t="s">
        <v>2992</v>
      </c>
      <c r="E1769" s="85" t="s">
        <v>1815</v>
      </c>
      <c r="F1769" s="86">
        <v>5.3</v>
      </c>
      <c r="G1769" s="86">
        <v>1000</v>
      </c>
      <c r="H1769" s="86">
        <v>5300</v>
      </c>
      <c r="I1769" s="86">
        <v>53770</v>
      </c>
      <c r="J1769" s="85" t="s">
        <v>2958</v>
      </c>
      <c r="K1769" s="85" t="s">
        <v>8129</v>
      </c>
      <c r="L1769" s="85" t="s">
        <v>4135</v>
      </c>
      <c r="M1769" s="85" t="s">
        <v>8159</v>
      </c>
    </row>
    <row r="1770" ht="213.75" spans="1:13">
      <c r="A1770" s="85" t="s">
        <v>8143</v>
      </c>
      <c r="B1770" s="85" t="s">
        <v>8160</v>
      </c>
      <c r="C1770" s="85" t="s">
        <v>8161</v>
      </c>
      <c r="D1770" s="85" t="s">
        <v>3054</v>
      </c>
      <c r="E1770" s="85" t="s">
        <v>8161</v>
      </c>
      <c r="F1770" s="86">
        <v>70.43</v>
      </c>
      <c r="G1770" s="86">
        <v>6</v>
      </c>
      <c r="H1770" s="86">
        <v>422.58</v>
      </c>
      <c r="I1770" s="86">
        <v>12164.41</v>
      </c>
      <c r="J1770" s="85" t="s">
        <v>2965</v>
      </c>
      <c r="K1770" s="85" t="s">
        <v>8129</v>
      </c>
      <c r="L1770" s="85" t="s">
        <v>4135</v>
      </c>
      <c r="M1770" s="85" t="s">
        <v>8162</v>
      </c>
    </row>
    <row r="1771" ht="213.75" spans="1:13">
      <c r="A1771" s="85" t="s">
        <v>8143</v>
      </c>
      <c r="B1771" s="85" t="s">
        <v>3286</v>
      </c>
      <c r="C1771" s="85" t="s">
        <v>3287</v>
      </c>
      <c r="D1771" s="85" t="s">
        <v>3288</v>
      </c>
      <c r="E1771" s="85" t="s">
        <v>3287</v>
      </c>
      <c r="F1771" s="86">
        <v>98.1</v>
      </c>
      <c r="G1771" s="86">
        <v>5</v>
      </c>
      <c r="H1771" s="86">
        <v>490.5</v>
      </c>
      <c r="I1771" s="86">
        <v>12164.41</v>
      </c>
      <c r="J1771" s="85" t="s">
        <v>2965</v>
      </c>
      <c r="K1771" s="85" t="s">
        <v>8129</v>
      </c>
      <c r="L1771" s="85" t="s">
        <v>4135</v>
      </c>
      <c r="M1771" s="85" t="s">
        <v>8163</v>
      </c>
    </row>
    <row r="1772" ht="213.75" spans="1:13">
      <c r="A1772" s="85" t="s">
        <v>8128</v>
      </c>
      <c r="B1772" s="85" t="s">
        <v>4290</v>
      </c>
      <c r="C1772" s="85" t="s">
        <v>4291</v>
      </c>
      <c r="D1772" s="85" t="s">
        <v>3189</v>
      </c>
      <c r="E1772" s="85" t="s">
        <v>4292</v>
      </c>
      <c r="F1772" s="86">
        <v>16.66</v>
      </c>
      <c r="G1772" s="86">
        <v>50</v>
      </c>
      <c r="H1772" s="86">
        <v>833</v>
      </c>
      <c r="I1772" s="86">
        <v>6164.06</v>
      </c>
      <c r="J1772" s="85" t="s">
        <v>2958</v>
      </c>
      <c r="K1772" s="85" t="s">
        <v>8129</v>
      </c>
      <c r="L1772" s="85" t="s">
        <v>4135</v>
      </c>
      <c r="M1772" s="85" t="s">
        <v>8164</v>
      </c>
    </row>
    <row r="1773" ht="213.75" spans="1:13">
      <c r="A1773" s="85" t="s">
        <v>8131</v>
      </c>
      <c r="B1773" s="85" t="s">
        <v>8165</v>
      </c>
      <c r="C1773" s="85" t="s">
        <v>8166</v>
      </c>
      <c r="D1773" s="85" t="s">
        <v>3041</v>
      </c>
      <c r="E1773" s="85" t="s">
        <v>3158</v>
      </c>
      <c r="F1773" s="86">
        <v>66</v>
      </c>
      <c r="G1773" s="86">
        <v>7</v>
      </c>
      <c r="H1773" s="86">
        <v>462</v>
      </c>
      <c r="I1773" s="86">
        <v>22584</v>
      </c>
      <c r="J1773" s="85" t="s">
        <v>4370</v>
      </c>
      <c r="K1773" s="85" t="s">
        <v>8129</v>
      </c>
      <c r="L1773" s="85" t="s">
        <v>4135</v>
      </c>
      <c r="M1773" s="85" t="s">
        <v>8167</v>
      </c>
    </row>
    <row r="1774" ht="213.75" spans="1:13">
      <c r="A1774" s="85" t="s">
        <v>8131</v>
      </c>
      <c r="B1774" s="85" t="s">
        <v>8168</v>
      </c>
      <c r="C1774" s="85" t="s">
        <v>8169</v>
      </c>
      <c r="D1774" s="85" t="s">
        <v>3041</v>
      </c>
      <c r="E1774" s="85" t="s">
        <v>3158</v>
      </c>
      <c r="F1774" s="86">
        <v>105</v>
      </c>
      <c r="G1774" s="86">
        <v>16</v>
      </c>
      <c r="H1774" s="86">
        <v>1680</v>
      </c>
      <c r="I1774" s="86">
        <v>22584</v>
      </c>
      <c r="J1774" s="85" t="s">
        <v>4370</v>
      </c>
      <c r="K1774" s="85" t="s">
        <v>8129</v>
      </c>
      <c r="L1774" s="85" t="s">
        <v>4135</v>
      </c>
      <c r="M1774" s="85" t="s">
        <v>8170</v>
      </c>
    </row>
    <row r="1775" ht="213.75" spans="1:13">
      <c r="A1775" s="85" t="s">
        <v>8143</v>
      </c>
      <c r="B1775" s="85" t="s">
        <v>8171</v>
      </c>
      <c r="C1775" s="85" t="s">
        <v>8172</v>
      </c>
      <c r="D1775" s="85" t="s">
        <v>5423</v>
      </c>
      <c r="E1775" s="85" t="s">
        <v>8172</v>
      </c>
      <c r="F1775" s="86">
        <v>72.16</v>
      </c>
      <c r="G1775" s="86">
        <v>10</v>
      </c>
      <c r="H1775" s="86">
        <v>721.6</v>
      </c>
      <c r="I1775" s="86">
        <v>12164.41</v>
      </c>
      <c r="J1775" s="85" t="s">
        <v>2965</v>
      </c>
      <c r="K1775" s="85" t="s">
        <v>8129</v>
      </c>
      <c r="L1775" s="85" t="s">
        <v>4135</v>
      </c>
      <c r="M1775" s="85" t="s">
        <v>8173</v>
      </c>
    </row>
    <row r="1776" ht="213.75" spans="1:13">
      <c r="A1776" s="85" t="s">
        <v>8131</v>
      </c>
      <c r="B1776" s="85" t="s">
        <v>8174</v>
      </c>
      <c r="C1776" s="85" t="s">
        <v>8175</v>
      </c>
      <c r="D1776" s="85" t="s">
        <v>3041</v>
      </c>
      <c r="E1776" s="85" t="s">
        <v>5167</v>
      </c>
      <c r="F1776" s="86">
        <v>39</v>
      </c>
      <c r="G1776" s="86">
        <v>60</v>
      </c>
      <c r="H1776" s="86">
        <v>2340</v>
      </c>
      <c r="I1776" s="86">
        <v>22584</v>
      </c>
      <c r="J1776" s="85" t="s">
        <v>4370</v>
      </c>
      <c r="K1776" s="85" t="s">
        <v>8129</v>
      </c>
      <c r="L1776" s="85" t="s">
        <v>4135</v>
      </c>
      <c r="M1776" s="85" t="s">
        <v>8176</v>
      </c>
    </row>
    <row r="1777" ht="213.75" spans="1:13">
      <c r="A1777" s="85" t="s">
        <v>8131</v>
      </c>
      <c r="B1777" s="85" t="s">
        <v>7600</v>
      </c>
      <c r="C1777" s="85" t="s">
        <v>7601</v>
      </c>
      <c r="D1777" s="85" t="s">
        <v>3169</v>
      </c>
      <c r="E1777" s="85" t="s">
        <v>7602</v>
      </c>
      <c r="F1777" s="86">
        <v>15</v>
      </c>
      <c r="G1777" s="86">
        <v>400</v>
      </c>
      <c r="H1777" s="86">
        <v>6000</v>
      </c>
      <c r="I1777" s="86">
        <v>22584</v>
      </c>
      <c r="J1777" s="85" t="s">
        <v>4370</v>
      </c>
      <c r="K1777" s="85" t="s">
        <v>8129</v>
      </c>
      <c r="L1777" s="85" t="s">
        <v>4135</v>
      </c>
      <c r="M1777" s="85" t="s">
        <v>8177</v>
      </c>
    </row>
    <row r="1778" ht="213.75" spans="1:13">
      <c r="A1778" s="85" t="s">
        <v>8143</v>
      </c>
      <c r="B1778" s="85" t="s">
        <v>8178</v>
      </c>
      <c r="C1778" s="85" t="s">
        <v>8179</v>
      </c>
      <c r="D1778" s="85" t="s">
        <v>5240</v>
      </c>
      <c r="E1778" s="85" t="s">
        <v>8179</v>
      </c>
      <c r="F1778" s="86">
        <v>20.84</v>
      </c>
      <c r="G1778" s="86">
        <v>10</v>
      </c>
      <c r="H1778" s="86">
        <v>208.4</v>
      </c>
      <c r="I1778" s="86">
        <v>12164.41</v>
      </c>
      <c r="J1778" s="85" t="s">
        <v>2965</v>
      </c>
      <c r="K1778" s="85" t="s">
        <v>8129</v>
      </c>
      <c r="L1778" s="85" t="s">
        <v>4135</v>
      </c>
      <c r="M1778" s="85" t="s">
        <v>8180</v>
      </c>
    </row>
    <row r="1779" ht="213.75" spans="1:13">
      <c r="A1779" s="85" t="s">
        <v>8143</v>
      </c>
      <c r="B1779" s="85" t="s">
        <v>7022</v>
      </c>
      <c r="C1779" s="85" t="s">
        <v>7023</v>
      </c>
      <c r="D1779" s="85" t="s">
        <v>7024</v>
      </c>
      <c r="E1779" s="85" t="s">
        <v>7023</v>
      </c>
      <c r="F1779" s="86">
        <v>215.67</v>
      </c>
      <c r="G1779" s="86">
        <v>4</v>
      </c>
      <c r="H1779" s="86">
        <v>862.68</v>
      </c>
      <c r="I1779" s="86">
        <v>12164.41</v>
      </c>
      <c r="J1779" s="85" t="s">
        <v>2965</v>
      </c>
      <c r="K1779" s="85" t="s">
        <v>8129</v>
      </c>
      <c r="L1779" s="85" t="s">
        <v>4135</v>
      </c>
      <c r="M1779" s="85" t="s">
        <v>8181</v>
      </c>
    </row>
    <row r="1780" ht="213.75" spans="1:13">
      <c r="A1780" s="85" t="s">
        <v>8155</v>
      </c>
      <c r="B1780" s="85" t="s">
        <v>7802</v>
      </c>
      <c r="C1780" s="85" t="s">
        <v>7803</v>
      </c>
      <c r="D1780" s="85" t="s">
        <v>4246</v>
      </c>
      <c r="E1780" s="85" t="s">
        <v>6030</v>
      </c>
      <c r="F1780" s="86">
        <v>151</v>
      </c>
      <c r="G1780" s="86">
        <v>8</v>
      </c>
      <c r="H1780" s="86">
        <v>1208</v>
      </c>
      <c r="I1780" s="86">
        <v>5720</v>
      </c>
      <c r="J1780" s="85" t="s">
        <v>2999</v>
      </c>
      <c r="K1780" s="85" t="s">
        <v>8129</v>
      </c>
      <c r="L1780" s="85" t="s">
        <v>4135</v>
      </c>
      <c r="M1780" s="85" t="s">
        <v>8182</v>
      </c>
    </row>
    <row r="1781" ht="213.75" spans="1:13">
      <c r="A1781" s="85" t="s">
        <v>8143</v>
      </c>
      <c r="B1781" s="85" t="s">
        <v>8183</v>
      </c>
      <c r="C1781" s="85" t="s">
        <v>8184</v>
      </c>
      <c r="D1781" s="85" t="s">
        <v>8185</v>
      </c>
      <c r="E1781" s="85" t="s">
        <v>8184</v>
      </c>
      <c r="F1781" s="86">
        <v>15.38</v>
      </c>
      <c r="G1781" s="86">
        <v>2</v>
      </c>
      <c r="H1781" s="86">
        <v>30.76</v>
      </c>
      <c r="I1781" s="86">
        <v>12164.41</v>
      </c>
      <c r="J1781" s="85" t="s">
        <v>2965</v>
      </c>
      <c r="K1781" s="85" t="s">
        <v>8129</v>
      </c>
      <c r="L1781" s="85" t="s">
        <v>4135</v>
      </c>
      <c r="M1781" s="85" t="s">
        <v>8186</v>
      </c>
    </row>
    <row r="1782" ht="213.75" spans="1:13">
      <c r="A1782" s="85" t="s">
        <v>8143</v>
      </c>
      <c r="B1782" s="85" t="s">
        <v>7034</v>
      </c>
      <c r="C1782" s="85" t="s">
        <v>7035</v>
      </c>
      <c r="D1782" s="85" t="s">
        <v>3434</v>
      </c>
      <c r="E1782" s="85" t="s">
        <v>7035</v>
      </c>
      <c r="F1782" s="86">
        <v>14.08</v>
      </c>
      <c r="G1782" s="86">
        <v>20</v>
      </c>
      <c r="H1782" s="86">
        <v>281.6</v>
      </c>
      <c r="I1782" s="86">
        <v>12164.41</v>
      </c>
      <c r="J1782" s="85" t="s">
        <v>2965</v>
      </c>
      <c r="K1782" s="85" t="s">
        <v>8129</v>
      </c>
      <c r="L1782" s="85" t="s">
        <v>4135</v>
      </c>
      <c r="M1782" s="85" t="s">
        <v>8187</v>
      </c>
    </row>
    <row r="1783" ht="213.75" spans="1:13">
      <c r="A1783" s="85" t="s">
        <v>8143</v>
      </c>
      <c r="B1783" s="85" t="s">
        <v>7038</v>
      </c>
      <c r="C1783" s="85" t="s">
        <v>7039</v>
      </c>
      <c r="D1783" s="85" t="s">
        <v>7024</v>
      </c>
      <c r="E1783" s="85" t="s">
        <v>7039</v>
      </c>
      <c r="F1783" s="86">
        <v>215.67</v>
      </c>
      <c r="G1783" s="86">
        <v>4</v>
      </c>
      <c r="H1783" s="86">
        <v>862.68</v>
      </c>
      <c r="I1783" s="86">
        <v>12164.41</v>
      </c>
      <c r="J1783" s="85" t="s">
        <v>2965</v>
      </c>
      <c r="K1783" s="85" t="s">
        <v>8129</v>
      </c>
      <c r="L1783" s="85" t="s">
        <v>4135</v>
      </c>
      <c r="M1783" s="85" t="s">
        <v>8188</v>
      </c>
    </row>
    <row r="1784" ht="213.75" spans="1:13">
      <c r="A1784" s="85" t="s">
        <v>8128</v>
      </c>
      <c r="B1784" s="85" t="s">
        <v>8189</v>
      </c>
      <c r="C1784" s="85" t="s">
        <v>8190</v>
      </c>
      <c r="D1784" s="85" t="s">
        <v>3656</v>
      </c>
      <c r="E1784" s="85" t="s">
        <v>3657</v>
      </c>
      <c r="F1784" s="86">
        <v>16</v>
      </c>
      <c r="G1784" s="86">
        <v>30</v>
      </c>
      <c r="H1784" s="86">
        <v>480</v>
      </c>
      <c r="I1784" s="86">
        <v>6164.06</v>
      </c>
      <c r="J1784" s="85" t="s">
        <v>2958</v>
      </c>
      <c r="K1784" s="85" t="s">
        <v>8129</v>
      </c>
      <c r="L1784" s="85" t="s">
        <v>4135</v>
      </c>
      <c r="M1784" s="85" t="s">
        <v>8191</v>
      </c>
    </row>
    <row r="1785" ht="213.75" spans="1:13">
      <c r="A1785" s="85" t="s">
        <v>8143</v>
      </c>
      <c r="B1785" s="85" t="s">
        <v>8192</v>
      </c>
      <c r="C1785" s="85" t="s">
        <v>8193</v>
      </c>
      <c r="D1785" s="85" t="s">
        <v>8194</v>
      </c>
      <c r="E1785" s="85" t="s">
        <v>8193</v>
      </c>
      <c r="F1785" s="86">
        <v>109.91</v>
      </c>
      <c r="G1785" s="86">
        <v>9</v>
      </c>
      <c r="H1785" s="86">
        <v>989.19</v>
      </c>
      <c r="I1785" s="86">
        <v>12164.41</v>
      </c>
      <c r="J1785" s="85" t="s">
        <v>2965</v>
      </c>
      <c r="K1785" s="85" t="s">
        <v>8129</v>
      </c>
      <c r="L1785" s="85" t="s">
        <v>4135</v>
      </c>
      <c r="M1785" s="85" t="s">
        <v>8195</v>
      </c>
    </row>
    <row r="1786" ht="213.75" spans="1:13">
      <c r="A1786" s="85" t="s">
        <v>8131</v>
      </c>
      <c r="B1786" s="85" t="s">
        <v>5222</v>
      </c>
      <c r="C1786" s="85" t="s">
        <v>5223</v>
      </c>
      <c r="D1786" s="85" t="s">
        <v>4848</v>
      </c>
      <c r="E1786" s="85" t="s">
        <v>4849</v>
      </c>
      <c r="F1786" s="86">
        <v>1</v>
      </c>
      <c r="G1786" s="86">
        <v>30</v>
      </c>
      <c r="H1786" s="86">
        <v>30</v>
      </c>
      <c r="I1786" s="86">
        <v>22584</v>
      </c>
      <c r="J1786" s="85" t="s">
        <v>4370</v>
      </c>
      <c r="K1786" s="85" t="s">
        <v>8129</v>
      </c>
      <c r="L1786" s="85" t="s">
        <v>4135</v>
      </c>
      <c r="M1786" s="85" t="s">
        <v>8196</v>
      </c>
    </row>
    <row r="1787" ht="213.75" spans="1:13">
      <c r="A1787" s="85" t="s">
        <v>8131</v>
      </c>
      <c r="B1787" s="85" t="s">
        <v>8197</v>
      </c>
      <c r="C1787" s="85" t="s">
        <v>8198</v>
      </c>
      <c r="D1787" s="85" t="s">
        <v>4195</v>
      </c>
      <c r="E1787" s="85" t="s">
        <v>4369</v>
      </c>
      <c r="F1787" s="86">
        <v>27</v>
      </c>
      <c r="G1787" s="86">
        <v>50</v>
      </c>
      <c r="H1787" s="86">
        <v>1350</v>
      </c>
      <c r="I1787" s="86">
        <v>22584</v>
      </c>
      <c r="J1787" s="85" t="s">
        <v>4370</v>
      </c>
      <c r="K1787" s="85" t="s">
        <v>8129</v>
      </c>
      <c r="L1787" s="85" t="s">
        <v>4135</v>
      </c>
      <c r="M1787" s="85" t="s">
        <v>8199</v>
      </c>
    </row>
    <row r="1788" ht="213.75" spans="1:13">
      <c r="A1788" s="85" t="s">
        <v>8143</v>
      </c>
      <c r="B1788" s="85" t="s">
        <v>8200</v>
      </c>
      <c r="C1788" s="85" t="s">
        <v>8201</v>
      </c>
      <c r="D1788" s="85" t="s">
        <v>3251</v>
      </c>
      <c r="E1788" s="85" t="s">
        <v>8201</v>
      </c>
      <c r="F1788" s="86">
        <v>6.8</v>
      </c>
      <c r="G1788" s="86">
        <v>10</v>
      </c>
      <c r="H1788" s="86">
        <v>68</v>
      </c>
      <c r="I1788" s="86">
        <v>12164.41</v>
      </c>
      <c r="J1788" s="85" t="s">
        <v>2965</v>
      </c>
      <c r="K1788" s="85" t="s">
        <v>8129</v>
      </c>
      <c r="L1788" s="85" t="s">
        <v>4135</v>
      </c>
      <c r="M1788" s="85" t="s">
        <v>8202</v>
      </c>
    </row>
    <row r="1789" ht="213.75" spans="1:13">
      <c r="A1789" s="85" t="s">
        <v>8155</v>
      </c>
      <c r="B1789" s="85" t="s">
        <v>8203</v>
      </c>
      <c r="C1789" s="85" t="s">
        <v>8204</v>
      </c>
      <c r="D1789" s="85" t="s">
        <v>5490</v>
      </c>
      <c r="E1789" s="85" t="s">
        <v>5491</v>
      </c>
      <c r="F1789" s="86">
        <v>19</v>
      </c>
      <c r="G1789" s="86">
        <v>48</v>
      </c>
      <c r="H1789" s="86">
        <v>912</v>
      </c>
      <c r="I1789" s="86">
        <v>5720</v>
      </c>
      <c r="J1789" s="85" t="s">
        <v>2999</v>
      </c>
      <c r="K1789" s="85" t="s">
        <v>8129</v>
      </c>
      <c r="L1789" s="85" t="s">
        <v>4135</v>
      </c>
      <c r="M1789" s="85" t="s">
        <v>8205</v>
      </c>
    </row>
    <row r="1790" ht="213.75" spans="1:13">
      <c r="A1790" s="85" t="s">
        <v>8143</v>
      </c>
      <c r="B1790" s="85" t="s">
        <v>8206</v>
      </c>
      <c r="C1790" s="85" t="s">
        <v>8207</v>
      </c>
      <c r="D1790" s="85" t="s">
        <v>2973</v>
      </c>
      <c r="E1790" s="85" t="s">
        <v>8207</v>
      </c>
      <c r="F1790" s="86">
        <v>18.11</v>
      </c>
      <c r="G1790" s="86">
        <v>10</v>
      </c>
      <c r="H1790" s="86">
        <v>181.1</v>
      </c>
      <c r="I1790" s="86">
        <v>12164.41</v>
      </c>
      <c r="J1790" s="85" t="s">
        <v>2965</v>
      </c>
      <c r="K1790" s="85" t="s">
        <v>8129</v>
      </c>
      <c r="L1790" s="85" t="s">
        <v>4135</v>
      </c>
      <c r="M1790" s="85" t="s">
        <v>8208</v>
      </c>
    </row>
    <row r="1791" ht="213.75" spans="1:13">
      <c r="A1791" s="85" t="s">
        <v>8143</v>
      </c>
      <c r="B1791" s="85" t="s">
        <v>8209</v>
      </c>
      <c r="C1791" s="85" t="s">
        <v>8210</v>
      </c>
      <c r="D1791" s="85" t="s">
        <v>8194</v>
      </c>
      <c r="E1791" s="85" t="s">
        <v>8210</v>
      </c>
      <c r="F1791" s="86">
        <v>109.91</v>
      </c>
      <c r="G1791" s="86">
        <v>8</v>
      </c>
      <c r="H1791" s="86">
        <v>879.28</v>
      </c>
      <c r="I1791" s="86">
        <v>12164.41</v>
      </c>
      <c r="J1791" s="85" t="s">
        <v>2965</v>
      </c>
      <c r="K1791" s="85" t="s">
        <v>8129</v>
      </c>
      <c r="L1791" s="85" t="s">
        <v>4135</v>
      </c>
      <c r="M1791" s="85" t="s">
        <v>8211</v>
      </c>
    </row>
    <row r="1792" ht="213.75" spans="1:13">
      <c r="A1792" s="85" t="s">
        <v>8143</v>
      </c>
      <c r="B1792" s="85" t="s">
        <v>5550</v>
      </c>
      <c r="C1792" s="85" t="s">
        <v>5551</v>
      </c>
      <c r="D1792" s="85" t="s">
        <v>5552</v>
      </c>
      <c r="E1792" s="85" t="s">
        <v>5551</v>
      </c>
      <c r="F1792" s="86">
        <v>77.26</v>
      </c>
      <c r="G1792" s="86">
        <v>1</v>
      </c>
      <c r="H1792" s="86">
        <v>77.26</v>
      </c>
      <c r="I1792" s="86">
        <v>12164.41</v>
      </c>
      <c r="J1792" s="85" t="s">
        <v>2965</v>
      </c>
      <c r="K1792" s="85" t="s">
        <v>8129</v>
      </c>
      <c r="L1792" s="85" t="s">
        <v>4135</v>
      </c>
      <c r="M1792" s="85" t="s">
        <v>8212</v>
      </c>
    </row>
    <row r="1793" ht="213.75" spans="1:13">
      <c r="A1793" s="85" t="s">
        <v>8143</v>
      </c>
      <c r="B1793" s="85" t="s">
        <v>3228</v>
      </c>
      <c r="C1793" s="85" t="s">
        <v>3229</v>
      </c>
      <c r="D1793" s="85" t="s">
        <v>3230</v>
      </c>
      <c r="E1793" s="85" t="s">
        <v>3229</v>
      </c>
      <c r="F1793" s="86">
        <v>6.54</v>
      </c>
      <c r="G1793" s="86">
        <v>30</v>
      </c>
      <c r="H1793" s="86">
        <v>196.2</v>
      </c>
      <c r="I1793" s="86">
        <v>12164.41</v>
      </c>
      <c r="J1793" s="85" t="s">
        <v>2965</v>
      </c>
      <c r="K1793" s="85" t="s">
        <v>8129</v>
      </c>
      <c r="L1793" s="85" t="s">
        <v>4135</v>
      </c>
      <c r="M1793" s="85" t="s">
        <v>8213</v>
      </c>
    </row>
    <row r="1794" ht="213.75" spans="1:13">
      <c r="A1794" s="85" t="s">
        <v>8128</v>
      </c>
      <c r="B1794" s="85" t="s">
        <v>8214</v>
      </c>
      <c r="C1794" s="85" t="s">
        <v>8215</v>
      </c>
      <c r="D1794" s="85" t="s">
        <v>8216</v>
      </c>
      <c r="E1794" s="85" t="s">
        <v>8217</v>
      </c>
      <c r="F1794" s="86">
        <v>410.5</v>
      </c>
      <c r="G1794" s="86">
        <v>1</v>
      </c>
      <c r="H1794" s="86">
        <v>410.5</v>
      </c>
      <c r="I1794" s="86">
        <v>6164.06</v>
      </c>
      <c r="J1794" s="85" t="s">
        <v>2958</v>
      </c>
      <c r="K1794" s="85" t="s">
        <v>8129</v>
      </c>
      <c r="L1794" s="85" t="s">
        <v>4135</v>
      </c>
      <c r="M1794" s="85" t="s">
        <v>8218</v>
      </c>
    </row>
    <row r="1795" ht="213.75" spans="1:13">
      <c r="A1795" s="85" t="s">
        <v>8131</v>
      </c>
      <c r="B1795" s="85" t="s">
        <v>8219</v>
      </c>
      <c r="C1795" s="85" t="s">
        <v>8220</v>
      </c>
      <c r="D1795" s="85" t="s">
        <v>3041</v>
      </c>
      <c r="E1795" s="85" t="s">
        <v>3158</v>
      </c>
      <c r="F1795" s="86">
        <v>132</v>
      </c>
      <c r="G1795" s="86">
        <v>4</v>
      </c>
      <c r="H1795" s="86">
        <v>528</v>
      </c>
      <c r="I1795" s="86">
        <v>22584</v>
      </c>
      <c r="J1795" s="85" t="s">
        <v>4370</v>
      </c>
      <c r="K1795" s="85" t="s">
        <v>8129</v>
      </c>
      <c r="L1795" s="85" t="s">
        <v>4135</v>
      </c>
      <c r="M1795" s="85" t="s">
        <v>8221</v>
      </c>
    </row>
    <row r="1796" ht="213.75" spans="1:13">
      <c r="A1796" s="85" t="s">
        <v>8143</v>
      </c>
      <c r="B1796" s="85" t="s">
        <v>8222</v>
      </c>
      <c r="C1796" s="85" t="s">
        <v>8223</v>
      </c>
      <c r="D1796" s="85" t="s">
        <v>3386</v>
      </c>
      <c r="E1796" s="85" t="s">
        <v>8223</v>
      </c>
      <c r="F1796" s="86">
        <v>1560.62</v>
      </c>
      <c r="G1796" s="86">
        <v>1</v>
      </c>
      <c r="H1796" s="86">
        <v>1560.62</v>
      </c>
      <c r="I1796" s="86">
        <v>12164.41</v>
      </c>
      <c r="J1796" s="85" t="s">
        <v>2965</v>
      </c>
      <c r="K1796" s="85" t="s">
        <v>8129</v>
      </c>
      <c r="L1796" s="85" t="s">
        <v>4135</v>
      </c>
      <c r="M1796" s="85" t="s">
        <v>8224</v>
      </c>
    </row>
    <row r="1797" ht="213.75" spans="1:13">
      <c r="A1797" s="85" t="s">
        <v>8143</v>
      </c>
      <c r="B1797" s="85" t="s">
        <v>8225</v>
      </c>
      <c r="C1797" s="85" t="s">
        <v>8226</v>
      </c>
      <c r="D1797" s="85" t="s">
        <v>8194</v>
      </c>
      <c r="E1797" s="85" t="s">
        <v>8226</v>
      </c>
      <c r="F1797" s="86">
        <v>109.91</v>
      </c>
      <c r="G1797" s="86">
        <v>1</v>
      </c>
      <c r="H1797" s="86">
        <v>109.91</v>
      </c>
      <c r="I1797" s="86">
        <v>12164.41</v>
      </c>
      <c r="J1797" s="85" t="s">
        <v>2965</v>
      </c>
      <c r="K1797" s="85" t="s">
        <v>8129</v>
      </c>
      <c r="L1797" s="85" t="s">
        <v>4135</v>
      </c>
      <c r="M1797" s="85" t="s">
        <v>8227</v>
      </c>
    </row>
    <row r="1798" ht="213.75" spans="1:13">
      <c r="A1798" s="85" t="s">
        <v>8155</v>
      </c>
      <c r="B1798" s="85" t="s">
        <v>8228</v>
      </c>
      <c r="C1798" s="85" t="s">
        <v>8229</v>
      </c>
      <c r="D1798" s="85" t="s">
        <v>2997</v>
      </c>
      <c r="E1798" s="85" t="s">
        <v>2998</v>
      </c>
      <c r="F1798" s="86">
        <v>15</v>
      </c>
      <c r="G1798" s="86">
        <v>60</v>
      </c>
      <c r="H1798" s="86">
        <v>900</v>
      </c>
      <c r="I1798" s="86">
        <v>5720</v>
      </c>
      <c r="J1798" s="85" t="s">
        <v>2999</v>
      </c>
      <c r="K1798" s="85" t="s">
        <v>8129</v>
      </c>
      <c r="L1798" s="85" t="s">
        <v>4135</v>
      </c>
      <c r="M1798" s="85" t="s">
        <v>8230</v>
      </c>
    </row>
    <row r="1799" ht="213.75" spans="1:13">
      <c r="A1799" s="85" t="s">
        <v>8128</v>
      </c>
      <c r="B1799" s="85" t="s">
        <v>8231</v>
      </c>
      <c r="C1799" s="85" t="s">
        <v>8232</v>
      </c>
      <c r="D1799" s="85" t="s">
        <v>4596</v>
      </c>
      <c r="E1799" s="85" t="s">
        <v>4961</v>
      </c>
      <c r="F1799" s="86">
        <v>1.49</v>
      </c>
      <c r="G1799" s="86">
        <v>500</v>
      </c>
      <c r="H1799" s="86">
        <v>745</v>
      </c>
      <c r="I1799" s="86">
        <v>6164.06</v>
      </c>
      <c r="J1799" s="85" t="s">
        <v>2958</v>
      </c>
      <c r="K1799" s="85" t="s">
        <v>8129</v>
      </c>
      <c r="L1799" s="85" t="s">
        <v>4135</v>
      </c>
      <c r="M1799" s="85" t="s">
        <v>8233</v>
      </c>
    </row>
    <row r="1800" ht="213.75" spans="1:13">
      <c r="A1800" s="85" t="s">
        <v>8158</v>
      </c>
      <c r="B1800" s="85" t="s">
        <v>3500</v>
      </c>
      <c r="C1800" s="85" t="s">
        <v>3501</v>
      </c>
      <c r="D1800" s="85" t="s">
        <v>2992</v>
      </c>
      <c r="E1800" s="85" t="s">
        <v>1815</v>
      </c>
      <c r="F1800" s="86">
        <v>17.7</v>
      </c>
      <c r="G1800" s="86">
        <v>600</v>
      </c>
      <c r="H1800" s="86">
        <v>10620</v>
      </c>
      <c r="I1800" s="86">
        <v>53770</v>
      </c>
      <c r="J1800" s="85" t="s">
        <v>2958</v>
      </c>
      <c r="K1800" s="85" t="s">
        <v>8129</v>
      </c>
      <c r="L1800" s="85" t="s">
        <v>4135</v>
      </c>
      <c r="M1800" s="85" t="s">
        <v>8234</v>
      </c>
    </row>
    <row r="1801" ht="213.75" spans="1:13">
      <c r="A1801" s="85" t="s">
        <v>8131</v>
      </c>
      <c r="B1801" s="85" t="s">
        <v>4846</v>
      </c>
      <c r="C1801" s="85" t="s">
        <v>4847</v>
      </c>
      <c r="D1801" s="85" t="s">
        <v>4848</v>
      </c>
      <c r="E1801" s="85" t="s">
        <v>4849</v>
      </c>
      <c r="F1801" s="86">
        <v>3</v>
      </c>
      <c r="G1801" s="86">
        <v>100</v>
      </c>
      <c r="H1801" s="86">
        <v>300</v>
      </c>
      <c r="I1801" s="86">
        <v>22584</v>
      </c>
      <c r="J1801" s="85" t="s">
        <v>4370</v>
      </c>
      <c r="K1801" s="85" t="s">
        <v>8129</v>
      </c>
      <c r="L1801" s="85" t="s">
        <v>4135</v>
      </c>
      <c r="M1801" s="85" t="s">
        <v>8235</v>
      </c>
    </row>
    <row r="1802" ht="213.75" spans="1:13">
      <c r="A1802" s="85" t="s">
        <v>8143</v>
      </c>
      <c r="B1802" s="85" t="s">
        <v>8236</v>
      </c>
      <c r="C1802" s="85" t="s">
        <v>8237</v>
      </c>
      <c r="D1802" s="85" t="s">
        <v>3367</v>
      </c>
      <c r="E1802" s="85" t="s">
        <v>8237</v>
      </c>
      <c r="F1802" s="86">
        <v>5.27</v>
      </c>
      <c r="G1802" s="86">
        <v>10</v>
      </c>
      <c r="H1802" s="86">
        <v>52.7</v>
      </c>
      <c r="I1802" s="86">
        <v>12164.41</v>
      </c>
      <c r="J1802" s="85" t="s">
        <v>2965</v>
      </c>
      <c r="K1802" s="85" t="s">
        <v>8129</v>
      </c>
      <c r="L1802" s="85" t="s">
        <v>4135</v>
      </c>
      <c r="M1802" s="85" t="s">
        <v>8238</v>
      </c>
    </row>
    <row r="1803" ht="213.75" spans="1:13">
      <c r="A1803" s="85" t="s">
        <v>8143</v>
      </c>
      <c r="B1803" s="85" t="s">
        <v>8239</v>
      </c>
      <c r="C1803" s="85" t="s">
        <v>8240</v>
      </c>
      <c r="D1803" s="85" t="s">
        <v>8194</v>
      </c>
      <c r="E1803" s="85" t="s">
        <v>8240</v>
      </c>
      <c r="F1803" s="86">
        <v>109.91</v>
      </c>
      <c r="G1803" s="86">
        <v>4</v>
      </c>
      <c r="H1803" s="86">
        <v>439.64</v>
      </c>
      <c r="I1803" s="86">
        <v>12164.41</v>
      </c>
      <c r="J1803" s="85" t="s">
        <v>2965</v>
      </c>
      <c r="K1803" s="85" t="s">
        <v>8129</v>
      </c>
      <c r="L1803" s="85" t="s">
        <v>4135</v>
      </c>
      <c r="M1803" s="85" t="s">
        <v>8241</v>
      </c>
    </row>
    <row r="1804" ht="213.75" spans="1:13">
      <c r="A1804" s="85" t="s">
        <v>8143</v>
      </c>
      <c r="B1804" s="85" t="s">
        <v>8242</v>
      </c>
      <c r="C1804" s="85" t="s">
        <v>8243</v>
      </c>
      <c r="D1804" s="85" t="s">
        <v>3367</v>
      </c>
      <c r="E1804" s="85" t="s">
        <v>8243</v>
      </c>
      <c r="F1804" s="86">
        <v>12.37</v>
      </c>
      <c r="G1804" s="86">
        <v>15</v>
      </c>
      <c r="H1804" s="86">
        <v>185.55</v>
      </c>
      <c r="I1804" s="86">
        <v>12164.41</v>
      </c>
      <c r="J1804" s="85" t="s">
        <v>2965</v>
      </c>
      <c r="K1804" s="85" t="s">
        <v>8129</v>
      </c>
      <c r="L1804" s="85" t="s">
        <v>4135</v>
      </c>
      <c r="M1804" s="85" t="s">
        <v>8244</v>
      </c>
    </row>
    <row r="1805" ht="213.75" spans="1:13">
      <c r="A1805" s="85" t="s">
        <v>8245</v>
      </c>
      <c r="B1805" s="85" t="s">
        <v>3788</v>
      </c>
      <c r="C1805" s="85" t="s">
        <v>3789</v>
      </c>
      <c r="D1805" s="85" t="s">
        <v>3189</v>
      </c>
      <c r="E1805" s="85" t="s">
        <v>3790</v>
      </c>
      <c r="F1805" s="86">
        <v>100</v>
      </c>
      <c r="G1805" s="86">
        <v>46</v>
      </c>
      <c r="H1805" s="86">
        <v>4600</v>
      </c>
      <c r="I1805" s="86">
        <v>4600</v>
      </c>
      <c r="J1805" s="85" t="s">
        <v>7934</v>
      </c>
      <c r="K1805" s="85" t="s">
        <v>8129</v>
      </c>
      <c r="L1805" s="85" t="s">
        <v>4135</v>
      </c>
      <c r="M1805" s="85" t="s">
        <v>8246</v>
      </c>
    </row>
    <row r="1806" ht="213.75" spans="1:13">
      <c r="A1806" s="85" t="s">
        <v>8143</v>
      </c>
      <c r="B1806" s="85" t="s">
        <v>3942</v>
      </c>
      <c r="C1806" s="85" t="s">
        <v>3943</v>
      </c>
      <c r="D1806" s="85" t="s">
        <v>3944</v>
      </c>
      <c r="E1806" s="85" t="s">
        <v>3943</v>
      </c>
      <c r="F1806" s="86">
        <v>55.06</v>
      </c>
      <c r="G1806" s="86">
        <v>5</v>
      </c>
      <c r="H1806" s="86">
        <v>275.3</v>
      </c>
      <c r="I1806" s="86">
        <v>12164.41</v>
      </c>
      <c r="J1806" s="85" t="s">
        <v>2965</v>
      </c>
      <c r="K1806" s="85" t="s">
        <v>8129</v>
      </c>
      <c r="L1806" s="85" t="s">
        <v>4135</v>
      </c>
      <c r="M1806" s="85" t="s">
        <v>8247</v>
      </c>
    </row>
    <row r="1807" ht="213.75" spans="1:13">
      <c r="A1807" s="85" t="s">
        <v>8143</v>
      </c>
      <c r="B1807" s="85" t="s">
        <v>8248</v>
      </c>
      <c r="C1807" s="85" t="s">
        <v>8249</v>
      </c>
      <c r="D1807" s="85" t="s">
        <v>8194</v>
      </c>
      <c r="E1807" s="85" t="s">
        <v>8249</v>
      </c>
      <c r="F1807" s="86">
        <v>109.91</v>
      </c>
      <c r="G1807" s="86">
        <v>1</v>
      </c>
      <c r="H1807" s="86">
        <v>109.91</v>
      </c>
      <c r="I1807" s="86">
        <v>12164.41</v>
      </c>
      <c r="J1807" s="85" t="s">
        <v>2965</v>
      </c>
      <c r="K1807" s="85" t="s">
        <v>8129</v>
      </c>
      <c r="L1807" s="85" t="s">
        <v>4135</v>
      </c>
      <c r="M1807" s="85" t="s">
        <v>8250</v>
      </c>
    </row>
    <row r="1808" ht="213.75" spans="1:13">
      <c r="A1808" s="85" t="s">
        <v>8143</v>
      </c>
      <c r="B1808" s="85" t="s">
        <v>5782</v>
      </c>
      <c r="C1808" s="85" t="s">
        <v>5783</v>
      </c>
      <c r="D1808" s="85" t="s">
        <v>3189</v>
      </c>
      <c r="E1808" s="85" t="s">
        <v>5783</v>
      </c>
      <c r="F1808" s="86">
        <v>42.25</v>
      </c>
      <c r="G1808" s="86">
        <v>5</v>
      </c>
      <c r="H1808" s="86">
        <v>211.25</v>
      </c>
      <c r="I1808" s="86">
        <v>12164.41</v>
      </c>
      <c r="J1808" s="85" t="s">
        <v>2965</v>
      </c>
      <c r="K1808" s="85" t="s">
        <v>8129</v>
      </c>
      <c r="L1808" s="85" t="s">
        <v>4135</v>
      </c>
      <c r="M1808" s="85" t="s">
        <v>8251</v>
      </c>
    </row>
    <row r="1809" ht="213.75" spans="1:13">
      <c r="A1809" s="85" t="s">
        <v>8143</v>
      </c>
      <c r="B1809" s="85" t="s">
        <v>3236</v>
      </c>
      <c r="C1809" s="85" t="s">
        <v>3237</v>
      </c>
      <c r="D1809" s="85" t="s">
        <v>3183</v>
      </c>
      <c r="E1809" s="85" t="s">
        <v>3237</v>
      </c>
      <c r="F1809" s="86">
        <v>57.72</v>
      </c>
      <c r="G1809" s="86">
        <v>10</v>
      </c>
      <c r="H1809" s="86">
        <v>577.2</v>
      </c>
      <c r="I1809" s="86">
        <v>12164.41</v>
      </c>
      <c r="J1809" s="85" t="s">
        <v>2965</v>
      </c>
      <c r="K1809" s="85" t="s">
        <v>8129</v>
      </c>
      <c r="L1809" s="85" t="s">
        <v>4135</v>
      </c>
      <c r="M1809" s="85" t="s">
        <v>8252</v>
      </c>
    </row>
    <row r="1810" ht="213.75" spans="1:13">
      <c r="A1810" s="85" t="s">
        <v>8131</v>
      </c>
      <c r="B1810" s="85" t="s">
        <v>8253</v>
      </c>
      <c r="C1810" s="85" t="s">
        <v>8254</v>
      </c>
      <c r="D1810" s="85" t="s">
        <v>3041</v>
      </c>
      <c r="E1810" s="85" t="s">
        <v>8255</v>
      </c>
      <c r="F1810" s="86">
        <v>1800</v>
      </c>
      <c r="G1810" s="86">
        <v>1</v>
      </c>
      <c r="H1810" s="86">
        <v>1800</v>
      </c>
      <c r="I1810" s="86">
        <v>22584</v>
      </c>
      <c r="J1810" s="85" t="s">
        <v>4370</v>
      </c>
      <c r="K1810" s="85" t="s">
        <v>8129</v>
      </c>
      <c r="L1810" s="85" t="s">
        <v>4135</v>
      </c>
      <c r="M1810" s="85" t="s">
        <v>8256</v>
      </c>
    </row>
    <row r="1811" ht="213.75" spans="1:13">
      <c r="A1811" s="85" t="s">
        <v>8131</v>
      </c>
      <c r="B1811" s="85" t="s">
        <v>4373</v>
      </c>
      <c r="C1811" s="85" t="s">
        <v>4374</v>
      </c>
      <c r="D1811" s="85" t="s">
        <v>3041</v>
      </c>
      <c r="E1811" s="85" t="s">
        <v>3042</v>
      </c>
      <c r="F1811" s="86">
        <v>7</v>
      </c>
      <c r="G1811" s="86">
        <v>30</v>
      </c>
      <c r="H1811" s="86">
        <v>210</v>
      </c>
      <c r="I1811" s="86">
        <v>22584</v>
      </c>
      <c r="J1811" s="85" t="s">
        <v>4370</v>
      </c>
      <c r="K1811" s="85" t="s">
        <v>8129</v>
      </c>
      <c r="L1811" s="85" t="s">
        <v>4135</v>
      </c>
      <c r="M1811" s="85" t="s">
        <v>8257</v>
      </c>
    </row>
    <row r="1812" ht="213.75" spans="1:13">
      <c r="A1812" s="85" t="s">
        <v>8143</v>
      </c>
      <c r="B1812" s="85" t="s">
        <v>8258</v>
      </c>
      <c r="C1812" s="85" t="s">
        <v>8259</v>
      </c>
      <c r="D1812" s="85" t="s">
        <v>5879</v>
      </c>
      <c r="E1812" s="85" t="s">
        <v>8259</v>
      </c>
      <c r="F1812" s="86">
        <v>208.67</v>
      </c>
      <c r="G1812" s="86">
        <v>4</v>
      </c>
      <c r="H1812" s="86">
        <v>834.68</v>
      </c>
      <c r="I1812" s="86">
        <v>12164.41</v>
      </c>
      <c r="J1812" s="85" t="s">
        <v>2965</v>
      </c>
      <c r="K1812" s="85" t="s">
        <v>8129</v>
      </c>
      <c r="L1812" s="85" t="s">
        <v>4135</v>
      </c>
      <c r="M1812" s="85" t="s">
        <v>8260</v>
      </c>
    </row>
    <row r="1813" ht="213.75" spans="1:13">
      <c r="A1813" s="85" t="s">
        <v>8143</v>
      </c>
      <c r="B1813" s="85" t="s">
        <v>8261</v>
      </c>
      <c r="C1813" s="85" t="s">
        <v>8262</v>
      </c>
      <c r="D1813" s="85" t="s">
        <v>3367</v>
      </c>
      <c r="E1813" s="85" t="s">
        <v>8262</v>
      </c>
      <c r="F1813" s="86">
        <v>40.39</v>
      </c>
      <c r="G1813" s="86">
        <v>5</v>
      </c>
      <c r="H1813" s="86">
        <v>201.95</v>
      </c>
      <c r="I1813" s="86">
        <v>12164.41</v>
      </c>
      <c r="J1813" s="85" t="s">
        <v>2965</v>
      </c>
      <c r="K1813" s="85" t="s">
        <v>8129</v>
      </c>
      <c r="L1813" s="85" t="s">
        <v>4135</v>
      </c>
      <c r="M1813" s="85" t="s">
        <v>8263</v>
      </c>
    </row>
    <row r="1814" ht="242.25" spans="1:13">
      <c r="A1814" s="85" t="s">
        <v>8128</v>
      </c>
      <c r="B1814" s="85" t="s">
        <v>2985</v>
      </c>
      <c r="C1814" s="85" t="s">
        <v>2986</v>
      </c>
      <c r="D1814" s="85" t="s">
        <v>2987</v>
      </c>
      <c r="E1814" s="85" t="s">
        <v>2988</v>
      </c>
      <c r="F1814" s="86">
        <v>4.8</v>
      </c>
      <c r="G1814" s="86">
        <v>200</v>
      </c>
      <c r="H1814" s="86">
        <v>960</v>
      </c>
      <c r="I1814" s="86">
        <v>6164.06</v>
      </c>
      <c r="J1814" s="85" t="s">
        <v>2958</v>
      </c>
      <c r="K1814" s="85" t="s">
        <v>8129</v>
      </c>
      <c r="L1814" s="85" t="s">
        <v>4135</v>
      </c>
      <c r="M1814" s="85" t="s">
        <v>8264</v>
      </c>
    </row>
    <row r="1815" ht="213.75" spans="1:13">
      <c r="A1815" s="85" t="s">
        <v>8265</v>
      </c>
      <c r="B1815" s="85" t="s">
        <v>8266</v>
      </c>
      <c r="C1815" s="85" t="s">
        <v>8267</v>
      </c>
      <c r="D1815" s="85" t="s">
        <v>3189</v>
      </c>
      <c r="E1815" s="85" t="s">
        <v>6337</v>
      </c>
      <c r="F1815" s="86">
        <v>27</v>
      </c>
      <c r="G1815" s="86">
        <v>400</v>
      </c>
      <c r="H1815" s="86">
        <v>10800</v>
      </c>
      <c r="I1815" s="86">
        <v>10800</v>
      </c>
      <c r="J1815" s="85" t="s">
        <v>8268</v>
      </c>
      <c r="K1815" s="85" t="s">
        <v>8129</v>
      </c>
      <c r="L1815" s="85" t="s">
        <v>4135</v>
      </c>
      <c r="M1815" s="85" t="s">
        <v>8269</v>
      </c>
    </row>
    <row r="1816" ht="213.75" spans="1:13">
      <c r="A1816" s="85" t="s">
        <v>8128</v>
      </c>
      <c r="B1816" s="85" t="s">
        <v>3207</v>
      </c>
      <c r="C1816" s="85" t="s">
        <v>3208</v>
      </c>
      <c r="D1816" s="85" t="s">
        <v>3201</v>
      </c>
      <c r="E1816" s="85" t="s">
        <v>3209</v>
      </c>
      <c r="F1816" s="86">
        <v>154.84</v>
      </c>
      <c r="G1816" s="86">
        <v>4</v>
      </c>
      <c r="H1816" s="86">
        <v>619.36</v>
      </c>
      <c r="I1816" s="86">
        <v>6164.06</v>
      </c>
      <c r="J1816" s="85" t="s">
        <v>2958</v>
      </c>
      <c r="K1816" s="85" t="s">
        <v>8129</v>
      </c>
      <c r="L1816" s="85" t="s">
        <v>4135</v>
      </c>
      <c r="M1816" s="85" t="s">
        <v>8270</v>
      </c>
    </row>
    <row r="1817" ht="213.75" spans="1:13">
      <c r="A1817" s="85" t="s">
        <v>8143</v>
      </c>
      <c r="B1817" s="85" t="s">
        <v>8271</v>
      </c>
      <c r="C1817" s="85" t="s">
        <v>8272</v>
      </c>
      <c r="D1817" s="85" t="s">
        <v>3367</v>
      </c>
      <c r="E1817" s="85" t="s">
        <v>8272</v>
      </c>
      <c r="F1817" s="86">
        <v>1</v>
      </c>
      <c r="G1817" s="86">
        <v>50</v>
      </c>
      <c r="H1817" s="86">
        <v>50</v>
      </c>
      <c r="I1817" s="86">
        <v>12164.41</v>
      </c>
      <c r="J1817" s="85" t="s">
        <v>2965</v>
      </c>
      <c r="K1817" s="85" t="s">
        <v>8129</v>
      </c>
      <c r="L1817" s="85" t="s">
        <v>4135</v>
      </c>
      <c r="M1817" s="85" t="s">
        <v>8273</v>
      </c>
    </row>
    <row r="1818" ht="213.75" spans="1:13">
      <c r="A1818" s="85" t="s">
        <v>8143</v>
      </c>
      <c r="B1818" s="85" t="s">
        <v>8274</v>
      </c>
      <c r="C1818" s="85" t="s">
        <v>8275</v>
      </c>
      <c r="D1818" s="85" t="s">
        <v>3054</v>
      </c>
      <c r="E1818" s="85" t="s">
        <v>8275</v>
      </c>
      <c r="F1818" s="86">
        <v>56.67</v>
      </c>
      <c r="G1818" s="86">
        <v>6</v>
      </c>
      <c r="H1818" s="86">
        <v>340.02</v>
      </c>
      <c r="I1818" s="86">
        <v>12164.41</v>
      </c>
      <c r="J1818" s="85" t="s">
        <v>2965</v>
      </c>
      <c r="K1818" s="85" t="s">
        <v>8129</v>
      </c>
      <c r="L1818" s="85" t="s">
        <v>4135</v>
      </c>
      <c r="M1818" s="85" t="s">
        <v>8276</v>
      </c>
    </row>
    <row r="1819" ht="213.75" spans="1:13">
      <c r="A1819" s="85" t="s">
        <v>8158</v>
      </c>
      <c r="B1819" s="85" t="s">
        <v>2990</v>
      </c>
      <c r="C1819" s="85" t="s">
        <v>2991</v>
      </c>
      <c r="D1819" s="85" t="s">
        <v>2992</v>
      </c>
      <c r="E1819" s="85" t="s">
        <v>1815</v>
      </c>
      <c r="F1819" s="86">
        <v>46.5</v>
      </c>
      <c r="G1819" s="86">
        <v>500</v>
      </c>
      <c r="H1819" s="86">
        <v>23250</v>
      </c>
      <c r="I1819" s="86">
        <v>53770</v>
      </c>
      <c r="J1819" s="85" t="s">
        <v>2958</v>
      </c>
      <c r="K1819" s="85" t="s">
        <v>8129</v>
      </c>
      <c r="L1819" s="85" t="s">
        <v>4135</v>
      </c>
      <c r="M1819" s="85" t="s">
        <v>8277</v>
      </c>
    </row>
    <row r="1820" ht="213.75" spans="1:13">
      <c r="A1820" s="85" t="s">
        <v>8143</v>
      </c>
      <c r="B1820" s="85" t="s">
        <v>7300</v>
      </c>
      <c r="C1820" s="85" t="s">
        <v>7301</v>
      </c>
      <c r="D1820" s="85" t="s">
        <v>3371</v>
      </c>
      <c r="E1820" s="85" t="s">
        <v>7301</v>
      </c>
      <c r="F1820" s="86">
        <v>1.16</v>
      </c>
      <c r="G1820" s="86">
        <v>20</v>
      </c>
      <c r="H1820" s="86">
        <v>23.2</v>
      </c>
      <c r="I1820" s="86">
        <v>12164.41</v>
      </c>
      <c r="J1820" s="85" t="s">
        <v>2965</v>
      </c>
      <c r="K1820" s="85" t="s">
        <v>8129</v>
      </c>
      <c r="L1820" s="85" t="s">
        <v>4135</v>
      </c>
      <c r="M1820" s="85" t="s">
        <v>8278</v>
      </c>
    </row>
    <row r="1821" ht="213.75" spans="1:13">
      <c r="A1821" s="85" t="s">
        <v>8131</v>
      </c>
      <c r="B1821" s="85" t="s">
        <v>8279</v>
      </c>
      <c r="C1821" s="85" t="s">
        <v>8280</v>
      </c>
      <c r="D1821" s="85" t="s">
        <v>3041</v>
      </c>
      <c r="E1821" s="85" t="s">
        <v>3158</v>
      </c>
      <c r="F1821" s="86">
        <v>438</v>
      </c>
      <c r="G1821" s="86">
        <v>5</v>
      </c>
      <c r="H1821" s="86">
        <v>2190</v>
      </c>
      <c r="I1821" s="86">
        <v>22584</v>
      </c>
      <c r="J1821" s="85" t="s">
        <v>4370</v>
      </c>
      <c r="K1821" s="85" t="s">
        <v>8129</v>
      </c>
      <c r="L1821" s="85" t="s">
        <v>4135</v>
      </c>
      <c r="M1821" s="85" t="s">
        <v>8281</v>
      </c>
    </row>
    <row r="1822" ht="213.75" spans="1:13">
      <c r="A1822" s="85" t="s">
        <v>8131</v>
      </c>
      <c r="B1822" s="85" t="s">
        <v>4510</v>
      </c>
      <c r="C1822" s="85" t="s">
        <v>4511</v>
      </c>
      <c r="D1822" s="85" t="s">
        <v>3041</v>
      </c>
      <c r="E1822" s="85" t="s">
        <v>3042</v>
      </c>
      <c r="F1822" s="86">
        <v>9</v>
      </c>
      <c r="G1822" s="86">
        <v>50</v>
      </c>
      <c r="H1822" s="86">
        <v>450</v>
      </c>
      <c r="I1822" s="86">
        <v>22584</v>
      </c>
      <c r="J1822" s="85" t="s">
        <v>4370</v>
      </c>
      <c r="K1822" s="85" t="s">
        <v>8129</v>
      </c>
      <c r="L1822" s="85" t="s">
        <v>4135</v>
      </c>
      <c r="M1822" s="85" t="s">
        <v>8282</v>
      </c>
    </row>
    <row r="1823" ht="213.75" spans="1:13">
      <c r="A1823" s="85" t="s">
        <v>8158</v>
      </c>
      <c r="B1823" s="85" t="s">
        <v>3077</v>
      </c>
      <c r="C1823" s="85" t="s">
        <v>3078</v>
      </c>
      <c r="D1823" s="85" t="s">
        <v>2992</v>
      </c>
      <c r="E1823" s="85" t="s">
        <v>1815</v>
      </c>
      <c r="F1823" s="86">
        <v>36.5</v>
      </c>
      <c r="G1823" s="86">
        <v>400</v>
      </c>
      <c r="H1823" s="86">
        <v>14600</v>
      </c>
      <c r="I1823" s="86">
        <v>53770</v>
      </c>
      <c r="J1823" s="85" t="s">
        <v>2958</v>
      </c>
      <c r="K1823" s="85" t="s">
        <v>8129</v>
      </c>
      <c r="L1823" s="85" t="s">
        <v>4135</v>
      </c>
      <c r="M1823" s="85" t="s">
        <v>8283</v>
      </c>
    </row>
    <row r="1824" ht="213.75" spans="1:13">
      <c r="A1824" s="85" t="s">
        <v>8143</v>
      </c>
      <c r="B1824" s="85" t="s">
        <v>7815</v>
      </c>
      <c r="C1824" s="85" t="s">
        <v>7816</v>
      </c>
      <c r="D1824" s="85" t="s">
        <v>6273</v>
      </c>
      <c r="E1824" s="85" t="s">
        <v>7816</v>
      </c>
      <c r="F1824" s="86">
        <v>25.39</v>
      </c>
      <c r="G1824" s="86">
        <v>1</v>
      </c>
      <c r="H1824" s="86">
        <v>25.39</v>
      </c>
      <c r="I1824" s="86">
        <v>12164.41</v>
      </c>
      <c r="J1824" s="85" t="s">
        <v>2965</v>
      </c>
      <c r="K1824" s="85" t="s">
        <v>8129</v>
      </c>
      <c r="L1824" s="85" t="s">
        <v>4135</v>
      </c>
      <c r="M1824" s="85" t="s">
        <v>8284</v>
      </c>
    </row>
    <row r="1825" ht="213.75" spans="1:13">
      <c r="A1825" s="85" t="s">
        <v>8285</v>
      </c>
      <c r="B1825" s="85" t="s">
        <v>3123</v>
      </c>
      <c r="C1825" s="85" t="s">
        <v>3124</v>
      </c>
      <c r="D1825" s="85" t="s">
        <v>3125</v>
      </c>
      <c r="E1825" s="85" t="s">
        <v>3124</v>
      </c>
      <c r="F1825" s="86">
        <v>57600</v>
      </c>
      <c r="G1825" s="86">
        <v>1</v>
      </c>
      <c r="H1825" s="86">
        <v>57600</v>
      </c>
      <c r="I1825" s="86">
        <v>57600</v>
      </c>
      <c r="J1825" s="85" t="s">
        <v>4050</v>
      </c>
      <c r="K1825" s="85" t="s">
        <v>8286</v>
      </c>
      <c r="L1825" s="85" t="s">
        <v>4135</v>
      </c>
      <c r="M1825" s="85" t="s">
        <v>8287</v>
      </c>
    </row>
    <row r="1826" ht="213.75" spans="1:13">
      <c r="A1826" s="85" t="s">
        <v>8288</v>
      </c>
      <c r="B1826" s="85" t="s">
        <v>2917</v>
      </c>
      <c r="C1826" s="85" t="s">
        <v>2918</v>
      </c>
      <c r="D1826" s="85" t="s">
        <v>2919</v>
      </c>
      <c r="E1826" s="85" t="s">
        <v>2918</v>
      </c>
      <c r="F1826" s="86">
        <v>86940</v>
      </c>
      <c r="G1826" s="86">
        <v>1</v>
      </c>
      <c r="H1826" s="86">
        <v>86940</v>
      </c>
      <c r="I1826" s="86">
        <v>86940</v>
      </c>
      <c r="J1826" s="85" t="s">
        <v>8289</v>
      </c>
      <c r="K1826" s="85" t="s">
        <v>8290</v>
      </c>
      <c r="L1826" s="85" t="s">
        <v>4135</v>
      </c>
      <c r="M1826" s="85" t="s">
        <v>8291</v>
      </c>
    </row>
    <row r="1827" ht="213.75" spans="1:13">
      <c r="A1827" s="85" t="s">
        <v>8292</v>
      </c>
      <c r="B1827" s="85" t="s">
        <v>3745</v>
      </c>
      <c r="C1827" s="85" t="s">
        <v>3746</v>
      </c>
      <c r="D1827" s="85" t="s">
        <v>3747</v>
      </c>
      <c r="E1827" s="85" t="s">
        <v>1827</v>
      </c>
      <c r="F1827" s="86">
        <v>134</v>
      </c>
      <c r="G1827" s="86">
        <v>650</v>
      </c>
      <c r="H1827" s="86">
        <v>87100</v>
      </c>
      <c r="I1827" s="86">
        <v>87100</v>
      </c>
      <c r="J1827" s="85" t="s">
        <v>2932</v>
      </c>
      <c r="K1827" s="85" t="s">
        <v>8293</v>
      </c>
      <c r="L1827" s="85" t="s">
        <v>4135</v>
      </c>
      <c r="M1827" s="85" t="s">
        <v>8294</v>
      </c>
    </row>
    <row r="1828" ht="213.75" spans="1:13">
      <c r="A1828" s="85" t="s">
        <v>8295</v>
      </c>
      <c r="B1828" s="85" t="s">
        <v>8296</v>
      </c>
      <c r="C1828" s="85" t="s">
        <v>8297</v>
      </c>
      <c r="D1828" s="85" t="s">
        <v>8298</v>
      </c>
      <c r="E1828" s="85" t="s">
        <v>8297</v>
      </c>
      <c r="F1828" s="86">
        <v>1360</v>
      </c>
      <c r="G1828" s="86">
        <v>4</v>
      </c>
      <c r="H1828" s="86">
        <v>5440</v>
      </c>
      <c r="I1828" s="86">
        <v>55720</v>
      </c>
      <c r="J1828" s="85" t="s">
        <v>2935</v>
      </c>
      <c r="K1828" s="85" t="s">
        <v>8299</v>
      </c>
      <c r="L1828" s="85" t="s">
        <v>4135</v>
      </c>
      <c r="M1828" s="85" t="s">
        <v>8300</v>
      </c>
    </row>
    <row r="1829" ht="213.75" spans="1:13">
      <c r="A1829" s="85" t="s">
        <v>8295</v>
      </c>
      <c r="B1829" s="85" t="s">
        <v>5349</v>
      </c>
      <c r="C1829" s="85" t="s">
        <v>5350</v>
      </c>
      <c r="D1829" s="85" t="s">
        <v>3189</v>
      </c>
      <c r="E1829" s="85" t="s">
        <v>5351</v>
      </c>
      <c r="F1829" s="86">
        <v>19</v>
      </c>
      <c r="G1829" s="86">
        <v>21</v>
      </c>
      <c r="H1829" s="86">
        <v>399</v>
      </c>
      <c r="I1829" s="86">
        <v>55720</v>
      </c>
      <c r="J1829" s="85" t="s">
        <v>2935</v>
      </c>
      <c r="K1829" s="85" t="s">
        <v>8299</v>
      </c>
      <c r="L1829" s="85" t="s">
        <v>4135</v>
      </c>
      <c r="M1829" s="85" t="s">
        <v>8301</v>
      </c>
    </row>
    <row r="1830" ht="213.75" spans="1:13">
      <c r="A1830" s="85" t="s">
        <v>8295</v>
      </c>
      <c r="B1830" s="85" t="s">
        <v>8302</v>
      </c>
      <c r="C1830" s="85" t="s">
        <v>8303</v>
      </c>
      <c r="D1830" s="85" t="s">
        <v>6368</v>
      </c>
      <c r="E1830" s="85" t="s">
        <v>8303</v>
      </c>
      <c r="F1830" s="86">
        <v>824</v>
      </c>
      <c r="G1830" s="86">
        <v>1</v>
      </c>
      <c r="H1830" s="86">
        <v>824</v>
      </c>
      <c r="I1830" s="86">
        <v>55720</v>
      </c>
      <c r="J1830" s="85" t="s">
        <v>2935</v>
      </c>
      <c r="K1830" s="85" t="s">
        <v>8299</v>
      </c>
      <c r="L1830" s="85" t="s">
        <v>4135</v>
      </c>
      <c r="M1830" s="85" t="s">
        <v>8304</v>
      </c>
    </row>
    <row r="1831" ht="213.75" spans="1:13">
      <c r="A1831" s="85" t="s">
        <v>8295</v>
      </c>
      <c r="B1831" s="85" t="s">
        <v>5761</v>
      </c>
      <c r="C1831" s="85" t="s">
        <v>5762</v>
      </c>
      <c r="D1831" s="85" t="s">
        <v>3189</v>
      </c>
      <c r="E1831" s="85" t="s">
        <v>5762</v>
      </c>
      <c r="F1831" s="86">
        <v>120</v>
      </c>
      <c r="G1831" s="86">
        <v>10</v>
      </c>
      <c r="H1831" s="86">
        <v>1200</v>
      </c>
      <c r="I1831" s="86">
        <v>55720</v>
      </c>
      <c r="J1831" s="85" t="s">
        <v>2935</v>
      </c>
      <c r="K1831" s="85" t="s">
        <v>8299</v>
      </c>
      <c r="L1831" s="85" t="s">
        <v>4135</v>
      </c>
      <c r="M1831" s="85" t="s">
        <v>8305</v>
      </c>
    </row>
    <row r="1832" ht="213.75" spans="1:13">
      <c r="A1832" s="85" t="s">
        <v>8295</v>
      </c>
      <c r="B1832" s="85" t="s">
        <v>5125</v>
      </c>
      <c r="C1832" s="85" t="s">
        <v>5126</v>
      </c>
      <c r="D1832" s="85" t="s">
        <v>3082</v>
      </c>
      <c r="E1832" s="85" t="s">
        <v>5127</v>
      </c>
      <c r="F1832" s="86">
        <v>72</v>
      </c>
      <c r="G1832" s="86">
        <v>122</v>
      </c>
      <c r="H1832" s="86">
        <v>8784</v>
      </c>
      <c r="I1832" s="86">
        <v>55720</v>
      </c>
      <c r="J1832" s="85" t="s">
        <v>2935</v>
      </c>
      <c r="K1832" s="85" t="s">
        <v>8299</v>
      </c>
      <c r="L1832" s="85" t="s">
        <v>4135</v>
      </c>
      <c r="M1832" s="85" t="s">
        <v>8306</v>
      </c>
    </row>
    <row r="1833" ht="213.75" spans="1:13">
      <c r="A1833" s="85" t="s">
        <v>8295</v>
      </c>
      <c r="B1833" s="85" t="s">
        <v>8055</v>
      </c>
      <c r="C1833" s="85" t="s">
        <v>8056</v>
      </c>
      <c r="D1833" s="85" t="s">
        <v>3543</v>
      </c>
      <c r="E1833" s="85" t="s">
        <v>8057</v>
      </c>
      <c r="F1833" s="86">
        <v>1140</v>
      </c>
      <c r="G1833" s="86">
        <v>29</v>
      </c>
      <c r="H1833" s="86">
        <v>33060</v>
      </c>
      <c r="I1833" s="86">
        <v>55720</v>
      </c>
      <c r="J1833" s="85" t="s">
        <v>2935</v>
      </c>
      <c r="K1833" s="85" t="s">
        <v>8299</v>
      </c>
      <c r="L1833" s="85" t="s">
        <v>4135</v>
      </c>
      <c r="M1833" s="85" t="s">
        <v>8307</v>
      </c>
    </row>
    <row r="1834" ht="213.75" spans="1:13">
      <c r="A1834" s="85" t="s">
        <v>8295</v>
      </c>
      <c r="B1834" s="85" t="s">
        <v>8308</v>
      </c>
      <c r="C1834" s="85" t="s">
        <v>8309</v>
      </c>
      <c r="D1834" s="85" t="s">
        <v>4692</v>
      </c>
      <c r="E1834" s="85" t="s">
        <v>4693</v>
      </c>
      <c r="F1834" s="86">
        <v>55</v>
      </c>
      <c r="G1834" s="86">
        <v>100</v>
      </c>
      <c r="H1834" s="86">
        <v>5500</v>
      </c>
      <c r="I1834" s="86">
        <v>55720</v>
      </c>
      <c r="J1834" s="85" t="s">
        <v>2935</v>
      </c>
      <c r="K1834" s="85" t="s">
        <v>8299</v>
      </c>
      <c r="L1834" s="85" t="s">
        <v>4135</v>
      </c>
      <c r="M1834" s="85" t="s">
        <v>8310</v>
      </c>
    </row>
    <row r="1835" ht="213.75" spans="1:13">
      <c r="A1835" s="85" t="s">
        <v>8295</v>
      </c>
      <c r="B1835" s="85" t="s">
        <v>8311</v>
      </c>
      <c r="C1835" s="85" t="s">
        <v>8312</v>
      </c>
      <c r="D1835" s="85" t="s">
        <v>3197</v>
      </c>
      <c r="E1835" s="85" t="s">
        <v>8312</v>
      </c>
      <c r="F1835" s="86">
        <v>1.9</v>
      </c>
      <c r="G1835" s="86">
        <v>270</v>
      </c>
      <c r="H1835" s="86">
        <v>513</v>
      </c>
      <c r="I1835" s="86">
        <v>55720</v>
      </c>
      <c r="J1835" s="85" t="s">
        <v>2935</v>
      </c>
      <c r="K1835" s="85" t="s">
        <v>8299</v>
      </c>
      <c r="L1835" s="85" t="s">
        <v>4135</v>
      </c>
      <c r="M1835" s="85" t="s">
        <v>8313</v>
      </c>
    </row>
    <row r="1836" ht="213.75" spans="1:13">
      <c r="A1836" s="85" t="s">
        <v>8314</v>
      </c>
      <c r="B1836" s="85" t="s">
        <v>8315</v>
      </c>
      <c r="C1836" s="85" t="s">
        <v>8316</v>
      </c>
      <c r="D1836" s="85" t="s">
        <v>3201</v>
      </c>
      <c r="E1836" s="85" t="s">
        <v>8316</v>
      </c>
      <c r="F1836" s="86">
        <v>12.05</v>
      </c>
      <c r="G1836" s="86">
        <v>4</v>
      </c>
      <c r="H1836" s="86">
        <v>48.2</v>
      </c>
      <c r="I1836" s="86">
        <v>14309.59</v>
      </c>
      <c r="J1836" s="85" t="s">
        <v>4391</v>
      </c>
      <c r="K1836" s="85" t="s">
        <v>8317</v>
      </c>
      <c r="L1836" s="85" t="s">
        <v>4135</v>
      </c>
      <c r="M1836" s="85" t="s">
        <v>8318</v>
      </c>
    </row>
    <row r="1837" ht="213.75" spans="1:13">
      <c r="A1837" s="85" t="s">
        <v>8314</v>
      </c>
      <c r="B1837" s="85" t="s">
        <v>7678</v>
      </c>
      <c r="C1837" s="85" t="s">
        <v>7679</v>
      </c>
      <c r="D1837" s="85" t="s">
        <v>5909</v>
      </c>
      <c r="E1837" s="85" t="s">
        <v>5910</v>
      </c>
      <c r="F1837" s="86">
        <v>108.95</v>
      </c>
      <c r="G1837" s="86">
        <v>45</v>
      </c>
      <c r="H1837" s="86">
        <v>4902.75</v>
      </c>
      <c r="I1837" s="86">
        <v>14309.59</v>
      </c>
      <c r="J1837" s="85" t="s">
        <v>4391</v>
      </c>
      <c r="K1837" s="85" t="s">
        <v>8317</v>
      </c>
      <c r="L1837" s="85" t="s">
        <v>4135</v>
      </c>
      <c r="M1837" s="85" t="s">
        <v>8319</v>
      </c>
    </row>
    <row r="1838" ht="213.75" spans="1:13">
      <c r="A1838" s="85" t="s">
        <v>8314</v>
      </c>
      <c r="B1838" s="85" t="s">
        <v>8320</v>
      </c>
      <c r="C1838" s="85" t="s">
        <v>8321</v>
      </c>
      <c r="D1838" s="85" t="s">
        <v>3722</v>
      </c>
      <c r="E1838" s="85" t="s">
        <v>3940</v>
      </c>
      <c r="F1838" s="86">
        <v>16.44</v>
      </c>
      <c r="G1838" s="86">
        <v>6</v>
      </c>
      <c r="H1838" s="86">
        <v>98.64</v>
      </c>
      <c r="I1838" s="86">
        <v>14309.59</v>
      </c>
      <c r="J1838" s="85" t="s">
        <v>4391</v>
      </c>
      <c r="K1838" s="85" t="s">
        <v>8317</v>
      </c>
      <c r="L1838" s="85" t="s">
        <v>4135</v>
      </c>
      <c r="M1838" s="85" t="s">
        <v>8322</v>
      </c>
    </row>
    <row r="1839" ht="213.75" spans="1:13">
      <c r="A1839" s="85" t="s">
        <v>8314</v>
      </c>
      <c r="B1839" s="85" t="s">
        <v>6899</v>
      </c>
      <c r="C1839" s="85" t="s">
        <v>6900</v>
      </c>
      <c r="D1839" s="85" t="s">
        <v>6901</v>
      </c>
      <c r="E1839" s="85" t="s">
        <v>5752</v>
      </c>
      <c r="F1839" s="86">
        <v>34.4</v>
      </c>
      <c r="G1839" s="86">
        <v>100</v>
      </c>
      <c r="H1839" s="86">
        <v>3440</v>
      </c>
      <c r="I1839" s="86">
        <v>14309.59</v>
      </c>
      <c r="J1839" s="85" t="s">
        <v>4391</v>
      </c>
      <c r="K1839" s="85" t="s">
        <v>8317</v>
      </c>
      <c r="L1839" s="85" t="s">
        <v>4135</v>
      </c>
      <c r="M1839" s="85" t="s">
        <v>8323</v>
      </c>
    </row>
    <row r="1840" ht="213.75" spans="1:13">
      <c r="A1840" s="85" t="s">
        <v>8314</v>
      </c>
      <c r="B1840" s="85" t="s">
        <v>3922</v>
      </c>
      <c r="C1840" s="85" t="s">
        <v>3923</v>
      </c>
      <c r="D1840" s="85" t="s">
        <v>3189</v>
      </c>
      <c r="E1840" s="85" t="s">
        <v>3924</v>
      </c>
      <c r="F1840" s="86">
        <v>70</v>
      </c>
      <c r="G1840" s="86">
        <v>1</v>
      </c>
      <c r="H1840" s="86">
        <v>70</v>
      </c>
      <c r="I1840" s="86">
        <v>14309.59</v>
      </c>
      <c r="J1840" s="85" t="s">
        <v>4391</v>
      </c>
      <c r="K1840" s="85" t="s">
        <v>8317</v>
      </c>
      <c r="L1840" s="85" t="s">
        <v>4135</v>
      </c>
      <c r="M1840" s="85" t="s">
        <v>8324</v>
      </c>
    </row>
    <row r="1841" ht="213.75" spans="1:13">
      <c r="A1841" s="85" t="s">
        <v>8314</v>
      </c>
      <c r="B1841" s="85" t="s">
        <v>7372</v>
      </c>
      <c r="C1841" s="85" t="s">
        <v>7373</v>
      </c>
      <c r="D1841" s="85" t="s">
        <v>4911</v>
      </c>
      <c r="E1841" s="85" t="s">
        <v>4761</v>
      </c>
      <c r="F1841" s="86">
        <v>117.6</v>
      </c>
      <c r="G1841" s="86">
        <v>20</v>
      </c>
      <c r="H1841" s="86">
        <v>2352</v>
      </c>
      <c r="I1841" s="86">
        <v>14309.59</v>
      </c>
      <c r="J1841" s="85" t="s">
        <v>4391</v>
      </c>
      <c r="K1841" s="85" t="s">
        <v>8317</v>
      </c>
      <c r="L1841" s="85" t="s">
        <v>4135</v>
      </c>
      <c r="M1841" s="85" t="s">
        <v>8325</v>
      </c>
    </row>
    <row r="1842" ht="213.75" spans="1:13">
      <c r="A1842" s="85" t="s">
        <v>8314</v>
      </c>
      <c r="B1842" s="85" t="s">
        <v>8326</v>
      </c>
      <c r="C1842" s="85" t="s">
        <v>8327</v>
      </c>
      <c r="D1842" s="85" t="s">
        <v>3153</v>
      </c>
      <c r="E1842" s="85" t="s">
        <v>8327</v>
      </c>
      <c r="F1842" s="86">
        <v>339.8</v>
      </c>
      <c r="G1842" s="86">
        <v>10</v>
      </c>
      <c r="H1842" s="86">
        <v>3398</v>
      </c>
      <c r="I1842" s="86">
        <v>14309.59</v>
      </c>
      <c r="J1842" s="85" t="s">
        <v>4391</v>
      </c>
      <c r="K1842" s="85" t="s">
        <v>8317</v>
      </c>
      <c r="L1842" s="85" t="s">
        <v>4135</v>
      </c>
      <c r="M1842" s="85" t="s">
        <v>8328</v>
      </c>
    </row>
    <row r="1843" ht="213.75" spans="1:13">
      <c r="A1843" s="85" t="s">
        <v>8329</v>
      </c>
      <c r="B1843" s="85" t="s">
        <v>2901</v>
      </c>
      <c r="C1843" s="85" t="s">
        <v>2902</v>
      </c>
      <c r="D1843" s="85" t="s">
        <v>2903</v>
      </c>
      <c r="E1843" s="85" t="s">
        <v>2902</v>
      </c>
      <c r="F1843" s="86">
        <v>77343</v>
      </c>
      <c r="G1843" s="86">
        <v>1</v>
      </c>
      <c r="H1843" s="86">
        <v>77343</v>
      </c>
      <c r="I1843" s="86">
        <v>77343</v>
      </c>
      <c r="J1843" s="85" t="s">
        <v>4054</v>
      </c>
      <c r="K1843" s="85" t="s">
        <v>8330</v>
      </c>
      <c r="L1843" s="85" t="s">
        <v>4135</v>
      </c>
      <c r="M1843" s="85" t="s">
        <v>8331</v>
      </c>
    </row>
    <row r="1844" ht="213.75" spans="1:13">
      <c r="A1844" s="85" t="s">
        <v>8332</v>
      </c>
      <c r="B1844" s="85" t="s">
        <v>4062</v>
      </c>
      <c r="C1844" s="85" t="s">
        <v>4063</v>
      </c>
      <c r="D1844" s="85" t="s">
        <v>4064</v>
      </c>
      <c r="E1844" s="85" t="s">
        <v>4063</v>
      </c>
      <c r="F1844" s="86">
        <v>12262</v>
      </c>
      <c r="G1844" s="86">
        <v>1</v>
      </c>
      <c r="H1844" s="86">
        <v>12262</v>
      </c>
      <c r="I1844" s="86">
        <v>12262</v>
      </c>
      <c r="J1844" s="85" t="s">
        <v>4065</v>
      </c>
      <c r="K1844" s="85" t="s">
        <v>8333</v>
      </c>
      <c r="L1844" s="85" t="s">
        <v>4135</v>
      </c>
      <c r="M1844" s="85" t="s">
        <v>8334</v>
      </c>
    </row>
    <row r="1845" ht="213.75" spans="1:13">
      <c r="A1845" s="85" t="s">
        <v>8335</v>
      </c>
      <c r="B1845" s="85" t="s">
        <v>5662</v>
      </c>
      <c r="C1845" s="85" t="s">
        <v>5663</v>
      </c>
      <c r="D1845" s="85" t="s">
        <v>4076</v>
      </c>
      <c r="E1845" s="85" t="s">
        <v>1832</v>
      </c>
      <c r="F1845" s="86">
        <v>128</v>
      </c>
      <c r="G1845" s="86">
        <v>230</v>
      </c>
      <c r="H1845" s="86">
        <v>29440</v>
      </c>
      <c r="I1845" s="86">
        <v>29440</v>
      </c>
      <c r="J1845" s="85" t="s">
        <v>2938</v>
      </c>
      <c r="K1845" s="85" t="s">
        <v>8336</v>
      </c>
      <c r="L1845" s="85" t="s">
        <v>4135</v>
      </c>
      <c r="M1845" s="85" t="s">
        <v>8337</v>
      </c>
    </row>
    <row r="1846" ht="228" spans="1:13">
      <c r="A1846" s="85" t="s">
        <v>8338</v>
      </c>
      <c r="B1846" s="85" t="s">
        <v>8339</v>
      </c>
      <c r="C1846" s="85" t="s">
        <v>8340</v>
      </c>
      <c r="D1846" s="85" t="s">
        <v>3074</v>
      </c>
      <c r="E1846" s="85" t="s">
        <v>1969</v>
      </c>
      <c r="F1846" s="86">
        <v>372</v>
      </c>
      <c r="G1846" s="86">
        <v>22</v>
      </c>
      <c r="H1846" s="86">
        <v>8184</v>
      </c>
      <c r="I1846" s="86">
        <v>27949</v>
      </c>
      <c r="J1846" s="85" t="s">
        <v>3075</v>
      </c>
      <c r="K1846" s="85" t="s">
        <v>8336</v>
      </c>
      <c r="L1846" s="85" t="s">
        <v>4135</v>
      </c>
      <c r="M1846" s="85" t="s">
        <v>8341</v>
      </c>
    </row>
    <row r="1847" ht="213.75" spans="1:13">
      <c r="A1847" s="85" t="s">
        <v>8342</v>
      </c>
      <c r="B1847" s="85" t="s">
        <v>8343</v>
      </c>
      <c r="C1847" s="85" t="s">
        <v>8344</v>
      </c>
      <c r="D1847" s="85" t="s">
        <v>8345</v>
      </c>
      <c r="E1847" s="85" t="s">
        <v>8346</v>
      </c>
      <c r="F1847" s="86">
        <v>32.9</v>
      </c>
      <c r="G1847" s="86">
        <v>80</v>
      </c>
      <c r="H1847" s="86">
        <v>2632</v>
      </c>
      <c r="I1847" s="86">
        <v>22792.8</v>
      </c>
      <c r="J1847" s="85" t="s">
        <v>2958</v>
      </c>
      <c r="K1847" s="85" t="s">
        <v>8336</v>
      </c>
      <c r="L1847" s="85" t="s">
        <v>4135</v>
      </c>
      <c r="M1847" s="85" t="s">
        <v>8347</v>
      </c>
    </row>
    <row r="1848" ht="213.75" spans="1:13">
      <c r="A1848" s="85" t="s">
        <v>8348</v>
      </c>
      <c r="B1848" s="85" t="s">
        <v>8349</v>
      </c>
      <c r="C1848" s="85" t="s">
        <v>8350</v>
      </c>
      <c r="D1848" s="85" t="s">
        <v>5846</v>
      </c>
      <c r="E1848" s="85" t="s">
        <v>8351</v>
      </c>
      <c r="F1848" s="86">
        <v>3.84</v>
      </c>
      <c r="G1848" s="86">
        <v>70</v>
      </c>
      <c r="H1848" s="86">
        <v>268.8</v>
      </c>
      <c r="I1848" s="86">
        <v>268.8</v>
      </c>
      <c r="J1848" s="85" t="s">
        <v>3612</v>
      </c>
      <c r="K1848" s="85" t="s">
        <v>8336</v>
      </c>
      <c r="L1848" s="85" t="s">
        <v>4135</v>
      </c>
      <c r="M1848" s="85" t="s">
        <v>8352</v>
      </c>
    </row>
    <row r="1849" ht="213.75" spans="1:13">
      <c r="A1849" s="85" t="s">
        <v>8342</v>
      </c>
      <c r="B1849" s="85" t="s">
        <v>8353</v>
      </c>
      <c r="C1849" s="85" t="s">
        <v>8354</v>
      </c>
      <c r="D1849" s="85" t="s">
        <v>5505</v>
      </c>
      <c r="E1849" s="85" t="s">
        <v>5506</v>
      </c>
      <c r="F1849" s="86">
        <v>14.1</v>
      </c>
      <c r="G1849" s="86">
        <v>10</v>
      </c>
      <c r="H1849" s="86">
        <v>141</v>
      </c>
      <c r="I1849" s="86">
        <v>22792.8</v>
      </c>
      <c r="J1849" s="85" t="s">
        <v>2958</v>
      </c>
      <c r="K1849" s="85" t="s">
        <v>8336</v>
      </c>
      <c r="L1849" s="85" t="s">
        <v>4135</v>
      </c>
      <c r="M1849" s="85" t="s">
        <v>8355</v>
      </c>
    </row>
    <row r="1850" ht="213.75" spans="1:13">
      <c r="A1850" s="85" t="s">
        <v>8342</v>
      </c>
      <c r="B1850" s="85" t="s">
        <v>3048</v>
      </c>
      <c r="C1850" s="85" t="s">
        <v>3049</v>
      </c>
      <c r="D1850" s="85" t="s">
        <v>2982</v>
      </c>
      <c r="E1850" s="85" t="s">
        <v>3050</v>
      </c>
      <c r="F1850" s="86">
        <v>4.5</v>
      </c>
      <c r="G1850" s="86">
        <v>100</v>
      </c>
      <c r="H1850" s="86">
        <v>450</v>
      </c>
      <c r="I1850" s="86">
        <v>22792.8</v>
      </c>
      <c r="J1850" s="85" t="s">
        <v>2958</v>
      </c>
      <c r="K1850" s="85" t="s">
        <v>8336</v>
      </c>
      <c r="L1850" s="85" t="s">
        <v>4135</v>
      </c>
      <c r="M1850" s="85" t="s">
        <v>8356</v>
      </c>
    </row>
    <row r="1851" ht="213.75" spans="1:13">
      <c r="A1851" s="85" t="s">
        <v>8357</v>
      </c>
      <c r="B1851" s="85" t="s">
        <v>5685</v>
      </c>
      <c r="C1851" s="85" t="s">
        <v>5686</v>
      </c>
      <c r="D1851" s="85" t="s">
        <v>5687</v>
      </c>
      <c r="E1851" s="85" t="s">
        <v>1971</v>
      </c>
      <c r="F1851" s="86">
        <v>850</v>
      </c>
      <c r="G1851" s="86">
        <v>3</v>
      </c>
      <c r="H1851" s="86">
        <v>2550</v>
      </c>
      <c r="I1851" s="86">
        <v>2633.97</v>
      </c>
      <c r="J1851" s="85" t="s">
        <v>5688</v>
      </c>
      <c r="K1851" s="85" t="s">
        <v>8336</v>
      </c>
      <c r="L1851" s="85" t="s">
        <v>4135</v>
      </c>
      <c r="M1851" s="85" t="s">
        <v>8358</v>
      </c>
    </row>
    <row r="1852" ht="213.75" spans="1:13">
      <c r="A1852" s="85" t="s">
        <v>8342</v>
      </c>
      <c r="B1852" s="85" t="s">
        <v>8359</v>
      </c>
      <c r="C1852" s="85" t="s">
        <v>8360</v>
      </c>
      <c r="D1852" s="85" t="s">
        <v>8361</v>
      </c>
      <c r="E1852" s="85" t="s">
        <v>8362</v>
      </c>
      <c r="F1852" s="86">
        <v>11</v>
      </c>
      <c r="G1852" s="86">
        <v>20</v>
      </c>
      <c r="H1852" s="86">
        <v>220</v>
      </c>
      <c r="I1852" s="86">
        <v>22792.8</v>
      </c>
      <c r="J1852" s="85" t="s">
        <v>2958</v>
      </c>
      <c r="K1852" s="85" t="s">
        <v>8336</v>
      </c>
      <c r="L1852" s="85" t="s">
        <v>4135</v>
      </c>
      <c r="M1852" s="85" t="s">
        <v>8363</v>
      </c>
    </row>
    <row r="1853" ht="213.75" spans="1:13">
      <c r="A1853" s="85" t="s">
        <v>8338</v>
      </c>
      <c r="B1853" s="85" t="s">
        <v>3682</v>
      </c>
      <c r="C1853" s="85" t="s">
        <v>3683</v>
      </c>
      <c r="D1853" s="85" t="s">
        <v>3684</v>
      </c>
      <c r="E1853" s="85" t="s">
        <v>3685</v>
      </c>
      <c r="F1853" s="86">
        <v>16</v>
      </c>
      <c r="G1853" s="86">
        <v>22</v>
      </c>
      <c r="H1853" s="86">
        <v>352</v>
      </c>
      <c r="I1853" s="86">
        <v>27949</v>
      </c>
      <c r="J1853" s="85" t="s">
        <v>3075</v>
      </c>
      <c r="K1853" s="85" t="s">
        <v>8336</v>
      </c>
      <c r="L1853" s="85" t="s">
        <v>4135</v>
      </c>
      <c r="M1853" s="85" t="s">
        <v>8364</v>
      </c>
    </row>
    <row r="1854" ht="213.75" spans="1:13">
      <c r="A1854" s="85" t="s">
        <v>8342</v>
      </c>
      <c r="B1854" s="85" t="s">
        <v>8365</v>
      </c>
      <c r="C1854" s="85" t="s">
        <v>8366</v>
      </c>
      <c r="D1854" s="85" t="s">
        <v>3337</v>
      </c>
      <c r="E1854" s="85" t="s">
        <v>3338</v>
      </c>
      <c r="F1854" s="86">
        <v>180</v>
      </c>
      <c r="G1854" s="86">
        <v>10</v>
      </c>
      <c r="H1854" s="86">
        <v>1800</v>
      </c>
      <c r="I1854" s="86">
        <v>22792.8</v>
      </c>
      <c r="J1854" s="85" t="s">
        <v>2958</v>
      </c>
      <c r="K1854" s="85" t="s">
        <v>8336</v>
      </c>
      <c r="L1854" s="85" t="s">
        <v>4135</v>
      </c>
      <c r="M1854" s="85" t="s">
        <v>8367</v>
      </c>
    </row>
    <row r="1855" ht="213.75" spans="1:13">
      <c r="A1855" s="85" t="s">
        <v>8342</v>
      </c>
      <c r="B1855" s="85" t="s">
        <v>8368</v>
      </c>
      <c r="C1855" s="85" t="s">
        <v>8369</v>
      </c>
      <c r="D1855" s="85" t="s">
        <v>5574</v>
      </c>
      <c r="E1855" s="85" t="s">
        <v>1787</v>
      </c>
      <c r="F1855" s="86">
        <v>47.5</v>
      </c>
      <c r="G1855" s="86">
        <v>100</v>
      </c>
      <c r="H1855" s="86">
        <v>4750</v>
      </c>
      <c r="I1855" s="86">
        <v>22792.8</v>
      </c>
      <c r="J1855" s="85" t="s">
        <v>2958</v>
      </c>
      <c r="K1855" s="85" t="s">
        <v>8336</v>
      </c>
      <c r="L1855" s="85" t="s">
        <v>4135</v>
      </c>
      <c r="M1855" s="85" t="s">
        <v>8370</v>
      </c>
    </row>
    <row r="1856" ht="213.75" spans="1:13">
      <c r="A1856" s="85" t="s">
        <v>8342</v>
      </c>
      <c r="B1856" s="85" t="s">
        <v>8371</v>
      </c>
      <c r="C1856" s="85" t="s">
        <v>8372</v>
      </c>
      <c r="D1856" s="85" t="s">
        <v>8373</v>
      </c>
      <c r="E1856" s="85" t="s">
        <v>8374</v>
      </c>
      <c r="F1856" s="86">
        <v>6.6</v>
      </c>
      <c r="G1856" s="86">
        <v>100</v>
      </c>
      <c r="H1856" s="86">
        <v>660</v>
      </c>
      <c r="I1856" s="86">
        <v>22792.8</v>
      </c>
      <c r="J1856" s="85" t="s">
        <v>2958</v>
      </c>
      <c r="K1856" s="85" t="s">
        <v>8336</v>
      </c>
      <c r="L1856" s="85" t="s">
        <v>4135</v>
      </c>
      <c r="M1856" s="85" t="s">
        <v>8375</v>
      </c>
    </row>
    <row r="1857" ht="213.75" spans="1:13">
      <c r="A1857" s="85" t="s">
        <v>8376</v>
      </c>
      <c r="B1857" s="85" t="s">
        <v>3500</v>
      </c>
      <c r="C1857" s="85" t="s">
        <v>3501</v>
      </c>
      <c r="D1857" s="85" t="s">
        <v>2992</v>
      </c>
      <c r="E1857" s="85" t="s">
        <v>1815</v>
      </c>
      <c r="F1857" s="86">
        <v>17.7</v>
      </c>
      <c r="G1857" s="86">
        <v>60</v>
      </c>
      <c r="H1857" s="86">
        <v>1062</v>
      </c>
      <c r="I1857" s="86">
        <v>29752</v>
      </c>
      <c r="J1857" s="85" t="s">
        <v>2958</v>
      </c>
      <c r="K1857" s="85" t="s">
        <v>8336</v>
      </c>
      <c r="L1857" s="85" t="s">
        <v>4135</v>
      </c>
      <c r="M1857" s="85" t="s">
        <v>8377</v>
      </c>
    </row>
    <row r="1858" ht="213.75" spans="1:13">
      <c r="A1858" s="85" t="s">
        <v>8342</v>
      </c>
      <c r="B1858" s="85" t="s">
        <v>4290</v>
      </c>
      <c r="C1858" s="85" t="s">
        <v>4291</v>
      </c>
      <c r="D1858" s="85" t="s">
        <v>3189</v>
      </c>
      <c r="E1858" s="85" t="s">
        <v>4292</v>
      </c>
      <c r="F1858" s="86">
        <v>16.66</v>
      </c>
      <c r="G1858" s="86">
        <v>30</v>
      </c>
      <c r="H1858" s="86">
        <v>499.8</v>
      </c>
      <c r="I1858" s="86">
        <v>22792.8</v>
      </c>
      <c r="J1858" s="85" t="s">
        <v>2958</v>
      </c>
      <c r="K1858" s="85" t="s">
        <v>8336</v>
      </c>
      <c r="L1858" s="85" t="s">
        <v>4135</v>
      </c>
      <c r="M1858" s="85" t="s">
        <v>8378</v>
      </c>
    </row>
    <row r="1859" ht="213.75" spans="1:13">
      <c r="A1859" s="85" t="s">
        <v>8342</v>
      </c>
      <c r="B1859" s="85" t="s">
        <v>5894</v>
      </c>
      <c r="C1859" s="85" t="s">
        <v>5895</v>
      </c>
      <c r="D1859" s="85" t="s">
        <v>3201</v>
      </c>
      <c r="E1859" s="85" t="s">
        <v>3209</v>
      </c>
      <c r="F1859" s="86">
        <v>5.88</v>
      </c>
      <c r="G1859" s="86">
        <v>300</v>
      </c>
      <c r="H1859" s="86">
        <v>1764</v>
      </c>
      <c r="I1859" s="86">
        <v>22792.8</v>
      </c>
      <c r="J1859" s="85" t="s">
        <v>2958</v>
      </c>
      <c r="K1859" s="85" t="s">
        <v>8336</v>
      </c>
      <c r="L1859" s="85" t="s">
        <v>4135</v>
      </c>
      <c r="M1859" s="85" t="s">
        <v>8379</v>
      </c>
    </row>
    <row r="1860" ht="242.25" spans="1:13">
      <c r="A1860" s="85" t="s">
        <v>8338</v>
      </c>
      <c r="B1860" s="85" t="s">
        <v>8380</v>
      </c>
      <c r="C1860" s="85" t="s">
        <v>8381</v>
      </c>
      <c r="D1860" s="85" t="s">
        <v>3074</v>
      </c>
      <c r="E1860" s="85" t="s">
        <v>1969</v>
      </c>
      <c r="F1860" s="86">
        <v>391.5</v>
      </c>
      <c r="G1860" s="86">
        <v>22</v>
      </c>
      <c r="H1860" s="86">
        <v>8613</v>
      </c>
      <c r="I1860" s="86">
        <v>27949</v>
      </c>
      <c r="J1860" s="85" t="s">
        <v>3075</v>
      </c>
      <c r="K1860" s="85" t="s">
        <v>8336</v>
      </c>
      <c r="L1860" s="85" t="s">
        <v>4135</v>
      </c>
      <c r="M1860" s="85" t="s">
        <v>8382</v>
      </c>
    </row>
    <row r="1861" ht="213.75" spans="1:13">
      <c r="A1861" s="85" t="s">
        <v>8383</v>
      </c>
      <c r="B1861" s="85" t="s">
        <v>5175</v>
      </c>
      <c r="C1861" s="85" t="s">
        <v>5176</v>
      </c>
      <c r="D1861" s="85" t="s">
        <v>3177</v>
      </c>
      <c r="E1861" s="85" t="s">
        <v>3178</v>
      </c>
      <c r="F1861" s="86">
        <v>19</v>
      </c>
      <c r="G1861" s="86">
        <v>8</v>
      </c>
      <c r="H1861" s="86">
        <v>152</v>
      </c>
      <c r="I1861" s="86">
        <v>998</v>
      </c>
      <c r="J1861" s="85" t="s">
        <v>4370</v>
      </c>
      <c r="K1861" s="85" t="s">
        <v>8336</v>
      </c>
      <c r="L1861" s="85" t="s">
        <v>4135</v>
      </c>
      <c r="M1861" s="85" t="s">
        <v>8384</v>
      </c>
    </row>
    <row r="1862" ht="213.75" spans="1:13">
      <c r="A1862" s="85" t="s">
        <v>8376</v>
      </c>
      <c r="B1862" s="85" t="s">
        <v>8385</v>
      </c>
      <c r="C1862" s="85" t="s">
        <v>8386</v>
      </c>
      <c r="D1862" s="85" t="s">
        <v>2992</v>
      </c>
      <c r="E1862" s="85" t="s">
        <v>1815</v>
      </c>
      <c r="F1862" s="86">
        <v>28</v>
      </c>
      <c r="G1862" s="86">
        <v>400</v>
      </c>
      <c r="H1862" s="86">
        <v>11200</v>
      </c>
      <c r="I1862" s="86">
        <v>29752</v>
      </c>
      <c r="J1862" s="85" t="s">
        <v>2958</v>
      </c>
      <c r="K1862" s="85" t="s">
        <v>8336</v>
      </c>
      <c r="L1862" s="85" t="s">
        <v>4135</v>
      </c>
      <c r="M1862" s="85" t="s">
        <v>8387</v>
      </c>
    </row>
    <row r="1863" ht="213.75" spans="1:13">
      <c r="A1863" s="85" t="s">
        <v>8383</v>
      </c>
      <c r="B1863" s="85" t="s">
        <v>8388</v>
      </c>
      <c r="C1863" s="85" t="s">
        <v>8389</v>
      </c>
      <c r="D1863" s="85" t="s">
        <v>3041</v>
      </c>
      <c r="E1863" s="85" t="s">
        <v>3158</v>
      </c>
      <c r="F1863" s="86">
        <v>230</v>
      </c>
      <c r="G1863" s="86">
        <v>1</v>
      </c>
      <c r="H1863" s="86">
        <v>230</v>
      </c>
      <c r="I1863" s="86">
        <v>998</v>
      </c>
      <c r="J1863" s="85" t="s">
        <v>4370</v>
      </c>
      <c r="K1863" s="85" t="s">
        <v>8336</v>
      </c>
      <c r="L1863" s="85" t="s">
        <v>4135</v>
      </c>
      <c r="M1863" s="85" t="s">
        <v>8390</v>
      </c>
    </row>
    <row r="1864" ht="213.75" spans="1:13">
      <c r="A1864" s="85" t="s">
        <v>8376</v>
      </c>
      <c r="B1864" s="85" t="s">
        <v>5199</v>
      </c>
      <c r="C1864" s="85" t="s">
        <v>5200</v>
      </c>
      <c r="D1864" s="85" t="s">
        <v>2992</v>
      </c>
      <c r="E1864" s="85" t="s">
        <v>1815</v>
      </c>
      <c r="F1864" s="86">
        <v>19</v>
      </c>
      <c r="G1864" s="86">
        <v>250</v>
      </c>
      <c r="H1864" s="86">
        <v>4750</v>
      </c>
      <c r="I1864" s="86">
        <v>29752</v>
      </c>
      <c r="J1864" s="85" t="s">
        <v>2958</v>
      </c>
      <c r="K1864" s="85" t="s">
        <v>8336</v>
      </c>
      <c r="L1864" s="85" t="s">
        <v>4135</v>
      </c>
      <c r="M1864" s="85" t="s">
        <v>8391</v>
      </c>
    </row>
    <row r="1865" ht="213.75" spans="1:13">
      <c r="A1865" s="85" t="s">
        <v>8392</v>
      </c>
      <c r="B1865" s="85" t="s">
        <v>7805</v>
      </c>
      <c r="C1865" s="85" t="s">
        <v>7806</v>
      </c>
      <c r="D1865" s="85" t="s">
        <v>5479</v>
      </c>
      <c r="E1865" s="85" t="s">
        <v>7807</v>
      </c>
      <c r="F1865" s="86">
        <v>17.9</v>
      </c>
      <c r="G1865" s="86">
        <v>48</v>
      </c>
      <c r="H1865" s="86">
        <v>859.2</v>
      </c>
      <c r="I1865" s="86">
        <v>859.2</v>
      </c>
      <c r="J1865" s="85" t="s">
        <v>2999</v>
      </c>
      <c r="K1865" s="85" t="s">
        <v>8336</v>
      </c>
      <c r="L1865" s="85" t="s">
        <v>4135</v>
      </c>
      <c r="M1865" s="85" t="s">
        <v>8393</v>
      </c>
    </row>
    <row r="1866" ht="213.75" spans="1:13">
      <c r="A1866" s="85" t="s">
        <v>8357</v>
      </c>
      <c r="B1866" s="85" t="s">
        <v>8394</v>
      </c>
      <c r="C1866" s="85" t="s">
        <v>8395</v>
      </c>
      <c r="D1866" s="85" t="s">
        <v>8396</v>
      </c>
      <c r="E1866" s="85" t="s">
        <v>8397</v>
      </c>
      <c r="F1866" s="86">
        <v>27.99</v>
      </c>
      <c r="G1866" s="86">
        <v>3</v>
      </c>
      <c r="H1866" s="86">
        <v>83.97</v>
      </c>
      <c r="I1866" s="86">
        <v>2633.97</v>
      </c>
      <c r="J1866" s="85" t="s">
        <v>5688</v>
      </c>
      <c r="K1866" s="85" t="s">
        <v>8336</v>
      </c>
      <c r="L1866" s="85" t="s">
        <v>4135</v>
      </c>
      <c r="M1866" s="85" t="s">
        <v>8398</v>
      </c>
    </row>
    <row r="1867" ht="213.75" spans="1:13">
      <c r="A1867" s="85" t="s">
        <v>8399</v>
      </c>
      <c r="B1867" s="85" t="s">
        <v>8266</v>
      </c>
      <c r="C1867" s="85" t="s">
        <v>8267</v>
      </c>
      <c r="D1867" s="85" t="s">
        <v>3189</v>
      </c>
      <c r="E1867" s="85" t="s">
        <v>6337</v>
      </c>
      <c r="F1867" s="86">
        <v>27</v>
      </c>
      <c r="G1867" s="86">
        <v>200</v>
      </c>
      <c r="H1867" s="86">
        <v>5400</v>
      </c>
      <c r="I1867" s="86">
        <v>5400</v>
      </c>
      <c r="J1867" s="85" t="s">
        <v>8268</v>
      </c>
      <c r="K1867" s="85" t="s">
        <v>8336</v>
      </c>
      <c r="L1867" s="85" t="s">
        <v>4135</v>
      </c>
      <c r="M1867" s="85" t="s">
        <v>8400</v>
      </c>
    </row>
    <row r="1868" ht="242.25" spans="1:13">
      <c r="A1868" s="85" t="s">
        <v>8342</v>
      </c>
      <c r="B1868" s="85" t="s">
        <v>2985</v>
      </c>
      <c r="C1868" s="85" t="s">
        <v>2986</v>
      </c>
      <c r="D1868" s="85" t="s">
        <v>2987</v>
      </c>
      <c r="E1868" s="85" t="s">
        <v>2988</v>
      </c>
      <c r="F1868" s="86">
        <v>4.8</v>
      </c>
      <c r="G1868" s="86">
        <v>50</v>
      </c>
      <c r="H1868" s="86">
        <v>240</v>
      </c>
      <c r="I1868" s="86">
        <v>22792.8</v>
      </c>
      <c r="J1868" s="85" t="s">
        <v>2958</v>
      </c>
      <c r="K1868" s="85" t="s">
        <v>8336</v>
      </c>
      <c r="L1868" s="85" t="s">
        <v>4135</v>
      </c>
      <c r="M1868" s="85" t="s">
        <v>8401</v>
      </c>
    </row>
    <row r="1869" ht="213.75" spans="1:13">
      <c r="A1869" s="85" t="s">
        <v>8342</v>
      </c>
      <c r="B1869" s="85" t="s">
        <v>2975</v>
      </c>
      <c r="C1869" s="85" t="s">
        <v>2976</v>
      </c>
      <c r="D1869" s="85" t="s">
        <v>2977</v>
      </c>
      <c r="E1869" s="85" t="s">
        <v>2978</v>
      </c>
      <c r="F1869" s="86">
        <v>8.64</v>
      </c>
      <c r="G1869" s="86">
        <v>750</v>
      </c>
      <c r="H1869" s="86">
        <v>6480</v>
      </c>
      <c r="I1869" s="86">
        <v>22792.8</v>
      </c>
      <c r="J1869" s="85" t="s">
        <v>2958</v>
      </c>
      <c r="K1869" s="85" t="s">
        <v>8336</v>
      </c>
      <c r="L1869" s="85" t="s">
        <v>4135</v>
      </c>
      <c r="M1869" s="85" t="s">
        <v>8402</v>
      </c>
    </row>
    <row r="1870" ht="213.75" spans="1:13">
      <c r="A1870" s="85" t="s">
        <v>8376</v>
      </c>
      <c r="B1870" s="85" t="s">
        <v>3063</v>
      </c>
      <c r="C1870" s="85" t="s">
        <v>3064</v>
      </c>
      <c r="D1870" s="85" t="s">
        <v>2992</v>
      </c>
      <c r="E1870" s="85" t="s">
        <v>1815</v>
      </c>
      <c r="F1870" s="86">
        <v>5.3</v>
      </c>
      <c r="G1870" s="86">
        <v>1000</v>
      </c>
      <c r="H1870" s="86">
        <v>5300</v>
      </c>
      <c r="I1870" s="86">
        <v>29752</v>
      </c>
      <c r="J1870" s="85" t="s">
        <v>2958</v>
      </c>
      <c r="K1870" s="85" t="s">
        <v>8336</v>
      </c>
      <c r="L1870" s="85" t="s">
        <v>4135</v>
      </c>
      <c r="M1870" s="85" t="s">
        <v>8403</v>
      </c>
    </row>
    <row r="1871" ht="213.75" spans="1:13">
      <c r="A1871" s="85" t="s">
        <v>8383</v>
      </c>
      <c r="B1871" s="85" t="s">
        <v>8404</v>
      </c>
      <c r="C1871" s="85" t="s">
        <v>8405</v>
      </c>
      <c r="D1871" s="85" t="s">
        <v>4195</v>
      </c>
      <c r="E1871" s="85" t="s">
        <v>4369</v>
      </c>
      <c r="F1871" s="86">
        <v>44</v>
      </c>
      <c r="G1871" s="86">
        <v>14</v>
      </c>
      <c r="H1871" s="86">
        <v>616</v>
      </c>
      <c r="I1871" s="86">
        <v>998</v>
      </c>
      <c r="J1871" s="85" t="s">
        <v>4370</v>
      </c>
      <c r="K1871" s="85" t="s">
        <v>8336</v>
      </c>
      <c r="L1871" s="85" t="s">
        <v>4135</v>
      </c>
      <c r="M1871" s="85" t="s">
        <v>8406</v>
      </c>
    </row>
    <row r="1872" ht="213.75" spans="1:13">
      <c r="A1872" s="85" t="s">
        <v>8338</v>
      </c>
      <c r="B1872" s="85" t="s">
        <v>8407</v>
      </c>
      <c r="C1872" s="85" t="s">
        <v>8408</v>
      </c>
      <c r="D1872" s="85" t="s">
        <v>3074</v>
      </c>
      <c r="E1872" s="85" t="s">
        <v>1969</v>
      </c>
      <c r="F1872" s="86">
        <v>675</v>
      </c>
      <c r="G1872" s="86">
        <v>16</v>
      </c>
      <c r="H1872" s="86">
        <v>10800</v>
      </c>
      <c r="I1872" s="86">
        <v>27949</v>
      </c>
      <c r="J1872" s="85" t="s">
        <v>3075</v>
      </c>
      <c r="K1872" s="85" t="s">
        <v>8336</v>
      </c>
      <c r="L1872" s="85" t="s">
        <v>4135</v>
      </c>
      <c r="M1872" s="85" t="s">
        <v>8409</v>
      </c>
    </row>
    <row r="1873" ht="213.75" spans="1:13">
      <c r="A1873" s="85" t="s">
        <v>8376</v>
      </c>
      <c r="B1873" s="85" t="s">
        <v>2990</v>
      </c>
      <c r="C1873" s="85" t="s">
        <v>2991</v>
      </c>
      <c r="D1873" s="85" t="s">
        <v>2992</v>
      </c>
      <c r="E1873" s="85" t="s">
        <v>1815</v>
      </c>
      <c r="F1873" s="86">
        <v>46.5</v>
      </c>
      <c r="G1873" s="86">
        <v>160</v>
      </c>
      <c r="H1873" s="86">
        <v>7440</v>
      </c>
      <c r="I1873" s="86">
        <v>29752</v>
      </c>
      <c r="J1873" s="85" t="s">
        <v>2958</v>
      </c>
      <c r="K1873" s="85" t="s">
        <v>8336</v>
      </c>
      <c r="L1873" s="85" t="s">
        <v>4135</v>
      </c>
      <c r="M1873" s="85" t="s">
        <v>8410</v>
      </c>
    </row>
    <row r="1874" ht="213.75" spans="1:13">
      <c r="A1874" s="85" t="s">
        <v>8342</v>
      </c>
      <c r="B1874" s="85" t="s">
        <v>8411</v>
      </c>
      <c r="C1874" s="85" t="s">
        <v>8412</v>
      </c>
      <c r="D1874" s="85" t="s">
        <v>2982</v>
      </c>
      <c r="E1874" s="85" t="s">
        <v>8413</v>
      </c>
      <c r="F1874" s="86">
        <v>9.72</v>
      </c>
      <c r="G1874" s="86">
        <v>100</v>
      </c>
      <c r="H1874" s="86">
        <v>972</v>
      </c>
      <c r="I1874" s="86">
        <v>22792.8</v>
      </c>
      <c r="J1874" s="85" t="s">
        <v>2958</v>
      </c>
      <c r="K1874" s="85" t="s">
        <v>8336</v>
      </c>
      <c r="L1874" s="85" t="s">
        <v>4135</v>
      </c>
      <c r="M1874" s="85" t="s">
        <v>8414</v>
      </c>
    </row>
    <row r="1875" ht="213.75" spans="1:13">
      <c r="A1875" s="85" t="s">
        <v>8415</v>
      </c>
      <c r="B1875" s="85" t="s">
        <v>3788</v>
      </c>
      <c r="C1875" s="85" t="s">
        <v>3789</v>
      </c>
      <c r="D1875" s="85" t="s">
        <v>3189</v>
      </c>
      <c r="E1875" s="85" t="s">
        <v>3790</v>
      </c>
      <c r="F1875" s="86">
        <v>100</v>
      </c>
      <c r="G1875" s="86">
        <v>22</v>
      </c>
      <c r="H1875" s="86">
        <v>2200</v>
      </c>
      <c r="I1875" s="86">
        <v>2200</v>
      </c>
      <c r="J1875" s="85" t="s">
        <v>7934</v>
      </c>
      <c r="K1875" s="85" t="s">
        <v>8336</v>
      </c>
      <c r="L1875" s="85" t="s">
        <v>4135</v>
      </c>
      <c r="M1875" s="85" t="s">
        <v>8416</v>
      </c>
    </row>
    <row r="1876" ht="256.5" spans="1:13">
      <c r="A1876" s="85" t="s">
        <v>8342</v>
      </c>
      <c r="B1876" s="85" t="s">
        <v>8417</v>
      </c>
      <c r="C1876" s="85" t="s">
        <v>8418</v>
      </c>
      <c r="D1876" s="85" t="s">
        <v>8419</v>
      </c>
      <c r="E1876" s="85" t="s">
        <v>8420</v>
      </c>
      <c r="F1876" s="86">
        <v>27.3</v>
      </c>
      <c r="G1876" s="86">
        <v>80</v>
      </c>
      <c r="H1876" s="86">
        <v>2184</v>
      </c>
      <c r="I1876" s="86">
        <v>22792.8</v>
      </c>
      <c r="J1876" s="85" t="s">
        <v>2958</v>
      </c>
      <c r="K1876" s="85" t="s">
        <v>8336</v>
      </c>
      <c r="L1876" s="85" t="s">
        <v>4135</v>
      </c>
      <c r="M1876" s="85" t="s">
        <v>8421</v>
      </c>
    </row>
    <row r="1877" ht="213.75" spans="1:13">
      <c r="A1877" s="85" t="s">
        <v>8422</v>
      </c>
      <c r="B1877" s="85" t="s">
        <v>2901</v>
      </c>
      <c r="C1877" s="85" t="s">
        <v>2902</v>
      </c>
      <c r="D1877" s="85" t="s">
        <v>2903</v>
      </c>
      <c r="E1877" s="85" t="s">
        <v>2902</v>
      </c>
      <c r="F1877" s="86">
        <v>4980</v>
      </c>
      <c r="G1877" s="86">
        <v>1</v>
      </c>
      <c r="H1877" s="86">
        <v>4980</v>
      </c>
      <c r="I1877" s="86">
        <v>4980</v>
      </c>
      <c r="J1877" s="85" t="s">
        <v>4197</v>
      </c>
      <c r="K1877" s="85" t="s">
        <v>8423</v>
      </c>
      <c r="L1877" s="85" t="s">
        <v>4135</v>
      </c>
      <c r="M1877" s="85" t="s">
        <v>8424</v>
      </c>
    </row>
    <row r="1878" ht="213.75" spans="1:13">
      <c r="A1878" s="85" t="s">
        <v>8425</v>
      </c>
      <c r="B1878" s="85" t="s">
        <v>3116</v>
      </c>
      <c r="C1878" s="85" t="s">
        <v>3117</v>
      </c>
      <c r="D1878" s="85" t="s">
        <v>3118</v>
      </c>
      <c r="E1878" s="85" t="s">
        <v>3117</v>
      </c>
      <c r="F1878" s="86">
        <v>14000</v>
      </c>
      <c r="G1878" s="86">
        <v>1</v>
      </c>
      <c r="H1878" s="86">
        <v>14000</v>
      </c>
      <c r="I1878" s="86">
        <v>14000</v>
      </c>
      <c r="J1878" s="85" t="s">
        <v>6789</v>
      </c>
      <c r="K1878" s="85" t="s">
        <v>8426</v>
      </c>
      <c r="L1878" s="85" t="s">
        <v>4135</v>
      </c>
      <c r="M1878" s="85" t="s">
        <v>8427</v>
      </c>
    </row>
    <row r="1879" ht="213.75" spans="1:13">
      <c r="A1879" s="85" t="s">
        <v>8428</v>
      </c>
      <c r="B1879" s="85" t="s">
        <v>8429</v>
      </c>
      <c r="C1879" s="85" t="s">
        <v>8430</v>
      </c>
      <c r="D1879" s="85" t="s">
        <v>3153</v>
      </c>
      <c r="E1879" s="85" t="s">
        <v>8431</v>
      </c>
      <c r="F1879" s="86">
        <v>132.81</v>
      </c>
      <c r="G1879" s="86">
        <v>4</v>
      </c>
      <c r="H1879" s="86">
        <v>531.24</v>
      </c>
      <c r="I1879" s="86">
        <v>10805.84</v>
      </c>
      <c r="J1879" s="85" t="s">
        <v>4391</v>
      </c>
      <c r="K1879" s="85" t="s">
        <v>8432</v>
      </c>
      <c r="L1879" s="85" t="s">
        <v>4135</v>
      </c>
      <c r="M1879" s="85" t="s">
        <v>8433</v>
      </c>
    </row>
    <row r="1880" ht="213.75" spans="1:13">
      <c r="A1880" s="85" t="s">
        <v>8428</v>
      </c>
      <c r="B1880" s="85" t="s">
        <v>5425</v>
      </c>
      <c r="C1880" s="85" t="s">
        <v>5426</v>
      </c>
      <c r="D1880" s="85" t="s">
        <v>3737</v>
      </c>
      <c r="E1880" s="85" t="s">
        <v>5426</v>
      </c>
      <c r="F1880" s="86">
        <v>5.7</v>
      </c>
      <c r="G1880" s="86">
        <v>10</v>
      </c>
      <c r="H1880" s="86">
        <v>57</v>
      </c>
      <c r="I1880" s="86">
        <v>10805.84</v>
      </c>
      <c r="J1880" s="85" t="s">
        <v>4391</v>
      </c>
      <c r="K1880" s="85" t="s">
        <v>8432</v>
      </c>
      <c r="L1880" s="85" t="s">
        <v>4135</v>
      </c>
      <c r="M1880" s="85" t="s">
        <v>8434</v>
      </c>
    </row>
    <row r="1881" ht="213.75" spans="1:13">
      <c r="A1881" s="85" t="s">
        <v>8428</v>
      </c>
      <c r="B1881" s="85" t="s">
        <v>8435</v>
      </c>
      <c r="C1881" s="85" t="s">
        <v>8436</v>
      </c>
      <c r="D1881" s="85" t="s">
        <v>8298</v>
      </c>
      <c r="E1881" s="85" t="s">
        <v>8436</v>
      </c>
      <c r="F1881" s="86">
        <v>948</v>
      </c>
      <c r="G1881" s="86">
        <v>8</v>
      </c>
      <c r="H1881" s="86">
        <v>7584</v>
      </c>
      <c r="I1881" s="86">
        <v>10805.84</v>
      </c>
      <c r="J1881" s="85" t="s">
        <v>4391</v>
      </c>
      <c r="K1881" s="85" t="s">
        <v>8432</v>
      </c>
      <c r="L1881" s="85" t="s">
        <v>4135</v>
      </c>
      <c r="M1881" s="85" t="s">
        <v>8437</v>
      </c>
    </row>
    <row r="1882" ht="213.75" spans="1:13">
      <c r="A1882" s="85" t="s">
        <v>8428</v>
      </c>
      <c r="B1882" s="85" t="s">
        <v>8438</v>
      </c>
      <c r="C1882" s="85" t="s">
        <v>8439</v>
      </c>
      <c r="D1882" s="85" t="s">
        <v>8440</v>
      </c>
      <c r="E1882" s="85" t="s">
        <v>8441</v>
      </c>
      <c r="F1882" s="86">
        <v>46.8</v>
      </c>
      <c r="G1882" s="86">
        <v>2</v>
      </c>
      <c r="H1882" s="86">
        <v>93.6</v>
      </c>
      <c r="I1882" s="86">
        <v>10805.84</v>
      </c>
      <c r="J1882" s="85" t="s">
        <v>4391</v>
      </c>
      <c r="K1882" s="85" t="s">
        <v>8432</v>
      </c>
      <c r="L1882" s="85" t="s">
        <v>4135</v>
      </c>
      <c r="M1882" s="85" t="s">
        <v>8442</v>
      </c>
    </row>
    <row r="1883" ht="213.75" spans="1:13">
      <c r="A1883" s="85" t="s">
        <v>8428</v>
      </c>
      <c r="B1883" s="85" t="s">
        <v>8443</v>
      </c>
      <c r="C1883" s="85" t="s">
        <v>8444</v>
      </c>
      <c r="D1883" s="85" t="s">
        <v>3197</v>
      </c>
      <c r="E1883" s="85" t="s">
        <v>8445</v>
      </c>
      <c r="F1883" s="86">
        <v>7</v>
      </c>
      <c r="G1883" s="86">
        <v>50</v>
      </c>
      <c r="H1883" s="86">
        <v>350</v>
      </c>
      <c r="I1883" s="86">
        <v>10805.84</v>
      </c>
      <c r="J1883" s="85" t="s">
        <v>4391</v>
      </c>
      <c r="K1883" s="85" t="s">
        <v>8432</v>
      </c>
      <c r="L1883" s="85" t="s">
        <v>4135</v>
      </c>
      <c r="M1883" s="85" t="s">
        <v>8446</v>
      </c>
    </row>
    <row r="1884" ht="213.75" spans="1:13">
      <c r="A1884" s="85" t="s">
        <v>8428</v>
      </c>
      <c r="B1884" s="85" t="s">
        <v>8447</v>
      </c>
      <c r="C1884" s="85" t="s">
        <v>8448</v>
      </c>
      <c r="D1884" s="85" t="s">
        <v>3054</v>
      </c>
      <c r="E1884" s="85" t="s">
        <v>8448</v>
      </c>
      <c r="F1884" s="86">
        <v>438</v>
      </c>
      <c r="G1884" s="86">
        <v>5</v>
      </c>
      <c r="H1884" s="86">
        <v>2190</v>
      </c>
      <c r="I1884" s="86">
        <v>10805.84</v>
      </c>
      <c r="J1884" s="85" t="s">
        <v>4391</v>
      </c>
      <c r="K1884" s="85" t="s">
        <v>8432</v>
      </c>
      <c r="L1884" s="85" t="s">
        <v>4135</v>
      </c>
      <c r="M1884" s="85" t="s">
        <v>8449</v>
      </c>
    </row>
    <row r="1885" ht="213.75" spans="1:13">
      <c r="A1885" s="85" t="s">
        <v>8450</v>
      </c>
      <c r="B1885" s="85" t="s">
        <v>8451</v>
      </c>
      <c r="C1885" s="85" t="s">
        <v>8452</v>
      </c>
      <c r="D1885" s="85" t="s">
        <v>5879</v>
      </c>
      <c r="E1885" s="85" t="s">
        <v>8452</v>
      </c>
      <c r="F1885" s="86">
        <v>108.29</v>
      </c>
      <c r="G1885" s="86">
        <v>6</v>
      </c>
      <c r="H1885" s="86">
        <v>649.74</v>
      </c>
      <c r="I1885" s="86">
        <v>19383.99</v>
      </c>
      <c r="J1885" s="85" t="s">
        <v>2965</v>
      </c>
      <c r="K1885" s="85" t="s">
        <v>8453</v>
      </c>
      <c r="L1885" s="85" t="s">
        <v>4135</v>
      </c>
      <c r="M1885" s="85" t="s">
        <v>8454</v>
      </c>
    </row>
    <row r="1886" ht="213.75" spans="1:13">
      <c r="A1886" s="85" t="s">
        <v>8450</v>
      </c>
      <c r="B1886" s="85" t="s">
        <v>8455</v>
      </c>
      <c r="C1886" s="85" t="s">
        <v>8456</v>
      </c>
      <c r="D1886" s="85" t="s">
        <v>3054</v>
      </c>
      <c r="E1886" s="85" t="s">
        <v>8456</v>
      </c>
      <c r="F1886" s="86">
        <v>42.91</v>
      </c>
      <c r="G1886" s="86">
        <v>2</v>
      </c>
      <c r="H1886" s="86">
        <v>85.82</v>
      </c>
      <c r="I1886" s="86">
        <v>19383.99</v>
      </c>
      <c r="J1886" s="85" t="s">
        <v>2965</v>
      </c>
      <c r="K1886" s="85" t="s">
        <v>8453</v>
      </c>
      <c r="L1886" s="85" t="s">
        <v>4135</v>
      </c>
      <c r="M1886" s="85" t="s">
        <v>8457</v>
      </c>
    </row>
    <row r="1887" ht="213.75" spans="1:13">
      <c r="A1887" s="85" t="s">
        <v>8450</v>
      </c>
      <c r="B1887" s="85" t="s">
        <v>8458</v>
      </c>
      <c r="C1887" s="85" t="s">
        <v>8459</v>
      </c>
      <c r="D1887" s="85" t="s">
        <v>8460</v>
      </c>
      <c r="E1887" s="85" t="s">
        <v>8459</v>
      </c>
      <c r="F1887" s="86">
        <v>27.5</v>
      </c>
      <c r="G1887" s="86">
        <v>200</v>
      </c>
      <c r="H1887" s="86">
        <v>5500</v>
      </c>
      <c r="I1887" s="86">
        <v>19383.99</v>
      </c>
      <c r="J1887" s="85" t="s">
        <v>2965</v>
      </c>
      <c r="K1887" s="85" t="s">
        <v>8453</v>
      </c>
      <c r="L1887" s="85" t="s">
        <v>4135</v>
      </c>
      <c r="M1887" s="85" t="s">
        <v>8461</v>
      </c>
    </row>
    <row r="1888" ht="213.75" spans="1:13">
      <c r="A1888" s="85" t="s">
        <v>8450</v>
      </c>
      <c r="B1888" s="85" t="s">
        <v>3942</v>
      </c>
      <c r="C1888" s="85" t="s">
        <v>3943</v>
      </c>
      <c r="D1888" s="85" t="s">
        <v>3944</v>
      </c>
      <c r="E1888" s="85" t="s">
        <v>3943</v>
      </c>
      <c r="F1888" s="86">
        <v>55.06</v>
      </c>
      <c r="G1888" s="86">
        <v>4</v>
      </c>
      <c r="H1888" s="86">
        <v>220.24</v>
      </c>
      <c r="I1888" s="86">
        <v>19383.99</v>
      </c>
      <c r="J1888" s="85" t="s">
        <v>2965</v>
      </c>
      <c r="K1888" s="85" t="s">
        <v>8453</v>
      </c>
      <c r="L1888" s="85" t="s">
        <v>4135</v>
      </c>
      <c r="M1888" s="85" t="s">
        <v>8462</v>
      </c>
    </row>
    <row r="1889" ht="213.75" spans="1:13">
      <c r="A1889" s="85" t="s">
        <v>8450</v>
      </c>
      <c r="B1889" s="85" t="s">
        <v>5782</v>
      </c>
      <c r="C1889" s="85" t="s">
        <v>5783</v>
      </c>
      <c r="D1889" s="85" t="s">
        <v>3189</v>
      </c>
      <c r="E1889" s="85" t="s">
        <v>5783</v>
      </c>
      <c r="F1889" s="86">
        <v>42.25</v>
      </c>
      <c r="G1889" s="86">
        <v>5</v>
      </c>
      <c r="H1889" s="86">
        <v>211.25</v>
      </c>
      <c r="I1889" s="86">
        <v>19383.99</v>
      </c>
      <c r="J1889" s="85" t="s">
        <v>2965</v>
      </c>
      <c r="K1889" s="85" t="s">
        <v>8453</v>
      </c>
      <c r="L1889" s="85" t="s">
        <v>4135</v>
      </c>
      <c r="M1889" s="85" t="s">
        <v>8463</v>
      </c>
    </row>
    <row r="1890" ht="213.75" spans="1:13">
      <c r="A1890" s="85" t="s">
        <v>8450</v>
      </c>
      <c r="B1890" s="85" t="s">
        <v>6271</v>
      </c>
      <c r="C1890" s="85" t="s">
        <v>6272</v>
      </c>
      <c r="D1890" s="85" t="s">
        <v>6273</v>
      </c>
      <c r="E1890" s="85" t="s">
        <v>6272</v>
      </c>
      <c r="F1890" s="86">
        <v>3.14</v>
      </c>
      <c r="G1890" s="86">
        <v>5</v>
      </c>
      <c r="H1890" s="86">
        <v>15.7</v>
      </c>
      <c r="I1890" s="86">
        <v>19383.99</v>
      </c>
      <c r="J1890" s="85" t="s">
        <v>2965</v>
      </c>
      <c r="K1890" s="85" t="s">
        <v>8453</v>
      </c>
      <c r="L1890" s="85" t="s">
        <v>4135</v>
      </c>
      <c r="M1890" s="85" t="s">
        <v>8464</v>
      </c>
    </row>
    <row r="1891" ht="213.75" spans="1:13">
      <c r="A1891" s="85" t="s">
        <v>8450</v>
      </c>
      <c r="B1891" s="85" t="s">
        <v>7242</v>
      </c>
      <c r="C1891" s="85" t="s">
        <v>7243</v>
      </c>
      <c r="D1891" s="85" t="s">
        <v>3593</v>
      </c>
      <c r="E1891" s="85" t="s">
        <v>7243</v>
      </c>
      <c r="F1891" s="86">
        <v>0.61</v>
      </c>
      <c r="G1891" s="86">
        <v>32</v>
      </c>
      <c r="H1891" s="86">
        <v>19.52</v>
      </c>
      <c r="I1891" s="86">
        <v>19383.99</v>
      </c>
      <c r="J1891" s="85" t="s">
        <v>2965</v>
      </c>
      <c r="K1891" s="85" t="s">
        <v>8453</v>
      </c>
      <c r="L1891" s="85" t="s">
        <v>4135</v>
      </c>
      <c r="M1891" s="85" t="s">
        <v>8465</v>
      </c>
    </row>
    <row r="1892" ht="213.75" spans="1:13">
      <c r="A1892" s="85" t="s">
        <v>8450</v>
      </c>
      <c r="B1892" s="85" t="s">
        <v>8466</v>
      </c>
      <c r="C1892" s="85" t="s">
        <v>8467</v>
      </c>
      <c r="D1892" s="85" t="s">
        <v>7271</v>
      </c>
      <c r="E1892" s="85" t="s">
        <v>8467</v>
      </c>
      <c r="F1892" s="86">
        <v>23.92</v>
      </c>
      <c r="G1892" s="86">
        <v>1</v>
      </c>
      <c r="H1892" s="86">
        <v>23.92</v>
      </c>
      <c r="I1892" s="86">
        <v>19383.99</v>
      </c>
      <c r="J1892" s="85" t="s">
        <v>2965</v>
      </c>
      <c r="K1892" s="85" t="s">
        <v>8453</v>
      </c>
      <c r="L1892" s="85" t="s">
        <v>4135</v>
      </c>
      <c r="M1892" s="85" t="s">
        <v>8468</v>
      </c>
    </row>
    <row r="1893" ht="213.75" spans="1:13">
      <c r="A1893" s="85" t="s">
        <v>8450</v>
      </c>
      <c r="B1893" s="85" t="s">
        <v>8469</v>
      </c>
      <c r="C1893" s="85" t="s">
        <v>8470</v>
      </c>
      <c r="D1893" s="85" t="s">
        <v>2973</v>
      </c>
      <c r="E1893" s="85" t="s">
        <v>8470</v>
      </c>
      <c r="F1893" s="86">
        <v>490</v>
      </c>
      <c r="G1893" s="86">
        <v>15</v>
      </c>
      <c r="H1893" s="86">
        <v>7350</v>
      </c>
      <c r="I1893" s="86">
        <v>19383.99</v>
      </c>
      <c r="J1893" s="85" t="s">
        <v>2965</v>
      </c>
      <c r="K1893" s="85" t="s">
        <v>8453</v>
      </c>
      <c r="L1893" s="85" t="s">
        <v>4135</v>
      </c>
      <c r="M1893" s="85" t="s">
        <v>8471</v>
      </c>
    </row>
    <row r="1894" ht="213.75" spans="1:13">
      <c r="A1894" s="85" t="s">
        <v>8450</v>
      </c>
      <c r="B1894" s="85" t="s">
        <v>5138</v>
      </c>
      <c r="C1894" s="85" t="s">
        <v>5139</v>
      </c>
      <c r="D1894" s="85" t="s">
        <v>5140</v>
      </c>
      <c r="E1894" s="85" t="s">
        <v>5139</v>
      </c>
      <c r="F1894" s="86">
        <v>7</v>
      </c>
      <c r="G1894" s="86">
        <v>150</v>
      </c>
      <c r="H1894" s="86">
        <v>1050</v>
      </c>
      <c r="I1894" s="86">
        <v>19383.99</v>
      </c>
      <c r="J1894" s="85" t="s">
        <v>2965</v>
      </c>
      <c r="K1894" s="85" t="s">
        <v>8453</v>
      </c>
      <c r="L1894" s="85" t="s">
        <v>4135</v>
      </c>
      <c r="M1894" s="85" t="s">
        <v>8472</v>
      </c>
    </row>
    <row r="1895" ht="213.75" spans="1:13">
      <c r="A1895" s="85" t="s">
        <v>8450</v>
      </c>
      <c r="B1895" s="85" t="s">
        <v>8473</v>
      </c>
      <c r="C1895" s="85" t="s">
        <v>8474</v>
      </c>
      <c r="D1895" s="85" t="s">
        <v>2973</v>
      </c>
      <c r="E1895" s="85" t="s">
        <v>8474</v>
      </c>
      <c r="F1895" s="86">
        <v>1240</v>
      </c>
      <c r="G1895" s="86">
        <v>1</v>
      </c>
      <c r="H1895" s="86">
        <v>1240</v>
      </c>
      <c r="I1895" s="86">
        <v>19383.99</v>
      </c>
      <c r="J1895" s="85" t="s">
        <v>2965</v>
      </c>
      <c r="K1895" s="85" t="s">
        <v>8453</v>
      </c>
      <c r="L1895" s="85" t="s">
        <v>4135</v>
      </c>
      <c r="M1895" s="85" t="s">
        <v>8475</v>
      </c>
    </row>
    <row r="1896" ht="213.75" spans="1:13">
      <c r="A1896" s="85" t="s">
        <v>8450</v>
      </c>
      <c r="B1896" s="85" t="s">
        <v>8476</v>
      </c>
      <c r="C1896" s="85" t="s">
        <v>8477</v>
      </c>
      <c r="D1896" s="85" t="s">
        <v>3153</v>
      </c>
      <c r="E1896" s="85" t="s">
        <v>8477</v>
      </c>
      <c r="F1896" s="86">
        <v>14.47</v>
      </c>
      <c r="G1896" s="86">
        <v>40</v>
      </c>
      <c r="H1896" s="86">
        <v>578.8</v>
      </c>
      <c r="I1896" s="86">
        <v>19383.99</v>
      </c>
      <c r="J1896" s="85" t="s">
        <v>2965</v>
      </c>
      <c r="K1896" s="85" t="s">
        <v>8453</v>
      </c>
      <c r="L1896" s="85" t="s">
        <v>4135</v>
      </c>
      <c r="M1896" s="85" t="s">
        <v>8478</v>
      </c>
    </row>
    <row r="1897" ht="213.75" spans="1:13">
      <c r="A1897" s="85" t="s">
        <v>8450</v>
      </c>
      <c r="B1897" s="85" t="s">
        <v>4800</v>
      </c>
      <c r="C1897" s="85" t="s">
        <v>4801</v>
      </c>
      <c r="D1897" s="85" t="s">
        <v>4802</v>
      </c>
      <c r="E1897" s="85" t="s">
        <v>4801</v>
      </c>
      <c r="F1897" s="86">
        <v>24.39</v>
      </c>
      <c r="G1897" s="86">
        <v>100</v>
      </c>
      <c r="H1897" s="86">
        <v>2439</v>
      </c>
      <c r="I1897" s="86">
        <v>19383.99</v>
      </c>
      <c r="J1897" s="85" t="s">
        <v>2965</v>
      </c>
      <c r="K1897" s="85" t="s">
        <v>8453</v>
      </c>
      <c r="L1897" s="85" t="s">
        <v>4135</v>
      </c>
      <c r="M1897" s="85" t="s">
        <v>8479</v>
      </c>
    </row>
    <row r="1898" ht="213.75" spans="1:13">
      <c r="A1898" s="85" t="s">
        <v>8480</v>
      </c>
      <c r="B1898" s="85" t="s">
        <v>3123</v>
      </c>
      <c r="C1898" s="85" t="s">
        <v>3124</v>
      </c>
      <c r="D1898" s="85" t="s">
        <v>3125</v>
      </c>
      <c r="E1898" s="85" t="s">
        <v>3124</v>
      </c>
      <c r="F1898" s="86">
        <v>76010</v>
      </c>
      <c r="G1898" s="86">
        <v>1</v>
      </c>
      <c r="H1898" s="86">
        <v>76010</v>
      </c>
      <c r="I1898" s="86">
        <v>76010</v>
      </c>
      <c r="J1898" s="85" t="s">
        <v>8481</v>
      </c>
      <c r="K1898" s="85" t="s">
        <v>8482</v>
      </c>
      <c r="L1898" s="85" t="s">
        <v>4135</v>
      </c>
      <c r="M1898" s="85" t="s">
        <v>8483</v>
      </c>
    </row>
    <row r="1899" ht="213.75" spans="1:13">
      <c r="A1899" s="85" t="s">
        <v>8484</v>
      </c>
      <c r="B1899" s="85" t="s">
        <v>6705</v>
      </c>
      <c r="C1899" s="85" t="s">
        <v>6706</v>
      </c>
      <c r="D1899" s="85" t="s">
        <v>4848</v>
      </c>
      <c r="E1899" s="85" t="s">
        <v>6707</v>
      </c>
      <c r="F1899" s="86">
        <v>3</v>
      </c>
      <c r="G1899" s="86">
        <v>260</v>
      </c>
      <c r="H1899" s="86">
        <v>780</v>
      </c>
      <c r="I1899" s="86">
        <v>1916</v>
      </c>
      <c r="J1899" s="85" t="s">
        <v>4370</v>
      </c>
      <c r="K1899" s="85" t="s">
        <v>8485</v>
      </c>
      <c r="L1899" s="85" t="s">
        <v>4135</v>
      </c>
      <c r="M1899" s="85" t="s">
        <v>8486</v>
      </c>
    </row>
    <row r="1900" ht="213.75" spans="1:13">
      <c r="A1900" s="85" t="s">
        <v>8484</v>
      </c>
      <c r="B1900" s="85" t="s">
        <v>8487</v>
      </c>
      <c r="C1900" s="85" t="s">
        <v>8488</v>
      </c>
      <c r="D1900" s="85" t="s">
        <v>3024</v>
      </c>
      <c r="E1900" s="85" t="s">
        <v>8489</v>
      </c>
      <c r="F1900" s="86">
        <v>78</v>
      </c>
      <c r="G1900" s="86">
        <v>2</v>
      </c>
      <c r="H1900" s="86">
        <v>156</v>
      </c>
      <c r="I1900" s="86">
        <v>1916</v>
      </c>
      <c r="J1900" s="85" t="s">
        <v>4370</v>
      </c>
      <c r="K1900" s="85" t="s">
        <v>8485</v>
      </c>
      <c r="L1900" s="85" t="s">
        <v>4135</v>
      </c>
      <c r="M1900" s="85" t="s">
        <v>8490</v>
      </c>
    </row>
    <row r="1901" ht="213.75" spans="1:13">
      <c r="A1901" s="85" t="s">
        <v>8484</v>
      </c>
      <c r="B1901" s="85" t="s">
        <v>8491</v>
      </c>
      <c r="C1901" s="85" t="s">
        <v>8492</v>
      </c>
      <c r="D1901" s="85" t="s">
        <v>3177</v>
      </c>
      <c r="E1901" s="85" t="s">
        <v>6549</v>
      </c>
      <c r="F1901" s="86">
        <v>520</v>
      </c>
      <c r="G1901" s="86">
        <v>1</v>
      </c>
      <c r="H1901" s="86">
        <v>520</v>
      </c>
      <c r="I1901" s="86">
        <v>1916</v>
      </c>
      <c r="J1901" s="85" t="s">
        <v>4370</v>
      </c>
      <c r="K1901" s="85" t="s">
        <v>8485</v>
      </c>
      <c r="L1901" s="85" t="s">
        <v>4135</v>
      </c>
      <c r="M1901" s="85" t="s">
        <v>8493</v>
      </c>
    </row>
    <row r="1902" ht="213.75" spans="1:13">
      <c r="A1902" s="85" t="s">
        <v>8484</v>
      </c>
      <c r="B1902" s="85" t="s">
        <v>8494</v>
      </c>
      <c r="C1902" s="85" t="s">
        <v>8495</v>
      </c>
      <c r="D1902" s="85" t="s">
        <v>4195</v>
      </c>
      <c r="E1902" s="85" t="s">
        <v>4369</v>
      </c>
      <c r="F1902" s="86">
        <v>460</v>
      </c>
      <c r="G1902" s="86">
        <v>1</v>
      </c>
      <c r="H1902" s="86">
        <v>460</v>
      </c>
      <c r="I1902" s="86">
        <v>1916</v>
      </c>
      <c r="J1902" s="85" t="s">
        <v>4370</v>
      </c>
      <c r="K1902" s="85" t="s">
        <v>8485</v>
      </c>
      <c r="L1902" s="85" t="s">
        <v>4135</v>
      </c>
      <c r="M1902" s="85" t="s">
        <v>8496</v>
      </c>
    </row>
    <row r="1903" ht="213.75" spans="1:13">
      <c r="A1903" s="85" t="s">
        <v>8497</v>
      </c>
      <c r="B1903" s="85" t="s">
        <v>8498</v>
      </c>
      <c r="C1903" s="85" t="s">
        <v>8499</v>
      </c>
      <c r="D1903" s="85" t="s">
        <v>6465</v>
      </c>
      <c r="E1903" s="85" t="s">
        <v>6466</v>
      </c>
      <c r="F1903" s="86">
        <v>22</v>
      </c>
      <c r="G1903" s="86">
        <v>200</v>
      </c>
      <c r="H1903" s="86">
        <v>4400</v>
      </c>
      <c r="I1903" s="86">
        <v>4400</v>
      </c>
      <c r="J1903" s="85" t="s">
        <v>8500</v>
      </c>
      <c r="K1903" s="85" t="s">
        <v>8501</v>
      </c>
      <c r="L1903" s="85" t="s">
        <v>4135</v>
      </c>
      <c r="M1903" s="85" t="s">
        <v>8502</v>
      </c>
    </row>
    <row r="1904" ht="213.75" spans="1:13">
      <c r="A1904" s="85" t="s">
        <v>8503</v>
      </c>
      <c r="B1904" s="85" t="s">
        <v>2901</v>
      </c>
      <c r="C1904" s="85" t="s">
        <v>2902</v>
      </c>
      <c r="D1904" s="85" t="s">
        <v>2903</v>
      </c>
      <c r="E1904" s="85" t="s">
        <v>2902</v>
      </c>
      <c r="F1904" s="86">
        <v>206187.98</v>
      </c>
      <c r="G1904" s="86">
        <v>1</v>
      </c>
      <c r="H1904" s="86">
        <v>206187.98</v>
      </c>
      <c r="I1904" s="86">
        <v>206187.98</v>
      </c>
      <c r="J1904" s="85" t="s">
        <v>8504</v>
      </c>
      <c r="K1904" s="85" t="s">
        <v>8505</v>
      </c>
      <c r="L1904" s="85" t="s">
        <v>4135</v>
      </c>
      <c r="M1904" s="85" t="s">
        <v>8506</v>
      </c>
    </row>
    <row r="1905" ht="213.75" spans="1:13">
      <c r="A1905" s="85" t="s">
        <v>8507</v>
      </c>
      <c r="B1905" s="85" t="s">
        <v>2948</v>
      </c>
      <c r="C1905" s="85" t="s">
        <v>2949</v>
      </c>
      <c r="D1905" s="85" t="s">
        <v>2950</v>
      </c>
      <c r="E1905" s="85" t="s">
        <v>1720</v>
      </c>
      <c r="F1905" s="86">
        <v>23525</v>
      </c>
      <c r="G1905" s="86">
        <v>1</v>
      </c>
      <c r="H1905" s="86">
        <v>23525</v>
      </c>
      <c r="I1905" s="86">
        <v>23525</v>
      </c>
      <c r="J1905" s="85" t="s">
        <v>2935</v>
      </c>
      <c r="K1905" s="85" t="s">
        <v>8508</v>
      </c>
      <c r="L1905" s="85" t="s">
        <v>4135</v>
      </c>
      <c r="M1905" s="85" t="s">
        <v>8509</v>
      </c>
    </row>
    <row r="1906" ht="213.75" spans="1:13">
      <c r="A1906" s="85" t="s">
        <v>8510</v>
      </c>
      <c r="B1906" s="85" t="s">
        <v>2948</v>
      </c>
      <c r="C1906" s="85" t="s">
        <v>2949</v>
      </c>
      <c r="D1906" s="85" t="s">
        <v>2950</v>
      </c>
      <c r="E1906" s="85" t="s">
        <v>1720</v>
      </c>
      <c r="F1906" s="86">
        <v>20378.98</v>
      </c>
      <c r="G1906" s="86">
        <v>1</v>
      </c>
      <c r="H1906" s="86">
        <v>20378.98</v>
      </c>
      <c r="I1906" s="86">
        <v>20378.98</v>
      </c>
      <c r="J1906" s="85" t="s">
        <v>4391</v>
      </c>
      <c r="K1906" s="85" t="s">
        <v>8511</v>
      </c>
      <c r="L1906" s="85" t="s">
        <v>4135</v>
      </c>
      <c r="M1906" s="85" t="s">
        <v>8512</v>
      </c>
    </row>
    <row r="1907" ht="213.75" spans="1:13">
      <c r="A1907" s="85" t="s">
        <v>8513</v>
      </c>
      <c r="B1907" s="85" t="s">
        <v>8514</v>
      </c>
      <c r="C1907" s="85" t="s">
        <v>8515</v>
      </c>
      <c r="D1907" s="85" t="s">
        <v>3189</v>
      </c>
      <c r="E1907" s="85" t="s">
        <v>8515</v>
      </c>
      <c r="F1907" s="86">
        <v>27</v>
      </c>
      <c r="G1907" s="86">
        <v>60</v>
      </c>
      <c r="H1907" s="86">
        <v>1620</v>
      </c>
      <c r="I1907" s="86">
        <v>5117</v>
      </c>
      <c r="J1907" s="85" t="s">
        <v>2935</v>
      </c>
      <c r="K1907" s="85" t="s">
        <v>8516</v>
      </c>
      <c r="L1907" s="85" t="s">
        <v>4135</v>
      </c>
      <c r="M1907" s="85" t="s">
        <v>8517</v>
      </c>
    </row>
    <row r="1908" ht="213.75" spans="1:13">
      <c r="A1908" s="85" t="s">
        <v>8513</v>
      </c>
      <c r="B1908" s="85" t="s">
        <v>8518</v>
      </c>
      <c r="C1908" s="85" t="s">
        <v>8519</v>
      </c>
      <c r="D1908" s="85" t="s">
        <v>3617</v>
      </c>
      <c r="E1908" s="85" t="s">
        <v>6448</v>
      </c>
      <c r="F1908" s="86">
        <v>38</v>
      </c>
      <c r="G1908" s="86">
        <v>20</v>
      </c>
      <c r="H1908" s="86">
        <v>760</v>
      </c>
      <c r="I1908" s="86">
        <v>5117</v>
      </c>
      <c r="J1908" s="85" t="s">
        <v>2935</v>
      </c>
      <c r="K1908" s="85" t="s">
        <v>8516</v>
      </c>
      <c r="L1908" s="85" t="s">
        <v>4135</v>
      </c>
      <c r="M1908" s="85" t="s">
        <v>8520</v>
      </c>
    </row>
    <row r="1909" ht="213.75" spans="1:13">
      <c r="A1909" s="85" t="s">
        <v>8513</v>
      </c>
      <c r="B1909" s="85" t="s">
        <v>8521</v>
      </c>
      <c r="C1909" s="85" t="s">
        <v>8522</v>
      </c>
      <c r="D1909" s="85" t="s">
        <v>3907</v>
      </c>
      <c r="E1909" s="85" t="s">
        <v>8523</v>
      </c>
      <c r="F1909" s="86">
        <v>9.7</v>
      </c>
      <c r="G1909" s="86">
        <v>10</v>
      </c>
      <c r="H1909" s="86">
        <v>97</v>
      </c>
      <c r="I1909" s="86">
        <v>5117</v>
      </c>
      <c r="J1909" s="85" t="s">
        <v>2935</v>
      </c>
      <c r="K1909" s="85" t="s">
        <v>8516</v>
      </c>
      <c r="L1909" s="85" t="s">
        <v>4135</v>
      </c>
      <c r="M1909" s="85" t="s">
        <v>8524</v>
      </c>
    </row>
    <row r="1910" ht="213.75" spans="1:13">
      <c r="A1910" s="85" t="s">
        <v>8513</v>
      </c>
      <c r="B1910" s="85" t="s">
        <v>8525</v>
      </c>
      <c r="C1910" s="85" t="s">
        <v>8526</v>
      </c>
      <c r="D1910" s="85" t="s">
        <v>3963</v>
      </c>
      <c r="E1910" s="85" t="s">
        <v>8527</v>
      </c>
      <c r="F1910" s="86">
        <v>15</v>
      </c>
      <c r="G1910" s="86">
        <v>16</v>
      </c>
      <c r="H1910" s="86">
        <v>240</v>
      </c>
      <c r="I1910" s="86">
        <v>5117</v>
      </c>
      <c r="J1910" s="85" t="s">
        <v>2935</v>
      </c>
      <c r="K1910" s="85" t="s">
        <v>8516</v>
      </c>
      <c r="L1910" s="85" t="s">
        <v>4135</v>
      </c>
      <c r="M1910" s="85" t="s">
        <v>8528</v>
      </c>
    </row>
    <row r="1911" ht="213.75" spans="1:13">
      <c r="A1911" s="85" t="s">
        <v>8513</v>
      </c>
      <c r="B1911" s="85" t="s">
        <v>8529</v>
      </c>
      <c r="C1911" s="85" t="s">
        <v>8530</v>
      </c>
      <c r="D1911" s="85" t="s">
        <v>3153</v>
      </c>
      <c r="E1911" s="85" t="s">
        <v>8431</v>
      </c>
      <c r="F1911" s="86">
        <v>40</v>
      </c>
      <c r="G1911" s="86">
        <v>10</v>
      </c>
      <c r="H1911" s="86">
        <v>400</v>
      </c>
      <c r="I1911" s="86">
        <v>5117</v>
      </c>
      <c r="J1911" s="85" t="s">
        <v>2935</v>
      </c>
      <c r="K1911" s="85" t="s">
        <v>8516</v>
      </c>
      <c r="L1911" s="85" t="s">
        <v>4135</v>
      </c>
      <c r="M1911" s="85" t="s">
        <v>8531</v>
      </c>
    </row>
    <row r="1912" ht="213.75" spans="1:13">
      <c r="A1912" s="85" t="s">
        <v>8513</v>
      </c>
      <c r="B1912" s="85" t="s">
        <v>8532</v>
      </c>
      <c r="C1912" s="85" t="s">
        <v>8533</v>
      </c>
      <c r="D1912" s="85" t="s">
        <v>8534</v>
      </c>
      <c r="E1912" s="85" t="s">
        <v>3098</v>
      </c>
      <c r="F1912" s="86">
        <v>8.2</v>
      </c>
      <c r="G1912" s="86">
        <v>100</v>
      </c>
      <c r="H1912" s="86">
        <v>820</v>
      </c>
      <c r="I1912" s="86">
        <v>5117</v>
      </c>
      <c r="J1912" s="85" t="s">
        <v>2935</v>
      </c>
      <c r="K1912" s="85" t="s">
        <v>8516</v>
      </c>
      <c r="L1912" s="85" t="s">
        <v>4135</v>
      </c>
      <c r="M1912" s="85" t="s">
        <v>8535</v>
      </c>
    </row>
    <row r="1913" ht="213.75" spans="1:13">
      <c r="A1913" s="85" t="s">
        <v>8513</v>
      </c>
      <c r="B1913" s="85" t="s">
        <v>8536</v>
      </c>
      <c r="C1913" s="85" t="s">
        <v>8537</v>
      </c>
      <c r="D1913" s="85" t="s">
        <v>3907</v>
      </c>
      <c r="E1913" s="85" t="s">
        <v>6860</v>
      </c>
      <c r="F1913" s="86">
        <v>59</v>
      </c>
      <c r="G1913" s="86">
        <v>20</v>
      </c>
      <c r="H1913" s="86">
        <v>1180</v>
      </c>
      <c r="I1913" s="86">
        <v>5117</v>
      </c>
      <c r="J1913" s="85" t="s">
        <v>2935</v>
      </c>
      <c r="K1913" s="85" t="s">
        <v>8516</v>
      </c>
      <c r="L1913" s="85" t="s">
        <v>4135</v>
      </c>
      <c r="M1913" s="85" t="s">
        <v>8538</v>
      </c>
    </row>
    <row r="1914" ht="213.75" spans="1:13">
      <c r="A1914" s="85" t="s">
        <v>8539</v>
      </c>
      <c r="B1914" s="85" t="s">
        <v>8540</v>
      </c>
      <c r="C1914" s="85" t="s">
        <v>8541</v>
      </c>
      <c r="D1914" s="85" t="s">
        <v>3201</v>
      </c>
      <c r="E1914" s="85" t="s">
        <v>8541</v>
      </c>
      <c r="F1914" s="86">
        <v>11.5</v>
      </c>
      <c r="G1914" s="86">
        <v>10</v>
      </c>
      <c r="H1914" s="86">
        <v>115</v>
      </c>
      <c r="I1914" s="86">
        <v>7592</v>
      </c>
      <c r="J1914" s="85" t="s">
        <v>2935</v>
      </c>
      <c r="K1914" s="85" t="s">
        <v>8542</v>
      </c>
      <c r="L1914" s="85" t="s">
        <v>4135</v>
      </c>
      <c r="M1914" s="85" t="s">
        <v>8543</v>
      </c>
    </row>
    <row r="1915" ht="213.75" spans="1:13">
      <c r="A1915" s="85" t="s">
        <v>8539</v>
      </c>
      <c r="B1915" s="85" t="s">
        <v>8544</v>
      </c>
      <c r="C1915" s="85" t="s">
        <v>8545</v>
      </c>
      <c r="D1915" s="85" t="s">
        <v>3579</v>
      </c>
      <c r="E1915" s="85" t="s">
        <v>5737</v>
      </c>
      <c r="F1915" s="86">
        <v>370</v>
      </c>
      <c r="G1915" s="86">
        <v>4</v>
      </c>
      <c r="H1915" s="86">
        <v>1480</v>
      </c>
      <c r="I1915" s="86">
        <v>7592</v>
      </c>
      <c r="J1915" s="85" t="s">
        <v>2935</v>
      </c>
      <c r="K1915" s="85" t="s">
        <v>8542</v>
      </c>
      <c r="L1915" s="85" t="s">
        <v>4135</v>
      </c>
      <c r="M1915" s="85" t="s">
        <v>8546</v>
      </c>
    </row>
    <row r="1916" ht="213.75" spans="1:13">
      <c r="A1916" s="85" t="s">
        <v>8539</v>
      </c>
      <c r="B1916" s="85" t="s">
        <v>8547</v>
      </c>
      <c r="C1916" s="85" t="s">
        <v>8548</v>
      </c>
      <c r="D1916" s="85" t="s">
        <v>3753</v>
      </c>
      <c r="E1916" s="85" t="s">
        <v>8549</v>
      </c>
      <c r="F1916" s="86">
        <v>35</v>
      </c>
      <c r="G1916" s="86">
        <v>97</v>
      </c>
      <c r="H1916" s="86">
        <v>3395</v>
      </c>
      <c r="I1916" s="86">
        <v>7592</v>
      </c>
      <c r="J1916" s="85" t="s">
        <v>2935</v>
      </c>
      <c r="K1916" s="85" t="s">
        <v>8542</v>
      </c>
      <c r="L1916" s="85" t="s">
        <v>4135</v>
      </c>
      <c r="M1916" s="85" t="s">
        <v>8550</v>
      </c>
    </row>
    <row r="1917" ht="213.75" spans="1:13">
      <c r="A1917" s="85" t="s">
        <v>8539</v>
      </c>
      <c r="B1917" s="85" t="s">
        <v>8551</v>
      </c>
      <c r="C1917" s="85" t="s">
        <v>8552</v>
      </c>
      <c r="D1917" s="85" t="s">
        <v>4246</v>
      </c>
      <c r="E1917" s="85" t="s">
        <v>8552</v>
      </c>
      <c r="F1917" s="86">
        <v>50</v>
      </c>
      <c r="G1917" s="86">
        <v>5</v>
      </c>
      <c r="H1917" s="86">
        <v>250</v>
      </c>
      <c r="I1917" s="86">
        <v>7592</v>
      </c>
      <c r="J1917" s="85" t="s">
        <v>2935</v>
      </c>
      <c r="K1917" s="85" t="s">
        <v>8542</v>
      </c>
      <c r="L1917" s="85" t="s">
        <v>4135</v>
      </c>
      <c r="M1917" s="85" t="s">
        <v>8553</v>
      </c>
    </row>
    <row r="1918" ht="213.75" spans="1:13">
      <c r="A1918" s="85" t="s">
        <v>8539</v>
      </c>
      <c r="B1918" s="85" t="s">
        <v>8554</v>
      </c>
      <c r="C1918" s="85" t="s">
        <v>8555</v>
      </c>
      <c r="D1918" s="85" t="s">
        <v>3189</v>
      </c>
      <c r="E1918" s="85" t="s">
        <v>3190</v>
      </c>
      <c r="F1918" s="86">
        <v>33</v>
      </c>
      <c r="G1918" s="86">
        <v>10</v>
      </c>
      <c r="H1918" s="86">
        <v>330</v>
      </c>
      <c r="I1918" s="86">
        <v>7592</v>
      </c>
      <c r="J1918" s="85" t="s">
        <v>2935</v>
      </c>
      <c r="K1918" s="85" t="s">
        <v>8542</v>
      </c>
      <c r="L1918" s="85" t="s">
        <v>4135</v>
      </c>
      <c r="M1918" s="85" t="s">
        <v>8556</v>
      </c>
    </row>
    <row r="1919" ht="213.75" spans="1:13">
      <c r="A1919" s="85" t="s">
        <v>8539</v>
      </c>
      <c r="B1919" s="85" t="s">
        <v>8557</v>
      </c>
      <c r="C1919" s="85" t="s">
        <v>8558</v>
      </c>
      <c r="D1919" s="85" t="s">
        <v>6122</v>
      </c>
      <c r="E1919" s="85" t="s">
        <v>8559</v>
      </c>
      <c r="F1919" s="86">
        <v>7</v>
      </c>
      <c r="G1919" s="86">
        <v>25</v>
      </c>
      <c r="H1919" s="86">
        <v>175</v>
      </c>
      <c r="I1919" s="86">
        <v>7592</v>
      </c>
      <c r="J1919" s="85" t="s">
        <v>2935</v>
      </c>
      <c r="K1919" s="85" t="s">
        <v>8542</v>
      </c>
      <c r="L1919" s="85" t="s">
        <v>4135</v>
      </c>
      <c r="M1919" s="85" t="s">
        <v>8560</v>
      </c>
    </row>
    <row r="1920" ht="213.75" spans="1:13">
      <c r="A1920" s="85" t="s">
        <v>8539</v>
      </c>
      <c r="B1920" s="85" t="s">
        <v>8561</v>
      </c>
      <c r="C1920" s="85" t="s">
        <v>8562</v>
      </c>
      <c r="D1920" s="85" t="s">
        <v>6368</v>
      </c>
      <c r="E1920" s="85" t="s">
        <v>8562</v>
      </c>
      <c r="F1920" s="86">
        <v>406</v>
      </c>
      <c r="G1920" s="86">
        <v>1</v>
      </c>
      <c r="H1920" s="86">
        <v>406</v>
      </c>
      <c r="I1920" s="86">
        <v>7592</v>
      </c>
      <c r="J1920" s="85" t="s">
        <v>2935</v>
      </c>
      <c r="K1920" s="85" t="s">
        <v>8542</v>
      </c>
      <c r="L1920" s="85" t="s">
        <v>4135</v>
      </c>
      <c r="M1920" s="85" t="s">
        <v>8563</v>
      </c>
    </row>
    <row r="1921" ht="213.75" spans="1:13">
      <c r="A1921" s="85" t="s">
        <v>8539</v>
      </c>
      <c r="B1921" s="85" t="s">
        <v>8564</v>
      </c>
      <c r="C1921" s="85" t="s">
        <v>8565</v>
      </c>
      <c r="D1921" s="85" t="s">
        <v>5610</v>
      </c>
      <c r="E1921" s="85" t="s">
        <v>5611</v>
      </c>
      <c r="F1921" s="86">
        <v>113</v>
      </c>
      <c r="G1921" s="86">
        <v>2</v>
      </c>
      <c r="H1921" s="86">
        <v>226</v>
      </c>
      <c r="I1921" s="86">
        <v>7592</v>
      </c>
      <c r="J1921" s="85" t="s">
        <v>2935</v>
      </c>
      <c r="K1921" s="85" t="s">
        <v>8542</v>
      </c>
      <c r="L1921" s="85" t="s">
        <v>4135</v>
      </c>
      <c r="M1921" s="85" t="s">
        <v>8566</v>
      </c>
    </row>
    <row r="1922" ht="213.75" spans="1:13">
      <c r="A1922" s="85" t="s">
        <v>8539</v>
      </c>
      <c r="B1922" s="85" t="s">
        <v>8567</v>
      </c>
      <c r="C1922" s="85" t="s">
        <v>8568</v>
      </c>
      <c r="D1922" s="85" t="s">
        <v>4390</v>
      </c>
      <c r="E1922" s="85" t="s">
        <v>8568</v>
      </c>
      <c r="F1922" s="86">
        <v>49</v>
      </c>
      <c r="G1922" s="86">
        <v>4</v>
      </c>
      <c r="H1922" s="86">
        <v>196</v>
      </c>
      <c r="I1922" s="86">
        <v>7592</v>
      </c>
      <c r="J1922" s="85" t="s">
        <v>2935</v>
      </c>
      <c r="K1922" s="85" t="s">
        <v>8542</v>
      </c>
      <c r="L1922" s="85" t="s">
        <v>4135</v>
      </c>
      <c r="M1922" s="85" t="s">
        <v>8569</v>
      </c>
    </row>
    <row r="1923" ht="213.75" spans="1:13">
      <c r="A1923" s="85" t="s">
        <v>8539</v>
      </c>
      <c r="B1923" s="85" t="s">
        <v>5349</v>
      </c>
      <c r="C1923" s="85" t="s">
        <v>5350</v>
      </c>
      <c r="D1923" s="85" t="s">
        <v>3189</v>
      </c>
      <c r="E1923" s="85" t="s">
        <v>5351</v>
      </c>
      <c r="F1923" s="86">
        <v>19</v>
      </c>
      <c r="G1923" s="86">
        <v>21</v>
      </c>
      <c r="H1923" s="86">
        <v>399</v>
      </c>
      <c r="I1923" s="86">
        <v>7592</v>
      </c>
      <c r="J1923" s="85" t="s">
        <v>2935</v>
      </c>
      <c r="K1923" s="85" t="s">
        <v>8542</v>
      </c>
      <c r="L1923" s="85" t="s">
        <v>4135</v>
      </c>
      <c r="M1923" s="85" t="s">
        <v>8570</v>
      </c>
    </row>
    <row r="1924" ht="213.75" spans="1:13">
      <c r="A1924" s="85" t="s">
        <v>8539</v>
      </c>
      <c r="B1924" s="85" t="s">
        <v>8571</v>
      </c>
      <c r="C1924" s="85" t="s">
        <v>8572</v>
      </c>
      <c r="D1924" s="85" t="s">
        <v>2977</v>
      </c>
      <c r="E1924" s="85" t="s">
        <v>8573</v>
      </c>
      <c r="F1924" s="86">
        <v>155</v>
      </c>
      <c r="G1924" s="86">
        <v>4</v>
      </c>
      <c r="H1924" s="86">
        <v>620</v>
      </c>
      <c r="I1924" s="86">
        <v>7592</v>
      </c>
      <c r="J1924" s="85" t="s">
        <v>2935</v>
      </c>
      <c r="K1924" s="85" t="s">
        <v>8542</v>
      </c>
      <c r="L1924" s="85" t="s">
        <v>4135</v>
      </c>
      <c r="M1924" s="85" t="s">
        <v>8574</v>
      </c>
    </row>
    <row r="1925" ht="213.75" spans="1:13">
      <c r="A1925" s="85" t="s">
        <v>8575</v>
      </c>
      <c r="B1925" s="85" t="s">
        <v>3788</v>
      </c>
      <c r="C1925" s="85" t="s">
        <v>3789</v>
      </c>
      <c r="D1925" s="85" t="s">
        <v>3189</v>
      </c>
      <c r="E1925" s="85" t="s">
        <v>3790</v>
      </c>
      <c r="F1925" s="86">
        <v>100</v>
      </c>
      <c r="G1925" s="86">
        <v>16</v>
      </c>
      <c r="H1925" s="86">
        <v>1600</v>
      </c>
      <c r="I1925" s="86">
        <v>1600</v>
      </c>
      <c r="J1925" s="85" t="s">
        <v>7934</v>
      </c>
      <c r="K1925" s="85" t="s">
        <v>8576</v>
      </c>
      <c r="L1925" s="85" t="s">
        <v>4135</v>
      </c>
      <c r="M1925" s="85" t="s">
        <v>8577</v>
      </c>
    </row>
    <row r="1926" ht="213.75" spans="1:13">
      <c r="A1926" s="85" t="s">
        <v>8578</v>
      </c>
      <c r="B1926" s="85" t="s">
        <v>7851</v>
      </c>
      <c r="C1926" s="85" t="s">
        <v>7852</v>
      </c>
      <c r="D1926" s="85" t="s">
        <v>5766</v>
      </c>
      <c r="E1926" s="85" t="s">
        <v>7852</v>
      </c>
      <c r="F1926" s="86">
        <v>3.63</v>
      </c>
      <c r="G1926" s="86">
        <v>25</v>
      </c>
      <c r="H1926" s="86">
        <v>90.75</v>
      </c>
      <c r="I1926" s="86">
        <v>4133.33</v>
      </c>
      <c r="J1926" s="85" t="s">
        <v>2965</v>
      </c>
      <c r="K1926" s="85" t="s">
        <v>8576</v>
      </c>
      <c r="L1926" s="85" t="s">
        <v>4135</v>
      </c>
      <c r="M1926" s="85" t="s">
        <v>8579</v>
      </c>
    </row>
    <row r="1927" ht="213.75" spans="1:13">
      <c r="A1927" s="85" t="s">
        <v>8580</v>
      </c>
      <c r="B1927" s="85" t="s">
        <v>8581</v>
      </c>
      <c r="C1927" s="85" t="s">
        <v>8582</v>
      </c>
      <c r="D1927" s="85" t="s">
        <v>3367</v>
      </c>
      <c r="E1927" s="85" t="s">
        <v>6528</v>
      </c>
      <c r="F1927" s="86">
        <v>5</v>
      </c>
      <c r="G1927" s="86">
        <v>80</v>
      </c>
      <c r="H1927" s="86">
        <v>400</v>
      </c>
      <c r="I1927" s="86">
        <v>6705</v>
      </c>
      <c r="J1927" s="85" t="s">
        <v>4370</v>
      </c>
      <c r="K1927" s="85" t="s">
        <v>8576</v>
      </c>
      <c r="L1927" s="85" t="s">
        <v>4135</v>
      </c>
      <c r="M1927" s="85" t="s">
        <v>8583</v>
      </c>
    </row>
    <row r="1928" ht="213.75" spans="1:13">
      <c r="A1928" s="85" t="s">
        <v>8584</v>
      </c>
      <c r="B1928" s="85" t="s">
        <v>5662</v>
      </c>
      <c r="C1928" s="85" t="s">
        <v>5663</v>
      </c>
      <c r="D1928" s="85" t="s">
        <v>4076</v>
      </c>
      <c r="E1928" s="85" t="s">
        <v>1832</v>
      </c>
      <c r="F1928" s="86">
        <v>128</v>
      </c>
      <c r="G1928" s="86">
        <v>210</v>
      </c>
      <c r="H1928" s="86">
        <v>26880</v>
      </c>
      <c r="I1928" s="86">
        <v>31260</v>
      </c>
      <c r="J1928" s="85" t="s">
        <v>2938</v>
      </c>
      <c r="K1928" s="85" t="s">
        <v>8576</v>
      </c>
      <c r="L1928" s="85" t="s">
        <v>4135</v>
      </c>
      <c r="M1928" s="85" t="s">
        <v>8585</v>
      </c>
    </row>
    <row r="1929" ht="213.75" spans="1:13">
      <c r="A1929" s="85" t="s">
        <v>8578</v>
      </c>
      <c r="B1929" s="85" t="s">
        <v>3942</v>
      </c>
      <c r="C1929" s="85" t="s">
        <v>3943</v>
      </c>
      <c r="D1929" s="85" t="s">
        <v>3944</v>
      </c>
      <c r="E1929" s="85" t="s">
        <v>3943</v>
      </c>
      <c r="F1929" s="86">
        <v>55.06</v>
      </c>
      <c r="G1929" s="86">
        <v>5</v>
      </c>
      <c r="H1929" s="86">
        <v>275.3</v>
      </c>
      <c r="I1929" s="86">
        <v>4133.33</v>
      </c>
      <c r="J1929" s="85" t="s">
        <v>2965</v>
      </c>
      <c r="K1929" s="85" t="s">
        <v>8576</v>
      </c>
      <c r="L1929" s="85" t="s">
        <v>4135</v>
      </c>
      <c r="M1929" s="85" t="s">
        <v>8586</v>
      </c>
    </row>
    <row r="1930" ht="213.75" spans="1:13">
      <c r="A1930" s="85" t="s">
        <v>8587</v>
      </c>
      <c r="B1930" s="85" t="s">
        <v>8588</v>
      </c>
      <c r="C1930" s="85" t="s">
        <v>8589</v>
      </c>
      <c r="D1930" s="85" t="s">
        <v>8590</v>
      </c>
      <c r="E1930" s="85" t="s">
        <v>8591</v>
      </c>
      <c r="F1930" s="86">
        <v>16</v>
      </c>
      <c r="G1930" s="86">
        <v>10</v>
      </c>
      <c r="H1930" s="86">
        <v>160</v>
      </c>
      <c r="I1930" s="86">
        <v>960</v>
      </c>
      <c r="J1930" s="85" t="s">
        <v>8500</v>
      </c>
      <c r="K1930" s="85" t="s">
        <v>8576</v>
      </c>
      <c r="L1930" s="85" t="s">
        <v>4135</v>
      </c>
      <c r="M1930" s="85" t="s">
        <v>8592</v>
      </c>
    </row>
    <row r="1931" ht="213.75" spans="1:13">
      <c r="A1931" s="85" t="s">
        <v>8578</v>
      </c>
      <c r="B1931" s="85" t="s">
        <v>7344</v>
      </c>
      <c r="C1931" s="85" t="s">
        <v>7345</v>
      </c>
      <c r="D1931" s="85" t="s">
        <v>7271</v>
      </c>
      <c r="E1931" s="85" t="s">
        <v>7345</v>
      </c>
      <c r="F1931" s="86">
        <v>9.03</v>
      </c>
      <c r="G1931" s="86">
        <v>10</v>
      </c>
      <c r="H1931" s="86">
        <v>90.3</v>
      </c>
      <c r="I1931" s="86">
        <v>4133.33</v>
      </c>
      <c r="J1931" s="85" t="s">
        <v>2965</v>
      </c>
      <c r="K1931" s="85" t="s">
        <v>8576</v>
      </c>
      <c r="L1931" s="85" t="s">
        <v>4135</v>
      </c>
      <c r="M1931" s="85" t="s">
        <v>8593</v>
      </c>
    </row>
    <row r="1932" ht="213.75" spans="1:13">
      <c r="A1932" s="85" t="s">
        <v>8594</v>
      </c>
      <c r="B1932" s="85" t="s">
        <v>8595</v>
      </c>
      <c r="C1932" s="85" t="s">
        <v>8596</v>
      </c>
      <c r="D1932" s="85" t="s">
        <v>4264</v>
      </c>
      <c r="E1932" s="85" t="s">
        <v>4265</v>
      </c>
      <c r="F1932" s="86">
        <v>4.55</v>
      </c>
      <c r="G1932" s="86">
        <v>20</v>
      </c>
      <c r="H1932" s="86">
        <v>91</v>
      </c>
      <c r="I1932" s="86">
        <v>991</v>
      </c>
      <c r="J1932" s="85" t="s">
        <v>2999</v>
      </c>
      <c r="K1932" s="85" t="s">
        <v>8576</v>
      </c>
      <c r="L1932" s="85" t="s">
        <v>4135</v>
      </c>
      <c r="M1932" s="85" t="s">
        <v>8597</v>
      </c>
    </row>
    <row r="1933" ht="213.75" spans="1:13">
      <c r="A1933" s="85" t="s">
        <v>8594</v>
      </c>
      <c r="B1933" s="85" t="s">
        <v>8598</v>
      </c>
      <c r="C1933" s="85" t="s">
        <v>8599</v>
      </c>
      <c r="D1933" s="85" t="s">
        <v>4264</v>
      </c>
      <c r="E1933" s="85" t="s">
        <v>4265</v>
      </c>
      <c r="F1933" s="86">
        <v>12</v>
      </c>
      <c r="G1933" s="86">
        <v>20</v>
      </c>
      <c r="H1933" s="86">
        <v>240</v>
      </c>
      <c r="I1933" s="86">
        <v>991</v>
      </c>
      <c r="J1933" s="85" t="s">
        <v>2999</v>
      </c>
      <c r="K1933" s="85" t="s">
        <v>8576</v>
      </c>
      <c r="L1933" s="85" t="s">
        <v>4135</v>
      </c>
      <c r="M1933" s="85" t="s">
        <v>8600</v>
      </c>
    </row>
    <row r="1934" ht="213.75" spans="1:13">
      <c r="A1934" s="85" t="s">
        <v>8587</v>
      </c>
      <c r="B1934" s="85" t="s">
        <v>8601</v>
      </c>
      <c r="C1934" s="85" t="s">
        <v>8602</v>
      </c>
      <c r="D1934" s="85" t="s">
        <v>6688</v>
      </c>
      <c r="E1934" s="85" t="s">
        <v>1991</v>
      </c>
      <c r="F1934" s="86">
        <v>4</v>
      </c>
      <c r="G1934" s="86">
        <v>200</v>
      </c>
      <c r="H1934" s="86">
        <v>800</v>
      </c>
      <c r="I1934" s="86">
        <v>960</v>
      </c>
      <c r="J1934" s="85" t="s">
        <v>8500</v>
      </c>
      <c r="K1934" s="85" t="s">
        <v>8576</v>
      </c>
      <c r="L1934" s="85" t="s">
        <v>4135</v>
      </c>
      <c r="M1934" s="85" t="s">
        <v>8603</v>
      </c>
    </row>
    <row r="1935" ht="213.75" spans="1:13">
      <c r="A1935" s="85" t="s">
        <v>8578</v>
      </c>
      <c r="B1935" s="85" t="s">
        <v>8604</v>
      </c>
      <c r="C1935" s="85" t="s">
        <v>8605</v>
      </c>
      <c r="D1935" s="85" t="s">
        <v>4013</v>
      </c>
      <c r="E1935" s="85" t="s">
        <v>8605</v>
      </c>
      <c r="F1935" s="86">
        <v>228.62</v>
      </c>
      <c r="G1935" s="86">
        <v>1</v>
      </c>
      <c r="H1935" s="86">
        <v>228.62</v>
      </c>
      <c r="I1935" s="86">
        <v>4133.33</v>
      </c>
      <c r="J1935" s="85" t="s">
        <v>2965</v>
      </c>
      <c r="K1935" s="85" t="s">
        <v>8576</v>
      </c>
      <c r="L1935" s="85" t="s">
        <v>4135</v>
      </c>
      <c r="M1935" s="85" t="s">
        <v>8606</v>
      </c>
    </row>
    <row r="1936" ht="213.75" spans="1:13">
      <c r="A1936" s="85" t="s">
        <v>8578</v>
      </c>
      <c r="B1936" s="85" t="s">
        <v>4800</v>
      </c>
      <c r="C1936" s="85" t="s">
        <v>4801</v>
      </c>
      <c r="D1936" s="85" t="s">
        <v>4802</v>
      </c>
      <c r="E1936" s="85" t="s">
        <v>4801</v>
      </c>
      <c r="F1936" s="86">
        <v>24.39</v>
      </c>
      <c r="G1936" s="86">
        <v>100</v>
      </c>
      <c r="H1936" s="86">
        <v>2439</v>
      </c>
      <c r="I1936" s="86">
        <v>4133.33</v>
      </c>
      <c r="J1936" s="85" t="s">
        <v>2965</v>
      </c>
      <c r="K1936" s="85" t="s">
        <v>8576</v>
      </c>
      <c r="L1936" s="85" t="s">
        <v>4135</v>
      </c>
      <c r="M1936" s="85" t="s">
        <v>8607</v>
      </c>
    </row>
    <row r="1937" ht="213.75" spans="1:13">
      <c r="A1937" s="85" t="s">
        <v>8580</v>
      </c>
      <c r="B1937" s="85" t="s">
        <v>8168</v>
      </c>
      <c r="C1937" s="85" t="s">
        <v>8169</v>
      </c>
      <c r="D1937" s="85" t="s">
        <v>3041</v>
      </c>
      <c r="E1937" s="85" t="s">
        <v>3158</v>
      </c>
      <c r="F1937" s="86">
        <v>105</v>
      </c>
      <c r="G1937" s="86">
        <v>37</v>
      </c>
      <c r="H1937" s="86">
        <v>3885</v>
      </c>
      <c r="I1937" s="86">
        <v>6705</v>
      </c>
      <c r="J1937" s="85" t="s">
        <v>4370</v>
      </c>
      <c r="K1937" s="85" t="s">
        <v>8576</v>
      </c>
      <c r="L1937" s="85" t="s">
        <v>4135</v>
      </c>
      <c r="M1937" s="85" t="s">
        <v>8608</v>
      </c>
    </row>
    <row r="1938" ht="213.75" spans="1:13">
      <c r="A1938" s="85" t="s">
        <v>8594</v>
      </c>
      <c r="B1938" s="85" t="s">
        <v>8609</v>
      </c>
      <c r="C1938" s="85" t="s">
        <v>8610</v>
      </c>
      <c r="D1938" s="85" t="s">
        <v>6924</v>
      </c>
      <c r="E1938" s="85" t="s">
        <v>7837</v>
      </c>
      <c r="F1938" s="86">
        <v>6.6</v>
      </c>
      <c r="G1938" s="86">
        <v>100</v>
      </c>
      <c r="H1938" s="86">
        <v>660</v>
      </c>
      <c r="I1938" s="86">
        <v>991</v>
      </c>
      <c r="J1938" s="85" t="s">
        <v>2999</v>
      </c>
      <c r="K1938" s="85" t="s">
        <v>8576</v>
      </c>
      <c r="L1938" s="85" t="s">
        <v>4135</v>
      </c>
      <c r="M1938" s="85" t="s">
        <v>8611</v>
      </c>
    </row>
    <row r="1939" ht="213.75" spans="1:13">
      <c r="A1939" s="85" t="s">
        <v>8580</v>
      </c>
      <c r="B1939" s="85" t="s">
        <v>4510</v>
      </c>
      <c r="C1939" s="85" t="s">
        <v>4511</v>
      </c>
      <c r="D1939" s="85" t="s">
        <v>3041</v>
      </c>
      <c r="E1939" s="85" t="s">
        <v>3042</v>
      </c>
      <c r="F1939" s="86">
        <v>9</v>
      </c>
      <c r="G1939" s="86">
        <v>20</v>
      </c>
      <c r="H1939" s="86">
        <v>180</v>
      </c>
      <c r="I1939" s="86">
        <v>6705</v>
      </c>
      <c r="J1939" s="85" t="s">
        <v>4370</v>
      </c>
      <c r="K1939" s="85" t="s">
        <v>8576</v>
      </c>
      <c r="L1939" s="85" t="s">
        <v>4135</v>
      </c>
      <c r="M1939" s="85" t="s">
        <v>8612</v>
      </c>
    </row>
    <row r="1940" ht="213.75" spans="1:13">
      <c r="A1940" s="85" t="s">
        <v>8578</v>
      </c>
      <c r="B1940" s="85" t="s">
        <v>3473</v>
      </c>
      <c r="C1940" s="85" t="s">
        <v>3474</v>
      </c>
      <c r="D1940" s="85" t="s">
        <v>3352</v>
      </c>
      <c r="E1940" s="85" t="s">
        <v>3474</v>
      </c>
      <c r="F1940" s="86">
        <v>228.18</v>
      </c>
      <c r="G1940" s="86">
        <v>2</v>
      </c>
      <c r="H1940" s="86">
        <v>456.36</v>
      </c>
      <c r="I1940" s="86">
        <v>4133.33</v>
      </c>
      <c r="J1940" s="85" t="s">
        <v>2965</v>
      </c>
      <c r="K1940" s="85" t="s">
        <v>8576</v>
      </c>
      <c r="L1940" s="85" t="s">
        <v>4135</v>
      </c>
      <c r="M1940" s="85" t="s">
        <v>8613</v>
      </c>
    </row>
    <row r="1941" ht="213.75" spans="1:13">
      <c r="A1941" s="85" t="s">
        <v>8580</v>
      </c>
      <c r="B1941" s="85" t="s">
        <v>5175</v>
      </c>
      <c r="C1941" s="85" t="s">
        <v>5176</v>
      </c>
      <c r="D1941" s="85" t="s">
        <v>3177</v>
      </c>
      <c r="E1941" s="85" t="s">
        <v>3178</v>
      </c>
      <c r="F1941" s="86">
        <v>19</v>
      </c>
      <c r="G1941" s="86">
        <v>4</v>
      </c>
      <c r="H1941" s="86">
        <v>76</v>
      </c>
      <c r="I1941" s="86">
        <v>6705</v>
      </c>
      <c r="J1941" s="85" t="s">
        <v>4370</v>
      </c>
      <c r="K1941" s="85" t="s">
        <v>8576</v>
      </c>
      <c r="L1941" s="85" t="s">
        <v>4135</v>
      </c>
      <c r="M1941" s="85" t="s">
        <v>8614</v>
      </c>
    </row>
    <row r="1942" ht="213.75" spans="1:13">
      <c r="A1942" s="85" t="s">
        <v>8578</v>
      </c>
      <c r="B1942" s="85" t="s">
        <v>8615</v>
      </c>
      <c r="C1942" s="85" t="s">
        <v>8616</v>
      </c>
      <c r="D1942" s="85" t="s">
        <v>2973</v>
      </c>
      <c r="E1942" s="85" t="s">
        <v>8616</v>
      </c>
      <c r="F1942" s="86">
        <v>475</v>
      </c>
      <c r="G1942" s="86">
        <v>1</v>
      </c>
      <c r="H1942" s="86">
        <v>475</v>
      </c>
      <c r="I1942" s="86">
        <v>4133.33</v>
      </c>
      <c r="J1942" s="85" t="s">
        <v>2965</v>
      </c>
      <c r="K1942" s="85" t="s">
        <v>8576</v>
      </c>
      <c r="L1942" s="85" t="s">
        <v>4135</v>
      </c>
      <c r="M1942" s="85" t="s">
        <v>8617</v>
      </c>
    </row>
    <row r="1943" ht="213.75" spans="1:13">
      <c r="A1943" s="85" t="s">
        <v>8580</v>
      </c>
      <c r="B1943" s="85" t="s">
        <v>4846</v>
      </c>
      <c r="C1943" s="85" t="s">
        <v>4847</v>
      </c>
      <c r="D1943" s="85" t="s">
        <v>4848</v>
      </c>
      <c r="E1943" s="85" t="s">
        <v>4849</v>
      </c>
      <c r="F1943" s="86">
        <v>3</v>
      </c>
      <c r="G1943" s="86">
        <v>50</v>
      </c>
      <c r="H1943" s="86">
        <v>150</v>
      </c>
      <c r="I1943" s="86">
        <v>6705</v>
      </c>
      <c r="J1943" s="85" t="s">
        <v>4370</v>
      </c>
      <c r="K1943" s="85" t="s">
        <v>8576</v>
      </c>
      <c r="L1943" s="85" t="s">
        <v>4135</v>
      </c>
      <c r="M1943" s="85" t="s">
        <v>8618</v>
      </c>
    </row>
    <row r="1944" ht="213.75" spans="1:13">
      <c r="A1944" s="85" t="s">
        <v>8619</v>
      </c>
      <c r="B1944" s="85" t="s">
        <v>8266</v>
      </c>
      <c r="C1944" s="85" t="s">
        <v>8267</v>
      </c>
      <c r="D1944" s="85" t="s">
        <v>3189</v>
      </c>
      <c r="E1944" s="85" t="s">
        <v>6337</v>
      </c>
      <c r="F1944" s="86">
        <v>27</v>
      </c>
      <c r="G1944" s="86">
        <v>300</v>
      </c>
      <c r="H1944" s="86">
        <v>8100</v>
      </c>
      <c r="I1944" s="86">
        <v>8100</v>
      </c>
      <c r="J1944" s="85" t="s">
        <v>8268</v>
      </c>
      <c r="K1944" s="85" t="s">
        <v>8576</v>
      </c>
      <c r="L1944" s="85" t="s">
        <v>4135</v>
      </c>
      <c r="M1944" s="85" t="s">
        <v>8620</v>
      </c>
    </row>
    <row r="1945" ht="213.75" spans="1:13">
      <c r="A1945" s="85" t="s">
        <v>8580</v>
      </c>
      <c r="B1945" s="85" t="s">
        <v>4548</v>
      </c>
      <c r="C1945" s="85" t="s">
        <v>4549</v>
      </c>
      <c r="D1945" s="85" t="s">
        <v>3169</v>
      </c>
      <c r="E1945" s="85" t="s">
        <v>3170</v>
      </c>
      <c r="F1945" s="86">
        <v>0.38</v>
      </c>
      <c r="G1945" s="86">
        <v>100</v>
      </c>
      <c r="H1945" s="86">
        <v>38</v>
      </c>
      <c r="I1945" s="86">
        <v>6705</v>
      </c>
      <c r="J1945" s="85" t="s">
        <v>4370</v>
      </c>
      <c r="K1945" s="85" t="s">
        <v>8576</v>
      </c>
      <c r="L1945" s="85" t="s">
        <v>4135</v>
      </c>
      <c r="M1945" s="85" t="s">
        <v>8621</v>
      </c>
    </row>
    <row r="1946" ht="213.75" spans="1:13">
      <c r="A1946" s="85" t="s">
        <v>8578</v>
      </c>
      <c r="B1946" s="85" t="s">
        <v>8622</v>
      </c>
      <c r="C1946" s="85" t="s">
        <v>8623</v>
      </c>
      <c r="D1946" s="85" t="s">
        <v>7180</v>
      </c>
      <c r="E1946" s="85" t="s">
        <v>8623</v>
      </c>
      <c r="F1946" s="86">
        <v>39</v>
      </c>
      <c r="G1946" s="86">
        <v>2</v>
      </c>
      <c r="H1946" s="86">
        <v>78</v>
      </c>
      <c r="I1946" s="86">
        <v>4133.33</v>
      </c>
      <c r="J1946" s="85" t="s">
        <v>2965</v>
      </c>
      <c r="K1946" s="85" t="s">
        <v>8576</v>
      </c>
      <c r="L1946" s="85" t="s">
        <v>4135</v>
      </c>
      <c r="M1946" s="85" t="s">
        <v>8624</v>
      </c>
    </row>
    <row r="1947" ht="213.75" spans="1:13">
      <c r="A1947" s="85" t="s">
        <v>8584</v>
      </c>
      <c r="B1947" s="85" t="s">
        <v>8625</v>
      </c>
      <c r="C1947" s="85" t="s">
        <v>8626</v>
      </c>
      <c r="D1947" s="85" t="s">
        <v>3548</v>
      </c>
      <c r="E1947" s="85" t="s">
        <v>1835</v>
      </c>
      <c r="F1947" s="86">
        <v>365</v>
      </c>
      <c r="G1947" s="86">
        <v>12</v>
      </c>
      <c r="H1947" s="86">
        <v>4380</v>
      </c>
      <c r="I1947" s="86">
        <v>31260</v>
      </c>
      <c r="J1947" s="85" t="s">
        <v>2938</v>
      </c>
      <c r="K1947" s="85" t="s">
        <v>8576</v>
      </c>
      <c r="L1947" s="85" t="s">
        <v>4135</v>
      </c>
      <c r="M1947" s="85" t="s">
        <v>8627</v>
      </c>
    </row>
    <row r="1948" ht="213.75" spans="1:13">
      <c r="A1948" s="85" t="s">
        <v>8580</v>
      </c>
      <c r="B1948" s="85" t="s">
        <v>8628</v>
      </c>
      <c r="C1948" s="85" t="s">
        <v>8629</v>
      </c>
      <c r="D1948" s="85" t="s">
        <v>8630</v>
      </c>
      <c r="E1948" s="85" t="s">
        <v>1706</v>
      </c>
      <c r="F1948" s="86">
        <v>88</v>
      </c>
      <c r="G1948" s="86">
        <v>2</v>
      </c>
      <c r="H1948" s="86">
        <v>176</v>
      </c>
      <c r="I1948" s="86">
        <v>6705</v>
      </c>
      <c r="J1948" s="85" t="s">
        <v>4370</v>
      </c>
      <c r="K1948" s="85" t="s">
        <v>8576</v>
      </c>
      <c r="L1948" s="85" t="s">
        <v>4135</v>
      </c>
      <c r="M1948" s="85" t="s">
        <v>8631</v>
      </c>
    </row>
    <row r="1949" ht="213.75" spans="1:13">
      <c r="A1949" s="85" t="s">
        <v>8580</v>
      </c>
      <c r="B1949" s="85" t="s">
        <v>8253</v>
      </c>
      <c r="C1949" s="85" t="s">
        <v>8254</v>
      </c>
      <c r="D1949" s="85" t="s">
        <v>3041</v>
      </c>
      <c r="E1949" s="85" t="s">
        <v>8255</v>
      </c>
      <c r="F1949" s="86">
        <v>1800</v>
      </c>
      <c r="G1949" s="86">
        <v>1</v>
      </c>
      <c r="H1949" s="86">
        <v>1800</v>
      </c>
      <c r="I1949" s="86">
        <v>6705</v>
      </c>
      <c r="J1949" s="85" t="s">
        <v>4370</v>
      </c>
      <c r="K1949" s="85" t="s">
        <v>8576</v>
      </c>
      <c r="L1949" s="85" t="s">
        <v>4135</v>
      </c>
      <c r="M1949" s="85" t="s">
        <v>8632</v>
      </c>
    </row>
    <row r="1950" ht="213.75" spans="1:13">
      <c r="A1950" s="85" t="s">
        <v>8633</v>
      </c>
      <c r="B1950" s="85" t="s">
        <v>4655</v>
      </c>
      <c r="C1950" s="85" t="s">
        <v>4656</v>
      </c>
      <c r="D1950" s="85" t="s">
        <v>4657</v>
      </c>
      <c r="E1950" s="85" t="s">
        <v>4656</v>
      </c>
      <c r="F1950" s="86">
        <v>3000</v>
      </c>
      <c r="G1950" s="86">
        <v>1</v>
      </c>
      <c r="H1950" s="86">
        <v>3000</v>
      </c>
      <c r="I1950" s="86">
        <v>3000</v>
      </c>
      <c r="J1950" s="85" t="s">
        <v>4370</v>
      </c>
      <c r="K1950" s="85" t="s">
        <v>8634</v>
      </c>
      <c r="L1950" s="85" t="s">
        <v>4135</v>
      </c>
      <c r="M1950" s="85" t="s">
        <v>8635</v>
      </c>
    </row>
    <row r="1951" ht="213.75" spans="1:13">
      <c r="A1951" s="85" t="s">
        <v>8636</v>
      </c>
      <c r="B1951" s="85" t="s">
        <v>2990</v>
      </c>
      <c r="C1951" s="85" t="s">
        <v>2991</v>
      </c>
      <c r="D1951" s="85" t="s">
        <v>2992</v>
      </c>
      <c r="E1951" s="85" t="s">
        <v>1815</v>
      </c>
      <c r="F1951" s="86">
        <v>46.5</v>
      </c>
      <c r="G1951" s="86">
        <v>32</v>
      </c>
      <c r="H1951" s="86">
        <v>1488</v>
      </c>
      <c r="I1951" s="86">
        <v>5774</v>
      </c>
      <c r="J1951" s="85" t="s">
        <v>2958</v>
      </c>
      <c r="K1951" s="85" t="s">
        <v>8637</v>
      </c>
      <c r="L1951" s="85" t="s">
        <v>4135</v>
      </c>
      <c r="M1951" s="85" t="s">
        <v>8638</v>
      </c>
    </row>
    <row r="1952" ht="213.75" spans="1:13">
      <c r="A1952" s="85" t="s">
        <v>8639</v>
      </c>
      <c r="B1952" s="85" t="s">
        <v>8640</v>
      </c>
      <c r="C1952" s="85" t="s">
        <v>8641</v>
      </c>
      <c r="D1952" s="85" t="s">
        <v>2982</v>
      </c>
      <c r="E1952" s="85" t="s">
        <v>8642</v>
      </c>
      <c r="F1952" s="86">
        <v>24</v>
      </c>
      <c r="G1952" s="86">
        <v>1</v>
      </c>
      <c r="H1952" s="86">
        <v>24</v>
      </c>
      <c r="I1952" s="86">
        <v>4019.69</v>
      </c>
      <c r="J1952" s="85" t="s">
        <v>2958</v>
      </c>
      <c r="K1952" s="85" t="s">
        <v>8637</v>
      </c>
      <c r="L1952" s="85" t="s">
        <v>4135</v>
      </c>
      <c r="M1952" s="85" t="s">
        <v>8643</v>
      </c>
    </row>
    <row r="1953" ht="213.75" spans="1:13">
      <c r="A1953" s="85" t="s">
        <v>8639</v>
      </c>
      <c r="B1953" s="85" t="s">
        <v>8644</v>
      </c>
      <c r="C1953" s="85" t="s">
        <v>8645</v>
      </c>
      <c r="D1953" s="85" t="s">
        <v>2982</v>
      </c>
      <c r="E1953" s="85" t="s">
        <v>8646</v>
      </c>
      <c r="F1953" s="86">
        <v>23.5</v>
      </c>
      <c r="G1953" s="86">
        <v>1</v>
      </c>
      <c r="H1953" s="86">
        <v>23.5</v>
      </c>
      <c r="I1953" s="86">
        <v>4019.69</v>
      </c>
      <c r="J1953" s="85" t="s">
        <v>2958</v>
      </c>
      <c r="K1953" s="85" t="s">
        <v>8637</v>
      </c>
      <c r="L1953" s="85" t="s">
        <v>4135</v>
      </c>
      <c r="M1953" s="85" t="s">
        <v>8647</v>
      </c>
    </row>
    <row r="1954" ht="213.75" spans="1:13">
      <c r="A1954" s="85" t="s">
        <v>8639</v>
      </c>
      <c r="B1954" s="85" t="s">
        <v>8648</v>
      </c>
      <c r="C1954" s="85" t="s">
        <v>8649</v>
      </c>
      <c r="D1954" s="85" t="s">
        <v>2982</v>
      </c>
      <c r="E1954" s="85" t="s">
        <v>8650</v>
      </c>
      <c r="F1954" s="86">
        <v>14.36</v>
      </c>
      <c r="G1954" s="86">
        <v>1</v>
      </c>
      <c r="H1954" s="86">
        <v>14.36</v>
      </c>
      <c r="I1954" s="86">
        <v>4019.69</v>
      </c>
      <c r="J1954" s="85" t="s">
        <v>2958</v>
      </c>
      <c r="K1954" s="85" t="s">
        <v>8637</v>
      </c>
      <c r="L1954" s="85" t="s">
        <v>4135</v>
      </c>
      <c r="M1954" s="85" t="s">
        <v>8651</v>
      </c>
    </row>
    <row r="1955" ht="213.75" spans="1:13">
      <c r="A1955" s="85" t="s">
        <v>8639</v>
      </c>
      <c r="B1955" s="85" t="s">
        <v>8353</v>
      </c>
      <c r="C1955" s="85" t="s">
        <v>8354</v>
      </c>
      <c r="D1955" s="85" t="s">
        <v>5505</v>
      </c>
      <c r="E1955" s="85" t="s">
        <v>5506</v>
      </c>
      <c r="F1955" s="86">
        <v>14.1</v>
      </c>
      <c r="G1955" s="86">
        <v>1</v>
      </c>
      <c r="H1955" s="86">
        <v>14.1</v>
      </c>
      <c r="I1955" s="86">
        <v>4019.69</v>
      </c>
      <c r="J1955" s="85" t="s">
        <v>2958</v>
      </c>
      <c r="K1955" s="85" t="s">
        <v>8637</v>
      </c>
      <c r="L1955" s="85" t="s">
        <v>4135</v>
      </c>
      <c r="M1955" s="85" t="s">
        <v>8652</v>
      </c>
    </row>
    <row r="1956" ht="213.75" spans="1:13">
      <c r="A1956" s="85" t="s">
        <v>8639</v>
      </c>
      <c r="B1956" s="85" t="s">
        <v>8371</v>
      </c>
      <c r="C1956" s="85" t="s">
        <v>8372</v>
      </c>
      <c r="D1956" s="85" t="s">
        <v>8373</v>
      </c>
      <c r="E1956" s="85" t="s">
        <v>8374</v>
      </c>
      <c r="F1956" s="86">
        <v>6.6</v>
      </c>
      <c r="G1956" s="86">
        <v>1</v>
      </c>
      <c r="H1956" s="86">
        <v>6.6</v>
      </c>
      <c r="I1956" s="86">
        <v>4019.69</v>
      </c>
      <c r="J1956" s="85" t="s">
        <v>2958</v>
      </c>
      <c r="K1956" s="85" t="s">
        <v>8637</v>
      </c>
      <c r="L1956" s="85" t="s">
        <v>4135</v>
      </c>
      <c r="M1956" s="85" t="s">
        <v>8653</v>
      </c>
    </row>
    <row r="1957" ht="213.75" spans="1:13">
      <c r="A1957" s="85" t="s">
        <v>8636</v>
      </c>
      <c r="B1957" s="85" t="s">
        <v>7055</v>
      </c>
      <c r="C1957" s="85" t="s">
        <v>7056</v>
      </c>
      <c r="D1957" s="85" t="s">
        <v>2992</v>
      </c>
      <c r="E1957" s="85" t="s">
        <v>1815</v>
      </c>
      <c r="F1957" s="86">
        <v>8</v>
      </c>
      <c r="G1957" s="86">
        <v>160</v>
      </c>
      <c r="H1957" s="86">
        <v>1280</v>
      </c>
      <c r="I1957" s="86">
        <v>5774</v>
      </c>
      <c r="J1957" s="85" t="s">
        <v>2958</v>
      </c>
      <c r="K1957" s="85" t="s">
        <v>8637</v>
      </c>
      <c r="L1957" s="85" t="s">
        <v>4135</v>
      </c>
      <c r="M1957" s="85" t="s">
        <v>8654</v>
      </c>
    </row>
    <row r="1958" ht="213.75" spans="1:13">
      <c r="A1958" s="85" t="s">
        <v>8639</v>
      </c>
      <c r="B1958" s="85" t="s">
        <v>8655</v>
      </c>
      <c r="C1958" s="85" t="s">
        <v>8656</v>
      </c>
      <c r="D1958" s="85" t="s">
        <v>6613</v>
      </c>
      <c r="E1958" s="85" t="s">
        <v>7664</v>
      </c>
      <c r="F1958" s="86">
        <v>9.9</v>
      </c>
      <c r="G1958" s="86">
        <v>3</v>
      </c>
      <c r="H1958" s="86">
        <v>29.7</v>
      </c>
      <c r="I1958" s="86">
        <v>4019.69</v>
      </c>
      <c r="J1958" s="85" t="s">
        <v>2958</v>
      </c>
      <c r="K1958" s="85" t="s">
        <v>8637</v>
      </c>
      <c r="L1958" s="85" t="s">
        <v>4135</v>
      </c>
      <c r="M1958" s="85" t="s">
        <v>8657</v>
      </c>
    </row>
    <row r="1959" ht="213.75" spans="1:13">
      <c r="A1959" s="85" t="s">
        <v>8639</v>
      </c>
      <c r="B1959" s="85" t="s">
        <v>8411</v>
      </c>
      <c r="C1959" s="85" t="s">
        <v>8412</v>
      </c>
      <c r="D1959" s="85" t="s">
        <v>2982</v>
      </c>
      <c r="E1959" s="85" t="s">
        <v>8413</v>
      </c>
      <c r="F1959" s="86">
        <v>9.72</v>
      </c>
      <c r="G1959" s="86">
        <v>1</v>
      </c>
      <c r="H1959" s="86">
        <v>9.72</v>
      </c>
      <c r="I1959" s="86">
        <v>4019.69</v>
      </c>
      <c r="J1959" s="85" t="s">
        <v>2958</v>
      </c>
      <c r="K1959" s="85" t="s">
        <v>8637</v>
      </c>
      <c r="L1959" s="85" t="s">
        <v>4135</v>
      </c>
      <c r="M1959" s="85" t="s">
        <v>8658</v>
      </c>
    </row>
    <row r="1960" ht="213.75" spans="1:13">
      <c r="A1960" s="85" t="s">
        <v>8639</v>
      </c>
      <c r="B1960" s="85" t="s">
        <v>8659</v>
      </c>
      <c r="C1960" s="85" t="s">
        <v>8660</v>
      </c>
      <c r="D1960" s="85" t="s">
        <v>2982</v>
      </c>
      <c r="E1960" s="85" t="s">
        <v>8661</v>
      </c>
      <c r="F1960" s="86">
        <v>20</v>
      </c>
      <c r="G1960" s="86">
        <v>1</v>
      </c>
      <c r="H1960" s="86">
        <v>20</v>
      </c>
      <c r="I1960" s="86">
        <v>4019.69</v>
      </c>
      <c r="J1960" s="85" t="s">
        <v>2958</v>
      </c>
      <c r="K1960" s="85" t="s">
        <v>8637</v>
      </c>
      <c r="L1960" s="85" t="s">
        <v>4135</v>
      </c>
      <c r="M1960" s="85" t="s">
        <v>8662</v>
      </c>
    </row>
    <row r="1961" ht="213.75" spans="1:13">
      <c r="A1961" s="85" t="s">
        <v>8639</v>
      </c>
      <c r="B1961" s="85" t="s">
        <v>8663</v>
      </c>
      <c r="C1961" s="85" t="s">
        <v>8664</v>
      </c>
      <c r="D1961" s="85" t="s">
        <v>8361</v>
      </c>
      <c r="E1961" s="85" t="s">
        <v>8362</v>
      </c>
      <c r="F1961" s="86">
        <v>16.9</v>
      </c>
      <c r="G1961" s="86">
        <v>2</v>
      </c>
      <c r="H1961" s="86">
        <v>33.8</v>
      </c>
      <c r="I1961" s="86">
        <v>4019.69</v>
      </c>
      <c r="J1961" s="85" t="s">
        <v>2958</v>
      </c>
      <c r="K1961" s="85" t="s">
        <v>8637</v>
      </c>
      <c r="L1961" s="85" t="s">
        <v>4135</v>
      </c>
      <c r="M1961" s="85" t="s">
        <v>8665</v>
      </c>
    </row>
    <row r="1962" ht="213.75" spans="1:13">
      <c r="A1962" s="85" t="s">
        <v>8639</v>
      </c>
      <c r="B1962" s="85" t="s">
        <v>8343</v>
      </c>
      <c r="C1962" s="85" t="s">
        <v>8344</v>
      </c>
      <c r="D1962" s="85" t="s">
        <v>8345</v>
      </c>
      <c r="E1962" s="85" t="s">
        <v>8346</v>
      </c>
      <c r="F1962" s="86">
        <v>32.9</v>
      </c>
      <c r="G1962" s="86">
        <v>1</v>
      </c>
      <c r="H1962" s="86">
        <v>32.9</v>
      </c>
      <c r="I1962" s="86">
        <v>4019.69</v>
      </c>
      <c r="J1962" s="85" t="s">
        <v>2958</v>
      </c>
      <c r="K1962" s="85" t="s">
        <v>8637</v>
      </c>
      <c r="L1962" s="85" t="s">
        <v>4135</v>
      </c>
      <c r="M1962" s="85" t="s">
        <v>8666</v>
      </c>
    </row>
    <row r="1963" ht="213.75" spans="1:13">
      <c r="A1963" s="85" t="s">
        <v>8639</v>
      </c>
      <c r="B1963" s="85" t="s">
        <v>8667</v>
      </c>
      <c r="C1963" s="85" t="s">
        <v>8668</v>
      </c>
      <c r="D1963" s="85" t="s">
        <v>2982</v>
      </c>
      <c r="E1963" s="85" t="s">
        <v>4761</v>
      </c>
      <c r="F1963" s="86">
        <v>32</v>
      </c>
      <c r="G1963" s="86">
        <v>1</v>
      </c>
      <c r="H1963" s="86">
        <v>32</v>
      </c>
      <c r="I1963" s="86">
        <v>4019.69</v>
      </c>
      <c r="J1963" s="85" t="s">
        <v>2958</v>
      </c>
      <c r="K1963" s="85" t="s">
        <v>8637</v>
      </c>
      <c r="L1963" s="85" t="s">
        <v>4135</v>
      </c>
      <c r="M1963" s="85" t="s">
        <v>8669</v>
      </c>
    </row>
    <row r="1964" ht="213.75" spans="1:13">
      <c r="A1964" s="85" t="s">
        <v>8639</v>
      </c>
      <c r="B1964" s="85" t="s">
        <v>8670</v>
      </c>
      <c r="C1964" s="85" t="s">
        <v>8671</v>
      </c>
      <c r="D1964" s="85" t="s">
        <v>2982</v>
      </c>
      <c r="E1964" s="85" t="s">
        <v>3974</v>
      </c>
      <c r="F1964" s="86">
        <v>8.9</v>
      </c>
      <c r="G1964" s="86">
        <v>1</v>
      </c>
      <c r="H1964" s="86">
        <v>8.9</v>
      </c>
      <c r="I1964" s="86">
        <v>4019.69</v>
      </c>
      <c r="J1964" s="85" t="s">
        <v>2958</v>
      </c>
      <c r="K1964" s="85" t="s">
        <v>8637</v>
      </c>
      <c r="L1964" s="85" t="s">
        <v>4135</v>
      </c>
      <c r="M1964" s="85" t="s">
        <v>8672</v>
      </c>
    </row>
    <row r="1965" ht="213.75" spans="1:13">
      <c r="A1965" s="85" t="s">
        <v>8639</v>
      </c>
      <c r="B1965" s="85" t="s">
        <v>7223</v>
      </c>
      <c r="C1965" s="85" t="s">
        <v>7224</v>
      </c>
      <c r="D1965" s="85" t="s">
        <v>7225</v>
      </c>
      <c r="E1965" s="85" t="s">
        <v>7226</v>
      </c>
      <c r="F1965" s="86">
        <v>13.1</v>
      </c>
      <c r="G1965" s="86">
        <v>2</v>
      </c>
      <c r="H1965" s="86">
        <v>26.2</v>
      </c>
      <c r="I1965" s="86">
        <v>4019.69</v>
      </c>
      <c r="J1965" s="85" t="s">
        <v>2958</v>
      </c>
      <c r="K1965" s="85" t="s">
        <v>8637</v>
      </c>
      <c r="L1965" s="85" t="s">
        <v>4135</v>
      </c>
      <c r="M1965" s="85" t="s">
        <v>8673</v>
      </c>
    </row>
    <row r="1966" ht="213.75" spans="1:13">
      <c r="A1966" s="85" t="s">
        <v>8639</v>
      </c>
      <c r="B1966" s="85" t="s">
        <v>8674</v>
      </c>
      <c r="C1966" s="85" t="s">
        <v>8675</v>
      </c>
      <c r="D1966" s="85" t="s">
        <v>2982</v>
      </c>
      <c r="E1966" s="85" t="s">
        <v>8676</v>
      </c>
      <c r="F1966" s="86">
        <v>19</v>
      </c>
      <c r="G1966" s="86">
        <v>1</v>
      </c>
      <c r="H1966" s="86">
        <v>19</v>
      </c>
      <c r="I1966" s="86">
        <v>4019.69</v>
      </c>
      <c r="J1966" s="85" t="s">
        <v>2958</v>
      </c>
      <c r="K1966" s="85" t="s">
        <v>8637</v>
      </c>
      <c r="L1966" s="85" t="s">
        <v>4135</v>
      </c>
      <c r="M1966" s="85" t="s">
        <v>8677</v>
      </c>
    </row>
    <row r="1967" ht="213.75" spans="1:13">
      <c r="A1967" s="85" t="s">
        <v>8639</v>
      </c>
      <c r="B1967" s="85" t="s">
        <v>8678</v>
      </c>
      <c r="C1967" s="85" t="s">
        <v>8679</v>
      </c>
      <c r="D1967" s="85" t="s">
        <v>2982</v>
      </c>
      <c r="E1967" s="85" t="s">
        <v>8680</v>
      </c>
      <c r="F1967" s="86">
        <v>14.3</v>
      </c>
      <c r="G1967" s="86">
        <v>1</v>
      </c>
      <c r="H1967" s="86">
        <v>14.3</v>
      </c>
      <c r="I1967" s="86">
        <v>4019.69</v>
      </c>
      <c r="J1967" s="85" t="s">
        <v>2958</v>
      </c>
      <c r="K1967" s="85" t="s">
        <v>8637</v>
      </c>
      <c r="L1967" s="85" t="s">
        <v>4135</v>
      </c>
      <c r="M1967" s="85" t="s">
        <v>8681</v>
      </c>
    </row>
    <row r="1968" ht="213.75" spans="1:13">
      <c r="A1968" s="85" t="s">
        <v>8639</v>
      </c>
      <c r="B1968" s="85" t="s">
        <v>3016</v>
      </c>
      <c r="C1968" s="85" t="s">
        <v>3017</v>
      </c>
      <c r="D1968" s="85" t="s">
        <v>3018</v>
      </c>
      <c r="E1968" s="85" t="s">
        <v>3019</v>
      </c>
      <c r="F1968" s="86">
        <v>880</v>
      </c>
      <c r="G1968" s="86">
        <v>2</v>
      </c>
      <c r="H1968" s="86">
        <v>1760</v>
      </c>
      <c r="I1968" s="86">
        <v>4019.69</v>
      </c>
      <c r="J1968" s="85" t="s">
        <v>2958</v>
      </c>
      <c r="K1968" s="85" t="s">
        <v>8637</v>
      </c>
      <c r="L1968" s="85" t="s">
        <v>4135</v>
      </c>
      <c r="M1968" s="85" t="s">
        <v>8682</v>
      </c>
    </row>
    <row r="1969" ht="213.75" spans="1:13">
      <c r="A1969" s="85" t="s">
        <v>8639</v>
      </c>
      <c r="B1969" s="85" t="s">
        <v>4959</v>
      </c>
      <c r="C1969" s="85" t="s">
        <v>4960</v>
      </c>
      <c r="D1969" s="85" t="s">
        <v>4596</v>
      </c>
      <c r="E1969" s="85" t="s">
        <v>4961</v>
      </c>
      <c r="F1969" s="86">
        <v>37</v>
      </c>
      <c r="G1969" s="86">
        <v>5</v>
      </c>
      <c r="H1969" s="86">
        <v>185</v>
      </c>
      <c r="I1969" s="86">
        <v>4019.69</v>
      </c>
      <c r="J1969" s="85" t="s">
        <v>2958</v>
      </c>
      <c r="K1969" s="85" t="s">
        <v>8637</v>
      </c>
      <c r="L1969" s="85" t="s">
        <v>4135</v>
      </c>
      <c r="M1969" s="85" t="s">
        <v>8683</v>
      </c>
    </row>
    <row r="1970" ht="213.75" spans="1:13">
      <c r="A1970" s="85" t="s">
        <v>8639</v>
      </c>
      <c r="B1970" s="85" t="s">
        <v>8684</v>
      </c>
      <c r="C1970" s="85" t="s">
        <v>8685</v>
      </c>
      <c r="D1970" s="85" t="s">
        <v>4596</v>
      </c>
      <c r="E1970" s="85" t="s">
        <v>8686</v>
      </c>
      <c r="F1970" s="86">
        <v>364</v>
      </c>
      <c r="G1970" s="86">
        <v>1</v>
      </c>
      <c r="H1970" s="86">
        <v>364</v>
      </c>
      <c r="I1970" s="86">
        <v>4019.69</v>
      </c>
      <c r="J1970" s="85" t="s">
        <v>2958</v>
      </c>
      <c r="K1970" s="85" t="s">
        <v>8637</v>
      </c>
      <c r="L1970" s="85" t="s">
        <v>4135</v>
      </c>
      <c r="M1970" s="85" t="s">
        <v>8687</v>
      </c>
    </row>
    <row r="1971" ht="213.75" spans="1:13">
      <c r="A1971" s="85" t="s">
        <v>8636</v>
      </c>
      <c r="B1971" s="85" t="s">
        <v>3063</v>
      </c>
      <c r="C1971" s="85" t="s">
        <v>3064</v>
      </c>
      <c r="D1971" s="85" t="s">
        <v>2992</v>
      </c>
      <c r="E1971" s="85" t="s">
        <v>1815</v>
      </c>
      <c r="F1971" s="86">
        <v>5.3</v>
      </c>
      <c r="G1971" s="86">
        <v>300</v>
      </c>
      <c r="H1971" s="86">
        <v>1590</v>
      </c>
      <c r="I1971" s="86">
        <v>5774</v>
      </c>
      <c r="J1971" s="85" t="s">
        <v>2958</v>
      </c>
      <c r="K1971" s="85" t="s">
        <v>8637</v>
      </c>
      <c r="L1971" s="85" t="s">
        <v>4135</v>
      </c>
      <c r="M1971" s="85" t="s">
        <v>8688</v>
      </c>
    </row>
    <row r="1972" ht="213.75" spans="1:13">
      <c r="A1972" s="85" t="s">
        <v>8639</v>
      </c>
      <c r="B1972" s="85" t="s">
        <v>3092</v>
      </c>
      <c r="C1972" s="85" t="s">
        <v>3093</v>
      </c>
      <c r="D1972" s="85" t="s">
        <v>2982</v>
      </c>
      <c r="E1972" s="85" t="s">
        <v>3094</v>
      </c>
      <c r="F1972" s="86">
        <v>13.23</v>
      </c>
      <c r="G1972" s="86">
        <v>60</v>
      </c>
      <c r="H1972" s="86">
        <v>793.8</v>
      </c>
      <c r="I1972" s="86">
        <v>4019.69</v>
      </c>
      <c r="J1972" s="85" t="s">
        <v>2958</v>
      </c>
      <c r="K1972" s="85" t="s">
        <v>8637</v>
      </c>
      <c r="L1972" s="85" t="s">
        <v>4135</v>
      </c>
      <c r="M1972" s="85" t="s">
        <v>8689</v>
      </c>
    </row>
    <row r="1973" ht="213.75" spans="1:13">
      <c r="A1973" s="85" t="s">
        <v>8639</v>
      </c>
      <c r="B1973" s="85" t="s">
        <v>8690</v>
      </c>
      <c r="C1973" s="85" t="s">
        <v>8691</v>
      </c>
      <c r="D1973" s="85" t="s">
        <v>3566</v>
      </c>
      <c r="E1973" s="85" t="s">
        <v>3567</v>
      </c>
      <c r="F1973" s="86">
        <v>5.7</v>
      </c>
      <c r="G1973" s="86">
        <v>1</v>
      </c>
      <c r="H1973" s="86">
        <v>5.7</v>
      </c>
      <c r="I1973" s="86">
        <v>4019.69</v>
      </c>
      <c r="J1973" s="85" t="s">
        <v>2958</v>
      </c>
      <c r="K1973" s="85" t="s">
        <v>8637</v>
      </c>
      <c r="L1973" s="85" t="s">
        <v>4135</v>
      </c>
      <c r="M1973" s="85" t="s">
        <v>8692</v>
      </c>
    </row>
    <row r="1974" ht="213.75" spans="1:13">
      <c r="A1974" s="85" t="s">
        <v>8639</v>
      </c>
      <c r="B1974" s="85" t="s">
        <v>8693</v>
      </c>
      <c r="C1974" s="85" t="s">
        <v>8694</v>
      </c>
      <c r="D1974" s="85" t="s">
        <v>2982</v>
      </c>
      <c r="E1974" s="85" t="s">
        <v>8695</v>
      </c>
      <c r="F1974" s="86">
        <v>8.91</v>
      </c>
      <c r="G1974" s="86">
        <v>1</v>
      </c>
      <c r="H1974" s="86">
        <v>8.91</v>
      </c>
      <c r="I1974" s="86">
        <v>4019.69</v>
      </c>
      <c r="J1974" s="85" t="s">
        <v>2958</v>
      </c>
      <c r="K1974" s="85" t="s">
        <v>8637</v>
      </c>
      <c r="L1974" s="85" t="s">
        <v>4135</v>
      </c>
      <c r="M1974" s="85" t="s">
        <v>8696</v>
      </c>
    </row>
    <row r="1975" ht="256.5" spans="1:13">
      <c r="A1975" s="85" t="s">
        <v>8639</v>
      </c>
      <c r="B1975" s="85" t="s">
        <v>8417</v>
      </c>
      <c r="C1975" s="85" t="s">
        <v>8418</v>
      </c>
      <c r="D1975" s="85" t="s">
        <v>8419</v>
      </c>
      <c r="E1975" s="85" t="s">
        <v>8420</v>
      </c>
      <c r="F1975" s="86">
        <v>27.3</v>
      </c>
      <c r="G1975" s="86">
        <v>1</v>
      </c>
      <c r="H1975" s="86">
        <v>27.3</v>
      </c>
      <c r="I1975" s="86">
        <v>4019.69</v>
      </c>
      <c r="J1975" s="85" t="s">
        <v>2958</v>
      </c>
      <c r="K1975" s="85" t="s">
        <v>8637</v>
      </c>
      <c r="L1975" s="85" t="s">
        <v>4135</v>
      </c>
      <c r="M1975" s="85" t="s">
        <v>8697</v>
      </c>
    </row>
    <row r="1976" ht="213.75" spans="1:13">
      <c r="A1976" s="85" t="s">
        <v>8639</v>
      </c>
      <c r="B1976" s="85" t="s">
        <v>3048</v>
      </c>
      <c r="C1976" s="85" t="s">
        <v>3049</v>
      </c>
      <c r="D1976" s="85" t="s">
        <v>2982</v>
      </c>
      <c r="E1976" s="85" t="s">
        <v>3050</v>
      </c>
      <c r="F1976" s="86">
        <v>4.5</v>
      </c>
      <c r="G1976" s="86">
        <v>100</v>
      </c>
      <c r="H1976" s="86">
        <v>450</v>
      </c>
      <c r="I1976" s="86">
        <v>4019.69</v>
      </c>
      <c r="J1976" s="85" t="s">
        <v>2958</v>
      </c>
      <c r="K1976" s="85" t="s">
        <v>8637</v>
      </c>
      <c r="L1976" s="85" t="s">
        <v>4135</v>
      </c>
      <c r="M1976" s="85" t="s">
        <v>8698</v>
      </c>
    </row>
    <row r="1977" ht="213.75" spans="1:13">
      <c r="A1977" s="85" t="s">
        <v>8636</v>
      </c>
      <c r="B1977" s="85" t="s">
        <v>3500</v>
      </c>
      <c r="C1977" s="85" t="s">
        <v>3501</v>
      </c>
      <c r="D1977" s="85" t="s">
        <v>2992</v>
      </c>
      <c r="E1977" s="85" t="s">
        <v>1815</v>
      </c>
      <c r="F1977" s="86">
        <v>17.7</v>
      </c>
      <c r="G1977" s="86">
        <v>80</v>
      </c>
      <c r="H1977" s="86">
        <v>1416</v>
      </c>
      <c r="I1977" s="86">
        <v>5774</v>
      </c>
      <c r="J1977" s="85" t="s">
        <v>2958</v>
      </c>
      <c r="K1977" s="85" t="s">
        <v>8637</v>
      </c>
      <c r="L1977" s="85" t="s">
        <v>4135</v>
      </c>
      <c r="M1977" s="85" t="s">
        <v>8699</v>
      </c>
    </row>
    <row r="1978" ht="213.75" spans="1:13">
      <c r="A1978" s="85" t="s">
        <v>8639</v>
      </c>
      <c r="B1978" s="85" t="s">
        <v>8700</v>
      </c>
      <c r="C1978" s="85" t="s">
        <v>8701</v>
      </c>
      <c r="D1978" s="85" t="s">
        <v>8361</v>
      </c>
      <c r="E1978" s="85" t="s">
        <v>8362</v>
      </c>
      <c r="F1978" s="86">
        <v>20.9</v>
      </c>
      <c r="G1978" s="86">
        <v>1</v>
      </c>
      <c r="H1978" s="86">
        <v>20.9</v>
      </c>
      <c r="I1978" s="86">
        <v>4019.69</v>
      </c>
      <c r="J1978" s="85" t="s">
        <v>2958</v>
      </c>
      <c r="K1978" s="85" t="s">
        <v>8637</v>
      </c>
      <c r="L1978" s="85" t="s">
        <v>4135</v>
      </c>
      <c r="M1978" s="85" t="s">
        <v>8702</v>
      </c>
    </row>
    <row r="1979" ht="242.25" spans="1:13">
      <c r="A1979" s="85" t="s">
        <v>8639</v>
      </c>
      <c r="B1979" s="85" t="s">
        <v>8703</v>
      </c>
      <c r="C1979" s="85" t="s">
        <v>8704</v>
      </c>
      <c r="D1979" s="85" t="s">
        <v>6613</v>
      </c>
      <c r="E1979" s="85" t="s">
        <v>8705</v>
      </c>
      <c r="F1979" s="86">
        <v>5.25</v>
      </c>
      <c r="G1979" s="86">
        <v>10</v>
      </c>
      <c r="H1979" s="86">
        <v>52.5</v>
      </c>
      <c r="I1979" s="86">
        <v>4019.69</v>
      </c>
      <c r="J1979" s="85" t="s">
        <v>2958</v>
      </c>
      <c r="K1979" s="85" t="s">
        <v>8637</v>
      </c>
      <c r="L1979" s="85" t="s">
        <v>4135</v>
      </c>
      <c r="M1979" s="85" t="s">
        <v>8706</v>
      </c>
    </row>
    <row r="1980" ht="213.75" spans="1:13">
      <c r="A1980" s="85" t="s">
        <v>8639</v>
      </c>
      <c r="B1980" s="85" t="s">
        <v>8707</v>
      </c>
      <c r="C1980" s="85" t="s">
        <v>8708</v>
      </c>
      <c r="D1980" s="85" t="s">
        <v>2982</v>
      </c>
      <c r="E1980" s="85" t="s">
        <v>3645</v>
      </c>
      <c r="F1980" s="86">
        <v>32</v>
      </c>
      <c r="G1980" s="86">
        <v>1</v>
      </c>
      <c r="H1980" s="86">
        <v>32</v>
      </c>
      <c r="I1980" s="86">
        <v>4019.69</v>
      </c>
      <c r="J1980" s="85" t="s">
        <v>2958</v>
      </c>
      <c r="K1980" s="85" t="s">
        <v>8637</v>
      </c>
      <c r="L1980" s="85" t="s">
        <v>4135</v>
      </c>
      <c r="M1980" s="85" t="s">
        <v>8709</v>
      </c>
    </row>
    <row r="1981" ht="213.75" spans="1:13">
      <c r="A1981" s="85" t="s">
        <v>8639</v>
      </c>
      <c r="B1981" s="85" t="s">
        <v>8710</v>
      </c>
      <c r="C1981" s="85" t="s">
        <v>8711</v>
      </c>
      <c r="D1981" s="85" t="s">
        <v>2982</v>
      </c>
      <c r="E1981" s="85" t="s">
        <v>2983</v>
      </c>
      <c r="F1981" s="86">
        <v>10.5</v>
      </c>
      <c r="G1981" s="86">
        <v>1</v>
      </c>
      <c r="H1981" s="86">
        <v>10.5</v>
      </c>
      <c r="I1981" s="86">
        <v>4019.69</v>
      </c>
      <c r="J1981" s="85" t="s">
        <v>2958</v>
      </c>
      <c r="K1981" s="85" t="s">
        <v>8637</v>
      </c>
      <c r="L1981" s="85" t="s">
        <v>4135</v>
      </c>
      <c r="M1981" s="85" t="s">
        <v>8712</v>
      </c>
    </row>
    <row r="1982" ht="213.75" spans="1:13">
      <c r="A1982" s="85" t="s">
        <v>8713</v>
      </c>
      <c r="B1982" s="85" t="s">
        <v>8714</v>
      </c>
      <c r="C1982" s="85" t="s">
        <v>8715</v>
      </c>
      <c r="D1982" s="85" t="s">
        <v>3834</v>
      </c>
      <c r="E1982" s="85" t="s">
        <v>2333</v>
      </c>
      <c r="F1982" s="86">
        <v>1798</v>
      </c>
      <c r="G1982" s="86">
        <v>1</v>
      </c>
      <c r="H1982" s="86">
        <v>1798</v>
      </c>
      <c r="I1982" s="86">
        <v>1798</v>
      </c>
      <c r="J1982" s="85" t="s">
        <v>2935</v>
      </c>
      <c r="K1982" s="85" t="s">
        <v>8716</v>
      </c>
      <c r="L1982" s="85" t="s">
        <v>4135</v>
      </c>
      <c r="M1982" s="85" t="s">
        <v>8717</v>
      </c>
    </row>
    <row r="1983" ht="213.75" spans="1:13">
      <c r="A1983" s="85" t="s">
        <v>8718</v>
      </c>
      <c r="B1983" s="85" t="s">
        <v>3745</v>
      </c>
      <c r="C1983" s="85" t="s">
        <v>3746</v>
      </c>
      <c r="D1983" s="85" t="s">
        <v>3747</v>
      </c>
      <c r="E1983" s="85" t="s">
        <v>1827</v>
      </c>
      <c r="F1983" s="86">
        <v>134</v>
      </c>
      <c r="G1983" s="86">
        <v>250</v>
      </c>
      <c r="H1983" s="86">
        <v>33500</v>
      </c>
      <c r="I1983" s="86">
        <v>33500</v>
      </c>
      <c r="J1983" s="85" t="s">
        <v>2932</v>
      </c>
      <c r="K1983" s="85" t="s">
        <v>8719</v>
      </c>
      <c r="L1983" s="85" t="s">
        <v>4135</v>
      </c>
      <c r="M1983" s="85" t="s">
        <v>8720</v>
      </c>
    </row>
    <row r="1984" ht="213.75" spans="1:13">
      <c r="A1984" s="85" t="s">
        <v>8721</v>
      </c>
      <c r="B1984" s="85" t="s">
        <v>2901</v>
      </c>
      <c r="C1984" s="85" t="s">
        <v>2902</v>
      </c>
      <c r="D1984" s="85" t="s">
        <v>2903</v>
      </c>
      <c r="E1984" s="85" t="s">
        <v>2902</v>
      </c>
      <c r="F1984" s="86">
        <v>15091</v>
      </c>
      <c r="G1984" s="86">
        <v>1</v>
      </c>
      <c r="H1984" s="86">
        <v>15091</v>
      </c>
      <c r="I1984" s="86">
        <v>15091</v>
      </c>
      <c r="J1984" s="85" t="s">
        <v>4054</v>
      </c>
      <c r="K1984" s="85" t="s">
        <v>8722</v>
      </c>
      <c r="L1984" s="85" t="s">
        <v>4135</v>
      </c>
      <c r="M1984" s="85" t="s">
        <v>8723</v>
      </c>
    </row>
    <row r="1985" ht="213.75" spans="1:13">
      <c r="A1985" s="85" t="s">
        <v>8724</v>
      </c>
      <c r="B1985" s="85" t="s">
        <v>2917</v>
      </c>
      <c r="C1985" s="85" t="s">
        <v>2918</v>
      </c>
      <c r="D1985" s="85" t="s">
        <v>2919</v>
      </c>
      <c r="E1985" s="85" t="s">
        <v>2918</v>
      </c>
      <c r="F1985" s="86">
        <v>2000</v>
      </c>
      <c r="G1985" s="86">
        <v>1</v>
      </c>
      <c r="H1985" s="86">
        <v>2000</v>
      </c>
      <c r="I1985" s="86">
        <v>2000</v>
      </c>
      <c r="J1985" s="85" t="s">
        <v>8725</v>
      </c>
      <c r="K1985" s="85" t="s">
        <v>8726</v>
      </c>
      <c r="L1985" s="85" t="s">
        <v>4135</v>
      </c>
      <c r="M1985" s="85" t="s">
        <v>8727</v>
      </c>
    </row>
    <row r="1986" ht="213.75" spans="1:13">
      <c r="A1986" s="85" t="s">
        <v>8728</v>
      </c>
      <c r="B1986" s="85" t="s">
        <v>8729</v>
      </c>
      <c r="C1986" s="85" t="s">
        <v>8730</v>
      </c>
      <c r="D1986" s="85" t="s">
        <v>8731</v>
      </c>
      <c r="E1986" s="85" t="s">
        <v>8730</v>
      </c>
      <c r="F1986" s="86">
        <v>24100</v>
      </c>
      <c r="G1986" s="86">
        <v>1</v>
      </c>
      <c r="H1986" s="86">
        <v>24100</v>
      </c>
      <c r="I1986" s="86">
        <v>24100</v>
      </c>
      <c r="J1986" s="85" t="s">
        <v>8732</v>
      </c>
      <c r="K1986" s="85" t="s">
        <v>8733</v>
      </c>
      <c r="L1986" s="85" t="s">
        <v>4135</v>
      </c>
      <c r="M1986" s="85" t="s">
        <v>8734</v>
      </c>
    </row>
    <row r="1987" ht="213.75" spans="1:13">
      <c r="A1987" s="85" t="s">
        <v>8735</v>
      </c>
      <c r="B1987" s="85" t="s">
        <v>3509</v>
      </c>
      <c r="C1987" s="85" t="s">
        <v>3510</v>
      </c>
      <c r="D1987" s="85" t="s">
        <v>3511</v>
      </c>
      <c r="E1987" s="85" t="s">
        <v>3510</v>
      </c>
      <c r="F1987" s="86">
        <v>1400</v>
      </c>
      <c r="G1987" s="86">
        <v>1</v>
      </c>
      <c r="H1987" s="86">
        <v>1400</v>
      </c>
      <c r="I1987" s="86">
        <v>1400</v>
      </c>
      <c r="J1987" s="85" t="s">
        <v>3951</v>
      </c>
      <c r="K1987" s="85" t="s">
        <v>8736</v>
      </c>
      <c r="L1987" s="85" t="s">
        <v>4135</v>
      </c>
      <c r="M1987" s="85" t="s">
        <v>8737</v>
      </c>
    </row>
    <row r="1988" ht="213.75" spans="1:13">
      <c r="A1988" s="85" t="s">
        <v>8738</v>
      </c>
      <c r="B1988" s="85" t="s">
        <v>8222</v>
      </c>
      <c r="C1988" s="85" t="s">
        <v>8223</v>
      </c>
      <c r="D1988" s="85" t="s">
        <v>3386</v>
      </c>
      <c r="E1988" s="85" t="s">
        <v>8223</v>
      </c>
      <c r="F1988" s="86">
        <v>1560.62</v>
      </c>
      <c r="G1988" s="86">
        <v>1</v>
      </c>
      <c r="H1988" s="86">
        <v>1560.62</v>
      </c>
      <c r="I1988" s="86">
        <v>1560.62</v>
      </c>
      <c r="J1988" s="85" t="s">
        <v>2965</v>
      </c>
      <c r="K1988" s="85" t="s">
        <v>8739</v>
      </c>
      <c r="L1988" s="85" t="s">
        <v>4135</v>
      </c>
      <c r="M1988" s="85" t="s">
        <v>8740</v>
      </c>
    </row>
    <row r="1989" ht="213.75" spans="1:13">
      <c r="A1989" s="85" t="s">
        <v>8741</v>
      </c>
      <c r="B1989" s="85" t="s">
        <v>8742</v>
      </c>
      <c r="C1989" s="85" t="s">
        <v>8743</v>
      </c>
      <c r="D1989" s="85" t="s">
        <v>8063</v>
      </c>
      <c r="E1989" s="85" t="s">
        <v>8064</v>
      </c>
      <c r="F1989" s="86">
        <v>2345.55</v>
      </c>
      <c r="G1989" s="86">
        <v>1</v>
      </c>
      <c r="H1989" s="86">
        <v>2345.55</v>
      </c>
      <c r="I1989" s="86">
        <v>2345.55</v>
      </c>
      <c r="J1989" s="85" t="s">
        <v>3112</v>
      </c>
      <c r="K1989" s="85" t="s">
        <v>8744</v>
      </c>
      <c r="L1989" s="85" t="s">
        <v>4135</v>
      </c>
      <c r="M1989" s="85" t="s">
        <v>8745</v>
      </c>
    </row>
    <row r="1990" ht="213.75" spans="1:13">
      <c r="A1990" s="85" t="s">
        <v>8746</v>
      </c>
      <c r="B1990" s="85" t="s">
        <v>8747</v>
      </c>
      <c r="C1990" s="85" t="s">
        <v>8748</v>
      </c>
      <c r="D1990" s="85" t="s">
        <v>3834</v>
      </c>
      <c r="E1990" s="85" t="s">
        <v>8748</v>
      </c>
      <c r="F1990" s="86">
        <v>546</v>
      </c>
      <c r="G1990" s="86">
        <v>9</v>
      </c>
      <c r="H1990" s="86">
        <v>4914</v>
      </c>
      <c r="I1990" s="86">
        <v>18673.2</v>
      </c>
      <c r="J1990" s="85" t="s">
        <v>2965</v>
      </c>
      <c r="K1990" s="85" t="s">
        <v>8744</v>
      </c>
      <c r="L1990" s="85" t="s">
        <v>4135</v>
      </c>
      <c r="M1990" s="85" t="s">
        <v>8749</v>
      </c>
    </row>
    <row r="1991" ht="213.75" spans="1:13">
      <c r="A1991" s="85" t="s">
        <v>8746</v>
      </c>
      <c r="B1991" s="85" t="s">
        <v>8750</v>
      </c>
      <c r="C1991" s="85" t="s">
        <v>8751</v>
      </c>
      <c r="D1991" s="85" t="s">
        <v>3834</v>
      </c>
      <c r="E1991" s="85" t="s">
        <v>8751</v>
      </c>
      <c r="F1991" s="86">
        <v>1528.8</v>
      </c>
      <c r="G1991" s="86">
        <v>9</v>
      </c>
      <c r="H1991" s="86">
        <v>13759.2</v>
      </c>
      <c r="I1991" s="86">
        <v>18673.2</v>
      </c>
      <c r="J1991" s="85" t="s">
        <v>2965</v>
      </c>
      <c r="K1991" s="85" t="s">
        <v>8744</v>
      </c>
      <c r="L1991" s="85" t="s">
        <v>4135</v>
      </c>
      <c r="M1991" s="85" t="s">
        <v>8752</v>
      </c>
    </row>
    <row r="1992" ht="213.75" spans="1:13">
      <c r="A1992" s="85" t="s">
        <v>8753</v>
      </c>
      <c r="B1992" s="85" t="s">
        <v>8747</v>
      </c>
      <c r="C1992" s="85" t="s">
        <v>8748</v>
      </c>
      <c r="D1992" s="85" t="s">
        <v>3834</v>
      </c>
      <c r="E1992" s="85" t="s">
        <v>8748</v>
      </c>
      <c r="F1992" s="86">
        <v>546</v>
      </c>
      <c r="G1992" s="86">
        <v>9</v>
      </c>
      <c r="H1992" s="86">
        <v>4914</v>
      </c>
      <c r="I1992" s="86">
        <v>4914</v>
      </c>
      <c r="J1992" s="85" t="s">
        <v>2965</v>
      </c>
      <c r="K1992" s="85" t="s">
        <v>8754</v>
      </c>
      <c r="L1992" s="85" t="s">
        <v>4135</v>
      </c>
      <c r="M1992" s="85" t="s">
        <v>8755</v>
      </c>
    </row>
    <row r="1993" ht="213.75" spans="1:13">
      <c r="A1993" s="85" t="s">
        <v>8756</v>
      </c>
      <c r="B1993" s="85" t="s">
        <v>8757</v>
      </c>
      <c r="C1993" s="85" t="s">
        <v>8758</v>
      </c>
      <c r="D1993" s="85" t="s">
        <v>6824</v>
      </c>
      <c r="E1993" s="85" t="s">
        <v>6825</v>
      </c>
      <c r="F1993" s="86">
        <v>380</v>
      </c>
      <c r="G1993" s="86">
        <v>6</v>
      </c>
      <c r="H1993" s="86">
        <v>2280</v>
      </c>
      <c r="I1993" s="86">
        <v>3868.25</v>
      </c>
      <c r="J1993" s="85" t="s">
        <v>2935</v>
      </c>
      <c r="K1993" s="85" t="s">
        <v>8759</v>
      </c>
      <c r="L1993" s="85" t="s">
        <v>4135</v>
      </c>
      <c r="M1993" s="85" t="s">
        <v>8760</v>
      </c>
    </row>
    <row r="1994" ht="213.75" spans="1:13">
      <c r="A1994" s="85" t="s">
        <v>8761</v>
      </c>
      <c r="B1994" s="85" t="s">
        <v>8762</v>
      </c>
      <c r="C1994" s="85" t="s">
        <v>8763</v>
      </c>
      <c r="D1994" s="85" t="s">
        <v>8063</v>
      </c>
      <c r="E1994" s="85" t="s">
        <v>6495</v>
      </c>
      <c r="F1994" s="86">
        <v>396</v>
      </c>
      <c r="G1994" s="86">
        <v>2</v>
      </c>
      <c r="H1994" s="86">
        <v>792</v>
      </c>
      <c r="I1994" s="86">
        <v>23128</v>
      </c>
      <c r="J1994" s="85" t="s">
        <v>2935</v>
      </c>
      <c r="K1994" s="85" t="s">
        <v>8759</v>
      </c>
      <c r="L1994" s="85" t="s">
        <v>4135</v>
      </c>
      <c r="M1994" s="85" t="s">
        <v>8764</v>
      </c>
    </row>
    <row r="1995" ht="213.75" spans="1:13">
      <c r="A1995" s="85" t="s">
        <v>8756</v>
      </c>
      <c r="B1995" s="85" t="s">
        <v>8765</v>
      </c>
      <c r="C1995" s="85" t="s">
        <v>8766</v>
      </c>
      <c r="D1995" s="85" t="s">
        <v>8767</v>
      </c>
      <c r="E1995" s="85" t="s">
        <v>8768</v>
      </c>
      <c r="F1995" s="86">
        <v>49.9</v>
      </c>
      <c r="G1995" s="86">
        <v>20</v>
      </c>
      <c r="H1995" s="86">
        <v>998</v>
      </c>
      <c r="I1995" s="86">
        <v>3868.25</v>
      </c>
      <c r="J1995" s="85" t="s">
        <v>2935</v>
      </c>
      <c r="K1995" s="85" t="s">
        <v>8759</v>
      </c>
      <c r="L1995" s="85" t="s">
        <v>4135</v>
      </c>
      <c r="M1995" s="85" t="s">
        <v>8769</v>
      </c>
    </row>
    <row r="1996" ht="213.75" spans="1:13">
      <c r="A1996" s="85" t="s">
        <v>8770</v>
      </c>
      <c r="B1996" s="85" t="s">
        <v>8771</v>
      </c>
      <c r="C1996" s="85" t="s">
        <v>8772</v>
      </c>
      <c r="D1996" s="85" t="s">
        <v>3398</v>
      </c>
      <c r="E1996" s="85" t="s">
        <v>7820</v>
      </c>
      <c r="F1996" s="86">
        <v>1430</v>
      </c>
      <c r="G1996" s="86">
        <v>1</v>
      </c>
      <c r="H1996" s="86">
        <v>1430</v>
      </c>
      <c r="I1996" s="86">
        <v>4146.5</v>
      </c>
      <c r="J1996" s="85" t="s">
        <v>2935</v>
      </c>
      <c r="K1996" s="85" t="s">
        <v>8759</v>
      </c>
      <c r="L1996" s="85" t="s">
        <v>4135</v>
      </c>
      <c r="M1996" s="85" t="s">
        <v>8773</v>
      </c>
    </row>
    <row r="1997" ht="213.75" spans="1:13">
      <c r="A1997" s="85" t="s">
        <v>8756</v>
      </c>
      <c r="B1997" s="85" t="s">
        <v>8774</v>
      </c>
      <c r="C1997" s="85" t="s">
        <v>8775</v>
      </c>
      <c r="D1997" s="85" t="s">
        <v>6122</v>
      </c>
      <c r="E1997" s="85" t="s">
        <v>8559</v>
      </c>
      <c r="F1997" s="86">
        <v>8.01</v>
      </c>
      <c r="G1997" s="86">
        <v>25</v>
      </c>
      <c r="H1997" s="86">
        <v>200.25</v>
      </c>
      <c r="I1997" s="86">
        <v>3868.25</v>
      </c>
      <c r="J1997" s="85" t="s">
        <v>2935</v>
      </c>
      <c r="K1997" s="85" t="s">
        <v>8759</v>
      </c>
      <c r="L1997" s="85" t="s">
        <v>4135</v>
      </c>
      <c r="M1997" s="85" t="s">
        <v>8776</v>
      </c>
    </row>
    <row r="1998" ht="213.75" spans="1:13">
      <c r="A1998" s="85" t="s">
        <v>8770</v>
      </c>
      <c r="B1998" s="85" t="s">
        <v>8777</v>
      </c>
      <c r="C1998" s="85" t="s">
        <v>8778</v>
      </c>
      <c r="D1998" s="85" t="s">
        <v>4182</v>
      </c>
      <c r="E1998" s="85" t="s">
        <v>8779</v>
      </c>
      <c r="F1998" s="86">
        <v>905</v>
      </c>
      <c r="G1998" s="86">
        <v>1</v>
      </c>
      <c r="H1998" s="86">
        <v>905</v>
      </c>
      <c r="I1998" s="86">
        <v>4146.5</v>
      </c>
      <c r="J1998" s="85" t="s">
        <v>2935</v>
      </c>
      <c r="K1998" s="85" t="s">
        <v>8759</v>
      </c>
      <c r="L1998" s="85" t="s">
        <v>4135</v>
      </c>
      <c r="M1998" s="85" t="s">
        <v>8780</v>
      </c>
    </row>
    <row r="1999" ht="213.75" spans="1:13">
      <c r="A1999" s="85" t="s">
        <v>8761</v>
      </c>
      <c r="B1999" s="85" t="s">
        <v>8781</v>
      </c>
      <c r="C1999" s="85" t="s">
        <v>8782</v>
      </c>
      <c r="D1999" s="85" t="s">
        <v>3543</v>
      </c>
      <c r="E1999" s="85" t="s">
        <v>8057</v>
      </c>
      <c r="F1999" s="86">
        <v>1698</v>
      </c>
      <c r="G1999" s="86">
        <v>10</v>
      </c>
      <c r="H1999" s="86">
        <v>16980</v>
      </c>
      <c r="I1999" s="86">
        <v>23128</v>
      </c>
      <c r="J1999" s="85" t="s">
        <v>2935</v>
      </c>
      <c r="K1999" s="85" t="s">
        <v>8759</v>
      </c>
      <c r="L1999" s="85" t="s">
        <v>4135</v>
      </c>
      <c r="M1999" s="85" t="s">
        <v>8783</v>
      </c>
    </row>
    <row r="2000" ht="213.75" spans="1:13">
      <c r="A2000" s="85" t="s">
        <v>8761</v>
      </c>
      <c r="B2000" s="85" t="s">
        <v>8781</v>
      </c>
      <c r="C2000" s="85" t="s">
        <v>8782</v>
      </c>
      <c r="D2000" s="85" t="s">
        <v>3543</v>
      </c>
      <c r="E2000" s="85" t="s">
        <v>8057</v>
      </c>
      <c r="F2000" s="86">
        <v>1536</v>
      </c>
      <c r="G2000" s="86">
        <v>1</v>
      </c>
      <c r="H2000" s="86">
        <v>1536</v>
      </c>
      <c r="I2000" s="86">
        <v>23128</v>
      </c>
      <c r="J2000" s="85" t="s">
        <v>2935</v>
      </c>
      <c r="K2000" s="85" t="s">
        <v>8759</v>
      </c>
      <c r="L2000" s="85" t="s">
        <v>4135</v>
      </c>
      <c r="M2000" s="85" t="s">
        <v>8784</v>
      </c>
    </row>
    <row r="2001" ht="213.75" spans="1:13">
      <c r="A2001" s="85" t="s">
        <v>8761</v>
      </c>
      <c r="B2001" s="85" t="s">
        <v>8785</v>
      </c>
      <c r="C2001" s="85" t="s">
        <v>8786</v>
      </c>
      <c r="D2001" s="85" t="s">
        <v>3367</v>
      </c>
      <c r="E2001" s="85" t="s">
        <v>8786</v>
      </c>
      <c r="F2001" s="86">
        <v>12</v>
      </c>
      <c r="G2001" s="86">
        <v>20</v>
      </c>
      <c r="H2001" s="86">
        <v>240</v>
      </c>
      <c r="I2001" s="86">
        <v>23128</v>
      </c>
      <c r="J2001" s="85" t="s">
        <v>2935</v>
      </c>
      <c r="K2001" s="85" t="s">
        <v>8759</v>
      </c>
      <c r="L2001" s="85" t="s">
        <v>4135</v>
      </c>
      <c r="M2001" s="85" t="s">
        <v>8787</v>
      </c>
    </row>
    <row r="2002" ht="213.75" spans="1:13">
      <c r="A2002" s="85" t="s">
        <v>8761</v>
      </c>
      <c r="B2002" s="85" t="s">
        <v>8788</v>
      </c>
      <c r="C2002" s="85" t="s">
        <v>8789</v>
      </c>
      <c r="D2002" s="85" t="s">
        <v>8790</v>
      </c>
      <c r="E2002" s="85" t="s">
        <v>8791</v>
      </c>
      <c r="F2002" s="86">
        <v>130</v>
      </c>
      <c r="G2002" s="86">
        <v>1</v>
      </c>
      <c r="H2002" s="86">
        <v>130</v>
      </c>
      <c r="I2002" s="86">
        <v>23128</v>
      </c>
      <c r="J2002" s="85" t="s">
        <v>2935</v>
      </c>
      <c r="K2002" s="85" t="s">
        <v>8759</v>
      </c>
      <c r="L2002" s="85" t="s">
        <v>4135</v>
      </c>
      <c r="M2002" s="85" t="s">
        <v>8792</v>
      </c>
    </row>
    <row r="2003" ht="213.75" spans="1:13">
      <c r="A2003" s="85" t="s">
        <v>8770</v>
      </c>
      <c r="B2003" s="85" t="s">
        <v>8793</v>
      </c>
      <c r="C2003" s="85" t="s">
        <v>8794</v>
      </c>
      <c r="D2003" s="85" t="s">
        <v>7739</v>
      </c>
      <c r="E2003" s="85" t="s">
        <v>8795</v>
      </c>
      <c r="F2003" s="86">
        <v>989</v>
      </c>
      <c r="G2003" s="86">
        <v>1</v>
      </c>
      <c r="H2003" s="86">
        <v>989</v>
      </c>
      <c r="I2003" s="86">
        <v>4146.5</v>
      </c>
      <c r="J2003" s="85" t="s">
        <v>2935</v>
      </c>
      <c r="K2003" s="85" t="s">
        <v>8759</v>
      </c>
      <c r="L2003" s="85" t="s">
        <v>4135</v>
      </c>
      <c r="M2003" s="85" t="s">
        <v>8796</v>
      </c>
    </row>
    <row r="2004" ht="213.75" spans="1:13">
      <c r="A2004" s="85" t="s">
        <v>8770</v>
      </c>
      <c r="B2004" s="85" t="s">
        <v>8797</v>
      </c>
      <c r="C2004" s="85" t="s">
        <v>8798</v>
      </c>
      <c r="D2004" s="85" t="s">
        <v>3398</v>
      </c>
      <c r="E2004" s="85" t="s">
        <v>7820</v>
      </c>
      <c r="F2004" s="86">
        <v>822.5</v>
      </c>
      <c r="G2004" s="86">
        <v>1</v>
      </c>
      <c r="H2004" s="86">
        <v>822.5</v>
      </c>
      <c r="I2004" s="86">
        <v>4146.5</v>
      </c>
      <c r="J2004" s="85" t="s">
        <v>2935</v>
      </c>
      <c r="K2004" s="85" t="s">
        <v>8759</v>
      </c>
      <c r="L2004" s="85" t="s">
        <v>4135</v>
      </c>
      <c r="M2004" s="85" t="s">
        <v>8799</v>
      </c>
    </row>
    <row r="2005" ht="213.75" spans="1:13">
      <c r="A2005" s="85" t="s">
        <v>8761</v>
      </c>
      <c r="B2005" s="85" t="s">
        <v>8800</v>
      </c>
      <c r="C2005" s="85" t="s">
        <v>8801</v>
      </c>
      <c r="D2005" s="85" t="s">
        <v>8802</v>
      </c>
      <c r="E2005" s="85" t="s">
        <v>8803</v>
      </c>
      <c r="F2005" s="86">
        <v>1725</v>
      </c>
      <c r="G2005" s="86">
        <v>2</v>
      </c>
      <c r="H2005" s="86">
        <v>3450</v>
      </c>
      <c r="I2005" s="86">
        <v>23128</v>
      </c>
      <c r="J2005" s="85" t="s">
        <v>2935</v>
      </c>
      <c r="K2005" s="85" t="s">
        <v>8759</v>
      </c>
      <c r="L2005" s="85" t="s">
        <v>4135</v>
      </c>
      <c r="M2005" s="85" t="s">
        <v>8804</v>
      </c>
    </row>
    <row r="2006" ht="213.75" spans="1:13">
      <c r="A2006" s="85" t="s">
        <v>8805</v>
      </c>
      <c r="B2006" s="85" t="s">
        <v>8806</v>
      </c>
      <c r="C2006" s="85" t="s">
        <v>8807</v>
      </c>
      <c r="D2006" s="85" t="s">
        <v>8808</v>
      </c>
      <c r="E2006" s="85" t="s">
        <v>8809</v>
      </c>
      <c r="F2006" s="86">
        <v>786</v>
      </c>
      <c r="G2006" s="86">
        <v>1</v>
      </c>
      <c r="H2006" s="86">
        <v>786</v>
      </c>
      <c r="I2006" s="86">
        <v>786</v>
      </c>
      <c r="J2006" s="85" t="s">
        <v>2935</v>
      </c>
      <c r="K2006" s="85" t="s">
        <v>8759</v>
      </c>
      <c r="L2006" s="85" t="s">
        <v>4135</v>
      </c>
      <c r="M2006" s="85" t="s">
        <v>8810</v>
      </c>
    </row>
    <row r="2007" ht="213.75" spans="1:13">
      <c r="A2007" s="85" t="s">
        <v>8811</v>
      </c>
      <c r="B2007" s="85" t="s">
        <v>4175</v>
      </c>
      <c r="C2007" s="85" t="s">
        <v>4176</v>
      </c>
      <c r="D2007" s="85" t="s">
        <v>4177</v>
      </c>
      <c r="E2007" s="85" t="s">
        <v>4178</v>
      </c>
      <c r="F2007" s="86">
        <v>199</v>
      </c>
      <c r="G2007" s="86">
        <v>1</v>
      </c>
      <c r="H2007" s="86">
        <v>199</v>
      </c>
      <c r="I2007" s="86">
        <v>199</v>
      </c>
      <c r="J2007" s="85" t="s">
        <v>2935</v>
      </c>
      <c r="K2007" s="85" t="s">
        <v>8759</v>
      </c>
      <c r="L2007" s="85" t="s">
        <v>4135</v>
      </c>
      <c r="M2007" s="85" t="s">
        <v>8812</v>
      </c>
    </row>
    <row r="2008" ht="213.75" spans="1:13">
      <c r="A2008" s="85" t="s">
        <v>8756</v>
      </c>
      <c r="B2008" s="85" t="s">
        <v>8813</v>
      </c>
      <c r="C2008" s="85" t="s">
        <v>8814</v>
      </c>
      <c r="D2008" s="85" t="s">
        <v>3153</v>
      </c>
      <c r="E2008" s="85" t="s">
        <v>7689</v>
      </c>
      <c r="F2008" s="86">
        <v>78</v>
      </c>
      <c r="G2008" s="86">
        <v>5</v>
      </c>
      <c r="H2008" s="86">
        <v>390</v>
      </c>
      <c r="I2008" s="86">
        <v>3868.25</v>
      </c>
      <c r="J2008" s="85" t="s">
        <v>2935</v>
      </c>
      <c r="K2008" s="85" t="s">
        <v>8759</v>
      </c>
      <c r="L2008" s="85" t="s">
        <v>4135</v>
      </c>
      <c r="M2008" s="85" t="s">
        <v>8815</v>
      </c>
    </row>
    <row r="2009" ht="213.75" spans="1:13">
      <c r="A2009" s="85" t="s">
        <v>8816</v>
      </c>
      <c r="B2009" s="85" t="s">
        <v>8817</v>
      </c>
      <c r="C2009" s="85" t="s">
        <v>8818</v>
      </c>
      <c r="D2009" s="85" t="s">
        <v>5449</v>
      </c>
      <c r="E2009" s="85" t="s">
        <v>8819</v>
      </c>
      <c r="F2009" s="86">
        <v>192.75</v>
      </c>
      <c r="G2009" s="86">
        <v>1</v>
      </c>
      <c r="H2009" s="86">
        <v>192.75</v>
      </c>
      <c r="I2009" s="86">
        <v>3130.82</v>
      </c>
      <c r="J2009" s="85" t="s">
        <v>4391</v>
      </c>
      <c r="K2009" s="85" t="s">
        <v>8820</v>
      </c>
      <c r="L2009" s="85" t="s">
        <v>4135</v>
      </c>
      <c r="M2009" s="85" t="s">
        <v>8821</v>
      </c>
    </row>
    <row r="2010" ht="213.75" spans="1:13">
      <c r="A2010" s="85" t="s">
        <v>8822</v>
      </c>
      <c r="B2010" s="85" t="s">
        <v>6512</v>
      </c>
      <c r="C2010" s="85" t="s">
        <v>6513</v>
      </c>
      <c r="D2010" s="85" t="s">
        <v>3014</v>
      </c>
      <c r="E2010" s="85" t="s">
        <v>6514</v>
      </c>
      <c r="F2010" s="86">
        <v>4905.9</v>
      </c>
      <c r="G2010" s="86">
        <v>1</v>
      </c>
      <c r="H2010" s="86">
        <v>4905.9</v>
      </c>
      <c r="I2010" s="86">
        <v>4905.9</v>
      </c>
      <c r="J2010" s="85" t="s">
        <v>4391</v>
      </c>
      <c r="K2010" s="85" t="s">
        <v>8820</v>
      </c>
      <c r="L2010" s="85" t="s">
        <v>4135</v>
      </c>
      <c r="M2010" s="85" t="s">
        <v>8823</v>
      </c>
    </row>
    <row r="2011" ht="213.75" spans="1:13">
      <c r="A2011" s="85" t="s">
        <v>8816</v>
      </c>
      <c r="B2011" s="85" t="s">
        <v>8824</v>
      </c>
      <c r="C2011" s="85" t="s">
        <v>8825</v>
      </c>
      <c r="D2011" s="85" t="s">
        <v>3834</v>
      </c>
      <c r="E2011" s="85" t="s">
        <v>8825</v>
      </c>
      <c r="F2011" s="86">
        <v>61.76</v>
      </c>
      <c r="G2011" s="86">
        <v>4</v>
      </c>
      <c r="H2011" s="86">
        <v>247.04</v>
      </c>
      <c r="I2011" s="86">
        <v>3130.82</v>
      </c>
      <c r="J2011" s="85" t="s">
        <v>4391</v>
      </c>
      <c r="K2011" s="85" t="s">
        <v>8820</v>
      </c>
      <c r="L2011" s="85" t="s">
        <v>4135</v>
      </c>
      <c r="M2011" s="85" t="s">
        <v>8826</v>
      </c>
    </row>
    <row r="2012" ht="213.75" spans="1:13">
      <c r="A2012" s="85" t="s">
        <v>8816</v>
      </c>
      <c r="B2012" s="85" t="s">
        <v>8827</v>
      </c>
      <c r="C2012" s="85" t="s">
        <v>8828</v>
      </c>
      <c r="D2012" s="85" t="s">
        <v>3197</v>
      </c>
      <c r="E2012" s="85" t="s">
        <v>6876</v>
      </c>
      <c r="F2012" s="86">
        <v>61.1</v>
      </c>
      <c r="G2012" s="86">
        <v>20</v>
      </c>
      <c r="H2012" s="86">
        <v>1222</v>
      </c>
      <c r="I2012" s="86">
        <v>3130.82</v>
      </c>
      <c r="J2012" s="85" t="s">
        <v>4391</v>
      </c>
      <c r="K2012" s="85" t="s">
        <v>8820</v>
      </c>
      <c r="L2012" s="85" t="s">
        <v>4135</v>
      </c>
      <c r="M2012" s="85" t="s">
        <v>8829</v>
      </c>
    </row>
    <row r="2013" ht="213.75" spans="1:13">
      <c r="A2013" s="85" t="s">
        <v>8816</v>
      </c>
      <c r="B2013" s="85" t="s">
        <v>8830</v>
      </c>
      <c r="C2013" s="85" t="s">
        <v>8831</v>
      </c>
      <c r="D2013" s="85" t="s">
        <v>3261</v>
      </c>
      <c r="E2013" s="85" t="s">
        <v>3262</v>
      </c>
      <c r="F2013" s="86">
        <v>106.29</v>
      </c>
      <c r="G2013" s="86">
        <v>10</v>
      </c>
      <c r="H2013" s="86">
        <v>1062.9</v>
      </c>
      <c r="I2013" s="86">
        <v>3130.82</v>
      </c>
      <c r="J2013" s="85" t="s">
        <v>4391</v>
      </c>
      <c r="K2013" s="85" t="s">
        <v>8820</v>
      </c>
      <c r="L2013" s="85" t="s">
        <v>4135</v>
      </c>
      <c r="M2013" s="85" t="s">
        <v>8832</v>
      </c>
    </row>
    <row r="2014" ht="213.75" spans="1:13">
      <c r="A2014" s="85" t="s">
        <v>8816</v>
      </c>
      <c r="B2014" s="85" t="s">
        <v>8833</v>
      </c>
      <c r="C2014" s="85" t="s">
        <v>8834</v>
      </c>
      <c r="D2014" s="85" t="s">
        <v>6122</v>
      </c>
      <c r="E2014" s="85" t="s">
        <v>8559</v>
      </c>
      <c r="F2014" s="86">
        <v>1.36</v>
      </c>
      <c r="G2014" s="86">
        <v>50</v>
      </c>
      <c r="H2014" s="86">
        <v>68</v>
      </c>
      <c r="I2014" s="86">
        <v>3130.82</v>
      </c>
      <c r="J2014" s="85" t="s">
        <v>4391</v>
      </c>
      <c r="K2014" s="85" t="s">
        <v>8820</v>
      </c>
      <c r="L2014" s="85" t="s">
        <v>4135</v>
      </c>
      <c r="M2014" s="85" t="s">
        <v>8835</v>
      </c>
    </row>
    <row r="2015" ht="213.75" spans="1:13">
      <c r="A2015" s="85" t="s">
        <v>8816</v>
      </c>
      <c r="B2015" s="85" t="s">
        <v>8836</v>
      </c>
      <c r="C2015" s="85" t="s">
        <v>8837</v>
      </c>
      <c r="D2015" s="85" t="s">
        <v>8838</v>
      </c>
      <c r="E2015" s="85" t="s">
        <v>8837</v>
      </c>
      <c r="F2015" s="86">
        <v>338.13</v>
      </c>
      <c r="G2015" s="86">
        <v>1</v>
      </c>
      <c r="H2015" s="86">
        <v>338.13</v>
      </c>
      <c r="I2015" s="86">
        <v>3130.82</v>
      </c>
      <c r="J2015" s="85" t="s">
        <v>4391</v>
      </c>
      <c r="K2015" s="85" t="s">
        <v>8820</v>
      </c>
      <c r="L2015" s="85" t="s">
        <v>4135</v>
      </c>
      <c r="M2015" s="85" t="s">
        <v>8839</v>
      </c>
    </row>
    <row r="2016" ht="213.75" spans="1:13">
      <c r="A2016" s="85" t="s">
        <v>8840</v>
      </c>
      <c r="B2016" s="85" t="s">
        <v>8841</v>
      </c>
      <c r="C2016" s="85" t="s">
        <v>8842</v>
      </c>
      <c r="D2016" s="85" t="s">
        <v>3074</v>
      </c>
      <c r="E2016" s="85" t="s">
        <v>1969</v>
      </c>
      <c r="F2016" s="86">
        <v>620</v>
      </c>
      <c r="G2016" s="86">
        <v>4</v>
      </c>
      <c r="H2016" s="86">
        <v>2480</v>
      </c>
      <c r="I2016" s="86">
        <v>2480</v>
      </c>
      <c r="J2016" s="85" t="s">
        <v>3075</v>
      </c>
      <c r="K2016" s="85" t="s">
        <v>8843</v>
      </c>
      <c r="L2016" s="85" t="s">
        <v>4135</v>
      </c>
      <c r="M2016" s="85" t="s">
        <v>8844</v>
      </c>
    </row>
    <row r="2017" ht="213.75" spans="1:13">
      <c r="A2017" s="85" t="s">
        <v>8845</v>
      </c>
      <c r="B2017" s="85" t="s">
        <v>4537</v>
      </c>
      <c r="C2017" s="85" t="s">
        <v>4538</v>
      </c>
      <c r="D2017" s="85" t="s">
        <v>2997</v>
      </c>
      <c r="E2017" s="85" t="s">
        <v>2998</v>
      </c>
      <c r="F2017" s="86">
        <v>18</v>
      </c>
      <c r="G2017" s="86">
        <v>150</v>
      </c>
      <c r="H2017" s="86">
        <v>2700</v>
      </c>
      <c r="I2017" s="86">
        <v>3360</v>
      </c>
      <c r="J2017" s="85" t="s">
        <v>2999</v>
      </c>
      <c r="K2017" s="85" t="s">
        <v>8846</v>
      </c>
      <c r="L2017" s="85" t="s">
        <v>4135</v>
      </c>
      <c r="M2017" s="85" t="s">
        <v>8847</v>
      </c>
    </row>
    <row r="2018" ht="213.75" spans="1:13">
      <c r="A2018" s="85" t="s">
        <v>8845</v>
      </c>
      <c r="B2018" s="85" t="s">
        <v>8609</v>
      </c>
      <c r="C2018" s="85" t="s">
        <v>8610</v>
      </c>
      <c r="D2018" s="85" t="s">
        <v>6924</v>
      </c>
      <c r="E2018" s="85" t="s">
        <v>7837</v>
      </c>
      <c r="F2018" s="86">
        <v>6.6</v>
      </c>
      <c r="G2018" s="86">
        <v>100</v>
      </c>
      <c r="H2018" s="86">
        <v>660</v>
      </c>
      <c r="I2018" s="86">
        <v>3360</v>
      </c>
      <c r="J2018" s="85" t="s">
        <v>2999</v>
      </c>
      <c r="K2018" s="85" t="s">
        <v>8846</v>
      </c>
      <c r="L2018" s="85" t="s">
        <v>4135</v>
      </c>
      <c r="M2018" s="85" t="s">
        <v>8848</v>
      </c>
    </row>
    <row r="2019" ht="213.75" spans="1:13">
      <c r="A2019" s="85" t="s">
        <v>8849</v>
      </c>
      <c r="B2019" s="85" t="s">
        <v>8274</v>
      </c>
      <c r="C2019" s="85" t="s">
        <v>8275</v>
      </c>
      <c r="D2019" s="85" t="s">
        <v>3054</v>
      </c>
      <c r="E2019" s="85" t="s">
        <v>8275</v>
      </c>
      <c r="F2019" s="86">
        <v>56.67</v>
      </c>
      <c r="G2019" s="86">
        <v>10</v>
      </c>
      <c r="H2019" s="86">
        <v>566.7</v>
      </c>
      <c r="I2019" s="86">
        <v>2935.8</v>
      </c>
      <c r="J2019" s="85" t="s">
        <v>2965</v>
      </c>
      <c r="K2019" s="85" t="s">
        <v>8850</v>
      </c>
      <c r="L2019" s="85" t="s">
        <v>4135</v>
      </c>
      <c r="M2019" s="85" t="s">
        <v>8851</v>
      </c>
    </row>
    <row r="2020" ht="213.75" spans="1:13">
      <c r="A2020" s="85" t="s">
        <v>8849</v>
      </c>
      <c r="B2020" s="85" t="s">
        <v>3647</v>
      </c>
      <c r="C2020" s="85" t="s">
        <v>3648</v>
      </c>
      <c r="D2020" s="85" t="s">
        <v>3641</v>
      </c>
      <c r="E2020" s="85" t="s">
        <v>3648</v>
      </c>
      <c r="F2020" s="86">
        <v>58.52</v>
      </c>
      <c r="G2020" s="86">
        <v>1</v>
      </c>
      <c r="H2020" s="86">
        <v>58.52</v>
      </c>
      <c r="I2020" s="86">
        <v>2935.8</v>
      </c>
      <c r="J2020" s="85" t="s">
        <v>2965</v>
      </c>
      <c r="K2020" s="85" t="s">
        <v>8850</v>
      </c>
      <c r="L2020" s="85" t="s">
        <v>4135</v>
      </c>
      <c r="M2020" s="85" t="s">
        <v>8852</v>
      </c>
    </row>
    <row r="2021" ht="213.75" spans="1:13">
      <c r="A2021" s="85" t="s">
        <v>8849</v>
      </c>
      <c r="B2021" s="85" t="s">
        <v>8853</v>
      </c>
      <c r="C2021" s="85" t="s">
        <v>8854</v>
      </c>
      <c r="D2021" s="85" t="s">
        <v>3729</v>
      </c>
      <c r="E2021" s="85" t="s">
        <v>8854</v>
      </c>
      <c r="F2021" s="86">
        <v>57.02</v>
      </c>
      <c r="G2021" s="86">
        <v>1</v>
      </c>
      <c r="H2021" s="86">
        <v>57.02</v>
      </c>
      <c r="I2021" s="86">
        <v>2935.8</v>
      </c>
      <c r="J2021" s="85" t="s">
        <v>2965</v>
      </c>
      <c r="K2021" s="85" t="s">
        <v>8850</v>
      </c>
      <c r="L2021" s="85" t="s">
        <v>4135</v>
      </c>
      <c r="M2021" s="85" t="s">
        <v>8855</v>
      </c>
    </row>
    <row r="2022" ht="213.75" spans="1:13">
      <c r="A2022" s="85" t="s">
        <v>8856</v>
      </c>
      <c r="B2022" s="85" t="s">
        <v>8857</v>
      </c>
      <c r="C2022" s="85" t="s">
        <v>8858</v>
      </c>
      <c r="D2022" s="85" t="s">
        <v>3241</v>
      </c>
      <c r="E2022" s="85" t="s">
        <v>3242</v>
      </c>
      <c r="F2022" s="86">
        <v>12.05</v>
      </c>
      <c r="G2022" s="86">
        <v>2</v>
      </c>
      <c r="H2022" s="86">
        <v>24.1</v>
      </c>
      <c r="I2022" s="86">
        <v>2056.62</v>
      </c>
      <c r="J2022" s="85" t="s">
        <v>4391</v>
      </c>
      <c r="K2022" s="85" t="s">
        <v>8850</v>
      </c>
      <c r="L2022" s="85" t="s">
        <v>4135</v>
      </c>
      <c r="M2022" s="85" t="s">
        <v>8859</v>
      </c>
    </row>
    <row r="2023" ht="213.75" spans="1:13">
      <c r="A2023" s="85" t="s">
        <v>8860</v>
      </c>
      <c r="B2023" s="85" t="s">
        <v>8861</v>
      </c>
      <c r="C2023" s="85" t="s">
        <v>8862</v>
      </c>
      <c r="D2023" s="85" t="s">
        <v>3153</v>
      </c>
      <c r="E2023" s="85" t="s">
        <v>8431</v>
      </c>
      <c r="F2023" s="86">
        <v>102</v>
      </c>
      <c r="G2023" s="86">
        <v>2</v>
      </c>
      <c r="H2023" s="86">
        <v>204</v>
      </c>
      <c r="I2023" s="86">
        <v>204</v>
      </c>
      <c r="J2023" s="85" t="s">
        <v>4391</v>
      </c>
      <c r="K2023" s="85" t="s">
        <v>8850</v>
      </c>
      <c r="L2023" s="85" t="s">
        <v>4135</v>
      </c>
      <c r="M2023" s="85" t="s">
        <v>8863</v>
      </c>
    </row>
    <row r="2024" ht="213.75" spans="1:13">
      <c r="A2024" s="85" t="s">
        <v>8864</v>
      </c>
      <c r="B2024" s="85" t="s">
        <v>8865</v>
      </c>
      <c r="C2024" s="85" t="s">
        <v>8866</v>
      </c>
      <c r="D2024" s="85" t="s">
        <v>3394</v>
      </c>
      <c r="E2024" s="85" t="s">
        <v>8867</v>
      </c>
      <c r="F2024" s="86">
        <v>17.91</v>
      </c>
      <c r="G2024" s="86">
        <v>10</v>
      </c>
      <c r="H2024" s="86">
        <v>179.1</v>
      </c>
      <c r="I2024" s="86">
        <v>12116.02</v>
      </c>
      <c r="J2024" s="85" t="s">
        <v>2935</v>
      </c>
      <c r="K2024" s="85" t="s">
        <v>8850</v>
      </c>
      <c r="L2024" s="85" t="s">
        <v>4135</v>
      </c>
      <c r="M2024" s="85" t="s">
        <v>8868</v>
      </c>
    </row>
    <row r="2025" ht="213.75" spans="1:13">
      <c r="A2025" s="85" t="s">
        <v>8869</v>
      </c>
      <c r="B2025" s="85" t="s">
        <v>3588</v>
      </c>
      <c r="C2025" s="85" t="s">
        <v>3589</v>
      </c>
      <c r="D2025" s="85" t="s">
        <v>3074</v>
      </c>
      <c r="E2025" s="85" t="s">
        <v>1969</v>
      </c>
      <c r="F2025" s="86">
        <v>388</v>
      </c>
      <c r="G2025" s="86">
        <v>6</v>
      </c>
      <c r="H2025" s="86">
        <v>2328</v>
      </c>
      <c r="I2025" s="86">
        <v>8304</v>
      </c>
      <c r="J2025" s="85" t="s">
        <v>3075</v>
      </c>
      <c r="K2025" s="85" t="s">
        <v>8850</v>
      </c>
      <c r="L2025" s="85" t="s">
        <v>4135</v>
      </c>
      <c r="M2025" s="85" t="s">
        <v>8870</v>
      </c>
    </row>
    <row r="2026" ht="213.75" spans="1:13">
      <c r="A2026" s="85" t="s">
        <v>8864</v>
      </c>
      <c r="B2026" s="85" t="s">
        <v>5349</v>
      </c>
      <c r="C2026" s="85" t="s">
        <v>5350</v>
      </c>
      <c r="D2026" s="85" t="s">
        <v>3189</v>
      </c>
      <c r="E2026" s="85" t="s">
        <v>5351</v>
      </c>
      <c r="F2026" s="86">
        <v>19</v>
      </c>
      <c r="G2026" s="86">
        <v>21</v>
      </c>
      <c r="H2026" s="86">
        <v>399</v>
      </c>
      <c r="I2026" s="86">
        <v>12116.02</v>
      </c>
      <c r="J2026" s="85" t="s">
        <v>2935</v>
      </c>
      <c r="K2026" s="85" t="s">
        <v>8850</v>
      </c>
      <c r="L2026" s="85" t="s">
        <v>4135</v>
      </c>
      <c r="M2026" s="85" t="s">
        <v>8871</v>
      </c>
    </row>
    <row r="2027" ht="213.75" spans="1:13">
      <c r="A2027" s="85" t="s">
        <v>8872</v>
      </c>
      <c r="B2027" s="85" t="s">
        <v>3077</v>
      </c>
      <c r="C2027" s="85" t="s">
        <v>3078</v>
      </c>
      <c r="D2027" s="85" t="s">
        <v>2992</v>
      </c>
      <c r="E2027" s="85" t="s">
        <v>1815</v>
      </c>
      <c r="F2027" s="86">
        <v>36.5</v>
      </c>
      <c r="G2027" s="86">
        <v>200</v>
      </c>
      <c r="H2027" s="86">
        <v>7300</v>
      </c>
      <c r="I2027" s="86">
        <v>18930</v>
      </c>
      <c r="J2027" s="85" t="s">
        <v>2958</v>
      </c>
      <c r="K2027" s="85" t="s">
        <v>8850</v>
      </c>
      <c r="L2027" s="85" t="s">
        <v>4135</v>
      </c>
      <c r="M2027" s="85" t="s">
        <v>8873</v>
      </c>
    </row>
    <row r="2028" ht="213.75" spans="1:13">
      <c r="A2028" s="85" t="s">
        <v>8849</v>
      </c>
      <c r="B2028" s="85" t="s">
        <v>8874</v>
      </c>
      <c r="C2028" s="85" t="s">
        <v>8875</v>
      </c>
      <c r="D2028" s="85" t="s">
        <v>8876</v>
      </c>
      <c r="E2028" s="85" t="s">
        <v>8875</v>
      </c>
      <c r="F2028" s="86">
        <v>2.8</v>
      </c>
      <c r="G2028" s="86">
        <v>12</v>
      </c>
      <c r="H2028" s="86">
        <v>33.6</v>
      </c>
      <c r="I2028" s="86">
        <v>2935.8</v>
      </c>
      <c r="J2028" s="85" t="s">
        <v>2965</v>
      </c>
      <c r="K2028" s="85" t="s">
        <v>8850</v>
      </c>
      <c r="L2028" s="85" t="s">
        <v>4135</v>
      </c>
      <c r="M2028" s="85" t="s">
        <v>8877</v>
      </c>
    </row>
    <row r="2029" ht="213.75" spans="1:13">
      <c r="A2029" s="85" t="s">
        <v>8872</v>
      </c>
      <c r="B2029" s="85" t="s">
        <v>3500</v>
      </c>
      <c r="C2029" s="85" t="s">
        <v>3501</v>
      </c>
      <c r="D2029" s="85" t="s">
        <v>2992</v>
      </c>
      <c r="E2029" s="85" t="s">
        <v>1815</v>
      </c>
      <c r="F2029" s="86">
        <v>17.7</v>
      </c>
      <c r="G2029" s="86">
        <v>200</v>
      </c>
      <c r="H2029" s="86">
        <v>3540</v>
      </c>
      <c r="I2029" s="86">
        <v>18930</v>
      </c>
      <c r="J2029" s="85" t="s">
        <v>2958</v>
      </c>
      <c r="K2029" s="85" t="s">
        <v>8850</v>
      </c>
      <c r="L2029" s="85" t="s">
        <v>4135</v>
      </c>
      <c r="M2029" s="85" t="s">
        <v>8878</v>
      </c>
    </row>
    <row r="2030" ht="213.75" spans="1:13">
      <c r="A2030" s="85" t="s">
        <v>8872</v>
      </c>
      <c r="B2030" s="85" t="s">
        <v>2990</v>
      </c>
      <c r="C2030" s="85" t="s">
        <v>2991</v>
      </c>
      <c r="D2030" s="85" t="s">
        <v>2992</v>
      </c>
      <c r="E2030" s="85" t="s">
        <v>1815</v>
      </c>
      <c r="F2030" s="86">
        <v>46.5</v>
      </c>
      <c r="G2030" s="86">
        <v>60</v>
      </c>
      <c r="H2030" s="86">
        <v>2790</v>
      </c>
      <c r="I2030" s="86">
        <v>18930</v>
      </c>
      <c r="J2030" s="85" t="s">
        <v>2958</v>
      </c>
      <c r="K2030" s="85" t="s">
        <v>8850</v>
      </c>
      <c r="L2030" s="85" t="s">
        <v>4135</v>
      </c>
      <c r="M2030" s="85" t="s">
        <v>8879</v>
      </c>
    </row>
    <row r="2031" ht="213.75" spans="1:13">
      <c r="A2031" s="85" t="s">
        <v>8880</v>
      </c>
      <c r="B2031" s="85" t="s">
        <v>4959</v>
      </c>
      <c r="C2031" s="85" t="s">
        <v>4960</v>
      </c>
      <c r="D2031" s="85" t="s">
        <v>4596</v>
      </c>
      <c r="E2031" s="85" t="s">
        <v>4961</v>
      </c>
      <c r="F2031" s="86">
        <v>37</v>
      </c>
      <c r="G2031" s="86">
        <v>20</v>
      </c>
      <c r="H2031" s="86">
        <v>740</v>
      </c>
      <c r="I2031" s="86">
        <v>2094.2</v>
      </c>
      <c r="J2031" s="85" t="s">
        <v>2958</v>
      </c>
      <c r="K2031" s="85" t="s">
        <v>8850</v>
      </c>
      <c r="L2031" s="85" t="s">
        <v>4135</v>
      </c>
      <c r="M2031" s="85" t="s">
        <v>8881</v>
      </c>
    </row>
    <row r="2032" ht="213.75" spans="1:13">
      <c r="A2032" s="85" t="s">
        <v>8882</v>
      </c>
      <c r="B2032" s="85" t="s">
        <v>8883</v>
      </c>
      <c r="C2032" s="85" t="s">
        <v>8884</v>
      </c>
      <c r="D2032" s="85" t="s">
        <v>3041</v>
      </c>
      <c r="E2032" s="85" t="s">
        <v>3158</v>
      </c>
      <c r="F2032" s="86">
        <v>19</v>
      </c>
      <c r="G2032" s="86">
        <v>400</v>
      </c>
      <c r="H2032" s="86">
        <v>7600</v>
      </c>
      <c r="I2032" s="86">
        <v>11265</v>
      </c>
      <c r="J2032" s="85" t="s">
        <v>4370</v>
      </c>
      <c r="K2032" s="85" t="s">
        <v>8850</v>
      </c>
      <c r="L2032" s="85" t="s">
        <v>4135</v>
      </c>
      <c r="M2032" s="85" t="s">
        <v>8885</v>
      </c>
    </row>
    <row r="2033" ht="213.75" spans="1:13">
      <c r="A2033" s="85" t="s">
        <v>8849</v>
      </c>
      <c r="B2033" s="85" t="s">
        <v>8886</v>
      </c>
      <c r="C2033" s="85" t="s">
        <v>8887</v>
      </c>
      <c r="D2033" s="85" t="s">
        <v>3729</v>
      </c>
      <c r="E2033" s="85" t="s">
        <v>8887</v>
      </c>
      <c r="F2033" s="86">
        <v>27.74</v>
      </c>
      <c r="G2033" s="86">
        <v>1</v>
      </c>
      <c r="H2033" s="86">
        <v>27.74</v>
      </c>
      <c r="I2033" s="86">
        <v>2935.8</v>
      </c>
      <c r="J2033" s="85" t="s">
        <v>2965</v>
      </c>
      <c r="K2033" s="85" t="s">
        <v>8850</v>
      </c>
      <c r="L2033" s="85" t="s">
        <v>4135</v>
      </c>
      <c r="M2033" s="85" t="s">
        <v>8888</v>
      </c>
    </row>
    <row r="2034" ht="213.75" spans="1:13">
      <c r="A2034" s="85" t="s">
        <v>8864</v>
      </c>
      <c r="B2034" s="85" t="s">
        <v>8889</v>
      </c>
      <c r="C2034" s="85" t="s">
        <v>8890</v>
      </c>
      <c r="D2034" s="85" t="s">
        <v>3288</v>
      </c>
      <c r="E2034" s="85" t="s">
        <v>8890</v>
      </c>
      <c r="F2034" s="86">
        <v>120</v>
      </c>
      <c r="G2034" s="86">
        <v>10</v>
      </c>
      <c r="H2034" s="86">
        <v>1200</v>
      </c>
      <c r="I2034" s="86">
        <v>12116.02</v>
      </c>
      <c r="J2034" s="85" t="s">
        <v>2935</v>
      </c>
      <c r="K2034" s="85" t="s">
        <v>8850</v>
      </c>
      <c r="L2034" s="85" t="s">
        <v>4135</v>
      </c>
      <c r="M2034" s="85" t="s">
        <v>8891</v>
      </c>
    </row>
    <row r="2035" ht="213.75" spans="1:13">
      <c r="A2035" s="85" t="s">
        <v>8864</v>
      </c>
      <c r="B2035" s="85" t="s">
        <v>8892</v>
      </c>
      <c r="C2035" s="85" t="s">
        <v>8893</v>
      </c>
      <c r="D2035" s="85" t="s">
        <v>2977</v>
      </c>
      <c r="E2035" s="85" t="s">
        <v>8894</v>
      </c>
      <c r="F2035" s="86">
        <v>4.71</v>
      </c>
      <c r="G2035" s="86">
        <v>10</v>
      </c>
      <c r="H2035" s="86">
        <v>47.1</v>
      </c>
      <c r="I2035" s="86">
        <v>12116.02</v>
      </c>
      <c r="J2035" s="85" t="s">
        <v>2935</v>
      </c>
      <c r="K2035" s="85" t="s">
        <v>8850</v>
      </c>
      <c r="L2035" s="85" t="s">
        <v>4135</v>
      </c>
      <c r="M2035" s="85" t="s">
        <v>8895</v>
      </c>
    </row>
    <row r="2036" ht="213.75" spans="1:13">
      <c r="A2036" s="85" t="s">
        <v>8864</v>
      </c>
      <c r="B2036" s="85" t="s">
        <v>8896</v>
      </c>
      <c r="C2036" s="85" t="s">
        <v>8897</v>
      </c>
      <c r="D2036" s="85" t="s">
        <v>3261</v>
      </c>
      <c r="E2036" s="85" t="s">
        <v>3262</v>
      </c>
      <c r="F2036" s="86">
        <v>8.74</v>
      </c>
      <c r="G2036" s="86">
        <v>2</v>
      </c>
      <c r="H2036" s="86">
        <v>17.48</v>
      </c>
      <c r="I2036" s="86">
        <v>12116.02</v>
      </c>
      <c r="J2036" s="85" t="s">
        <v>2935</v>
      </c>
      <c r="K2036" s="85" t="s">
        <v>8850</v>
      </c>
      <c r="L2036" s="85" t="s">
        <v>4135</v>
      </c>
      <c r="M2036" s="85" t="s">
        <v>8898</v>
      </c>
    </row>
    <row r="2037" ht="213.75" spans="1:13">
      <c r="A2037" s="85" t="s">
        <v>8864</v>
      </c>
      <c r="B2037" s="85" t="s">
        <v>8544</v>
      </c>
      <c r="C2037" s="85" t="s">
        <v>8545</v>
      </c>
      <c r="D2037" s="85" t="s">
        <v>3579</v>
      </c>
      <c r="E2037" s="85" t="s">
        <v>5737</v>
      </c>
      <c r="F2037" s="86">
        <v>370</v>
      </c>
      <c r="G2037" s="86">
        <v>6</v>
      </c>
      <c r="H2037" s="86">
        <v>2220</v>
      </c>
      <c r="I2037" s="86">
        <v>12116.02</v>
      </c>
      <c r="J2037" s="85" t="s">
        <v>2935</v>
      </c>
      <c r="K2037" s="85" t="s">
        <v>8850</v>
      </c>
      <c r="L2037" s="85" t="s">
        <v>4135</v>
      </c>
      <c r="M2037" s="85" t="s">
        <v>8899</v>
      </c>
    </row>
    <row r="2038" ht="213.75" spans="1:13">
      <c r="A2038" s="85" t="s">
        <v>8849</v>
      </c>
      <c r="B2038" s="85" t="s">
        <v>8900</v>
      </c>
      <c r="C2038" s="85" t="s">
        <v>8901</v>
      </c>
      <c r="D2038" s="85" t="s">
        <v>3484</v>
      </c>
      <c r="E2038" s="85" t="s">
        <v>8901</v>
      </c>
      <c r="F2038" s="86">
        <v>6.06</v>
      </c>
      <c r="G2038" s="86">
        <v>1</v>
      </c>
      <c r="H2038" s="86">
        <v>6.06</v>
      </c>
      <c r="I2038" s="86">
        <v>2935.8</v>
      </c>
      <c r="J2038" s="85" t="s">
        <v>2965</v>
      </c>
      <c r="K2038" s="85" t="s">
        <v>8850</v>
      </c>
      <c r="L2038" s="85" t="s">
        <v>4135</v>
      </c>
      <c r="M2038" s="85" t="s">
        <v>8902</v>
      </c>
    </row>
    <row r="2039" ht="213.75" spans="1:13">
      <c r="A2039" s="85" t="s">
        <v>8856</v>
      </c>
      <c r="B2039" s="85" t="s">
        <v>8903</v>
      </c>
      <c r="C2039" s="85" t="s">
        <v>8904</v>
      </c>
      <c r="D2039" s="85" t="s">
        <v>3014</v>
      </c>
      <c r="E2039" s="85" t="s">
        <v>6940</v>
      </c>
      <c r="F2039" s="86">
        <v>37.24</v>
      </c>
      <c r="G2039" s="86">
        <v>3</v>
      </c>
      <c r="H2039" s="86">
        <v>111.72</v>
      </c>
      <c r="I2039" s="86">
        <v>2056.62</v>
      </c>
      <c r="J2039" s="85" t="s">
        <v>4391</v>
      </c>
      <c r="K2039" s="85" t="s">
        <v>8850</v>
      </c>
      <c r="L2039" s="85" t="s">
        <v>4135</v>
      </c>
      <c r="M2039" s="85" t="s">
        <v>8905</v>
      </c>
    </row>
    <row r="2040" ht="213.75" spans="1:13">
      <c r="A2040" s="85" t="s">
        <v>8849</v>
      </c>
      <c r="B2040" s="85" t="s">
        <v>8906</v>
      </c>
      <c r="C2040" s="85" t="s">
        <v>8907</v>
      </c>
      <c r="D2040" s="85" t="s">
        <v>3862</v>
      </c>
      <c r="E2040" s="85" t="s">
        <v>8907</v>
      </c>
      <c r="F2040" s="86">
        <v>174.72</v>
      </c>
      <c r="G2040" s="86">
        <v>4</v>
      </c>
      <c r="H2040" s="86">
        <v>698.88</v>
      </c>
      <c r="I2040" s="86">
        <v>2935.8</v>
      </c>
      <c r="J2040" s="85" t="s">
        <v>2965</v>
      </c>
      <c r="K2040" s="85" t="s">
        <v>8850</v>
      </c>
      <c r="L2040" s="85" t="s">
        <v>4135</v>
      </c>
      <c r="M2040" s="85" t="s">
        <v>8908</v>
      </c>
    </row>
    <row r="2041" ht="213.75" spans="1:13">
      <c r="A2041" s="85" t="s">
        <v>8864</v>
      </c>
      <c r="B2041" s="85" t="s">
        <v>8909</v>
      </c>
      <c r="C2041" s="85" t="s">
        <v>8910</v>
      </c>
      <c r="D2041" s="85" t="s">
        <v>8911</v>
      </c>
      <c r="E2041" s="85" t="s">
        <v>8912</v>
      </c>
      <c r="F2041" s="86">
        <v>6</v>
      </c>
      <c r="G2041" s="86">
        <v>20</v>
      </c>
      <c r="H2041" s="86">
        <v>120</v>
      </c>
      <c r="I2041" s="86">
        <v>12116.02</v>
      </c>
      <c r="J2041" s="85" t="s">
        <v>2935</v>
      </c>
      <c r="K2041" s="85" t="s">
        <v>8850</v>
      </c>
      <c r="L2041" s="85" t="s">
        <v>4135</v>
      </c>
      <c r="M2041" s="85" t="s">
        <v>8913</v>
      </c>
    </row>
    <row r="2042" ht="213.75" spans="1:13">
      <c r="A2042" s="85" t="s">
        <v>8864</v>
      </c>
      <c r="B2042" s="85" t="s">
        <v>8914</v>
      </c>
      <c r="C2042" s="85" t="s">
        <v>8915</v>
      </c>
      <c r="D2042" s="85" t="s">
        <v>7696</v>
      </c>
      <c r="E2042" s="85" t="s">
        <v>7697</v>
      </c>
      <c r="F2042" s="86">
        <v>93</v>
      </c>
      <c r="G2042" s="86">
        <v>2</v>
      </c>
      <c r="H2042" s="86">
        <v>186</v>
      </c>
      <c r="I2042" s="86">
        <v>12116.02</v>
      </c>
      <c r="J2042" s="85" t="s">
        <v>2935</v>
      </c>
      <c r="K2042" s="85" t="s">
        <v>8850</v>
      </c>
      <c r="L2042" s="85" t="s">
        <v>4135</v>
      </c>
      <c r="M2042" s="85" t="s">
        <v>8916</v>
      </c>
    </row>
    <row r="2043" ht="213.75" spans="1:13">
      <c r="A2043" s="85" t="s">
        <v>8872</v>
      </c>
      <c r="B2043" s="85" t="s">
        <v>3063</v>
      </c>
      <c r="C2043" s="85" t="s">
        <v>3064</v>
      </c>
      <c r="D2043" s="85" t="s">
        <v>2992</v>
      </c>
      <c r="E2043" s="85" t="s">
        <v>1815</v>
      </c>
      <c r="F2043" s="86">
        <v>5.3</v>
      </c>
      <c r="G2043" s="86">
        <v>1000</v>
      </c>
      <c r="H2043" s="86">
        <v>5300</v>
      </c>
      <c r="I2043" s="86">
        <v>18930</v>
      </c>
      <c r="J2043" s="85" t="s">
        <v>2958</v>
      </c>
      <c r="K2043" s="85" t="s">
        <v>8850</v>
      </c>
      <c r="L2043" s="85" t="s">
        <v>4135</v>
      </c>
      <c r="M2043" s="85" t="s">
        <v>8917</v>
      </c>
    </row>
    <row r="2044" ht="213.75" spans="1:13">
      <c r="A2044" s="85" t="s">
        <v>8880</v>
      </c>
      <c r="B2044" s="85" t="s">
        <v>5894</v>
      </c>
      <c r="C2044" s="85" t="s">
        <v>5895</v>
      </c>
      <c r="D2044" s="85" t="s">
        <v>3201</v>
      </c>
      <c r="E2044" s="85" t="s">
        <v>3209</v>
      </c>
      <c r="F2044" s="86">
        <v>5.88</v>
      </c>
      <c r="G2044" s="86">
        <v>200</v>
      </c>
      <c r="H2044" s="86">
        <v>1176</v>
      </c>
      <c r="I2044" s="86">
        <v>2094.2</v>
      </c>
      <c r="J2044" s="85" t="s">
        <v>2958</v>
      </c>
      <c r="K2044" s="85" t="s">
        <v>8850</v>
      </c>
      <c r="L2044" s="85" t="s">
        <v>4135</v>
      </c>
      <c r="M2044" s="85" t="s">
        <v>8918</v>
      </c>
    </row>
    <row r="2045" ht="213.75" spans="1:13">
      <c r="A2045" s="85" t="s">
        <v>8856</v>
      </c>
      <c r="B2045" s="85" t="s">
        <v>8919</v>
      </c>
      <c r="C2045" s="85" t="s">
        <v>8920</v>
      </c>
      <c r="D2045" s="85" t="s">
        <v>3284</v>
      </c>
      <c r="E2045" s="85" t="s">
        <v>8921</v>
      </c>
      <c r="F2045" s="86">
        <v>24.5</v>
      </c>
      <c r="G2045" s="86">
        <v>10</v>
      </c>
      <c r="H2045" s="86">
        <v>245</v>
      </c>
      <c r="I2045" s="86">
        <v>2056.62</v>
      </c>
      <c r="J2045" s="85" t="s">
        <v>4391</v>
      </c>
      <c r="K2045" s="85" t="s">
        <v>8850</v>
      </c>
      <c r="L2045" s="85" t="s">
        <v>4135</v>
      </c>
      <c r="M2045" s="85" t="s">
        <v>8922</v>
      </c>
    </row>
    <row r="2046" ht="213.75" spans="1:13">
      <c r="A2046" s="85" t="s">
        <v>8864</v>
      </c>
      <c r="B2046" s="85" t="s">
        <v>5125</v>
      </c>
      <c r="C2046" s="85" t="s">
        <v>5126</v>
      </c>
      <c r="D2046" s="85" t="s">
        <v>3082</v>
      </c>
      <c r="E2046" s="85" t="s">
        <v>5127</v>
      </c>
      <c r="F2046" s="86">
        <v>72</v>
      </c>
      <c r="G2046" s="86">
        <v>26</v>
      </c>
      <c r="H2046" s="86">
        <v>1872</v>
      </c>
      <c r="I2046" s="86">
        <v>12116.02</v>
      </c>
      <c r="J2046" s="85" t="s">
        <v>2935</v>
      </c>
      <c r="K2046" s="85" t="s">
        <v>8850</v>
      </c>
      <c r="L2046" s="85" t="s">
        <v>4135</v>
      </c>
      <c r="M2046" s="85" t="s">
        <v>8923</v>
      </c>
    </row>
    <row r="2047" ht="213.75" spans="1:13">
      <c r="A2047" s="85" t="s">
        <v>8849</v>
      </c>
      <c r="B2047" s="85" t="s">
        <v>8160</v>
      </c>
      <c r="C2047" s="85" t="s">
        <v>8161</v>
      </c>
      <c r="D2047" s="85" t="s">
        <v>3054</v>
      </c>
      <c r="E2047" s="85" t="s">
        <v>8161</v>
      </c>
      <c r="F2047" s="86">
        <v>70.43</v>
      </c>
      <c r="G2047" s="86">
        <v>2</v>
      </c>
      <c r="H2047" s="86">
        <v>140.86</v>
      </c>
      <c r="I2047" s="86">
        <v>2935.8</v>
      </c>
      <c r="J2047" s="85" t="s">
        <v>2965</v>
      </c>
      <c r="K2047" s="85" t="s">
        <v>8850</v>
      </c>
      <c r="L2047" s="85" t="s">
        <v>4135</v>
      </c>
      <c r="M2047" s="85" t="s">
        <v>8924</v>
      </c>
    </row>
    <row r="2048" ht="213.75" spans="1:13">
      <c r="A2048" s="85" t="s">
        <v>8864</v>
      </c>
      <c r="B2048" s="85" t="s">
        <v>8925</v>
      </c>
      <c r="C2048" s="85" t="s">
        <v>8926</v>
      </c>
      <c r="D2048" s="85" t="s">
        <v>5846</v>
      </c>
      <c r="E2048" s="85" t="s">
        <v>8351</v>
      </c>
      <c r="F2048" s="86">
        <v>55</v>
      </c>
      <c r="G2048" s="86">
        <v>30</v>
      </c>
      <c r="H2048" s="86">
        <v>1650</v>
      </c>
      <c r="I2048" s="86">
        <v>12116.02</v>
      </c>
      <c r="J2048" s="85" t="s">
        <v>2935</v>
      </c>
      <c r="K2048" s="85" t="s">
        <v>8850</v>
      </c>
      <c r="L2048" s="85" t="s">
        <v>4135</v>
      </c>
      <c r="M2048" s="85" t="s">
        <v>8927</v>
      </c>
    </row>
    <row r="2049" ht="213.75" spans="1:13">
      <c r="A2049" s="85" t="s">
        <v>8869</v>
      </c>
      <c r="B2049" s="85" t="s">
        <v>3699</v>
      </c>
      <c r="C2049" s="85" t="s">
        <v>3700</v>
      </c>
      <c r="D2049" s="85" t="s">
        <v>3074</v>
      </c>
      <c r="E2049" s="85" t="s">
        <v>1969</v>
      </c>
      <c r="F2049" s="86">
        <v>209.6</v>
      </c>
      <c r="G2049" s="86">
        <v>10</v>
      </c>
      <c r="H2049" s="86">
        <v>2096</v>
      </c>
      <c r="I2049" s="86">
        <v>8304</v>
      </c>
      <c r="J2049" s="85" t="s">
        <v>3075</v>
      </c>
      <c r="K2049" s="85" t="s">
        <v>8850</v>
      </c>
      <c r="L2049" s="85" t="s">
        <v>4135</v>
      </c>
      <c r="M2049" s="85" t="s">
        <v>8928</v>
      </c>
    </row>
    <row r="2050" ht="213.75" spans="1:13">
      <c r="A2050" s="85" t="s">
        <v>8880</v>
      </c>
      <c r="B2050" s="85" t="s">
        <v>8693</v>
      </c>
      <c r="C2050" s="85" t="s">
        <v>8694</v>
      </c>
      <c r="D2050" s="85" t="s">
        <v>2982</v>
      </c>
      <c r="E2050" s="85" t="s">
        <v>8695</v>
      </c>
      <c r="F2050" s="86">
        <v>8.91</v>
      </c>
      <c r="G2050" s="86">
        <v>20</v>
      </c>
      <c r="H2050" s="86">
        <v>178.2</v>
      </c>
      <c r="I2050" s="86">
        <v>2094.2</v>
      </c>
      <c r="J2050" s="85" t="s">
        <v>2958</v>
      </c>
      <c r="K2050" s="85" t="s">
        <v>8850</v>
      </c>
      <c r="L2050" s="85" t="s">
        <v>4135</v>
      </c>
      <c r="M2050" s="85" t="s">
        <v>8929</v>
      </c>
    </row>
    <row r="2051" ht="213.75" spans="1:13">
      <c r="A2051" s="85" t="s">
        <v>8930</v>
      </c>
      <c r="B2051" s="85" t="s">
        <v>8625</v>
      </c>
      <c r="C2051" s="85" t="s">
        <v>8626</v>
      </c>
      <c r="D2051" s="85" t="s">
        <v>3548</v>
      </c>
      <c r="E2051" s="85" t="s">
        <v>1835</v>
      </c>
      <c r="F2051" s="86">
        <v>365</v>
      </c>
      <c r="G2051" s="86">
        <v>8</v>
      </c>
      <c r="H2051" s="86">
        <v>2920</v>
      </c>
      <c r="I2051" s="86">
        <v>25960</v>
      </c>
      <c r="J2051" s="85" t="s">
        <v>2938</v>
      </c>
      <c r="K2051" s="85" t="s">
        <v>8850</v>
      </c>
      <c r="L2051" s="85" t="s">
        <v>4135</v>
      </c>
      <c r="M2051" s="85" t="s">
        <v>8931</v>
      </c>
    </row>
    <row r="2052" ht="213.75" spans="1:13">
      <c r="A2052" s="85" t="s">
        <v>8864</v>
      </c>
      <c r="B2052" s="85" t="s">
        <v>8932</v>
      </c>
      <c r="C2052" s="85" t="s">
        <v>8933</v>
      </c>
      <c r="D2052" s="85" t="s">
        <v>8934</v>
      </c>
      <c r="E2052" s="85" t="s">
        <v>8935</v>
      </c>
      <c r="F2052" s="86">
        <v>47</v>
      </c>
      <c r="G2052" s="86">
        <v>4</v>
      </c>
      <c r="H2052" s="86">
        <v>188</v>
      </c>
      <c r="I2052" s="86">
        <v>12116.02</v>
      </c>
      <c r="J2052" s="85" t="s">
        <v>2935</v>
      </c>
      <c r="K2052" s="85" t="s">
        <v>8850</v>
      </c>
      <c r="L2052" s="85" t="s">
        <v>4135</v>
      </c>
      <c r="M2052" s="85" t="s">
        <v>8936</v>
      </c>
    </row>
    <row r="2053" ht="213.75" spans="1:13">
      <c r="A2053" s="85" t="s">
        <v>8849</v>
      </c>
      <c r="B2053" s="85" t="s">
        <v>8937</v>
      </c>
      <c r="C2053" s="85" t="s">
        <v>8938</v>
      </c>
      <c r="D2053" s="85" t="s">
        <v>8939</v>
      </c>
      <c r="E2053" s="85" t="s">
        <v>8938</v>
      </c>
      <c r="F2053" s="86">
        <v>21.21</v>
      </c>
      <c r="G2053" s="86">
        <v>5</v>
      </c>
      <c r="H2053" s="86">
        <v>106.05</v>
      </c>
      <c r="I2053" s="86">
        <v>2935.8</v>
      </c>
      <c r="J2053" s="85" t="s">
        <v>2965</v>
      </c>
      <c r="K2053" s="85" t="s">
        <v>8850</v>
      </c>
      <c r="L2053" s="85" t="s">
        <v>4135</v>
      </c>
      <c r="M2053" s="85" t="s">
        <v>8940</v>
      </c>
    </row>
    <row r="2054" ht="213.75" spans="1:13">
      <c r="A2054" s="85" t="s">
        <v>8864</v>
      </c>
      <c r="B2054" s="85" t="s">
        <v>8941</v>
      </c>
      <c r="C2054" s="85" t="s">
        <v>8942</v>
      </c>
      <c r="D2054" s="85" t="s">
        <v>5766</v>
      </c>
      <c r="E2054" s="85" t="s">
        <v>5767</v>
      </c>
      <c r="F2054" s="86">
        <v>7.66</v>
      </c>
      <c r="G2054" s="86">
        <v>14</v>
      </c>
      <c r="H2054" s="86">
        <v>107.24</v>
      </c>
      <c r="I2054" s="86">
        <v>12116.02</v>
      </c>
      <c r="J2054" s="85" t="s">
        <v>2935</v>
      </c>
      <c r="K2054" s="85" t="s">
        <v>8850</v>
      </c>
      <c r="L2054" s="85" t="s">
        <v>4135</v>
      </c>
      <c r="M2054" s="85" t="s">
        <v>8943</v>
      </c>
    </row>
    <row r="2055" ht="213.75" spans="1:13">
      <c r="A2055" s="85" t="s">
        <v>8944</v>
      </c>
      <c r="B2055" s="85" t="s">
        <v>3788</v>
      </c>
      <c r="C2055" s="85" t="s">
        <v>3789</v>
      </c>
      <c r="D2055" s="85" t="s">
        <v>3189</v>
      </c>
      <c r="E2055" s="85" t="s">
        <v>3790</v>
      </c>
      <c r="F2055" s="86">
        <v>100</v>
      </c>
      <c r="G2055" s="86">
        <v>16</v>
      </c>
      <c r="H2055" s="86">
        <v>1600</v>
      </c>
      <c r="I2055" s="86">
        <v>1600</v>
      </c>
      <c r="J2055" s="85" t="s">
        <v>7934</v>
      </c>
      <c r="K2055" s="85" t="s">
        <v>8850</v>
      </c>
      <c r="L2055" s="85" t="s">
        <v>4135</v>
      </c>
      <c r="M2055" s="85" t="s">
        <v>8945</v>
      </c>
    </row>
    <row r="2056" ht="213.75" spans="1:13">
      <c r="A2056" s="85" t="s">
        <v>8864</v>
      </c>
      <c r="B2056" s="85" t="s">
        <v>8946</v>
      </c>
      <c r="C2056" s="85" t="s">
        <v>8947</v>
      </c>
      <c r="D2056" s="85" t="s">
        <v>7696</v>
      </c>
      <c r="E2056" s="85" t="s">
        <v>7697</v>
      </c>
      <c r="F2056" s="86">
        <v>111.65</v>
      </c>
      <c r="G2056" s="86">
        <v>10</v>
      </c>
      <c r="H2056" s="86">
        <v>1116.5</v>
      </c>
      <c r="I2056" s="86">
        <v>12116.02</v>
      </c>
      <c r="J2056" s="85" t="s">
        <v>2935</v>
      </c>
      <c r="K2056" s="85" t="s">
        <v>8850</v>
      </c>
      <c r="L2056" s="85" t="s">
        <v>4135</v>
      </c>
      <c r="M2056" s="85" t="s">
        <v>8948</v>
      </c>
    </row>
    <row r="2057" ht="213.75" spans="1:13">
      <c r="A2057" s="85" t="s">
        <v>8849</v>
      </c>
      <c r="B2057" s="85" t="s">
        <v>8949</v>
      </c>
      <c r="C2057" s="85" t="s">
        <v>8950</v>
      </c>
      <c r="D2057" s="85" t="s">
        <v>3637</v>
      </c>
      <c r="E2057" s="85" t="s">
        <v>8950</v>
      </c>
      <c r="F2057" s="86">
        <v>8.33</v>
      </c>
      <c r="G2057" s="86">
        <v>6</v>
      </c>
      <c r="H2057" s="86">
        <v>49.98</v>
      </c>
      <c r="I2057" s="86">
        <v>2935.8</v>
      </c>
      <c r="J2057" s="85" t="s">
        <v>2965</v>
      </c>
      <c r="K2057" s="85" t="s">
        <v>8850</v>
      </c>
      <c r="L2057" s="85" t="s">
        <v>4135</v>
      </c>
      <c r="M2057" s="85" t="s">
        <v>8951</v>
      </c>
    </row>
    <row r="2058" ht="213.75" spans="1:13">
      <c r="A2058" s="85" t="s">
        <v>8849</v>
      </c>
      <c r="B2058" s="85" t="s">
        <v>8952</v>
      </c>
      <c r="C2058" s="85" t="s">
        <v>8953</v>
      </c>
      <c r="D2058" s="85" t="s">
        <v>4814</v>
      </c>
      <c r="E2058" s="85" t="s">
        <v>8953</v>
      </c>
      <c r="F2058" s="86">
        <v>9.27</v>
      </c>
      <c r="G2058" s="86">
        <v>1</v>
      </c>
      <c r="H2058" s="86">
        <v>9.27</v>
      </c>
      <c r="I2058" s="86">
        <v>2935.8</v>
      </c>
      <c r="J2058" s="85" t="s">
        <v>2965</v>
      </c>
      <c r="K2058" s="85" t="s">
        <v>8850</v>
      </c>
      <c r="L2058" s="85" t="s">
        <v>4135</v>
      </c>
      <c r="M2058" s="85" t="s">
        <v>8954</v>
      </c>
    </row>
    <row r="2059" ht="213.75" spans="1:13">
      <c r="A2059" s="85" t="s">
        <v>8849</v>
      </c>
      <c r="B2059" s="85" t="s">
        <v>8955</v>
      </c>
      <c r="C2059" s="85" t="s">
        <v>8956</v>
      </c>
      <c r="D2059" s="85" t="s">
        <v>4814</v>
      </c>
      <c r="E2059" s="85" t="s">
        <v>8956</v>
      </c>
      <c r="F2059" s="86">
        <v>9.02</v>
      </c>
      <c r="G2059" s="86">
        <v>1</v>
      </c>
      <c r="H2059" s="86">
        <v>9.02</v>
      </c>
      <c r="I2059" s="86">
        <v>2935.8</v>
      </c>
      <c r="J2059" s="85" t="s">
        <v>2965</v>
      </c>
      <c r="K2059" s="85" t="s">
        <v>8850</v>
      </c>
      <c r="L2059" s="85" t="s">
        <v>4135</v>
      </c>
      <c r="M2059" s="85" t="s">
        <v>8957</v>
      </c>
    </row>
    <row r="2060" ht="213.75" spans="1:13">
      <c r="A2060" s="85" t="s">
        <v>8856</v>
      </c>
      <c r="B2060" s="85" t="s">
        <v>8958</v>
      </c>
      <c r="C2060" s="85" t="s">
        <v>8959</v>
      </c>
      <c r="D2060" s="85" t="s">
        <v>4246</v>
      </c>
      <c r="E2060" s="85" t="s">
        <v>6030</v>
      </c>
      <c r="F2060" s="86">
        <v>56.84</v>
      </c>
      <c r="G2060" s="86">
        <v>2</v>
      </c>
      <c r="H2060" s="86">
        <v>113.68</v>
      </c>
      <c r="I2060" s="86">
        <v>2056.62</v>
      </c>
      <c r="J2060" s="85" t="s">
        <v>4391</v>
      </c>
      <c r="K2060" s="85" t="s">
        <v>8850</v>
      </c>
      <c r="L2060" s="85" t="s">
        <v>4135</v>
      </c>
      <c r="M2060" s="85" t="s">
        <v>8960</v>
      </c>
    </row>
    <row r="2061" ht="213.75" spans="1:13">
      <c r="A2061" s="85" t="s">
        <v>8864</v>
      </c>
      <c r="B2061" s="85" t="s">
        <v>8961</v>
      </c>
      <c r="C2061" s="85" t="s">
        <v>8962</v>
      </c>
      <c r="D2061" s="85" t="s">
        <v>2977</v>
      </c>
      <c r="E2061" s="85" t="s">
        <v>8894</v>
      </c>
      <c r="F2061" s="86">
        <v>2.5</v>
      </c>
      <c r="G2061" s="86">
        <v>60</v>
      </c>
      <c r="H2061" s="86">
        <v>150</v>
      </c>
      <c r="I2061" s="86">
        <v>12116.02</v>
      </c>
      <c r="J2061" s="85" t="s">
        <v>2935</v>
      </c>
      <c r="K2061" s="85" t="s">
        <v>8850</v>
      </c>
      <c r="L2061" s="85" t="s">
        <v>4135</v>
      </c>
      <c r="M2061" s="85" t="s">
        <v>8963</v>
      </c>
    </row>
    <row r="2062" ht="213.75" spans="1:13">
      <c r="A2062" s="85" t="s">
        <v>8864</v>
      </c>
      <c r="B2062" s="85" t="s">
        <v>8964</v>
      </c>
      <c r="C2062" s="85" t="s">
        <v>8965</v>
      </c>
      <c r="D2062" s="85" t="s">
        <v>3046</v>
      </c>
      <c r="E2062" s="85" t="s">
        <v>6506</v>
      </c>
      <c r="F2062" s="86">
        <v>1140</v>
      </c>
      <c r="G2062" s="86">
        <v>1</v>
      </c>
      <c r="H2062" s="86">
        <v>1140</v>
      </c>
      <c r="I2062" s="86">
        <v>12116.02</v>
      </c>
      <c r="J2062" s="85" t="s">
        <v>2935</v>
      </c>
      <c r="K2062" s="85" t="s">
        <v>8850</v>
      </c>
      <c r="L2062" s="85" t="s">
        <v>4135</v>
      </c>
      <c r="M2062" s="85" t="s">
        <v>8966</v>
      </c>
    </row>
    <row r="2063" ht="213.75" spans="1:13">
      <c r="A2063" s="85" t="s">
        <v>8849</v>
      </c>
      <c r="B2063" s="85" t="s">
        <v>8967</v>
      </c>
      <c r="C2063" s="85" t="s">
        <v>8968</v>
      </c>
      <c r="D2063" s="85" t="s">
        <v>3729</v>
      </c>
      <c r="E2063" s="85" t="s">
        <v>8968</v>
      </c>
      <c r="F2063" s="86">
        <v>21.76</v>
      </c>
      <c r="G2063" s="86">
        <v>2</v>
      </c>
      <c r="H2063" s="86">
        <v>43.52</v>
      </c>
      <c r="I2063" s="86">
        <v>2935.8</v>
      </c>
      <c r="J2063" s="85" t="s">
        <v>2965</v>
      </c>
      <c r="K2063" s="85" t="s">
        <v>8850</v>
      </c>
      <c r="L2063" s="85" t="s">
        <v>4135</v>
      </c>
      <c r="M2063" s="85" t="s">
        <v>8969</v>
      </c>
    </row>
    <row r="2064" ht="228" spans="1:13">
      <c r="A2064" s="85" t="s">
        <v>8869</v>
      </c>
      <c r="B2064" s="85" t="s">
        <v>8339</v>
      </c>
      <c r="C2064" s="85" t="s">
        <v>8340</v>
      </c>
      <c r="D2064" s="85" t="s">
        <v>3074</v>
      </c>
      <c r="E2064" s="85" t="s">
        <v>1969</v>
      </c>
      <c r="F2064" s="86">
        <v>372</v>
      </c>
      <c r="G2064" s="86">
        <v>10</v>
      </c>
      <c r="H2064" s="86">
        <v>3720</v>
      </c>
      <c r="I2064" s="86">
        <v>8304</v>
      </c>
      <c r="J2064" s="85" t="s">
        <v>3075</v>
      </c>
      <c r="K2064" s="85" t="s">
        <v>8850</v>
      </c>
      <c r="L2064" s="85" t="s">
        <v>4135</v>
      </c>
      <c r="M2064" s="85" t="s">
        <v>8970</v>
      </c>
    </row>
    <row r="2065" ht="213.75" spans="1:13">
      <c r="A2065" s="85" t="s">
        <v>8849</v>
      </c>
      <c r="B2065" s="85" t="s">
        <v>4514</v>
      </c>
      <c r="C2065" s="85" t="s">
        <v>4515</v>
      </c>
      <c r="D2065" s="85" t="s">
        <v>3054</v>
      </c>
      <c r="E2065" s="85" t="s">
        <v>4515</v>
      </c>
      <c r="F2065" s="86">
        <v>11.54</v>
      </c>
      <c r="G2065" s="86">
        <v>10</v>
      </c>
      <c r="H2065" s="86">
        <v>115.4</v>
      </c>
      <c r="I2065" s="86">
        <v>2935.8</v>
      </c>
      <c r="J2065" s="85" t="s">
        <v>2965</v>
      </c>
      <c r="K2065" s="85" t="s">
        <v>8850</v>
      </c>
      <c r="L2065" s="85" t="s">
        <v>4135</v>
      </c>
      <c r="M2065" s="85" t="s">
        <v>8971</v>
      </c>
    </row>
    <row r="2066" ht="213.75" spans="1:13">
      <c r="A2066" s="85" t="s">
        <v>8972</v>
      </c>
      <c r="B2066" s="85" t="s">
        <v>8973</v>
      </c>
      <c r="C2066" s="85" t="s">
        <v>8974</v>
      </c>
      <c r="D2066" s="85" t="s">
        <v>3030</v>
      </c>
      <c r="E2066" s="85" t="s">
        <v>1916</v>
      </c>
      <c r="F2066" s="86">
        <v>91.43</v>
      </c>
      <c r="G2066" s="86">
        <v>5</v>
      </c>
      <c r="H2066" s="86">
        <v>457.15</v>
      </c>
      <c r="I2066" s="86">
        <v>457.15</v>
      </c>
      <c r="J2066" s="85" t="s">
        <v>8500</v>
      </c>
      <c r="K2066" s="85" t="s">
        <v>8850</v>
      </c>
      <c r="L2066" s="85" t="s">
        <v>4135</v>
      </c>
      <c r="M2066" s="85" t="s">
        <v>8975</v>
      </c>
    </row>
    <row r="2067" ht="213.75" spans="1:13">
      <c r="A2067" s="85" t="s">
        <v>8864</v>
      </c>
      <c r="B2067" s="85" t="s">
        <v>8311</v>
      </c>
      <c r="C2067" s="85" t="s">
        <v>8312</v>
      </c>
      <c r="D2067" s="85" t="s">
        <v>3197</v>
      </c>
      <c r="E2067" s="85" t="s">
        <v>8312</v>
      </c>
      <c r="F2067" s="86">
        <v>1.9</v>
      </c>
      <c r="G2067" s="86">
        <v>240</v>
      </c>
      <c r="H2067" s="86">
        <v>456</v>
      </c>
      <c r="I2067" s="86">
        <v>12116.02</v>
      </c>
      <c r="J2067" s="85" t="s">
        <v>2935</v>
      </c>
      <c r="K2067" s="85" t="s">
        <v>8850</v>
      </c>
      <c r="L2067" s="85" t="s">
        <v>4135</v>
      </c>
      <c r="M2067" s="85" t="s">
        <v>8976</v>
      </c>
    </row>
    <row r="2068" ht="213.75" spans="1:13">
      <c r="A2068" s="85" t="s">
        <v>8849</v>
      </c>
      <c r="B2068" s="85" t="s">
        <v>8977</v>
      </c>
      <c r="C2068" s="85" t="s">
        <v>8978</v>
      </c>
      <c r="D2068" s="85" t="s">
        <v>2973</v>
      </c>
      <c r="E2068" s="85" t="s">
        <v>8978</v>
      </c>
      <c r="F2068" s="86">
        <v>33.2</v>
      </c>
      <c r="G2068" s="86">
        <v>1</v>
      </c>
      <c r="H2068" s="86">
        <v>33.2</v>
      </c>
      <c r="I2068" s="86">
        <v>2935.8</v>
      </c>
      <c r="J2068" s="85" t="s">
        <v>2965</v>
      </c>
      <c r="K2068" s="85" t="s">
        <v>8850</v>
      </c>
      <c r="L2068" s="85" t="s">
        <v>4135</v>
      </c>
      <c r="M2068" s="85" t="s">
        <v>8979</v>
      </c>
    </row>
    <row r="2069" ht="213.75" spans="1:13">
      <c r="A2069" s="85" t="s">
        <v>8849</v>
      </c>
      <c r="B2069" s="85" t="s">
        <v>5138</v>
      </c>
      <c r="C2069" s="85" t="s">
        <v>5139</v>
      </c>
      <c r="D2069" s="85" t="s">
        <v>5140</v>
      </c>
      <c r="E2069" s="85" t="s">
        <v>5139</v>
      </c>
      <c r="F2069" s="86">
        <v>7</v>
      </c>
      <c r="G2069" s="86">
        <v>25</v>
      </c>
      <c r="H2069" s="86">
        <v>175</v>
      </c>
      <c r="I2069" s="86">
        <v>2935.8</v>
      </c>
      <c r="J2069" s="85" t="s">
        <v>2965</v>
      </c>
      <c r="K2069" s="85" t="s">
        <v>8850</v>
      </c>
      <c r="L2069" s="85" t="s">
        <v>4135</v>
      </c>
      <c r="M2069" s="85" t="s">
        <v>8980</v>
      </c>
    </row>
    <row r="2070" ht="213.75" spans="1:13">
      <c r="A2070" s="85" t="s">
        <v>8882</v>
      </c>
      <c r="B2070" s="85" t="s">
        <v>8981</v>
      </c>
      <c r="C2070" s="85" t="s">
        <v>8982</v>
      </c>
      <c r="D2070" s="85" t="s">
        <v>3041</v>
      </c>
      <c r="E2070" s="85" t="s">
        <v>3158</v>
      </c>
      <c r="F2070" s="86">
        <v>16</v>
      </c>
      <c r="G2070" s="86">
        <v>30</v>
      </c>
      <c r="H2070" s="86">
        <v>480</v>
      </c>
      <c r="I2070" s="86">
        <v>11265</v>
      </c>
      <c r="J2070" s="85" t="s">
        <v>4370</v>
      </c>
      <c r="K2070" s="85" t="s">
        <v>8850</v>
      </c>
      <c r="L2070" s="85" t="s">
        <v>4135</v>
      </c>
      <c r="M2070" s="85" t="s">
        <v>8983</v>
      </c>
    </row>
    <row r="2071" ht="213.75" spans="1:13">
      <c r="A2071" s="85" t="s">
        <v>8930</v>
      </c>
      <c r="B2071" s="85" t="s">
        <v>5662</v>
      </c>
      <c r="C2071" s="85" t="s">
        <v>5663</v>
      </c>
      <c r="D2071" s="85" t="s">
        <v>4076</v>
      </c>
      <c r="E2071" s="85" t="s">
        <v>1832</v>
      </c>
      <c r="F2071" s="86">
        <v>128</v>
      </c>
      <c r="G2071" s="86">
        <v>180</v>
      </c>
      <c r="H2071" s="86">
        <v>23040</v>
      </c>
      <c r="I2071" s="86">
        <v>25960</v>
      </c>
      <c r="J2071" s="85" t="s">
        <v>2938</v>
      </c>
      <c r="K2071" s="85" t="s">
        <v>8850</v>
      </c>
      <c r="L2071" s="85" t="s">
        <v>4135</v>
      </c>
      <c r="M2071" s="85" t="s">
        <v>8984</v>
      </c>
    </row>
    <row r="2072" ht="213.75" spans="1:13">
      <c r="A2072" s="85" t="s">
        <v>8849</v>
      </c>
      <c r="B2072" s="85" t="s">
        <v>8985</v>
      </c>
      <c r="C2072" s="85" t="s">
        <v>8986</v>
      </c>
      <c r="D2072" s="85" t="s">
        <v>3054</v>
      </c>
      <c r="E2072" s="85" t="s">
        <v>8986</v>
      </c>
      <c r="F2072" s="86">
        <v>69.57</v>
      </c>
      <c r="G2072" s="86">
        <v>5</v>
      </c>
      <c r="H2072" s="86">
        <v>347.85</v>
      </c>
      <c r="I2072" s="86">
        <v>2935.8</v>
      </c>
      <c r="J2072" s="85" t="s">
        <v>2965</v>
      </c>
      <c r="K2072" s="85" t="s">
        <v>8850</v>
      </c>
      <c r="L2072" s="85" t="s">
        <v>4135</v>
      </c>
      <c r="M2072" s="85" t="s">
        <v>8987</v>
      </c>
    </row>
    <row r="2073" ht="213.75" spans="1:13">
      <c r="A2073" s="85" t="s">
        <v>8849</v>
      </c>
      <c r="B2073" s="85" t="s">
        <v>8988</v>
      </c>
      <c r="C2073" s="85" t="s">
        <v>8989</v>
      </c>
      <c r="D2073" s="85" t="s">
        <v>3729</v>
      </c>
      <c r="E2073" s="85" t="s">
        <v>8989</v>
      </c>
      <c r="F2073" s="86">
        <v>28.3</v>
      </c>
      <c r="G2073" s="86">
        <v>5</v>
      </c>
      <c r="H2073" s="86">
        <v>141.5</v>
      </c>
      <c r="I2073" s="86">
        <v>2935.8</v>
      </c>
      <c r="J2073" s="85" t="s">
        <v>2965</v>
      </c>
      <c r="K2073" s="85" t="s">
        <v>8850</v>
      </c>
      <c r="L2073" s="85" t="s">
        <v>4135</v>
      </c>
      <c r="M2073" s="85" t="s">
        <v>8990</v>
      </c>
    </row>
    <row r="2074" ht="213.75" spans="1:13">
      <c r="A2074" s="85" t="s">
        <v>8991</v>
      </c>
      <c r="B2074" s="85" t="s">
        <v>8992</v>
      </c>
      <c r="C2074" s="85" t="s">
        <v>8993</v>
      </c>
      <c r="D2074" s="85" t="s">
        <v>5406</v>
      </c>
      <c r="E2074" s="85" t="s">
        <v>2083</v>
      </c>
      <c r="F2074" s="86">
        <v>135</v>
      </c>
      <c r="G2074" s="86">
        <v>25</v>
      </c>
      <c r="H2074" s="86">
        <v>3375</v>
      </c>
      <c r="I2074" s="86">
        <v>10910</v>
      </c>
      <c r="J2074" s="85" t="s">
        <v>6655</v>
      </c>
      <c r="K2074" s="85" t="s">
        <v>8850</v>
      </c>
      <c r="L2074" s="85" t="s">
        <v>4135</v>
      </c>
      <c r="M2074" s="85" t="s">
        <v>8994</v>
      </c>
    </row>
    <row r="2075" ht="213.75" spans="1:13">
      <c r="A2075" s="85" t="s">
        <v>8882</v>
      </c>
      <c r="B2075" s="85" t="s">
        <v>8995</v>
      </c>
      <c r="C2075" s="85" t="s">
        <v>8996</v>
      </c>
      <c r="D2075" s="85" t="s">
        <v>4848</v>
      </c>
      <c r="E2075" s="85" t="s">
        <v>6707</v>
      </c>
      <c r="F2075" s="86">
        <v>2</v>
      </c>
      <c r="G2075" s="86">
        <v>1500</v>
      </c>
      <c r="H2075" s="86">
        <v>3000</v>
      </c>
      <c r="I2075" s="86">
        <v>11265</v>
      </c>
      <c r="J2075" s="85" t="s">
        <v>4370</v>
      </c>
      <c r="K2075" s="85" t="s">
        <v>8850</v>
      </c>
      <c r="L2075" s="85" t="s">
        <v>4135</v>
      </c>
      <c r="M2075" s="85" t="s">
        <v>8997</v>
      </c>
    </row>
    <row r="2076" ht="213.75" spans="1:13">
      <c r="A2076" s="85" t="s">
        <v>8882</v>
      </c>
      <c r="B2076" s="85" t="s">
        <v>4373</v>
      </c>
      <c r="C2076" s="85" t="s">
        <v>4374</v>
      </c>
      <c r="D2076" s="85" t="s">
        <v>3041</v>
      </c>
      <c r="E2076" s="85" t="s">
        <v>3042</v>
      </c>
      <c r="F2076" s="86">
        <v>7</v>
      </c>
      <c r="G2076" s="86">
        <v>22</v>
      </c>
      <c r="H2076" s="86">
        <v>154</v>
      </c>
      <c r="I2076" s="86">
        <v>11265</v>
      </c>
      <c r="J2076" s="85" t="s">
        <v>4370</v>
      </c>
      <c r="K2076" s="85" t="s">
        <v>8850</v>
      </c>
      <c r="L2076" s="85" t="s">
        <v>4135</v>
      </c>
      <c r="M2076" s="85" t="s">
        <v>8998</v>
      </c>
    </row>
    <row r="2077" ht="213.75" spans="1:13">
      <c r="A2077" s="85" t="s">
        <v>8999</v>
      </c>
      <c r="B2077" s="85" t="s">
        <v>9000</v>
      </c>
      <c r="C2077" s="85" t="s">
        <v>9001</v>
      </c>
      <c r="D2077" s="85" t="s">
        <v>3197</v>
      </c>
      <c r="E2077" s="85" t="s">
        <v>9002</v>
      </c>
      <c r="F2077" s="86">
        <v>1.5</v>
      </c>
      <c r="G2077" s="86">
        <v>50</v>
      </c>
      <c r="H2077" s="86">
        <v>75</v>
      </c>
      <c r="I2077" s="86">
        <v>75</v>
      </c>
      <c r="J2077" s="85" t="s">
        <v>2935</v>
      </c>
      <c r="K2077" s="85" t="s">
        <v>8850</v>
      </c>
      <c r="L2077" s="85" t="s">
        <v>4135</v>
      </c>
      <c r="M2077" s="85" t="s">
        <v>9003</v>
      </c>
    </row>
    <row r="2078" ht="213.75" spans="1:13">
      <c r="A2078" s="85" t="s">
        <v>8849</v>
      </c>
      <c r="B2078" s="85" t="s">
        <v>9004</v>
      </c>
      <c r="C2078" s="85" t="s">
        <v>9005</v>
      </c>
      <c r="D2078" s="85" t="s">
        <v>3484</v>
      </c>
      <c r="E2078" s="85" t="s">
        <v>9005</v>
      </c>
      <c r="F2078" s="86">
        <v>6.83</v>
      </c>
      <c r="G2078" s="86">
        <v>1</v>
      </c>
      <c r="H2078" s="86">
        <v>6.83</v>
      </c>
      <c r="I2078" s="86">
        <v>2935.8</v>
      </c>
      <c r="J2078" s="85" t="s">
        <v>2965</v>
      </c>
      <c r="K2078" s="85" t="s">
        <v>8850</v>
      </c>
      <c r="L2078" s="85" t="s">
        <v>4135</v>
      </c>
      <c r="M2078" s="85" t="s">
        <v>9006</v>
      </c>
    </row>
    <row r="2079" ht="242.25" spans="1:13">
      <c r="A2079" s="85" t="s">
        <v>8991</v>
      </c>
      <c r="B2079" s="85" t="s">
        <v>9007</v>
      </c>
      <c r="C2079" s="85" t="s">
        <v>9008</v>
      </c>
      <c r="D2079" s="85" t="s">
        <v>9009</v>
      </c>
      <c r="E2079" s="85" t="s">
        <v>2085</v>
      </c>
      <c r="F2079" s="86">
        <v>7535</v>
      </c>
      <c r="G2079" s="86">
        <v>1</v>
      </c>
      <c r="H2079" s="86">
        <v>7535</v>
      </c>
      <c r="I2079" s="86">
        <v>10910</v>
      </c>
      <c r="J2079" s="85" t="s">
        <v>6655</v>
      </c>
      <c r="K2079" s="85" t="s">
        <v>8850</v>
      </c>
      <c r="L2079" s="85" t="s">
        <v>4135</v>
      </c>
      <c r="M2079" s="85" t="s">
        <v>9010</v>
      </c>
    </row>
    <row r="2080" ht="213.75" spans="1:13">
      <c r="A2080" s="85" t="s">
        <v>8856</v>
      </c>
      <c r="B2080" s="85" t="s">
        <v>7699</v>
      </c>
      <c r="C2080" s="85" t="s">
        <v>7700</v>
      </c>
      <c r="D2080" s="85" t="s">
        <v>4772</v>
      </c>
      <c r="E2080" s="85" t="s">
        <v>4773</v>
      </c>
      <c r="F2080" s="86">
        <v>98.98</v>
      </c>
      <c r="G2080" s="86">
        <v>5</v>
      </c>
      <c r="H2080" s="86">
        <v>494.9</v>
      </c>
      <c r="I2080" s="86">
        <v>2056.62</v>
      </c>
      <c r="J2080" s="85" t="s">
        <v>4391</v>
      </c>
      <c r="K2080" s="85" t="s">
        <v>8850</v>
      </c>
      <c r="L2080" s="85" t="s">
        <v>4135</v>
      </c>
      <c r="M2080" s="85" t="s">
        <v>9011</v>
      </c>
    </row>
    <row r="2081" ht="213.75" spans="1:13">
      <c r="A2081" s="85" t="s">
        <v>8849</v>
      </c>
      <c r="B2081" s="85" t="s">
        <v>9012</v>
      </c>
      <c r="C2081" s="85" t="s">
        <v>9013</v>
      </c>
      <c r="D2081" s="85" t="s">
        <v>3003</v>
      </c>
      <c r="E2081" s="85" t="s">
        <v>9013</v>
      </c>
      <c r="F2081" s="86">
        <v>11.56</v>
      </c>
      <c r="G2081" s="86">
        <v>24</v>
      </c>
      <c r="H2081" s="86">
        <v>277.44</v>
      </c>
      <c r="I2081" s="86">
        <v>2935.8</v>
      </c>
      <c r="J2081" s="85" t="s">
        <v>2965</v>
      </c>
      <c r="K2081" s="85" t="s">
        <v>8850</v>
      </c>
      <c r="L2081" s="85" t="s">
        <v>4135</v>
      </c>
      <c r="M2081" s="85" t="s">
        <v>9014</v>
      </c>
    </row>
    <row r="2082" ht="213.75" spans="1:13">
      <c r="A2082" s="85" t="s">
        <v>8864</v>
      </c>
      <c r="B2082" s="85" t="s">
        <v>9015</v>
      </c>
      <c r="C2082" s="85" t="s">
        <v>9016</v>
      </c>
      <c r="D2082" s="85" t="s">
        <v>3189</v>
      </c>
      <c r="E2082" s="85" t="s">
        <v>9017</v>
      </c>
      <c r="F2082" s="86">
        <v>49.9</v>
      </c>
      <c r="G2082" s="86">
        <v>4</v>
      </c>
      <c r="H2082" s="86">
        <v>199.6</v>
      </c>
      <c r="I2082" s="86">
        <v>12116.02</v>
      </c>
      <c r="J2082" s="85" t="s">
        <v>2935</v>
      </c>
      <c r="K2082" s="85" t="s">
        <v>8850</v>
      </c>
      <c r="L2082" s="85" t="s">
        <v>4135</v>
      </c>
      <c r="M2082" s="85" t="s">
        <v>9018</v>
      </c>
    </row>
    <row r="2083" ht="213.75" spans="1:13">
      <c r="A2083" s="85" t="s">
        <v>8849</v>
      </c>
      <c r="B2083" s="85" t="s">
        <v>9019</v>
      </c>
      <c r="C2083" s="85" t="s">
        <v>9020</v>
      </c>
      <c r="D2083" s="85" t="s">
        <v>4814</v>
      </c>
      <c r="E2083" s="85" t="s">
        <v>9020</v>
      </c>
      <c r="F2083" s="86">
        <v>8.24</v>
      </c>
      <c r="G2083" s="86">
        <v>1</v>
      </c>
      <c r="H2083" s="86">
        <v>8.24</v>
      </c>
      <c r="I2083" s="86">
        <v>2935.8</v>
      </c>
      <c r="J2083" s="85" t="s">
        <v>2965</v>
      </c>
      <c r="K2083" s="85" t="s">
        <v>8850</v>
      </c>
      <c r="L2083" s="85" t="s">
        <v>4135</v>
      </c>
      <c r="M2083" s="85" t="s">
        <v>9021</v>
      </c>
    </row>
    <row r="2084" ht="213.75" spans="1:13">
      <c r="A2084" s="85" t="s">
        <v>9022</v>
      </c>
      <c r="B2084" s="85" t="s">
        <v>8266</v>
      </c>
      <c r="C2084" s="85" t="s">
        <v>8267</v>
      </c>
      <c r="D2084" s="85" t="s">
        <v>3189</v>
      </c>
      <c r="E2084" s="85" t="s">
        <v>6337</v>
      </c>
      <c r="F2084" s="86">
        <v>27</v>
      </c>
      <c r="G2084" s="86">
        <v>460</v>
      </c>
      <c r="H2084" s="86">
        <v>12420</v>
      </c>
      <c r="I2084" s="86">
        <v>12420</v>
      </c>
      <c r="J2084" s="85" t="s">
        <v>8268</v>
      </c>
      <c r="K2084" s="85" t="s">
        <v>8850</v>
      </c>
      <c r="L2084" s="85" t="s">
        <v>4135</v>
      </c>
      <c r="M2084" s="85" t="s">
        <v>9023</v>
      </c>
    </row>
    <row r="2085" ht="213.75" spans="1:13">
      <c r="A2085" s="85" t="s">
        <v>8856</v>
      </c>
      <c r="B2085" s="85" t="s">
        <v>9024</v>
      </c>
      <c r="C2085" s="85" t="s">
        <v>9025</v>
      </c>
      <c r="D2085" s="85" t="s">
        <v>4772</v>
      </c>
      <c r="E2085" s="85" t="s">
        <v>4773</v>
      </c>
      <c r="F2085" s="86">
        <v>355.74</v>
      </c>
      <c r="G2085" s="86">
        <v>3</v>
      </c>
      <c r="H2085" s="86">
        <v>1067.22</v>
      </c>
      <c r="I2085" s="86">
        <v>2056.62</v>
      </c>
      <c r="J2085" s="85" t="s">
        <v>4391</v>
      </c>
      <c r="K2085" s="85" t="s">
        <v>8850</v>
      </c>
      <c r="L2085" s="85" t="s">
        <v>4135</v>
      </c>
      <c r="M2085" s="85" t="s">
        <v>9026</v>
      </c>
    </row>
    <row r="2086" ht="213.75" spans="1:13">
      <c r="A2086" s="85" t="s">
        <v>8882</v>
      </c>
      <c r="B2086" s="85" t="s">
        <v>9027</v>
      </c>
      <c r="C2086" s="85" t="s">
        <v>9028</v>
      </c>
      <c r="D2086" s="85" t="s">
        <v>3024</v>
      </c>
      <c r="E2086" s="85" t="s">
        <v>8489</v>
      </c>
      <c r="F2086" s="86">
        <v>31</v>
      </c>
      <c r="G2086" s="86">
        <v>1</v>
      </c>
      <c r="H2086" s="86">
        <v>31</v>
      </c>
      <c r="I2086" s="86">
        <v>11265</v>
      </c>
      <c r="J2086" s="85" t="s">
        <v>4370</v>
      </c>
      <c r="K2086" s="85" t="s">
        <v>8850</v>
      </c>
      <c r="L2086" s="85" t="s">
        <v>4135</v>
      </c>
      <c r="M2086" s="85" t="s">
        <v>9029</v>
      </c>
    </row>
    <row r="2087" ht="213.75" spans="1:13">
      <c r="A2087" s="85" t="s">
        <v>8864</v>
      </c>
      <c r="B2087" s="85" t="s">
        <v>9030</v>
      </c>
      <c r="C2087" s="85" t="s">
        <v>9031</v>
      </c>
      <c r="D2087" s="85" t="s">
        <v>5368</v>
      </c>
      <c r="E2087" s="85" t="s">
        <v>9032</v>
      </c>
      <c r="F2087" s="86">
        <v>38.8</v>
      </c>
      <c r="G2087" s="86">
        <v>5</v>
      </c>
      <c r="H2087" s="86">
        <v>194</v>
      </c>
      <c r="I2087" s="86">
        <v>12116.02</v>
      </c>
      <c r="J2087" s="85" t="s">
        <v>2935</v>
      </c>
      <c r="K2087" s="85" t="s">
        <v>8850</v>
      </c>
      <c r="L2087" s="85" t="s">
        <v>4135</v>
      </c>
      <c r="M2087" s="85" t="s">
        <v>9033</v>
      </c>
    </row>
    <row r="2088" ht="213.75" spans="1:13">
      <c r="A2088" s="85" t="s">
        <v>8849</v>
      </c>
      <c r="B2088" s="85" t="s">
        <v>9034</v>
      </c>
      <c r="C2088" s="85" t="s">
        <v>9035</v>
      </c>
      <c r="D2088" s="85" t="s">
        <v>3484</v>
      </c>
      <c r="E2088" s="85" t="s">
        <v>9035</v>
      </c>
      <c r="F2088" s="86">
        <v>6.06</v>
      </c>
      <c r="G2088" s="86">
        <v>1</v>
      </c>
      <c r="H2088" s="86">
        <v>6.06</v>
      </c>
      <c r="I2088" s="86">
        <v>2935.8</v>
      </c>
      <c r="J2088" s="85" t="s">
        <v>2965</v>
      </c>
      <c r="K2088" s="85" t="s">
        <v>8850</v>
      </c>
      <c r="L2088" s="85" t="s">
        <v>4135</v>
      </c>
      <c r="M2088" s="85" t="s">
        <v>9036</v>
      </c>
    </row>
    <row r="2089" ht="213.75" spans="1:13">
      <c r="A2089" s="85" t="s">
        <v>8849</v>
      </c>
      <c r="B2089" s="85" t="s">
        <v>9037</v>
      </c>
      <c r="C2089" s="85" t="s">
        <v>9038</v>
      </c>
      <c r="D2089" s="85" t="s">
        <v>4814</v>
      </c>
      <c r="E2089" s="85" t="s">
        <v>9038</v>
      </c>
      <c r="F2089" s="86">
        <v>11</v>
      </c>
      <c r="G2089" s="86">
        <v>1</v>
      </c>
      <c r="H2089" s="86">
        <v>11</v>
      </c>
      <c r="I2089" s="86">
        <v>2935.8</v>
      </c>
      <c r="J2089" s="85" t="s">
        <v>2965</v>
      </c>
      <c r="K2089" s="85" t="s">
        <v>8850</v>
      </c>
      <c r="L2089" s="85" t="s">
        <v>4135</v>
      </c>
      <c r="M2089" s="85" t="s">
        <v>9039</v>
      </c>
    </row>
    <row r="2090" ht="213.75" spans="1:13">
      <c r="A2090" s="85" t="s">
        <v>8869</v>
      </c>
      <c r="B2090" s="85" t="s">
        <v>3682</v>
      </c>
      <c r="C2090" s="85" t="s">
        <v>3683</v>
      </c>
      <c r="D2090" s="85" t="s">
        <v>3684</v>
      </c>
      <c r="E2090" s="85" t="s">
        <v>3685</v>
      </c>
      <c r="F2090" s="86">
        <v>16</v>
      </c>
      <c r="G2090" s="86">
        <v>10</v>
      </c>
      <c r="H2090" s="86">
        <v>160</v>
      </c>
      <c r="I2090" s="86">
        <v>8304</v>
      </c>
      <c r="J2090" s="85" t="s">
        <v>3075</v>
      </c>
      <c r="K2090" s="85" t="s">
        <v>8850</v>
      </c>
      <c r="L2090" s="85" t="s">
        <v>4135</v>
      </c>
      <c r="M2090" s="85" t="s">
        <v>9040</v>
      </c>
    </row>
    <row r="2091" ht="213.75" spans="1:13">
      <c r="A2091" s="85" t="s">
        <v>8849</v>
      </c>
      <c r="B2091" s="85" t="s">
        <v>9041</v>
      </c>
      <c r="C2091" s="85" t="s">
        <v>9042</v>
      </c>
      <c r="D2091" s="85" t="s">
        <v>3484</v>
      </c>
      <c r="E2091" s="85" t="s">
        <v>9042</v>
      </c>
      <c r="F2091" s="86">
        <v>6.06</v>
      </c>
      <c r="G2091" s="86">
        <v>1</v>
      </c>
      <c r="H2091" s="86">
        <v>6.06</v>
      </c>
      <c r="I2091" s="86">
        <v>2935.8</v>
      </c>
      <c r="J2091" s="85" t="s">
        <v>2965</v>
      </c>
      <c r="K2091" s="85" t="s">
        <v>8850</v>
      </c>
      <c r="L2091" s="85" t="s">
        <v>4135</v>
      </c>
      <c r="M2091" s="85" t="s">
        <v>9043</v>
      </c>
    </row>
    <row r="2092" ht="213.75" spans="1:13">
      <c r="A2092" s="85" t="s">
        <v>8864</v>
      </c>
      <c r="B2092" s="85" t="s">
        <v>9044</v>
      </c>
      <c r="C2092" s="85" t="s">
        <v>9045</v>
      </c>
      <c r="D2092" s="85" t="s">
        <v>5368</v>
      </c>
      <c r="E2092" s="85" t="s">
        <v>9046</v>
      </c>
      <c r="F2092" s="86">
        <v>272</v>
      </c>
      <c r="G2092" s="86">
        <v>2</v>
      </c>
      <c r="H2092" s="86">
        <v>544</v>
      </c>
      <c r="I2092" s="86">
        <v>12116.02</v>
      </c>
      <c r="J2092" s="85" t="s">
        <v>2935</v>
      </c>
      <c r="K2092" s="85" t="s">
        <v>8850</v>
      </c>
      <c r="L2092" s="85" t="s">
        <v>4135</v>
      </c>
      <c r="M2092" s="85" t="s">
        <v>9047</v>
      </c>
    </row>
    <row r="2093" ht="213.75" spans="1:13">
      <c r="A2093" s="85" t="s">
        <v>8864</v>
      </c>
      <c r="B2093" s="85" t="s">
        <v>9048</v>
      </c>
      <c r="C2093" s="85" t="s">
        <v>9049</v>
      </c>
      <c r="D2093" s="85" t="s">
        <v>4929</v>
      </c>
      <c r="E2093" s="85" t="s">
        <v>4930</v>
      </c>
      <c r="F2093" s="86">
        <v>13</v>
      </c>
      <c r="G2093" s="86">
        <v>10</v>
      </c>
      <c r="H2093" s="86">
        <v>130</v>
      </c>
      <c r="I2093" s="86">
        <v>12116.02</v>
      </c>
      <c r="J2093" s="85" t="s">
        <v>2935</v>
      </c>
      <c r="K2093" s="85" t="s">
        <v>8850</v>
      </c>
      <c r="L2093" s="85" t="s">
        <v>4135</v>
      </c>
      <c r="M2093" s="85" t="s">
        <v>9050</v>
      </c>
    </row>
    <row r="2094" ht="213.75" spans="1:13">
      <c r="A2094" s="85" t="s">
        <v>9051</v>
      </c>
      <c r="B2094" s="85" t="s">
        <v>3896</v>
      </c>
      <c r="C2094" s="85" t="s">
        <v>1308</v>
      </c>
      <c r="D2094" s="85" t="s">
        <v>3897</v>
      </c>
      <c r="E2094" s="85" t="s">
        <v>1308</v>
      </c>
      <c r="F2094" s="86">
        <v>105718.09</v>
      </c>
      <c r="G2094" s="86">
        <v>1</v>
      </c>
      <c r="H2094" s="86">
        <v>105718.09</v>
      </c>
      <c r="I2094" s="86">
        <v>105718.09</v>
      </c>
      <c r="J2094" s="85" t="s">
        <v>7938</v>
      </c>
      <c r="K2094" s="85" t="s">
        <v>9052</v>
      </c>
      <c r="L2094" s="85" t="s">
        <v>6980</v>
      </c>
      <c r="M2094" s="85" t="s">
        <v>9053</v>
      </c>
    </row>
    <row r="2095" ht="213.75" spans="1:13">
      <c r="A2095" s="85" t="s">
        <v>9054</v>
      </c>
      <c r="B2095" s="85" t="s">
        <v>6974</v>
      </c>
      <c r="C2095" s="85" t="s">
        <v>6975</v>
      </c>
      <c r="D2095" s="85" t="s">
        <v>6976</v>
      </c>
      <c r="E2095" s="85" t="s">
        <v>6977</v>
      </c>
      <c r="F2095" s="86">
        <v>1</v>
      </c>
      <c r="G2095" s="86">
        <v>2667</v>
      </c>
      <c r="H2095" s="86">
        <v>2667.05</v>
      </c>
      <c r="I2095" s="86">
        <v>2667.05</v>
      </c>
      <c r="J2095" s="85" t="s">
        <v>6978</v>
      </c>
      <c r="K2095" s="85" t="s">
        <v>9055</v>
      </c>
      <c r="L2095" s="85" t="s">
        <v>6980</v>
      </c>
      <c r="M2095" s="85" t="s">
        <v>9056</v>
      </c>
    </row>
    <row r="2096" ht="213.75" spans="1:13">
      <c r="A2096" s="85" t="s">
        <v>9057</v>
      </c>
      <c r="B2096" s="85" t="s">
        <v>4148</v>
      </c>
      <c r="C2096" s="85" t="s">
        <v>4149</v>
      </c>
      <c r="D2096" s="85" t="s">
        <v>4150</v>
      </c>
      <c r="E2096" s="85" t="s">
        <v>4149</v>
      </c>
      <c r="F2096" s="86">
        <v>46440</v>
      </c>
      <c r="G2096" s="86">
        <v>1</v>
      </c>
      <c r="H2096" s="86">
        <v>46440</v>
      </c>
      <c r="I2096" s="86">
        <v>46440</v>
      </c>
      <c r="J2096" s="85" t="s">
        <v>7174</v>
      </c>
      <c r="K2096" s="85" t="s">
        <v>9058</v>
      </c>
      <c r="L2096" s="85" t="s">
        <v>6980</v>
      </c>
      <c r="M2096" s="85" t="s">
        <v>9059</v>
      </c>
    </row>
    <row r="2097" ht="213.75" spans="1:13">
      <c r="A2097" s="85" t="s">
        <v>9060</v>
      </c>
      <c r="B2097" s="85" t="s">
        <v>3896</v>
      </c>
      <c r="C2097" s="85" t="s">
        <v>1308</v>
      </c>
      <c r="D2097" s="85" t="s">
        <v>3897</v>
      </c>
      <c r="E2097" s="85" t="s">
        <v>1308</v>
      </c>
      <c r="F2097" s="86">
        <v>153672.95</v>
      </c>
      <c r="G2097" s="86">
        <v>1</v>
      </c>
      <c r="H2097" s="86">
        <v>153672.95</v>
      </c>
      <c r="I2097" s="86">
        <v>153672.95</v>
      </c>
      <c r="J2097" s="85" t="s">
        <v>7938</v>
      </c>
      <c r="K2097" s="85" t="s">
        <v>9061</v>
      </c>
      <c r="L2097" s="85" t="s">
        <v>6980</v>
      </c>
      <c r="M2097" s="85" t="s">
        <v>9062</v>
      </c>
    </row>
    <row r="2098" ht="213.75" spans="1:13">
      <c r="A2098" s="85" t="s">
        <v>9063</v>
      </c>
      <c r="B2098" s="85" t="s">
        <v>9064</v>
      </c>
      <c r="C2098" s="85" t="s">
        <v>9065</v>
      </c>
      <c r="D2098" s="85" t="s">
        <v>4246</v>
      </c>
      <c r="E2098" s="85" t="s">
        <v>9066</v>
      </c>
      <c r="F2098" s="86">
        <v>147</v>
      </c>
      <c r="G2098" s="86">
        <v>240</v>
      </c>
      <c r="H2098" s="86">
        <v>35280</v>
      </c>
      <c r="I2098" s="86">
        <v>35280</v>
      </c>
      <c r="J2098" s="85" t="s">
        <v>9067</v>
      </c>
      <c r="K2098" s="85" t="s">
        <v>9068</v>
      </c>
      <c r="L2098" s="85" t="s">
        <v>4135</v>
      </c>
      <c r="M2098" s="85" t="s">
        <v>9069</v>
      </c>
    </row>
    <row r="2099" ht="213.75" spans="1:13">
      <c r="A2099" s="85" t="s">
        <v>9070</v>
      </c>
      <c r="B2099" s="85" t="s">
        <v>2901</v>
      </c>
      <c r="C2099" s="85" t="s">
        <v>2902</v>
      </c>
      <c r="D2099" s="85" t="s">
        <v>2903</v>
      </c>
      <c r="E2099" s="85" t="s">
        <v>2902</v>
      </c>
      <c r="F2099" s="86">
        <v>18800</v>
      </c>
      <c r="G2099" s="86">
        <v>1</v>
      </c>
      <c r="H2099" s="86">
        <v>18800</v>
      </c>
      <c r="I2099" s="86">
        <v>18800</v>
      </c>
      <c r="J2099" s="85" t="s">
        <v>4054</v>
      </c>
      <c r="K2099" s="85" t="s">
        <v>9071</v>
      </c>
      <c r="L2099" s="85" t="s">
        <v>4135</v>
      </c>
      <c r="M2099" s="85" t="s">
        <v>9072</v>
      </c>
    </row>
    <row r="2100" ht="213.75" spans="1:13">
      <c r="A2100" s="85" t="s">
        <v>9073</v>
      </c>
      <c r="B2100" s="85" t="s">
        <v>4651</v>
      </c>
      <c r="C2100" s="85" t="s">
        <v>4652</v>
      </c>
      <c r="D2100" s="85" t="s">
        <v>4617</v>
      </c>
      <c r="E2100" s="85" t="s">
        <v>4618</v>
      </c>
      <c r="F2100" s="86">
        <v>460</v>
      </c>
      <c r="G2100" s="86">
        <v>2</v>
      </c>
      <c r="H2100" s="86">
        <v>920</v>
      </c>
      <c r="I2100" s="86">
        <v>920</v>
      </c>
      <c r="J2100" s="85" t="s">
        <v>4639</v>
      </c>
      <c r="K2100" s="85" t="s">
        <v>9074</v>
      </c>
      <c r="L2100" s="85" t="s">
        <v>4135</v>
      </c>
      <c r="M2100" s="85" t="s">
        <v>9075</v>
      </c>
    </row>
    <row r="2101" ht="213.75" spans="1:13">
      <c r="A2101" s="85" t="s">
        <v>9076</v>
      </c>
      <c r="B2101" s="85" t="s">
        <v>3509</v>
      </c>
      <c r="C2101" s="85" t="s">
        <v>3510</v>
      </c>
      <c r="D2101" s="85" t="s">
        <v>3511</v>
      </c>
      <c r="E2101" s="85" t="s">
        <v>3510</v>
      </c>
      <c r="F2101" s="86">
        <v>12000</v>
      </c>
      <c r="G2101" s="86">
        <v>1</v>
      </c>
      <c r="H2101" s="86">
        <v>12000</v>
      </c>
      <c r="I2101" s="86">
        <v>12000</v>
      </c>
      <c r="J2101" s="85" t="s">
        <v>7353</v>
      </c>
      <c r="K2101" s="85" t="s">
        <v>9077</v>
      </c>
      <c r="L2101" s="85" t="s">
        <v>4135</v>
      </c>
      <c r="M2101" s="85" t="s">
        <v>9078</v>
      </c>
    </row>
    <row r="2102" ht="213.75" spans="1:13">
      <c r="A2102" s="85" t="s">
        <v>9079</v>
      </c>
      <c r="B2102" s="85" t="s">
        <v>9080</v>
      </c>
      <c r="C2102" s="85" t="s">
        <v>9081</v>
      </c>
      <c r="D2102" s="85" t="s">
        <v>2919</v>
      </c>
      <c r="E2102" s="85" t="s">
        <v>9082</v>
      </c>
      <c r="F2102" s="86">
        <v>2.69</v>
      </c>
      <c r="G2102" s="86">
        <v>175</v>
      </c>
      <c r="H2102" s="86">
        <v>470.75</v>
      </c>
      <c r="I2102" s="86">
        <v>470.75</v>
      </c>
      <c r="J2102" s="85" t="s">
        <v>8500</v>
      </c>
      <c r="K2102" s="85" t="s">
        <v>9083</v>
      </c>
      <c r="L2102" s="85" t="s">
        <v>4135</v>
      </c>
      <c r="M2102" s="85" t="s">
        <v>9084</v>
      </c>
    </row>
    <row r="2103" ht="213.75" spans="1:13">
      <c r="A2103" s="85" t="s">
        <v>9085</v>
      </c>
      <c r="B2103" s="85" t="s">
        <v>9086</v>
      </c>
      <c r="C2103" s="85" t="s">
        <v>9087</v>
      </c>
      <c r="D2103" s="85" t="s">
        <v>4182</v>
      </c>
      <c r="E2103" s="85" t="s">
        <v>9088</v>
      </c>
      <c r="F2103" s="86">
        <v>3929.04</v>
      </c>
      <c r="G2103" s="86">
        <v>1</v>
      </c>
      <c r="H2103" s="86">
        <v>3929.04</v>
      </c>
      <c r="I2103" s="86">
        <v>3929.04</v>
      </c>
      <c r="J2103" s="85" t="s">
        <v>4391</v>
      </c>
      <c r="K2103" s="85" t="s">
        <v>9089</v>
      </c>
      <c r="L2103" s="85" t="s">
        <v>4135</v>
      </c>
      <c r="M2103" s="85" t="s">
        <v>9090</v>
      </c>
    </row>
    <row r="2104" ht="213.75" spans="1:13">
      <c r="A2104" s="85" t="s">
        <v>9091</v>
      </c>
      <c r="B2104" s="85" t="s">
        <v>3915</v>
      </c>
      <c r="C2104" s="85" t="s">
        <v>3916</v>
      </c>
      <c r="D2104" s="85" t="s">
        <v>3068</v>
      </c>
      <c r="E2104" s="85" t="s">
        <v>3069</v>
      </c>
      <c r="F2104" s="86">
        <v>242.78</v>
      </c>
      <c r="G2104" s="86">
        <v>3</v>
      </c>
      <c r="H2104" s="86">
        <v>728.34</v>
      </c>
      <c r="I2104" s="86">
        <v>728.34</v>
      </c>
      <c r="J2104" s="85" t="s">
        <v>4391</v>
      </c>
      <c r="K2104" s="85" t="s">
        <v>9089</v>
      </c>
      <c r="L2104" s="85" t="s">
        <v>4135</v>
      </c>
      <c r="M2104" s="85" t="s">
        <v>9092</v>
      </c>
    </row>
    <row r="2105" ht="213.75" spans="1:13">
      <c r="A2105" s="85" t="s">
        <v>9093</v>
      </c>
      <c r="B2105" s="85" t="s">
        <v>9094</v>
      </c>
      <c r="C2105" s="85" t="s">
        <v>9095</v>
      </c>
      <c r="D2105" s="85" t="s">
        <v>4886</v>
      </c>
      <c r="E2105" s="85" t="s">
        <v>4887</v>
      </c>
      <c r="F2105" s="86">
        <v>4750</v>
      </c>
      <c r="G2105" s="86">
        <v>1</v>
      </c>
      <c r="H2105" s="86">
        <v>4750</v>
      </c>
      <c r="I2105" s="86">
        <v>4750</v>
      </c>
      <c r="J2105" s="85" t="s">
        <v>4391</v>
      </c>
      <c r="K2105" s="85" t="s">
        <v>9089</v>
      </c>
      <c r="L2105" s="85" t="s">
        <v>4135</v>
      </c>
      <c r="M2105" s="85" t="s">
        <v>9096</v>
      </c>
    </row>
    <row r="2106" ht="213.75" spans="1:13">
      <c r="A2106" s="85" t="s">
        <v>9097</v>
      </c>
      <c r="B2106" s="85" t="s">
        <v>9098</v>
      </c>
      <c r="C2106" s="85" t="s">
        <v>9099</v>
      </c>
      <c r="D2106" s="85" t="s">
        <v>2973</v>
      </c>
      <c r="E2106" s="85" t="s">
        <v>9100</v>
      </c>
      <c r="F2106" s="86">
        <v>429.27</v>
      </c>
      <c r="G2106" s="86">
        <v>1</v>
      </c>
      <c r="H2106" s="86">
        <v>429.27</v>
      </c>
      <c r="I2106" s="86">
        <v>429.27</v>
      </c>
      <c r="J2106" s="85" t="s">
        <v>4391</v>
      </c>
      <c r="K2106" s="85" t="s">
        <v>9089</v>
      </c>
      <c r="L2106" s="85" t="s">
        <v>4135</v>
      </c>
      <c r="M2106" s="85" t="s">
        <v>9101</v>
      </c>
    </row>
    <row r="2107" ht="213.75" spans="1:13">
      <c r="A2107" s="85" t="s">
        <v>9102</v>
      </c>
      <c r="B2107" s="85" t="s">
        <v>4236</v>
      </c>
      <c r="C2107" s="85" t="s">
        <v>4237</v>
      </c>
      <c r="D2107" s="85" t="s">
        <v>3014</v>
      </c>
      <c r="E2107" s="85" t="s">
        <v>4238</v>
      </c>
      <c r="F2107" s="86">
        <v>28.5</v>
      </c>
      <c r="G2107" s="86">
        <v>5</v>
      </c>
      <c r="H2107" s="86">
        <v>142.5</v>
      </c>
      <c r="I2107" s="86">
        <v>1132.5</v>
      </c>
      <c r="J2107" s="85" t="s">
        <v>2935</v>
      </c>
      <c r="K2107" s="85" t="s">
        <v>9103</v>
      </c>
      <c r="L2107" s="85" t="s">
        <v>4135</v>
      </c>
      <c r="M2107" s="85" t="s">
        <v>9104</v>
      </c>
    </row>
    <row r="2108" ht="213.75" spans="1:13">
      <c r="A2108" s="85" t="s">
        <v>9105</v>
      </c>
      <c r="B2108" s="85" t="s">
        <v>9106</v>
      </c>
      <c r="C2108" s="85" t="s">
        <v>9107</v>
      </c>
      <c r="D2108" s="85" t="s">
        <v>2973</v>
      </c>
      <c r="E2108" s="85" t="s">
        <v>9108</v>
      </c>
      <c r="F2108" s="86">
        <v>1398</v>
      </c>
      <c r="G2108" s="86">
        <v>1</v>
      </c>
      <c r="H2108" s="86">
        <v>1398</v>
      </c>
      <c r="I2108" s="86">
        <v>1838</v>
      </c>
      <c r="J2108" s="85" t="s">
        <v>2935</v>
      </c>
      <c r="K2108" s="85" t="s">
        <v>9103</v>
      </c>
      <c r="L2108" s="85" t="s">
        <v>4135</v>
      </c>
      <c r="M2108" s="85" t="s">
        <v>9109</v>
      </c>
    </row>
    <row r="2109" ht="213.75" spans="1:13">
      <c r="A2109" s="85" t="s">
        <v>9105</v>
      </c>
      <c r="B2109" s="85" t="s">
        <v>9110</v>
      </c>
      <c r="C2109" s="85" t="s">
        <v>9111</v>
      </c>
      <c r="D2109" s="85" t="s">
        <v>3579</v>
      </c>
      <c r="E2109" s="85" t="s">
        <v>5737</v>
      </c>
      <c r="F2109" s="86">
        <v>145</v>
      </c>
      <c r="G2109" s="86">
        <v>2</v>
      </c>
      <c r="H2109" s="86">
        <v>290</v>
      </c>
      <c r="I2109" s="86">
        <v>1838</v>
      </c>
      <c r="J2109" s="85" t="s">
        <v>2935</v>
      </c>
      <c r="K2109" s="85" t="s">
        <v>9103</v>
      </c>
      <c r="L2109" s="85" t="s">
        <v>4135</v>
      </c>
      <c r="M2109" s="85" t="s">
        <v>9112</v>
      </c>
    </row>
    <row r="2110" ht="213.75" spans="1:13">
      <c r="A2110" s="85" t="s">
        <v>9102</v>
      </c>
      <c r="B2110" s="85" t="s">
        <v>9113</v>
      </c>
      <c r="C2110" s="85" t="s">
        <v>9114</v>
      </c>
      <c r="D2110" s="85" t="s">
        <v>2977</v>
      </c>
      <c r="E2110" s="85" t="s">
        <v>9115</v>
      </c>
      <c r="F2110" s="86">
        <v>495</v>
      </c>
      <c r="G2110" s="86">
        <v>2</v>
      </c>
      <c r="H2110" s="86">
        <v>990</v>
      </c>
      <c r="I2110" s="86">
        <v>1132.5</v>
      </c>
      <c r="J2110" s="85" t="s">
        <v>2935</v>
      </c>
      <c r="K2110" s="85" t="s">
        <v>9103</v>
      </c>
      <c r="L2110" s="85" t="s">
        <v>4135</v>
      </c>
      <c r="M2110" s="85" t="s">
        <v>9116</v>
      </c>
    </row>
    <row r="2111" ht="213.75" spans="1:13">
      <c r="A2111" s="85" t="s">
        <v>9105</v>
      </c>
      <c r="B2111" s="85" t="s">
        <v>9117</v>
      </c>
      <c r="C2111" s="85" t="s">
        <v>9118</v>
      </c>
      <c r="D2111" s="85" t="s">
        <v>3014</v>
      </c>
      <c r="E2111" s="85" t="s">
        <v>9118</v>
      </c>
      <c r="F2111" s="86">
        <v>3</v>
      </c>
      <c r="G2111" s="86">
        <v>50</v>
      </c>
      <c r="H2111" s="86">
        <v>150</v>
      </c>
      <c r="I2111" s="86">
        <v>1838</v>
      </c>
      <c r="J2111" s="85" t="s">
        <v>2935</v>
      </c>
      <c r="K2111" s="85" t="s">
        <v>9103</v>
      </c>
      <c r="L2111" s="85" t="s">
        <v>4135</v>
      </c>
      <c r="M2111" s="85" t="s">
        <v>9119</v>
      </c>
    </row>
    <row r="2112" ht="213.75" spans="1:13">
      <c r="A2112" s="85" t="s">
        <v>9120</v>
      </c>
      <c r="B2112" s="85" t="s">
        <v>7082</v>
      </c>
      <c r="C2112" s="85" t="s">
        <v>7083</v>
      </c>
      <c r="D2112" s="85" t="s">
        <v>7084</v>
      </c>
      <c r="E2112" s="85" t="s">
        <v>7083</v>
      </c>
      <c r="F2112" s="86">
        <v>1480000</v>
      </c>
      <c r="G2112" s="86">
        <v>1</v>
      </c>
      <c r="H2112" s="86">
        <v>1480000</v>
      </c>
      <c r="I2112" s="86">
        <v>1480000</v>
      </c>
      <c r="J2112" s="85" t="s">
        <v>7085</v>
      </c>
      <c r="K2112" s="85" t="s">
        <v>9121</v>
      </c>
      <c r="L2112" s="85" t="s">
        <v>6980</v>
      </c>
      <c r="M2112" s="85" t="s">
        <v>9122</v>
      </c>
    </row>
    <row r="2113" ht="213.75" spans="1:13">
      <c r="A2113" s="85" t="s">
        <v>9123</v>
      </c>
      <c r="B2113" s="85" t="s">
        <v>3063</v>
      </c>
      <c r="C2113" s="85" t="s">
        <v>3064</v>
      </c>
      <c r="D2113" s="85" t="s">
        <v>2992</v>
      </c>
      <c r="E2113" s="85" t="s">
        <v>1815</v>
      </c>
      <c r="F2113" s="86">
        <v>5.3</v>
      </c>
      <c r="G2113" s="86">
        <v>600</v>
      </c>
      <c r="H2113" s="86">
        <v>3180</v>
      </c>
      <c r="I2113" s="86">
        <v>15350</v>
      </c>
      <c r="J2113" s="85" t="s">
        <v>2958</v>
      </c>
      <c r="K2113" s="85" t="s">
        <v>9124</v>
      </c>
      <c r="L2113" s="85" t="s">
        <v>4135</v>
      </c>
      <c r="M2113" s="85" t="s">
        <v>9125</v>
      </c>
    </row>
    <row r="2114" ht="213.75" spans="1:13">
      <c r="A2114" s="85" t="s">
        <v>9123</v>
      </c>
      <c r="B2114" s="85" t="s">
        <v>2990</v>
      </c>
      <c r="C2114" s="85" t="s">
        <v>2991</v>
      </c>
      <c r="D2114" s="85" t="s">
        <v>2992</v>
      </c>
      <c r="E2114" s="85" t="s">
        <v>1815</v>
      </c>
      <c r="F2114" s="86">
        <v>46.5</v>
      </c>
      <c r="G2114" s="86">
        <v>60</v>
      </c>
      <c r="H2114" s="86">
        <v>2790</v>
      </c>
      <c r="I2114" s="86">
        <v>15350</v>
      </c>
      <c r="J2114" s="85" t="s">
        <v>2958</v>
      </c>
      <c r="K2114" s="85" t="s">
        <v>9124</v>
      </c>
      <c r="L2114" s="85" t="s">
        <v>4135</v>
      </c>
      <c r="M2114" s="85" t="s">
        <v>9126</v>
      </c>
    </row>
    <row r="2115" ht="213.75" spans="1:13">
      <c r="A2115" s="85" t="s">
        <v>9123</v>
      </c>
      <c r="B2115" s="85" t="s">
        <v>3077</v>
      </c>
      <c r="C2115" s="85" t="s">
        <v>3078</v>
      </c>
      <c r="D2115" s="85" t="s">
        <v>2992</v>
      </c>
      <c r="E2115" s="85" t="s">
        <v>1815</v>
      </c>
      <c r="F2115" s="86">
        <v>36.5</v>
      </c>
      <c r="G2115" s="86">
        <v>160</v>
      </c>
      <c r="H2115" s="86">
        <v>5840</v>
      </c>
      <c r="I2115" s="86">
        <v>15350</v>
      </c>
      <c r="J2115" s="85" t="s">
        <v>2958</v>
      </c>
      <c r="K2115" s="85" t="s">
        <v>9124</v>
      </c>
      <c r="L2115" s="85" t="s">
        <v>4135</v>
      </c>
      <c r="M2115" s="85" t="s">
        <v>9127</v>
      </c>
    </row>
    <row r="2116" ht="213.75" spans="1:13">
      <c r="A2116" s="85" t="s">
        <v>9123</v>
      </c>
      <c r="B2116" s="85" t="s">
        <v>3500</v>
      </c>
      <c r="C2116" s="85" t="s">
        <v>3501</v>
      </c>
      <c r="D2116" s="85" t="s">
        <v>2992</v>
      </c>
      <c r="E2116" s="85" t="s">
        <v>1815</v>
      </c>
      <c r="F2116" s="86">
        <v>17.7</v>
      </c>
      <c r="G2116" s="86">
        <v>200</v>
      </c>
      <c r="H2116" s="86">
        <v>3540</v>
      </c>
      <c r="I2116" s="86">
        <v>15350</v>
      </c>
      <c r="J2116" s="85" t="s">
        <v>2958</v>
      </c>
      <c r="K2116" s="85" t="s">
        <v>9124</v>
      </c>
      <c r="L2116" s="85" t="s">
        <v>4135</v>
      </c>
      <c r="M2116" s="85" t="s">
        <v>9128</v>
      </c>
    </row>
    <row r="2117" ht="213.75" spans="1:13">
      <c r="A2117" s="85" t="s">
        <v>9129</v>
      </c>
      <c r="B2117" s="85" t="s">
        <v>8095</v>
      </c>
      <c r="C2117" s="85" t="s">
        <v>8096</v>
      </c>
      <c r="D2117" s="85" t="s">
        <v>2956</v>
      </c>
      <c r="E2117" s="85" t="s">
        <v>8096</v>
      </c>
      <c r="F2117" s="86">
        <v>4464</v>
      </c>
      <c r="G2117" s="86">
        <v>2</v>
      </c>
      <c r="H2117" s="86">
        <v>8928</v>
      </c>
      <c r="I2117" s="86">
        <v>8928</v>
      </c>
      <c r="J2117" s="85" t="s">
        <v>2965</v>
      </c>
      <c r="K2117" s="85" t="s">
        <v>9130</v>
      </c>
      <c r="L2117" s="85" t="s">
        <v>4135</v>
      </c>
      <c r="M2117" s="85" t="s">
        <v>9131</v>
      </c>
    </row>
    <row r="2118" ht="213.75" spans="1:13">
      <c r="A2118" s="85" t="s">
        <v>9132</v>
      </c>
      <c r="B2118" s="85" t="s">
        <v>9133</v>
      </c>
      <c r="C2118" s="85" t="s">
        <v>9134</v>
      </c>
      <c r="D2118" s="85" t="s">
        <v>8767</v>
      </c>
      <c r="E2118" s="85" t="s">
        <v>3050</v>
      </c>
      <c r="F2118" s="86">
        <v>5.6</v>
      </c>
      <c r="G2118" s="86">
        <v>100</v>
      </c>
      <c r="H2118" s="86">
        <v>560</v>
      </c>
      <c r="I2118" s="86">
        <v>2474</v>
      </c>
      <c r="J2118" s="85" t="s">
        <v>9135</v>
      </c>
      <c r="K2118" s="85" t="s">
        <v>9136</v>
      </c>
      <c r="L2118" s="85" t="s">
        <v>4135</v>
      </c>
      <c r="M2118" s="85" t="s">
        <v>9137</v>
      </c>
    </row>
    <row r="2119" ht="213.75" spans="1:13">
      <c r="A2119" s="85" t="s">
        <v>9132</v>
      </c>
      <c r="B2119" s="85" t="s">
        <v>9138</v>
      </c>
      <c r="C2119" s="85" t="s">
        <v>9139</v>
      </c>
      <c r="D2119" s="85" t="s">
        <v>9140</v>
      </c>
      <c r="E2119" s="85" t="s">
        <v>3209</v>
      </c>
      <c r="F2119" s="86">
        <v>6.38</v>
      </c>
      <c r="G2119" s="86">
        <v>300</v>
      </c>
      <c r="H2119" s="86">
        <v>1914</v>
      </c>
      <c r="I2119" s="86">
        <v>2474</v>
      </c>
      <c r="J2119" s="85" t="s">
        <v>9135</v>
      </c>
      <c r="K2119" s="85" t="s">
        <v>9136</v>
      </c>
      <c r="L2119" s="85" t="s">
        <v>4135</v>
      </c>
      <c r="M2119" s="85" t="s">
        <v>9141</v>
      </c>
    </row>
    <row r="2120" ht="213.75" spans="1:13">
      <c r="A2120" s="85" t="s">
        <v>9142</v>
      </c>
      <c r="B2120" s="85" t="s">
        <v>9143</v>
      </c>
      <c r="C2120" s="85" t="s">
        <v>9144</v>
      </c>
      <c r="D2120" s="85" t="s">
        <v>2973</v>
      </c>
      <c r="E2120" s="85" t="s">
        <v>9144</v>
      </c>
      <c r="F2120" s="86">
        <v>439.76</v>
      </c>
      <c r="G2120" s="86">
        <v>2</v>
      </c>
      <c r="H2120" s="86">
        <v>879.52</v>
      </c>
      <c r="I2120" s="86">
        <v>17647.1</v>
      </c>
      <c r="J2120" s="85" t="s">
        <v>4391</v>
      </c>
      <c r="K2120" s="85" t="s">
        <v>9145</v>
      </c>
      <c r="L2120" s="85" t="s">
        <v>4135</v>
      </c>
      <c r="M2120" s="85" t="s">
        <v>9146</v>
      </c>
    </row>
    <row r="2121" ht="213.75" spans="1:13">
      <c r="A2121" s="85" t="s">
        <v>9142</v>
      </c>
      <c r="B2121" s="85" t="s">
        <v>8827</v>
      </c>
      <c r="C2121" s="85" t="s">
        <v>8828</v>
      </c>
      <c r="D2121" s="85" t="s">
        <v>3197</v>
      </c>
      <c r="E2121" s="85" t="s">
        <v>6876</v>
      </c>
      <c r="F2121" s="86">
        <v>61.1</v>
      </c>
      <c r="G2121" s="86">
        <v>5</v>
      </c>
      <c r="H2121" s="86">
        <v>305.5</v>
      </c>
      <c r="I2121" s="86">
        <v>17647.1</v>
      </c>
      <c r="J2121" s="85" t="s">
        <v>4391</v>
      </c>
      <c r="K2121" s="85" t="s">
        <v>9145</v>
      </c>
      <c r="L2121" s="85" t="s">
        <v>4135</v>
      </c>
      <c r="M2121" s="85" t="s">
        <v>9147</v>
      </c>
    </row>
    <row r="2122" ht="213.75" spans="1:13">
      <c r="A2122" s="85" t="s">
        <v>9142</v>
      </c>
      <c r="B2122" s="85" t="s">
        <v>6950</v>
      </c>
      <c r="C2122" s="85" t="s">
        <v>6951</v>
      </c>
      <c r="D2122" s="85" t="s">
        <v>4182</v>
      </c>
      <c r="E2122" s="85" t="s">
        <v>6952</v>
      </c>
      <c r="F2122" s="86">
        <v>1.8</v>
      </c>
      <c r="G2122" s="86">
        <v>100</v>
      </c>
      <c r="H2122" s="86">
        <v>180</v>
      </c>
      <c r="I2122" s="86">
        <v>17647.1</v>
      </c>
      <c r="J2122" s="85" t="s">
        <v>4391</v>
      </c>
      <c r="K2122" s="85" t="s">
        <v>9145</v>
      </c>
      <c r="L2122" s="85" t="s">
        <v>4135</v>
      </c>
      <c r="M2122" s="85" t="s">
        <v>9148</v>
      </c>
    </row>
    <row r="2123" ht="213.75" spans="1:13">
      <c r="A2123" s="85" t="s">
        <v>9142</v>
      </c>
      <c r="B2123" s="85" t="s">
        <v>9149</v>
      </c>
      <c r="C2123" s="85" t="s">
        <v>9150</v>
      </c>
      <c r="D2123" s="85" t="s">
        <v>3543</v>
      </c>
      <c r="E2123" s="85" t="s">
        <v>9151</v>
      </c>
      <c r="F2123" s="86">
        <v>11.36</v>
      </c>
      <c r="G2123" s="86">
        <v>10</v>
      </c>
      <c r="H2123" s="86">
        <v>113.6</v>
      </c>
      <c r="I2123" s="86">
        <v>17647.1</v>
      </c>
      <c r="J2123" s="85" t="s">
        <v>4391</v>
      </c>
      <c r="K2123" s="85" t="s">
        <v>9145</v>
      </c>
      <c r="L2123" s="85" t="s">
        <v>4135</v>
      </c>
      <c r="M2123" s="85" t="s">
        <v>9152</v>
      </c>
    </row>
    <row r="2124" ht="213.75" spans="1:13">
      <c r="A2124" s="85" t="s">
        <v>9142</v>
      </c>
      <c r="B2124" s="85" t="s">
        <v>9153</v>
      </c>
      <c r="C2124" s="85" t="s">
        <v>9154</v>
      </c>
      <c r="D2124" s="85" t="s">
        <v>2973</v>
      </c>
      <c r="E2124" s="85" t="s">
        <v>9108</v>
      </c>
      <c r="F2124" s="86">
        <v>195</v>
      </c>
      <c r="G2124" s="86">
        <v>5</v>
      </c>
      <c r="H2124" s="86">
        <v>975</v>
      </c>
      <c r="I2124" s="86">
        <v>17647.1</v>
      </c>
      <c r="J2124" s="85" t="s">
        <v>4391</v>
      </c>
      <c r="K2124" s="85" t="s">
        <v>9145</v>
      </c>
      <c r="L2124" s="85" t="s">
        <v>4135</v>
      </c>
      <c r="M2124" s="85" t="s">
        <v>9155</v>
      </c>
    </row>
    <row r="2125" ht="213.75" spans="1:13">
      <c r="A2125" s="85" t="s">
        <v>9142</v>
      </c>
      <c r="B2125" s="85" t="s">
        <v>9156</v>
      </c>
      <c r="C2125" s="85" t="s">
        <v>9157</v>
      </c>
      <c r="D2125" s="85" t="s">
        <v>8063</v>
      </c>
      <c r="E2125" s="85" t="s">
        <v>9157</v>
      </c>
      <c r="F2125" s="86">
        <v>573.85</v>
      </c>
      <c r="G2125" s="86">
        <v>1</v>
      </c>
      <c r="H2125" s="86">
        <v>573.85</v>
      </c>
      <c r="I2125" s="86">
        <v>17647.1</v>
      </c>
      <c r="J2125" s="85" t="s">
        <v>4391</v>
      </c>
      <c r="K2125" s="85" t="s">
        <v>9145</v>
      </c>
      <c r="L2125" s="85" t="s">
        <v>4135</v>
      </c>
      <c r="M2125" s="85" t="s">
        <v>9158</v>
      </c>
    </row>
    <row r="2126" ht="213.75" spans="1:13">
      <c r="A2126" s="85" t="s">
        <v>9142</v>
      </c>
      <c r="B2126" s="85" t="s">
        <v>9159</v>
      </c>
      <c r="C2126" s="85" t="s">
        <v>9160</v>
      </c>
      <c r="D2126" s="85" t="s">
        <v>2973</v>
      </c>
      <c r="E2126" s="85" t="s">
        <v>9161</v>
      </c>
      <c r="F2126" s="86">
        <v>546.56</v>
      </c>
      <c r="G2126" s="86">
        <v>6</v>
      </c>
      <c r="H2126" s="86">
        <v>3279.36</v>
      </c>
      <c r="I2126" s="86">
        <v>17647.1</v>
      </c>
      <c r="J2126" s="85" t="s">
        <v>4391</v>
      </c>
      <c r="K2126" s="85" t="s">
        <v>9145</v>
      </c>
      <c r="L2126" s="85" t="s">
        <v>4135</v>
      </c>
      <c r="M2126" s="85" t="s">
        <v>9162</v>
      </c>
    </row>
    <row r="2127" ht="213.75" spans="1:13">
      <c r="A2127" s="85" t="s">
        <v>9142</v>
      </c>
      <c r="B2127" s="85" t="s">
        <v>8429</v>
      </c>
      <c r="C2127" s="85" t="s">
        <v>8430</v>
      </c>
      <c r="D2127" s="85" t="s">
        <v>3153</v>
      </c>
      <c r="E2127" s="85" t="s">
        <v>8431</v>
      </c>
      <c r="F2127" s="86">
        <v>149.98</v>
      </c>
      <c r="G2127" s="86">
        <v>4</v>
      </c>
      <c r="H2127" s="86">
        <v>599.92</v>
      </c>
      <c r="I2127" s="86">
        <v>17647.1</v>
      </c>
      <c r="J2127" s="85" t="s">
        <v>4391</v>
      </c>
      <c r="K2127" s="85" t="s">
        <v>9145</v>
      </c>
      <c r="L2127" s="85" t="s">
        <v>4135</v>
      </c>
      <c r="M2127" s="85" t="s">
        <v>9163</v>
      </c>
    </row>
    <row r="2128" ht="213.75" spans="1:13">
      <c r="A2128" s="85" t="s">
        <v>9142</v>
      </c>
      <c r="B2128" s="85" t="s">
        <v>9164</v>
      </c>
      <c r="C2128" s="85" t="s">
        <v>9165</v>
      </c>
      <c r="D2128" s="85" t="s">
        <v>3014</v>
      </c>
      <c r="E2128" s="85" t="s">
        <v>9165</v>
      </c>
      <c r="F2128" s="86">
        <v>57.5</v>
      </c>
      <c r="G2128" s="86">
        <v>2</v>
      </c>
      <c r="H2128" s="86">
        <v>115</v>
      </c>
      <c r="I2128" s="86">
        <v>17647.1</v>
      </c>
      <c r="J2128" s="85" t="s">
        <v>4391</v>
      </c>
      <c r="K2128" s="85" t="s">
        <v>9145</v>
      </c>
      <c r="L2128" s="85" t="s">
        <v>4135</v>
      </c>
      <c r="M2128" s="85" t="s">
        <v>9166</v>
      </c>
    </row>
    <row r="2129" ht="213.75" spans="1:13">
      <c r="A2129" s="85" t="s">
        <v>9142</v>
      </c>
      <c r="B2129" s="85" t="s">
        <v>9167</v>
      </c>
      <c r="C2129" s="85" t="s">
        <v>9168</v>
      </c>
      <c r="D2129" s="85" t="s">
        <v>5066</v>
      </c>
      <c r="E2129" s="85" t="s">
        <v>5067</v>
      </c>
      <c r="F2129" s="86">
        <v>38.96</v>
      </c>
      <c r="G2129" s="86">
        <v>6</v>
      </c>
      <c r="H2129" s="86">
        <v>233.76</v>
      </c>
      <c r="I2129" s="86">
        <v>17647.1</v>
      </c>
      <c r="J2129" s="85" t="s">
        <v>4391</v>
      </c>
      <c r="K2129" s="85" t="s">
        <v>9145</v>
      </c>
      <c r="L2129" s="85" t="s">
        <v>4135</v>
      </c>
      <c r="M2129" s="85" t="s">
        <v>9169</v>
      </c>
    </row>
    <row r="2130" ht="213.75" spans="1:13">
      <c r="A2130" s="85" t="s">
        <v>9142</v>
      </c>
      <c r="B2130" s="85" t="s">
        <v>9170</v>
      </c>
      <c r="C2130" s="85" t="s">
        <v>9171</v>
      </c>
      <c r="D2130" s="85" t="s">
        <v>3153</v>
      </c>
      <c r="E2130" s="85" t="s">
        <v>7689</v>
      </c>
      <c r="F2130" s="86">
        <v>70.76</v>
      </c>
      <c r="G2130" s="86">
        <v>5</v>
      </c>
      <c r="H2130" s="86">
        <v>353.8</v>
      </c>
      <c r="I2130" s="86">
        <v>17647.1</v>
      </c>
      <c r="J2130" s="85" t="s">
        <v>4391</v>
      </c>
      <c r="K2130" s="85" t="s">
        <v>9145</v>
      </c>
      <c r="L2130" s="85" t="s">
        <v>4135</v>
      </c>
      <c r="M2130" s="85" t="s">
        <v>9172</v>
      </c>
    </row>
    <row r="2131" ht="213.75" spans="1:13">
      <c r="A2131" s="85" t="s">
        <v>9142</v>
      </c>
      <c r="B2131" s="85" t="s">
        <v>9173</v>
      </c>
      <c r="C2131" s="85" t="s">
        <v>9174</v>
      </c>
      <c r="D2131" s="85" t="s">
        <v>3367</v>
      </c>
      <c r="E2131" s="85" t="s">
        <v>9174</v>
      </c>
      <c r="F2131" s="86">
        <v>12</v>
      </c>
      <c r="G2131" s="86">
        <v>3</v>
      </c>
      <c r="H2131" s="86">
        <v>36</v>
      </c>
      <c r="I2131" s="86">
        <v>17647.1</v>
      </c>
      <c r="J2131" s="85" t="s">
        <v>4391</v>
      </c>
      <c r="K2131" s="85" t="s">
        <v>9145</v>
      </c>
      <c r="L2131" s="85" t="s">
        <v>4135</v>
      </c>
      <c r="M2131" s="85" t="s">
        <v>9175</v>
      </c>
    </row>
    <row r="2132" ht="213.75" spans="1:13">
      <c r="A2132" s="85" t="s">
        <v>9142</v>
      </c>
      <c r="B2132" s="85" t="s">
        <v>9176</v>
      </c>
      <c r="C2132" s="85" t="s">
        <v>9177</v>
      </c>
      <c r="D2132" s="85" t="s">
        <v>2973</v>
      </c>
      <c r="E2132" s="85" t="s">
        <v>9178</v>
      </c>
      <c r="F2132" s="86">
        <v>82.8</v>
      </c>
      <c r="G2132" s="86">
        <v>3</v>
      </c>
      <c r="H2132" s="86">
        <v>248.4</v>
      </c>
      <c r="I2132" s="86">
        <v>17647.1</v>
      </c>
      <c r="J2132" s="85" t="s">
        <v>4391</v>
      </c>
      <c r="K2132" s="85" t="s">
        <v>9145</v>
      </c>
      <c r="L2132" s="85" t="s">
        <v>4135</v>
      </c>
      <c r="M2132" s="85" t="s">
        <v>9179</v>
      </c>
    </row>
    <row r="2133" ht="228" spans="1:13">
      <c r="A2133" s="85" t="s">
        <v>9142</v>
      </c>
      <c r="B2133" s="85" t="s">
        <v>9180</v>
      </c>
      <c r="C2133" s="85" t="s">
        <v>9181</v>
      </c>
      <c r="D2133" s="85" t="s">
        <v>3014</v>
      </c>
      <c r="E2133" s="85" t="s">
        <v>5842</v>
      </c>
      <c r="F2133" s="86">
        <v>32</v>
      </c>
      <c r="G2133" s="86">
        <v>5</v>
      </c>
      <c r="H2133" s="86">
        <v>160</v>
      </c>
      <c r="I2133" s="86">
        <v>17647.1</v>
      </c>
      <c r="J2133" s="85" t="s">
        <v>4391</v>
      </c>
      <c r="K2133" s="85" t="s">
        <v>9145</v>
      </c>
      <c r="L2133" s="85" t="s">
        <v>4135</v>
      </c>
      <c r="M2133" s="85" t="s">
        <v>9182</v>
      </c>
    </row>
    <row r="2134" ht="213.75" spans="1:13">
      <c r="A2134" s="85" t="s">
        <v>9142</v>
      </c>
      <c r="B2134" s="85" t="s">
        <v>9183</v>
      </c>
      <c r="C2134" s="85" t="s">
        <v>9184</v>
      </c>
      <c r="D2134" s="85" t="s">
        <v>5546</v>
      </c>
      <c r="E2134" s="85" t="s">
        <v>9184</v>
      </c>
      <c r="F2134" s="86">
        <v>7466.19</v>
      </c>
      <c r="G2134" s="86">
        <v>1</v>
      </c>
      <c r="H2134" s="86">
        <v>7466.19</v>
      </c>
      <c r="I2134" s="86">
        <v>17647.1</v>
      </c>
      <c r="J2134" s="85" t="s">
        <v>4391</v>
      </c>
      <c r="K2134" s="85" t="s">
        <v>9145</v>
      </c>
      <c r="L2134" s="85" t="s">
        <v>4135</v>
      </c>
      <c r="M2134" s="85" t="s">
        <v>9185</v>
      </c>
    </row>
    <row r="2135" ht="213.75" spans="1:13">
      <c r="A2135" s="85" t="s">
        <v>9142</v>
      </c>
      <c r="B2135" s="85" t="s">
        <v>9186</v>
      </c>
      <c r="C2135" s="85" t="s">
        <v>9187</v>
      </c>
      <c r="D2135" s="85" t="s">
        <v>4182</v>
      </c>
      <c r="E2135" s="85" t="s">
        <v>9188</v>
      </c>
      <c r="F2135" s="86">
        <v>643.1</v>
      </c>
      <c r="G2135" s="86">
        <v>2</v>
      </c>
      <c r="H2135" s="86">
        <v>1286.2</v>
      </c>
      <c r="I2135" s="86">
        <v>17647.1</v>
      </c>
      <c r="J2135" s="85" t="s">
        <v>4391</v>
      </c>
      <c r="K2135" s="85" t="s">
        <v>9145</v>
      </c>
      <c r="L2135" s="85" t="s">
        <v>4135</v>
      </c>
      <c r="M2135" s="85" t="s">
        <v>9189</v>
      </c>
    </row>
    <row r="2136" ht="213.75" spans="1:13">
      <c r="A2136" s="85" t="s">
        <v>9142</v>
      </c>
      <c r="B2136" s="85" t="s">
        <v>9190</v>
      </c>
      <c r="C2136" s="85" t="s">
        <v>9191</v>
      </c>
      <c r="D2136" s="85" t="s">
        <v>2973</v>
      </c>
      <c r="E2136" s="85" t="s">
        <v>9108</v>
      </c>
      <c r="F2136" s="86">
        <v>841</v>
      </c>
      <c r="G2136" s="86">
        <v>1</v>
      </c>
      <c r="H2136" s="86">
        <v>841</v>
      </c>
      <c r="I2136" s="86">
        <v>17647.1</v>
      </c>
      <c r="J2136" s="85" t="s">
        <v>4391</v>
      </c>
      <c r="K2136" s="85" t="s">
        <v>9145</v>
      </c>
      <c r="L2136" s="85" t="s">
        <v>4135</v>
      </c>
      <c r="M2136" s="85" t="s">
        <v>9192</v>
      </c>
    </row>
    <row r="2137" ht="213.75" spans="1:13">
      <c r="A2137" s="85" t="s">
        <v>9193</v>
      </c>
      <c r="B2137" s="85" t="s">
        <v>9194</v>
      </c>
      <c r="C2137" s="85" t="s">
        <v>9195</v>
      </c>
      <c r="D2137" s="85" t="s">
        <v>3054</v>
      </c>
      <c r="E2137" s="85" t="s">
        <v>4269</v>
      </c>
      <c r="F2137" s="86">
        <v>53</v>
      </c>
      <c r="G2137" s="86">
        <v>6</v>
      </c>
      <c r="H2137" s="86">
        <v>318</v>
      </c>
      <c r="I2137" s="86">
        <v>6736.01</v>
      </c>
      <c r="J2137" s="85" t="s">
        <v>2935</v>
      </c>
      <c r="K2137" s="85" t="s">
        <v>9196</v>
      </c>
      <c r="L2137" s="85" t="s">
        <v>4135</v>
      </c>
      <c r="M2137" s="85" t="s">
        <v>9197</v>
      </c>
    </row>
    <row r="2138" ht="213.75" spans="1:13">
      <c r="A2138" s="85" t="s">
        <v>9193</v>
      </c>
      <c r="B2138" s="85" t="s">
        <v>8925</v>
      </c>
      <c r="C2138" s="85" t="s">
        <v>8926</v>
      </c>
      <c r="D2138" s="85" t="s">
        <v>5846</v>
      </c>
      <c r="E2138" s="85" t="s">
        <v>8351</v>
      </c>
      <c r="F2138" s="86">
        <v>55</v>
      </c>
      <c r="G2138" s="86">
        <v>15</v>
      </c>
      <c r="H2138" s="86">
        <v>825</v>
      </c>
      <c r="I2138" s="86">
        <v>6736.01</v>
      </c>
      <c r="J2138" s="85" t="s">
        <v>2935</v>
      </c>
      <c r="K2138" s="85" t="s">
        <v>9196</v>
      </c>
      <c r="L2138" s="85" t="s">
        <v>4135</v>
      </c>
      <c r="M2138" s="85" t="s">
        <v>9198</v>
      </c>
    </row>
    <row r="2139" ht="213.75" spans="1:13">
      <c r="A2139" s="85" t="s">
        <v>9199</v>
      </c>
      <c r="B2139" s="85" t="s">
        <v>8625</v>
      </c>
      <c r="C2139" s="85" t="s">
        <v>8626</v>
      </c>
      <c r="D2139" s="85" t="s">
        <v>3548</v>
      </c>
      <c r="E2139" s="85" t="s">
        <v>1835</v>
      </c>
      <c r="F2139" s="86">
        <v>365</v>
      </c>
      <c r="G2139" s="86">
        <v>8</v>
      </c>
      <c r="H2139" s="86">
        <v>2920</v>
      </c>
      <c r="I2139" s="86">
        <v>62410</v>
      </c>
      <c r="J2139" s="85" t="s">
        <v>2938</v>
      </c>
      <c r="K2139" s="85" t="s">
        <v>9196</v>
      </c>
      <c r="L2139" s="85" t="s">
        <v>4135</v>
      </c>
      <c r="M2139" s="85" t="s">
        <v>9200</v>
      </c>
    </row>
    <row r="2140" ht="213.75" spans="1:13">
      <c r="A2140" s="85" t="s">
        <v>9193</v>
      </c>
      <c r="B2140" s="85" t="s">
        <v>9015</v>
      </c>
      <c r="C2140" s="85" t="s">
        <v>9016</v>
      </c>
      <c r="D2140" s="85" t="s">
        <v>3189</v>
      </c>
      <c r="E2140" s="85" t="s">
        <v>9017</v>
      </c>
      <c r="F2140" s="86">
        <v>49.9</v>
      </c>
      <c r="G2140" s="86">
        <v>3</v>
      </c>
      <c r="H2140" s="86">
        <v>149.7</v>
      </c>
      <c r="I2140" s="86">
        <v>6736.01</v>
      </c>
      <c r="J2140" s="85" t="s">
        <v>2935</v>
      </c>
      <c r="K2140" s="85" t="s">
        <v>9196</v>
      </c>
      <c r="L2140" s="85" t="s">
        <v>4135</v>
      </c>
      <c r="M2140" s="85" t="s">
        <v>9201</v>
      </c>
    </row>
    <row r="2141" ht="213.75" spans="1:13">
      <c r="A2141" s="85" t="s">
        <v>9202</v>
      </c>
      <c r="B2141" s="85" t="s">
        <v>3788</v>
      </c>
      <c r="C2141" s="85" t="s">
        <v>3789</v>
      </c>
      <c r="D2141" s="85" t="s">
        <v>3189</v>
      </c>
      <c r="E2141" s="85" t="s">
        <v>3790</v>
      </c>
      <c r="F2141" s="86">
        <v>100</v>
      </c>
      <c r="G2141" s="86">
        <v>16</v>
      </c>
      <c r="H2141" s="86">
        <v>1600</v>
      </c>
      <c r="I2141" s="86">
        <v>1600</v>
      </c>
      <c r="J2141" s="85" t="s">
        <v>7934</v>
      </c>
      <c r="K2141" s="85" t="s">
        <v>9196</v>
      </c>
      <c r="L2141" s="85" t="s">
        <v>4135</v>
      </c>
      <c r="M2141" s="85" t="s">
        <v>9203</v>
      </c>
    </row>
    <row r="2142" ht="213.75" spans="1:13">
      <c r="A2142" s="85" t="s">
        <v>9204</v>
      </c>
      <c r="B2142" s="85" t="s">
        <v>7600</v>
      </c>
      <c r="C2142" s="85" t="s">
        <v>7601</v>
      </c>
      <c r="D2142" s="85" t="s">
        <v>3169</v>
      </c>
      <c r="E2142" s="85" t="s">
        <v>7602</v>
      </c>
      <c r="F2142" s="86">
        <v>15</v>
      </c>
      <c r="G2142" s="86">
        <v>150</v>
      </c>
      <c r="H2142" s="86">
        <v>2250</v>
      </c>
      <c r="I2142" s="86">
        <v>4680.5</v>
      </c>
      <c r="J2142" s="85" t="s">
        <v>4370</v>
      </c>
      <c r="K2142" s="85" t="s">
        <v>9196</v>
      </c>
      <c r="L2142" s="85" t="s">
        <v>4135</v>
      </c>
      <c r="M2142" s="85" t="s">
        <v>9205</v>
      </c>
    </row>
    <row r="2143" ht="213.75" spans="1:13">
      <c r="A2143" s="85" t="s">
        <v>9204</v>
      </c>
      <c r="B2143" s="85" t="s">
        <v>9206</v>
      </c>
      <c r="C2143" s="85" t="s">
        <v>9207</v>
      </c>
      <c r="D2143" s="85" t="s">
        <v>4195</v>
      </c>
      <c r="E2143" s="85" t="s">
        <v>4369</v>
      </c>
      <c r="F2143" s="86">
        <v>22</v>
      </c>
      <c r="G2143" s="86">
        <v>24</v>
      </c>
      <c r="H2143" s="86">
        <v>528</v>
      </c>
      <c r="I2143" s="86">
        <v>4680.5</v>
      </c>
      <c r="J2143" s="85" t="s">
        <v>4370</v>
      </c>
      <c r="K2143" s="85" t="s">
        <v>9196</v>
      </c>
      <c r="L2143" s="85" t="s">
        <v>4135</v>
      </c>
      <c r="M2143" s="85" t="s">
        <v>9208</v>
      </c>
    </row>
    <row r="2144" ht="213.75" spans="1:13">
      <c r="A2144" s="85" t="s">
        <v>9209</v>
      </c>
      <c r="B2144" s="85" t="s">
        <v>9210</v>
      </c>
      <c r="C2144" s="85" t="s">
        <v>9211</v>
      </c>
      <c r="D2144" s="85" t="s">
        <v>3189</v>
      </c>
      <c r="E2144" s="85" t="s">
        <v>9212</v>
      </c>
      <c r="F2144" s="86">
        <v>181.3</v>
      </c>
      <c r="G2144" s="86">
        <v>2</v>
      </c>
      <c r="H2144" s="86">
        <v>362.6</v>
      </c>
      <c r="I2144" s="86">
        <v>2788.1</v>
      </c>
      <c r="J2144" s="85" t="s">
        <v>4391</v>
      </c>
      <c r="K2144" s="85" t="s">
        <v>9196</v>
      </c>
      <c r="L2144" s="85" t="s">
        <v>4135</v>
      </c>
      <c r="M2144" s="85" t="s">
        <v>9213</v>
      </c>
    </row>
    <row r="2145" ht="213.75" spans="1:13">
      <c r="A2145" s="85" t="s">
        <v>9209</v>
      </c>
      <c r="B2145" s="85" t="s">
        <v>9214</v>
      </c>
      <c r="C2145" s="85" t="s">
        <v>9215</v>
      </c>
      <c r="D2145" s="85" t="s">
        <v>3907</v>
      </c>
      <c r="E2145" s="85" t="s">
        <v>6860</v>
      </c>
      <c r="F2145" s="86">
        <v>181.3</v>
      </c>
      <c r="G2145" s="86">
        <v>6</v>
      </c>
      <c r="H2145" s="86">
        <v>1087.8</v>
      </c>
      <c r="I2145" s="86">
        <v>2788.1</v>
      </c>
      <c r="J2145" s="85" t="s">
        <v>4391</v>
      </c>
      <c r="K2145" s="85" t="s">
        <v>9196</v>
      </c>
      <c r="L2145" s="85" t="s">
        <v>4135</v>
      </c>
      <c r="M2145" s="85" t="s">
        <v>9216</v>
      </c>
    </row>
    <row r="2146" ht="213.75" spans="1:13">
      <c r="A2146" s="85" t="s">
        <v>9193</v>
      </c>
      <c r="B2146" s="85" t="s">
        <v>9217</v>
      </c>
      <c r="C2146" s="85" t="s">
        <v>9218</v>
      </c>
      <c r="D2146" s="85" t="s">
        <v>3054</v>
      </c>
      <c r="E2146" s="85" t="s">
        <v>4269</v>
      </c>
      <c r="F2146" s="86">
        <v>30</v>
      </c>
      <c r="G2146" s="86">
        <v>6</v>
      </c>
      <c r="H2146" s="86">
        <v>180</v>
      </c>
      <c r="I2146" s="86">
        <v>6736.01</v>
      </c>
      <c r="J2146" s="85" t="s">
        <v>2935</v>
      </c>
      <c r="K2146" s="85" t="s">
        <v>9196</v>
      </c>
      <c r="L2146" s="85" t="s">
        <v>4135</v>
      </c>
      <c r="M2146" s="85" t="s">
        <v>9219</v>
      </c>
    </row>
    <row r="2147" ht="213.75" spans="1:13">
      <c r="A2147" s="85" t="s">
        <v>9193</v>
      </c>
      <c r="B2147" s="85" t="s">
        <v>9220</v>
      </c>
      <c r="C2147" s="85" t="s">
        <v>9221</v>
      </c>
      <c r="D2147" s="85" t="s">
        <v>6824</v>
      </c>
      <c r="E2147" s="85" t="s">
        <v>6825</v>
      </c>
      <c r="F2147" s="86">
        <v>238</v>
      </c>
      <c r="G2147" s="86">
        <v>12</v>
      </c>
      <c r="H2147" s="86">
        <v>2856</v>
      </c>
      <c r="I2147" s="86">
        <v>6736.01</v>
      </c>
      <c r="J2147" s="85" t="s">
        <v>2935</v>
      </c>
      <c r="K2147" s="85" t="s">
        <v>9196</v>
      </c>
      <c r="L2147" s="85" t="s">
        <v>4135</v>
      </c>
      <c r="M2147" s="85" t="s">
        <v>9222</v>
      </c>
    </row>
    <row r="2148" ht="213.75" spans="1:13">
      <c r="A2148" s="85" t="s">
        <v>9223</v>
      </c>
      <c r="B2148" s="85" t="s">
        <v>9224</v>
      </c>
      <c r="C2148" s="85" t="s">
        <v>9225</v>
      </c>
      <c r="D2148" s="85" t="s">
        <v>3201</v>
      </c>
      <c r="E2148" s="85" t="s">
        <v>3217</v>
      </c>
      <c r="F2148" s="86">
        <v>38</v>
      </c>
      <c r="G2148" s="86">
        <v>100</v>
      </c>
      <c r="H2148" s="86">
        <v>3800</v>
      </c>
      <c r="I2148" s="86">
        <v>3800</v>
      </c>
      <c r="J2148" s="85" t="s">
        <v>4391</v>
      </c>
      <c r="K2148" s="85" t="s">
        <v>9196</v>
      </c>
      <c r="L2148" s="85" t="s">
        <v>4135</v>
      </c>
      <c r="M2148" s="85" t="s">
        <v>9226</v>
      </c>
    </row>
    <row r="2149" ht="213.75" spans="1:13">
      <c r="A2149" s="85" t="s">
        <v>9193</v>
      </c>
      <c r="B2149" s="85" t="s">
        <v>5349</v>
      </c>
      <c r="C2149" s="85" t="s">
        <v>5350</v>
      </c>
      <c r="D2149" s="85" t="s">
        <v>3189</v>
      </c>
      <c r="E2149" s="85" t="s">
        <v>5351</v>
      </c>
      <c r="F2149" s="86">
        <v>19</v>
      </c>
      <c r="G2149" s="86">
        <v>21</v>
      </c>
      <c r="H2149" s="86">
        <v>399</v>
      </c>
      <c r="I2149" s="86">
        <v>6736.01</v>
      </c>
      <c r="J2149" s="85" t="s">
        <v>2935</v>
      </c>
      <c r="K2149" s="85" t="s">
        <v>9196</v>
      </c>
      <c r="L2149" s="85" t="s">
        <v>4135</v>
      </c>
      <c r="M2149" s="85" t="s">
        <v>9227</v>
      </c>
    </row>
    <row r="2150" ht="213.75" spans="1:13">
      <c r="A2150" s="85" t="s">
        <v>9204</v>
      </c>
      <c r="B2150" s="85" t="s">
        <v>9228</v>
      </c>
      <c r="C2150" s="85" t="s">
        <v>9229</v>
      </c>
      <c r="D2150" s="85" t="s">
        <v>3041</v>
      </c>
      <c r="E2150" s="85" t="s">
        <v>3158</v>
      </c>
      <c r="F2150" s="86">
        <v>35</v>
      </c>
      <c r="G2150" s="86">
        <v>30</v>
      </c>
      <c r="H2150" s="86">
        <v>1050</v>
      </c>
      <c r="I2150" s="86">
        <v>4680.5</v>
      </c>
      <c r="J2150" s="85" t="s">
        <v>4370</v>
      </c>
      <c r="K2150" s="85" t="s">
        <v>9196</v>
      </c>
      <c r="L2150" s="85" t="s">
        <v>4135</v>
      </c>
      <c r="M2150" s="85" t="s">
        <v>9230</v>
      </c>
    </row>
    <row r="2151" ht="213.75" spans="1:13">
      <c r="A2151" s="85" t="s">
        <v>9209</v>
      </c>
      <c r="B2151" s="85" t="s">
        <v>5429</v>
      </c>
      <c r="C2151" s="85" t="s">
        <v>5430</v>
      </c>
      <c r="D2151" s="85" t="s">
        <v>5431</v>
      </c>
      <c r="E2151" s="85" t="s">
        <v>5432</v>
      </c>
      <c r="F2151" s="86">
        <v>133.77</v>
      </c>
      <c r="G2151" s="86">
        <v>10</v>
      </c>
      <c r="H2151" s="86">
        <v>1337.7</v>
      </c>
      <c r="I2151" s="86">
        <v>2788.1</v>
      </c>
      <c r="J2151" s="85" t="s">
        <v>4391</v>
      </c>
      <c r="K2151" s="85" t="s">
        <v>9196</v>
      </c>
      <c r="L2151" s="85" t="s">
        <v>4135</v>
      </c>
      <c r="M2151" s="85" t="s">
        <v>9231</v>
      </c>
    </row>
    <row r="2152" ht="213.75" spans="1:13">
      <c r="A2152" s="85" t="s">
        <v>9232</v>
      </c>
      <c r="B2152" s="85" t="s">
        <v>3768</v>
      </c>
      <c r="C2152" s="85" t="s">
        <v>3769</v>
      </c>
      <c r="D2152" s="85" t="s">
        <v>3753</v>
      </c>
      <c r="E2152" s="85" t="s">
        <v>3763</v>
      </c>
      <c r="F2152" s="86">
        <v>591.49</v>
      </c>
      <c r="G2152" s="86">
        <v>1</v>
      </c>
      <c r="H2152" s="86">
        <v>591.49</v>
      </c>
      <c r="I2152" s="86">
        <v>1448.14</v>
      </c>
      <c r="J2152" s="85" t="s">
        <v>3112</v>
      </c>
      <c r="K2152" s="85" t="s">
        <v>9196</v>
      </c>
      <c r="L2152" s="85" t="s">
        <v>4135</v>
      </c>
      <c r="M2152" s="85" t="s">
        <v>9233</v>
      </c>
    </row>
    <row r="2153" ht="213.75" spans="1:13">
      <c r="A2153" s="85" t="s">
        <v>9234</v>
      </c>
      <c r="B2153" s="85" t="s">
        <v>9235</v>
      </c>
      <c r="C2153" s="85" t="s">
        <v>9236</v>
      </c>
      <c r="D2153" s="85" t="s">
        <v>3014</v>
      </c>
      <c r="E2153" s="85" t="s">
        <v>8141</v>
      </c>
      <c r="F2153" s="86">
        <v>850</v>
      </c>
      <c r="G2153" s="86">
        <v>1</v>
      </c>
      <c r="H2153" s="86">
        <v>850</v>
      </c>
      <c r="I2153" s="86">
        <v>850</v>
      </c>
      <c r="J2153" s="85" t="s">
        <v>5083</v>
      </c>
      <c r="K2153" s="85" t="s">
        <v>9196</v>
      </c>
      <c r="L2153" s="85" t="s">
        <v>4135</v>
      </c>
      <c r="M2153" s="85" t="s">
        <v>9237</v>
      </c>
    </row>
    <row r="2154" ht="213.75" spans="1:13">
      <c r="A2154" s="85" t="s">
        <v>9193</v>
      </c>
      <c r="B2154" s="85" t="s">
        <v>8961</v>
      </c>
      <c r="C2154" s="85" t="s">
        <v>8962</v>
      </c>
      <c r="D2154" s="85" t="s">
        <v>2977</v>
      </c>
      <c r="E2154" s="85" t="s">
        <v>8894</v>
      </c>
      <c r="F2154" s="86">
        <v>2.5</v>
      </c>
      <c r="G2154" s="86">
        <v>100</v>
      </c>
      <c r="H2154" s="86">
        <v>250</v>
      </c>
      <c r="I2154" s="86">
        <v>6736.01</v>
      </c>
      <c r="J2154" s="85" t="s">
        <v>2935</v>
      </c>
      <c r="K2154" s="85" t="s">
        <v>9196</v>
      </c>
      <c r="L2154" s="85" t="s">
        <v>4135</v>
      </c>
      <c r="M2154" s="85" t="s">
        <v>9238</v>
      </c>
    </row>
    <row r="2155" ht="213.75" spans="1:13">
      <c r="A2155" s="85" t="s">
        <v>9232</v>
      </c>
      <c r="B2155" s="85" t="s">
        <v>9239</v>
      </c>
      <c r="C2155" s="85" t="s">
        <v>9240</v>
      </c>
      <c r="D2155" s="85" t="s">
        <v>3753</v>
      </c>
      <c r="E2155" s="85" t="s">
        <v>3763</v>
      </c>
      <c r="F2155" s="86">
        <v>489.51</v>
      </c>
      <c r="G2155" s="86">
        <v>1</v>
      </c>
      <c r="H2155" s="86">
        <v>489.51</v>
      </c>
      <c r="I2155" s="86">
        <v>1448.14</v>
      </c>
      <c r="J2155" s="85" t="s">
        <v>3112</v>
      </c>
      <c r="K2155" s="85" t="s">
        <v>9196</v>
      </c>
      <c r="L2155" s="85" t="s">
        <v>4135</v>
      </c>
      <c r="M2155" s="85" t="s">
        <v>9241</v>
      </c>
    </row>
    <row r="2156" ht="213.75" spans="1:13">
      <c r="A2156" s="85" t="s">
        <v>9232</v>
      </c>
      <c r="B2156" s="85" t="s">
        <v>4359</v>
      </c>
      <c r="C2156" s="85" t="s">
        <v>4360</v>
      </c>
      <c r="D2156" s="85" t="s">
        <v>3753</v>
      </c>
      <c r="E2156" s="85" t="s">
        <v>3763</v>
      </c>
      <c r="F2156" s="86">
        <v>81.59</v>
      </c>
      <c r="G2156" s="86">
        <v>1</v>
      </c>
      <c r="H2156" s="86">
        <v>81.59</v>
      </c>
      <c r="I2156" s="86">
        <v>1448.14</v>
      </c>
      <c r="J2156" s="85" t="s">
        <v>3112</v>
      </c>
      <c r="K2156" s="85" t="s">
        <v>9196</v>
      </c>
      <c r="L2156" s="85" t="s">
        <v>4135</v>
      </c>
      <c r="M2156" s="85" t="s">
        <v>9242</v>
      </c>
    </row>
    <row r="2157" ht="213.75" spans="1:13">
      <c r="A2157" s="85" t="s">
        <v>9193</v>
      </c>
      <c r="B2157" s="85" t="s">
        <v>9243</v>
      </c>
      <c r="C2157" s="85" t="s">
        <v>9244</v>
      </c>
      <c r="D2157" s="85" t="s">
        <v>9245</v>
      </c>
      <c r="E2157" s="85" t="s">
        <v>9246</v>
      </c>
      <c r="F2157" s="86">
        <v>3</v>
      </c>
      <c r="G2157" s="86">
        <v>100</v>
      </c>
      <c r="H2157" s="86">
        <v>300</v>
      </c>
      <c r="I2157" s="86">
        <v>6736.01</v>
      </c>
      <c r="J2157" s="85" t="s">
        <v>2935</v>
      </c>
      <c r="K2157" s="85" t="s">
        <v>9196</v>
      </c>
      <c r="L2157" s="85" t="s">
        <v>4135</v>
      </c>
      <c r="M2157" s="85" t="s">
        <v>9247</v>
      </c>
    </row>
    <row r="2158" ht="213.75" spans="1:13">
      <c r="A2158" s="85" t="s">
        <v>9204</v>
      </c>
      <c r="B2158" s="85" t="s">
        <v>9248</v>
      </c>
      <c r="C2158" s="85" t="s">
        <v>9249</v>
      </c>
      <c r="D2158" s="85" t="s">
        <v>4195</v>
      </c>
      <c r="E2158" s="85" t="s">
        <v>4369</v>
      </c>
      <c r="F2158" s="86">
        <v>175</v>
      </c>
      <c r="G2158" s="86">
        <v>1</v>
      </c>
      <c r="H2158" s="86">
        <v>175</v>
      </c>
      <c r="I2158" s="86">
        <v>4680.5</v>
      </c>
      <c r="J2158" s="85" t="s">
        <v>4370</v>
      </c>
      <c r="K2158" s="85" t="s">
        <v>9196</v>
      </c>
      <c r="L2158" s="85" t="s">
        <v>4135</v>
      </c>
      <c r="M2158" s="85" t="s">
        <v>9250</v>
      </c>
    </row>
    <row r="2159" ht="213.75" spans="1:13">
      <c r="A2159" s="85" t="s">
        <v>9204</v>
      </c>
      <c r="B2159" s="85" t="s">
        <v>9251</v>
      </c>
      <c r="C2159" s="85" t="s">
        <v>9252</v>
      </c>
      <c r="D2159" s="85" t="s">
        <v>3230</v>
      </c>
      <c r="E2159" s="85" t="s">
        <v>9253</v>
      </c>
      <c r="F2159" s="86">
        <v>0.05</v>
      </c>
      <c r="G2159" s="86">
        <v>430</v>
      </c>
      <c r="H2159" s="86">
        <v>21.5</v>
      </c>
      <c r="I2159" s="86">
        <v>4680.5</v>
      </c>
      <c r="J2159" s="85" t="s">
        <v>4370</v>
      </c>
      <c r="K2159" s="85" t="s">
        <v>9196</v>
      </c>
      <c r="L2159" s="85" t="s">
        <v>4135</v>
      </c>
      <c r="M2159" s="85" t="s">
        <v>9254</v>
      </c>
    </row>
    <row r="2160" ht="213.75" spans="1:13">
      <c r="A2160" s="85" t="s">
        <v>9193</v>
      </c>
      <c r="B2160" s="85" t="s">
        <v>9255</v>
      </c>
      <c r="C2160" s="85" t="s">
        <v>9256</v>
      </c>
      <c r="D2160" s="85" t="s">
        <v>4030</v>
      </c>
      <c r="E2160" s="85" t="s">
        <v>9257</v>
      </c>
      <c r="F2160" s="86">
        <v>1.85</v>
      </c>
      <c r="G2160" s="86">
        <v>150</v>
      </c>
      <c r="H2160" s="86">
        <v>277.5</v>
      </c>
      <c r="I2160" s="86">
        <v>6736.01</v>
      </c>
      <c r="J2160" s="85" t="s">
        <v>2935</v>
      </c>
      <c r="K2160" s="85" t="s">
        <v>9196</v>
      </c>
      <c r="L2160" s="85" t="s">
        <v>4135</v>
      </c>
      <c r="M2160" s="85" t="s">
        <v>9258</v>
      </c>
    </row>
    <row r="2161" ht="213.75" spans="1:13">
      <c r="A2161" s="85" t="s">
        <v>9193</v>
      </c>
      <c r="B2161" s="85" t="s">
        <v>9259</v>
      </c>
      <c r="C2161" s="85" t="s">
        <v>9260</v>
      </c>
      <c r="D2161" s="85" t="s">
        <v>3985</v>
      </c>
      <c r="E2161" s="85" t="s">
        <v>6502</v>
      </c>
      <c r="F2161" s="86">
        <v>32</v>
      </c>
      <c r="G2161" s="86">
        <v>4</v>
      </c>
      <c r="H2161" s="86">
        <v>128</v>
      </c>
      <c r="I2161" s="86">
        <v>6736.01</v>
      </c>
      <c r="J2161" s="85" t="s">
        <v>2935</v>
      </c>
      <c r="K2161" s="85" t="s">
        <v>9196</v>
      </c>
      <c r="L2161" s="85" t="s">
        <v>4135</v>
      </c>
      <c r="M2161" s="85" t="s">
        <v>9261</v>
      </c>
    </row>
    <row r="2162" ht="213.75" spans="1:13">
      <c r="A2162" s="85" t="s">
        <v>9199</v>
      </c>
      <c r="B2162" s="85" t="s">
        <v>5662</v>
      </c>
      <c r="C2162" s="85" t="s">
        <v>5663</v>
      </c>
      <c r="D2162" s="85" t="s">
        <v>4076</v>
      </c>
      <c r="E2162" s="85" t="s">
        <v>1832</v>
      </c>
      <c r="F2162" s="86">
        <v>128</v>
      </c>
      <c r="G2162" s="86">
        <v>180</v>
      </c>
      <c r="H2162" s="86">
        <v>23040</v>
      </c>
      <c r="I2162" s="86">
        <v>62410</v>
      </c>
      <c r="J2162" s="85" t="s">
        <v>2938</v>
      </c>
      <c r="K2162" s="85" t="s">
        <v>9196</v>
      </c>
      <c r="L2162" s="85" t="s">
        <v>4135</v>
      </c>
      <c r="M2162" s="85" t="s">
        <v>9262</v>
      </c>
    </row>
    <row r="2163" ht="213.75" spans="1:13">
      <c r="A2163" s="85" t="s">
        <v>9193</v>
      </c>
      <c r="B2163" s="85" t="s">
        <v>9263</v>
      </c>
      <c r="C2163" s="85" t="s">
        <v>9264</v>
      </c>
      <c r="D2163" s="85" t="s">
        <v>5406</v>
      </c>
      <c r="E2163" s="85" t="s">
        <v>9265</v>
      </c>
      <c r="F2163" s="86">
        <v>368.93</v>
      </c>
      <c r="G2163" s="86">
        <v>1</v>
      </c>
      <c r="H2163" s="86">
        <v>368.93</v>
      </c>
      <c r="I2163" s="86">
        <v>6736.01</v>
      </c>
      <c r="J2163" s="85" t="s">
        <v>2935</v>
      </c>
      <c r="K2163" s="85" t="s">
        <v>9196</v>
      </c>
      <c r="L2163" s="85" t="s">
        <v>4135</v>
      </c>
      <c r="M2163" s="85" t="s">
        <v>9266</v>
      </c>
    </row>
    <row r="2164" ht="213.75" spans="1:13">
      <c r="A2164" s="85" t="s">
        <v>9193</v>
      </c>
      <c r="B2164" s="85" t="s">
        <v>9267</v>
      </c>
      <c r="C2164" s="85" t="s">
        <v>9268</v>
      </c>
      <c r="D2164" s="85" t="s">
        <v>3046</v>
      </c>
      <c r="E2164" s="85" t="s">
        <v>6506</v>
      </c>
      <c r="F2164" s="86">
        <v>12</v>
      </c>
      <c r="G2164" s="86">
        <v>25</v>
      </c>
      <c r="H2164" s="86">
        <v>300</v>
      </c>
      <c r="I2164" s="86">
        <v>6736.01</v>
      </c>
      <c r="J2164" s="85" t="s">
        <v>2935</v>
      </c>
      <c r="K2164" s="85" t="s">
        <v>9196</v>
      </c>
      <c r="L2164" s="85" t="s">
        <v>4135</v>
      </c>
      <c r="M2164" s="85" t="s">
        <v>9269</v>
      </c>
    </row>
    <row r="2165" ht="213.75" spans="1:13">
      <c r="A2165" s="85" t="s">
        <v>9270</v>
      </c>
      <c r="B2165" s="85" t="s">
        <v>8266</v>
      </c>
      <c r="C2165" s="85" t="s">
        <v>8267</v>
      </c>
      <c r="D2165" s="85" t="s">
        <v>3189</v>
      </c>
      <c r="E2165" s="85" t="s">
        <v>6337</v>
      </c>
      <c r="F2165" s="86">
        <v>27</v>
      </c>
      <c r="G2165" s="86">
        <v>200</v>
      </c>
      <c r="H2165" s="86">
        <v>5400</v>
      </c>
      <c r="I2165" s="86">
        <v>5400</v>
      </c>
      <c r="J2165" s="85" t="s">
        <v>8268</v>
      </c>
      <c r="K2165" s="85" t="s">
        <v>9196</v>
      </c>
      <c r="L2165" s="85" t="s">
        <v>4135</v>
      </c>
      <c r="M2165" s="85" t="s">
        <v>9271</v>
      </c>
    </row>
    <row r="2166" ht="213.75" spans="1:13">
      <c r="A2166" s="85" t="s">
        <v>9204</v>
      </c>
      <c r="B2166" s="85" t="s">
        <v>4942</v>
      </c>
      <c r="C2166" s="85" t="s">
        <v>4943</v>
      </c>
      <c r="D2166" s="85" t="s">
        <v>3041</v>
      </c>
      <c r="E2166" s="85" t="s">
        <v>3042</v>
      </c>
      <c r="F2166" s="86">
        <v>5</v>
      </c>
      <c r="G2166" s="86">
        <v>70</v>
      </c>
      <c r="H2166" s="86">
        <v>350</v>
      </c>
      <c r="I2166" s="86">
        <v>4680.5</v>
      </c>
      <c r="J2166" s="85" t="s">
        <v>4370</v>
      </c>
      <c r="K2166" s="85" t="s">
        <v>9196</v>
      </c>
      <c r="L2166" s="85" t="s">
        <v>4135</v>
      </c>
      <c r="M2166" s="85" t="s">
        <v>9272</v>
      </c>
    </row>
    <row r="2167" ht="213.75" spans="1:13">
      <c r="A2167" s="85" t="s">
        <v>9273</v>
      </c>
      <c r="B2167" s="85" t="s">
        <v>9274</v>
      </c>
      <c r="C2167" s="85" t="s">
        <v>9275</v>
      </c>
      <c r="D2167" s="85" t="s">
        <v>5574</v>
      </c>
      <c r="E2167" s="85" t="s">
        <v>1787</v>
      </c>
      <c r="F2167" s="86">
        <v>75</v>
      </c>
      <c r="G2167" s="86">
        <v>50</v>
      </c>
      <c r="H2167" s="86">
        <v>3750</v>
      </c>
      <c r="I2167" s="86">
        <v>3750</v>
      </c>
      <c r="J2167" s="85" t="s">
        <v>2935</v>
      </c>
      <c r="K2167" s="85" t="s">
        <v>9196</v>
      </c>
      <c r="L2167" s="85" t="s">
        <v>4135</v>
      </c>
      <c r="M2167" s="85" t="s">
        <v>9276</v>
      </c>
    </row>
    <row r="2168" ht="213.75" spans="1:13">
      <c r="A2168" s="85" t="s">
        <v>9277</v>
      </c>
      <c r="B2168" s="85" t="s">
        <v>8394</v>
      </c>
      <c r="C2168" s="85" t="s">
        <v>8395</v>
      </c>
      <c r="D2168" s="85" t="s">
        <v>8396</v>
      </c>
      <c r="E2168" s="85" t="s">
        <v>8397</v>
      </c>
      <c r="F2168" s="86">
        <v>27.99</v>
      </c>
      <c r="G2168" s="86">
        <v>19</v>
      </c>
      <c r="H2168" s="86">
        <v>531.81</v>
      </c>
      <c r="I2168" s="86">
        <v>531.81</v>
      </c>
      <c r="J2168" s="85" t="s">
        <v>5688</v>
      </c>
      <c r="K2168" s="85" t="s">
        <v>9196</v>
      </c>
      <c r="L2168" s="85" t="s">
        <v>4135</v>
      </c>
      <c r="M2168" s="85" t="s">
        <v>9278</v>
      </c>
    </row>
    <row r="2169" ht="213.75" spans="1:13">
      <c r="A2169" s="85" t="s">
        <v>9193</v>
      </c>
      <c r="B2169" s="85" t="s">
        <v>9279</v>
      </c>
      <c r="C2169" s="85" t="s">
        <v>9280</v>
      </c>
      <c r="D2169" s="85" t="s">
        <v>4037</v>
      </c>
      <c r="E2169" s="85" t="s">
        <v>9281</v>
      </c>
      <c r="F2169" s="86">
        <v>45</v>
      </c>
      <c r="G2169" s="86">
        <v>4</v>
      </c>
      <c r="H2169" s="86">
        <v>180</v>
      </c>
      <c r="I2169" s="86">
        <v>6736.01</v>
      </c>
      <c r="J2169" s="85" t="s">
        <v>2935</v>
      </c>
      <c r="K2169" s="85" t="s">
        <v>9196</v>
      </c>
      <c r="L2169" s="85" t="s">
        <v>4135</v>
      </c>
      <c r="M2169" s="85" t="s">
        <v>9282</v>
      </c>
    </row>
    <row r="2170" ht="213.75" spans="1:13">
      <c r="A2170" s="85" t="s">
        <v>9199</v>
      </c>
      <c r="B2170" s="85" t="s">
        <v>9283</v>
      </c>
      <c r="C2170" s="85" t="s">
        <v>9284</v>
      </c>
      <c r="D2170" s="85" t="s">
        <v>3747</v>
      </c>
      <c r="E2170" s="85" t="s">
        <v>1827</v>
      </c>
      <c r="F2170" s="86">
        <v>135</v>
      </c>
      <c r="G2170" s="86">
        <v>270</v>
      </c>
      <c r="H2170" s="86">
        <v>36450</v>
      </c>
      <c r="I2170" s="86">
        <v>62410</v>
      </c>
      <c r="J2170" s="85" t="s">
        <v>2938</v>
      </c>
      <c r="K2170" s="85" t="s">
        <v>9196</v>
      </c>
      <c r="L2170" s="85" t="s">
        <v>4135</v>
      </c>
      <c r="M2170" s="85" t="s">
        <v>9285</v>
      </c>
    </row>
    <row r="2171" ht="213.75" spans="1:13">
      <c r="A2171" s="85" t="s">
        <v>9204</v>
      </c>
      <c r="B2171" s="85" t="s">
        <v>9286</v>
      </c>
      <c r="C2171" s="85" t="s">
        <v>9287</v>
      </c>
      <c r="D2171" s="85" t="s">
        <v>3041</v>
      </c>
      <c r="E2171" s="85" t="s">
        <v>3158</v>
      </c>
      <c r="F2171" s="86">
        <v>153</v>
      </c>
      <c r="G2171" s="86">
        <v>2</v>
      </c>
      <c r="H2171" s="86">
        <v>306</v>
      </c>
      <c r="I2171" s="86">
        <v>4680.5</v>
      </c>
      <c r="J2171" s="85" t="s">
        <v>4370</v>
      </c>
      <c r="K2171" s="85" t="s">
        <v>9196</v>
      </c>
      <c r="L2171" s="85" t="s">
        <v>4135</v>
      </c>
      <c r="M2171" s="85" t="s">
        <v>9288</v>
      </c>
    </row>
    <row r="2172" ht="213.75" spans="1:13">
      <c r="A2172" s="85" t="s">
        <v>9232</v>
      </c>
      <c r="B2172" s="85" t="s">
        <v>9289</v>
      </c>
      <c r="C2172" s="85" t="s">
        <v>9290</v>
      </c>
      <c r="D2172" s="85" t="s">
        <v>3753</v>
      </c>
      <c r="E2172" s="85" t="s">
        <v>3763</v>
      </c>
      <c r="F2172" s="86">
        <v>285.55</v>
      </c>
      <c r="G2172" s="86">
        <v>1</v>
      </c>
      <c r="H2172" s="86">
        <v>285.55</v>
      </c>
      <c r="I2172" s="86">
        <v>1448.14</v>
      </c>
      <c r="J2172" s="85" t="s">
        <v>3112</v>
      </c>
      <c r="K2172" s="85" t="s">
        <v>9196</v>
      </c>
      <c r="L2172" s="85" t="s">
        <v>4135</v>
      </c>
      <c r="M2172" s="85" t="s">
        <v>9291</v>
      </c>
    </row>
    <row r="2173" ht="213.75" spans="1:13">
      <c r="A2173" s="85" t="s">
        <v>9193</v>
      </c>
      <c r="B2173" s="85" t="s">
        <v>9292</v>
      </c>
      <c r="C2173" s="85" t="s">
        <v>9293</v>
      </c>
      <c r="D2173" s="85" t="s">
        <v>9294</v>
      </c>
      <c r="E2173" s="85" t="s">
        <v>9295</v>
      </c>
      <c r="F2173" s="86">
        <v>101.94</v>
      </c>
      <c r="G2173" s="86">
        <v>2</v>
      </c>
      <c r="H2173" s="86">
        <v>203.88</v>
      </c>
      <c r="I2173" s="86">
        <v>6736.01</v>
      </c>
      <c r="J2173" s="85" t="s">
        <v>2935</v>
      </c>
      <c r="K2173" s="85" t="s">
        <v>9196</v>
      </c>
      <c r="L2173" s="85" t="s">
        <v>4135</v>
      </c>
      <c r="M2173" s="85" t="s">
        <v>9296</v>
      </c>
    </row>
    <row r="2174" ht="213.75" spans="1:13">
      <c r="A2174" s="85" t="s">
        <v>9297</v>
      </c>
      <c r="B2174" s="85" t="s">
        <v>9298</v>
      </c>
      <c r="C2174" s="85" t="s">
        <v>9299</v>
      </c>
      <c r="D2174" s="85" t="s">
        <v>3030</v>
      </c>
      <c r="E2174" s="85" t="s">
        <v>1916</v>
      </c>
      <c r="F2174" s="86">
        <v>42.67</v>
      </c>
      <c r="G2174" s="86">
        <v>30</v>
      </c>
      <c r="H2174" s="86">
        <v>1280.1</v>
      </c>
      <c r="I2174" s="86">
        <v>1280.1</v>
      </c>
      <c r="J2174" s="85" t="s">
        <v>8500</v>
      </c>
      <c r="K2174" s="85" t="s">
        <v>9300</v>
      </c>
      <c r="L2174" s="85" t="s">
        <v>4135</v>
      </c>
      <c r="M2174" s="85" t="s">
        <v>9301</v>
      </c>
    </row>
    <row r="2175" ht="213.75" spans="1:13">
      <c r="A2175" s="85" t="s">
        <v>9302</v>
      </c>
      <c r="B2175" s="85" t="s">
        <v>6974</v>
      </c>
      <c r="C2175" s="85" t="s">
        <v>6975</v>
      </c>
      <c r="D2175" s="85" t="s">
        <v>6976</v>
      </c>
      <c r="E2175" s="85" t="s">
        <v>6977</v>
      </c>
      <c r="F2175" s="86">
        <v>1</v>
      </c>
      <c r="G2175" s="86">
        <v>5410</v>
      </c>
      <c r="H2175" s="86">
        <v>5410.49</v>
      </c>
      <c r="I2175" s="86">
        <v>5410.49</v>
      </c>
      <c r="J2175" s="85" t="s">
        <v>6978</v>
      </c>
      <c r="K2175" s="85" t="s">
        <v>9303</v>
      </c>
      <c r="L2175" s="85" t="s">
        <v>4135</v>
      </c>
      <c r="M2175" s="85" t="s">
        <v>9304</v>
      </c>
    </row>
    <row r="2176" ht="213.75" spans="1:13">
      <c r="A2176" s="85" t="s">
        <v>9305</v>
      </c>
      <c r="B2176" s="85" t="s">
        <v>2990</v>
      </c>
      <c r="C2176" s="85" t="s">
        <v>2991</v>
      </c>
      <c r="D2176" s="85" t="s">
        <v>2992</v>
      </c>
      <c r="E2176" s="85" t="s">
        <v>1815</v>
      </c>
      <c r="F2176" s="86">
        <v>46.5</v>
      </c>
      <c r="G2176" s="86">
        <v>20</v>
      </c>
      <c r="H2176" s="86">
        <v>930</v>
      </c>
      <c r="I2176" s="86">
        <v>1709</v>
      </c>
      <c r="J2176" s="85" t="s">
        <v>2958</v>
      </c>
      <c r="K2176" s="85" t="s">
        <v>9306</v>
      </c>
      <c r="L2176" s="85" t="s">
        <v>4135</v>
      </c>
      <c r="M2176" s="85" t="s">
        <v>9307</v>
      </c>
    </row>
    <row r="2177" ht="213.75" spans="1:13">
      <c r="A2177" s="85" t="s">
        <v>9305</v>
      </c>
      <c r="B2177" s="85" t="s">
        <v>7055</v>
      </c>
      <c r="C2177" s="85" t="s">
        <v>7056</v>
      </c>
      <c r="D2177" s="85" t="s">
        <v>2992</v>
      </c>
      <c r="E2177" s="85" t="s">
        <v>1815</v>
      </c>
      <c r="F2177" s="86">
        <v>8</v>
      </c>
      <c r="G2177" s="86">
        <v>20</v>
      </c>
      <c r="H2177" s="86">
        <v>160</v>
      </c>
      <c r="I2177" s="86">
        <v>1709</v>
      </c>
      <c r="J2177" s="85" t="s">
        <v>2958</v>
      </c>
      <c r="K2177" s="85" t="s">
        <v>9306</v>
      </c>
      <c r="L2177" s="85" t="s">
        <v>4135</v>
      </c>
      <c r="M2177" s="85" t="s">
        <v>9308</v>
      </c>
    </row>
    <row r="2178" ht="213.75" spans="1:13">
      <c r="A2178" s="85" t="s">
        <v>9305</v>
      </c>
      <c r="B2178" s="85" t="s">
        <v>3500</v>
      </c>
      <c r="C2178" s="85" t="s">
        <v>3501</v>
      </c>
      <c r="D2178" s="85" t="s">
        <v>2992</v>
      </c>
      <c r="E2178" s="85" t="s">
        <v>1815</v>
      </c>
      <c r="F2178" s="86">
        <v>17.7</v>
      </c>
      <c r="G2178" s="86">
        <v>20</v>
      </c>
      <c r="H2178" s="86">
        <v>354</v>
      </c>
      <c r="I2178" s="86">
        <v>1709</v>
      </c>
      <c r="J2178" s="85" t="s">
        <v>2958</v>
      </c>
      <c r="K2178" s="85" t="s">
        <v>9306</v>
      </c>
      <c r="L2178" s="85" t="s">
        <v>4135</v>
      </c>
      <c r="M2178" s="85" t="s">
        <v>9309</v>
      </c>
    </row>
    <row r="2179" ht="213.75" spans="1:13">
      <c r="A2179" s="85" t="s">
        <v>9305</v>
      </c>
      <c r="B2179" s="85" t="s">
        <v>3063</v>
      </c>
      <c r="C2179" s="85" t="s">
        <v>3064</v>
      </c>
      <c r="D2179" s="85" t="s">
        <v>2992</v>
      </c>
      <c r="E2179" s="85" t="s">
        <v>1815</v>
      </c>
      <c r="F2179" s="86">
        <v>5.3</v>
      </c>
      <c r="G2179" s="86">
        <v>50</v>
      </c>
      <c r="H2179" s="86">
        <v>265</v>
      </c>
      <c r="I2179" s="86">
        <v>1709</v>
      </c>
      <c r="J2179" s="85" t="s">
        <v>2958</v>
      </c>
      <c r="K2179" s="85" t="s">
        <v>9306</v>
      </c>
      <c r="L2179" s="85" t="s">
        <v>4135</v>
      </c>
      <c r="M2179" s="85" t="s">
        <v>9310</v>
      </c>
    </row>
    <row r="2180" ht="213.75" spans="1:13">
      <c r="A2180" s="85" t="s">
        <v>9311</v>
      </c>
      <c r="B2180" s="85" t="s">
        <v>3123</v>
      </c>
      <c r="C2180" s="85" t="s">
        <v>3124</v>
      </c>
      <c r="D2180" s="85" t="s">
        <v>3125</v>
      </c>
      <c r="E2180" s="85" t="s">
        <v>3124</v>
      </c>
      <c r="F2180" s="86">
        <v>96954</v>
      </c>
      <c r="G2180" s="86">
        <v>1</v>
      </c>
      <c r="H2180" s="86">
        <v>96954</v>
      </c>
      <c r="I2180" s="86">
        <v>96954</v>
      </c>
      <c r="J2180" s="85" t="s">
        <v>3816</v>
      </c>
      <c r="K2180" s="85" t="s">
        <v>9312</v>
      </c>
      <c r="L2180" s="85" t="s">
        <v>4135</v>
      </c>
      <c r="M2180" s="85" t="s">
        <v>9313</v>
      </c>
    </row>
    <row r="2181" ht="213.75" spans="1:13">
      <c r="A2181" s="85" t="s">
        <v>9314</v>
      </c>
      <c r="B2181" s="85" t="s">
        <v>3509</v>
      </c>
      <c r="C2181" s="85" t="s">
        <v>3510</v>
      </c>
      <c r="D2181" s="85" t="s">
        <v>3511</v>
      </c>
      <c r="E2181" s="85" t="s">
        <v>3510</v>
      </c>
      <c r="F2181" s="86">
        <v>30000</v>
      </c>
      <c r="G2181" s="86">
        <v>1</v>
      </c>
      <c r="H2181" s="86">
        <v>30000</v>
      </c>
      <c r="I2181" s="86">
        <v>30000</v>
      </c>
      <c r="J2181" s="85" t="s">
        <v>3516</v>
      </c>
      <c r="K2181" s="85" t="s">
        <v>9315</v>
      </c>
      <c r="L2181" s="85" t="s">
        <v>4135</v>
      </c>
      <c r="M2181" s="85" t="s">
        <v>9316</v>
      </c>
    </row>
    <row r="2182" ht="213.75" spans="1:13">
      <c r="A2182" s="85" t="s">
        <v>9317</v>
      </c>
      <c r="B2182" s="85" t="s">
        <v>3509</v>
      </c>
      <c r="C2182" s="85" t="s">
        <v>3510</v>
      </c>
      <c r="D2182" s="85" t="s">
        <v>3511</v>
      </c>
      <c r="E2182" s="85" t="s">
        <v>3510</v>
      </c>
      <c r="F2182" s="86">
        <v>29600</v>
      </c>
      <c r="G2182" s="86">
        <v>1</v>
      </c>
      <c r="H2182" s="86">
        <v>29600</v>
      </c>
      <c r="I2182" s="86">
        <v>29600</v>
      </c>
      <c r="J2182" s="85" t="s">
        <v>4158</v>
      </c>
      <c r="K2182" s="85" t="s">
        <v>9318</v>
      </c>
      <c r="L2182" s="85" t="s">
        <v>4135</v>
      </c>
      <c r="M2182" s="85" t="s">
        <v>9319</v>
      </c>
    </row>
    <row r="2183" ht="213.75" spans="1:13">
      <c r="A2183" s="85" t="s">
        <v>9320</v>
      </c>
      <c r="B2183" s="85" t="s">
        <v>9321</v>
      </c>
      <c r="C2183" s="85" t="s">
        <v>9322</v>
      </c>
      <c r="D2183" s="85" t="s">
        <v>4546</v>
      </c>
      <c r="E2183" s="85" t="s">
        <v>5837</v>
      </c>
      <c r="F2183" s="86">
        <v>460</v>
      </c>
      <c r="G2183" s="86">
        <v>1</v>
      </c>
      <c r="H2183" s="86">
        <v>460</v>
      </c>
      <c r="I2183" s="86">
        <v>25689.8</v>
      </c>
      <c r="J2183" s="85" t="s">
        <v>4391</v>
      </c>
      <c r="K2183" s="85" t="s">
        <v>9323</v>
      </c>
      <c r="L2183" s="85" t="s">
        <v>4135</v>
      </c>
      <c r="M2183" s="85" t="s">
        <v>9324</v>
      </c>
    </row>
    <row r="2184" ht="213.75" spans="1:13">
      <c r="A2184" s="85" t="s">
        <v>9325</v>
      </c>
      <c r="B2184" s="85" t="s">
        <v>9164</v>
      </c>
      <c r="C2184" s="85" t="s">
        <v>9165</v>
      </c>
      <c r="D2184" s="85" t="s">
        <v>3014</v>
      </c>
      <c r="E2184" s="85" t="s">
        <v>9165</v>
      </c>
      <c r="F2184" s="86">
        <v>58.6</v>
      </c>
      <c r="G2184" s="86">
        <v>2</v>
      </c>
      <c r="H2184" s="86">
        <v>117.2</v>
      </c>
      <c r="I2184" s="86">
        <v>4860</v>
      </c>
      <c r="J2184" s="85" t="s">
        <v>4391</v>
      </c>
      <c r="K2184" s="85" t="s">
        <v>9323</v>
      </c>
      <c r="L2184" s="85" t="s">
        <v>4135</v>
      </c>
      <c r="M2184" s="85" t="s">
        <v>9326</v>
      </c>
    </row>
    <row r="2185" ht="213.75" spans="1:13">
      <c r="A2185" s="85" t="s">
        <v>9320</v>
      </c>
      <c r="B2185" s="85" t="s">
        <v>4690</v>
      </c>
      <c r="C2185" s="85" t="s">
        <v>4691</v>
      </c>
      <c r="D2185" s="85" t="s">
        <v>4692</v>
      </c>
      <c r="E2185" s="85" t="s">
        <v>4693</v>
      </c>
      <c r="F2185" s="86">
        <v>101.59</v>
      </c>
      <c r="G2185" s="86">
        <v>220</v>
      </c>
      <c r="H2185" s="86">
        <v>22349.8</v>
      </c>
      <c r="I2185" s="86">
        <v>25689.8</v>
      </c>
      <c r="J2185" s="85" t="s">
        <v>4391</v>
      </c>
      <c r="K2185" s="85" t="s">
        <v>9323</v>
      </c>
      <c r="L2185" s="85" t="s">
        <v>4135</v>
      </c>
      <c r="M2185" s="85" t="s">
        <v>9327</v>
      </c>
    </row>
    <row r="2186" ht="213.75" spans="1:13">
      <c r="A2186" s="85" t="s">
        <v>9328</v>
      </c>
      <c r="B2186" s="85" t="s">
        <v>9329</v>
      </c>
      <c r="C2186" s="85" t="s">
        <v>9330</v>
      </c>
      <c r="D2186" s="85" t="s">
        <v>9331</v>
      </c>
      <c r="E2186" s="85" t="s">
        <v>9332</v>
      </c>
      <c r="F2186" s="86">
        <v>5.5</v>
      </c>
      <c r="G2186" s="86">
        <v>10</v>
      </c>
      <c r="H2186" s="86">
        <v>55</v>
      </c>
      <c r="I2186" s="86">
        <v>1303</v>
      </c>
      <c r="J2186" s="85" t="s">
        <v>4391</v>
      </c>
      <c r="K2186" s="85" t="s">
        <v>9323</v>
      </c>
      <c r="L2186" s="85" t="s">
        <v>4135</v>
      </c>
      <c r="M2186" s="85" t="s">
        <v>9333</v>
      </c>
    </row>
    <row r="2187" ht="213.75" spans="1:13">
      <c r="A2187" s="85" t="s">
        <v>9325</v>
      </c>
      <c r="B2187" s="85" t="s">
        <v>9334</v>
      </c>
      <c r="C2187" s="85" t="s">
        <v>9335</v>
      </c>
      <c r="D2187" s="85" t="s">
        <v>4911</v>
      </c>
      <c r="E2187" s="85" t="s">
        <v>4761</v>
      </c>
      <c r="F2187" s="86">
        <v>10</v>
      </c>
      <c r="G2187" s="86">
        <v>100</v>
      </c>
      <c r="H2187" s="86">
        <v>1000</v>
      </c>
      <c r="I2187" s="86">
        <v>4860</v>
      </c>
      <c r="J2187" s="85" t="s">
        <v>4391</v>
      </c>
      <c r="K2187" s="85" t="s">
        <v>9323</v>
      </c>
      <c r="L2187" s="85" t="s">
        <v>4135</v>
      </c>
      <c r="M2187" s="85" t="s">
        <v>9336</v>
      </c>
    </row>
    <row r="2188" ht="213.75" spans="1:13">
      <c r="A2188" s="85" t="s">
        <v>9325</v>
      </c>
      <c r="B2188" s="85" t="s">
        <v>9337</v>
      </c>
      <c r="C2188" s="85" t="s">
        <v>9338</v>
      </c>
      <c r="D2188" s="85" t="s">
        <v>3153</v>
      </c>
      <c r="E2188" s="85" t="s">
        <v>8431</v>
      </c>
      <c r="F2188" s="86">
        <v>329</v>
      </c>
      <c r="G2188" s="86">
        <v>10</v>
      </c>
      <c r="H2188" s="86">
        <v>3290</v>
      </c>
      <c r="I2188" s="86">
        <v>4860</v>
      </c>
      <c r="J2188" s="85" t="s">
        <v>4391</v>
      </c>
      <c r="K2188" s="85" t="s">
        <v>9323</v>
      </c>
      <c r="L2188" s="85" t="s">
        <v>4135</v>
      </c>
      <c r="M2188" s="85" t="s">
        <v>9339</v>
      </c>
    </row>
    <row r="2189" ht="213.75" spans="1:13">
      <c r="A2189" s="85" t="s">
        <v>9325</v>
      </c>
      <c r="B2189" s="85" t="s">
        <v>9340</v>
      </c>
      <c r="C2189" s="85" t="s">
        <v>9341</v>
      </c>
      <c r="D2189" s="85" t="s">
        <v>3068</v>
      </c>
      <c r="E2189" s="85" t="s">
        <v>9342</v>
      </c>
      <c r="F2189" s="86">
        <v>69.6</v>
      </c>
      <c r="G2189" s="86">
        <v>2</v>
      </c>
      <c r="H2189" s="86">
        <v>139.2</v>
      </c>
      <c r="I2189" s="86">
        <v>4860</v>
      </c>
      <c r="J2189" s="85" t="s">
        <v>4391</v>
      </c>
      <c r="K2189" s="85" t="s">
        <v>9323</v>
      </c>
      <c r="L2189" s="85" t="s">
        <v>4135</v>
      </c>
      <c r="M2189" s="85" t="s">
        <v>9343</v>
      </c>
    </row>
    <row r="2190" ht="213.75" spans="1:13">
      <c r="A2190" s="85" t="s">
        <v>9328</v>
      </c>
      <c r="B2190" s="85" t="s">
        <v>9344</v>
      </c>
      <c r="C2190" s="85" t="s">
        <v>9345</v>
      </c>
      <c r="D2190" s="85" t="s">
        <v>4220</v>
      </c>
      <c r="E2190" s="85" t="s">
        <v>9346</v>
      </c>
      <c r="F2190" s="86">
        <v>760</v>
      </c>
      <c r="G2190" s="86">
        <v>1</v>
      </c>
      <c r="H2190" s="86">
        <v>760</v>
      </c>
      <c r="I2190" s="86">
        <v>1303</v>
      </c>
      <c r="J2190" s="85" t="s">
        <v>4391</v>
      </c>
      <c r="K2190" s="85" t="s">
        <v>9323</v>
      </c>
      <c r="L2190" s="85" t="s">
        <v>4135</v>
      </c>
      <c r="M2190" s="85" t="s">
        <v>9347</v>
      </c>
    </row>
    <row r="2191" ht="213.75" spans="1:13">
      <c r="A2191" s="85" t="s">
        <v>9325</v>
      </c>
      <c r="B2191" s="85" t="s">
        <v>9348</v>
      </c>
      <c r="C2191" s="85" t="s">
        <v>9349</v>
      </c>
      <c r="D2191" s="85" t="s">
        <v>9350</v>
      </c>
      <c r="E2191" s="85" t="s">
        <v>9351</v>
      </c>
      <c r="F2191" s="86">
        <v>31.36</v>
      </c>
      <c r="G2191" s="86">
        <v>10</v>
      </c>
      <c r="H2191" s="86">
        <v>313.6</v>
      </c>
      <c r="I2191" s="86">
        <v>4860</v>
      </c>
      <c r="J2191" s="85" t="s">
        <v>4391</v>
      </c>
      <c r="K2191" s="85" t="s">
        <v>9323</v>
      </c>
      <c r="L2191" s="85" t="s">
        <v>4135</v>
      </c>
      <c r="M2191" s="85" t="s">
        <v>9352</v>
      </c>
    </row>
    <row r="2192" ht="213.75" spans="1:13">
      <c r="A2192" s="85" t="s">
        <v>9320</v>
      </c>
      <c r="B2192" s="85" t="s">
        <v>9353</v>
      </c>
      <c r="C2192" s="85" t="s">
        <v>9354</v>
      </c>
      <c r="D2192" s="85" t="s">
        <v>9355</v>
      </c>
      <c r="E2192" s="85" t="s">
        <v>1951</v>
      </c>
      <c r="F2192" s="86">
        <v>48</v>
      </c>
      <c r="G2192" s="86">
        <v>60</v>
      </c>
      <c r="H2192" s="86">
        <v>2880</v>
      </c>
      <c r="I2192" s="86">
        <v>25689.8</v>
      </c>
      <c r="J2192" s="85" t="s">
        <v>4391</v>
      </c>
      <c r="K2192" s="85" t="s">
        <v>9323</v>
      </c>
      <c r="L2192" s="85" t="s">
        <v>4135</v>
      </c>
      <c r="M2192" s="85" t="s">
        <v>9356</v>
      </c>
    </row>
    <row r="2193" ht="213.75" spans="1:13">
      <c r="A2193" s="85" t="s">
        <v>9328</v>
      </c>
      <c r="B2193" s="85" t="s">
        <v>9357</v>
      </c>
      <c r="C2193" s="85" t="s">
        <v>9358</v>
      </c>
      <c r="D2193" s="85" t="s">
        <v>3230</v>
      </c>
      <c r="E2193" s="85" t="s">
        <v>9358</v>
      </c>
      <c r="F2193" s="86">
        <v>24.4</v>
      </c>
      <c r="G2193" s="86">
        <v>20</v>
      </c>
      <c r="H2193" s="86">
        <v>488</v>
      </c>
      <c r="I2193" s="86">
        <v>1303</v>
      </c>
      <c r="J2193" s="85" t="s">
        <v>4391</v>
      </c>
      <c r="K2193" s="85" t="s">
        <v>9323</v>
      </c>
      <c r="L2193" s="85" t="s">
        <v>4135</v>
      </c>
      <c r="M2193" s="85" t="s">
        <v>9359</v>
      </c>
    </row>
    <row r="2194" ht="213.75" spans="1:13">
      <c r="A2194" s="85" t="s">
        <v>9360</v>
      </c>
      <c r="B2194" s="85" t="s">
        <v>9361</v>
      </c>
      <c r="C2194" s="85" t="s">
        <v>9362</v>
      </c>
      <c r="D2194" s="85" t="s">
        <v>3014</v>
      </c>
      <c r="E2194" s="85" t="s">
        <v>4238</v>
      </c>
      <c r="F2194" s="86">
        <v>424</v>
      </c>
      <c r="G2194" s="86">
        <v>3</v>
      </c>
      <c r="H2194" s="86">
        <v>1272</v>
      </c>
      <c r="I2194" s="86">
        <v>1272</v>
      </c>
      <c r="J2194" s="85" t="s">
        <v>4391</v>
      </c>
      <c r="K2194" s="85" t="s">
        <v>9363</v>
      </c>
      <c r="L2194" s="85" t="s">
        <v>4135</v>
      </c>
      <c r="M2194" s="85" t="s">
        <v>9364</v>
      </c>
    </row>
    <row r="2195" ht="213.75" spans="1:13">
      <c r="A2195" s="85" t="s">
        <v>9365</v>
      </c>
      <c r="B2195" s="85" t="s">
        <v>9366</v>
      </c>
      <c r="C2195" s="85" t="s">
        <v>9367</v>
      </c>
      <c r="D2195" s="85" t="s">
        <v>4340</v>
      </c>
      <c r="E2195" s="85" t="s">
        <v>9368</v>
      </c>
      <c r="F2195" s="86">
        <v>45</v>
      </c>
      <c r="G2195" s="86">
        <v>2</v>
      </c>
      <c r="H2195" s="86">
        <v>90</v>
      </c>
      <c r="I2195" s="86">
        <v>9939</v>
      </c>
      <c r="J2195" s="85" t="s">
        <v>2935</v>
      </c>
      <c r="K2195" s="85" t="s">
        <v>9369</v>
      </c>
      <c r="L2195" s="85" t="s">
        <v>4135</v>
      </c>
      <c r="M2195" s="85" t="s">
        <v>9370</v>
      </c>
    </row>
    <row r="2196" ht="213.75" spans="1:13">
      <c r="A2196" s="85" t="s">
        <v>9365</v>
      </c>
      <c r="B2196" s="85" t="s">
        <v>9371</v>
      </c>
      <c r="C2196" s="85" t="s">
        <v>9372</v>
      </c>
      <c r="D2196" s="85" t="s">
        <v>5610</v>
      </c>
      <c r="E2196" s="85" t="s">
        <v>9373</v>
      </c>
      <c r="F2196" s="86">
        <v>35</v>
      </c>
      <c r="G2196" s="86">
        <v>2</v>
      </c>
      <c r="H2196" s="86">
        <v>70</v>
      </c>
      <c r="I2196" s="86">
        <v>9939</v>
      </c>
      <c r="J2196" s="85" t="s">
        <v>2935</v>
      </c>
      <c r="K2196" s="85" t="s">
        <v>9369</v>
      </c>
      <c r="L2196" s="85" t="s">
        <v>4135</v>
      </c>
      <c r="M2196" s="85" t="s">
        <v>9374</v>
      </c>
    </row>
    <row r="2197" ht="213.75" spans="1:13">
      <c r="A2197" s="85" t="s">
        <v>9365</v>
      </c>
      <c r="B2197" s="85" t="s">
        <v>9375</v>
      </c>
      <c r="C2197" s="85" t="s">
        <v>9376</v>
      </c>
      <c r="D2197" s="85" t="s">
        <v>5610</v>
      </c>
      <c r="E2197" s="85" t="s">
        <v>9373</v>
      </c>
      <c r="F2197" s="86">
        <v>38</v>
      </c>
      <c r="G2197" s="86">
        <v>2</v>
      </c>
      <c r="H2197" s="86">
        <v>76</v>
      </c>
      <c r="I2197" s="86">
        <v>9939</v>
      </c>
      <c r="J2197" s="85" t="s">
        <v>2935</v>
      </c>
      <c r="K2197" s="85" t="s">
        <v>9369</v>
      </c>
      <c r="L2197" s="85" t="s">
        <v>4135</v>
      </c>
      <c r="M2197" s="85" t="s">
        <v>9377</v>
      </c>
    </row>
    <row r="2198" ht="213.75" spans="1:13">
      <c r="A2198" s="85" t="s">
        <v>9365</v>
      </c>
      <c r="B2198" s="85" t="s">
        <v>9378</v>
      </c>
      <c r="C2198" s="85" t="s">
        <v>9379</v>
      </c>
      <c r="D2198" s="85" t="s">
        <v>3153</v>
      </c>
      <c r="E2198" s="85" t="s">
        <v>9380</v>
      </c>
      <c r="F2198" s="86">
        <v>11.6</v>
      </c>
      <c r="G2198" s="86">
        <v>1</v>
      </c>
      <c r="H2198" s="86">
        <v>11.6</v>
      </c>
      <c r="I2198" s="86">
        <v>9939</v>
      </c>
      <c r="J2198" s="85" t="s">
        <v>2935</v>
      </c>
      <c r="K2198" s="85" t="s">
        <v>9369</v>
      </c>
      <c r="L2198" s="85" t="s">
        <v>4135</v>
      </c>
      <c r="M2198" s="85" t="s">
        <v>9381</v>
      </c>
    </row>
    <row r="2199" ht="213.75" spans="1:13">
      <c r="A2199" s="85" t="s">
        <v>9365</v>
      </c>
      <c r="B2199" s="85" t="s">
        <v>9382</v>
      </c>
      <c r="C2199" s="85" t="s">
        <v>9383</v>
      </c>
      <c r="D2199" s="85" t="s">
        <v>2964</v>
      </c>
      <c r="E2199" s="85" t="s">
        <v>9384</v>
      </c>
      <c r="F2199" s="86">
        <v>18.9</v>
      </c>
      <c r="G2199" s="86">
        <v>16</v>
      </c>
      <c r="H2199" s="86">
        <v>302.4</v>
      </c>
      <c r="I2199" s="86">
        <v>9939</v>
      </c>
      <c r="J2199" s="85" t="s">
        <v>2935</v>
      </c>
      <c r="K2199" s="85" t="s">
        <v>9369</v>
      </c>
      <c r="L2199" s="85" t="s">
        <v>4135</v>
      </c>
      <c r="M2199" s="85" t="s">
        <v>9385</v>
      </c>
    </row>
    <row r="2200" ht="213.75" spans="1:13">
      <c r="A2200" s="85" t="s">
        <v>9365</v>
      </c>
      <c r="B2200" s="85" t="s">
        <v>9386</v>
      </c>
      <c r="C2200" s="85" t="s">
        <v>9387</v>
      </c>
      <c r="D2200" s="85" t="s">
        <v>9388</v>
      </c>
      <c r="E2200" s="85" t="s">
        <v>9389</v>
      </c>
      <c r="F2200" s="86">
        <v>1225</v>
      </c>
      <c r="G2200" s="86">
        <v>7</v>
      </c>
      <c r="H2200" s="86">
        <v>8575</v>
      </c>
      <c r="I2200" s="86">
        <v>9939</v>
      </c>
      <c r="J2200" s="85" t="s">
        <v>2935</v>
      </c>
      <c r="K2200" s="85" t="s">
        <v>9369</v>
      </c>
      <c r="L2200" s="85" t="s">
        <v>4135</v>
      </c>
      <c r="M2200" s="85" t="s">
        <v>9390</v>
      </c>
    </row>
    <row r="2201" ht="213.75" spans="1:13">
      <c r="A2201" s="85" t="s">
        <v>9365</v>
      </c>
      <c r="B2201" s="85" t="s">
        <v>8547</v>
      </c>
      <c r="C2201" s="85" t="s">
        <v>8548</v>
      </c>
      <c r="D2201" s="85" t="s">
        <v>3753</v>
      </c>
      <c r="E2201" s="85" t="s">
        <v>8549</v>
      </c>
      <c r="F2201" s="86">
        <v>35</v>
      </c>
      <c r="G2201" s="86">
        <v>20</v>
      </c>
      <c r="H2201" s="86">
        <v>700</v>
      </c>
      <c r="I2201" s="86">
        <v>9939</v>
      </c>
      <c r="J2201" s="85" t="s">
        <v>2935</v>
      </c>
      <c r="K2201" s="85" t="s">
        <v>9369</v>
      </c>
      <c r="L2201" s="85" t="s">
        <v>4135</v>
      </c>
      <c r="M2201" s="85" t="s">
        <v>9391</v>
      </c>
    </row>
    <row r="2202" ht="213.75" spans="1:13">
      <c r="A2202" s="85" t="s">
        <v>9392</v>
      </c>
      <c r="B2202" s="85" t="s">
        <v>9393</v>
      </c>
      <c r="C2202" s="85" t="s">
        <v>9394</v>
      </c>
      <c r="D2202" s="85" t="s">
        <v>9395</v>
      </c>
      <c r="E2202" s="85" t="s">
        <v>9396</v>
      </c>
      <c r="F2202" s="86">
        <v>456</v>
      </c>
      <c r="G2202" s="86">
        <v>4</v>
      </c>
      <c r="H2202" s="86">
        <v>1824</v>
      </c>
      <c r="I2202" s="86">
        <v>1824</v>
      </c>
      <c r="J2202" s="85" t="s">
        <v>2935</v>
      </c>
      <c r="K2202" s="85" t="s">
        <v>9369</v>
      </c>
      <c r="L2202" s="85" t="s">
        <v>4135</v>
      </c>
      <c r="M2202" s="85" t="s">
        <v>9397</v>
      </c>
    </row>
    <row r="2203" ht="213.75" spans="1:13">
      <c r="A2203" s="85" t="s">
        <v>9365</v>
      </c>
      <c r="B2203" s="85" t="s">
        <v>9398</v>
      </c>
      <c r="C2203" s="85" t="s">
        <v>9399</v>
      </c>
      <c r="D2203" s="85" t="s">
        <v>8934</v>
      </c>
      <c r="E2203" s="85" t="s">
        <v>8935</v>
      </c>
      <c r="F2203" s="86">
        <v>19</v>
      </c>
      <c r="G2203" s="86">
        <v>6</v>
      </c>
      <c r="H2203" s="86">
        <v>114</v>
      </c>
      <c r="I2203" s="86">
        <v>9939</v>
      </c>
      <c r="J2203" s="85" t="s">
        <v>2935</v>
      </c>
      <c r="K2203" s="85" t="s">
        <v>9369</v>
      </c>
      <c r="L2203" s="85" t="s">
        <v>4135</v>
      </c>
      <c r="M2203" s="85" t="s">
        <v>9400</v>
      </c>
    </row>
    <row r="2204" ht="213.75" spans="1:13">
      <c r="A2204" s="85" t="s">
        <v>9401</v>
      </c>
      <c r="B2204" s="85" t="s">
        <v>7975</v>
      </c>
      <c r="C2204" s="85" t="s">
        <v>7976</v>
      </c>
      <c r="D2204" s="85" t="s">
        <v>3753</v>
      </c>
      <c r="E2204" s="85" t="s">
        <v>3763</v>
      </c>
      <c r="F2204" s="86">
        <v>1000</v>
      </c>
      <c r="G2204" s="86">
        <v>6</v>
      </c>
      <c r="H2204" s="86">
        <v>6000</v>
      </c>
      <c r="I2204" s="86">
        <v>7500</v>
      </c>
      <c r="J2204" s="85" t="s">
        <v>3112</v>
      </c>
      <c r="K2204" s="85" t="s">
        <v>9402</v>
      </c>
      <c r="L2204" s="85" t="s">
        <v>4135</v>
      </c>
      <c r="M2204" s="85" t="s">
        <v>9403</v>
      </c>
    </row>
    <row r="2205" ht="213.75" spans="1:13">
      <c r="A2205" s="85" t="s">
        <v>9401</v>
      </c>
      <c r="B2205" s="85" t="s">
        <v>3765</v>
      </c>
      <c r="C2205" s="85" t="s">
        <v>3766</v>
      </c>
      <c r="D2205" s="85" t="s">
        <v>3753</v>
      </c>
      <c r="E2205" s="85" t="s">
        <v>3763</v>
      </c>
      <c r="F2205" s="86">
        <v>500</v>
      </c>
      <c r="G2205" s="86">
        <v>3</v>
      </c>
      <c r="H2205" s="86">
        <v>1500</v>
      </c>
      <c r="I2205" s="86">
        <v>7500</v>
      </c>
      <c r="J2205" s="85" t="s">
        <v>3112</v>
      </c>
      <c r="K2205" s="85" t="s">
        <v>9402</v>
      </c>
      <c r="L2205" s="85" t="s">
        <v>4135</v>
      </c>
      <c r="M2205" s="85" t="s">
        <v>9404</v>
      </c>
    </row>
    <row r="2206" ht="213.75" spans="1:13">
      <c r="A2206" s="85" t="s">
        <v>9405</v>
      </c>
      <c r="B2206" s="85" t="s">
        <v>9406</v>
      </c>
      <c r="C2206" s="85" t="s">
        <v>9407</v>
      </c>
      <c r="D2206" s="85" t="s">
        <v>9408</v>
      </c>
      <c r="E2206" s="85" t="s">
        <v>9409</v>
      </c>
      <c r="F2206" s="86">
        <v>16.9</v>
      </c>
      <c r="G2206" s="86">
        <v>30</v>
      </c>
      <c r="H2206" s="86">
        <v>507</v>
      </c>
      <c r="I2206" s="86">
        <v>13001.5</v>
      </c>
      <c r="J2206" s="85" t="s">
        <v>2935</v>
      </c>
      <c r="K2206" s="85" t="s">
        <v>9410</v>
      </c>
      <c r="L2206" s="85" t="s">
        <v>4135</v>
      </c>
      <c r="M2206" s="85" t="s">
        <v>9411</v>
      </c>
    </row>
    <row r="2207" ht="213.75" spans="1:13">
      <c r="A2207" s="85" t="s">
        <v>9412</v>
      </c>
      <c r="B2207" s="85" t="s">
        <v>3788</v>
      </c>
      <c r="C2207" s="85" t="s">
        <v>3789</v>
      </c>
      <c r="D2207" s="85" t="s">
        <v>3189</v>
      </c>
      <c r="E2207" s="85" t="s">
        <v>3790</v>
      </c>
      <c r="F2207" s="86">
        <v>100</v>
      </c>
      <c r="G2207" s="86">
        <v>16</v>
      </c>
      <c r="H2207" s="86">
        <v>1600</v>
      </c>
      <c r="I2207" s="86">
        <v>1600</v>
      </c>
      <c r="J2207" s="85" t="s">
        <v>7934</v>
      </c>
      <c r="K2207" s="85" t="s">
        <v>9410</v>
      </c>
      <c r="L2207" s="85" t="s">
        <v>4135</v>
      </c>
      <c r="M2207" s="85" t="s">
        <v>9413</v>
      </c>
    </row>
    <row r="2208" ht="213.75" spans="1:13">
      <c r="A2208" s="85" t="s">
        <v>9405</v>
      </c>
      <c r="B2208" s="85" t="s">
        <v>9414</v>
      </c>
      <c r="C2208" s="85" t="s">
        <v>9415</v>
      </c>
      <c r="D2208" s="85" t="s">
        <v>5449</v>
      </c>
      <c r="E2208" s="85" t="s">
        <v>9416</v>
      </c>
      <c r="F2208" s="86">
        <v>135</v>
      </c>
      <c r="G2208" s="86">
        <v>7</v>
      </c>
      <c r="H2208" s="86">
        <v>945</v>
      </c>
      <c r="I2208" s="86">
        <v>13001.5</v>
      </c>
      <c r="J2208" s="85" t="s">
        <v>2935</v>
      </c>
      <c r="K2208" s="85" t="s">
        <v>9410</v>
      </c>
      <c r="L2208" s="85" t="s">
        <v>4135</v>
      </c>
      <c r="M2208" s="85" t="s">
        <v>9417</v>
      </c>
    </row>
    <row r="2209" ht="213.75" spans="1:13">
      <c r="A2209" s="85" t="s">
        <v>9405</v>
      </c>
      <c r="B2209" s="85" t="s">
        <v>8311</v>
      </c>
      <c r="C2209" s="85" t="s">
        <v>8312</v>
      </c>
      <c r="D2209" s="85" t="s">
        <v>3197</v>
      </c>
      <c r="E2209" s="85" t="s">
        <v>8312</v>
      </c>
      <c r="F2209" s="86">
        <v>1.9</v>
      </c>
      <c r="G2209" s="86">
        <v>360</v>
      </c>
      <c r="H2209" s="86">
        <v>684</v>
      </c>
      <c r="I2209" s="86">
        <v>13001.5</v>
      </c>
      <c r="J2209" s="85" t="s">
        <v>2935</v>
      </c>
      <c r="K2209" s="85" t="s">
        <v>9410</v>
      </c>
      <c r="L2209" s="85" t="s">
        <v>4135</v>
      </c>
      <c r="M2209" s="85" t="s">
        <v>9418</v>
      </c>
    </row>
    <row r="2210" ht="213.75" spans="1:13">
      <c r="A2210" s="85" t="s">
        <v>9419</v>
      </c>
      <c r="B2210" s="85" t="s">
        <v>8487</v>
      </c>
      <c r="C2210" s="85" t="s">
        <v>8488</v>
      </c>
      <c r="D2210" s="85" t="s">
        <v>3024</v>
      </c>
      <c r="E2210" s="85" t="s">
        <v>8489</v>
      </c>
      <c r="F2210" s="86">
        <v>78</v>
      </c>
      <c r="G2210" s="86">
        <v>10</v>
      </c>
      <c r="H2210" s="86">
        <v>780</v>
      </c>
      <c r="I2210" s="86">
        <v>6581</v>
      </c>
      <c r="J2210" s="85" t="s">
        <v>4370</v>
      </c>
      <c r="K2210" s="85" t="s">
        <v>9410</v>
      </c>
      <c r="L2210" s="85" t="s">
        <v>4135</v>
      </c>
      <c r="M2210" s="85" t="s">
        <v>9420</v>
      </c>
    </row>
    <row r="2211" ht="213.75" spans="1:13">
      <c r="A2211" s="85" t="s">
        <v>9421</v>
      </c>
      <c r="B2211" s="85" t="s">
        <v>4707</v>
      </c>
      <c r="C2211" s="85" t="s">
        <v>4708</v>
      </c>
      <c r="D2211" s="85" t="s">
        <v>3753</v>
      </c>
      <c r="E2211" s="85" t="s">
        <v>3763</v>
      </c>
      <c r="F2211" s="86">
        <v>489.51</v>
      </c>
      <c r="G2211" s="86">
        <v>1</v>
      </c>
      <c r="H2211" s="86">
        <v>489.51</v>
      </c>
      <c r="I2211" s="86">
        <v>4670.74</v>
      </c>
      <c r="J2211" s="85" t="s">
        <v>3112</v>
      </c>
      <c r="K2211" s="85" t="s">
        <v>9410</v>
      </c>
      <c r="L2211" s="85" t="s">
        <v>4135</v>
      </c>
      <c r="M2211" s="85" t="s">
        <v>9422</v>
      </c>
    </row>
    <row r="2212" ht="213.75" spans="1:13">
      <c r="A2212" s="85" t="s">
        <v>9405</v>
      </c>
      <c r="B2212" s="85" t="s">
        <v>9423</v>
      </c>
      <c r="C2212" s="85" t="s">
        <v>9424</v>
      </c>
      <c r="D2212" s="85" t="s">
        <v>3014</v>
      </c>
      <c r="E2212" s="85" t="s">
        <v>9425</v>
      </c>
      <c r="F2212" s="86">
        <v>59</v>
      </c>
      <c r="G2212" s="86">
        <v>3</v>
      </c>
      <c r="H2212" s="86">
        <v>177</v>
      </c>
      <c r="I2212" s="86">
        <v>13001.5</v>
      </c>
      <c r="J2212" s="85" t="s">
        <v>2935</v>
      </c>
      <c r="K2212" s="85" t="s">
        <v>9410</v>
      </c>
      <c r="L2212" s="85" t="s">
        <v>4135</v>
      </c>
      <c r="M2212" s="85" t="s">
        <v>9426</v>
      </c>
    </row>
    <row r="2213" ht="213.75" spans="1:13">
      <c r="A2213" s="85" t="s">
        <v>9427</v>
      </c>
      <c r="B2213" s="85" t="s">
        <v>9428</v>
      </c>
      <c r="C2213" s="85" t="s">
        <v>9429</v>
      </c>
      <c r="D2213" s="85" t="s">
        <v>9430</v>
      </c>
      <c r="E2213" s="85" t="s">
        <v>9431</v>
      </c>
      <c r="F2213" s="86">
        <v>0.98</v>
      </c>
      <c r="G2213" s="86">
        <v>120</v>
      </c>
      <c r="H2213" s="86">
        <v>117.6</v>
      </c>
      <c r="I2213" s="86">
        <v>9440.32</v>
      </c>
      <c r="J2213" s="85" t="s">
        <v>4391</v>
      </c>
      <c r="K2213" s="85" t="s">
        <v>9410</v>
      </c>
      <c r="L2213" s="85" t="s">
        <v>4135</v>
      </c>
      <c r="M2213" s="85" t="s">
        <v>9432</v>
      </c>
    </row>
    <row r="2214" ht="213.75" spans="1:13">
      <c r="A2214" s="85" t="s">
        <v>9427</v>
      </c>
      <c r="B2214" s="85" t="s">
        <v>9433</v>
      </c>
      <c r="C2214" s="85" t="s">
        <v>9434</v>
      </c>
      <c r="D2214" s="85" t="s">
        <v>7100</v>
      </c>
      <c r="E2214" s="85" t="s">
        <v>9435</v>
      </c>
      <c r="F2214" s="86">
        <v>215.6</v>
      </c>
      <c r="G2214" s="86">
        <v>5</v>
      </c>
      <c r="H2214" s="86">
        <v>1078</v>
      </c>
      <c r="I2214" s="86">
        <v>9440.32</v>
      </c>
      <c r="J2214" s="85" t="s">
        <v>4391</v>
      </c>
      <c r="K2214" s="85" t="s">
        <v>9410</v>
      </c>
      <c r="L2214" s="85" t="s">
        <v>4135</v>
      </c>
      <c r="M2214" s="85" t="s">
        <v>9436</v>
      </c>
    </row>
    <row r="2215" ht="213.75" spans="1:13">
      <c r="A2215" s="85" t="s">
        <v>9427</v>
      </c>
      <c r="B2215" s="85" t="s">
        <v>9210</v>
      </c>
      <c r="C2215" s="85" t="s">
        <v>9211</v>
      </c>
      <c r="D2215" s="85" t="s">
        <v>3189</v>
      </c>
      <c r="E2215" s="85" t="s">
        <v>9212</v>
      </c>
      <c r="F2215" s="86">
        <v>181.3</v>
      </c>
      <c r="G2215" s="86">
        <v>1</v>
      </c>
      <c r="H2215" s="86">
        <v>181.3</v>
      </c>
      <c r="I2215" s="86">
        <v>9440.32</v>
      </c>
      <c r="J2215" s="85" t="s">
        <v>4391</v>
      </c>
      <c r="K2215" s="85" t="s">
        <v>9410</v>
      </c>
      <c r="L2215" s="85" t="s">
        <v>4135</v>
      </c>
      <c r="M2215" s="85" t="s">
        <v>9437</v>
      </c>
    </row>
    <row r="2216" ht="213.75" spans="1:13">
      <c r="A2216" s="85" t="s">
        <v>9427</v>
      </c>
      <c r="B2216" s="85" t="s">
        <v>6899</v>
      </c>
      <c r="C2216" s="85" t="s">
        <v>6900</v>
      </c>
      <c r="D2216" s="85" t="s">
        <v>6901</v>
      </c>
      <c r="E2216" s="85" t="s">
        <v>5752</v>
      </c>
      <c r="F2216" s="86">
        <v>34.4</v>
      </c>
      <c r="G2216" s="86">
        <v>100</v>
      </c>
      <c r="H2216" s="86">
        <v>3440</v>
      </c>
      <c r="I2216" s="86">
        <v>9440.32</v>
      </c>
      <c r="J2216" s="85" t="s">
        <v>4391</v>
      </c>
      <c r="K2216" s="85" t="s">
        <v>9410</v>
      </c>
      <c r="L2216" s="85" t="s">
        <v>4135</v>
      </c>
      <c r="M2216" s="85" t="s">
        <v>9438</v>
      </c>
    </row>
    <row r="2217" ht="213.75" spans="1:13">
      <c r="A2217" s="85" t="s">
        <v>9419</v>
      </c>
      <c r="B2217" s="85" t="s">
        <v>7600</v>
      </c>
      <c r="C2217" s="85" t="s">
        <v>7601</v>
      </c>
      <c r="D2217" s="85" t="s">
        <v>3169</v>
      </c>
      <c r="E2217" s="85" t="s">
        <v>7602</v>
      </c>
      <c r="F2217" s="86">
        <v>15</v>
      </c>
      <c r="G2217" s="86">
        <v>345</v>
      </c>
      <c r="H2217" s="86">
        <v>5175</v>
      </c>
      <c r="I2217" s="86">
        <v>6581</v>
      </c>
      <c r="J2217" s="85" t="s">
        <v>4370</v>
      </c>
      <c r="K2217" s="85" t="s">
        <v>9410</v>
      </c>
      <c r="L2217" s="85" t="s">
        <v>4135</v>
      </c>
      <c r="M2217" s="85" t="s">
        <v>9439</v>
      </c>
    </row>
    <row r="2218" ht="213.75" spans="1:13">
      <c r="A2218" s="85" t="s">
        <v>9419</v>
      </c>
      <c r="B2218" s="85" t="s">
        <v>8628</v>
      </c>
      <c r="C2218" s="85" t="s">
        <v>8629</v>
      </c>
      <c r="D2218" s="85" t="s">
        <v>8630</v>
      </c>
      <c r="E2218" s="85" t="s">
        <v>1706</v>
      </c>
      <c r="F2218" s="86">
        <v>88</v>
      </c>
      <c r="G2218" s="86">
        <v>1</v>
      </c>
      <c r="H2218" s="86">
        <v>88</v>
      </c>
      <c r="I2218" s="86">
        <v>6581</v>
      </c>
      <c r="J2218" s="85" t="s">
        <v>4370</v>
      </c>
      <c r="K2218" s="85" t="s">
        <v>9410</v>
      </c>
      <c r="L2218" s="85" t="s">
        <v>4135</v>
      </c>
      <c r="M2218" s="85" t="s">
        <v>9440</v>
      </c>
    </row>
    <row r="2219" ht="213.75" spans="1:13">
      <c r="A2219" s="85" t="s">
        <v>9405</v>
      </c>
      <c r="B2219" s="85" t="s">
        <v>9441</v>
      </c>
      <c r="C2219" s="85" t="s">
        <v>9442</v>
      </c>
      <c r="D2219" s="85" t="s">
        <v>3014</v>
      </c>
      <c r="E2219" s="85" t="s">
        <v>5150</v>
      </c>
      <c r="F2219" s="86">
        <v>99</v>
      </c>
      <c r="G2219" s="86">
        <v>5</v>
      </c>
      <c r="H2219" s="86">
        <v>495</v>
      </c>
      <c r="I2219" s="86">
        <v>13001.5</v>
      </c>
      <c r="J2219" s="85" t="s">
        <v>2935</v>
      </c>
      <c r="K2219" s="85" t="s">
        <v>9410</v>
      </c>
      <c r="L2219" s="85" t="s">
        <v>4135</v>
      </c>
      <c r="M2219" s="85" t="s">
        <v>9443</v>
      </c>
    </row>
    <row r="2220" ht="213.75" spans="1:13">
      <c r="A2220" s="85" t="s">
        <v>9405</v>
      </c>
      <c r="B2220" s="85" t="s">
        <v>9444</v>
      </c>
      <c r="C2220" s="85" t="s">
        <v>9445</v>
      </c>
      <c r="D2220" s="85" t="s">
        <v>9446</v>
      </c>
      <c r="E2220" s="85" t="s">
        <v>9447</v>
      </c>
      <c r="F2220" s="86">
        <v>32</v>
      </c>
      <c r="G2220" s="86">
        <v>20</v>
      </c>
      <c r="H2220" s="86">
        <v>640</v>
      </c>
      <c r="I2220" s="86">
        <v>13001.5</v>
      </c>
      <c r="J2220" s="85" t="s">
        <v>2935</v>
      </c>
      <c r="K2220" s="85" t="s">
        <v>9410</v>
      </c>
      <c r="L2220" s="85" t="s">
        <v>4135</v>
      </c>
      <c r="M2220" s="85" t="s">
        <v>9448</v>
      </c>
    </row>
    <row r="2221" ht="213.75" spans="1:13">
      <c r="A2221" s="85" t="s">
        <v>9405</v>
      </c>
      <c r="B2221" s="85" t="s">
        <v>8554</v>
      </c>
      <c r="C2221" s="85" t="s">
        <v>8555</v>
      </c>
      <c r="D2221" s="85" t="s">
        <v>3189</v>
      </c>
      <c r="E2221" s="85" t="s">
        <v>3190</v>
      </c>
      <c r="F2221" s="86">
        <v>59.9</v>
      </c>
      <c r="G2221" s="86">
        <v>5</v>
      </c>
      <c r="H2221" s="86">
        <v>299.5</v>
      </c>
      <c r="I2221" s="86">
        <v>13001.5</v>
      </c>
      <c r="J2221" s="85" t="s">
        <v>2935</v>
      </c>
      <c r="K2221" s="85" t="s">
        <v>9410</v>
      </c>
      <c r="L2221" s="85" t="s">
        <v>4135</v>
      </c>
      <c r="M2221" s="85" t="s">
        <v>9449</v>
      </c>
    </row>
    <row r="2222" ht="213.75" spans="1:13">
      <c r="A2222" s="85" t="s">
        <v>9419</v>
      </c>
      <c r="B2222" s="85" t="s">
        <v>4548</v>
      </c>
      <c r="C2222" s="85" t="s">
        <v>4549</v>
      </c>
      <c r="D2222" s="85" t="s">
        <v>3169</v>
      </c>
      <c r="E2222" s="85" t="s">
        <v>3170</v>
      </c>
      <c r="F2222" s="86">
        <v>0.38</v>
      </c>
      <c r="G2222" s="86">
        <v>100</v>
      </c>
      <c r="H2222" s="86">
        <v>38</v>
      </c>
      <c r="I2222" s="86">
        <v>6581</v>
      </c>
      <c r="J2222" s="85" t="s">
        <v>4370</v>
      </c>
      <c r="K2222" s="85" t="s">
        <v>9410</v>
      </c>
      <c r="L2222" s="85" t="s">
        <v>4135</v>
      </c>
      <c r="M2222" s="85" t="s">
        <v>9450</v>
      </c>
    </row>
    <row r="2223" ht="213.75" spans="1:13">
      <c r="A2223" s="85" t="s">
        <v>9421</v>
      </c>
      <c r="B2223" s="85" t="s">
        <v>9451</v>
      </c>
      <c r="C2223" s="85" t="s">
        <v>9452</v>
      </c>
      <c r="D2223" s="85" t="s">
        <v>3753</v>
      </c>
      <c r="E2223" s="85" t="s">
        <v>3763</v>
      </c>
      <c r="F2223" s="86">
        <v>489.51</v>
      </c>
      <c r="G2223" s="86">
        <v>1</v>
      </c>
      <c r="H2223" s="86">
        <v>489.51</v>
      </c>
      <c r="I2223" s="86">
        <v>4670.74</v>
      </c>
      <c r="J2223" s="85" t="s">
        <v>3112</v>
      </c>
      <c r="K2223" s="85" t="s">
        <v>9410</v>
      </c>
      <c r="L2223" s="85" t="s">
        <v>4135</v>
      </c>
      <c r="M2223" s="85" t="s">
        <v>9453</v>
      </c>
    </row>
    <row r="2224" ht="213.75" spans="1:13">
      <c r="A2224" s="85" t="s">
        <v>9405</v>
      </c>
      <c r="B2224" s="85" t="s">
        <v>9454</v>
      </c>
      <c r="C2224" s="85" t="s">
        <v>9455</v>
      </c>
      <c r="D2224" s="85" t="s">
        <v>4898</v>
      </c>
      <c r="E2224" s="85" t="s">
        <v>9456</v>
      </c>
      <c r="F2224" s="86">
        <v>1.41</v>
      </c>
      <c r="G2224" s="86">
        <v>100</v>
      </c>
      <c r="H2224" s="86">
        <v>141</v>
      </c>
      <c r="I2224" s="86">
        <v>13001.5</v>
      </c>
      <c r="J2224" s="85" t="s">
        <v>2935</v>
      </c>
      <c r="K2224" s="85" t="s">
        <v>9410</v>
      </c>
      <c r="L2224" s="85" t="s">
        <v>4135</v>
      </c>
      <c r="M2224" s="85" t="s">
        <v>9457</v>
      </c>
    </row>
    <row r="2225" ht="213.75" spans="1:13">
      <c r="A2225" s="85" t="s">
        <v>9419</v>
      </c>
      <c r="B2225" s="85" t="s">
        <v>4864</v>
      </c>
      <c r="C2225" s="85" t="s">
        <v>4865</v>
      </c>
      <c r="D2225" s="85" t="s">
        <v>4866</v>
      </c>
      <c r="E2225" s="85" t="s">
        <v>4867</v>
      </c>
      <c r="F2225" s="86">
        <v>97</v>
      </c>
      <c r="G2225" s="86">
        <v>2</v>
      </c>
      <c r="H2225" s="86">
        <v>194</v>
      </c>
      <c r="I2225" s="86">
        <v>6581</v>
      </c>
      <c r="J2225" s="85" t="s">
        <v>4370</v>
      </c>
      <c r="K2225" s="85" t="s">
        <v>9410</v>
      </c>
      <c r="L2225" s="85" t="s">
        <v>4135</v>
      </c>
      <c r="M2225" s="85" t="s">
        <v>9458</v>
      </c>
    </row>
    <row r="2226" ht="213.75" spans="1:13">
      <c r="A2226" s="85" t="s">
        <v>9405</v>
      </c>
      <c r="B2226" s="85" t="s">
        <v>9459</v>
      </c>
      <c r="C2226" s="85" t="s">
        <v>9460</v>
      </c>
      <c r="D2226" s="85" t="s">
        <v>3054</v>
      </c>
      <c r="E2226" s="85" t="s">
        <v>4269</v>
      </c>
      <c r="F2226" s="86">
        <v>45</v>
      </c>
      <c r="G2226" s="86">
        <v>10</v>
      </c>
      <c r="H2226" s="86">
        <v>450</v>
      </c>
      <c r="I2226" s="86">
        <v>13001.5</v>
      </c>
      <c r="J2226" s="85" t="s">
        <v>2935</v>
      </c>
      <c r="K2226" s="85" t="s">
        <v>9410</v>
      </c>
      <c r="L2226" s="85" t="s">
        <v>4135</v>
      </c>
      <c r="M2226" s="85" t="s">
        <v>9461</v>
      </c>
    </row>
    <row r="2227" ht="213.75" spans="1:13">
      <c r="A2227" s="85" t="s">
        <v>9462</v>
      </c>
      <c r="B2227" s="85" t="s">
        <v>5662</v>
      </c>
      <c r="C2227" s="85" t="s">
        <v>5663</v>
      </c>
      <c r="D2227" s="85" t="s">
        <v>4076</v>
      </c>
      <c r="E2227" s="85" t="s">
        <v>1832</v>
      </c>
      <c r="F2227" s="86">
        <v>128</v>
      </c>
      <c r="G2227" s="86">
        <v>180</v>
      </c>
      <c r="H2227" s="86">
        <v>23040</v>
      </c>
      <c r="I2227" s="86">
        <v>60585</v>
      </c>
      <c r="J2227" s="85" t="s">
        <v>2938</v>
      </c>
      <c r="K2227" s="85" t="s">
        <v>9410</v>
      </c>
      <c r="L2227" s="85" t="s">
        <v>4135</v>
      </c>
      <c r="M2227" s="85" t="s">
        <v>9463</v>
      </c>
    </row>
    <row r="2228" ht="213.75" spans="1:13">
      <c r="A2228" s="85" t="s">
        <v>9405</v>
      </c>
      <c r="B2228" s="85" t="s">
        <v>9464</v>
      </c>
      <c r="C2228" s="85" t="s">
        <v>9465</v>
      </c>
      <c r="D2228" s="85" t="s">
        <v>4911</v>
      </c>
      <c r="E2228" s="85" t="s">
        <v>4761</v>
      </c>
      <c r="F2228" s="86">
        <v>10</v>
      </c>
      <c r="G2228" s="86">
        <v>100</v>
      </c>
      <c r="H2228" s="86">
        <v>1000</v>
      </c>
      <c r="I2228" s="86">
        <v>13001.5</v>
      </c>
      <c r="J2228" s="85" t="s">
        <v>2935</v>
      </c>
      <c r="K2228" s="85" t="s">
        <v>9410</v>
      </c>
      <c r="L2228" s="85" t="s">
        <v>4135</v>
      </c>
      <c r="M2228" s="85" t="s">
        <v>9466</v>
      </c>
    </row>
    <row r="2229" ht="213.75" spans="1:13">
      <c r="A2229" s="85" t="s">
        <v>9405</v>
      </c>
      <c r="B2229" s="85" t="s">
        <v>9467</v>
      </c>
      <c r="C2229" s="85" t="s">
        <v>9468</v>
      </c>
      <c r="D2229" s="85" t="s">
        <v>3704</v>
      </c>
      <c r="E2229" s="85" t="s">
        <v>9469</v>
      </c>
      <c r="F2229" s="86">
        <v>25</v>
      </c>
      <c r="G2229" s="86">
        <v>20</v>
      </c>
      <c r="H2229" s="86">
        <v>500</v>
      </c>
      <c r="I2229" s="86">
        <v>13001.5</v>
      </c>
      <c r="J2229" s="85" t="s">
        <v>2935</v>
      </c>
      <c r="K2229" s="85" t="s">
        <v>9410</v>
      </c>
      <c r="L2229" s="85" t="s">
        <v>4135</v>
      </c>
      <c r="M2229" s="85" t="s">
        <v>9470</v>
      </c>
    </row>
    <row r="2230" ht="213.75" spans="1:13">
      <c r="A2230" s="85" t="s">
        <v>9405</v>
      </c>
      <c r="B2230" s="85" t="s">
        <v>9243</v>
      </c>
      <c r="C2230" s="85" t="s">
        <v>9244</v>
      </c>
      <c r="D2230" s="85" t="s">
        <v>9245</v>
      </c>
      <c r="E2230" s="85" t="s">
        <v>9246</v>
      </c>
      <c r="F2230" s="86">
        <v>3</v>
      </c>
      <c r="G2230" s="86">
        <v>500</v>
      </c>
      <c r="H2230" s="86">
        <v>1500</v>
      </c>
      <c r="I2230" s="86">
        <v>13001.5</v>
      </c>
      <c r="J2230" s="85" t="s">
        <v>2935</v>
      </c>
      <c r="K2230" s="85" t="s">
        <v>9410</v>
      </c>
      <c r="L2230" s="85" t="s">
        <v>4135</v>
      </c>
      <c r="M2230" s="85" t="s">
        <v>9471</v>
      </c>
    </row>
    <row r="2231" ht="213.75" spans="1:13">
      <c r="A2231" s="85" t="s">
        <v>9427</v>
      </c>
      <c r="B2231" s="85" t="s">
        <v>9472</v>
      </c>
      <c r="C2231" s="85" t="s">
        <v>9473</v>
      </c>
      <c r="D2231" s="85" t="s">
        <v>3183</v>
      </c>
      <c r="E2231" s="85" t="s">
        <v>9473</v>
      </c>
      <c r="F2231" s="86">
        <v>23.57</v>
      </c>
      <c r="G2231" s="86">
        <v>60</v>
      </c>
      <c r="H2231" s="86">
        <v>1414.2</v>
      </c>
      <c r="I2231" s="86">
        <v>9440.32</v>
      </c>
      <c r="J2231" s="85" t="s">
        <v>4391</v>
      </c>
      <c r="K2231" s="85" t="s">
        <v>9410</v>
      </c>
      <c r="L2231" s="85" t="s">
        <v>4135</v>
      </c>
      <c r="M2231" s="85" t="s">
        <v>9474</v>
      </c>
    </row>
    <row r="2232" ht="213.75" spans="1:13">
      <c r="A2232" s="85" t="s">
        <v>9421</v>
      </c>
      <c r="B2232" s="85" t="s">
        <v>9475</v>
      </c>
      <c r="C2232" s="85" t="s">
        <v>9476</v>
      </c>
      <c r="D2232" s="85" t="s">
        <v>3753</v>
      </c>
      <c r="E2232" s="85" t="s">
        <v>3763</v>
      </c>
      <c r="F2232" s="86">
        <v>489.51</v>
      </c>
      <c r="G2232" s="86">
        <v>1</v>
      </c>
      <c r="H2232" s="86">
        <v>489.51</v>
      </c>
      <c r="I2232" s="86">
        <v>4670.74</v>
      </c>
      <c r="J2232" s="85" t="s">
        <v>3112</v>
      </c>
      <c r="K2232" s="85" t="s">
        <v>9410</v>
      </c>
      <c r="L2232" s="85" t="s">
        <v>4135</v>
      </c>
      <c r="M2232" s="85" t="s">
        <v>9477</v>
      </c>
    </row>
    <row r="2233" ht="213.75" spans="1:13">
      <c r="A2233" s="85" t="s">
        <v>9405</v>
      </c>
      <c r="B2233" s="85" t="s">
        <v>9478</v>
      </c>
      <c r="C2233" s="85" t="s">
        <v>9479</v>
      </c>
      <c r="D2233" s="85" t="s">
        <v>9480</v>
      </c>
      <c r="E2233" s="85" t="s">
        <v>9481</v>
      </c>
      <c r="F2233" s="86">
        <v>4</v>
      </c>
      <c r="G2233" s="86">
        <v>50</v>
      </c>
      <c r="H2233" s="86">
        <v>200</v>
      </c>
      <c r="I2233" s="86">
        <v>13001.5</v>
      </c>
      <c r="J2233" s="85" t="s">
        <v>2935</v>
      </c>
      <c r="K2233" s="85" t="s">
        <v>9410</v>
      </c>
      <c r="L2233" s="85" t="s">
        <v>4135</v>
      </c>
      <c r="M2233" s="85" t="s">
        <v>9482</v>
      </c>
    </row>
    <row r="2234" ht="213.75" spans="1:13">
      <c r="A2234" s="85" t="s">
        <v>9405</v>
      </c>
      <c r="B2234" s="85" t="s">
        <v>5349</v>
      </c>
      <c r="C2234" s="85" t="s">
        <v>5350</v>
      </c>
      <c r="D2234" s="85" t="s">
        <v>3189</v>
      </c>
      <c r="E2234" s="85" t="s">
        <v>5351</v>
      </c>
      <c r="F2234" s="86">
        <v>19</v>
      </c>
      <c r="G2234" s="86">
        <v>21</v>
      </c>
      <c r="H2234" s="86">
        <v>399</v>
      </c>
      <c r="I2234" s="86">
        <v>13001.5</v>
      </c>
      <c r="J2234" s="85" t="s">
        <v>2935</v>
      </c>
      <c r="K2234" s="85" t="s">
        <v>9410</v>
      </c>
      <c r="L2234" s="85" t="s">
        <v>4135</v>
      </c>
      <c r="M2234" s="85" t="s">
        <v>9483</v>
      </c>
    </row>
    <row r="2235" ht="213.75" spans="1:13">
      <c r="A2235" s="85" t="s">
        <v>9421</v>
      </c>
      <c r="B2235" s="85" t="s">
        <v>9484</v>
      </c>
      <c r="C2235" s="85" t="s">
        <v>9485</v>
      </c>
      <c r="D2235" s="85" t="s">
        <v>3753</v>
      </c>
      <c r="E2235" s="85" t="s">
        <v>3763</v>
      </c>
      <c r="F2235" s="86">
        <v>30.59</v>
      </c>
      <c r="G2235" s="86">
        <v>1</v>
      </c>
      <c r="H2235" s="86">
        <v>30.59</v>
      </c>
      <c r="I2235" s="86">
        <v>4670.74</v>
      </c>
      <c r="J2235" s="85" t="s">
        <v>3112</v>
      </c>
      <c r="K2235" s="85" t="s">
        <v>9410</v>
      </c>
      <c r="L2235" s="85" t="s">
        <v>4135</v>
      </c>
      <c r="M2235" s="85" t="s">
        <v>9486</v>
      </c>
    </row>
    <row r="2236" ht="213.75" spans="1:13">
      <c r="A2236" s="85" t="s">
        <v>9427</v>
      </c>
      <c r="B2236" s="85" t="s">
        <v>9487</v>
      </c>
      <c r="C2236" s="85" t="s">
        <v>9488</v>
      </c>
      <c r="D2236" s="85" t="s">
        <v>3189</v>
      </c>
      <c r="E2236" s="85" t="s">
        <v>3933</v>
      </c>
      <c r="F2236" s="86">
        <v>28.71</v>
      </c>
      <c r="G2236" s="86">
        <v>20</v>
      </c>
      <c r="H2236" s="86">
        <v>574.2</v>
      </c>
      <c r="I2236" s="86">
        <v>9440.32</v>
      </c>
      <c r="J2236" s="85" t="s">
        <v>4391</v>
      </c>
      <c r="K2236" s="85" t="s">
        <v>9410</v>
      </c>
      <c r="L2236" s="85" t="s">
        <v>4135</v>
      </c>
      <c r="M2236" s="85" t="s">
        <v>9489</v>
      </c>
    </row>
    <row r="2237" ht="213.75" spans="1:13">
      <c r="A2237" s="85" t="s">
        <v>9490</v>
      </c>
      <c r="B2237" s="85" t="s">
        <v>8266</v>
      </c>
      <c r="C2237" s="85" t="s">
        <v>8267</v>
      </c>
      <c r="D2237" s="85" t="s">
        <v>3189</v>
      </c>
      <c r="E2237" s="85" t="s">
        <v>6337</v>
      </c>
      <c r="F2237" s="86">
        <v>27</v>
      </c>
      <c r="G2237" s="86">
        <v>300</v>
      </c>
      <c r="H2237" s="86">
        <v>8100</v>
      </c>
      <c r="I2237" s="86">
        <v>8100</v>
      </c>
      <c r="J2237" s="85" t="s">
        <v>8268</v>
      </c>
      <c r="K2237" s="85" t="s">
        <v>9410</v>
      </c>
      <c r="L2237" s="85" t="s">
        <v>4135</v>
      </c>
      <c r="M2237" s="85" t="s">
        <v>9491</v>
      </c>
    </row>
    <row r="2238" ht="213.75" spans="1:13">
      <c r="A2238" s="85" t="s">
        <v>9421</v>
      </c>
      <c r="B2238" s="85" t="s">
        <v>9492</v>
      </c>
      <c r="C2238" s="85" t="s">
        <v>9493</v>
      </c>
      <c r="D2238" s="85" t="s">
        <v>3753</v>
      </c>
      <c r="E2238" s="85" t="s">
        <v>3763</v>
      </c>
      <c r="F2238" s="86">
        <v>489.51</v>
      </c>
      <c r="G2238" s="86">
        <v>2</v>
      </c>
      <c r="H2238" s="86">
        <v>979.02</v>
      </c>
      <c r="I2238" s="86">
        <v>4670.74</v>
      </c>
      <c r="J2238" s="85" t="s">
        <v>3112</v>
      </c>
      <c r="K2238" s="85" t="s">
        <v>9410</v>
      </c>
      <c r="L2238" s="85" t="s">
        <v>4135</v>
      </c>
      <c r="M2238" s="85" t="s">
        <v>9494</v>
      </c>
    </row>
    <row r="2239" ht="213.75" spans="1:13">
      <c r="A2239" s="85" t="s">
        <v>9405</v>
      </c>
      <c r="B2239" s="85" t="s">
        <v>9495</v>
      </c>
      <c r="C2239" s="85" t="s">
        <v>9496</v>
      </c>
      <c r="D2239" s="85" t="s">
        <v>9497</v>
      </c>
      <c r="E2239" s="85" t="s">
        <v>8413</v>
      </c>
      <c r="F2239" s="86">
        <v>13</v>
      </c>
      <c r="G2239" s="86">
        <v>50</v>
      </c>
      <c r="H2239" s="86">
        <v>650</v>
      </c>
      <c r="I2239" s="86">
        <v>13001.5</v>
      </c>
      <c r="J2239" s="85" t="s">
        <v>2935</v>
      </c>
      <c r="K2239" s="85" t="s">
        <v>9410</v>
      </c>
      <c r="L2239" s="85" t="s">
        <v>4135</v>
      </c>
      <c r="M2239" s="85" t="s">
        <v>9498</v>
      </c>
    </row>
    <row r="2240" ht="213.75" spans="1:13">
      <c r="A2240" s="85" t="s">
        <v>9419</v>
      </c>
      <c r="B2240" s="85" t="s">
        <v>9286</v>
      </c>
      <c r="C2240" s="85" t="s">
        <v>9287</v>
      </c>
      <c r="D2240" s="85" t="s">
        <v>3041</v>
      </c>
      <c r="E2240" s="85" t="s">
        <v>3158</v>
      </c>
      <c r="F2240" s="86">
        <v>153</v>
      </c>
      <c r="G2240" s="86">
        <v>2</v>
      </c>
      <c r="H2240" s="86">
        <v>306</v>
      </c>
      <c r="I2240" s="86">
        <v>6581</v>
      </c>
      <c r="J2240" s="85" t="s">
        <v>4370</v>
      </c>
      <c r="K2240" s="85" t="s">
        <v>9410</v>
      </c>
      <c r="L2240" s="85" t="s">
        <v>4135</v>
      </c>
      <c r="M2240" s="85" t="s">
        <v>9499</v>
      </c>
    </row>
    <row r="2241" ht="213.75" spans="1:13">
      <c r="A2241" s="85" t="s">
        <v>9405</v>
      </c>
      <c r="B2241" s="85" t="s">
        <v>8544</v>
      </c>
      <c r="C2241" s="85" t="s">
        <v>8545</v>
      </c>
      <c r="D2241" s="85" t="s">
        <v>3579</v>
      </c>
      <c r="E2241" s="85" t="s">
        <v>5737</v>
      </c>
      <c r="F2241" s="86">
        <v>370</v>
      </c>
      <c r="G2241" s="86">
        <v>5</v>
      </c>
      <c r="H2241" s="86">
        <v>1850</v>
      </c>
      <c r="I2241" s="86">
        <v>13001.5</v>
      </c>
      <c r="J2241" s="85" t="s">
        <v>2935</v>
      </c>
      <c r="K2241" s="85" t="s">
        <v>9410</v>
      </c>
      <c r="L2241" s="85" t="s">
        <v>4135</v>
      </c>
      <c r="M2241" s="85" t="s">
        <v>9500</v>
      </c>
    </row>
    <row r="2242" ht="213.75" spans="1:13">
      <c r="A2242" s="85" t="s">
        <v>9405</v>
      </c>
      <c r="B2242" s="85" t="s">
        <v>9501</v>
      </c>
      <c r="C2242" s="85" t="s">
        <v>9502</v>
      </c>
      <c r="D2242" s="85" t="s">
        <v>3414</v>
      </c>
      <c r="E2242" s="85" t="s">
        <v>9503</v>
      </c>
      <c r="F2242" s="86">
        <v>14.56</v>
      </c>
      <c r="G2242" s="86">
        <v>50</v>
      </c>
      <c r="H2242" s="86">
        <v>728</v>
      </c>
      <c r="I2242" s="86">
        <v>13001.5</v>
      </c>
      <c r="J2242" s="85" t="s">
        <v>2935</v>
      </c>
      <c r="K2242" s="85" t="s">
        <v>9410</v>
      </c>
      <c r="L2242" s="85" t="s">
        <v>4135</v>
      </c>
      <c r="M2242" s="85" t="s">
        <v>9504</v>
      </c>
    </row>
    <row r="2243" ht="213.75" spans="1:13">
      <c r="A2243" s="85" t="s">
        <v>9462</v>
      </c>
      <c r="B2243" s="85" t="s">
        <v>8625</v>
      </c>
      <c r="C2243" s="85" t="s">
        <v>8626</v>
      </c>
      <c r="D2243" s="85" t="s">
        <v>3548</v>
      </c>
      <c r="E2243" s="85" t="s">
        <v>1835</v>
      </c>
      <c r="F2243" s="86">
        <v>365</v>
      </c>
      <c r="G2243" s="86">
        <v>3</v>
      </c>
      <c r="H2243" s="86">
        <v>1095</v>
      </c>
      <c r="I2243" s="86">
        <v>60585</v>
      </c>
      <c r="J2243" s="85" t="s">
        <v>2938</v>
      </c>
      <c r="K2243" s="85" t="s">
        <v>9410</v>
      </c>
      <c r="L2243" s="85" t="s">
        <v>4135</v>
      </c>
      <c r="M2243" s="85" t="s">
        <v>9505</v>
      </c>
    </row>
    <row r="2244" ht="213.75" spans="1:13">
      <c r="A2244" s="85" t="s">
        <v>9427</v>
      </c>
      <c r="B2244" s="85" t="s">
        <v>9506</v>
      </c>
      <c r="C2244" s="85" t="s">
        <v>9507</v>
      </c>
      <c r="D2244" s="85" t="s">
        <v>4340</v>
      </c>
      <c r="E2244" s="85" t="s">
        <v>9508</v>
      </c>
      <c r="F2244" s="86">
        <v>87.22</v>
      </c>
      <c r="G2244" s="86">
        <v>1</v>
      </c>
      <c r="H2244" s="86">
        <v>87.22</v>
      </c>
      <c r="I2244" s="86">
        <v>9440.32</v>
      </c>
      <c r="J2244" s="85" t="s">
        <v>4391</v>
      </c>
      <c r="K2244" s="85" t="s">
        <v>9410</v>
      </c>
      <c r="L2244" s="85" t="s">
        <v>4135</v>
      </c>
      <c r="M2244" s="85" t="s">
        <v>9509</v>
      </c>
    </row>
    <row r="2245" ht="213.75" spans="1:13">
      <c r="A2245" s="85" t="s">
        <v>9427</v>
      </c>
      <c r="B2245" s="85" t="s">
        <v>9510</v>
      </c>
      <c r="C2245" s="85" t="s">
        <v>9511</v>
      </c>
      <c r="D2245" s="85" t="s">
        <v>5546</v>
      </c>
      <c r="E2245" s="85" t="s">
        <v>9512</v>
      </c>
      <c r="F2245" s="86">
        <v>475.3</v>
      </c>
      <c r="G2245" s="86">
        <v>1</v>
      </c>
      <c r="H2245" s="86">
        <v>475.3</v>
      </c>
      <c r="I2245" s="86">
        <v>9440.32</v>
      </c>
      <c r="J2245" s="85" t="s">
        <v>4391</v>
      </c>
      <c r="K2245" s="85" t="s">
        <v>9410</v>
      </c>
      <c r="L2245" s="85" t="s">
        <v>4135</v>
      </c>
      <c r="M2245" s="85" t="s">
        <v>9513</v>
      </c>
    </row>
    <row r="2246" ht="213.75" spans="1:13">
      <c r="A2246" s="85" t="s">
        <v>9421</v>
      </c>
      <c r="B2246" s="85" t="s">
        <v>3768</v>
      </c>
      <c r="C2246" s="85" t="s">
        <v>3769</v>
      </c>
      <c r="D2246" s="85" t="s">
        <v>3753</v>
      </c>
      <c r="E2246" s="85" t="s">
        <v>3763</v>
      </c>
      <c r="F2246" s="86">
        <v>591.49</v>
      </c>
      <c r="G2246" s="86">
        <v>1</v>
      </c>
      <c r="H2246" s="86">
        <v>591.49</v>
      </c>
      <c r="I2246" s="86">
        <v>4670.74</v>
      </c>
      <c r="J2246" s="85" t="s">
        <v>3112</v>
      </c>
      <c r="K2246" s="85" t="s">
        <v>9410</v>
      </c>
      <c r="L2246" s="85" t="s">
        <v>4135</v>
      </c>
      <c r="M2246" s="85" t="s">
        <v>9514</v>
      </c>
    </row>
    <row r="2247" ht="213.75" spans="1:13">
      <c r="A2247" s="85" t="s">
        <v>9405</v>
      </c>
      <c r="B2247" s="85" t="s">
        <v>9515</v>
      </c>
      <c r="C2247" s="85" t="s">
        <v>9516</v>
      </c>
      <c r="D2247" s="85" t="s">
        <v>3617</v>
      </c>
      <c r="E2247" s="85" t="s">
        <v>6448</v>
      </c>
      <c r="F2247" s="86">
        <v>35.9</v>
      </c>
      <c r="G2247" s="86">
        <v>40</v>
      </c>
      <c r="H2247" s="86">
        <v>1436</v>
      </c>
      <c r="I2247" s="86">
        <v>13001.5</v>
      </c>
      <c r="J2247" s="85" t="s">
        <v>2935</v>
      </c>
      <c r="K2247" s="85" t="s">
        <v>9410</v>
      </c>
      <c r="L2247" s="85" t="s">
        <v>4135</v>
      </c>
      <c r="M2247" s="85" t="s">
        <v>9517</v>
      </c>
    </row>
    <row r="2248" ht="213.75" spans="1:13">
      <c r="A2248" s="85" t="s">
        <v>9427</v>
      </c>
      <c r="B2248" s="85" t="s">
        <v>9518</v>
      </c>
      <c r="C2248" s="85" t="s">
        <v>9519</v>
      </c>
      <c r="D2248" s="85" t="s">
        <v>9520</v>
      </c>
      <c r="E2248" s="85" t="s">
        <v>9521</v>
      </c>
      <c r="F2248" s="86">
        <v>18.62</v>
      </c>
      <c r="G2248" s="86">
        <v>10</v>
      </c>
      <c r="H2248" s="86">
        <v>186.2</v>
      </c>
      <c r="I2248" s="86">
        <v>9440.32</v>
      </c>
      <c r="J2248" s="85" t="s">
        <v>4391</v>
      </c>
      <c r="K2248" s="85" t="s">
        <v>9410</v>
      </c>
      <c r="L2248" s="85" t="s">
        <v>4135</v>
      </c>
      <c r="M2248" s="85" t="s">
        <v>9522</v>
      </c>
    </row>
    <row r="2249" ht="213.75" spans="1:13">
      <c r="A2249" s="85" t="s">
        <v>9421</v>
      </c>
      <c r="B2249" s="85" t="s">
        <v>9523</v>
      </c>
      <c r="C2249" s="85" t="s">
        <v>9524</v>
      </c>
      <c r="D2249" s="85" t="s">
        <v>3753</v>
      </c>
      <c r="E2249" s="85" t="s">
        <v>3763</v>
      </c>
      <c r="F2249" s="86">
        <v>285.55</v>
      </c>
      <c r="G2249" s="86">
        <v>1</v>
      </c>
      <c r="H2249" s="86">
        <v>285.55</v>
      </c>
      <c r="I2249" s="86">
        <v>4670.74</v>
      </c>
      <c r="J2249" s="85" t="s">
        <v>3112</v>
      </c>
      <c r="K2249" s="85" t="s">
        <v>9410</v>
      </c>
      <c r="L2249" s="85" t="s">
        <v>4135</v>
      </c>
      <c r="M2249" s="85" t="s">
        <v>9525</v>
      </c>
    </row>
    <row r="2250" ht="213.75" spans="1:13">
      <c r="A2250" s="85" t="s">
        <v>9462</v>
      </c>
      <c r="B2250" s="85" t="s">
        <v>9283</v>
      </c>
      <c r="C2250" s="85" t="s">
        <v>9284</v>
      </c>
      <c r="D2250" s="85" t="s">
        <v>3747</v>
      </c>
      <c r="E2250" s="85" t="s">
        <v>1827</v>
      </c>
      <c r="F2250" s="86">
        <v>135</v>
      </c>
      <c r="G2250" s="86">
        <v>270</v>
      </c>
      <c r="H2250" s="86">
        <v>36450</v>
      </c>
      <c r="I2250" s="86">
        <v>60585</v>
      </c>
      <c r="J2250" s="85" t="s">
        <v>2938</v>
      </c>
      <c r="K2250" s="85" t="s">
        <v>9410</v>
      </c>
      <c r="L2250" s="85" t="s">
        <v>4135</v>
      </c>
      <c r="M2250" s="85" t="s">
        <v>9526</v>
      </c>
    </row>
    <row r="2251" ht="213.75" spans="1:13">
      <c r="A2251" s="85" t="s">
        <v>9427</v>
      </c>
      <c r="B2251" s="85" t="s">
        <v>9527</v>
      </c>
      <c r="C2251" s="85" t="s">
        <v>9528</v>
      </c>
      <c r="D2251" s="85" t="s">
        <v>3617</v>
      </c>
      <c r="E2251" s="85" t="s">
        <v>3618</v>
      </c>
      <c r="F2251" s="86">
        <v>12.74</v>
      </c>
      <c r="G2251" s="86">
        <v>120</v>
      </c>
      <c r="H2251" s="86">
        <v>1528.8</v>
      </c>
      <c r="I2251" s="86">
        <v>9440.32</v>
      </c>
      <c r="J2251" s="85" t="s">
        <v>4391</v>
      </c>
      <c r="K2251" s="85" t="s">
        <v>9410</v>
      </c>
      <c r="L2251" s="85" t="s">
        <v>4135</v>
      </c>
      <c r="M2251" s="85" t="s">
        <v>9529</v>
      </c>
    </row>
    <row r="2252" ht="213.75" spans="1:13">
      <c r="A2252" s="85" t="s">
        <v>9427</v>
      </c>
      <c r="B2252" s="85" t="s">
        <v>9530</v>
      </c>
      <c r="C2252" s="85" t="s">
        <v>9531</v>
      </c>
      <c r="D2252" s="85" t="s">
        <v>3907</v>
      </c>
      <c r="E2252" s="85" t="s">
        <v>3908</v>
      </c>
      <c r="F2252" s="86">
        <v>7.15</v>
      </c>
      <c r="G2252" s="86">
        <v>50</v>
      </c>
      <c r="H2252" s="86">
        <v>357.5</v>
      </c>
      <c r="I2252" s="86">
        <v>9440.32</v>
      </c>
      <c r="J2252" s="85" t="s">
        <v>4391</v>
      </c>
      <c r="K2252" s="85" t="s">
        <v>9410</v>
      </c>
      <c r="L2252" s="85" t="s">
        <v>4135</v>
      </c>
      <c r="M2252" s="85" t="s">
        <v>9532</v>
      </c>
    </row>
    <row r="2253" ht="213.75" spans="1:13">
      <c r="A2253" s="85" t="s">
        <v>9405</v>
      </c>
      <c r="B2253" s="85" t="s">
        <v>9533</v>
      </c>
      <c r="C2253" s="85" t="s">
        <v>9534</v>
      </c>
      <c r="D2253" s="85" t="s">
        <v>2977</v>
      </c>
      <c r="E2253" s="85" t="s">
        <v>8894</v>
      </c>
      <c r="F2253" s="86">
        <v>4</v>
      </c>
      <c r="G2253" s="86">
        <v>100</v>
      </c>
      <c r="H2253" s="86">
        <v>400</v>
      </c>
      <c r="I2253" s="86">
        <v>13001.5</v>
      </c>
      <c r="J2253" s="85" t="s">
        <v>2935</v>
      </c>
      <c r="K2253" s="85" t="s">
        <v>9410</v>
      </c>
      <c r="L2253" s="85" t="s">
        <v>4135</v>
      </c>
      <c r="M2253" s="85" t="s">
        <v>9535</v>
      </c>
    </row>
    <row r="2254" ht="213.75" spans="1:13">
      <c r="A2254" s="85" t="s">
        <v>9421</v>
      </c>
      <c r="B2254" s="85" t="s">
        <v>5246</v>
      </c>
      <c r="C2254" s="85" t="s">
        <v>5247</v>
      </c>
      <c r="D2254" s="85" t="s">
        <v>3753</v>
      </c>
      <c r="E2254" s="85" t="s">
        <v>3763</v>
      </c>
      <c r="F2254" s="86">
        <v>183.57</v>
      </c>
      <c r="G2254" s="86">
        <v>3</v>
      </c>
      <c r="H2254" s="86">
        <v>550.71</v>
      </c>
      <c r="I2254" s="86">
        <v>4670.74</v>
      </c>
      <c r="J2254" s="85" t="s">
        <v>3112</v>
      </c>
      <c r="K2254" s="85" t="s">
        <v>9410</v>
      </c>
      <c r="L2254" s="85" t="s">
        <v>4135</v>
      </c>
      <c r="M2254" s="85" t="s">
        <v>9536</v>
      </c>
    </row>
    <row r="2255" ht="213.75" spans="1:13">
      <c r="A2255" s="85" t="s">
        <v>9421</v>
      </c>
      <c r="B2255" s="85" t="s">
        <v>5263</v>
      </c>
      <c r="C2255" s="85" t="s">
        <v>5264</v>
      </c>
      <c r="D2255" s="85" t="s">
        <v>3753</v>
      </c>
      <c r="E2255" s="85" t="s">
        <v>3763</v>
      </c>
      <c r="F2255" s="86">
        <v>254.95</v>
      </c>
      <c r="G2255" s="86">
        <v>3</v>
      </c>
      <c r="H2255" s="86">
        <v>764.85</v>
      </c>
      <c r="I2255" s="86">
        <v>4670.74</v>
      </c>
      <c r="J2255" s="85" t="s">
        <v>3112</v>
      </c>
      <c r="K2255" s="85" t="s">
        <v>9410</v>
      </c>
      <c r="L2255" s="85" t="s">
        <v>4135</v>
      </c>
      <c r="M2255" s="85" t="s">
        <v>9537</v>
      </c>
    </row>
    <row r="2256" ht="213.75" spans="1:13">
      <c r="A2256" s="85" t="s">
        <v>9538</v>
      </c>
      <c r="B2256" s="85" t="s">
        <v>9539</v>
      </c>
      <c r="C2256" s="85" t="s">
        <v>9540</v>
      </c>
      <c r="D2256" s="85" t="s">
        <v>9541</v>
      </c>
      <c r="E2256" s="85" t="s">
        <v>4961</v>
      </c>
      <c r="F2256" s="86">
        <v>2.42</v>
      </c>
      <c r="G2256" s="86">
        <v>200</v>
      </c>
      <c r="H2256" s="86">
        <v>484</v>
      </c>
      <c r="I2256" s="86">
        <v>484</v>
      </c>
      <c r="J2256" s="85" t="s">
        <v>9135</v>
      </c>
      <c r="K2256" s="85" t="s">
        <v>9542</v>
      </c>
      <c r="L2256" s="85" t="s">
        <v>4135</v>
      </c>
      <c r="M2256" s="85" t="s">
        <v>9543</v>
      </c>
    </row>
    <row r="2257" ht="213.75" spans="1:13">
      <c r="A2257" s="85" t="s">
        <v>9544</v>
      </c>
      <c r="B2257" s="85" t="s">
        <v>9545</v>
      </c>
      <c r="C2257" s="85" t="s">
        <v>9546</v>
      </c>
      <c r="D2257" s="85" t="s">
        <v>5574</v>
      </c>
      <c r="E2257" s="85" t="s">
        <v>1787</v>
      </c>
      <c r="F2257" s="86">
        <v>14.49</v>
      </c>
      <c r="G2257" s="86">
        <v>50</v>
      </c>
      <c r="H2257" s="86">
        <v>724.5</v>
      </c>
      <c r="I2257" s="86">
        <v>20843.75</v>
      </c>
      <c r="J2257" s="85" t="s">
        <v>9135</v>
      </c>
      <c r="K2257" s="85" t="s">
        <v>9542</v>
      </c>
      <c r="L2257" s="85" t="s">
        <v>4135</v>
      </c>
      <c r="M2257" s="85" t="s">
        <v>9547</v>
      </c>
    </row>
    <row r="2258" ht="213.75" spans="1:13">
      <c r="A2258" s="85" t="s">
        <v>9544</v>
      </c>
      <c r="B2258" s="85" t="s">
        <v>9548</v>
      </c>
      <c r="C2258" s="85" t="s">
        <v>9549</v>
      </c>
      <c r="D2258" s="85" t="s">
        <v>7377</v>
      </c>
      <c r="E2258" s="85" t="s">
        <v>9550</v>
      </c>
      <c r="F2258" s="86">
        <v>6.76</v>
      </c>
      <c r="G2258" s="86">
        <v>200</v>
      </c>
      <c r="H2258" s="86">
        <v>1352</v>
      </c>
      <c r="I2258" s="86">
        <v>20843.75</v>
      </c>
      <c r="J2258" s="85" t="s">
        <v>9135</v>
      </c>
      <c r="K2258" s="85" t="s">
        <v>9542</v>
      </c>
      <c r="L2258" s="85" t="s">
        <v>4135</v>
      </c>
      <c r="M2258" s="85" t="s">
        <v>9551</v>
      </c>
    </row>
    <row r="2259" ht="213.75" spans="1:13">
      <c r="A2259" s="85" t="s">
        <v>9544</v>
      </c>
      <c r="B2259" s="85" t="s">
        <v>9552</v>
      </c>
      <c r="C2259" s="85" t="s">
        <v>9553</v>
      </c>
      <c r="D2259" s="85" t="s">
        <v>8534</v>
      </c>
      <c r="E2259" s="85" t="s">
        <v>3098</v>
      </c>
      <c r="F2259" s="86">
        <v>38.65</v>
      </c>
      <c r="G2259" s="86">
        <v>23</v>
      </c>
      <c r="H2259" s="86">
        <v>888.95</v>
      </c>
      <c r="I2259" s="86">
        <v>20843.75</v>
      </c>
      <c r="J2259" s="85" t="s">
        <v>9135</v>
      </c>
      <c r="K2259" s="85" t="s">
        <v>9542</v>
      </c>
      <c r="L2259" s="85" t="s">
        <v>4135</v>
      </c>
      <c r="M2259" s="85" t="s">
        <v>9554</v>
      </c>
    </row>
    <row r="2260" ht="213.75" spans="1:13">
      <c r="A2260" s="85" t="s">
        <v>9544</v>
      </c>
      <c r="B2260" s="85" t="s">
        <v>9555</v>
      </c>
      <c r="C2260" s="85" t="s">
        <v>9556</v>
      </c>
      <c r="D2260" s="85" t="s">
        <v>2992</v>
      </c>
      <c r="E2260" s="85" t="s">
        <v>1815</v>
      </c>
      <c r="F2260" s="86">
        <v>0.24</v>
      </c>
      <c r="G2260" s="86">
        <v>60000</v>
      </c>
      <c r="H2260" s="86">
        <v>14400</v>
      </c>
      <c r="I2260" s="86">
        <v>20843.75</v>
      </c>
      <c r="J2260" s="85" t="s">
        <v>9135</v>
      </c>
      <c r="K2260" s="85" t="s">
        <v>9542</v>
      </c>
      <c r="L2260" s="85" t="s">
        <v>4135</v>
      </c>
      <c r="M2260" s="85" t="s">
        <v>9557</v>
      </c>
    </row>
    <row r="2261" ht="213.75" spans="1:13">
      <c r="A2261" s="85" t="s">
        <v>9544</v>
      </c>
      <c r="B2261" s="85" t="s">
        <v>9558</v>
      </c>
      <c r="C2261" s="85" t="s">
        <v>9559</v>
      </c>
      <c r="D2261" s="85" t="s">
        <v>2992</v>
      </c>
      <c r="E2261" s="85" t="s">
        <v>1815</v>
      </c>
      <c r="F2261" s="86">
        <v>347.83</v>
      </c>
      <c r="G2261" s="86">
        <v>10</v>
      </c>
      <c r="H2261" s="86">
        <v>3478.3</v>
      </c>
      <c r="I2261" s="86">
        <v>20843.75</v>
      </c>
      <c r="J2261" s="85" t="s">
        <v>9135</v>
      </c>
      <c r="K2261" s="85" t="s">
        <v>9542</v>
      </c>
      <c r="L2261" s="85" t="s">
        <v>4135</v>
      </c>
      <c r="M2261" s="85" t="s">
        <v>9560</v>
      </c>
    </row>
    <row r="2262" ht="213.75" spans="1:13">
      <c r="A2262" s="85" t="s">
        <v>9561</v>
      </c>
      <c r="B2262" s="85" t="s">
        <v>2917</v>
      </c>
      <c r="C2262" s="85" t="s">
        <v>2918</v>
      </c>
      <c r="D2262" s="85" t="s">
        <v>2919</v>
      </c>
      <c r="E2262" s="85" t="s">
        <v>2918</v>
      </c>
      <c r="F2262" s="86">
        <v>2680</v>
      </c>
      <c r="G2262" s="86">
        <v>1</v>
      </c>
      <c r="H2262" s="86">
        <v>2680</v>
      </c>
      <c r="I2262" s="86">
        <v>2680</v>
      </c>
      <c r="J2262" s="85" t="s">
        <v>9562</v>
      </c>
      <c r="K2262" s="85" t="s">
        <v>9563</v>
      </c>
      <c r="L2262" s="85" t="s">
        <v>4135</v>
      </c>
      <c r="M2262" s="85" t="s">
        <v>9564</v>
      </c>
    </row>
    <row r="2263" ht="213.75" spans="1:13">
      <c r="A2263" s="85" t="s">
        <v>9565</v>
      </c>
      <c r="B2263" s="85" t="s">
        <v>9566</v>
      </c>
      <c r="C2263" s="85" t="s">
        <v>9567</v>
      </c>
      <c r="D2263" s="85" t="s">
        <v>3241</v>
      </c>
      <c r="E2263" s="85" t="s">
        <v>4216</v>
      </c>
      <c r="F2263" s="86">
        <v>27</v>
      </c>
      <c r="G2263" s="86">
        <v>4</v>
      </c>
      <c r="H2263" s="86">
        <v>108</v>
      </c>
      <c r="I2263" s="86">
        <v>15983</v>
      </c>
      <c r="J2263" s="85" t="s">
        <v>2935</v>
      </c>
      <c r="K2263" s="85" t="s">
        <v>9568</v>
      </c>
      <c r="L2263" s="85" t="s">
        <v>4135</v>
      </c>
      <c r="M2263" s="85" t="s">
        <v>9569</v>
      </c>
    </row>
    <row r="2264" ht="213.75" spans="1:13">
      <c r="A2264" s="85" t="s">
        <v>9565</v>
      </c>
      <c r="B2264" s="85" t="s">
        <v>9570</v>
      </c>
      <c r="C2264" s="85" t="s">
        <v>9571</v>
      </c>
      <c r="D2264" s="85" t="s">
        <v>3538</v>
      </c>
      <c r="E2264" s="85" t="s">
        <v>9572</v>
      </c>
      <c r="F2264" s="86">
        <v>26</v>
      </c>
      <c r="G2264" s="86">
        <v>20</v>
      </c>
      <c r="H2264" s="86">
        <v>520</v>
      </c>
      <c r="I2264" s="86">
        <v>15983</v>
      </c>
      <c r="J2264" s="85" t="s">
        <v>2935</v>
      </c>
      <c r="K2264" s="85" t="s">
        <v>9568</v>
      </c>
      <c r="L2264" s="85" t="s">
        <v>4135</v>
      </c>
      <c r="M2264" s="85" t="s">
        <v>9573</v>
      </c>
    </row>
    <row r="2265" ht="213.75" spans="1:13">
      <c r="A2265" s="85" t="s">
        <v>9565</v>
      </c>
      <c r="B2265" s="85" t="s">
        <v>9574</v>
      </c>
      <c r="C2265" s="85" t="s">
        <v>9575</v>
      </c>
      <c r="D2265" s="85" t="s">
        <v>2973</v>
      </c>
      <c r="E2265" s="85" t="s">
        <v>9108</v>
      </c>
      <c r="F2265" s="86">
        <v>536</v>
      </c>
      <c r="G2265" s="86">
        <v>2</v>
      </c>
      <c r="H2265" s="86">
        <v>1072</v>
      </c>
      <c r="I2265" s="86">
        <v>15983</v>
      </c>
      <c r="J2265" s="85" t="s">
        <v>2935</v>
      </c>
      <c r="K2265" s="85" t="s">
        <v>9568</v>
      </c>
      <c r="L2265" s="85" t="s">
        <v>4135</v>
      </c>
      <c r="M2265" s="85" t="s">
        <v>9576</v>
      </c>
    </row>
    <row r="2266" ht="213.75" spans="1:13">
      <c r="A2266" s="85" t="s">
        <v>9577</v>
      </c>
      <c r="B2266" s="85" t="s">
        <v>9578</v>
      </c>
      <c r="C2266" s="85" t="s">
        <v>9579</v>
      </c>
      <c r="D2266" s="85" t="s">
        <v>3834</v>
      </c>
      <c r="E2266" s="85" t="s">
        <v>9580</v>
      </c>
      <c r="F2266" s="86">
        <v>1110</v>
      </c>
      <c r="G2266" s="86">
        <v>1</v>
      </c>
      <c r="H2266" s="86">
        <v>1110</v>
      </c>
      <c r="I2266" s="86">
        <v>1525</v>
      </c>
      <c r="J2266" s="85" t="s">
        <v>2935</v>
      </c>
      <c r="K2266" s="85" t="s">
        <v>9568</v>
      </c>
      <c r="L2266" s="85" t="s">
        <v>4135</v>
      </c>
      <c r="M2266" s="85" t="s">
        <v>9581</v>
      </c>
    </row>
    <row r="2267" ht="213.75" spans="1:13">
      <c r="A2267" s="85" t="s">
        <v>9565</v>
      </c>
      <c r="B2267" s="85" t="s">
        <v>9582</v>
      </c>
      <c r="C2267" s="85" t="s">
        <v>9583</v>
      </c>
      <c r="D2267" s="85" t="s">
        <v>3406</v>
      </c>
      <c r="E2267" s="85" t="s">
        <v>9584</v>
      </c>
      <c r="F2267" s="86">
        <v>95</v>
      </c>
      <c r="G2267" s="86">
        <v>1</v>
      </c>
      <c r="H2267" s="86">
        <v>95</v>
      </c>
      <c r="I2267" s="86">
        <v>15983</v>
      </c>
      <c r="J2267" s="85" t="s">
        <v>2935</v>
      </c>
      <c r="K2267" s="85" t="s">
        <v>9568</v>
      </c>
      <c r="L2267" s="85" t="s">
        <v>4135</v>
      </c>
      <c r="M2267" s="85" t="s">
        <v>9585</v>
      </c>
    </row>
    <row r="2268" ht="213.75" spans="1:13">
      <c r="A2268" s="85" t="s">
        <v>9586</v>
      </c>
      <c r="B2268" s="85" t="s">
        <v>9587</v>
      </c>
      <c r="C2268" s="85" t="s">
        <v>9588</v>
      </c>
      <c r="D2268" s="85" t="s">
        <v>9589</v>
      </c>
      <c r="E2268" s="85" t="s">
        <v>9590</v>
      </c>
      <c r="F2268" s="86">
        <v>3.5</v>
      </c>
      <c r="G2268" s="86">
        <v>100</v>
      </c>
      <c r="H2268" s="86">
        <v>350</v>
      </c>
      <c r="I2268" s="86">
        <v>400</v>
      </c>
      <c r="J2268" s="85" t="s">
        <v>2935</v>
      </c>
      <c r="K2268" s="85" t="s">
        <v>9568</v>
      </c>
      <c r="L2268" s="85" t="s">
        <v>4135</v>
      </c>
      <c r="M2268" s="85" t="s">
        <v>9591</v>
      </c>
    </row>
    <row r="2269" ht="213.75" spans="1:13">
      <c r="A2269" s="85" t="s">
        <v>9565</v>
      </c>
      <c r="B2269" s="85" t="s">
        <v>9592</v>
      </c>
      <c r="C2269" s="85" t="s">
        <v>9593</v>
      </c>
      <c r="D2269" s="85" t="s">
        <v>5406</v>
      </c>
      <c r="E2269" s="85" t="s">
        <v>9594</v>
      </c>
      <c r="F2269" s="86">
        <v>158</v>
      </c>
      <c r="G2269" s="86">
        <v>1</v>
      </c>
      <c r="H2269" s="86">
        <v>158</v>
      </c>
      <c r="I2269" s="86">
        <v>15983</v>
      </c>
      <c r="J2269" s="85" t="s">
        <v>2935</v>
      </c>
      <c r="K2269" s="85" t="s">
        <v>9568</v>
      </c>
      <c r="L2269" s="85" t="s">
        <v>4135</v>
      </c>
      <c r="M2269" s="85" t="s">
        <v>9595</v>
      </c>
    </row>
    <row r="2270" ht="213.75" spans="1:13">
      <c r="A2270" s="85" t="s">
        <v>9586</v>
      </c>
      <c r="B2270" s="85" t="s">
        <v>9596</v>
      </c>
      <c r="C2270" s="85" t="s">
        <v>9597</v>
      </c>
      <c r="D2270" s="85" t="s">
        <v>6236</v>
      </c>
      <c r="E2270" s="85" t="s">
        <v>9598</v>
      </c>
      <c r="F2270" s="86">
        <v>25</v>
      </c>
      <c r="G2270" s="86">
        <v>2</v>
      </c>
      <c r="H2270" s="86">
        <v>50</v>
      </c>
      <c r="I2270" s="86">
        <v>400</v>
      </c>
      <c r="J2270" s="85" t="s">
        <v>2935</v>
      </c>
      <c r="K2270" s="85" t="s">
        <v>9568</v>
      </c>
      <c r="L2270" s="85" t="s">
        <v>4135</v>
      </c>
      <c r="M2270" s="85" t="s">
        <v>9599</v>
      </c>
    </row>
    <row r="2271" ht="213.75" spans="1:13">
      <c r="A2271" s="85" t="s">
        <v>9565</v>
      </c>
      <c r="B2271" s="85" t="s">
        <v>9600</v>
      </c>
      <c r="C2271" s="85" t="s">
        <v>9601</v>
      </c>
      <c r="D2271" s="85" t="s">
        <v>3459</v>
      </c>
      <c r="E2271" s="85" t="s">
        <v>9602</v>
      </c>
      <c r="F2271" s="86">
        <v>72</v>
      </c>
      <c r="G2271" s="86">
        <v>1</v>
      </c>
      <c r="H2271" s="86">
        <v>72</v>
      </c>
      <c r="I2271" s="86">
        <v>15983</v>
      </c>
      <c r="J2271" s="85" t="s">
        <v>2935</v>
      </c>
      <c r="K2271" s="85" t="s">
        <v>9568</v>
      </c>
      <c r="L2271" s="85" t="s">
        <v>4135</v>
      </c>
      <c r="M2271" s="85" t="s">
        <v>9603</v>
      </c>
    </row>
    <row r="2272" ht="213.75" spans="1:13">
      <c r="A2272" s="85" t="s">
        <v>9565</v>
      </c>
      <c r="B2272" s="85" t="s">
        <v>4800</v>
      </c>
      <c r="C2272" s="85" t="s">
        <v>4801</v>
      </c>
      <c r="D2272" s="85" t="s">
        <v>4802</v>
      </c>
      <c r="E2272" s="85" t="s">
        <v>4801</v>
      </c>
      <c r="F2272" s="86">
        <v>26</v>
      </c>
      <c r="G2272" s="86">
        <v>100</v>
      </c>
      <c r="H2272" s="86">
        <v>2600</v>
      </c>
      <c r="I2272" s="86">
        <v>15983</v>
      </c>
      <c r="J2272" s="85" t="s">
        <v>2935</v>
      </c>
      <c r="K2272" s="85" t="s">
        <v>9568</v>
      </c>
      <c r="L2272" s="85" t="s">
        <v>4135</v>
      </c>
      <c r="M2272" s="85" t="s">
        <v>9604</v>
      </c>
    </row>
    <row r="2273" ht="213.75" spans="1:13">
      <c r="A2273" s="85" t="s">
        <v>9577</v>
      </c>
      <c r="B2273" s="85" t="s">
        <v>8813</v>
      </c>
      <c r="C2273" s="85" t="s">
        <v>8814</v>
      </c>
      <c r="D2273" s="85" t="s">
        <v>3153</v>
      </c>
      <c r="E2273" s="85" t="s">
        <v>7689</v>
      </c>
      <c r="F2273" s="86">
        <v>83</v>
      </c>
      <c r="G2273" s="86">
        <v>5</v>
      </c>
      <c r="H2273" s="86">
        <v>415</v>
      </c>
      <c r="I2273" s="86">
        <v>1525</v>
      </c>
      <c r="J2273" s="85" t="s">
        <v>2935</v>
      </c>
      <c r="K2273" s="85" t="s">
        <v>9568</v>
      </c>
      <c r="L2273" s="85" t="s">
        <v>4135</v>
      </c>
      <c r="M2273" s="85" t="s">
        <v>9605</v>
      </c>
    </row>
    <row r="2274" ht="213.75" spans="1:13">
      <c r="A2274" s="85" t="s">
        <v>9565</v>
      </c>
      <c r="B2274" s="85" t="s">
        <v>9606</v>
      </c>
      <c r="C2274" s="85" t="s">
        <v>9607</v>
      </c>
      <c r="D2274" s="85" t="s">
        <v>3082</v>
      </c>
      <c r="E2274" s="85" t="s">
        <v>5127</v>
      </c>
      <c r="F2274" s="86">
        <v>59</v>
      </c>
      <c r="G2274" s="86">
        <v>120</v>
      </c>
      <c r="H2274" s="86">
        <v>7080</v>
      </c>
      <c r="I2274" s="86">
        <v>15983</v>
      </c>
      <c r="J2274" s="85" t="s">
        <v>2935</v>
      </c>
      <c r="K2274" s="85" t="s">
        <v>9568</v>
      </c>
      <c r="L2274" s="85" t="s">
        <v>4135</v>
      </c>
      <c r="M2274" s="85" t="s">
        <v>9608</v>
      </c>
    </row>
    <row r="2275" ht="213.75" spans="1:13">
      <c r="A2275" s="85" t="s">
        <v>9565</v>
      </c>
      <c r="B2275" s="85" t="s">
        <v>9609</v>
      </c>
      <c r="C2275" s="85" t="s">
        <v>9610</v>
      </c>
      <c r="D2275" s="85" t="s">
        <v>5410</v>
      </c>
      <c r="E2275" s="85" t="s">
        <v>9611</v>
      </c>
      <c r="F2275" s="86">
        <v>595</v>
      </c>
      <c r="G2275" s="86">
        <v>4</v>
      </c>
      <c r="H2275" s="86">
        <v>2380</v>
      </c>
      <c r="I2275" s="86">
        <v>15983</v>
      </c>
      <c r="J2275" s="85" t="s">
        <v>2935</v>
      </c>
      <c r="K2275" s="85" t="s">
        <v>9568</v>
      </c>
      <c r="L2275" s="85" t="s">
        <v>4135</v>
      </c>
      <c r="M2275" s="85" t="s">
        <v>9612</v>
      </c>
    </row>
    <row r="2276" ht="213.75" spans="1:13">
      <c r="A2276" s="85" t="s">
        <v>9565</v>
      </c>
      <c r="B2276" s="85" t="s">
        <v>9613</v>
      </c>
      <c r="C2276" s="85" t="s">
        <v>9614</v>
      </c>
      <c r="D2276" s="85" t="s">
        <v>9615</v>
      </c>
      <c r="E2276" s="85" t="s">
        <v>9614</v>
      </c>
      <c r="F2276" s="86">
        <v>32</v>
      </c>
      <c r="G2276" s="86">
        <v>50</v>
      </c>
      <c r="H2276" s="86">
        <v>1600</v>
      </c>
      <c r="I2276" s="86">
        <v>15983</v>
      </c>
      <c r="J2276" s="85" t="s">
        <v>2935</v>
      </c>
      <c r="K2276" s="85" t="s">
        <v>9568</v>
      </c>
      <c r="L2276" s="85" t="s">
        <v>4135</v>
      </c>
      <c r="M2276" s="85" t="s">
        <v>9616</v>
      </c>
    </row>
    <row r="2277" ht="213.75" spans="1:13">
      <c r="A2277" s="85" t="s">
        <v>9565</v>
      </c>
      <c r="B2277" s="85" t="s">
        <v>9617</v>
      </c>
      <c r="C2277" s="85" t="s">
        <v>9618</v>
      </c>
      <c r="D2277" s="85" t="s">
        <v>3014</v>
      </c>
      <c r="E2277" s="85" t="s">
        <v>9619</v>
      </c>
      <c r="F2277" s="86">
        <v>298</v>
      </c>
      <c r="G2277" s="86">
        <v>1</v>
      </c>
      <c r="H2277" s="86">
        <v>298</v>
      </c>
      <c r="I2277" s="86">
        <v>15983</v>
      </c>
      <c r="J2277" s="85" t="s">
        <v>2935</v>
      </c>
      <c r="K2277" s="85" t="s">
        <v>9568</v>
      </c>
      <c r="L2277" s="85" t="s">
        <v>4135</v>
      </c>
      <c r="M2277" s="85" t="s">
        <v>9620</v>
      </c>
    </row>
    <row r="2278" ht="213.75" spans="1:13">
      <c r="A2278" s="85" t="s">
        <v>9621</v>
      </c>
      <c r="B2278" s="85" t="s">
        <v>2917</v>
      </c>
      <c r="C2278" s="85" t="s">
        <v>2918</v>
      </c>
      <c r="D2278" s="85" t="s">
        <v>2919</v>
      </c>
      <c r="E2278" s="85" t="s">
        <v>2918</v>
      </c>
      <c r="F2278" s="86">
        <v>49293</v>
      </c>
      <c r="G2278" s="86">
        <v>1</v>
      </c>
      <c r="H2278" s="86">
        <v>49293</v>
      </c>
      <c r="I2278" s="86">
        <v>49293</v>
      </c>
      <c r="J2278" s="85" t="s">
        <v>9622</v>
      </c>
      <c r="K2278" s="85" t="s">
        <v>9623</v>
      </c>
      <c r="L2278" s="85" t="s">
        <v>4135</v>
      </c>
      <c r="M2278" s="85" t="s">
        <v>9624</v>
      </c>
    </row>
    <row r="2279" ht="213.75" spans="1:13">
      <c r="A2279" s="85" t="s">
        <v>9625</v>
      </c>
      <c r="B2279" s="85" t="s">
        <v>4166</v>
      </c>
      <c r="C2279" s="85" t="s">
        <v>4167</v>
      </c>
      <c r="D2279" s="85" t="s">
        <v>4168</v>
      </c>
      <c r="E2279" s="85" t="s">
        <v>4167</v>
      </c>
      <c r="F2279" s="86">
        <v>27946.6</v>
      </c>
      <c r="G2279" s="86">
        <v>1</v>
      </c>
      <c r="H2279" s="86">
        <v>27946.6</v>
      </c>
      <c r="I2279" s="86">
        <v>27946.6</v>
      </c>
      <c r="J2279" s="85" t="s">
        <v>7997</v>
      </c>
      <c r="K2279" s="85" t="s">
        <v>9626</v>
      </c>
      <c r="L2279" s="85" t="s">
        <v>6980</v>
      </c>
      <c r="M2279" s="85" t="s">
        <v>9627</v>
      </c>
    </row>
    <row r="2280" ht="213.75" spans="1:13">
      <c r="A2280" s="85" t="s">
        <v>9628</v>
      </c>
      <c r="B2280" s="85" t="s">
        <v>4047</v>
      </c>
      <c r="C2280" s="85" t="s">
        <v>4048</v>
      </c>
      <c r="D2280" s="85" t="s">
        <v>4049</v>
      </c>
      <c r="E2280" s="85" t="s">
        <v>4048</v>
      </c>
      <c r="F2280" s="86">
        <v>48000</v>
      </c>
      <c r="G2280" s="86">
        <v>1</v>
      </c>
      <c r="H2280" s="86">
        <v>48000</v>
      </c>
      <c r="I2280" s="86">
        <v>48000</v>
      </c>
      <c r="J2280" s="85" t="s">
        <v>4058</v>
      </c>
      <c r="K2280" s="85" t="s">
        <v>9629</v>
      </c>
      <c r="L2280" s="85" t="s">
        <v>4135</v>
      </c>
      <c r="M2280" s="85" t="s">
        <v>9630</v>
      </c>
    </row>
    <row r="2281" ht="213.75" spans="1:13">
      <c r="A2281" s="85" t="s">
        <v>9631</v>
      </c>
      <c r="B2281" s="85" t="s">
        <v>2901</v>
      </c>
      <c r="C2281" s="85" t="s">
        <v>2902</v>
      </c>
      <c r="D2281" s="85" t="s">
        <v>2903</v>
      </c>
      <c r="E2281" s="85" t="s">
        <v>2902</v>
      </c>
      <c r="F2281" s="86">
        <v>850000</v>
      </c>
      <c r="G2281" s="86">
        <v>1</v>
      </c>
      <c r="H2281" s="86">
        <v>850000</v>
      </c>
      <c r="I2281" s="86">
        <v>850000</v>
      </c>
      <c r="J2281" s="85" t="s">
        <v>4054</v>
      </c>
      <c r="K2281" s="85" t="s">
        <v>9632</v>
      </c>
      <c r="L2281" s="85" t="s">
        <v>4135</v>
      </c>
      <c r="M2281" s="85" t="s">
        <v>9633</v>
      </c>
    </row>
    <row r="2282" ht="213.75" spans="1:13">
      <c r="A2282" s="85" t="s">
        <v>9634</v>
      </c>
      <c r="B2282" s="85" t="s">
        <v>2901</v>
      </c>
      <c r="C2282" s="85" t="s">
        <v>2902</v>
      </c>
      <c r="D2282" s="85" t="s">
        <v>2903</v>
      </c>
      <c r="E2282" s="85" t="s">
        <v>2902</v>
      </c>
      <c r="F2282" s="86">
        <v>17476</v>
      </c>
      <c r="G2282" s="86">
        <v>1</v>
      </c>
      <c r="H2282" s="86">
        <v>17476</v>
      </c>
      <c r="I2282" s="86">
        <v>17476</v>
      </c>
      <c r="J2282" s="85" t="s">
        <v>4197</v>
      </c>
      <c r="K2282" s="85" t="s">
        <v>9635</v>
      </c>
      <c r="L2282" s="85" t="s">
        <v>4135</v>
      </c>
      <c r="M2282" s="85" t="s">
        <v>9636</v>
      </c>
    </row>
    <row r="2283" ht="213.75" spans="1:13">
      <c r="A2283" s="85" t="s">
        <v>9637</v>
      </c>
      <c r="B2283" s="85" t="s">
        <v>2901</v>
      </c>
      <c r="C2283" s="85" t="s">
        <v>2902</v>
      </c>
      <c r="D2283" s="85" t="s">
        <v>2903</v>
      </c>
      <c r="E2283" s="85" t="s">
        <v>2902</v>
      </c>
      <c r="F2283" s="86">
        <v>12250</v>
      </c>
      <c r="G2283" s="86">
        <v>1</v>
      </c>
      <c r="H2283" s="86">
        <v>12250</v>
      </c>
      <c r="I2283" s="86">
        <v>12250</v>
      </c>
      <c r="J2283" s="85" t="s">
        <v>4197</v>
      </c>
      <c r="K2283" s="85" t="s">
        <v>9638</v>
      </c>
      <c r="L2283" s="85" t="s">
        <v>4135</v>
      </c>
      <c r="M2283" s="85" t="s">
        <v>9639</v>
      </c>
    </row>
    <row r="2284" ht="213.75" spans="1:13">
      <c r="A2284" s="85" t="s">
        <v>9640</v>
      </c>
      <c r="B2284" s="85" t="s">
        <v>9641</v>
      </c>
      <c r="C2284" s="85" t="s">
        <v>9642</v>
      </c>
      <c r="D2284" s="85" t="s">
        <v>4195</v>
      </c>
      <c r="E2284" s="85" t="s">
        <v>4369</v>
      </c>
      <c r="F2284" s="86">
        <v>13</v>
      </c>
      <c r="G2284" s="86">
        <v>67</v>
      </c>
      <c r="H2284" s="86">
        <v>871</v>
      </c>
      <c r="I2284" s="86">
        <v>4671</v>
      </c>
      <c r="J2284" s="85" t="s">
        <v>4370</v>
      </c>
      <c r="K2284" s="85" t="s">
        <v>9643</v>
      </c>
      <c r="L2284" s="85" t="s">
        <v>4135</v>
      </c>
      <c r="M2284" s="85" t="s">
        <v>9644</v>
      </c>
    </row>
    <row r="2285" ht="213.75" spans="1:13">
      <c r="A2285" s="85" t="s">
        <v>9645</v>
      </c>
      <c r="B2285" s="85" t="s">
        <v>9646</v>
      </c>
      <c r="C2285" s="85" t="s">
        <v>9647</v>
      </c>
      <c r="D2285" s="85" t="s">
        <v>9648</v>
      </c>
      <c r="E2285" s="85" t="s">
        <v>9649</v>
      </c>
      <c r="F2285" s="86">
        <v>495</v>
      </c>
      <c r="G2285" s="86">
        <v>1</v>
      </c>
      <c r="H2285" s="86">
        <v>495</v>
      </c>
      <c r="I2285" s="86">
        <v>13150</v>
      </c>
      <c r="J2285" s="85" t="s">
        <v>2935</v>
      </c>
      <c r="K2285" s="85" t="s">
        <v>9643</v>
      </c>
      <c r="L2285" s="85" t="s">
        <v>4135</v>
      </c>
      <c r="M2285" s="85" t="s">
        <v>9650</v>
      </c>
    </row>
    <row r="2286" ht="213.75" spans="1:13">
      <c r="A2286" s="85" t="s">
        <v>9645</v>
      </c>
      <c r="B2286" s="85" t="s">
        <v>9651</v>
      </c>
      <c r="C2286" s="85" t="s">
        <v>9652</v>
      </c>
      <c r="D2286" s="85" t="s">
        <v>9648</v>
      </c>
      <c r="E2286" s="85" t="s">
        <v>9653</v>
      </c>
      <c r="F2286" s="86">
        <v>493.73</v>
      </c>
      <c r="G2286" s="86">
        <v>1</v>
      </c>
      <c r="H2286" s="86">
        <v>493.73</v>
      </c>
      <c r="I2286" s="86">
        <v>13150</v>
      </c>
      <c r="J2286" s="85" t="s">
        <v>2935</v>
      </c>
      <c r="K2286" s="85" t="s">
        <v>9643</v>
      </c>
      <c r="L2286" s="85" t="s">
        <v>4135</v>
      </c>
      <c r="M2286" s="85" t="s">
        <v>9654</v>
      </c>
    </row>
    <row r="2287" ht="213.75" spans="1:13">
      <c r="A2287" s="85" t="s">
        <v>9645</v>
      </c>
      <c r="B2287" s="85" t="s">
        <v>9344</v>
      </c>
      <c r="C2287" s="85" t="s">
        <v>9345</v>
      </c>
      <c r="D2287" s="85" t="s">
        <v>4220</v>
      </c>
      <c r="E2287" s="85" t="s">
        <v>9346</v>
      </c>
      <c r="F2287" s="86">
        <v>760</v>
      </c>
      <c r="G2287" s="86">
        <v>3</v>
      </c>
      <c r="H2287" s="86">
        <v>2280</v>
      </c>
      <c r="I2287" s="86">
        <v>13150</v>
      </c>
      <c r="J2287" s="85" t="s">
        <v>2935</v>
      </c>
      <c r="K2287" s="85" t="s">
        <v>9643</v>
      </c>
      <c r="L2287" s="85" t="s">
        <v>4135</v>
      </c>
      <c r="M2287" s="85" t="s">
        <v>9655</v>
      </c>
    </row>
    <row r="2288" ht="213.75" spans="1:13">
      <c r="A2288" s="85" t="s">
        <v>9645</v>
      </c>
      <c r="B2288" s="85" t="s">
        <v>9656</v>
      </c>
      <c r="C2288" s="85" t="s">
        <v>9657</v>
      </c>
      <c r="D2288" s="85" t="s">
        <v>3684</v>
      </c>
      <c r="E2288" s="85" t="s">
        <v>3685</v>
      </c>
      <c r="F2288" s="86">
        <v>10</v>
      </c>
      <c r="G2288" s="86">
        <v>1</v>
      </c>
      <c r="H2288" s="86">
        <v>10</v>
      </c>
      <c r="I2288" s="86">
        <v>13150</v>
      </c>
      <c r="J2288" s="85" t="s">
        <v>2935</v>
      </c>
      <c r="K2288" s="85" t="s">
        <v>9643</v>
      </c>
      <c r="L2288" s="85" t="s">
        <v>4135</v>
      </c>
      <c r="M2288" s="85" t="s">
        <v>9658</v>
      </c>
    </row>
    <row r="2289" ht="213.75" spans="1:13">
      <c r="A2289" s="85" t="s">
        <v>9645</v>
      </c>
      <c r="B2289" s="85" t="s">
        <v>8964</v>
      </c>
      <c r="C2289" s="85" t="s">
        <v>8965</v>
      </c>
      <c r="D2289" s="85" t="s">
        <v>3046</v>
      </c>
      <c r="E2289" s="85" t="s">
        <v>6506</v>
      </c>
      <c r="F2289" s="86">
        <v>1140</v>
      </c>
      <c r="G2289" s="86">
        <v>2</v>
      </c>
      <c r="H2289" s="86">
        <v>2280</v>
      </c>
      <c r="I2289" s="86">
        <v>13150</v>
      </c>
      <c r="J2289" s="85" t="s">
        <v>2935</v>
      </c>
      <c r="K2289" s="85" t="s">
        <v>9643</v>
      </c>
      <c r="L2289" s="85" t="s">
        <v>4135</v>
      </c>
      <c r="M2289" s="85" t="s">
        <v>9659</v>
      </c>
    </row>
    <row r="2290" ht="213.75" spans="1:13">
      <c r="A2290" s="85" t="s">
        <v>9660</v>
      </c>
      <c r="B2290" s="85" t="s">
        <v>9661</v>
      </c>
      <c r="C2290" s="85" t="s">
        <v>9662</v>
      </c>
      <c r="D2290" s="85" t="s">
        <v>3061</v>
      </c>
      <c r="E2290" s="85" t="s">
        <v>4757</v>
      </c>
      <c r="F2290" s="86">
        <v>174.44</v>
      </c>
      <c r="G2290" s="86">
        <v>2</v>
      </c>
      <c r="H2290" s="86">
        <v>348.88</v>
      </c>
      <c r="I2290" s="86">
        <v>24629.48</v>
      </c>
      <c r="J2290" s="85" t="s">
        <v>4391</v>
      </c>
      <c r="K2290" s="85" t="s">
        <v>9643</v>
      </c>
      <c r="L2290" s="85" t="s">
        <v>4135</v>
      </c>
      <c r="M2290" s="85" t="s">
        <v>9663</v>
      </c>
    </row>
    <row r="2291" ht="213.75" spans="1:13">
      <c r="A2291" s="85" t="s">
        <v>9645</v>
      </c>
      <c r="B2291" s="85" t="s">
        <v>9664</v>
      </c>
      <c r="C2291" s="85" t="s">
        <v>9665</v>
      </c>
      <c r="D2291" s="85" t="s">
        <v>4340</v>
      </c>
      <c r="E2291" s="85" t="s">
        <v>9666</v>
      </c>
      <c r="F2291" s="86">
        <v>24.27</v>
      </c>
      <c r="G2291" s="86">
        <v>28</v>
      </c>
      <c r="H2291" s="86">
        <v>679.56</v>
      </c>
      <c r="I2291" s="86">
        <v>13150</v>
      </c>
      <c r="J2291" s="85" t="s">
        <v>2935</v>
      </c>
      <c r="K2291" s="85" t="s">
        <v>9643</v>
      </c>
      <c r="L2291" s="85" t="s">
        <v>4135</v>
      </c>
      <c r="M2291" s="85" t="s">
        <v>9667</v>
      </c>
    </row>
    <row r="2292" ht="213.75" spans="1:13">
      <c r="A2292" s="85" t="s">
        <v>9645</v>
      </c>
      <c r="B2292" s="85" t="s">
        <v>9220</v>
      </c>
      <c r="C2292" s="85" t="s">
        <v>9221</v>
      </c>
      <c r="D2292" s="85" t="s">
        <v>6824</v>
      </c>
      <c r="E2292" s="85" t="s">
        <v>6825</v>
      </c>
      <c r="F2292" s="86">
        <v>238</v>
      </c>
      <c r="G2292" s="86">
        <v>6</v>
      </c>
      <c r="H2292" s="86">
        <v>1428</v>
      </c>
      <c r="I2292" s="86">
        <v>13150</v>
      </c>
      <c r="J2292" s="85" t="s">
        <v>2935</v>
      </c>
      <c r="K2292" s="85" t="s">
        <v>9643</v>
      </c>
      <c r="L2292" s="85" t="s">
        <v>4135</v>
      </c>
      <c r="M2292" s="85" t="s">
        <v>9668</v>
      </c>
    </row>
    <row r="2293" ht="213.75" spans="1:13">
      <c r="A2293" s="85" t="s">
        <v>9640</v>
      </c>
      <c r="B2293" s="85" t="s">
        <v>8981</v>
      </c>
      <c r="C2293" s="85" t="s">
        <v>8982</v>
      </c>
      <c r="D2293" s="85" t="s">
        <v>3041</v>
      </c>
      <c r="E2293" s="85" t="s">
        <v>3158</v>
      </c>
      <c r="F2293" s="86">
        <v>16</v>
      </c>
      <c r="G2293" s="86">
        <v>200</v>
      </c>
      <c r="H2293" s="86">
        <v>3200</v>
      </c>
      <c r="I2293" s="86">
        <v>4671</v>
      </c>
      <c r="J2293" s="85" t="s">
        <v>4370</v>
      </c>
      <c r="K2293" s="85" t="s">
        <v>9643</v>
      </c>
      <c r="L2293" s="85" t="s">
        <v>4135</v>
      </c>
      <c r="M2293" s="85" t="s">
        <v>9669</v>
      </c>
    </row>
    <row r="2294" ht="213.75" spans="1:13">
      <c r="A2294" s="85" t="s">
        <v>9640</v>
      </c>
      <c r="B2294" s="85" t="s">
        <v>9251</v>
      </c>
      <c r="C2294" s="85" t="s">
        <v>9252</v>
      </c>
      <c r="D2294" s="85" t="s">
        <v>3230</v>
      </c>
      <c r="E2294" s="85" t="s">
        <v>9253</v>
      </c>
      <c r="F2294" s="86">
        <v>0.05</v>
      </c>
      <c r="G2294" s="86">
        <v>1000</v>
      </c>
      <c r="H2294" s="86">
        <v>50</v>
      </c>
      <c r="I2294" s="86">
        <v>4671</v>
      </c>
      <c r="J2294" s="85" t="s">
        <v>4370</v>
      </c>
      <c r="K2294" s="85" t="s">
        <v>9643</v>
      </c>
      <c r="L2294" s="85" t="s">
        <v>4135</v>
      </c>
      <c r="M2294" s="85" t="s">
        <v>9670</v>
      </c>
    </row>
    <row r="2295" ht="213.75" spans="1:13">
      <c r="A2295" s="85" t="s">
        <v>9660</v>
      </c>
      <c r="B2295" s="85" t="s">
        <v>9671</v>
      </c>
      <c r="C2295" s="85" t="s">
        <v>9672</v>
      </c>
      <c r="D2295" s="85" t="s">
        <v>9673</v>
      </c>
      <c r="E2295" s="85" t="s">
        <v>9674</v>
      </c>
      <c r="F2295" s="86">
        <v>15.88</v>
      </c>
      <c r="G2295" s="86">
        <v>1500</v>
      </c>
      <c r="H2295" s="86">
        <v>23820</v>
      </c>
      <c r="I2295" s="86">
        <v>24629.48</v>
      </c>
      <c r="J2295" s="85" t="s">
        <v>4391</v>
      </c>
      <c r="K2295" s="85" t="s">
        <v>9643</v>
      </c>
      <c r="L2295" s="85" t="s">
        <v>4135</v>
      </c>
      <c r="M2295" s="85" t="s">
        <v>9675</v>
      </c>
    </row>
    <row r="2296" ht="213.75" spans="1:13">
      <c r="A2296" s="85" t="s">
        <v>9645</v>
      </c>
      <c r="B2296" s="85" t="s">
        <v>9676</v>
      </c>
      <c r="C2296" s="85" t="s">
        <v>9677</v>
      </c>
      <c r="D2296" s="85" t="s">
        <v>9648</v>
      </c>
      <c r="E2296" s="85" t="s">
        <v>9678</v>
      </c>
      <c r="F2296" s="86">
        <v>478.85</v>
      </c>
      <c r="G2296" s="86">
        <v>2</v>
      </c>
      <c r="H2296" s="86">
        <v>957.7</v>
      </c>
      <c r="I2296" s="86">
        <v>13150</v>
      </c>
      <c r="J2296" s="85" t="s">
        <v>2935</v>
      </c>
      <c r="K2296" s="85" t="s">
        <v>9643</v>
      </c>
      <c r="L2296" s="85" t="s">
        <v>4135</v>
      </c>
      <c r="M2296" s="85" t="s">
        <v>9679</v>
      </c>
    </row>
    <row r="2297" ht="213.75" spans="1:13">
      <c r="A2297" s="85" t="s">
        <v>9645</v>
      </c>
      <c r="B2297" s="85" t="s">
        <v>9680</v>
      </c>
      <c r="C2297" s="85" t="s">
        <v>9681</v>
      </c>
      <c r="D2297" s="85" t="s">
        <v>3014</v>
      </c>
      <c r="E2297" s="85" t="s">
        <v>9682</v>
      </c>
      <c r="F2297" s="86">
        <v>55</v>
      </c>
      <c r="G2297" s="86">
        <v>2</v>
      </c>
      <c r="H2297" s="86">
        <v>110</v>
      </c>
      <c r="I2297" s="86">
        <v>13150</v>
      </c>
      <c r="J2297" s="85" t="s">
        <v>2935</v>
      </c>
      <c r="K2297" s="85" t="s">
        <v>9643</v>
      </c>
      <c r="L2297" s="85" t="s">
        <v>4135</v>
      </c>
      <c r="M2297" s="85" t="s">
        <v>9683</v>
      </c>
    </row>
    <row r="2298" ht="213.75" spans="1:13">
      <c r="A2298" s="85" t="s">
        <v>9645</v>
      </c>
      <c r="B2298" s="85" t="s">
        <v>9684</v>
      </c>
      <c r="C2298" s="85" t="s">
        <v>9685</v>
      </c>
      <c r="D2298" s="85" t="s">
        <v>7696</v>
      </c>
      <c r="E2298" s="85" t="s">
        <v>7697</v>
      </c>
      <c r="F2298" s="86">
        <v>93.85</v>
      </c>
      <c r="G2298" s="86">
        <v>10</v>
      </c>
      <c r="H2298" s="86">
        <v>938.5</v>
      </c>
      <c r="I2298" s="86">
        <v>13150</v>
      </c>
      <c r="J2298" s="85" t="s">
        <v>2935</v>
      </c>
      <c r="K2298" s="85" t="s">
        <v>9643</v>
      </c>
      <c r="L2298" s="85" t="s">
        <v>4135</v>
      </c>
      <c r="M2298" s="85" t="s">
        <v>9686</v>
      </c>
    </row>
    <row r="2299" ht="213.75" spans="1:13">
      <c r="A2299" s="85" t="s">
        <v>9687</v>
      </c>
      <c r="B2299" s="85" t="s">
        <v>9688</v>
      </c>
      <c r="C2299" s="85" t="s">
        <v>9689</v>
      </c>
      <c r="D2299" s="85" t="s">
        <v>3014</v>
      </c>
      <c r="E2299" s="85" t="s">
        <v>5418</v>
      </c>
      <c r="F2299" s="86">
        <v>37</v>
      </c>
      <c r="G2299" s="86">
        <v>5</v>
      </c>
      <c r="H2299" s="86">
        <v>185</v>
      </c>
      <c r="I2299" s="86">
        <v>185</v>
      </c>
      <c r="J2299" s="85" t="s">
        <v>4391</v>
      </c>
      <c r="K2299" s="85" t="s">
        <v>9643</v>
      </c>
      <c r="L2299" s="85" t="s">
        <v>4135</v>
      </c>
      <c r="M2299" s="85" t="s">
        <v>9690</v>
      </c>
    </row>
    <row r="2300" ht="213.75" spans="1:13">
      <c r="A2300" s="85" t="s">
        <v>9660</v>
      </c>
      <c r="B2300" s="85" t="s">
        <v>9691</v>
      </c>
      <c r="C2300" s="85" t="s">
        <v>9692</v>
      </c>
      <c r="D2300" s="85" t="s">
        <v>5941</v>
      </c>
      <c r="E2300" s="85" t="s">
        <v>9693</v>
      </c>
      <c r="F2300" s="86">
        <v>230.3</v>
      </c>
      <c r="G2300" s="86">
        <v>2</v>
      </c>
      <c r="H2300" s="86">
        <v>460.6</v>
      </c>
      <c r="I2300" s="86">
        <v>24629.48</v>
      </c>
      <c r="J2300" s="85" t="s">
        <v>4391</v>
      </c>
      <c r="K2300" s="85" t="s">
        <v>9643</v>
      </c>
      <c r="L2300" s="85" t="s">
        <v>4135</v>
      </c>
      <c r="M2300" s="85" t="s">
        <v>9694</v>
      </c>
    </row>
    <row r="2301" ht="213.75" spans="1:13">
      <c r="A2301" s="85" t="s">
        <v>9645</v>
      </c>
      <c r="B2301" s="85" t="s">
        <v>9695</v>
      </c>
      <c r="C2301" s="85" t="s">
        <v>9696</v>
      </c>
      <c r="D2301" s="85" t="s">
        <v>5610</v>
      </c>
      <c r="E2301" s="85" t="s">
        <v>5611</v>
      </c>
      <c r="F2301" s="86">
        <v>64</v>
      </c>
      <c r="G2301" s="86">
        <v>52</v>
      </c>
      <c r="H2301" s="86">
        <v>3328</v>
      </c>
      <c r="I2301" s="86">
        <v>13150</v>
      </c>
      <c r="J2301" s="85" t="s">
        <v>2935</v>
      </c>
      <c r="K2301" s="85" t="s">
        <v>9643</v>
      </c>
      <c r="L2301" s="85" t="s">
        <v>4135</v>
      </c>
      <c r="M2301" s="85" t="s">
        <v>9697</v>
      </c>
    </row>
    <row r="2302" ht="213.75" spans="1:13">
      <c r="A2302" s="85" t="s">
        <v>9640</v>
      </c>
      <c r="B2302" s="85" t="s">
        <v>9698</v>
      </c>
      <c r="C2302" s="85" t="s">
        <v>9699</v>
      </c>
      <c r="D2302" s="85" t="s">
        <v>4848</v>
      </c>
      <c r="E2302" s="85" t="s">
        <v>4849</v>
      </c>
      <c r="F2302" s="86">
        <v>0.55</v>
      </c>
      <c r="G2302" s="86">
        <v>1000</v>
      </c>
      <c r="H2302" s="86">
        <v>550</v>
      </c>
      <c r="I2302" s="86">
        <v>4671</v>
      </c>
      <c r="J2302" s="85" t="s">
        <v>4370</v>
      </c>
      <c r="K2302" s="85" t="s">
        <v>9643</v>
      </c>
      <c r="L2302" s="85" t="s">
        <v>4135</v>
      </c>
      <c r="M2302" s="85" t="s">
        <v>9700</v>
      </c>
    </row>
    <row r="2303" ht="213.75" spans="1:13">
      <c r="A2303" s="85" t="s">
        <v>9701</v>
      </c>
      <c r="B2303" s="85" t="s">
        <v>9702</v>
      </c>
      <c r="C2303" s="85" t="s">
        <v>9703</v>
      </c>
      <c r="D2303" s="85" t="s">
        <v>5490</v>
      </c>
      <c r="E2303" s="85" t="s">
        <v>5491</v>
      </c>
      <c r="F2303" s="86">
        <v>60</v>
      </c>
      <c r="G2303" s="86">
        <v>20</v>
      </c>
      <c r="H2303" s="86">
        <v>1200</v>
      </c>
      <c r="I2303" s="86">
        <v>1200</v>
      </c>
      <c r="J2303" s="85" t="s">
        <v>2999</v>
      </c>
      <c r="K2303" s="85" t="s">
        <v>9643</v>
      </c>
      <c r="L2303" s="85" t="s">
        <v>4135</v>
      </c>
      <c r="M2303" s="85" t="s">
        <v>9704</v>
      </c>
    </row>
    <row r="2304" ht="213.75" spans="1:13">
      <c r="A2304" s="85" t="s">
        <v>9645</v>
      </c>
      <c r="B2304" s="85" t="s">
        <v>6822</v>
      </c>
      <c r="C2304" s="85" t="s">
        <v>6823</v>
      </c>
      <c r="D2304" s="85" t="s">
        <v>6824</v>
      </c>
      <c r="E2304" s="85" t="s">
        <v>6825</v>
      </c>
      <c r="F2304" s="86">
        <v>149.51</v>
      </c>
      <c r="G2304" s="86">
        <v>1</v>
      </c>
      <c r="H2304" s="86">
        <v>149.51</v>
      </c>
      <c r="I2304" s="86">
        <v>13150</v>
      </c>
      <c r="J2304" s="85" t="s">
        <v>2935</v>
      </c>
      <c r="K2304" s="85" t="s">
        <v>9643</v>
      </c>
      <c r="L2304" s="85" t="s">
        <v>4135</v>
      </c>
      <c r="M2304" s="85" t="s">
        <v>9705</v>
      </c>
    </row>
    <row r="2305" ht="213.75" spans="1:13">
      <c r="A2305" s="85" t="s">
        <v>9706</v>
      </c>
      <c r="B2305" s="85" t="s">
        <v>4218</v>
      </c>
      <c r="C2305" s="85" t="s">
        <v>4219</v>
      </c>
      <c r="D2305" s="85" t="s">
        <v>4220</v>
      </c>
      <c r="E2305" s="85" t="s">
        <v>4221</v>
      </c>
      <c r="F2305" s="86">
        <v>4.8</v>
      </c>
      <c r="G2305" s="86">
        <v>30</v>
      </c>
      <c r="H2305" s="86">
        <v>144</v>
      </c>
      <c r="I2305" s="86">
        <v>144</v>
      </c>
      <c r="J2305" s="85" t="s">
        <v>2935</v>
      </c>
      <c r="K2305" s="85" t="s">
        <v>9643</v>
      </c>
      <c r="L2305" s="85" t="s">
        <v>4135</v>
      </c>
      <c r="M2305" s="85" t="s">
        <v>9707</v>
      </c>
    </row>
    <row r="2306" ht="213.75" spans="1:13">
      <c r="A2306" s="85" t="s">
        <v>9708</v>
      </c>
      <c r="B2306" s="85" t="s">
        <v>9709</v>
      </c>
      <c r="C2306" s="85" t="s">
        <v>9710</v>
      </c>
      <c r="D2306" s="85" t="s">
        <v>4246</v>
      </c>
      <c r="E2306" s="85" t="s">
        <v>6919</v>
      </c>
      <c r="F2306" s="86">
        <v>244</v>
      </c>
      <c r="G2306" s="86">
        <v>9</v>
      </c>
      <c r="H2306" s="86">
        <v>2196</v>
      </c>
      <c r="I2306" s="86">
        <v>5761</v>
      </c>
      <c r="J2306" s="85" t="s">
        <v>2935</v>
      </c>
      <c r="K2306" s="85" t="s">
        <v>9711</v>
      </c>
      <c r="L2306" s="85" t="s">
        <v>4135</v>
      </c>
      <c r="M2306" s="85" t="s">
        <v>9712</v>
      </c>
    </row>
    <row r="2307" ht="213.75" spans="1:13">
      <c r="A2307" s="85" t="s">
        <v>9713</v>
      </c>
      <c r="B2307" s="85" t="s">
        <v>4214</v>
      </c>
      <c r="C2307" s="85" t="s">
        <v>4215</v>
      </c>
      <c r="D2307" s="85" t="s">
        <v>3241</v>
      </c>
      <c r="E2307" s="85" t="s">
        <v>4216</v>
      </c>
      <c r="F2307" s="86">
        <v>5.5</v>
      </c>
      <c r="G2307" s="86">
        <v>10</v>
      </c>
      <c r="H2307" s="86">
        <v>55</v>
      </c>
      <c r="I2307" s="86">
        <v>35794.4</v>
      </c>
      <c r="J2307" s="85" t="s">
        <v>2935</v>
      </c>
      <c r="K2307" s="85" t="s">
        <v>9711</v>
      </c>
      <c r="L2307" s="85" t="s">
        <v>4135</v>
      </c>
      <c r="M2307" s="85" t="s">
        <v>9714</v>
      </c>
    </row>
    <row r="2308" ht="213.75" spans="1:13">
      <c r="A2308" s="85" t="s">
        <v>9713</v>
      </c>
      <c r="B2308" s="85" t="s">
        <v>9715</v>
      </c>
      <c r="C2308" s="85" t="s">
        <v>9716</v>
      </c>
      <c r="D2308" s="85" t="s">
        <v>4772</v>
      </c>
      <c r="E2308" s="85" t="s">
        <v>4773</v>
      </c>
      <c r="F2308" s="86">
        <v>86</v>
      </c>
      <c r="G2308" s="86">
        <v>2</v>
      </c>
      <c r="H2308" s="86">
        <v>172</v>
      </c>
      <c r="I2308" s="86">
        <v>35794.4</v>
      </c>
      <c r="J2308" s="85" t="s">
        <v>2935</v>
      </c>
      <c r="K2308" s="85" t="s">
        <v>9711</v>
      </c>
      <c r="L2308" s="85" t="s">
        <v>4135</v>
      </c>
      <c r="M2308" s="85" t="s">
        <v>9717</v>
      </c>
    </row>
    <row r="2309" ht="213.75" spans="1:13">
      <c r="A2309" s="85" t="s">
        <v>9708</v>
      </c>
      <c r="B2309" s="85" t="s">
        <v>9718</v>
      </c>
      <c r="C2309" s="85" t="s">
        <v>9719</v>
      </c>
      <c r="D2309" s="85" t="s">
        <v>5302</v>
      </c>
      <c r="E2309" s="85" t="s">
        <v>9720</v>
      </c>
      <c r="F2309" s="86">
        <v>3065</v>
      </c>
      <c r="G2309" s="86">
        <v>1</v>
      </c>
      <c r="H2309" s="86">
        <v>3065</v>
      </c>
      <c r="I2309" s="86">
        <v>5761</v>
      </c>
      <c r="J2309" s="85" t="s">
        <v>2935</v>
      </c>
      <c r="K2309" s="85" t="s">
        <v>9711</v>
      </c>
      <c r="L2309" s="85" t="s">
        <v>4135</v>
      </c>
      <c r="M2309" s="85" t="s">
        <v>9721</v>
      </c>
    </row>
    <row r="2310" ht="213.75" spans="1:13">
      <c r="A2310" s="85" t="s">
        <v>9722</v>
      </c>
      <c r="B2310" s="85" t="s">
        <v>9723</v>
      </c>
      <c r="C2310" s="85" t="s">
        <v>9724</v>
      </c>
      <c r="D2310" s="85" t="s">
        <v>9648</v>
      </c>
      <c r="E2310" s="85" t="s">
        <v>9724</v>
      </c>
      <c r="F2310" s="86">
        <v>1250</v>
      </c>
      <c r="G2310" s="86">
        <v>1</v>
      </c>
      <c r="H2310" s="86">
        <v>1250</v>
      </c>
      <c r="I2310" s="86">
        <v>1250</v>
      </c>
      <c r="J2310" s="85" t="s">
        <v>2935</v>
      </c>
      <c r="K2310" s="85" t="s">
        <v>9711</v>
      </c>
      <c r="L2310" s="85" t="s">
        <v>4135</v>
      </c>
      <c r="M2310" s="85" t="s">
        <v>9725</v>
      </c>
    </row>
    <row r="2311" ht="213.75" spans="1:13">
      <c r="A2311" s="85" t="s">
        <v>9708</v>
      </c>
      <c r="B2311" s="85" t="s">
        <v>9334</v>
      </c>
      <c r="C2311" s="85" t="s">
        <v>9335</v>
      </c>
      <c r="D2311" s="85" t="s">
        <v>4911</v>
      </c>
      <c r="E2311" s="85" t="s">
        <v>4761</v>
      </c>
      <c r="F2311" s="86">
        <v>10</v>
      </c>
      <c r="G2311" s="86">
        <v>50</v>
      </c>
      <c r="H2311" s="86">
        <v>500</v>
      </c>
      <c r="I2311" s="86">
        <v>5761</v>
      </c>
      <c r="J2311" s="85" t="s">
        <v>2935</v>
      </c>
      <c r="K2311" s="85" t="s">
        <v>9711</v>
      </c>
      <c r="L2311" s="85" t="s">
        <v>4135</v>
      </c>
      <c r="M2311" s="85" t="s">
        <v>9726</v>
      </c>
    </row>
    <row r="2312" ht="213.75" spans="1:13">
      <c r="A2312" s="85" t="s">
        <v>9713</v>
      </c>
      <c r="B2312" s="85" t="s">
        <v>9727</v>
      </c>
      <c r="C2312" s="85" t="s">
        <v>9728</v>
      </c>
      <c r="D2312" s="85" t="s">
        <v>4692</v>
      </c>
      <c r="E2312" s="85" t="s">
        <v>4693</v>
      </c>
      <c r="F2312" s="86">
        <v>139</v>
      </c>
      <c r="G2312" s="86">
        <v>200</v>
      </c>
      <c r="H2312" s="86">
        <v>27800</v>
      </c>
      <c r="I2312" s="86">
        <v>35794.4</v>
      </c>
      <c r="J2312" s="85" t="s">
        <v>2935</v>
      </c>
      <c r="K2312" s="85" t="s">
        <v>9711</v>
      </c>
      <c r="L2312" s="85" t="s">
        <v>4135</v>
      </c>
      <c r="M2312" s="85" t="s">
        <v>9729</v>
      </c>
    </row>
    <row r="2313" ht="213.75" spans="1:13">
      <c r="A2313" s="85" t="s">
        <v>9713</v>
      </c>
      <c r="B2313" s="85" t="s">
        <v>9329</v>
      </c>
      <c r="C2313" s="85" t="s">
        <v>9330</v>
      </c>
      <c r="D2313" s="85" t="s">
        <v>9331</v>
      </c>
      <c r="E2313" s="85" t="s">
        <v>9332</v>
      </c>
      <c r="F2313" s="86">
        <v>5.5</v>
      </c>
      <c r="G2313" s="86">
        <v>10</v>
      </c>
      <c r="H2313" s="86">
        <v>55</v>
      </c>
      <c r="I2313" s="86">
        <v>35794.4</v>
      </c>
      <c r="J2313" s="85" t="s">
        <v>2935</v>
      </c>
      <c r="K2313" s="85" t="s">
        <v>9711</v>
      </c>
      <c r="L2313" s="85" t="s">
        <v>4135</v>
      </c>
      <c r="M2313" s="85" t="s">
        <v>9730</v>
      </c>
    </row>
    <row r="2314" ht="213.75" spans="1:13">
      <c r="A2314" s="85" t="s">
        <v>9713</v>
      </c>
      <c r="B2314" s="85" t="s">
        <v>8540</v>
      </c>
      <c r="C2314" s="85" t="s">
        <v>8541</v>
      </c>
      <c r="D2314" s="85" t="s">
        <v>3201</v>
      </c>
      <c r="E2314" s="85" t="s">
        <v>8541</v>
      </c>
      <c r="F2314" s="86">
        <v>4.5</v>
      </c>
      <c r="G2314" s="86">
        <v>60</v>
      </c>
      <c r="H2314" s="86">
        <v>270</v>
      </c>
      <c r="I2314" s="86">
        <v>35794.4</v>
      </c>
      <c r="J2314" s="85" t="s">
        <v>2935</v>
      </c>
      <c r="K2314" s="85" t="s">
        <v>9711</v>
      </c>
      <c r="L2314" s="85" t="s">
        <v>4135</v>
      </c>
      <c r="M2314" s="85" t="s">
        <v>9731</v>
      </c>
    </row>
    <row r="2315" ht="213.75" spans="1:13">
      <c r="A2315" s="85" t="s">
        <v>9713</v>
      </c>
      <c r="B2315" s="85" t="s">
        <v>9732</v>
      </c>
      <c r="C2315" s="85" t="s">
        <v>9733</v>
      </c>
      <c r="D2315" s="85" t="s">
        <v>4824</v>
      </c>
      <c r="E2315" s="85" t="s">
        <v>9734</v>
      </c>
      <c r="F2315" s="86">
        <v>45.24</v>
      </c>
      <c r="G2315" s="86">
        <v>10</v>
      </c>
      <c r="H2315" s="86">
        <v>452.4</v>
      </c>
      <c r="I2315" s="86">
        <v>35794.4</v>
      </c>
      <c r="J2315" s="85" t="s">
        <v>2935</v>
      </c>
      <c r="K2315" s="85" t="s">
        <v>9711</v>
      </c>
      <c r="L2315" s="85" t="s">
        <v>4135</v>
      </c>
      <c r="M2315" s="85" t="s">
        <v>9735</v>
      </c>
    </row>
    <row r="2316" ht="213.75" spans="1:13">
      <c r="A2316" s="85" t="s">
        <v>9713</v>
      </c>
      <c r="B2316" s="85" t="s">
        <v>9357</v>
      </c>
      <c r="C2316" s="85" t="s">
        <v>9358</v>
      </c>
      <c r="D2316" s="85" t="s">
        <v>3230</v>
      </c>
      <c r="E2316" s="85" t="s">
        <v>9358</v>
      </c>
      <c r="F2316" s="86">
        <v>28.5</v>
      </c>
      <c r="G2316" s="86">
        <v>10</v>
      </c>
      <c r="H2316" s="86">
        <v>285</v>
      </c>
      <c r="I2316" s="86">
        <v>35794.4</v>
      </c>
      <c r="J2316" s="85" t="s">
        <v>2935</v>
      </c>
      <c r="K2316" s="85" t="s">
        <v>9711</v>
      </c>
      <c r="L2316" s="85" t="s">
        <v>4135</v>
      </c>
      <c r="M2316" s="85" t="s">
        <v>9736</v>
      </c>
    </row>
    <row r="2317" ht="213.75" spans="1:13">
      <c r="A2317" s="85" t="s">
        <v>9713</v>
      </c>
      <c r="B2317" s="85" t="s">
        <v>9737</v>
      </c>
      <c r="C2317" s="85" t="s">
        <v>9738</v>
      </c>
      <c r="D2317" s="85" t="s">
        <v>9739</v>
      </c>
      <c r="E2317" s="85" t="s">
        <v>9740</v>
      </c>
      <c r="F2317" s="86">
        <v>75</v>
      </c>
      <c r="G2317" s="86">
        <v>1</v>
      </c>
      <c r="H2317" s="86">
        <v>75</v>
      </c>
      <c r="I2317" s="86">
        <v>35794.4</v>
      </c>
      <c r="J2317" s="85" t="s">
        <v>2935</v>
      </c>
      <c r="K2317" s="85" t="s">
        <v>9711</v>
      </c>
      <c r="L2317" s="85" t="s">
        <v>4135</v>
      </c>
      <c r="M2317" s="85" t="s">
        <v>9741</v>
      </c>
    </row>
    <row r="2318" ht="213.75" spans="1:13">
      <c r="A2318" s="85" t="s">
        <v>9713</v>
      </c>
      <c r="B2318" s="85" t="s">
        <v>9742</v>
      </c>
      <c r="C2318" s="85" t="s">
        <v>9743</v>
      </c>
      <c r="D2318" s="85" t="s">
        <v>6924</v>
      </c>
      <c r="E2318" s="85" t="s">
        <v>7837</v>
      </c>
      <c r="F2318" s="86">
        <v>9.88</v>
      </c>
      <c r="G2318" s="86">
        <v>100</v>
      </c>
      <c r="H2318" s="86">
        <v>988</v>
      </c>
      <c r="I2318" s="86">
        <v>35794.4</v>
      </c>
      <c r="J2318" s="85" t="s">
        <v>2935</v>
      </c>
      <c r="K2318" s="85" t="s">
        <v>9711</v>
      </c>
      <c r="L2318" s="85" t="s">
        <v>4135</v>
      </c>
      <c r="M2318" s="85" t="s">
        <v>9744</v>
      </c>
    </row>
    <row r="2319" ht="213.75" spans="1:13">
      <c r="A2319" s="85" t="s">
        <v>9713</v>
      </c>
      <c r="B2319" s="85" t="s">
        <v>9745</v>
      </c>
      <c r="C2319" s="85" t="s">
        <v>9746</v>
      </c>
      <c r="D2319" s="85" t="s">
        <v>3337</v>
      </c>
      <c r="E2319" s="85" t="s">
        <v>3338</v>
      </c>
      <c r="F2319" s="86">
        <v>28</v>
      </c>
      <c r="G2319" s="86">
        <v>30</v>
      </c>
      <c r="H2319" s="86">
        <v>840</v>
      </c>
      <c r="I2319" s="86">
        <v>35794.4</v>
      </c>
      <c r="J2319" s="85" t="s">
        <v>2935</v>
      </c>
      <c r="K2319" s="85" t="s">
        <v>9711</v>
      </c>
      <c r="L2319" s="85" t="s">
        <v>4135</v>
      </c>
      <c r="M2319" s="85" t="s">
        <v>9747</v>
      </c>
    </row>
    <row r="2320" ht="213.75" spans="1:13">
      <c r="A2320" s="85" t="s">
        <v>9713</v>
      </c>
      <c r="B2320" s="85" t="s">
        <v>9748</v>
      </c>
      <c r="C2320" s="85" t="s">
        <v>9749</v>
      </c>
      <c r="D2320" s="85" t="s">
        <v>3046</v>
      </c>
      <c r="E2320" s="85" t="s">
        <v>6506</v>
      </c>
      <c r="F2320" s="86">
        <v>565</v>
      </c>
      <c r="G2320" s="86">
        <v>5</v>
      </c>
      <c r="H2320" s="86">
        <v>2825</v>
      </c>
      <c r="I2320" s="86">
        <v>35794.4</v>
      </c>
      <c r="J2320" s="85" t="s">
        <v>2935</v>
      </c>
      <c r="K2320" s="85" t="s">
        <v>9711</v>
      </c>
      <c r="L2320" s="85" t="s">
        <v>4135</v>
      </c>
      <c r="M2320" s="85" t="s">
        <v>9750</v>
      </c>
    </row>
    <row r="2321" ht="213.75" spans="1:13">
      <c r="A2321" s="85" t="s">
        <v>9713</v>
      </c>
      <c r="B2321" s="85" t="s">
        <v>9751</v>
      </c>
      <c r="C2321" s="85" t="s">
        <v>9752</v>
      </c>
      <c r="D2321" s="85" t="s">
        <v>9753</v>
      </c>
      <c r="E2321" s="85" t="s">
        <v>1906</v>
      </c>
      <c r="F2321" s="86">
        <v>35</v>
      </c>
      <c r="G2321" s="86">
        <v>30</v>
      </c>
      <c r="H2321" s="86">
        <v>1050</v>
      </c>
      <c r="I2321" s="86">
        <v>35794.4</v>
      </c>
      <c r="J2321" s="85" t="s">
        <v>2935</v>
      </c>
      <c r="K2321" s="85" t="s">
        <v>9711</v>
      </c>
      <c r="L2321" s="85" t="s">
        <v>4135</v>
      </c>
      <c r="M2321" s="85" t="s">
        <v>9754</v>
      </c>
    </row>
    <row r="2322" ht="213.75" spans="1:13">
      <c r="A2322" s="85" t="s">
        <v>9713</v>
      </c>
      <c r="B2322" s="85" t="s">
        <v>9755</v>
      </c>
      <c r="C2322" s="85" t="s">
        <v>9756</v>
      </c>
      <c r="D2322" s="85" t="s">
        <v>9757</v>
      </c>
      <c r="E2322" s="85" t="s">
        <v>9758</v>
      </c>
      <c r="F2322" s="86">
        <v>25</v>
      </c>
      <c r="G2322" s="86">
        <v>30</v>
      </c>
      <c r="H2322" s="86">
        <v>750</v>
      </c>
      <c r="I2322" s="86">
        <v>35794.4</v>
      </c>
      <c r="J2322" s="85" t="s">
        <v>2935</v>
      </c>
      <c r="K2322" s="85" t="s">
        <v>9711</v>
      </c>
      <c r="L2322" s="85" t="s">
        <v>4135</v>
      </c>
      <c r="M2322" s="85" t="s">
        <v>9759</v>
      </c>
    </row>
    <row r="2323" ht="213.75" spans="1:13">
      <c r="A2323" s="85" t="s">
        <v>9713</v>
      </c>
      <c r="B2323" s="85" t="s">
        <v>9760</v>
      </c>
      <c r="C2323" s="85" t="s">
        <v>9761</v>
      </c>
      <c r="D2323" s="85" t="s">
        <v>3197</v>
      </c>
      <c r="E2323" s="85" t="s">
        <v>9762</v>
      </c>
      <c r="F2323" s="86">
        <v>11</v>
      </c>
      <c r="G2323" s="86">
        <v>3</v>
      </c>
      <c r="H2323" s="86">
        <v>33</v>
      </c>
      <c r="I2323" s="86">
        <v>35794.4</v>
      </c>
      <c r="J2323" s="85" t="s">
        <v>2935</v>
      </c>
      <c r="K2323" s="85" t="s">
        <v>9711</v>
      </c>
      <c r="L2323" s="85" t="s">
        <v>4135</v>
      </c>
      <c r="M2323" s="85" t="s">
        <v>9763</v>
      </c>
    </row>
    <row r="2324" ht="213.75" spans="1:13">
      <c r="A2324" s="85" t="s">
        <v>9713</v>
      </c>
      <c r="B2324" s="85" t="s">
        <v>9764</v>
      </c>
      <c r="C2324" s="85" t="s">
        <v>9765</v>
      </c>
      <c r="D2324" s="85" t="s">
        <v>3367</v>
      </c>
      <c r="E2324" s="85" t="s">
        <v>9766</v>
      </c>
      <c r="F2324" s="86">
        <v>12</v>
      </c>
      <c r="G2324" s="86">
        <v>12</v>
      </c>
      <c r="H2324" s="86">
        <v>144</v>
      </c>
      <c r="I2324" s="86">
        <v>35794.4</v>
      </c>
      <c r="J2324" s="85" t="s">
        <v>2935</v>
      </c>
      <c r="K2324" s="85" t="s">
        <v>9711</v>
      </c>
      <c r="L2324" s="85" t="s">
        <v>4135</v>
      </c>
      <c r="M2324" s="85" t="s">
        <v>9767</v>
      </c>
    </row>
    <row r="2325" ht="213.75" spans="1:13">
      <c r="A2325" s="85" t="s">
        <v>9768</v>
      </c>
      <c r="B2325" s="85" t="s">
        <v>9769</v>
      </c>
      <c r="C2325" s="85" t="s">
        <v>9770</v>
      </c>
      <c r="D2325" s="85" t="s">
        <v>9771</v>
      </c>
      <c r="E2325" s="85" t="s">
        <v>9772</v>
      </c>
      <c r="F2325" s="86">
        <v>35</v>
      </c>
      <c r="G2325" s="86">
        <v>2</v>
      </c>
      <c r="H2325" s="86">
        <v>70</v>
      </c>
      <c r="I2325" s="86">
        <v>2258.3</v>
      </c>
      <c r="J2325" s="85" t="s">
        <v>2935</v>
      </c>
      <c r="K2325" s="85" t="s">
        <v>9773</v>
      </c>
      <c r="L2325" s="85" t="s">
        <v>4135</v>
      </c>
      <c r="M2325" s="85" t="s">
        <v>9774</v>
      </c>
    </row>
    <row r="2326" ht="213.75" spans="1:13">
      <c r="A2326" s="85" t="s">
        <v>9775</v>
      </c>
      <c r="B2326" s="85" t="s">
        <v>8883</v>
      </c>
      <c r="C2326" s="85" t="s">
        <v>8884</v>
      </c>
      <c r="D2326" s="85" t="s">
        <v>3041</v>
      </c>
      <c r="E2326" s="85" t="s">
        <v>3158</v>
      </c>
      <c r="F2326" s="86">
        <v>19</v>
      </c>
      <c r="G2326" s="86">
        <v>300</v>
      </c>
      <c r="H2326" s="86">
        <v>5700</v>
      </c>
      <c r="I2326" s="86">
        <v>6400</v>
      </c>
      <c r="J2326" s="85" t="s">
        <v>4370</v>
      </c>
      <c r="K2326" s="85" t="s">
        <v>9773</v>
      </c>
      <c r="L2326" s="85" t="s">
        <v>4135</v>
      </c>
      <c r="M2326" s="85" t="s">
        <v>9776</v>
      </c>
    </row>
    <row r="2327" ht="213.75" spans="1:13">
      <c r="A2327" s="85" t="s">
        <v>9777</v>
      </c>
      <c r="B2327" s="85" t="s">
        <v>3788</v>
      </c>
      <c r="C2327" s="85" t="s">
        <v>3789</v>
      </c>
      <c r="D2327" s="85" t="s">
        <v>3189</v>
      </c>
      <c r="E2327" s="85" t="s">
        <v>3790</v>
      </c>
      <c r="F2327" s="86">
        <v>100</v>
      </c>
      <c r="G2327" s="86">
        <v>16</v>
      </c>
      <c r="H2327" s="86">
        <v>1600</v>
      </c>
      <c r="I2327" s="86">
        <v>1600</v>
      </c>
      <c r="J2327" s="85" t="s">
        <v>7934</v>
      </c>
      <c r="K2327" s="85" t="s">
        <v>9773</v>
      </c>
      <c r="L2327" s="85" t="s">
        <v>4135</v>
      </c>
      <c r="M2327" s="85" t="s">
        <v>9778</v>
      </c>
    </row>
    <row r="2328" ht="213.75" spans="1:13">
      <c r="A2328" s="85" t="s">
        <v>9779</v>
      </c>
      <c r="B2328" s="85" t="s">
        <v>9780</v>
      </c>
      <c r="C2328" s="85" t="s">
        <v>9781</v>
      </c>
      <c r="D2328" s="85" t="s">
        <v>4546</v>
      </c>
      <c r="E2328" s="85" t="s">
        <v>9782</v>
      </c>
      <c r="F2328" s="86">
        <v>120.54</v>
      </c>
      <c r="G2328" s="86">
        <v>1</v>
      </c>
      <c r="H2328" s="86">
        <v>120.54</v>
      </c>
      <c r="I2328" s="86">
        <v>1676.74</v>
      </c>
      <c r="J2328" s="85" t="s">
        <v>4391</v>
      </c>
      <c r="K2328" s="85" t="s">
        <v>9773</v>
      </c>
      <c r="L2328" s="85" t="s">
        <v>4135</v>
      </c>
      <c r="M2328" s="85" t="s">
        <v>9783</v>
      </c>
    </row>
    <row r="2329" ht="213.75" spans="1:13">
      <c r="A2329" s="85" t="s">
        <v>9784</v>
      </c>
      <c r="B2329" s="85" t="s">
        <v>9451</v>
      </c>
      <c r="C2329" s="85" t="s">
        <v>9452</v>
      </c>
      <c r="D2329" s="85" t="s">
        <v>3753</v>
      </c>
      <c r="E2329" s="85" t="s">
        <v>3763</v>
      </c>
      <c r="F2329" s="86">
        <v>489.51</v>
      </c>
      <c r="G2329" s="86">
        <v>1</v>
      </c>
      <c r="H2329" s="86">
        <v>489.51</v>
      </c>
      <c r="I2329" s="86">
        <v>1509.34</v>
      </c>
      <c r="J2329" s="85" t="s">
        <v>3112</v>
      </c>
      <c r="K2329" s="85" t="s">
        <v>9773</v>
      </c>
      <c r="L2329" s="85" t="s">
        <v>4135</v>
      </c>
      <c r="M2329" s="85" t="s">
        <v>9785</v>
      </c>
    </row>
    <row r="2330" ht="213.75" spans="1:13">
      <c r="A2330" s="85" t="s">
        <v>9768</v>
      </c>
      <c r="B2330" s="85" t="s">
        <v>9015</v>
      </c>
      <c r="C2330" s="85" t="s">
        <v>9016</v>
      </c>
      <c r="D2330" s="85" t="s">
        <v>3189</v>
      </c>
      <c r="E2330" s="85" t="s">
        <v>9017</v>
      </c>
      <c r="F2330" s="86">
        <v>49.9</v>
      </c>
      <c r="G2330" s="86">
        <v>2</v>
      </c>
      <c r="H2330" s="86">
        <v>99.8</v>
      </c>
      <c r="I2330" s="86">
        <v>2258.3</v>
      </c>
      <c r="J2330" s="85" t="s">
        <v>2935</v>
      </c>
      <c r="K2330" s="85" t="s">
        <v>9773</v>
      </c>
      <c r="L2330" s="85" t="s">
        <v>4135</v>
      </c>
      <c r="M2330" s="85" t="s">
        <v>9786</v>
      </c>
    </row>
    <row r="2331" ht="213.75" spans="1:13">
      <c r="A2331" s="85" t="s">
        <v>9768</v>
      </c>
      <c r="B2331" s="85" t="s">
        <v>8554</v>
      </c>
      <c r="C2331" s="85" t="s">
        <v>8555</v>
      </c>
      <c r="D2331" s="85" t="s">
        <v>3189</v>
      </c>
      <c r="E2331" s="85" t="s">
        <v>3190</v>
      </c>
      <c r="F2331" s="86">
        <v>59.9</v>
      </c>
      <c r="G2331" s="86">
        <v>5</v>
      </c>
      <c r="H2331" s="86">
        <v>299.5</v>
      </c>
      <c r="I2331" s="86">
        <v>2258.3</v>
      </c>
      <c r="J2331" s="85" t="s">
        <v>2935</v>
      </c>
      <c r="K2331" s="85" t="s">
        <v>9773</v>
      </c>
      <c r="L2331" s="85" t="s">
        <v>4135</v>
      </c>
      <c r="M2331" s="85" t="s">
        <v>9787</v>
      </c>
    </row>
    <row r="2332" ht="213.75" spans="1:13">
      <c r="A2332" s="85" t="s">
        <v>9779</v>
      </c>
      <c r="B2332" s="85" t="s">
        <v>9487</v>
      </c>
      <c r="C2332" s="85" t="s">
        <v>9488</v>
      </c>
      <c r="D2332" s="85" t="s">
        <v>3189</v>
      </c>
      <c r="E2332" s="85" t="s">
        <v>3933</v>
      </c>
      <c r="F2332" s="86">
        <v>28.71</v>
      </c>
      <c r="G2332" s="86">
        <v>10</v>
      </c>
      <c r="H2332" s="86">
        <v>287.1</v>
      </c>
      <c r="I2332" s="86">
        <v>1676.74</v>
      </c>
      <c r="J2332" s="85" t="s">
        <v>4391</v>
      </c>
      <c r="K2332" s="85" t="s">
        <v>9773</v>
      </c>
      <c r="L2332" s="85" t="s">
        <v>4135</v>
      </c>
      <c r="M2332" s="85" t="s">
        <v>9788</v>
      </c>
    </row>
    <row r="2333" ht="213.75" spans="1:13">
      <c r="A2333" s="85" t="s">
        <v>9768</v>
      </c>
      <c r="B2333" s="85" t="s">
        <v>5349</v>
      </c>
      <c r="C2333" s="85" t="s">
        <v>5350</v>
      </c>
      <c r="D2333" s="85" t="s">
        <v>3189</v>
      </c>
      <c r="E2333" s="85" t="s">
        <v>5351</v>
      </c>
      <c r="F2333" s="86">
        <v>19</v>
      </c>
      <c r="G2333" s="86">
        <v>21</v>
      </c>
      <c r="H2333" s="86">
        <v>399</v>
      </c>
      <c r="I2333" s="86">
        <v>2258.3</v>
      </c>
      <c r="J2333" s="85" t="s">
        <v>2935</v>
      </c>
      <c r="K2333" s="85" t="s">
        <v>9773</v>
      </c>
      <c r="L2333" s="85" t="s">
        <v>4135</v>
      </c>
      <c r="M2333" s="85" t="s">
        <v>9789</v>
      </c>
    </row>
    <row r="2334" ht="213.75" spans="1:13">
      <c r="A2334" s="85" t="s">
        <v>9784</v>
      </c>
      <c r="B2334" s="85" t="s">
        <v>9790</v>
      </c>
      <c r="C2334" s="85" t="s">
        <v>9791</v>
      </c>
      <c r="D2334" s="85" t="s">
        <v>3753</v>
      </c>
      <c r="E2334" s="85" t="s">
        <v>3763</v>
      </c>
      <c r="F2334" s="86">
        <v>285.55</v>
      </c>
      <c r="G2334" s="86">
        <v>1</v>
      </c>
      <c r="H2334" s="86">
        <v>285.55</v>
      </c>
      <c r="I2334" s="86">
        <v>1509.34</v>
      </c>
      <c r="J2334" s="85" t="s">
        <v>3112</v>
      </c>
      <c r="K2334" s="85" t="s">
        <v>9773</v>
      </c>
      <c r="L2334" s="85" t="s">
        <v>4135</v>
      </c>
      <c r="M2334" s="85" t="s">
        <v>9792</v>
      </c>
    </row>
    <row r="2335" ht="213.75" spans="1:13">
      <c r="A2335" s="85" t="s">
        <v>9793</v>
      </c>
      <c r="B2335" s="85" t="s">
        <v>8266</v>
      </c>
      <c r="C2335" s="85" t="s">
        <v>8267</v>
      </c>
      <c r="D2335" s="85" t="s">
        <v>3189</v>
      </c>
      <c r="E2335" s="85" t="s">
        <v>6337</v>
      </c>
      <c r="F2335" s="86">
        <v>27</v>
      </c>
      <c r="G2335" s="86">
        <v>300</v>
      </c>
      <c r="H2335" s="86">
        <v>8100</v>
      </c>
      <c r="I2335" s="86">
        <v>8100</v>
      </c>
      <c r="J2335" s="85" t="s">
        <v>8268</v>
      </c>
      <c r="K2335" s="85" t="s">
        <v>9773</v>
      </c>
      <c r="L2335" s="85" t="s">
        <v>4135</v>
      </c>
      <c r="M2335" s="85" t="s">
        <v>9794</v>
      </c>
    </row>
    <row r="2336" ht="213.75" spans="1:13">
      <c r="A2336" s="85" t="s">
        <v>9779</v>
      </c>
      <c r="B2336" s="85" t="s">
        <v>9210</v>
      </c>
      <c r="C2336" s="85" t="s">
        <v>9211</v>
      </c>
      <c r="D2336" s="85" t="s">
        <v>3189</v>
      </c>
      <c r="E2336" s="85" t="s">
        <v>9212</v>
      </c>
      <c r="F2336" s="86">
        <v>181.3</v>
      </c>
      <c r="G2336" s="86">
        <v>7</v>
      </c>
      <c r="H2336" s="86">
        <v>1269.1</v>
      </c>
      <c r="I2336" s="86">
        <v>1676.74</v>
      </c>
      <c r="J2336" s="85" t="s">
        <v>4391</v>
      </c>
      <c r="K2336" s="85" t="s">
        <v>9773</v>
      </c>
      <c r="L2336" s="85" t="s">
        <v>4135</v>
      </c>
      <c r="M2336" s="85" t="s">
        <v>9795</v>
      </c>
    </row>
    <row r="2337" ht="213.75" spans="1:13">
      <c r="A2337" s="85" t="s">
        <v>9775</v>
      </c>
      <c r="B2337" s="85" t="s">
        <v>9228</v>
      </c>
      <c r="C2337" s="85" t="s">
        <v>9229</v>
      </c>
      <c r="D2337" s="85" t="s">
        <v>3041</v>
      </c>
      <c r="E2337" s="85" t="s">
        <v>3158</v>
      </c>
      <c r="F2337" s="86">
        <v>35</v>
      </c>
      <c r="G2337" s="86">
        <v>20</v>
      </c>
      <c r="H2337" s="86">
        <v>700</v>
      </c>
      <c r="I2337" s="86">
        <v>6400</v>
      </c>
      <c r="J2337" s="85" t="s">
        <v>4370</v>
      </c>
      <c r="K2337" s="85" t="s">
        <v>9773</v>
      </c>
      <c r="L2337" s="85" t="s">
        <v>4135</v>
      </c>
      <c r="M2337" s="85" t="s">
        <v>9796</v>
      </c>
    </row>
    <row r="2338" ht="213.75" spans="1:13">
      <c r="A2338" s="85" t="s">
        <v>9768</v>
      </c>
      <c r="B2338" s="85" t="s">
        <v>9797</v>
      </c>
      <c r="C2338" s="85" t="s">
        <v>9798</v>
      </c>
      <c r="D2338" s="85" t="s">
        <v>3753</v>
      </c>
      <c r="E2338" s="85" t="s">
        <v>8549</v>
      </c>
      <c r="F2338" s="86">
        <v>13</v>
      </c>
      <c r="G2338" s="86">
        <v>30</v>
      </c>
      <c r="H2338" s="86">
        <v>390</v>
      </c>
      <c r="I2338" s="86">
        <v>2258.3</v>
      </c>
      <c r="J2338" s="85" t="s">
        <v>2935</v>
      </c>
      <c r="K2338" s="85" t="s">
        <v>9773</v>
      </c>
      <c r="L2338" s="85" t="s">
        <v>4135</v>
      </c>
      <c r="M2338" s="85" t="s">
        <v>9799</v>
      </c>
    </row>
    <row r="2339" ht="213.75" spans="1:13">
      <c r="A2339" s="85" t="s">
        <v>9768</v>
      </c>
      <c r="B2339" s="85" t="s">
        <v>9533</v>
      </c>
      <c r="C2339" s="85" t="s">
        <v>9534</v>
      </c>
      <c r="D2339" s="85" t="s">
        <v>2977</v>
      </c>
      <c r="E2339" s="85" t="s">
        <v>8894</v>
      </c>
      <c r="F2339" s="86">
        <v>4</v>
      </c>
      <c r="G2339" s="86">
        <v>100</v>
      </c>
      <c r="H2339" s="86">
        <v>400</v>
      </c>
      <c r="I2339" s="86">
        <v>2258.3</v>
      </c>
      <c r="J2339" s="85" t="s">
        <v>2935</v>
      </c>
      <c r="K2339" s="85" t="s">
        <v>9773</v>
      </c>
      <c r="L2339" s="85" t="s">
        <v>4135</v>
      </c>
      <c r="M2339" s="85" t="s">
        <v>9800</v>
      </c>
    </row>
    <row r="2340" ht="213.75" spans="1:13">
      <c r="A2340" s="85" t="s">
        <v>9784</v>
      </c>
      <c r="B2340" s="85" t="s">
        <v>4359</v>
      </c>
      <c r="C2340" s="85" t="s">
        <v>4360</v>
      </c>
      <c r="D2340" s="85" t="s">
        <v>3753</v>
      </c>
      <c r="E2340" s="85" t="s">
        <v>3763</v>
      </c>
      <c r="F2340" s="86">
        <v>81.59</v>
      </c>
      <c r="G2340" s="86">
        <v>2</v>
      </c>
      <c r="H2340" s="86">
        <v>163.18</v>
      </c>
      <c r="I2340" s="86">
        <v>1509.34</v>
      </c>
      <c r="J2340" s="85" t="s">
        <v>3112</v>
      </c>
      <c r="K2340" s="85" t="s">
        <v>9773</v>
      </c>
      <c r="L2340" s="85" t="s">
        <v>4135</v>
      </c>
      <c r="M2340" s="85" t="s">
        <v>9801</v>
      </c>
    </row>
    <row r="2341" ht="213.75" spans="1:13">
      <c r="A2341" s="85" t="s">
        <v>9768</v>
      </c>
      <c r="B2341" s="85" t="s">
        <v>9802</v>
      </c>
      <c r="C2341" s="85" t="s">
        <v>9803</v>
      </c>
      <c r="D2341" s="85" t="s">
        <v>3183</v>
      </c>
      <c r="E2341" s="85" t="s">
        <v>9804</v>
      </c>
      <c r="F2341" s="86">
        <v>60</v>
      </c>
      <c r="G2341" s="86">
        <v>10</v>
      </c>
      <c r="H2341" s="86">
        <v>600</v>
      </c>
      <c r="I2341" s="86">
        <v>2258.3</v>
      </c>
      <c r="J2341" s="85" t="s">
        <v>2935</v>
      </c>
      <c r="K2341" s="85" t="s">
        <v>9773</v>
      </c>
      <c r="L2341" s="85" t="s">
        <v>4135</v>
      </c>
      <c r="M2341" s="85" t="s">
        <v>9805</v>
      </c>
    </row>
    <row r="2342" ht="213.75" spans="1:13">
      <c r="A2342" s="85" t="s">
        <v>9784</v>
      </c>
      <c r="B2342" s="85" t="s">
        <v>9289</v>
      </c>
      <c r="C2342" s="85" t="s">
        <v>9290</v>
      </c>
      <c r="D2342" s="85" t="s">
        <v>3753</v>
      </c>
      <c r="E2342" s="85" t="s">
        <v>3763</v>
      </c>
      <c r="F2342" s="86">
        <v>285.55</v>
      </c>
      <c r="G2342" s="86">
        <v>2</v>
      </c>
      <c r="H2342" s="86">
        <v>571.1</v>
      </c>
      <c r="I2342" s="86">
        <v>1509.34</v>
      </c>
      <c r="J2342" s="85" t="s">
        <v>3112</v>
      </c>
      <c r="K2342" s="85" t="s">
        <v>9773</v>
      </c>
      <c r="L2342" s="85" t="s">
        <v>4135</v>
      </c>
      <c r="M2342" s="85" t="s">
        <v>9806</v>
      </c>
    </row>
    <row r="2343" ht="213.75" spans="1:13">
      <c r="A2343" s="85" t="s">
        <v>9807</v>
      </c>
      <c r="B2343" s="85" t="s">
        <v>9808</v>
      </c>
      <c r="C2343" s="85" t="s">
        <v>9809</v>
      </c>
      <c r="D2343" s="85" t="s">
        <v>8767</v>
      </c>
      <c r="E2343" s="85" t="s">
        <v>3050</v>
      </c>
      <c r="F2343" s="86">
        <v>5.6</v>
      </c>
      <c r="G2343" s="86">
        <v>100</v>
      </c>
      <c r="H2343" s="86">
        <v>560</v>
      </c>
      <c r="I2343" s="86">
        <v>67568.95</v>
      </c>
      <c r="J2343" s="85" t="s">
        <v>9135</v>
      </c>
      <c r="K2343" s="85" t="s">
        <v>9810</v>
      </c>
      <c r="L2343" s="85" t="s">
        <v>4135</v>
      </c>
      <c r="M2343" s="85" t="s">
        <v>9811</v>
      </c>
    </row>
    <row r="2344" ht="213.75" spans="1:13">
      <c r="A2344" s="85" t="s">
        <v>9807</v>
      </c>
      <c r="B2344" s="85" t="s">
        <v>9812</v>
      </c>
      <c r="C2344" s="85" t="s">
        <v>9813</v>
      </c>
      <c r="D2344" s="85" t="s">
        <v>2992</v>
      </c>
      <c r="E2344" s="85" t="s">
        <v>1815</v>
      </c>
      <c r="F2344" s="86">
        <v>378.74</v>
      </c>
      <c r="G2344" s="86">
        <v>10</v>
      </c>
      <c r="H2344" s="86">
        <v>3787.4</v>
      </c>
      <c r="I2344" s="86">
        <v>67568.95</v>
      </c>
      <c r="J2344" s="85" t="s">
        <v>9135</v>
      </c>
      <c r="K2344" s="85" t="s">
        <v>9810</v>
      </c>
      <c r="L2344" s="85" t="s">
        <v>4135</v>
      </c>
      <c r="M2344" s="85" t="s">
        <v>9814</v>
      </c>
    </row>
    <row r="2345" ht="213.75" spans="1:13">
      <c r="A2345" s="85" t="s">
        <v>9807</v>
      </c>
      <c r="B2345" s="85" t="s">
        <v>9815</v>
      </c>
      <c r="C2345" s="85" t="s">
        <v>9816</v>
      </c>
      <c r="D2345" s="85" t="s">
        <v>9817</v>
      </c>
      <c r="E2345" s="85" t="s">
        <v>9818</v>
      </c>
      <c r="F2345" s="86">
        <v>17.39</v>
      </c>
      <c r="G2345" s="86">
        <v>50</v>
      </c>
      <c r="H2345" s="86">
        <v>869.5</v>
      </c>
      <c r="I2345" s="86">
        <v>67568.95</v>
      </c>
      <c r="J2345" s="85" t="s">
        <v>9135</v>
      </c>
      <c r="K2345" s="85" t="s">
        <v>9810</v>
      </c>
      <c r="L2345" s="85" t="s">
        <v>4135</v>
      </c>
      <c r="M2345" s="85" t="s">
        <v>9819</v>
      </c>
    </row>
    <row r="2346" ht="213.75" spans="1:13">
      <c r="A2346" s="85" t="s">
        <v>9807</v>
      </c>
      <c r="B2346" s="85" t="s">
        <v>9555</v>
      </c>
      <c r="C2346" s="85" t="s">
        <v>9556</v>
      </c>
      <c r="D2346" s="85" t="s">
        <v>2992</v>
      </c>
      <c r="E2346" s="85" t="s">
        <v>1815</v>
      </c>
      <c r="F2346" s="86">
        <v>0.24</v>
      </c>
      <c r="G2346" s="86">
        <v>160000</v>
      </c>
      <c r="H2346" s="86">
        <v>38400</v>
      </c>
      <c r="I2346" s="86">
        <v>67568.95</v>
      </c>
      <c r="J2346" s="85" t="s">
        <v>9135</v>
      </c>
      <c r="K2346" s="85" t="s">
        <v>9810</v>
      </c>
      <c r="L2346" s="85" t="s">
        <v>4135</v>
      </c>
      <c r="M2346" s="85" t="s">
        <v>9820</v>
      </c>
    </row>
    <row r="2347" ht="213.75" spans="1:13">
      <c r="A2347" s="85" t="s">
        <v>9807</v>
      </c>
      <c r="B2347" s="85" t="s">
        <v>9558</v>
      </c>
      <c r="C2347" s="85" t="s">
        <v>9559</v>
      </c>
      <c r="D2347" s="85" t="s">
        <v>2992</v>
      </c>
      <c r="E2347" s="85" t="s">
        <v>1815</v>
      </c>
      <c r="F2347" s="86">
        <v>347.83</v>
      </c>
      <c r="G2347" s="86">
        <v>35</v>
      </c>
      <c r="H2347" s="86">
        <v>12174.05</v>
      </c>
      <c r="I2347" s="86">
        <v>67568.95</v>
      </c>
      <c r="J2347" s="85" t="s">
        <v>9135</v>
      </c>
      <c r="K2347" s="85" t="s">
        <v>9810</v>
      </c>
      <c r="L2347" s="85" t="s">
        <v>4135</v>
      </c>
      <c r="M2347" s="85" t="s">
        <v>9821</v>
      </c>
    </row>
    <row r="2348" ht="213.75" spans="1:13">
      <c r="A2348" s="85" t="s">
        <v>9807</v>
      </c>
      <c r="B2348" s="85" t="s">
        <v>9822</v>
      </c>
      <c r="C2348" s="85" t="s">
        <v>9823</v>
      </c>
      <c r="D2348" s="85" t="s">
        <v>9541</v>
      </c>
      <c r="E2348" s="85" t="s">
        <v>4961</v>
      </c>
      <c r="F2348" s="86">
        <v>2.42</v>
      </c>
      <c r="G2348" s="86">
        <v>400</v>
      </c>
      <c r="H2348" s="86">
        <v>968</v>
      </c>
      <c r="I2348" s="86">
        <v>67568.95</v>
      </c>
      <c r="J2348" s="85" t="s">
        <v>9135</v>
      </c>
      <c r="K2348" s="85" t="s">
        <v>9810</v>
      </c>
      <c r="L2348" s="85" t="s">
        <v>4135</v>
      </c>
      <c r="M2348" s="85" t="s">
        <v>9824</v>
      </c>
    </row>
    <row r="2349" ht="213.75" spans="1:13">
      <c r="A2349" s="85" t="s">
        <v>9807</v>
      </c>
      <c r="B2349" s="85" t="s">
        <v>9138</v>
      </c>
      <c r="C2349" s="85" t="s">
        <v>9139</v>
      </c>
      <c r="D2349" s="85" t="s">
        <v>9140</v>
      </c>
      <c r="E2349" s="85" t="s">
        <v>3209</v>
      </c>
      <c r="F2349" s="86">
        <v>6.38</v>
      </c>
      <c r="G2349" s="86">
        <v>600</v>
      </c>
      <c r="H2349" s="86">
        <v>3828</v>
      </c>
      <c r="I2349" s="86">
        <v>67568.95</v>
      </c>
      <c r="J2349" s="85" t="s">
        <v>9135</v>
      </c>
      <c r="K2349" s="85" t="s">
        <v>9810</v>
      </c>
      <c r="L2349" s="85" t="s">
        <v>4135</v>
      </c>
      <c r="M2349" s="85" t="s">
        <v>9825</v>
      </c>
    </row>
    <row r="2350" ht="213.75" spans="1:13">
      <c r="A2350" s="85" t="s">
        <v>9807</v>
      </c>
      <c r="B2350" s="85" t="s">
        <v>9826</v>
      </c>
      <c r="C2350" s="85" t="s">
        <v>9827</v>
      </c>
      <c r="D2350" s="85" t="s">
        <v>3543</v>
      </c>
      <c r="E2350" s="85" t="s">
        <v>9828</v>
      </c>
      <c r="F2350" s="86">
        <v>10.63</v>
      </c>
      <c r="G2350" s="86">
        <v>100</v>
      </c>
      <c r="H2350" s="86">
        <v>1063</v>
      </c>
      <c r="I2350" s="86">
        <v>67568.95</v>
      </c>
      <c r="J2350" s="85" t="s">
        <v>9135</v>
      </c>
      <c r="K2350" s="85" t="s">
        <v>9810</v>
      </c>
      <c r="L2350" s="85" t="s">
        <v>4135</v>
      </c>
      <c r="M2350" s="85" t="s">
        <v>9829</v>
      </c>
    </row>
    <row r="2351" ht="213.75" spans="1:13">
      <c r="A2351" s="85" t="s">
        <v>9807</v>
      </c>
      <c r="B2351" s="85" t="s">
        <v>9552</v>
      </c>
      <c r="C2351" s="85" t="s">
        <v>9553</v>
      </c>
      <c r="D2351" s="85" t="s">
        <v>8534</v>
      </c>
      <c r="E2351" s="85" t="s">
        <v>3098</v>
      </c>
      <c r="F2351" s="86">
        <v>38.65</v>
      </c>
      <c r="G2351" s="86">
        <v>60</v>
      </c>
      <c r="H2351" s="86">
        <v>2319</v>
      </c>
      <c r="I2351" s="86">
        <v>67568.95</v>
      </c>
      <c r="J2351" s="85" t="s">
        <v>9135</v>
      </c>
      <c r="K2351" s="85" t="s">
        <v>9810</v>
      </c>
      <c r="L2351" s="85" t="s">
        <v>4135</v>
      </c>
      <c r="M2351" s="85" t="s">
        <v>9830</v>
      </c>
    </row>
    <row r="2352" ht="213.75" spans="1:13">
      <c r="A2352" s="85" t="s">
        <v>9807</v>
      </c>
      <c r="B2352" s="85" t="s">
        <v>9831</v>
      </c>
      <c r="C2352" s="85" t="s">
        <v>9832</v>
      </c>
      <c r="D2352" s="85" t="s">
        <v>2992</v>
      </c>
      <c r="E2352" s="85" t="s">
        <v>1815</v>
      </c>
      <c r="F2352" s="86">
        <v>0.45</v>
      </c>
      <c r="G2352" s="86">
        <v>8000</v>
      </c>
      <c r="H2352" s="86">
        <v>3600</v>
      </c>
      <c r="I2352" s="86">
        <v>67568.95</v>
      </c>
      <c r="J2352" s="85" t="s">
        <v>9135</v>
      </c>
      <c r="K2352" s="85" t="s">
        <v>9810</v>
      </c>
      <c r="L2352" s="85" t="s">
        <v>4135</v>
      </c>
      <c r="M2352" s="85" t="s">
        <v>9833</v>
      </c>
    </row>
    <row r="2353" ht="213.75" spans="1:13">
      <c r="A2353" s="85" t="s">
        <v>9834</v>
      </c>
      <c r="B2353" s="85" t="s">
        <v>9835</v>
      </c>
      <c r="C2353" s="85" t="s">
        <v>9836</v>
      </c>
      <c r="D2353" s="85" t="s">
        <v>8345</v>
      </c>
      <c r="E2353" s="85" t="s">
        <v>8346</v>
      </c>
      <c r="F2353" s="86">
        <v>11.47</v>
      </c>
      <c r="G2353" s="86">
        <v>20</v>
      </c>
      <c r="H2353" s="86">
        <v>229.4</v>
      </c>
      <c r="I2353" s="86">
        <v>229.4</v>
      </c>
      <c r="J2353" s="85" t="s">
        <v>4391</v>
      </c>
      <c r="K2353" s="85" t="s">
        <v>9837</v>
      </c>
      <c r="L2353" s="85" t="s">
        <v>4135</v>
      </c>
      <c r="M2353" s="85" t="s">
        <v>9838</v>
      </c>
    </row>
    <row r="2354" ht="213.75" spans="1:13">
      <c r="A2354" s="85" t="s">
        <v>9839</v>
      </c>
      <c r="B2354" s="85" t="s">
        <v>5854</v>
      </c>
      <c r="C2354" s="85" t="s">
        <v>5855</v>
      </c>
      <c r="D2354" s="85" t="s">
        <v>5240</v>
      </c>
      <c r="E2354" s="85" t="s">
        <v>4081</v>
      </c>
      <c r="F2354" s="86">
        <v>280</v>
      </c>
      <c r="G2354" s="86">
        <v>14</v>
      </c>
      <c r="H2354" s="86">
        <v>3920</v>
      </c>
      <c r="I2354" s="86">
        <v>62535</v>
      </c>
      <c r="J2354" s="85" t="s">
        <v>2938</v>
      </c>
      <c r="K2354" s="85" t="s">
        <v>9837</v>
      </c>
      <c r="L2354" s="85" t="s">
        <v>4135</v>
      </c>
      <c r="M2354" s="85" t="s">
        <v>9840</v>
      </c>
    </row>
    <row r="2355" ht="213.75" spans="1:13">
      <c r="A2355" s="85" t="s">
        <v>9841</v>
      </c>
      <c r="B2355" s="85" t="s">
        <v>9842</v>
      </c>
      <c r="C2355" s="85" t="s">
        <v>9843</v>
      </c>
      <c r="D2355" s="85" t="s">
        <v>4456</v>
      </c>
      <c r="E2355" s="85" t="s">
        <v>4457</v>
      </c>
      <c r="F2355" s="86">
        <v>136</v>
      </c>
      <c r="G2355" s="86">
        <v>2</v>
      </c>
      <c r="H2355" s="86">
        <v>272</v>
      </c>
      <c r="I2355" s="86">
        <v>1977</v>
      </c>
      <c r="J2355" s="85" t="s">
        <v>4370</v>
      </c>
      <c r="K2355" s="85" t="s">
        <v>9837</v>
      </c>
      <c r="L2355" s="85" t="s">
        <v>4135</v>
      </c>
      <c r="M2355" s="85" t="s">
        <v>9844</v>
      </c>
    </row>
    <row r="2356" ht="213.75" spans="1:13">
      <c r="A2356" s="85" t="s">
        <v>9839</v>
      </c>
      <c r="B2356" s="85" t="s">
        <v>9283</v>
      </c>
      <c r="C2356" s="85" t="s">
        <v>9284</v>
      </c>
      <c r="D2356" s="85" t="s">
        <v>3747</v>
      </c>
      <c r="E2356" s="85" t="s">
        <v>1827</v>
      </c>
      <c r="F2356" s="86">
        <v>135</v>
      </c>
      <c r="G2356" s="86">
        <v>250</v>
      </c>
      <c r="H2356" s="86">
        <v>33750</v>
      </c>
      <c r="I2356" s="86">
        <v>62535</v>
      </c>
      <c r="J2356" s="85" t="s">
        <v>2938</v>
      </c>
      <c r="K2356" s="85" t="s">
        <v>9837</v>
      </c>
      <c r="L2356" s="85" t="s">
        <v>4135</v>
      </c>
      <c r="M2356" s="85" t="s">
        <v>9845</v>
      </c>
    </row>
    <row r="2357" ht="213.75" spans="1:13">
      <c r="A2357" s="85" t="s">
        <v>9846</v>
      </c>
      <c r="B2357" s="85" t="s">
        <v>8308</v>
      </c>
      <c r="C2357" s="85" t="s">
        <v>8309</v>
      </c>
      <c r="D2357" s="85" t="s">
        <v>4692</v>
      </c>
      <c r="E2357" s="85" t="s">
        <v>4693</v>
      </c>
      <c r="F2357" s="86">
        <v>55</v>
      </c>
      <c r="G2357" s="86">
        <v>20</v>
      </c>
      <c r="H2357" s="86">
        <v>1100</v>
      </c>
      <c r="I2357" s="86">
        <v>1100</v>
      </c>
      <c r="J2357" s="85" t="s">
        <v>2935</v>
      </c>
      <c r="K2357" s="85" t="s">
        <v>9837</v>
      </c>
      <c r="L2357" s="85" t="s">
        <v>4135</v>
      </c>
      <c r="M2357" s="85" t="s">
        <v>9847</v>
      </c>
    </row>
    <row r="2358" ht="213.75" spans="1:13">
      <c r="A2358" s="85" t="s">
        <v>9841</v>
      </c>
      <c r="B2358" s="85" t="s">
        <v>9848</v>
      </c>
      <c r="C2358" s="85" t="s">
        <v>9849</v>
      </c>
      <c r="D2358" s="85" t="s">
        <v>4195</v>
      </c>
      <c r="E2358" s="85" t="s">
        <v>4369</v>
      </c>
      <c r="F2358" s="86">
        <v>35</v>
      </c>
      <c r="G2358" s="86">
        <v>33</v>
      </c>
      <c r="H2358" s="86">
        <v>1155</v>
      </c>
      <c r="I2358" s="86">
        <v>1977</v>
      </c>
      <c r="J2358" s="85" t="s">
        <v>4370</v>
      </c>
      <c r="K2358" s="85" t="s">
        <v>9837</v>
      </c>
      <c r="L2358" s="85" t="s">
        <v>4135</v>
      </c>
      <c r="M2358" s="85" t="s">
        <v>9850</v>
      </c>
    </row>
    <row r="2359" ht="213.75" spans="1:13">
      <c r="A2359" s="85" t="s">
        <v>9839</v>
      </c>
      <c r="B2359" s="85" t="s">
        <v>8625</v>
      </c>
      <c r="C2359" s="85" t="s">
        <v>8626</v>
      </c>
      <c r="D2359" s="85" t="s">
        <v>3548</v>
      </c>
      <c r="E2359" s="85" t="s">
        <v>1835</v>
      </c>
      <c r="F2359" s="86">
        <v>365</v>
      </c>
      <c r="G2359" s="86">
        <v>5</v>
      </c>
      <c r="H2359" s="86">
        <v>1825</v>
      </c>
      <c r="I2359" s="86">
        <v>62535</v>
      </c>
      <c r="J2359" s="85" t="s">
        <v>2938</v>
      </c>
      <c r="K2359" s="85" t="s">
        <v>9837</v>
      </c>
      <c r="L2359" s="85" t="s">
        <v>4135</v>
      </c>
      <c r="M2359" s="85" t="s">
        <v>9851</v>
      </c>
    </row>
    <row r="2360" ht="213.75" spans="1:13">
      <c r="A2360" s="85" t="s">
        <v>9841</v>
      </c>
      <c r="B2360" s="85" t="s">
        <v>9698</v>
      </c>
      <c r="C2360" s="85" t="s">
        <v>9699</v>
      </c>
      <c r="D2360" s="85" t="s">
        <v>4848</v>
      </c>
      <c r="E2360" s="85" t="s">
        <v>4849</v>
      </c>
      <c r="F2360" s="86">
        <v>0.55</v>
      </c>
      <c r="G2360" s="86">
        <v>1000</v>
      </c>
      <c r="H2360" s="86">
        <v>550</v>
      </c>
      <c r="I2360" s="86">
        <v>1977</v>
      </c>
      <c r="J2360" s="85" t="s">
        <v>4370</v>
      </c>
      <c r="K2360" s="85" t="s">
        <v>9837</v>
      </c>
      <c r="L2360" s="85" t="s">
        <v>4135</v>
      </c>
      <c r="M2360" s="85" t="s">
        <v>9852</v>
      </c>
    </row>
    <row r="2361" ht="213.75" spans="1:13">
      <c r="A2361" s="85" t="s">
        <v>9853</v>
      </c>
      <c r="B2361" s="85" t="s">
        <v>9854</v>
      </c>
      <c r="C2361" s="85" t="s">
        <v>9855</v>
      </c>
      <c r="D2361" s="85" t="s">
        <v>3434</v>
      </c>
      <c r="E2361" s="85" t="s">
        <v>9856</v>
      </c>
      <c r="F2361" s="86">
        <v>7</v>
      </c>
      <c r="G2361" s="86">
        <v>60</v>
      </c>
      <c r="H2361" s="86">
        <v>420</v>
      </c>
      <c r="I2361" s="86">
        <v>1070</v>
      </c>
      <c r="J2361" s="85" t="s">
        <v>2935</v>
      </c>
      <c r="K2361" s="85" t="s">
        <v>9837</v>
      </c>
      <c r="L2361" s="85" t="s">
        <v>4135</v>
      </c>
      <c r="M2361" s="85" t="s">
        <v>9857</v>
      </c>
    </row>
    <row r="2362" ht="213.75" spans="1:13">
      <c r="A2362" s="85" t="s">
        <v>9839</v>
      </c>
      <c r="B2362" s="85" t="s">
        <v>5662</v>
      </c>
      <c r="C2362" s="85" t="s">
        <v>5663</v>
      </c>
      <c r="D2362" s="85" t="s">
        <v>4076</v>
      </c>
      <c r="E2362" s="85" t="s">
        <v>1832</v>
      </c>
      <c r="F2362" s="86">
        <v>128</v>
      </c>
      <c r="G2362" s="86">
        <v>180</v>
      </c>
      <c r="H2362" s="86">
        <v>23040</v>
      </c>
      <c r="I2362" s="86">
        <v>62535</v>
      </c>
      <c r="J2362" s="85" t="s">
        <v>2938</v>
      </c>
      <c r="K2362" s="85" t="s">
        <v>9837</v>
      </c>
      <c r="L2362" s="85" t="s">
        <v>4135</v>
      </c>
      <c r="M2362" s="85" t="s">
        <v>9858</v>
      </c>
    </row>
    <row r="2363" ht="213.75" spans="1:13">
      <c r="A2363" s="85" t="s">
        <v>9853</v>
      </c>
      <c r="B2363" s="85" t="s">
        <v>9495</v>
      </c>
      <c r="C2363" s="85" t="s">
        <v>9496</v>
      </c>
      <c r="D2363" s="85" t="s">
        <v>9497</v>
      </c>
      <c r="E2363" s="85" t="s">
        <v>8413</v>
      </c>
      <c r="F2363" s="86">
        <v>13</v>
      </c>
      <c r="G2363" s="86">
        <v>50</v>
      </c>
      <c r="H2363" s="86">
        <v>650</v>
      </c>
      <c r="I2363" s="86">
        <v>1070</v>
      </c>
      <c r="J2363" s="85" t="s">
        <v>2935</v>
      </c>
      <c r="K2363" s="85" t="s">
        <v>9837</v>
      </c>
      <c r="L2363" s="85" t="s">
        <v>4135</v>
      </c>
      <c r="M2363" s="85" t="s">
        <v>9859</v>
      </c>
    </row>
    <row r="2364" ht="213.75" spans="1:13">
      <c r="A2364" s="85" t="s">
        <v>9860</v>
      </c>
      <c r="B2364" s="85" t="s">
        <v>9861</v>
      </c>
      <c r="C2364" s="85" t="s">
        <v>9862</v>
      </c>
      <c r="D2364" s="85" t="s">
        <v>3041</v>
      </c>
      <c r="E2364" s="85" t="s">
        <v>3158</v>
      </c>
      <c r="F2364" s="86">
        <v>219</v>
      </c>
      <c r="G2364" s="86">
        <v>6</v>
      </c>
      <c r="H2364" s="86">
        <v>1314</v>
      </c>
      <c r="I2364" s="86">
        <v>3480</v>
      </c>
      <c r="J2364" s="85" t="s">
        <v>4370</v>
      </c>
      <c r="K2364" s="85" t="s">
        <v>9863</v>
      </c>
      <c r="L2364" s="85" t="s">
        <v>4135</v>
      </c>
      <c r="M2364" s="85" t="s">
        <v>9864</v>
      </c>
    </row>
    <row r="2365" ht="213.75" spans="1:13">
      <c r="A2365" s="85" t="s">
        <v>9865</v>
      </c>
      <c r="B2365" s="85" t="s">
        <v>9866</v>
      </c>
      <c r="C2365" s="85" t="s">
        <v>9867</v>
      </c>
      <c r="D2365" s="85" t="s">
        <v>3367</v>
      </c>
      <c r="E2365" s="85" t="s">
        <v>9766</v>
      </c>
      <c r="F2365" s="86">
        <v>23</v>
      </c>
      <c r="G2365" s="86">
        <v>2</v>
      </c>
      <c r="H2365" s="86">
        <v>46</v>
      </c>
      <c r="I2365" s="86">
        <v>46</v>
      </c>
      <c r="J2365" s="85" t="s">
        <v>4391</v>
      </c>
      <c r="K2365" s="85" t="s">
        <v>9863</v>
      </c>
      <c r="L2365" s="85" t="s">
        <v>4135</v>
      </c>
      <c r="M2365" s="85" t="s">
        <v>9868</v>
      </c>
    </row>
    <row r="2366" ht="213.75" spans="1:13">
      <c r="A2366" s="85" t="s">
        <v>9860</v>
      </c>
      <c r="B2366" s="85" t="s">
        <v>9869</v>
      </c>
      <c r="C2366" s="85" t="s">
        <v>9870</v>
      </c>
      <c r="D2366" s="85" t="s">
        <v>4848</v>
      </c>
      <c r="E2366" s="85" t="s">
        <v>4849</v>
      </c>
      <c r="F2366" s="86">
        <v>20</v>
      </c>
      <c r="G2366" s="86">
        <v>40</v>
      </c>
      <c r="H2366" s="86">
        <v>800</v>
      </c>
      <c r="I2366" s="86">
        <v>3480</v>
      </c>
      <c r="J2366" s="85" t="s">
        <v>4370</v>
      </c>
      <c r="K2366" s="85" t="s">
        <v>9863</v>
      </c>
      <c r="L2366" s="85" t="s">
        <v>4135</v>
      </c>
      <c r="M2366" s="85" t="s">
        <v>9871</v>
      </c>
    </row>
    <row r="2367" ht="213.75" spans="1:13">
      <c r="A2367" s="85" t="s">
        <v>9860</v>
      </c>
      <c r="B2367" s="85" t="s">
        <v>4373</v>
      </c>
      <c r="C2367" s="85" t="s">
        <v>4374</v>
      </c>
      <c r="D2367" s="85" t="s">
        <v>3041</v>
      </c>
      <c r="E2367" s="85" t="s">
        <v>3042</v>
      </c>
      <c r="F2367" s="86">
        <v>7</v>
      </c>
      <c r="G2367" s="86">
        <v>84</v>
      </c>
      <c r="H2367" s="86">
        <v>588</v>
      </c>
      <c r="I2367" s="86">
        <v>3480</v>
      </c>
      <c r="J2367" s="85" t="s">
        <v>4370</v>
      </c>
      <c r="K2367" s="85" t="s">
        <v>9863</v>
      </c>
      <c r="L2367" s="85" t="s">
        <v>4135</v>
      </c>
      <c r="M2367" s="85" t="s">
        <v>9872</v>
      </c>
    </row>
    <row r="2368" ht="213.75" spans="1:13">
      <c r="A2368" s="85" t="s">
        <v>9860</v>
      </c>
      <c r="B2368" s="85" t="s">
        <v>9873</v>
      </c>
      <c r="C2368" s="85" t="s">
        <v>9874</v>
      </c>
      <c r="D2368" s="85" t="s">
        <v>3041</v>
      </c>
      <c r="E2368" s="85" t="s">
        <v>3042</v>
      </c>
      <c r="F2368" s="86">
        <v>17</v>
      </c>
      <c r="G2368" s="86">
        <v>38</v>
      </c>
      <c r="H2368" s="86">
        <v>646</v>
      </c>
      <c r="I2368" s="86">
        <v>3480</v>
      </c>
      <c r="J2368" s="85" t="s">
        <v>4370</v>
      </c>
      <c r="K2368" s="85" t="s">
        <v>9863</v>
      </c>
      <c r="L2368" s="85" t="s">
        <v>4135</v>
      </c>
      <c r="M2368" s="85" t="s">
        <v>9875</v>
      </c>
    </row>
    <row r="2369" ht="213.75" spans="1:13">
      <c r="A2369" s="85" t="s">
        <v>9860</v>
      </c>
      <c r="B2369" s="85" t="s">
        <v>8219</v>
      </c>
      <c r="C2369" s="85" t="s">
        <v>8220</v>
      </c>
      <c r="D2369" s="85" t="s">
        <v>3041</v>
      </c>
      <c r="E2369" s="85" t="s">
        <v>3158</v>
      </c>
      <c r="F2369" s="86">
        <v>132</v>
      </c>
      <c r="G2369" s="86">
        <v>1</v>
      </c>
      <c r="H2369" s="86">
        <v>132</v>
      </c>
      <c r="I2369" s="86">
        <v>3480</v>
      </c>
      <c r="J2369" s="85" t="s">
        <v>4370</v>
      </c>
      <c r="K2369" s="85" t="s">
        <v>9863</v>
      </c>
      <c r="L2369" s="85" t="s">
        <v>4135</v>
      </c>
      <c r="M2369" s="85" t="s">
        <v>9876</v>
      </c>
    </row>
    <row r="2370" ht="213.75" spans="1:13">
      <c r="A2370" s="85" t="s">
        <v>9877</v>
      </c>
      <c r="B2370" s="85" t="s">
        <v>5021</v>
      </c>
      <c r="C2370" s="85" t="s">
        <v>5022</v>
      </c>
      <c r="D2370" s="85" t="s">
        <v>5023</v>
      </c>
      <c r="E2370" s="85" t="s">
        <v>5024</v>
      </c>
      <c r="F2370" s="86">
        <v>14.4</v>
      </c>
      <c r="G2370" s="86">
        <v>100</v>
      </c>
      <c r="H2370" s="86">
        <v>1440</v>
      </c>
      <c r="I2370" s="86">
        <v>1697.2</v>
      </c>
      <c r="J2370" s="85" t="s">
        <v>4391</v>
      </c>
      <c r="K2370" s="85" t="s">
        <v>9878</v>
      </c>
      <c r="L2370" s="85" t="s">
        <v>4135</v>
      </c>
      <c r="M2370" s="85" t="s">
        <v>9879</v>
      </c>
    </row>
    <row r="2371" ht="213.75" spans="1:13">
      <c r="A2371" s="85" t="s">
        <v>9877</v>
      </c>
      <c r="B2371" s="85" t="s">
        <v>9164</v>
      </c>
      <c r="C2371" s="85" t="s">
        <v>9165</v>
      </c>
      <c r="D2371" s="85" t="s">
        <v>3014</v>
      </c>
      <c r="E2371" s="85" t="s">
        <v>9165</v>
      </c>
      <c r="F2371" s="86">
        <v>58.6</v>
      </c>
      <c r="G2371" s="86">
        <v>2</v>
      </c>
      <c r="H2371" s="86">
        <v>117.2</v>
      </c>
      <c r="I2371" s="86">
        <v>1697.2</v>
      </c>
      <c r="J2371" s="85" t="s">
        <v>4391</v>
      </c>
      <c r="K2371" s="85" t="s">
        <v>9878</v>
      </c>
      <c r="L2371" s="85" t="s">
        <v>4135</v>
      </c>
      <c r="M2371" s="85" t="s">
        <v>9880</v>
      </c>
    </row>
    <row r="2372" ht="213.75" spans="1:13">
      <c r="A2372" s="85" t="s">
        <v>9881</v>
      </c>
      <c r="B2372" s="85" t="s">
        <v>9882</v>
      </c>
      <c r="C2372" s="85" t="s">
        <v>9883</v>
      </c>
      <c r="D2372" s="85" t="s">
        <v>9884</v>
      </c>
      <c r="E2372" s="85" t="s">
        <v>9885</v>
      </c>
      <c r="F2372" s="86">
        <v>9.35</v>
      </c>
      <c r="G2372" s="86">
        <v>10</v>
      </c>
      <c r="H2372" s="86">
        <v>93.5</v>
      </c>
      <c r="I2372" s="86">
        <v>197.5</v>
      </c>
      <c r="J2372" s="85" t="s">
        <v>4391</v>
      </c>
      <c r="K2372" s="85" t="s">
        <v>9878</v>
      </c>
      <c r="L2372" s="85" t="s">
        <v>4135</v>
      </c>
      <c r="M2372" s="85" t="s">
        <v>9886</v>
      </c>
    </row>
    <row r="2373" ht="213.75" spans="1:13">
      <c r="A2373" s="85" t="s">
        <v>9877</v>
      </c>
      <c r="B2373" s="85" t="s">
        <v>3922</v>
      </c>
      <c r="C2373" s="85" t="s">
        <v>3923</v>
      </c>
      <c r="D2373" s="85" t="s">
        <v>3189</v>
      </c>
      <c r="E2373" s="85" t="s">
        <v>3924</v>
      </c>
      <c r="F2373" s="86">
        <v>70</v>
      </c>
      <c r="G2373" s="86">
        <v>2</v>
      </c>
      <c r="H2373" s="86">
        <v>140</v>
      </c>
      <c r="I2373" s="86">
        <v>1697.2</v>
      </c>
      <c r="J2373" s="85" t="s">
        <v>4391</v>
      </c>
      <c r="K2373" s="85" t="s">
        <v>9878</v>
      </c>
      <c r="L2373" s="85" t="s">
        <v>4135</v>
      </c>
      <c r="M2373" s="85" t="s">
        <v>9887</v>
      </c>
    </row>
    <row r="2374" ht="213.75" spans="1:13">
      <c r="A2374" s="85" t="s">
        <v>9881</v>
      </c>
      <c r="B2374" s="85" t="s">
        <v>9888</v>
      </c>
      <c r="C2374" s="85" t="s">
        <v>9889</v>
      </c>
      <c r="D2374" s="85" t="s">
        <v>9890</v>
      </c>
      <c r="E2374" s="85" t="s">
        <v>9891</v>
      </c>
      <c r="F2374" s="86">
        <v>52</v>
      </c>
      <c r="G2374" s="86">
        <v>2</v>
      </c>
      <c r="H2374" s="86">
        <v>104</v>
      </c>
      <c r="I2374" s="86">
        <v>197.5</v>
      </c>
      <c r="J2374" s="85" t="s">
        <v>4391</v>
      </c>
      <c r="K2374" s="85" t="s">
        <v>9878</v>
      </c>
      <c r="L2374" s="85" t="s">
        <v>4135</v>
      </c>
      <c r="M2374" s="85" t="s">
        <v>9892</v>
      </c>
    </row>
    <row r="2375" ht="213.75" spans="1:13">
      <c r="A2375" s="85" t="s">
        <v>9893</v>
      </c>
      <c r="B2375" s="85" t="s">
        <v>9894</v>
      </c>
      <c r="C2375" s="85" t="s">
        <v>9895</v>
      </c>
      <c r="D2375" s="85" t="s">
        <v>7072</v>
      </c>
      <c r="E2375" s="85" t="s">
        <v>2081</v>
      </c>
      <c r="F2375" s="86">
        <v>1900</v>
      </c>
      <c r="G2375" s="86">
        <v>1</v>
      </c>
      <c r="H2375" s="86">
        <v>1900</v>
      </c>
      <c r="I2375" s="86">
        <v>1900</v>
      </c>
      <c r="J2375" s="85" t="s">
        <v>2935</v>
      </c>
      <c r="K2375" s="85" t="s">
        <v>9896</v>
      </c>
      <c r="L2375" s="85" t="s">
        <v>4135</v>
      </c>
      <c r="M2375" s="85" t="s">
        <v>9897</v>
      </c>
    </row>
    <row r="2376" ht="213.75" spans="1:13">
      <c r="A2376" s="85" t="s">
        <v>9898</v>
      </c>
      <c r="B2376" s="85" t="s">
        <v>9899</v>
      </c>
      <c r="C2376" s="85" t="s">
        <v>9900</v>
      </c>
      <c r="D2376" s="85" t="s">
        <v>9901</v>
      </c>
      <c r="E2376" s="85" t="s">
        <v>9902</v>
      </c>
      <c r="F2376" s="86">
        <v>7500</v>
      </c>
      <c r="G2376" s="86">
        <v>3</v>
      </c>
      <c r="H2376" s="86">
        <v>22500</v>
      </c>
      <c r="I2376" s="86">
        <v>22500</v>
      </c>
      <c r="J2376" s="85" t="s">
        <v>7208</v>
      </c>
      <c r="K2376" s="85" t="s">
        <v>9903</v>
      </c>
      <c r="L2376" s="85" t="s">
        <v>4135</v>
      </c>
      <c r="M2376" s="85" t="s">
        <v>9904</v>
      </c>
    </row>
    <row r="2377" ht="213.75" spans="1:13">
      <c r="A2377" s="85" t="s">
        <v>9905</v>
      </c>
      <c r="B2377" s="85" t="s">
        <v>4548</v>
      </c>
      <c r="C2377" s="85" t="s">
        <v>4549</v>
      </c>
      <c r="D2377" s="85" t="s">
        <v>3169</v>
      </c>
      <c r="E2377" s="85" t="s">
        <v>3170</v>
      </c>
      <c r="F2377" s="86">
        <v>0.38</v>
      </c>
      <c r="G2377" s="86">
        <v>1000</v>
      </c>
      <c r="H2377" s="86">
        <v>380</v>
      </c>
      <c r="I2377" s="86">
        <v>1130</v>
      </c>
      <c r="J2377" s="85" t="s">
        <v>4370</v>
      </c>
      <c r="K2377" s="85" t="s">
        <v>9906</v>
      </c>
      <c r="L2377" s="85" t="s">
        <v>4135</v>
      </c>
      <c r="M2377" s="85" t="s">
        <v>9907</v>
      </c>
    </row>
    <row r="2378" ht="213.75" spans="1:13">
      <c r="A2378" s="85" t="s">
        <v>9908</v>
      </c>
      <c r="B2378" s="85" t="s">
        <v>9909</v>
      </c>
      <c r="C2378" s="85" t="s">
        <v>9910</v>
      </c>
      <c r="D2378" s="85" t="s">
        <v>2977</v>
      </c>
      <c r="E2378" s="85" t="s">
        <v>8894</v>
      </c>
      <c r="F2378" s="86">
        <v>2.36</v>
      </c>
      <c r="G2378" s="86">
        <v>20</v>
      </c>
      <c r="H2378" s="86">
        <v>47.2</v>
      </c>
      <c r="I2378" s="86">
        <v>942.2</v>
      </c>
      <c r="J2378" s="85" t="s">
        <v>2935</v>
      </c>
      <c r="K2378" s="85" t="s">
        <v>9906</v>
      </c>
      <c r="L2378" s="85" t="s">
        <v>4135</v>
      </c>
      <c r="M2378" s="85" t="s">
        <v>9911</v>
      </c>
    </row>
    <row r="2379" ht="213.75" spans="1:13">
      <c r="A2379" s="85" t="s">
        <v>9912</v>
      </c>
      <c r="B2379" s="85" t="s">
        <v>9472</v>
      </c>
      <c r="C2379" s="85" t="s">
        <v>9473</v>
      </c>
      <c r="D2379" s="85" t="s">
        <v>3183</v>
      </c>
      <c r="E2379" s="85" t="s">
        <v>9473</v>
      </c>
      <c r="F2379" s="86">
        <v>23.57</v>
      </c>
      <c r="G2379" s="86">
        <v>20</v>
      </c>
      <c r="H2379" s="86">
        <v>471.4</v>
      </c>
      <c r="I2379" s="86">
        <v>471.4</v>
      </c>
      <c r="J2379" s="85" t="s">
        <v>4391</v>
      </c>
      <c r="K2379" s="85" t="s">
        <v>9906</v>
      </c>
      <c r="L2379" s="85" t="s">
        <v>4135</v>
      </c>
      <c r="M2379" s="85" t="s">
        <v>9913</v>
      </c>
    </row>
    <row r="2380" ht="213.75" spans="1:13">
      <c r="A2380" s="85" t="s">
        <v>9908</v>
      </c>
      <c r="B2380" s="85" t="s">
        <v>9914</v>
      </c>
      <c r="C2380" s="85" t="s">
        <v>9915</v>
      </c>
      <c r="D2380" s="85" t="s">
        <v>3367</v>
      </c>
      <c r="E2380" s="85" t="s">
        <v>9916</v>
      </c>
      <c r="F2380" s="86">
        <v>10</v>
      </c>
      <c r="G2380" s="86">
        <v>2</v>
      </c>
      <c r="H2380" s="86">
        <v>20</v>
      </c>
      <c r="I2380" s="86">
        <v>942.2</v>
      </c>
      <c r="J2380" s="85" t="s">
        <v>2935</v>
      </c>
      <c r="K2380" s="85" t="s">
        <v>9906</v>
      </c>
      <c r="L2380" s="85" t="s">
        <v>4135</v>
      </c>
      <c r="M2380" s="85" t="s">
        <v>9917</v>
      </c>
    </row>
    <row r="2381" ht="213.75" spans="1:13">
      <c r="A2381" s="85" t="s">
        <v>9905</v>
      </c>
      <c r="B2381" s="85" t="s">
        <v>7600</v>
      </c>
      <c r="C2381" s="85" t="s">
        <v>7601</v>
      </c>
      <c r="D2381" s="85" t="s">
        <v>3169</v>
      </c>
      <c r="E2381" s="85" t="s">
        <v>7602</v>
      </c>
      <c r="F2381" s="86">
        <v>15</v>
      </c>
      <c r="G2381" s="86">
        <v>50</v>
      </c>
      <c r="H2381" s="86">
        <v>750</v>
      </c>
      <c r="I2381" s="86">
        <v>1130</v>
      </c>
      <c r="J2381" s="85" t="s">
        <v>4370</v>
      </c>
      <c r="K2381" s="85" t="s">
        <v>9906</v>
      </c>
      <c r="L2381" s="85" t="s">
        <v>4135</v>
      </c>
      <c r="M2381" s="85" t="s">
        <v>9918</v>
      </c>
    </row>
    <row r="2382" ht="213.75" spans="1:13">
      <c r="A2382" s="85" t="s">
        <v>9908</v>
      </c>
      <c r="B2382" s="85" t="s">
        <v>9802</v>
      </c>
      <c r="C2382" s="85" t="s">
        <v>9803</v>
      </c>
      <c r="D2382" s="85" t="s">
        <v>3183</v>
      </c>
      <c r="E2382" s="85" t="s">
        <v>9804</v>
      </c>
      <c r="F2382" s="86">
        <v>60</v>
      </c>
      <c r="G2382" s="86">
        <v>5</v>
      </c>
      <c r="H2382" s="86">
        <v>300</v>
      </c>
      <c r="I2382" s="86">
        <v>942.2</v>
      </c>
      <c r="J2382" s="85" t="s">
        <v>2935</v>
      </c>
      <c r="K2382" s="85" t="s">
        <v>9906</v>
      </c>
      <c r="L2382" s="85" t="s">
        <v>4135</v>
      </c>
      <c r="M2382" s="85" t="s">
        <v>9919</v>
      </c>
    </row>
    <row r="2383" ht="213.75" spans="1:13">
      <c r="A2383" s="85" t="s">
        <v>9908</v>
      </c>
      <c r="B2383" s="85" t="s">
        <v>8311</v>
      </c>
      <c r="C2383" s="85" t="s">
        <v>8312</v>
      </c>
      <c r="D2383" s="85" t="s">
        <v>3197</v>
      </c>
      <c r="E2383" s="85" t="s">
        <v>8312</v>
      </c>
      <c r="F2383" s="86">
        <v>1.9</v>
      </c>
      <c r="G2383" s="86">
        <v>50</v>
      </c>
      <c r="H2383" s="86">
        <v>95</v>
      </c>
      <c r="I2383" s="86">
        <v>942.2</v>
      </c>
      <c r="J2383" s="85" t="s">
        <v>2935</v>
      </c>
      <c r="K2383" s="85" t="s">
        <v>9906</v>
      </c>
      <c r="L2383" s="85" t="s">
        <v>4135</v>
      </c>
      <c r="M2383" s="85" t="s">
        <v>9920</v>
      </c>
    </row>
    <row r="2384" ht="213.75" spans="1:13">
      <c r="A2384" s="85" t="s">
        <v>9908</v>
      </c>
      <c r="B2384" s="85" t="s">
        <v>8889</v>
      </c>
      <c r="C2384" s="85" t="s">
        <v>8890</v>
      </c>
      <c r="D2384" s="85" t="s">
        <v>3288</v>
      </c>
      <c r="E2384" s="85" t="s">
        <v>8890</v>
      </c>
      <c r="F2384" s="86">
        <v>120</v>
      </c>
      <c r="G2384" s="86">
        <v>4</v>
      </c>
      <c r="H2384" s="86">
        <v>480</v>
      </c>
      <c r="I2384" s="86">
        <v>942.2</v>
      </c>
      <c r="J2384" s="85" t="s">
        <v>2935</v>
      </c>
      <c r="K2384" s="85" t="s">
        <v>9906</v>
      </c>
      <c r="L2384" s="85" t="s">
        <v>4135</v>
      </c>
      <c r="M2384" s="85" t="s">
        <v>9921</v>
      </c>
    </row>
    <row r="2385" ht="213.75" spans="1:13">
      <c r="A2385" s="85" t="s">
        <v>9922</v>
      </c>
      <c r="B2385" s="85" t="s">
        <v>2901</v>
      </c>
      <c r="C2385" s="85" t="s">
        <v>2902</v>
      </c>
      <c r="D2385" s="85" t="s">
        <v>2903</v>
      </c>
      <c r="E2385" s="85" t="s">
        <v>2902</v>
      </c>
      <c r="F2385" s="86">
        <v>206187.98</v>
      </c>
      <c r="G2385" s="86">
        <v>1</v>
      </c>
      <c r="H2385" s="86">
        <v>206187.98</v>
      </c>
      <c r="I2385" s="86">
        <v>206187.98</v>
      </c>
      <c r="J2385" s="85" t="s">
        <v>8504</v>
      </c>
      <c r="K2385" s="85" t="s">
        <v>9923</v>
      </c>
      <c r="L2385" s="85" t="s">
        <v>4135</v>
      </c>
      <c r="M2385" s="85" t="s">
        <v>9924</v>
      </c>
    </row>
    <row r="2386" ht="213.75" spans="1:13">
      <c r="A2386" s="85" t="s">
        <v>9925</v>
      </c>
      <c r="B2386" s="85" t="s">
        <v>4142</v>
      </c>
      <c r="C2386" s="85" t="s">
        <v>4143</v>
      </c>
      <c r="D2386" s="85" t="s">
        <v>4144</v>
      </c>
      <c r="E2386" s="85" t="s">
        <v>4143</v>
      </c>
      <c r="F2386" s="86">
        <v>7780.96</v>
      </c>
      <c r="G2386" s="86">
        <v>1</v>
      </c>
      <c r="H2386" s="86">
        <v>7780.96</v>
      </c>
      <c r="I2386" s="86">
        <v>7780.96</v>
      </c>
      <c r="J2386" s="85" t="s">
        <v>3898</v>
      </c>
      <c r="K2386" s="85" t="s">
        <v>9926</v>
      </c>
      <c r="L2386" s="85" t="s">
        <v>4135</v>
      </c>
      <c r="M2386" s="85" t="s">
        <v>9927</v>
      </c>
    </row>
    <row r="2387" ht="213.75" spans="1:13">
      <c r="A2387" s="85" t="s">
        <v>9928</v>
      </c>
      <c r="B2387" s="85" t="s">
        <v>4651</v>
      </c>
      <c r="C2387" s="85" t="s">
        <v>4652</v>
      </c>
      <c r="D2387" s="85" t="s">
        <v>4617</v>
      </c>
      <c r="E2387" s="85" t="s">
        <v>4618</v>
      </c>
      <c r="F2387" s="86">
        <v>460</v>
      </c>
      <c r="G2387" s="86">
        <v>6</v>
      </c>
      <c r="H2387" s="86">
        <v>2760</v>
      </c>
      <c r="I2387" s="86">
        <v>2760</v>
      </c>
      <c r="J2387" s="85" t="s">
        <v>4639</v>
      </c>
      <c r="K2387" s="85" t="s">
        <v>9929</v>
      </c>
      <c r="L2387" s="85" t="s">
        <v>4135</v>
      </c>
      <c r="M2387" s="85" t="s">
        <v>9930</v>
      </c>
    </row>
    <row r="2388" ht="213.75" spans="1:13">
      <c r="A2388" s="85" t="s">
        <v>9931</v>
      </c>
      <c r="B2388" s="85" t="s">
        <v>4148</v>
      </c>
      <c r="C2388" s="85" t="s">
        <v>4149</v>
      </c>
      <c r="D2388" s="85" t="s">
        <v>4150</v>
      </c>
      <c r="E2388" s="85" t="s">
        <v>4149</v>
      </c>
      <c r="F2388" s="86">
        <v>117600</v>
      </c>
      <c r="G2388" s="86">
        <v>1</v>
      </c>
      <c r="H2388" s="86">
        <v>117600</v>
      </c>
      <c r="I2388" s="86">
        <v>117600</v>
      </c>
      <c r="J2388" s="85" t="s">
        <v>4151</v>
      </c>
      <c r="K2388" s="85" t="s">
        <v>9932</v>
      </c>
      <c r="L2388" s="85" t="s">
        <v>4135</v>
      </c>
      <c r="M2388" s="85" t="s">
        <v>9933</v>
      </c>
    </row>
    <row r="2389" ht="213.75" spans="1:13">
      <c r="A2389" s="85" t="s">
        <v>9934</v>
      </c>
      <c r="B2389" s="85" t="s">
        <v>4622</v>
      </c>
      <c r="C2389" s="85" t="s">
        <v>4623</v>
      </c>
      <c r="D2389" s="85" t="s">
        <v>4617</v>
      </c>
      <c r="E2389" s="85" t="s">
        <v>4618</v>
      </c>
      <c r="F2389" s="86">
        <v>580</v>
      </c>
      <c r="G2389" s="86">
        <v>30</v>
      </c>
      <c r="H2389" s="86">
        <v>17400</v>
      </c>
      <c r="I2389" s="86">
        <v>17400</v>
      </c>
      <c r="J2389" s="85" t="s">
        <v>4619</v>
      </c>
      <c r="K2389" s="85" t="s">
        <v>9935</v>
      </c>
      <c r="L2389" s="85" t="s">
        <v>4135</v>
      </c>
      <c r="M2389" s="85" t="s">
        <v>9936</v>
      </c>
    </row>
    <row r="2390" ht="213.75" spans="1:13">
      <c r="A2390" s="85" t="s">
        <v>9937</v>
      </c>
      <c r="B2390" s="85" t="s">
        <v>2901</v>
      </c>
      <c r="C2390" s="85" t="s">
        <v>2902</v>
      </c>
      <c r="D2390" s="85" t="s">
        <v>2903</v>
      </c>
      <c r="E2390" s="85" t="s">
        <v>2902</v>
      </c>
      <c r="F2390" s="86">
        <v>7110.07</v>
      </c>
      <c r="G2390" s="86">
        <v>1</v>
      </c>
      <c r="H2390" s="86">
        <v>7110.07</v>
      </c>
      <c r="I2390" s="86">
        <v>7110.07</v>
      </c>
      <c r="J2390" s="85" t="s">
        <v>9938</v>
      </c>
      <c r="K2390" s="85" t="s">
        <v>9939</v>
      </c>
      <c r="L2390" s="85" t="s">
        <v>4135</v>
      </c>
      <c r="M2390" s="85" t="s">
        <v>9940</v>
      </c>
    </row>
    <row r="2391" ht="213.75" spans="1:13">
      <c r="A2391" s="85" t="s">
        <v>9941</v>
      </c>
      <c r="B2391" s="85" t="s">
        <v>6783</v>
      </c>
      <c r="C2391" s="85" t="s">
        <v>6784</v>
      </c>
      <c r="D2391" s="85" t="s">
        <v>6785</v>
      </c>
      <c r="E2391" s="85" t="s">
        <v>6784</v>
      </c>
      <c r="F2391" s="86">
        <v>90480</v>
      </c>
      <c r="G2391" s="86">
        <v>1</v>
      </c>
      <c r="H2391" s="86">
        <v>90480</v>
      </c>
      <c r="I2391" s="86">
        <v>90480</v>
      </c>
      <c r="J2391" s="85" t="s">
        <v>3805</v>
      </c>
      <c r="K2391" s="85" t="s">
        <v>9942</v>
      </c>
      <c r="L2391" s="85" t="s">
        <v>4135</v>
      </c>
      <c r="M2391" s="85" t="s">
        <v>9943</v>
      </c>
    </row>
    <row r="2392" ht="213.75" spans="1:13">
      <c r="A2392" s="85" t="s">
        <v>9944</v>
      </c>
      <c r="B2392" s="85" t="s">
        <v>4166</v>
      </c>
      <c r="C2392" s="85" t="s">
        <v>4167</v>
      </c>
      <c r="D2392" s="85" t="s">
        <v>4168</v>
      </c>
      <c r="E2392" s="85" t="s">
        <v>4167</v>
      </c>
      <c r="F2392" s="86">
        <v>70278</v>
      </c>
      <c r="G2392" s="86">
        <v>1</v>
      </c>
      <c r="H2392" s="86">
        <v>70278</v>
      </c>
      <c r="I2392" s="86">
        <v>70278</v>
      </c>
      <c r="J2392" s="85" t="s">
        <v>6789</v>
      </c>
      <c r="K2392" s="85" t="s">
        <v>9945</v>
      </c>
      <c r="L2392" s="85" t="s">
        <v>4135</v>
      </c>
      <c r="M2392" s="85" t="s">
        <v>9946</v>
      </c>
    </row>
    <row r="2393" ht="213.75" spans="1:13">
      <c r="A2393" s="85" t="s">
        <v>9947</v>
      </c>
      <c r="B2393" s="85" t="s">
        <v>2901</v>
      </c>
      <c r="C2393" s="85" t="s">
        <v>2902</v>
      </c>
      <c r="D2393" s="85" t="s">
        <v>2903</v>
      </c>
      <c r="E2393" s="85" t="s">
        <v>2902</v>
      </c>
      <c r="F2393" s="86">
        <v>4800</v>
      </c>
      <c r="G2393" s="86">
        <v>1</v>
      </c>
      <c r="H2393" s="86">
        <v>4800</v>
      </c>
      <c r="I2393" s="86">
        <v>4800</v>
      </c>
      <c r="J2393" s="85" t="s">
        <v>9948</v>
      </c>
      <c r="K2393" s="85" t="s">
        <v>9949</v>
      </c>
      <c r="L2393" s="85" t="s">
        <v>4135</v>
      </c>
      <c r="M2393" s="85" t="s">
        <v>9950</v>
      </c>
    </row>
    <row r="2394" ht="213.75" spans="1:13">
      <c r="A2394" s="85" t="s">
        <v>9951</v>
      </c>
      <c r="B2394" s="85" t="s">
        <v>9952</v>
      </c>
      <c r="C2394" s="85" t="s">
        <v>9953</v>
      </c>
      <c r="D2394" s="85" t="s">
        <v>7533</v>
      </c>
      <c r="E2394" s="85" t="s">
        <v>9953</v>
      </c>
      <c r="F2394" s="86">
        <v>10.44</v>
      </c>
      <c r="G2394" s="86">
        <v>4</v>
      </c>
      <c r="H2394" s="86">
        <v>41.76</v>
      </c>
      <c r="I2394" s="86">
        <v>895.56</v>
      </c>
      <c r="J2394" s="85" t="s">
        <v>9954</v>
      </c>
      <c r="K2394" s="85" t="s">
        <v>9955</v>
      </c>
      <c r="L2394" s="85" t="s">
        <v>6980</v>
      </c>
      <c r="M2394" s="85" t="s">
        <v>9956</v>
      </c>
    </row>
    <row r="2395" ht="213.75" spans="1:13">
      <c r="A2395" s="85" t="s">
        <v>9951</v>
      </c>
      <c r="B2395" s="85" t="s">
        <v>9957</v>
      </c>
      <c r="C2395" s="85" t="s">
        <v>9958</v>
      </c>
      <c r="D2395" s="85" t="s">
        <v>9959</v>
      </c>
      <c r="E2395" s="85" t="s">
        <v>9958</v>
      </c>
      <c r="F2395" s="86">
        <v>29.64</v>
      </c>
      <c r="G2395" s="86">
        <v>3</v>
      </c>
      <c r="H2395" s="86">
        <v>88.92</v>
      </c>
      <c r="I2395" s="86">
        <v>895.56</v>
      </c>
      <c r="J2395" s="85" t="s">
        <v>9954</v>
      </c>
      <c r="K2395" s="85" t="s">
        <v>9955</v>
      </c>
      <c r="L2395" s="85" t="s">
        <v>6980</v>
      </c>
      <c r="M2395" s="85" t="s">
        <v>9960</v>
      </c>
    </row>
    <row r="2396" ht="213.75" spans="1:13">
      <c r="A2396" s="85" t="s">
        <v>9951</v>
      </c>
      <c r="B2396" s="85" t="s">
        <v>9961</v>
      </c>
      <c r="C2396" s="85" t="s">
        <v>9962</v>
      </c>
      <c r="D2396" s="85" t="s">
        <v>3183</v>
      </c>
      <c r="E2396" s="85" t="s">
        <v>9962</v>
      </c>
      <c r="F2396" s="86">
        <v>21.2</v>
      </c>
      <c r="G2396" s="86">
        <v>25</v>
      </c>
      <c r="H2396" s="86">
        <v>530</v>
      </c>
      <c r="I2396" s="86">
        <v>895.56</v>
      </c>
      <c r="J2396" s="85" t="s">
        <v>9954</v>
      </c>
      <c r="K2396" s="85" t="s">
        <v>9955</v>
      </c>
      <c r="L2396" s="85" t="s">
        <v>6980</v>
      </c>
      <c r="M2396" s="85" t="s">
        <v>9963</v>
      </c>
    </row>
    <row r="2397" ht="213.75" spans="1:13">
      <c r="A2397" s="85" t="s">
        <v>9951</v>
      </c>
      <c r="B2397" s="85" t="s">
        <v>9964</v>
      </c>
      <c r="C2397" s="85" t="s">
        <v>9965</v>
      </c>
      <c r="D2397" s="85" t="s">
        <v>3068</v>
      </c>
      <c r="E2397" s="85" t="s">
        <v>9965</v>
      </c>
      <c r="F2397" s="86">
        <v>8.06</v>
      </c>
      <c r="G2397" s="86">
        <v>8</v>
      </c>
      <c r="H2397" s="86">
        <v>64.48</v>
      </c>
      <c r="I2397" s="86">
        <v>895.56</v>
      </c>
      <c r="J2397" s="85" t="s">
        <v>9954</v>
      </c>
      <c r="K2397" s="85" t="s">
        <v>9955</v>
      </c>
      <c r="L2397" s="85" t="s">
        <v>6980</v>
      </c>
      <c r="M2397" s="85" t="s">
        <v>9966</v>
      </c>
    </row>
    <row r="2398" ht="213.75" spans="1:13">
      <c r="A2398" s="85" t="s">
        <v>9951</v>
      </c>
      <c r="B2398" s="85" t="s">
        <v>9967</v>
      </c>
      <c r="C2398" s="85" t="s">
        <v>9968</v>
      </c>
      <c r="D2398" s="85" t="s">
        <v>9959</v>
      </c>
      <c r="E2398" s="85" t="s">
        <v>9968</v>
      </c>
      <c r="F2398" s="86">
        <v>56.8</v>
      </c>
      <c r="G2398" s="86">
        <v>3</v>
      </c>
      <c r="H2398" s="86">
        <v>170.4</v>
      </c>
      <c r="I2398" s="86">
        <v>895.56</v>
      </c>
      <c r="J2398" s="85" t="s">
        <v>9954</v>
      </c>
      <c r="K2398" s="85" t="s">
        <v>9955</v>
      </c>
      <c r="L2398" s="85" t="s">
        <v>6980</v>
      </c>
      <c r="M2398" s="85" t="s">
        <v>9969</v>
      </c>
    </row>
    <row r="2399" ht="213.75" spans="1:13">
      <c r="A2399" s="85" t="s">
        <v>9970</v>
      </c>
      <c r="B2399" s="85" t="s">
        <v>4131</v>
      </c>
      <c r="C2399" s="85" t="s">
        <v>4132</v>
      </c>
      <c r="D2399" s="85" t="s">
        <v>4133</v>
      </c>
      <c r="E2399" s="85" t="s">
        <v>4132</v>
      </c>
      <c r="F2399" s="86">
        <v>21000</v>
      </c>
      <c r="G2399" s="86">
        <v>1</v>
      </c>
      <c r="H2399" s="86">
        <v>21000</v>
      </c>
      <c r="I2399" s="86">
        <v>21000</v>
      </c>
      <c r="J2399" s="85" t="s">
        <v>3898</v>
      </c>
      <c r="K2399" s="85" t="s">
        <v>9971</v>
      </c>
      <c r="L2399" s="85" t="s">
        <v>4135</v>
      </c>
      <c r="M2399" s="85" t="s">
        <v>9972</v>
      </c>
    </row>
    <row r="2400" ht="213.75" spans="1:13">
      <c r="A2400" s="85" t="s">
        <v>9973</v>
      </c>
      <c r="B2400" s="85" t="s">
        <v>2901</v>
      </c>
      <c r="C2400" s="85" t="s">
        <v>2902</v>
      </c>
      <c r="D2400" s="85" t="s">
        <v>2903</v>
      </c>
      <c r="E2400" s="85" t="s">
        <v>2902</v>
      </c>
      <c r="F2400" s="86">
        <v>14377.1</v>
      </c>
      <c r="G2400" s="86">
        <v>1</v>
      </c>
      <c r="H2400" s="86">
        <v>14377.1</v>
      </c>
      <c r="I2400" s="86">
        <v>14377.1</v>
      </c>
      <c r="J2400" s="85" t="s">
        <v>6770</v>
      </c>
      <c r="K2400" s="85" t="s">
        <v>9974</v>
      </c>
      <c r="L2400" s="85" t="s">
        <v>4135</v>
      </c>
      <c r="M2400" s="85" t="s">
        <v>9975</v>
      </c>
    </row>
    <row r="2401" ht="213.75" spans="1:13">
      <c r="A2401" s="85" t="s">
        <v>9976</v>
      </c>
      <c r="B2401" s="85" t="s">
        <v>4142</v>
      </c>
      <c r="C2401" s="85" t="s">
        <v>4143</v>
      </c>
      <c r="D2401" s="85" t="s">
        <v>4144</v>
      </c>
      <c r="E2401" s="85" t="s">
        <v>4143</v>
      </c>
      <c r="F2401" s="86">
        <v>46165.8</v>
      </c>
      <c r="G2401" s="86">
        <v>1</v>
      </c>
      <c r="H2401" s="86">
        <v>46165.8</v>
      </c>
      <c r="I2401" s="86">
        <v>46165.8</v>
      </c>
      <c r="J2401" s="85" t="s">
        <v>3898</v>
      </c>
      <c r="K2401" s="85" t="s">
        <v>9977</v>
      </c>
      <c r="L2401" s="85" t="s">
        <v>4135</v>
      </c>
      <c r="M2401" s="85" t="s">
        <v>9978</v>
      </c>
    </row>
    <row r="2402" ht="213.75" spans="1:13">
      <c r="A2402" s="85" t="s">
        <v>9979</v>
      </c>
      <c r="B2402" s="85" t="s">
        <v>9980</v>
      </c>
      <c r="C2402" s="85" t="s">
        <v>9981</v>
      </c>
      <c r="D2402" s="85" t="s">
        <v>3834</v>
      </c>
      <c r="E2402" s="85" t="s">
        <v>9982</v>
      </c>
      <c r="F2402" s="86">
        <v>2441</v>
      </c>
      <c r="G2402" s="86">
        <v>1</v>
      </c>
      <c r="H2402" s="86">
        <v>2441</v>
      </c>
      <c r="I2402" s="86">
        <v>2441</v>
      </c>
      <c r="J2402" s="85" t="s">
        <v>4391</v>
      </c>
      <c r="K2402" s="85" t="s">
        <v>9983</v>
      </c>
      <c r="L2402" s="85" t="s">
        <v>4135</v>
      </c>
      <c r="M2402" s="85" t="s">
        <v>9984</v>
      </c>
    </row>
    <row r="2403" ht="213.75" spans="1:13">
      <c r="A2403" s="85" t="s">
        <v>9985</v>
      </c>
      <c r="B2403" s="85" t="s">
        <v>9986</v>
      </c>
      <c r="C2403" s="85" t="s">
        <v>9987</v>
      </c>
      <c r="D2403" s="85" t="s">
        <v>5610</v>
      </c>
      <c r="E2403" s="85" t="s">
        <v>9988</v>
      </c>
      <c r="F2403" s="86">
        <v>6.37</v>
      </c>
      <c r="G2403" s="86">
        <v>5</v>
      </c>
      <c r="H2403" s="86">
        <v>31.85</v>
      </c>
      <c r="I2403" s="86">
        <v>11297.09</v>
      </c>
      <c r="J2403" s="85" t="s">
        <v>4391</v>
      </c>
      <c r="K2403" s="85" t="s">
        <v>9989</v>
      </c>
      <c r="L2403" s="85" t="s">
        <v>4135</v>
      </c>
      <c r="M2403" s="85" t="s">
        <v>9990</v>
      </c>
    </row>
    <row r="2404" ht="213.75" spans="1:13">
      <c r="A2404" s="85" t="s">
        <v>9991</v>
      </c>
      <c r="B2404" s="85" t="s">
        <v>9992</v>
      </c>
      <c r="C2404" s="85" t="s">
        <v>9993</v>
      </c>
      <c r="D2404" s="85" t="s">
        <v>3442</v>
      </c>
      <c r="E2404" s="85" t="s">
        <v>9994</v>
      </c>
      <c r="F2404" s="86">
        <v>66.02</v>
      </c>
      <c r="G2404" s="86">
        <v>1</v>
      </c>
      <c r="H2404" s="86">
        <v>66.02</v>
      </c>
      <c r="I2404" s="86">
        <v>28023.27</v>
      </c>
      <c r="J2404" s="85" t="s">
        <v>2935</v>
      </c>
      <c r="K2404" s="85" t="s">
        <v>9989</v>
      </c>
      <c r="L2404" s="85" t="s">
        <v>4135</v>
      </c>
      <c r="M2404" s="85" t="s">
        <v>9995</v>
      </c>
    </row>
    <row r="2405" ht="213.75" spans="1:13">
      <c r="A2405" s="85" t="s">
        <v>9991</v>
      </c>
      <c r="B2405" s="85" t="s">
        <v>9996</v>
      </c>
      <c r="C2405" s="85" t="s">
        <v>9997</v>
      </c>
      <c r="D2405" s="85" t="s">
        <v>2977</v>
      </c>
      <c r="E2405" s="85" t="s">
        <v>8894</v>
      </c>
      <c r="F2405" s="86">
        <v>8</v>
      </c>
      <c r="G2405" s="86">
        <v>30</v>
      </c>
      <c r="H2405" s="86">
        <v>240</v>
      </c>
      <c r="I2405" s="86">
        <v>28023.27</v>
      </c>
      <c r="J2405" s="85" t="s">
        <v>2935</v>
      </c>
      <c r="K2405" s="85" t="s">
        <v>9989</v>
      </c>
      <c r="L2405" s="85" t="s">
        <v>4135</v>
      </c>
      <c r="M2405" s="85" t="s">
        <v>9998</v>
      </c>
    </row>
    <row r="2406" ht="213.75" spans="1:13">
      <c r="A2406" s="85" t="s">
        <v>9991</v>
      </c>
      <c r="B2406" s="85" t="s">
        <v>8544</v>
      </c>
      <c r="C2406" s="85" t="s">
        <v>8545</v>
      </c>
      <c r="D2406" s="85" t="s">
        <v>3579</v>
      </c>
      <c r="E2406" s="85" t="s">
        <v>5737</v>
      </c>
      <c r="F2406" s="86">
        <v>370</v>
      </c>
      <c r="G2406" s="86">
        <v>5</v>
      </c>
      <c r="H2406" s="86">
        <v>1850</v>
      </c>
      <c r="I2406" s="86">
        <v>28023.27</v>
      </c>
      <c r="J2406" s="85" t="s">
        <v>2935</v>
      </c>
      <c r="K2406" s="85" t="s">
        <v>9989</v>
      </c>
      <c r="L2406" s="85" t="s">
        <v>4135</v>
      </c>
      <c r="M2406" s="85" t="s">
        <v>9999</v>
      </c>
    </row>
    <row r="2407" ht="213.75" spans="1:13">
      <c r="A2407" s="85" t="s">
        <v>10000</v>
      </c>
      <c r="B2407" s="85" t="s">
        <v>10001</v>
      </c>
      <c r="C2407" s="85" t="s">
        <v>10002</v>
      </c>
      <c r="D2407" s="85" t="s">
        <v>5368</v>
      </c>
      <c r="E2407" s="85" t="s">
        <v>10003</v>
      </c>
      <c r="F2407" s="86">
        <v>495</v>
      </c>
      <c r="G2407" s="86">
        <v>6</v>
      </c>
      <c r="H2407" s="86">
        <v>2970</v>
      </c>
      <c r="I2407" s="86">
        <v>2970</v>
      </c>
      <c r="J2407" s="85" t="s">
        <v>4391</v>
      </c>
      <c r="K2407" s="85" t="s">
        <v>9989</v>
      </c>
      <c r="L2407" s="85" t="s">
        <v>4135</v>
      </c>
      <c r="M2407" s="85" t="s">
        <v>10004</v>
      </c>
    </row>
    <row r="2408" ht="213.75" spans="1:13">
      <c r="A2408" s="85" t="s">
        <v>9985</v>
      </c>
      <c r="B2408" s="85" t="s">
        <v>10005</v>
      </c>
      <c r="C2408" s="85" t="s">
        <v>10006</v>
      </c>
      <c r="D2408" s="85" t="s">
        <v>8194</v>
      </c>
      <c r="E2408" s="85" t="s">
        <v>10007</v>
      </c>
      <c r="F2408" s="86">
        <v>146.02</v>
      </c>
      <c r="G2408" s="86">
        <v>6</v>
      </c>
      <c r="H2408" s="86">
        <v>876.12</v>
      </c>
      <c r="I2408" s="86">
        <v>11297.09</v>
      </c>
      <c r="J2408" s="85" t="s">
        <v>4391</v>
      </c>
      <c r="K2408" s="85" t="s">
        <v>9989</v>
      </c>
      <c r="L2408" s="85" t="s">
        <v>4135</v>
      </c>
      <c r="M2408" s="85" t="s">
        <v>10008</v>
      </c>
    </row>
    <row r="2409" ht="213.75" spans="1:13">
      <c r="A2409" s="85" t="s">
        <v>9985</v>
      </c>
      <c r="B2409" s="85" t="s">
        <v>10009</v>
      </c>
      <c r="C2409" s="85" t="s">
        <v>10010</v>
      </c>
      <c r="D2409" s="85" t="s">
        <v>3419</v>
      </c>
      <c r="E2409" s="85" t="s">
        <v>10011</v>
      </c>
      <c r="F2409" s="86">
        <v>5.39</v>
      </c>
      <c r="G2409" s="86">
        <v>300</v>
      </c>
      <c r="H2409" s="86">
        <v>1617</v>
      </c>
      <c r="I2409" s="86">
        <v>11297.09</v>
      </c>
      <c r="J2409" s="85" t="s">
        <v>4391</v>
      </c>
      <c r="K2409" s="85" t="s">
        <v>9989</v>
      </c>
      <c r="L2409" s="85" t="s">
        <v>4135</v>
      </c>
      <c r="M2409" s="85" t="s">
        <v>10012</v>
      </c>
    </row>
    <row r="2410" ht="213.75" spans="1:13">
      <c r="A2410" s="85" t="s">
        <v>9985</v>
      </c>
      <c r="B2410" s="85" t="s">
        <v>9433</v>
      </c>
      <c r="C2410" s="85" t="s">
        <v>9434</v>
      </c>
      <c r="D2410" s="85" t="s">
        <v>7100</v>
      </c>
      <c r="E2410" s="85" t="s">
        <v>9435</v>
      </c>
      <c r="F2410" s="86">
        <v>215.6</v>
      </c>
      <c r="G2410" s="86">
        <v>10</v>
      </c>
      <c r="H2410" s="86">
        <v>2156</v>
      </c>
      <c r="I2410" s="86">
        <v>11297.09</v>
      </c>
      <c r="J2410" s="85" t="s">
        <v>4391</v>
      </c>
      <c r="K2410" s="85" t="s">
        <v>9989</v>
      </c>
      <c r="L2410" s="85" t="s">
        <v>4135</v>
      </c>
      <c r="M2410" s="85" t="s">
        <v>10013</v>
      </c>
    </row>
    <row r="2411" ht="213.75" spans="1:13">
      <c r="A2411" s="85" t="s">
        <v>9991</v>
      </c>
      <c r="B2411" s="85" t="s">
        <v>10014</v>
      </c>
      <c r="C2411" s="85" t="s">
        <v>10015</v>
      </c>
      <c r="D2411" s="85" t="s">
        <v>4752</v>
      </c>
      <c r="E2411" s="85" t="s">
        <v>7659</v>
      </c>
      <c r="F2411" s="86">
        <v>478</v>
      </c>
      <c r="G2411" s="86">
        <v>2</v>
      </c>
      <c r="H2411" s="86">
        <v>956</v>
      </c>
      <c r="I2411" s="86">
        <v>28023.27</v>
      </c>
      <c r="J2411" s="85" t="s">
        <v>2935</v>
      </c>
      <c r="K2411" s="85" t="s">
        <v>9989</v>
      </c>
      <c r="L2411" s="85" t="s">
        <v>4135</v>
      </c>
      <c r="M2411" s="85" t="s">
        <v>10016</v>
      </c>
    </row>
    <row r="2412" ht="213.75" spans="1:13">
      <c r="A2412" s="85" t="s">
        <v>10017</v>
      </c>
      <c r="B2412" s="85" t="s">
        <v>4459</v>
      </c>
      <c r="C2412" s="85" t="s">
        <v>4460</v>
      </c>
      <c r="D2412" s="85" t="s">
        <v>3969</v>
      </c>
      <c r="E2412" s="85" t="s">
        <v>4461</v>
      </c>
      <c r="F2412" s="86">
        <v>15</v>
      </c>
      <c r="G2412" s="86">
        <v>24</v>
      </c>
      <c r="H2412" s="86">
        <v>360</v>
      </c>
      <c r="I2412" s="86">
        <v>2684</v>
      </c>
      <c r="J2412" s="85" t="s">
        <v>2935</v>
      </c>
      <c r="K2412" s="85" t="s">
        <v>9989</v>
      </c>
      <c r="L2412" s="85" t="s">
        <v>4135</v>
      </c>
      <c r="M2412" s="85" t="s">
        <v>10018</v>
      </c>
    </row>
    <row r="2413" ht="213.75" spans="1:13">
      <c r="A2413" s="85" t="s">
        <v>9991</v>
      </c>
      <c r="B2413" s="85" t="s">
        <v>10019</v>
      </c>
      <c r="C2413" s="85" t="s">
        <v>10020</v>
      </c>
      <c r="D2413" s="85" t="s">
        <v>3969</v>
      </c>
      <c r="E2413" s="85" t="s">
        <v>10021</v>
      </c>
      <c r="F2413" s="86">
        <v>0.87</v>
      </c>
      <c r="G2413" s="86">
        <v>500</v>
      </c>
      <c r="H2413" s="86">
        <v>435</v>
      </c>
      <c r="I2413" s="86">
        <v>28023.27</v>
      </c>
      <c r="J2413" s="85" t="s">
        <v>2935</v>
      </c>
      <c r="K2413" s="85" t="s">
        <v>9989</v>
      </c>
      <c r="L2413" s="85" t="s">
        <v>4135</v>
      </c>
      <c r="M2413" s="85" t="s">
        <v>10022</v>
      </c>
    </row>
    <row r="2414" ht="213.75" spans="1:13">
      <c r="A2414" s="85" t="s">
        <v>9991</v>
      </c>
      <c r="B2414" s="85" t="s">
        <v>8964</v>
      </c>
      <c r="C2414" s="85" t="s">
        <v>8965</v>
      </c>
      <c r="D2414" s="85" t="s">
        <v>3046</v>
      </c>
      <c r="E2414" s="85" t="s">
        <v>6506</v>
      </c>
      <c r="F2414" s="86">
        <v>1140</v>
      </c>
      <c r="G2414" s="86">
        <v>3</v>
      </c>
      <c r="H2414" s="86">
        <v>3420</v>
      </c>
      <c r="I2414" s="86">
        <v>28023.27</v>
      </c>
      <c r="J2414" s="85" t="s">
        <v>2935</v>
      </c>
      <c r="K2414" s="85" t="s">
        <v>9989</v>
      </c>
      <c r="L2414" s="85" t="s">
        <v>4135</v>
      </c>
      <c r="M2414" s="85" t="s">
        <v>10023</v>
      </c>
    </row>
    <row r="2415" ht="213.75" spans="1:13">
      <c r="A2415" s="85" t="s">
        <v>9991</v>
      </c>
      <c r="B2415" s="85" t="s">
        <v>10024</v>
      </c>
      <c r="C2415" s="85" t="s">
        <v>10025</v>
      </c>
      <c r="D2415" s="85" t="s">
        <v>10026</v>
      </c>
      <c r="E2415" s="85" t="s">
        <v>10027</v>
      </c>
      <c r="F2415" s="86">
        <v>48</v>
      </c>
      <c r="G2415" s="86">
        <v>43</v>
      </c>
      <c r="H2415" s="86">
        <v>2064</v>
      </c>
      <c r="I2415" s="86">
        <v>28023.27</v>
      </c>
      <c r="J2415" s="85" t="s">
        <v>2935</v>
      </c>
      <c r="K2415" s="85" t="s">
        <v>9989</v>
      </c>
      <c r="L2415" s="85" t="s">
        <v>4135</v>
      </c>
      <c r="M2415" s="85" t="s">
        <v>10028</v>
      </c>
    </row>
    <row r="2416" ht="213.75" spans="1:13">
      <c r="A2416" s="85" t="s">
        <v>9991</v>
      </c>
      <c r="B2416" s="85" t="s">
        <v>10029</v>
      </c>
      <c r="C2416" s="85" t="s">
        <v>10030</v>
      </c>
      <c r="D2416" s="85" t="s">
        <v>7009</v>
      </c>
      <c r="E2416" s="85" t="s">
        <v>10031</v>
      </c>
      <c r="F2416" s="86">
        <v>10</v>
      </c>
      <c r="G2416" s="86">
        <v>40</v>
      </c>
      <c r="H2416" s="86">
        <v>400</v>
      </c>
      <c r="I2416" s="86">
        <v>28023.27</v>
      </c>
      <c r="J2416" s="85" t="s">
        <v>2935</v>
      </c>
      <c r="K2416" s="85" t="s">
        <v>9989</v>
      </c>
      <c r="L2416" s="85" t="s">
        <v>4135</v>
      </c>
      <c r="M2416" s="85" t="s">
        <v>10032</v>
      </c>
    </row>
    <row r="2417" ht="213.75" spans="1:13">
      <c r="A2417" s="85" t="s">
        <v>9991</v>
      </c>
      <c r="B2417" s="85" t="s">
        <v>10033</v>
      </c>
      <c r="C2417" s="85" t="s">
        <v>10034</v>
      </c>
      <c r="D2417" s="85" t="s">
        <v>4747</v>
      </c>
      <c r="E2417" s="85" t="s">
        <v>4748</v>
      </c>
      <c r="F2417" s="86">
        <v>118.69</v>
      </c>
      <c r="G2417" s="86">
        <v>10</v>
      </c>
      <c r="H2417" s="86">
        <v>1186.9</v>
      </c>
      <c r="I2417" s="86">
        <v>28023.27</v>
      </c>
      <c r="J2417" s="85" t="s">
        <v>2935</v>
      </c>
      <c r="K2417" s="85" t="s">
        <v>9989</v>
      </c>
      <c r="L2417" s="85" t="s">
        <v>4135</v>
      </c>
      <c r="M2417" s="85" t="s">
        <v>10035</v>
      </c>
    </row>
    <row r="2418" ht="213.75" spans="1:13">
      <c r="A2418" s="85" t="s">
        <v>9985</v>
      </c>
      <c r="B2418" s="85" t="s">
        <v>7699</v>
      </c>
      <c r="C2418" s="85" t="s">
        <v>7700</v>
      </c>
      <c r="D2418" s="85" t="s">
        <v>4772</v>
      </c>
      <c r="E2418" s="85" t="s">
        <v>4773</v>
      </c>
      <c r="F2418" s="86">
        <v>98.98</v>
      </c>
      <c r="G2418" s="86">
        <v>3</v>
      </c>
      <c r="H2418" s="86">
        <v>296.94</v>
      </c>
      <c r="I2418" s="86">
        <v>11297.09</v>
      </c>
      <c r="J2418" s="85" t="s">
        <v>4391</v>
      </c>
      <c r="K2418" s="85" t="s">
        <v>9989</v>
      </c>
      <c r="L2418" s="85" t="s">
        <v>4135</v>
      </c>
      <c r="M2418" s="85" t="s">
        <v>10036</v>
      </c>
    </row>
    <row r="2419" ht="213.75" spans="1:13">
      <c r="A2419" s="85" t="s">
        <v>10017</v>
      </c>
      <c r="B2419" s="85" t="s">
        <v>10037</v>
      </c>
      <c r="C2419" s="85" t="s">
        <v>10038</v>
      </c>
      <c r="D2419" s="85" t="s">
        <v>10039</v>
      </c>
      <c r="E2419" s="85" t="s">
        <v>10040</v>
      </c>
      <c r="F2419" s="86">
        <v>99</v>
      </c>
      <c r="G2419" s="86">
        <v>21</v>
      </c>
      <c r="H2419" s="86">
        <v>2079</v>
      </c>
      <c r="I2419" s="86">
        <v>2684</v>
      </c>
      <c r="J2419" s="85" t="s">
        <v>2935</v>
      </c>
      <c r="K2419" s="85" t="s">
        <v>9989</v>
      </c>
      <c r="L2419" s="85" t="s">
        <v>4135</v>
      </c>
      <c r="M2419" s="85" t="s">
        <v>10041</v>
      </c>
    </row>
    <row r="2420" ht="213.75" spans="1:13">
      <c r="A2420" s="85" t="s">
        <v>10017</v>
      </c>
      <c r="B2420" s="85" t="s">
        <v>4218</v>
      </c>
      <c r="C2420" s="85" t="s">
        <v>4219</v>
      </c>
      <c r="D2420" s="85" t="s">
        <v>4220</v>
      </c>
      <c r="E2420" s="85" t="s">
        <v>4221</v>
      </c>
      <c r="F2420" s="86">
        <v>4.8</v>
      </c>
      <c r="G2420" s="86">
        <v>10</v>
      </c>
      <c r="H2420" s="86">
        <v>48</v>
      </c>
      <c r="I2420" s="86">
        <v>2684</v>
      </c>
      <c r="J2420" s="85" t="s">
        <v>2935</v>
      </c>
      <c r="K2420" s="85" t="s">
        <v>9989</v>
      </c>
      <c r="L2420" s="85" t="s">
        <v>4135</v>
      </c>
      <c r="M2420" s="85" t="s">
        <v>10042</v>
      </c>
    </row>
    <row r="2421" ht="213.75" spans="1:13">
      <c r="A2421" s="85" t="s">
        <v>10043</v>
      </c>
      <c r="B2421" s="85" t="s">
        <v>4537</v>
      </c>
      <c r="C2421" s="85" t="s">
        <v>10044</v>
      </c>
      <c r="D2421" s="85" t="s">
        <v>2997</v>
      </c>
      <c r="E2421" s="85" t="s">
        <v>2998</v>
      </c>
      <c r="F2421" s="86">
        <v>18</v>
      </c>
      <c r="G2421" s="86">
        <v>240</v>
      </c>
      <c r="H2421" s="86">
        <v>4320</v>
      </c>
      <c r="I2421" s="86">
        <v>4320</v>
      </c>
      <c r="J2421" s="85" t="s">
        <v>2999</v>
      </c>
      <c r="K2421" s="85" t="s">
        <v>9989</v>
      </c>
      <c r="L2421" s="85" t="s">
        <v>4135</v>
      </c>
      <c r="M2421" s="85" t="s">
        <v>10045</v>
      </c>
    </row>
    <row r="2422" ht="213.75" spans="1:13">
      <c r="A2422" s="85" t="s">
        <v>9991</v>
      </c>
      <c r="B2422" s="85" t="s">
        <v>10046</v>
      </c>
      <c r="C2422" s="85" t="s">
        <v>10047</v>
      </c>
      <c r="D2422" s="85" t="s">
        <v>3419</v>
      </c>
      <c r="E2422" s="85" t="s">
        <v>10011</v>
      </c>
      <c r="F2422" s="86">
        <v>0.61</v>
      </c>
      <c r="G2422" s="86">
        <v>500</v>
      </c>
      <c r="H2422" s="86">
        <v>305</v>
      </c>
      <c r="I2422" s="86">
        <v>28023.27</v>
      </c>
      <c r="J2422" s="85" t="s">
        <v>2935</v>
      </c>
      <c r="K2422" s="85" t="s">
        <v>9989</v>
      </c>
      <c r="L2422" s="85" t="s">
        <v>4135</v>
      </c>
      <c r="M2422" s="85" t="s">
        <v>10048</v>
      </c>
    </row>
    <row r="2423" ht="213.75" spans="1:13">
      <c r="A2423" s="85" t="s">
        <v>9991</v>
      </c>
      <c r="B2423" s="85" t="s">
        <v>10049</v>
      </c>
      <c r="C2423" s="85" t="s">
        <v>10050</v>
      </c>
      <c r="D2423" s="85" t="s">
        <v>7140</v>
      </c>
      <c r="E2423" s="85" t="s">
        <v>7141</v>
      </c>
      <c r="F2423" s="86">
        <v>270</v>
      </c>
      <c r="G2423" s="86">
        <v>12</v>
      </c>
      <c r="H2423" s="86">
        <v>3240</v>
      </c>
      <c r="I2423" s="86">
        <v>28023.27</v>
      </c>
      <c r="J2423" s="85" t="s">
        <v>2935</v>
      </c>
      <c r="K2423" s="85" t="s">
        <v>9989</v>
      </c>
      <c r="L2423" s="85" t="s">
        <v>4135</v>
      </c>
      <c r="M2423" s="85" t="s">
        <v>10051</v>
      </c>
    </row>
    <row r="2424" ht="213.75" spans="1:13">
      <c r="A2424" s="85" t="s">
        <v>9985</v>
      </c>
      <c r="B2424" s="85" t="s">
        <v>9527</v>
      </c>
      <c r="C2424" s="85" t="s">
        <v>9528</v>
      </c>
      <c r="D2424" s="85" t="s">
        <v>3617</v>
      </c>
      <c r="E2424" s="85" t="s">
        <v>3618</v>
      </c>
      <c r="F2424" s="86">
        <v>12.74</v>
      </c>
      <c r="G2424" s="86">
        <v>120</v>
      </c>
      <c r="H2424" s="86">
        <v>1528.8</v>
      </c>
      <c r="I2424" s="86">
        <v>11297.09</v>
      </c>
      <c r="J2424" s="85" t="s">
        <v>4391</v>
      </c>
      <c r="K2424" s="85" t="s">
        <v>9989</v>
      </c>
      <c r="L2424" s="85" t="s">
        <v>4135</v>
      </c>
      <c r="M2424" s="85" t="s">
        <v>10052</v>
      </c>
    </row>
    <row r="2425" ht="213.75" spans="1:13">
      <c r="A2425" s="85" t="s">
        <v>9985</v>
      </c>
      <c r="B2425" s="85" t="s">
        <v>10053</v>
      </c>
      <c r="C2425" s="85" t="s">
        <v>10054</v>
      </c>
      <c r="D2425" s="85" t="s">
        <v>3419</v>
      </c>
      <c r="E2425" s="85" t="s">
        <v>10011</v>
      </c>
      <c r="F2425" s="86">
        <v>1.47</v>
      </c>
      <c r="G2425" s="86">
        <v>300</v>
      </c>
      <c r="H2425" s="86">
        <v>441</v>
      </c>
      <c r="I2425" s="86">
        <v>11297.09</v>
      </c>
      <c r="J2425" s="85" t="s">
        <v>4391</v>
      </c>
      <c r="K2425" s="85" t="s">
        <v>9989</v>
      </c>
      <c r="L2425" s="85" t="s">
        <v>4135</v>
      </c>
      <c r="M2425" s="85" t="s">
        <v>10055</v>
      </c>
    </row>
    <row r="2426" ht="213.75" spans="1:13">
      <c r="A2426" s="85" t="s">
        <v>9991</v>
      </c>
      <c r="B2426" s="85" t="s">
        <v>10056</v>
      </c>
      <c r="C2426" s="85" t="s">
        <v>10057</v>
      </c>
      <c r="D2426" s="85" t="s">
        <v>3450</v>
      </c>
      <c r="E2426" s="85" t="s">
        <v>10058</v>
      </c>
      <c r="F2426" s="86">
        <v>3.77</v>
      </c>
      <c r="G2426" s="86">
        <v>10</v>
      </c>
      <c r="H2426" s="86">
        <v>37.7</v>
      </c>
      <c r="I2426" s="86">
        <v>28023.27</v>
      </c>
      <c r="J2426" s="85" t="s">
        <v>2935</v>
      </c>
      <c r="K2426" s="85" t="s">
        <v>9989</v>
      </c>
      <c r="L2426" s="85" t="s">
        <v>4135</v>
      </c>
      <c r="M2426" s="85" t="s">
        <v>10059</v>
      </c>
    </row>
    <row r="2427" ht="213.75" spans="1:13">
      <c r="A2427" s="85" t="s">
        <v>9991</v>
      </c>
      <c r="B2427" s="85" t="s">
        <v>10060</v>
      </c>
      <c r="C2427" s="85" t="s">
        <v>10061</v>
      </c>
      <c r="D2427" s="85" t="s">
        <v>5355</v>
      </c>
      <c r="E2427" s="85" t="s">
        <v>10062</v>
      </c>
      <c r="F2427" s="86">
        <v>111.65</v>
      </c>
      <c r="G2427" s="86">
        <v>6</v>
      </c>
      <c r="H2427" s="86">
        <v>669.9</v>
      </c>
      <c r="I2427" s="86">
        <v>28023.27</v>
      </c>
      <c r="J2427" s="85" t="s">
        <v>2935</v>
      </c>
      <c r="K2427" s="85" t="s">
        <v>9989</v>
      </c>
      <c r="L2427" s="85" t="s">
        <v>4135</v>
      </c>
      <c r="M2427" s="85" t="s">
        <v>10063</v>
      </c>
    </row>
    <row r="2428" ht="213.75" spans="1:13">
      <c r="A2428" s="85" t="s">
        <v>9985</v>
      </c>
      <c r="B2428" s="85" t="s">
        <v>10064</v>
      </c>
      <c r="C2428" s="85" t="s">
        <v>10065</v>
      </c>
      <c r="D2428" s="85" t="s">
        <v>10066</v>
      </c>
      <c r="E2428" s="85" t="s">
        <v>10067</v>
      </c>
      <c r="F2428" s="86">
        <v>16.66</v>
      </c>
      <c r="G2428" s="86">
        <v>16</v>
      </c>
      <c r="H2428" s="86">
        <v>266.56</v>
      </c>
      <c r="I2428" s="86">
        <v>11297.09</v>
      </c>
      <c r="J2428" s="85" t="s">
        <v>4391</v>
      </c>
      <c r="K2428" s="85" t="s">
        <v>9989</v>
      </c>
      <c r="L2428" s="85" t="s">
        <v>4135</v>
      </c>
      <c r="M2428" s="85" t="s">
        <v>10068</v>
      </c>
    </row>
    <row r="2429" ht="213.75" spans="1:13">
      <c r="A2429" s="85" t="s">
        <v>10017</v>
      </c>
      <c r="B2429" s="85" t="s">
        <v>10069</v>
      </c>
      <c r="C2429" s="85" t="s">
        <v>10070</v>
      </c>
      <c r="D2429" s="85" t="s">
        <v>9294</v>
      </c>
      <c r="E2429" s="85" t="s">
        <v>9295</v>
      </c>
      <c r="F2429" s="86">
        <v>78</v>
      </c>
      <c r="G2429" s="86">
        <v>1</v>
      </c>
      <c r="H2429" s="86">
        <v>78</v>
      </c>
      <c r="I2429" s="86">
        <v>2684</v>
      </c>
      <c r="J2429" s="85" t="s">
        <v>2935</v>
      </c>
      <c r="K2429" s="85" t="s">
        <v>9989</v>
      </c>
      <c r="L2429" s="85" t="s">
        <v>4135</v>
      </c>
      <c r="M2429" s="85" t="s">
        <v>10071</v>
      </c>
    </row>
    <row r="2430" ht="213.75" spans="1:13">
      <c r="A2430" s="85" t="s">
        <v>9985</v>
      </c>
      <c r="B2430" s="85" t="s">
        <v>10072</v>
      </c>
      <c r="C2430" s="85" t="s">
        <v>10073</v>
      </c>
      <c r="D2430" s="85" t="s">
        <v>3419</v>
      </c>
      <c r="E2430" s="85" t="s">
        <v>10011</v>
      </c>
      <c r="F2430" s="86">
        <v>5.88</v>
      </c>
      <c r="G2430" s="86">
        <v>12</v>
      </c>
      <c r="H2430" s="86">
        <v>70.56</v>
      </c>
      <c r="I2430" s="86">
        <v>11297.09</v>
      </c>
      <c r="J2430" s="85" t="s">
        <v>4391</v>
      </c>
      <c r="K2430" s="85" t="s">
        <v>9989</v>
      </c>
      <c r="L2430" s="85" t="s">
        <v>4135</v>
      </c>
      <c r="M2430" s="85" t="s">
        <v>10074</v>
      </c>
    </row>
    <row r="2431" ht="213.75" spans="1:13">
      <c r="A2431" s="85" t="s">
        <v>9991</v>
      </c>
      <c r="B2431" s="85" t="s">
        <v>10075</v>
      </c>
      <c r="C2431" s="85" t="s">
        <v>10076</v>
      </c>
      <c r="D2431" s="85" t="s">
        <v>5610</v>
      </c>
      <c r="E2431" s="85" t="s">
        <v>9988</v>
      </c>
      <c r="F2431" s="86">
        <v>5.8</v>
      </c>
      <c r="G2431" s="86">
        <v>30</v>
      </c>
      <c r="H2431" s="86">
        <v>174</v>
      </c>
      <c r="I2431" s="86">
        <v>28023.27</v>
      </c>
      <c r="J2431" s="85" t="s">
        <v>2935</v>
      </c>
      <c r="K2431" s="85" t="s">
        <v>9989</v>
      </c>
      <c r="L2431" s="85" t="s">
        <v>4135</v>
      </c>
      <c r="M2431" s="85" t="s">
        <v>10077</v>
      </c>
    </row>
    <row r="2432" ht="213.75" spans="1:13">
      <c r="A2432" s="85" t="s">
        <v>9985</v>
      </c>
      <c r="B2432" s="85" t="s">
        <v>10078</v>
      </c>
      <c r="C2432" s="85" t="s">
        <v>10079</v>
      </c>
      <c r="D2432" s="85" t="s">
        <v>4898</v>
      </c>
      <c r="E2432" s="85" t="s">
        <v>9456</v>
      </c>
      <c r="F2432" s="86">
        <v>0.98</v>
      </c>
      <c r="G2432" s="86">
        <v>40</v>
      </c>
      <c r="H2432" s="86">
        <v>39.2</v>
      </c>
      <c r="I2432" s="86">
        <v>11297.09</v>
      </c>
      <c r="J2432" s="85" t="s">
        <v>4391</v>
      </c>
      <c r="K2432" s="85" t="s">
        <v>9989</v>
      </c>
      <c r="L2432" s="85" t="s">
        <v>4135</v>
      </c>
      <c r="M2432" s="85" t="s">
        <v>10080</v>
      </c>
    </row>
    <row r="2433" ht="213.75" spans="1:13">
      <c r="A2433" s="85" t="s">
        <v>9991</v>
      </c>
      <c r="B2433" s="85" t="s">
        <v>10081</v>
      </c>
      <c r="C2433" s="85" t="s">
        <v>10082</v>
      </c>
      <c r="D2433" s="85" t="s">
        <v>10083</v>
      </c>
      <c r="E2433" s="85" t="s">
        <v>10084</v>
      </c>
      <c r="F2433" s="86">
        <v>7.77</v>
      </c>
      <c r="G2433" s="86">
        <v>8</v>
      </c>
      <c r="H2433" s="86">
        <v>62.16</v>
      </c>
      <c r="I2433" s="86">
        <v>28023.27</v>
      </c>
      <c r="J2433" s="85" t="s">
        <v>2935</v>
      </c>
      <c r="K2433" s="85" t="s">
        <v>9989</v>
      </c>
      <c r="L2433" s="85" t="s">
        <v>4135</v>
      </c>
      <c r="M2433" s="85" t="s">
        <v>10085</v>
      </c>
    </row>
    <row r="2434" ht="213.75" spans="1:13">
      <c r="A2434" s="85" t="s">
        <v>9985</v>
      </c>
      <c r="B2434" s="85" t="s">
        <v>10086</v>
      </c>
      <c r="C2434" s="85" t="s">
        <v>10087</v>
      </c>
      <c r="D2434" s="85" t="s">
        <v>10088</v>
      </c>
      <c r="E2434" s="85" t="s">
        <v>10089</v>
      </c>
      <c r="F2434" s="86">
        <v>3.72</v>
      </c>
      <c r="G2434" s="86">
        <v>10</v>
      </c>
      <c r="H2434" s="86">
        <v>37.2</v>
      </c>
      <c r="I2434" s="86">
        <v>11297.09</v>
      </c>
      <c r="J2434" s="85" t="s">
        <v>4391</v>
      </c>
      <c r="K2434" s="85" t="s">
        <v>9989</v>
      </c>
      <c r="L2434" s="85" t="s">
        <v>4135</v>
      </c>
      <c r="M2434" s="85" t="s">
        <v>10090</v>
      </c>
    </row>
    <row r="2435" ht="213.75" spans="1:13">
      <c r="A2435" s="85" t="s">
        <v>9991</v>
      </c>
      <c r="B2435" s="85" t="s">
        <v>10091</v>
      </c>
      <c r="C2435" s="85" t="s">
        <v>10092</v>
      </c>
      <c r="D2435" s="85" t="s">
        <v>3625</v>
      </c>
      <c r="E2435" s="85" t="s">
        <v>10093</v>
      </c>
      <c r="F2435" s="86">
        <v>16</v>
      </c>
      <c r="G2435" s="86">
        <v>4</v>
      </c>
      <c r="H2435" s="86">
        <v>64</v>
      </c>
      <c r="I2435" s="86">
        <v>28023.27</v>
      </c>
      <c r="J2435" s="85" t="s">
        <v>2935</v>
      </c>
      <c r="K2435" s="85" t="s">
        <v>9989</v>
      </c>
      <c r="L2435" s="85" t="s">
        <v>4135</v>
      </c>
      <c r="M2435" s="85" t="s">
        <v>10094</v>
      </c>
    </row>
    <row r="2436" ht="213.75" spans="1:13">
      <c r="A2436" s="85" t="s">
        <v>9985</v>
      </c>
      <c r="B2436" s="85" t="s">
        <v>10095</v>
      </c>
      <c r="C2436" s="85" t="s">
        <v>10096</v>
      </c>
      <c r="D2436" s="85" t="s">
        <v>6067</v>
      </c>
      <c r="E2436" s="85" t="s">
        <v>10097</v>
      </c>
      <c r="F2436" s="86">
        <v>0.29</v>
      </c>
      <c r="G2436" s="86">
        <v>300</v>
      </c>
      <c r="H2436" s="86">
        <v>87</v>
      </c>
      <c r="I2436" s="86">
        <v>11297.09</v>
      </c>
      <c r="J2436" s="85" t="s">
        <v>4391</v>
      </c>
      <c r="K2436" s="85" t="s">
        <v>9989</v>
      </c>
      <c r="L2436" s="85" t="s">
        <v>4135</v>
      </c>
      <c r="M2436" s="85" t="s">
        <v>10098</v>
      </c>
    </row>
    <row r="2437" ht="213.75" spans="1:13">
      <c r="A2437" s="85" t="s">
        <v>9991</v>
      </c>
      <c r="B2437" s="85" t="s">
        <v>10099</v>
      </c>
      <c r="C2437" s="85" t="s">
        <v>10100</v>
      </c>
      <c r="D2437" s="85" t="s">
        <v>5355</v>
      </c>
      <c r="E2437" s="85" t="s">
        <v>10062</v>
      </c>
      <c r="F2437" s="86">
        <v>271.84</v>
      </c>
      <c r="G2437" s="86">
        <v>6</v>
      </c>
      <c r="H2437" s="86">
        <v>1631.04</v>
      </c>
      <c r="I2437" s="86">
        <v>28023.27</v>
      </c>
      <c r="J2437" s="85" t="s">
        <v>2935</v>
      </c>
      <c r="K2437" s="85" t="s">
        <v>9989</v>
      </c>
      <c r="L2437" s="85" t="s">
        <v>4135</v>
      </c>
      <c r="M2437" s="85" t="s">
        <v>10101</v>
      </c>
    </row>
    <row r="2438" ht="213.75" spans="1:13">
      <c r="A2438" s="85" t="s">
        <v>10017</v>
      </c>
      <c r="B2438" s="85" t="s">
        <v>10102</v>
      </c>
      <c r="C2438" s="85" t="s">
        <v>10103</v>
      </c>
      <c r="D2438" s="85" t="s">
        <v>5066</v>
      </c>
      <c r="E2438" s="85" t="s">
        <v>5067</v>
      </c>
      <c r="F2438" s="86">
        <v>119</v>
      </c>
      <c r="G2438" s="86">
        <v>1</v>
      </c>
      <c r="H2438" s="86">
        <v>119</v>
      </c>
      <c r="I2438" s="86">
        <v>2684</v>
      </c>
      <c r="J2438" s="85" t="s">
        <v>2935</v>
      </c>
      <c r="K2438" s="85" t="s">
        <v>9989</v>
      </c>
      <c r="L2438" s="85" t="s">
        <v>4135</v>
      </c>
      <c r="M2438" s="85" t="s">
        <v>10104</v>
      </c>
    </row>
    <row r="2439" ht="213.75" spans="1:13">
      <c r="A2439" s="85" t="s">
        <v>9985</v>
      </c>
      <c r="B2439" s="85" t="s">
        <v>10105</v>
      </c>
      <c r="C2439" s="85" t="s">
        <v>10106</v>
      </c>
      <c r="D2439" s="85" t="s">
        <v>5610</v>
      </c>
      <c r="E2439" s="85" t="s">
        <v>5820</v>
      </c>
      <c r="F2439" s="86">
        <v>5.49</v>
      </c>
      <c r="G2439" s="86">
        <v>10</v>
      </c>
      <c r="H2439" s="86">
        <v>54.9</v>
      </c>
      <c r="I2439" s="86">
        <v>11297.09</v>
      </c>
      <c r="J2439" s="85" t="s">
        <v>4391</v>
      </c>
      <c r="K2439" s="85" t="s">
        <v>9989</v>
      </c>
      <c r="L2439" s="85" t="s">
        <v>4135</v>
      </c>
      <c r="M2439" s="85" t="s">
        <v>10107</v>
      </c>
    </row>
    <row r="2440" ht="213.75" spans="1:13">
      <c r="A2440" s="85" t="s">
        <v>9985</v>
      </c>
      <c r="B2440" s="85" t="s">
        <v>8833</v>
      </c>
      <c r="C2440" s="85" t="s">
        <v>8834</v>
      </c>
      <c r="D2440" s="85" t="s">
        <v>6122</v>
      </c>
      <c r="E2440" s="85" t="s">
        <v>8559</v>
      </c>
      <c r="F2440" s="86">
        <v>1.36</v>
      </c>
      <c r="G2440" s="86">
        <v>50</v>
      </c>
      <c r="H2440" s="86">
        <v>68</v>
      </c>
      <c r="I2440" s="86">
        <v>11297.09</v>
      </c>
      <c r="J2440" s="85" t="s">
        <v>4391</v>
      </c>
      <c r="K2440" s="85" t="s">
        <v>9989</v>
      </c>
      <c r="L2440" s="85" t="s">
        <v>4135</v>
      </c>
      <c r="M2440" s="85" t="s">
        <v>10108</v>
      </c>
    </row>
    <row r="2441" ht="213.75" spans="1:13">
      <c r="A2441" s="85" t="s">
        <v>9985</v>
      </c>
      <c r="B2441" s="85" t="s">
        <v>10109</v>
      </c>
      <c r="C2441" s="85" t="s">
        <v>10110</v>
      </c>
      <c r="D2441" s="85" t="s">
        <v>10111</v>
      </c>
      <c r="E2441" s="85" t="s">
        <v>10112</v>
      </c>
      <c r="F2441" s="86">
        <v>7.84</v>
      </c>
      <c r="G2441" s="86">
        <v>300</v>
      </c>
      <c r="H2441" s="86">
        <v>2352</v>
      </c>
      <c r="I2441" s="86">
        <v>11297.09</v>
      </c>
      <c r="J2441" s="85" t="s">
        <v>4391</v>
      </c>
      <c r="K2441" s="85" t="s">
        <v>9989</v>
      </c>
      <c r="L2441" s="85" t="s">
        <v>4135</v>
      </c>
      <c r="M2441" s="85" t="s">
        <v>10113</v>
      </c>
    </row>
    <row r="2442" ht="213.75" spans="1:13">
      <c r="A2442" s="85" t="s">
        <v>9991</v>
      </c>
      <c r="B2442" s="85" t="s">
        <v>10114</v>
      </c>
      <c r="C2442" s="85" t="s">
        <v>10115</v>
      </c>
      <c r="D2442" s="85" t="s">
        <v>10116</v>
      </c>
      <c r="E2442" s="85" t="s">
        <v>10117</v>
      </c>
      <c r="F2442" s="86">
        <v>15.08</v>
      </c>
      <c r="G2442" s="86">
        <v>75</v>
      </c>
      <c r="H2442" s="86">
        <v>1131</v>
      </c>
      <c r="I2442" s="86">
        <v>28023.27</v>
      </c>
      <c r="J2442" s="85" t="s">
        <v>2935</v>
      </c>
      <c r="K2442" s="85" t="s">
        <v>9989</v>
      </c>
      <c r="L2442" s="85" t="s">
        <v>4135</v>
      </c>
      <c r="M2442" s="85" t="s">
        <v>10118</v>
      </c>
    </row>
    <row r="2443" ht="213.75" spans="1:13">
      <c r="A2443" s="85" t="s">
        <v>9991</v>
      </c>
      <c r="B2443" s="85" t="s">
        <v>10119</v>
      </c>
      <c r="C2443" s="85" t="s">
        <v>10120</v>
      </c>
      <c r="D2443" s="85" t="s">
        <v>10121</v>
      </c>
      <c r="E2443" s="85" t="s">
        <v>10122</v>
      </c>
      <c r="F2443" s="86">
        <v>2.91</v>
      </c>
      <c r="G2443" s="86">
        <v>20</v>
      </c>
      <c r="H2443" s="86">
        <v>58.2</v>
      </c>
      <c r="I2443" s="86">
        <v>28023.27</v>
      </c>
      <c r="J2443" s="85" t="s">
        <v>2935</v>
      </c>
      <c r="K2443" s="85" t="s">
        <v>9989</v>
      </c>
      <c r="L2443" s="85" t="s">
        <v>4135</v>
      </c>
      <c r="M2443" s="85" t="s">
        <v>10123</v>
      </c>
    </row>
    <row r="2444" ht="213.75" spans="1:13">
      <c r="A2444" s="85" t="s">
        <v>9985</v>
      </c>
      <c r="B2444" s="85" t="s">
        <v>10124</v>
      </c>
      <c r="C2444" s="85" t="s">
        <v>10125</v>
      </c>
      <c r="D2444" s="85" t="s">
        <v>10126</v>
      </c>
      <c r="E2444" s="85" t="s">
        <v>10127</v>
      </c>
      <c r="F2444" s="86">
        <v>84.28</v>
      </c>
      <c r="G2444" s="86">
        <v>4</v>
      </c>
      <c r="H2444" s="86">
        <v>337.12</v>
      </c>
      <c r="I2444" s="86">
        <v>11297.09</v>
      </c>
      <c r="J2444" s="85" t="s">
        <v>4391</v>
      </c>
      <c r="K2444" s="85" t="s">
        <v>9989</v>
      </c>
      <c r="L2444" s="85" t="s">
        <v>4135</v>
      </c>
      <c r="M2444" s="85" t="s">
        <v>10128</v>
      </c>
    </row>
    <row r="2445" ht="213.75" spans="1:13">
      <c r="A2445" s="85" t="s">
        <v>9991</v>
      </c>
      <c r="B2445" s="85" t="s">
        <v>10129</v>
      </c>
      <c r="C2445" s="85" t="s">
        <v>10130</v>
      </c>
      <c r="D2445" s="85" t="s">
        <v>3969</v>
      </c>
      <c r="E2445" s="85" t="s">
        <v>10021</v>
      </c>
      <c r="F2445" s="86">
        <v>0.75</v>
      </c>
      <c r="G2445" s="86">
        <v>2000</v>
      </c>
      <c r="H2445" s="86">
        <v>1500</v>
      </c>
      <c r="I2445" s="86">
        <v>28023.27</v>
      </c>
      <c r="J2445" s="85" t="s">
        <v>2935</v>
      </c>
      <c r="K2445" s="85" t="s">
        <v>9989</v>
      </c>
      <c r="L2445" s="85" t="s">
        <v>4135</v>
      </c>
      <c r="M2445" s="85" t="s">
        <v>10131</v>
      </c>
    </row>
    <row r="2446" ht="213.75" spans="1:13">
      <c r="A2446" s="85" t="s">
        <v>9991</v>
      </c>
      <c r="B2446" s="85" t="s">
        <v>10132</v>
      </c>
      <c r="C2446" s="85" t="s">
        <v>10133</v>
      </c>
      <c r="D2446" s="85" t="s">
        <v>7271</v>
      </c>
      <c r="E2446" s="85" t="s">
        <v>10134</v>
      </c>
      <c r="F2446" s="86">
        <v>18.8</v>
      </c>
      <c r="G2446" s="86">
        <v>2</v>
      </c>
      <c r="H2446" s="86">
        <v>37.6</v>
      </c>
      <c r="I2446" s="86">
        <v>28023.27</v>
      </c>
      <c r="J2446" s="85" t="s">
        <v>2935</v>
      </c>
      <c r="K2446" s="85" t="s">
        <v>9989</v>
      </c>
      <c r="L2446" s="85" t="s">
        <v>4135</v>
      </c>
      <c r="M2446" s="85" t="s">
        <v>10135</v>
      </c>
    </row>
    <row r="2447" ht="213.75" spans="1:13">
      <c r="A2447" s="85" t="s">
        <v>9991</v>
      </c>
      <c r="B2447" s="85" t="s">
        <v>10136</v>
      </c>
      <c r="C2447" s="85" t="s">
        <v>10137</v>
      </c>
      <c r="D2447" s="85" t="s">
        <v>4220</v>
      </c>
      <c r="E2447" s="85" t="s">
        <v>9346</v>
      </c>
      <c r="F2447" s="86">
        <v>760</v>
      </c>
      <c r="G2447" s="86">
        <v>7</v>
      </c>
      <c r="H2447" s="86">
        <v>5320</v>
      </c>
      <c r="I2447" s="86">
        <v>28023.27</v>
      </c>
      <c r="J2447" s="85" t="s">
        <v>2935</v>
      </c>
      <c r="K2447" s="85" t="s">
        <v>9989</v>
      </c>
      <c r="L2447" s="85" t="s">
        <v>4135</v>
      </c>
      <c r="M2447" s="85" t="s">
        <v>10138</v>
      </c>
    </row>
    <row r="2448" ht="213.75" spans="1:13">
      <c r="A2448" s="85" t="s">
        <v>9985</v>
      </c>
      <c r="B2448" s="85" t="s">
        <v>10139</v>
      </c>
      <c r="C2448" s="85" t="s">
        <v>10140</v>
      </c>
      <c r="D2448" s="85" t="s">
        <v>10141</v>
      </c>
      <c r="E2448" s="85" t="s">
        <v>10142</v>
      </c>
      <c r="F2448" s="86">
        <v>0.98</v>
      </c>
      <c r="G2448" s="86">
        <v>10</v>
      </c>
      <c r="H2448" s="86">
        <v>9.8</v>
      </c>
      <c r="I2448" s="86">
        <v>11297.09</v>
      </c>
      <c r="J2448" s="85" t="s">
        <v>4391</v>
      </c>
      <c r="K2448" s="85" t="s">
        <v>9989</v>
      </c>
      <c r="L2448" s="85" t="s">
        <v>4135</v>
      </c>
      <c r="M2448" s="85" t="s">
        <v>10143</v>
      </c>
    </row>
    <row r="2449" ht="213.75" spans="1:13">
      <c r="A2449" s="85" t="s">
        <v>9985</v>
      </c>
      <c r="B2449" s="85" t="s">
        <v>10144</v>
      </c>
      <c r="C2449" s="85" t="s">
        <v>10145</v>
      </c>
      <c r="D2449" s="85" t="s">
        <v>10146</v>
      </c>
      <c r="E2449" s="85" t="s">
        <v>10147</v>
      </c>
      <c r="F2449" s="86">
        <v>78.4</v>
      </c>
      <c r="G2449" s="86">
        <v>3</v>
      </c>
      <c r="H2449" s="86">
        <v>235.2</v>
      </c>
      <c r="I2449" s="86">
        <v>11297.09</v>
      </c>
      <c r="J2449" s="85" t="s">
        <v>4391</v>
      </c>
      <c r="K2449" s="85" t="s">
        <v>9989</v>
      </c>
      <c r="L2449" s="85" t="s">
        <v>4135</v>
      </c>
      <c r="M2449" s="85" t="s">
        <v>10148</v>
      </c>
    </row>
    <row r="2450" ht="213.75" spans="1:13">
      <c r="A2450" s="85" t="s">
        <v>9985</v>
      </c>
      <c r="B2450" s="85" t="s">
        <v>10149</v>
      </c>
      <c r="C2450" s="85" t="s">
        <v>10150</v>
      </c>
      <c r="D2450" s="85" t="s">
        <v>10151</v>
      </c>
      <c r="E2450" s="85" t="s">
        <v>10152</v>
      </c>
      <c r="F2450" s="86">
        <v>15.68</v>
      </c>
      <c r="G2450" s="86">
        <v>48</v>
      </c>
      <c r="H2450" s="86">
        <v>752.64</v>
      </c>
      <c r="I2450" s="86">
        <v>11297.09</v>
      </c>
      <c r="J2450" s="85" t="s">
        <v>4391</v>
      </c>
      <c r="K2450" s="85" t="s">
        <v>9989</v>
      </c>
      <c r="L2450" s="85" t="s">
        <v>4135</v>
      </c>
      <c r="M2450" s="85" t="s">
        <v>10153</v>
      </c>
    </row>
    <row r="2451" ht="213.75" spans="1:13">
      <c r="A2451" s="85" t="s">
        <v>9985</v>
      </c>
      <c r="B2451" s="85" t="s">
        <v>10154</v>
      </c>
      <c r="C2451" s="85" t="s">
        <v>10155</v>
      </c>
      <c r="D2451" s="85" t="s">
        <v>9480</v>
      </c>
      <c r="E2451" s="85" t="s">
        <v>9481</v>
      </c>
      <c r="F2451" s="86">
        <v>3.92</v>
      </c>
      <c r="G2451" s="86">
        <v>10</v>
      </c>
      <c r="H2451" s="86">
        <v>39.2</v>
      </c>
      <c r="I2451" s="86">
        <v>11297.09</v>
      </c>
      <c r="J2451" s="85" t="s">
        <v>4391</v>
      </c>
      <c r="K2451" s="85" t="s">
        <v>9989</v>
      </c>
      <c r="L2451" s="85" t="s">
        <v>4135</v>
      </c>
      <c r="M2451" s="85" t="s">
        <v>10156</v>
      </c>
    </row>
    <row r="2452" ht="213.75" spans="1:13">
      <c r="A2452" s="85" t="s">
        <v>10157</v>
      </c>
      <c r="B2452" s="85" t="s">
        <v>10158</v>
      </c>
      <c r="C2452" s="85" t="s">
        <v>10159</v>
      </c>
      <c r="D2452" s="85" t="s">
        <v>7523</v>
      </c>
      <c r="E2452" s="85" t="s">
        <v>10160</v>
      </c>
      <c r="F2452" s="86">
        <v>6.8</v>
      </c>
      <c r="G2452" s="86">
        <v>1</v>
      </c>
      <c r="H2452" s="86">
        <v>6.8</v>
      </c>
      <c r="I2452" s="86">
        <v>6.8</v>
      </c>
      <c r="J2452" s="85" t="s">
        <v>4391</v>
      </c>
      <c r="K2452" s="85" t="s">
        <v>9989</v>
      </c>
      <c r="L2452" s="85" t="s">
        <v>4135</v>
      </c>
      <c r="M2452" s="85" t="s">
        <v>10161</v>
      </c>
    </row>
    <row r="2453" ht="213.75" spans="1:13">
      <c r="A2453" s="85" t="s">
        <v>9991</v>
      </c>
      <c r="B2453" s="85" t="s">
        <v>9153</v>
      </c>
      <c r="C2453" s="85" t="s">
        <v>9154</v>
      </c>
      <c r="D2453" s="85" t="s">
        <v>2973</v>
      </c>
      <c r="E2453" s="85" t="s">
        <v>9108</v>
      </c>
      <c r="F2453" s="86">
        <v>211.65</v>
      </c>
      <c r="G2453" s="86">
        <v>15</v>
      </c>
      <c r="H2453" s="86">
        <v>3174.75</v>
      </c>
      <c r="I2453" s="86">
        <v>28023.27</v>
      </c>
      <c r="J2453" s="85" t="s">
        <v>2935</v>
      </c>
      <c r="K2453" s="85" t="s">
        <v>9989</v>
      </c>
      <c r="L2453" s="85" t="s">
        <v>4135</v>
      </c>
      <c r="M2453" s="85" t="s">
        <v>10162</v>
      </c>
    </row>
    <row r="2454" ht="213.75" spans="1:13">
      <c r="A2454" s="85" t="s">
        <v>10163</v>
      </c>
      <c r="B2454" s="85" t="s">
        <v>9283</v>
      </c>
      <c r="C2454" s="85" t="s">
        <v>9284</v>
      </c>
      <c r="D2454" s="85" t="s">
        <v>3747</v>
      </c>
      <c r="E2454" s="85" t="s">
        <v>1827</v>
      </c>
      <c r="F2454" s="86">
        <v>135</v>
      </c>
      <c r="G2454" s="86">
        <v>250</v>
      </c>
      <c r="H2454" s="86">
        <v>33750</v>
      </c>
      <c r="I2454" s="86">
        <v>58615</v>
      </c>
      <c r="J2454" s="85" t="s">
        <v>2938</v>
      </c>
      <c r="K2454" s="85" t="s">
        <v>10164</v>
      </c>
      <c r="L2454" s="85" t="s">
        <v>4135</v>
      </c>
      <c r="M2454" s="85" t="s">
        <v>10165</v>
      </c>
    </row>
    <row r="2455" ht="213.75" spans="1:13">
      <c r="A2455" s="85" t="s">
        <v>10166</v>
      </c>
      <c r="B2455" s="85" t="s">
        <v>9274</v>
      </c>
      <c r="C2455" s="85" t="s">
        <v>9275</v>
      </c>
      <c r="D2455" s="85" t="s">
        <v>5574</v>
      </c>
      <c r="E2455" s="85" t="s">
        <v>1787</v>
      </c>
      <c r="F2455" s="86">
        <v>75</v>
      </c>
      <c r="G2455" s="86">
        <v>50</v>
      </c>
      <c r="H2455" s="86">
        <v>3750</v>
      </c>
      <c r="I2455" s="86">
        <v>4765</v>
      </c>
      <c r="J2455" s="85" t="s">
        <v>2935</v>
      </c>
      <c r="K2455" s="85" t="s">
        <v>10164</v>
      </c>
      <c r="L2455" s="85" t="s">
        <v>4135</v>
      </c>
      <c r="M2455" s="85" t="s">
        <v>10167</v>
      </c>
    </row>
    <row r="2456" ht="213.75" spans="1:13">
      <c r="A2456" s="85" t="s">
        <v>10168</v>
      </c>
      <c r="B2456" s="85" t="s">
        <v>10169</v>
      </c>
      <c r="C2456" s="85" t="s">
        <v>10170</v>
      </c>
      <c r="D2456" s="85" t="s">
        <v>9140</v>
      </c>
      <c r="E2456" s="85" t="s">
        <v>3209</v>
      </c>
      <c r="F2456" s="86">
        <v>5.56</v>
      </c>
      <c r="G2456" s="86">
        <v>200</v>
      </c>
      <c r="H2456" s="86">
        <v>1112</v>
      </c>
      <c r="I2456" s="86">
        <v>1247</v>
      </c>
      <c r="J2456" s="85" t="s">
        <v>2935</v>
      </c>
      <c r="K2456" s="85" t="s">
        <v>10164</v>
      </c>
      <c r="L2456" s="85" t="s">
        <v>4135</v>
      </c>
      <c r="M2456" s="85" t="s">
        <v>10171</v>
      </c>
    </row>
    <row r="2457" ht="213.75" spans="1:13">
      <c r="A2457" s="85" t="s">
        <v>10172</v>
      </c>
      <c r="B2457" s="85" t="s">
        <v>10173</v>
      </c>
      <c r="C2457" s="85" t="s">
        <v>10174</v>
      </c>
      <c r="D2457" s="85" t="s">
        <v>3538</v>
      </c>
      <c r="E2457" s="85" t="s">
        <v>10175</v>
      </c>
      <c r="F2457" s="86">
        <v>39</v>
      </c>
      <c r="G2457" s="86">
        <v>10</v>
      </c>
      <c r="H2457" s="86">
        <v>390</v>
      </c>
      <c r="I2457" s="86">
        <v>8770</v>
      </c>
      <c r="J2457" s="85" t="s">
        <v>4391</v>
      </c>
      <c r="K2457" s="85" t="s">
        <v>10164</v>
      </c>
      <c r="L2457" s="85" t="s">
        <v>4135</v>
      </c>
      <c r="M2457" s="85" t="s">
        <v>10176</v>
      </c>
    </row>
    <row r="2458" ht="213.75" spans="1:13">
      <c r="A2458" s="85" t="s">
        <v>10163</v>
      </c>
      <c r="B2458" s="85" t="s">
        <v>8625</v>
      </c>
      <c r="C2458" s="85" t="s">
        <v>8626</v>
      </c>
      <c r="D2458" s="85" t="s">
        <v>3548</v>
      </c>
      <c r="E2458" s="85" t="s">
        <v>1835</v>
      </c>
      <c r="F2458" s="86">
        <v>365</v>
      </c>
      <c r="G2458" s="86">
        <v>5</v>
      </c>
      <c r="H2458" s="86">
        <v>1825</v>
      </c>
      <c r="I2458" s="86">
        <v>58615</v>
      </c>
      <c r="J2458" s="85" t="s">
        <v>2938</v>
      </c>
      <c r="K2458" s="85" t="s">
        <v>10164</v>
      </c>
      <c r="L2458" s="85" t="s">
        <v>4135</v>
      </c>
      <c r="M2458" s="85" t="s">
        <v>10177</v>
      </c>
    </row>
    <row r="2459" ht="213.75" spans="1:13">
      <c r="A2459" s="85" t="s">
        <v>10168</v>
      </c>
      <c r="B2459" s="85" t="s">
        <v>9414</v>
      </c>
      <c r="C2459" s="85" t="s">
        <v>9415</v>
      </c>
      <c r="D2459" s="85" t="s">
        <v>5449</v>
      </c>
      <c r="E2459" s="85" t="s">
        <v>9416</v>
      </c>
      <c r="F2459" s="86">
        <v>135</v>
      </c>
      <c r="G2459" s="86">
        <v>1</v>
      </c>
      <c r="H2459" s="86">
        <v>135</v>
      </c>
      <c r="I2459" s="86">
        <v>1247</v>
      </c>
      <c r="J2459" s="85" t="s">
        <v>2935</v>
      </c>
      <c r="K2459" s="85" t="s">
        <v>10164</v>
      </c>
      <c r="L2459" s="85" t="s">
        <v>4135</v>
      </c>
      <c r="M2459" s="85" t="s">
        <v>10178</v>
      </c>
    </row>
    <row r="2460" ht="213.75" spans="1:13">
      <c r="A2460" s="85" t="s">
        <v>10179</v>
      </c>
      <c r="B2460" s="85" t="s">
        <v>4846</v>
      </c>
      <c r="C2460" s="85" t="s">
        <v>4847</v>
      </c>
      <c r="D2460" s="85" t="s">
        <v>4848</v>
      </c>
      <c r="E2460" s="85" t="s">
        <v>4849</v>
      </c>
      <c r="F2460" s="86">
        <v>3</v>
      </c>
      <c r="G2460" s="86">
        <v>45</v>
      </c>
      <c r="H2460" s="86">
        <v>135</v>
      </c>
      <c r="I2460" s="86">
        <v>135</v>
      </c>
      <c r="J2460" s="85" t="s">
        <v>4370</v>
      </c>
      <c r="K2460" s="85" t="s">
        <v>10164</v>
      </c>
      <c r="L2460" s="85" t="s">
        <v>4135</v>
      </c>
      <c r="M2460" s="85" t="s">
        <v>10180</v>
      </c>
    </row>
    <row r="2461" ht="213.75" spans="1:13">
      <c r="A2461" s="85" t="s">
        <v>10172</v>
      </c>
      <c r="B2461" s="85" t="s">
        <v>10181</v>
      </c>
      <c r="C2461" s="85" t="s">
        <v>10182</v>
      </c>
      <c r="D2461" s="85" t="s">
        <v>3543</v>
      </c>
      <c r="E2461" s="85" t="s">
        <v>8057</v>
      </c>
      <c r="F2461" s="86">
        <v>419</v>
      </c>
      <c r="G2461" s="86">
        <v>20</v>
      </c>
      <c r="H2461" s="86">
        <v>8380</v>
      </c>
      <c r="I2461" s="86">
        <v>8770</v>
      </c>
      <c r="J2461" s="85" t="s">
        <v>4391</v>
      </c>
      <c r="K2461" s="85" t="s">
        <v>10164</v>
      </c>
      <c r="L2461" s="85" t="s">
        <v>4135</v>
      </c>
      <c r="M2461" s="85" t="s">
        <v>10183</v>
      </c>
    </row>
    <row r="2462" ht="213.75" spans="1:13">
      <c r="A2462" s="85" t="s">
        <v>10166</v>
      </c>
      <c r="B2462" s="85" t="s">
        <v>8308</v>
      </c>
      <c r="C2462" s="85" t="s">
        <v>8309</v>
      </c>
      <c r="D2462" s="85" t="s">
        <v>4692</v>
      </c>
      <c r="E2462" s="85" t="s">
        <v>4693</v>
      </c>
      <c r="F2462" s="86">
        <v>55</v>
      </c>
      <c r="G2462" s="86">
        <v>16</v>
      </c>
      <c r="H2462" s="86">
        <v>880</v>
      </c>
      <c r="I2462" s="86">
        <v>4765</v>
      </c>
      <c r="J2462" s="85" t="s">
        <v>2935</v>
      </c>
      <c r="K2462" s="85" t="s">
        <v>10164</v>
      </c>
      <c r="L2462" s="85" t="s">
        <v>4135</v>
      </c>
      <c r="M2462" s="85" t="s">
        <v>10184</v>
      </c>
    </row>
    <row r="2463" ht="213.75" spans="1:13">
      <c r="A2463" s="85" t="s">
        <v>10163</v>
      </c>
      <c r="B2463" s="85" t="s">
        <v>5662</v>
      </c>
      <c r="C2463" s="85" t="s">
        <v>5663</v>
      </c>
      <c r="D2463" s="85" t="s">
        <v>4076</v>
      </c>
      <c r="E2463" s="85" t="s">
        <v>1832</v>
      </c>
      <c r="F2463" s="86">
        <v>128</v>
      </c>
      <c r="G2463" s="86">
        <v>180</v>
      </c>
      <c r="H2463" s="86">
        <v>23040</v>
      </c>
      <c r="I2463" s="86">
        <v>58615</v>
      </c>
      <c r="J2463" s="85" t="s">
        <v>2938</v>
      </c>
      <c r="K2463" s="85" t="s">
        <v>10164</v>
      </c>
      <c r="L2463" s="85" t="s">
        <v>4135</v>
      </c>
      <c r="M2463" s="85" t="s">
        <v>10185</v>
      </c>
    </row>
    <row r="2464" ht="213.75" spans="1:13">
      <c r="A2464" s="85" t="s">
        <v>10166</v>
      </c>
      <c r="B2464" s="85" t="s">
        <v>10186</v>
      </c>
      <c r="C2464" s="85" t="s">
        <v>10187</v>
      </c>
      <c r="D2464" s="85" t="s">
        <v>10188</v>
      </c>
      <c r="E2464" s="85" t="s">
        <v>10189</v>
      </c>
      <c r="F2464" s="86">
        <v>27</v>
      </c>
      <c r="G2464" s="86">
        <v>5</v>
      </c>
      <c r="H2464" s="86">
        <v>135</v>
      </c>
      <c r="I2464" s="86">
        <v>4765</v>
      </c>
      <c r="J2464" s="85" t="s">
        <v>2935</v>
      </c>
      <c r="K2464" s="85" t="s">
        <v>10164</v>
      </c>
      <c r="L2464" s="85" t="s">
        <v>4135</v>
      </c>
      <c r="M2464" s="85" t="s">
        <v>10190</v>
      </c>
    </row>
    <row r="2465" ht="213.75" spans="1:13">
      <c r="A2465" s="85" t="s">
        <v>10191</v>
      </c>
      <c r="B2465" s="85" t="s">
        <v>10192</v>
      </c>
      <c r="C2465" s="85" t="s">
        <v>10193</v>
      </c>
      <c r="D2465" s="85" t="s">
        <v>3241</v>
      </c>
      <c r="E2465" s="85" t="s">
        <v>4216</v>
      </c>
      <c r="F2465" s="86">
        <v>28</v>
      </c>
      <c r="G2465" s="86">
        <v>6</v>
      </c>
      <c r="H2465" s="86">
        <v>168</v>
      </c>
      <c r="I2465" s="86">
        <v>3298</v>
      </c>
      <c r="J2465" s="85" t="s">
        <v>2935</v>
      </c>
      <c r="K2465" s="85" t="s">
        <v>10194</v>
      </c>
      <c r="L2465" s="85" t="s">
        <v>4135</v>
      </c>
      <c r="M2465" s="85" t="s">
        <v>10195</v>
      </c>
    </row>
    <row r="2466" ht="213.75" spans="1:13">
      <c r="A2466" s="85" t="s">
        <v>10196</v>
      </c>
      <c r="B2466" s="85" t="s">
        <v>10197</v>
      </c>
      <c r="C2466" s="85" t="s">
        <v>10198</v>
      </c>
      <c r="D2466" s="85" t="s">
        <v>6688</v>
      </c>
      <c r="E2466" s="85" t="s">
        <v>1991</v>
      </c>
      <c r="F2466" s="86">
        <v>5.88</v>
      </c>
      <c r="G2466" s="86">
        <v>150</v>
      </c>
      <c r="H2466" s="86">
        <v>882</v>
      </c>
      <c r="I2466" s="86">
        <v>1029</v>
      </c>
      <c r="J2466" s="85" t="s">
        <v>4391</v>
      </c>
      <c r="K2466" s="85" t="s">
        <v>10194</v>
      </c>
      <c r="L2466" s="85" t="s">
        <v>4135</v>
      </c>
      <c r="M2466" s="85" t="s">
        <v>10199</v>
      </c>
    </row>
    <row r="2467" ht="213.75" spans="1:13">
      <c r="A2467" s="85" t="s">
        <v>10200</v>
      </c>
      <c r="B2467" s="85" t="s">
        <v>8861</v>
      </c>
      <c r="C2467" s="85" t="s">
        <v>8862</v>
      </c>
      <c r="D2467" s="85" t="s">
        <v>3153</v>
      </c>
      <c r="E2467" s="85" t="s">
        <v>8431</v>
      </c>
      <c r="F2467" s="86">
        <v>102</v>
      </c>
      <c r="G2467" s="86">
        <v>2</v>
      </c>
      <c r="H2467" s="86">
        <v>204</v>
      </c>
      <c r="I2467" s="86">
        <v>204</v>
      </c>
      <c r="J2467" s="85" t="s">
        <v>4391</v>
      </c>
      <c r="K2467" s="85" t="s">
        <v>10194</v>
      </c>
      <c r="L2467" s="85" t="s">
        <v>4135</v>
      </c>
      <c r="M2467" s="85" t="s">
        <v>10201</v>
      </c>
    </row>
    <row r="2468" ht="213.75" spans="1:13">
      <c r="A2468" s="85" t="s">
        <v>10191</v>
      </c>
      <c r="B2468" s="85" t="s">
        <v>10202</v>
      </c>
      <c r="C2468" s="85" t="s">
        <v>10203</v>
      </c>
      <c r="D2468" s="85" t="s">
        <v>3030</v>
      </c>
      <c r="E2468" s="85" t="s">
        <v>1916</v>
      </c>
      <c r="F2468" s="86">
        <v>88</v>
      </c>
      <c r="G2468" s="86">
        <v>20</v>
      </c>
      <c r="H2468" s="86">
        <v>1760</v>
      </c>
      <c r="I2468" s="86">
        <v>3298</v>
      </c>
      <c r="J2468" s="85" t="s">
        <v>2935</v>
      </c>
      <c r="K2468" s="85" t="s">
        <v>10194</v>
      </c>
      <c r="L2468" s="85" t="s">
        <v>4135</v>
      </c>
      <c r="M2468" s="85" t="s">
        <v>10204</v>
      </c>
    </row>
    <row r="2469" ht="213.75" spans="1:13">
      <c r="A2469" s="85" t="s">
        <v>10191</v>
      </c>
      <c r="B2469" s="85" t="s">
        <v>8925</v>
      </c>
      <c r="C2469" s="85" t="s">
        <v>8926</v>
      </c>
      <c r="D2469" s="85" t="s">
        <v>5846</v>
      </c>
      <c r="E2469" s="85" t="s">
        <v>8351</v>
      </c>
      <c r="F2469" s="86">
        <v>55</v>
      </c>
      <c r="G2469" s="86">
        <v>20</v>
      </c>
      <c r="H2469" s="86">
        <v>1100</v>
      </c>
      <c r="I2469" s="86">
        <v>3298</v>
      </c>
      <c r="J2469" s="85" t="s">
        <v>2935</v>
      </c>
      <c r="K2469" s="85" t="s">
        <v>10194</v>
      </c>
      <c r="L2469" s="85" t="s">
        <v>4135</v>
      </c>
      <c r="M2469" s="85" t="s">
        <v>10205</v>
      </c>
    </row>
    <row r="2470" ht="213.75" spans="1:13">
      <c r="A2470" s="85" t="s">
        <v>10206</v>
      </c>
      <c r="B2470" s="85" t="s">
        <v>10207</v>
      </c>
      <c r="C2470" s="85" t="s">
        <v>10208</v>
      </c>
      <c r="D2470" s="85" t="s">
        <v>4848</v>
      </c>
      <c r="E2470" s="85" t="s">
        <v>4849</v>
      </c>
      <c r="F2470" s="86">
        <v>27</v>
      </c>
      <c r="G2470" s="86">
        <v>50</v>
      </c>
      <c r="H2470" s="86">
        <v>1350</v>
      </c>
      <c r="I2470" s="86">
        <v>1950</v>
      </c>
      <c r="J2470" s="85" t="s">
        <v>4370</v>
      </c>
      <c r="K2470" s="85" t="s">
        <v>10194</v>
      </c>
      <c r="L2470" s="85" t="s">
        <v>4135</v>
      </c>
      <c r="M2470" s="85" t="s">
        <v>10209</v>
      </c>
    </row>
    <row r="2471" ht="213.75" spans="1:13">
      <c r="A2471" s="85" t="s">
        <v>10196</v>
      </c>
      <c r="B2471" s="85" t="s">
        <v>10210</v>
      </c>
      <c r="C2471" s="85" t="s">
        <v>10211</v>
      </c>
      <c r="D2471" s="85" t="s">
        <v>3241</v>
      </c>
      <c r="E2471" s="85" t="s">
        <v>10212</v>
      </c>
      <c r="F2471" s="86">
        <v>14.7</v>
      </c>
      <c r="G2471" s="86">
        <v>10</v>
      </c>
      <c r="H2471" s="86">
        <v>147</v>
      </c>
      <c r="I2471" s="86">
        <v>1029</v>
      </c>
      <c r="J2471" s="85" t="s">
        <v>4391</v>
      </c>
      <c r="K2471" s="85" t="s">
        <v>10194</v>
      </c>
      <c r="L2471" s="85" t="s">
        <v>4135</v>
      </c>
      <c r="M2471" s="85" t="s">
        <v>10213</v>
      </c>
    </row>
    <row r="2472" ht="213.75" spans="1:13">
      <c r="A2472" s="85" t="s">
        <v>10191</v>
      </c>
      <c r="B2472" s="85" t="s">
        <v>10214</v>
      </c>
      <c r="C2472" s="85" t="s">
        <v>10215</v>
      </c>
      <c r="D2472" s="85" t="s">
        <v>3241</v>
      </c>
      <c r="E2472" s="85" t="s">
        <v>3689</v>
      </c>
      <c r="F2472" s="86">
        <v>45</v>
      </c>
      <c r="G2472" s="86">
        <v>1</v>
      </c>
      <c r="H2472" s="86">
        <v>45</v>
      </c>
      <c r="I2472" s="86">
        <v>3298</v>
      </c>
      <c r="J2472" s="85" t="s">
        <v>2935</v>
      </c>
      <c r="K2472" s="85" t="s">
        <v>10194</v>
      </c>
      <c r="L2472" s="85" t="s">
        <v>4135</v>
      </c>
      <c r="M2472" s="85" t="s">
        <v>10216</v>
      </c>
    </row>
    <row r="2473" ht="213.75" spans="1:13">
      <c r="A2473" s="85" t="s">
        <v>10191</v>
      </c>
      <c r="B2473" s="85" t="s">
        <v>10217</v>
      </c>
      <c r="C2473" s="85" t="s">
        <v>10218</v>
      </c>
      <c r="D2473" s="85" t="s">
        <v>7881</v>
      </c>
      <c r="E2473" s="85" t="s">
        <v>10219</v>
      </c>
      <c r="F2473" s="86">
        <v>161</v>
      </c>
      <c r="G2473" s="86">
        <v>1</v>
      </c>
      <c r="H2473" s="86">
        <v>161</v>
      </c>
      <c r="I2473" s="86">
        <v>3298</v>
      </c>
      <c r="J2473" s="85" t="s">
        <v>2935</v>
      </c>
      <c r="K2473" s="85" t="s">
        <v>10194</v>
      </c>
      <c r="L2473" s="85" t="s">
        <v>4135</v>
      </c>
      <c r="M2473" s="85" t="s">
        <v>10220</v>
      </c>
    </row>
    <row r="2474" ht="213.75" spans="1:13">
      <c r="A2474" s="85" t="s">
        <v>10191</v>
      </c>
      <c r="B2474" s="85" t="s">
        <v>9259</v>
      </c>
      <c r="C2474" s="85" t="s">
        <v>9260</v>
      </c>
      <c r="D2474" s="85" t="s">
        <v>3985</v>
      </c>
      <c r="E2474" s="85" t="s">
        <v>6502</v>
      </c>
      <c r="F2474" s="86">
        <v>32</v>
      </c>
      <c r="G2474" s="86">
        <v>2</v>
      </c>
      <c r="H2474" s="86">
        <v>64</v>
      </c>
      <c r="I2474" s="86">
        <v>3298</v>
      </c>
      <c r="J2474" s="85" t="s">
        <v>2935</v>
      </c>
      <c r="K2474" s="85" t="s">
        <v>10194</v>
      </c>
      <c r="L2474" s="85" t="s">
        <v>4135</v>
      </c>
      <c r="M2474" s="85" t="s">
        <v>10221</v>
      </c>
    </row>
    <row r="2475" ht="213.75" spans="1:13">
      <c r="A2475" s="85" t="s">
        <v>10206</v>
      </c>
      <c r="B2475" s="85" t="s">
        <v>9869</v>
      </c>
      <c r="C2475" s="85" t="s">
        <v>9870</v>
      </c>
      <c r="D2475" s="85" t="s">
        <v>4848</v>
      </c>
      <c r="E2475" s="85" t="s">
        <v>4849</v>
      </c>
      <c r="F2475" s="86">
        <v>20</v>
      </c>
      <c r="G2475" s="86">
        <v>30</v>
      </c>
      <c r="H2475" s="86">
        <v>600</v>
      </c>
      <c r="I2475" s="86">
        <v>1950</v>
      </c>
      <c r="J2475" s="85" t="s">
        <v>4370</v>
      </c>
      <c r="K2475" s="85" t="s">
        <v>10194</v>
      </c>
      <c r="L2475" s="85" t="s">
        <v>4135</v>
      </c>
      <c r="M2475" s="85" t="s">
        <v>10222</v>
      </c>
    </row>
    <row r="2476" ht="213.75" spans="1:13">
      <c r="A2476" s="85" t="s">
        <v>10223</v>
      </c>
      <c r="B2476" s="85" t="s">
        <v>10224</v>
      </c>
      <c r="C2476" s="85" t="s">
        <v>10225</v>
      </c>
      <c r="D2476" s="85" t="s">
        <v>3041</v>
      </c>
      <c r="E2476" s="85" t="s">
        <v>3158</v>
      </c>
      <c r="F2476" s="86">
        <v>658</v>
      </c>
      <c r="G2476" s="86">
        <v>1</v>
      </c>
      <c r="H2476" s="86">
        <v>658</v>
      </c>
      <c r="I2476" s="86">
        <v>853</v>
      </c>
      <c r="J2476" s="85" t="s">
        <v>4370</v>
      </c>
      <c r="K2476" s="85" t="s">
        <v>10226</v>
      </c>
      <c r="L2476" s="85" t="s">
        <v>4135</v>
      </c>
      <c r="M2476" s="85" t="s">
        <v>10227</v>
      </c>
    </row>
    <row r="2477" ht="213.75" spans="1:13">
      <c r="A2477" s="85" t="s">
        <v>10228</v>
      </c>
      <c r="B2477" s="85" t="s">
        <v>10229</v>
      </c>
      <c r="C2477" s="85" t="s">
        <v>10230</v>
      </c>
      <c r="D2477" s="85" t="s">
        <v>3367</v>
      </c>
      <c r="E2477" s="85" t="s">
        <v>10231</v>
      </c>
      <c r="F2477" s="86">
        <v>16</v>
      </c>
      <c r="G2477" s="86">
        <v>3</v>
      </c>
      <c r="H2477" s="86">
        <v>48</v>
      </c>
      <c r="I2477" s="86">
        <v>48</v>
      </c>
      <c r="J2477" s="85" t="s">
        <v>4391</v>
      </c>
      <c r="K2477" s="85" t="s">
        <v>10226</v>
      </c>
      <c r="L2477" s="85" t="s">
        <v>4135</v>
      </c>
      <c r="M2477" s="85" t="s">
        <v>10232</v>
      </c>
    </row>
    <row r="2478" ht="213.75" spans="1:13">
      <c r="A2478" s="85" t="s">
        <v>10223</v>
      </c>
      <c r="B2478" s="85" t="s">
        <v>7600</v>
      </c>
      <c r="C2478" s="85" t="s">
        <v>7601</v>
      </c>
      <c r="D2478" s="85" t="s">
        <v>3169</v>
      </c>
      <c r="E2478" s="85" t="s">
        <v>7602</v>
      </c>
      <c r="F2478" s="86">
        <v>15</v>
      </c>
      <c r="G2478" s="86">
        <v>13</v>
      </c>
      <c r="H2478" s="86">
        <v>195</v>
      </c>
      <c r="I2478" s="86">
        <v>853</v>
      </c>
      <c r="J2478" s="85" t="s">
        <v>4370</v>
      </c>
      <c r="K2478" s="85" t="s">
        <v>10226</v>
      </c>
      <c r="L2478" s="85" t="s">
        <v>4135</v>
      </c>
      <c r="M2478" s="85" t="s">
        <v>10233</v>
      </c>
    </row>
    <row r="2479" ht="213.75" spans="1:13">
      <c r="A2479" s="85" t="s">
        <v>10234</v>
      </c>
      <c r="B2479" s="85" t="s">
        <v>10235</v>
      </c>
      <c r="C2479" s="85" t="s">
        <v>10236</v>
      </c>
      <c r="D2479" s="85" t="s">
        <v>6273</v>
      </c>
      <c r="E2479" s="85" t="s">
        <v>10237</v>
      </c>
      <c r="F2479" s="86">
        <v>12</v>
      </c>
      <c r="G2479" s="86">
        <v>3</v>
      </c>
      <c r="H2479" s="86">
        <v>36</v>
      </c>
      <c r="I2479" s="86">
        <v>516</v>
      </c>
      <c r="J2479" s="85" t="s">
        <v>2935</v>
      </c>
      <c r="K2479" s="85" t="s">
        <v>10226</v>
      </c>
      <c r="L2479" s="85" t="s">
        <v>4135</v>
      </c>
      <c r="M2479" s="85" t="s">
        <v>10238</v>
      </c>
    </row>
    <row r="2480" ht="213.75" spans="1:13">
      <c r="A2480" s="85" t="s">
        <v>10234</v>
      </c>
      <c r="B2480" s="85" t="s">
        <v>8889</v>
      </c>
      <c r="C2480" s="85" t="s">
        <v>8890</v>
      </c>
      <c r="D2480" s="85" t="s">
        <v>3288</v>
      </c>
      <c r="E2480" s="85" t="s">
        <v>8890</v>
      </c>
      <c r="F2480" s="86">
        <v>120</v>
      </c>
      <c r="G2480" s="86">
        <v>4</v>
      </c>
      <c r="H2480" s="86">
        <v>480</v>
      </c>
      <c r="I2480" s="86">
        <v>516</v>
      </c>
      <c r="J2480" s="85" t="s">
        <v>2935</v>
      </c>
      <c r="K2480" s="85" t="s">
        <v>10226</v>
      </c>
      <c r="L2480" s="85" t="s">
        <v>4135</v>
      </c>
      <c r="M2480" s="85" t="s">
        <v>10239</v>
      </c>
    </row>
    <row r="2481" ht="213.75" spans="1:13">
      <c r="A2481" s="85" t="s">
        <v>10240</v>
      </c>
      <c r="B2481" s="85" t="s">
        <v>10229</v>
      </c>
      <c r="C2481" s="85" t="s">
        <v>10230</v>
      </c>
      <c r="D2481" s="85" t="s">
        <v>3367</v>
      </c>
      <c r="E2481" s="85" t="s">
        <v>10231</v>
      </c>
      <c r="F2481" s="86">
        <v>16</v>
      </c>
      <c r="G2481" s="86">
        <v>2</v>
      </c>
      <c r="H2481" s="86">
        <v>32</v>
      </c>
      <c r="I2481" s="86">
        <v>356</v>
      </c>
      <c r="J2481" s="85" t="s">
        <v>4391</v>
      </c>
      <c r="K2481" s="85" t="s">
        <v>10241</v>
      </c>
      <c r="L2481" s="85" t="s">
        <v>4135</v>
      </c>
      <c r="M2481" s="85" t="s">
        <v>10242</v>
      </c>
    </row>
    <row r="2482" ht="213.75" spans="1:13">
      <c r="A2482" s="85" t="s">
        <v>10243</v>
      </c>
      <c r="B2482" s="85" t="s">
        <v>9797</v>
      </c>
      <c r="C2482" s="85" t="s">
        <v>9798</v>
      </c>
      <c r="D2482" s="85" t="s">
        <v>3753</v>
      </c>
      <c r="E2482" s="85" t="s">
        <v>8549</v>
      </c>
      <c r="F2482" s="86">
        <v>13</v>
      </c>
      <c r="G2482" s="86">
        <v>20</v>
      </c>
      <c r="H2482" s="86">
        <v>260</v>
      </c>
      <c r="I2482" s="86">
        <v>2361.1</v>
      </c>
      <c r="J2482" s="85" t="s">
        <v>2935</v>
      </c>
      <c r="K2482" s="85" t="s">
        <v>10241</v>
      </c>
      <c r="L2482" s="85" t="s">
        <v>4135</v>
      </c>
      <c r="M2482" s="85" t="s">
        <v>10244</v>
      </c>
    </row>
    <row r="2483" ht="213.75" spans="1:13">
      <c r="A2483" s="85" t="s">
        <v>10245</v>
      </c>
      <c r="B2483" s="85" t="s">
        <v>10246</v>
      </c>
      <c r="C2483" s="85" t="s">
        <v>10247</v>
      </c>
      <c r="D2483" s="85" t="s">
        <v>3201</v>
      </c>
      <c r="E2483" s="85" t="s">
        <v>5227</v>
      </c>
      <c r="F2483" s="86">
        <v>60</v>
      </c>
      <c r="G2483" s="86">
        <v>40</v>
      </c>
      <c r="H2483" s="86">
        <v>2400</v>
      </c>
      <c r="I2483" s="86">
        <v>4800</v>
      </c>
      <c r="J2483" s="85" t="s">
        <v>10248</v>
      </c>
      <c r="K2483" s="85" t="s">
        <v>10241</v>
      </c>
      <c r="L2483" s="85" t="s">
        <v>4135</v>
      </c>
      <c r="M2483" s="85" t="s">
        <v>10249</v>
      </c>
    </row>
    <row r="2484" ht="213.75" spans="1:13">
      <c r="A2484" s="85" t="s">
        <v>10243</v>
      </c>
      <c r="B2484" s="85" t="s">
        <v>9533</v>
      </c>
      <c r="C2484" s="85" t="s">
        <v>9534</v>
      </c>
      <c r="D2484" s="85" t="s">
        <v>2977</v>
      </c>
      <c r="E2484" s="85" t="s">
        <v>8894</v>
      </c>
      <c r="F2484" s="86">
        <v>4</v>
      </c>
      <c r="G2484" s="86">
        <v>100</v>
      </c>
      <c r="H2484" s="86">
        <v>400</v>
      </c>
      <c r="I2484" s="86">
        <v>2361.1</v>
      </c>
      <c r="J2484" s="85" t="s">
        <v>2935</v>
      </c>
      <c r="K2484" s="85" t="s">
        <v>10241</v>
      </c>
      <c r="L2484" s="85" t="s">
        <v>4135</v>
      </c>
      <c r="M2484" s="85" t="s">
        <v>10250</v>
      </c>
    </row>
    <row r="2485" ht="213.75" spans="1:13">
      <c r="A2485" s="85" t="s">
        <v>10243</v>
      </c>
      <c r="B2485" s="85" t="s">
        <v>5349</v>
      </c>
      <c r="C2485" s="85" t="s">
        <v>5350</v>
      </c>
      <c r="D2485" s="85" t="s">
        <v>3189</v>
      </c>
      <c r="E2485" s="85" t="s">
        <v>5351</v>
      </c>
      <c r="F2485" s="86">
        <v>19</v>
      </c>
      <c r="G2485" s="86">
        <v>21</v>
      </c>
      <c r="H2485" s="86">
        <v>399</v>
      </c>
      <c r="I2485" s="86">
        <v>2361.1</v>
      </c>
      <c r="J2485" s="85" t="s">
        <v>2935</v>
      </c>
      <c r="K2485" s="85" t="s">
        <v>10241</v>
      </c>
      <c r="L2485" s="85" t="s">
        <v>4135</v>
      </c>
      <c r="M2485" s="85" t="s">
        <v>10251</v>
      </c>
    </row>
    <row r="2486" ht="213.75" spans="1:13">
      <c r="A2486" s="85" t="s">
        <v>10252</v>
      </c>
      <c r="B2486" s="85" t="s">
        <v>8266</v>
      </c>
      <c r="C2486" s="85" t="s">
        <v>8267</v>
      </c>
      <c r="D2486" s="85" t="s">
        <v>3189</v>
      </c>
      <c r="E2486" s="85" t="s">
        <v>6337</v>
      </c>
      <c r="F2486" s="86">
        <v>27</v>
      </c>
      <c r="G2486" s="86">
        <v>100</v>
      </c>
      <c r="H2486" s="86">
        <v>2700</v>
      </c>
      <c r="I2486" s="86">
        <v>2700</v>
      </c>
      <c r="J2486" s="85" t="s">
        <v>8268</v>
      </c>
      <c r="K2486" s="85" t="s">
        <v>10241</v>
      </c>
      <c r="L2486" s="85" t="s">
        <v>4135</v>
      </c>
      <c r="M2486" s="85" t="s">
        <v>10253</v>
      </c>
    </row>
    <row r="2487" ht="213.75" spans="1:13">
      <c r="A2487" s="85" t="s">
        <v>10254</v>
      </c>
      <c r="B2487" s="85" t="s">
        <v>3788</v>
      </c>
      <c r="C2487" s="85" t="s">
        <v>3789</v>
      </c>
      <c r="D2487" s="85" t="s">
        <v>3189</v>
      </c>
      <c r="E2487" s="85" t="s">
        <v>3790</v>
      </c>
      <c r="F2487" s="86">
        <v>100</v>
      </c>
      <c r="G2487" s="86">
        <v>16</v>
      </c>
      <c r="H2487" s="86">
        <v>1600</v>
      </c>
      <c r="I2487" s="86">
        <v>1600</v>
      </c>
      <c r="J2487" s="85" t="s">
        <v>7934</v>
      </c>
      <c r="K2487" s="85" t="s">
        <v>10241</v>
      </c>
      <c r="L2487" s="85" t="s">
        <v>4135</v>
      </c>
      <c r="M2487" s="85" t="s">
        <v>10255</v>
      </c>
    </row>
    <row r="2488" ht="213.75" spans="1:13">
      <c r="A2488" s="85" t="s">
        <v>10256</v>
      </c>
      <c r="B2488" s="85" t="s">
        <v>10257</v>
      </c>
      <c r="C2488" s="85" t="s">
        <v>10258</v>
      </c>
      <c r="D2488" s="85" t="s">
        <v>7140</v>
      </c>
      <c r="E2488" s="85" t="s">
        <v>7141</v>
      </c>
      <c r="F2488" s="86">
        <v>98</v>
      </c>
      <c r="G2488" s="86">
        <v>5</v>
      </c>
      <c r="H2488" s="86">
        <v>490</v>
      </c>
      <c r="I2488" s="86">
        <v>590</v>
      </c>
      <c r="J2488" s="85" t="s">
        <v>2935</v>
      </c>
      <c r="K2488" s="85" t="s">
        <v>10241</v>
      </c>
      <c r="L2488" s="85" t="s">
        <v>4135</v>
      </c>
      <c r="M2488" s="85" t="s">
        <v>10259</v>
      </c>
    </row>
    <row r="2489" ht="213.75" spans="1:13">
      <c r="A2489" s="85" t="s">
        <v>10243</v>
      </c>
      <c r="B2489" s="85" t="s">
        <v>10260</v>
      </c>
      <c r="C2489" s="85" t="s">
        <v>10261</v>
      </c>
      <c r="D2489" s="85" t="s">
        <v>3753</v>
      </c>
      <c r="E2489" s="85" t="s">
        <v>5809</v>
      </c>
      <c r="F2489" s="86">
        <v>13.9</v>
      </c>
      <c r="G2489" s="86">
        <v>40</v>
      </c>
      <c r="H2489" s="86">
        <v>556</v>
      </c>
      <c r="I2489" s="86">
        <v>2361.1</v>
      </c>
      <c r="J2489" s="85" t="s">
        <v>2935</v>
      </c>
      <c r="K2489" s="85" t="s">
        <v>10241</v>
      </c>
      <c r="L2489" s="85" t="s">
        <v>4135</v>
      </c>
      <c r="M2489" s="85" t="s">
        <v>10262</v>
      </c>
    </row>
    <row r="2490" ht="213.75" spans="1:13">
      <c r="A2490" s="85" t="s">
        <v>10245</v>
      </c>
      <c r="B2490" s="85" t="s">
        <v>10263</v>
      </c>
      <c r="C2490" s="85" t="s">
        <v>10264</v>
      </c>
      <c r="D2490" s="85" t="s">
        <v>3201</v>
      </c>
      <c r="E2490" s="85" t="s">
        <v>5227</v>
      </c>
      <c r="F2490" s="86">
        <v>60</v>
      </c>
      <c r="G2490" s="86">
        <v>40</v>
      </c>
      <c r="H2490" s="86">
        <v>2400</v>
      </c>
      <c r="I2490" s="86">
        <v>4800</v>
      </c>
      <c r="J2490" s="85" t="s">
        <v>10248</v>
      </c>
      <c r="K2490" s="85" t="s">
        <v>10241</v>
      </c>
      <c r="L2490" s="85" t="s">
        <v>4135</v>
      </c>
      <c r="M2490" s="85" t="s">
        <v>10265</v>
      </c>
    </row>
    <row r="2491" ht="213.75" spans="1:13">
      <c r="A2491" s="85" t="s">
        <v>10266</v>
      </c>
      <c r="B2491" s="85" t="s">
        <v>10267</v>
      </c>
      <c r="C2491" s="85" t="s">
        <v>10268</v>
      </c>
      <c r="D2491" s="85" t="s">
        <v>2977</v>
      </c>
      <c r="E2491" s="85" t="s">
        <v>3940</v>
      </c>
      <c r="F2491" s="86">
        <v>43</v>
      </c>
      <c r="G2491" s="86">
        <v>5</v>
      </c>
      <c r="H2491" s="86">
        <v>215</v>
      </c>
      <c r="I2491" s="86">
        <v>534.8</v>
      </c>
      <c r="J2491" s="85" t="s">
        <v>4391</v>
      </c>
      <c r="K2491" s="85" t="s">
        <v>10241</v>
      </c>
      <c r="L2491" s="85" t="s">
        <v>4135</v>
      </c>
      <c r="M2491" s="85" t="s">
        <v>10269</v>
      </c>
    </row>
    <row r="2492" ht="213.75" spans="1:13">
      <c r="A2492" s="85" t="s">
        <v>10243</v>
      </c>
      <c r="B2492" s="85" t="s">
        <v>9015</v>
      </c>
      <c r="C2492" s="85" t="s">
        <v>9016</v>
      </c>
      <c r="D2492" s="85" t="s">
        <v>3189</v>
      </c>
      <c r="E2492" s="85" t="s">
        <v>9017</v>
      </c>
      <c r="F2492" s="86">
        <v>49.9</v>
      </c>
      <c r="G2492" s="86">
        <v>4</v>
      </c>
      <c r="H2492" s="86">
        <v>199.6</v>
      </c>
      <c r="I2492" s="86">
        <v>2361.1</v>
      </c>
      <c r="J2492" s="85" t="s">
        <v>2935</v>
      </c>
      <c r="K2492" s="85" t="s">
        <v>10241</v>
      </c>
      <c r="L2492" s="85" t="s">
        <v>4135</v>
      </c>
      <c r="M2492" s="85" t="s">
        <v>10270</v>
      </c>
    </row>
    <row r="2493" ht="213.75" spans="1:13">
      <c r="A2493" s="85" t="s">
        <v>10271</v>
      </c>
      <c r="B2493" s="85" t="s">
        <v>10272</v>
      </c>
      <c r="C2493" s="85" t="s">
        <v>10273</v>
      </c>
      <c r="D2493" s="85" t="s">
        <v>2977</v>
      </c>
      <c r="E2493" s="85" t="s">
        <v>10274</v>
      </c>
      <c r="F2493" s="86">
        <v>7.45</v>
      </c>
      <c r="G2493" s="86">
        <v>1</v>
      </c>
      <c r="H2493" s="86">
        <v>7.45</v>
      </c>
      <c r="I2493" s="86">
        <v>1506.05</v>
      </c>
      <c r="J2493" s="85" t="s">
        <v>4391</v>
      </c>
      <c r="K2493" s="85" t="s">
        <v>10241</v>
      </c>
      <c r="L2493" s="85" t="s">
        <v>4135</v>
      </c>
      <c r="M2493" s="85" t="s">
        <v>10275</v>
      </c>
    </row>
    <row r="2494" ht="213.75" spans="1:13">
      <c r="A2494" s="85" t="s">
        <v>10271</v>
      </c>
      <c r="B2494" s="85" t="s">
        <v>8857</v>
      </c>
      <c r="C2494" s="85" t="s">
        <v>8858</v>
      </c>
      <c r="D2494" s="85" t="s">
        <v>3241</v>
      </c>
      <c r="E2494" s="85" t="s">
        <v>3242</v>
      </c>
      <c r="F2494" s="86">
        <v>12.05</v>
      </c>
      <c r="G2494" s="86">
        <v>4</v>
      </c>
      <c r="H2494" s="86">
        <v>48.2</v>
      </c>
      <c r="I2494" s="86">
        <v>1506.05</v>
      </c>
      <c r="J2494" s="85" t="s">
        <v>4391</v>
      </c>
      <c r="K2494" s="85" t="s">
        <v>10241</v>
      </c>
      <c r="L2494" s="85" t="s">
        <v>4135</v>
      </c>
      <c r="M2494" s="85" t="s">
        <v>10276</v>
      </c>
    </row>
    <row r="2495" ht="213.75" spans="1:13">
      <c r="A2495" s="85" t="s">
        <v>10271</v>
      </c>
      <c r="B2495" s="85" t="s">
        <v>9210</v>
      </c>
      <c r="C2495" s="85" t="s">
        <v>9211</v>
      </c>
      <c r="D2495" s="85" t="s">
        <v>3189</v>
      </c>
      <c r="E2495" s="85" t="s">
        <v>9212</v>
      </c>
      <c r="F2495" s="86">
        <v>181.3</v>
      </c>
      <c r="G2495" s="86">
        <v>8</v>
      </c>
      <c r="H2495" s="86">
        <v>1450.4</v>
      </c>
      <c r="I2495" s="86">
        <v>1506.05</v>
      </c>
      <c r="J2495" s="85" t="s">
        <v>4391</v>
      </c>
      <c r="K2495" s="85" t="s">
        <v>10241</v>
      </c>
      <c r="L2495" s="85" t="s">
        <v>4135</v>
      </c>
      <c r="M2495" s="85" t="s">
        <v>10277</v>
      </c>
    </row>
    <row r="2496" ht="213.75" spans="1:13">
      <c r="A2496" s="85" t="s">
        <v>10278</v>
      </c>
      <c r="B2496" s="85" t="s">
        <v>10279</v>
      </c>
      <c r="C2496" s="85" t="s">
        <v>10280</v>
      </c>
      <c r="D2496" s="85" t="s">
        <v>3367</v>
      </c>
      <c r="E2496" s="85" t="s">
        <v>10281</v>
      </c>
      <c r="F2496" s="86">
        <v>7.5</v>
      </c>
      <c r="G2496" s="86">
        <v>10</v>
      </c>
      <c r="H2496" s="86">
        <v>75</v>
      </c>
      <c r="I2496" s="86">
        <v>75</v>
      </c>
      <c r="J2496" s="85" t="s">
        <v>2935</v>
      </c>
      <c r="K2496" s="85" t="s">
        <v>10241</v>
      </c>
      <c r="L2496" s="85" t="s">
        <v>4135</v>
      </c>
      <c r="M2496" s="85" t="s">
        <v>10282</v>
      </c>
    </row>
    <row r="2497" ht="213.75" spans="1:13">
      <c r="A2497" s="85" t="s">
        <v>10266</v>
      </c>
      <c r="B2497" s="85" t="s">
        <v>3922</v>
      </c>
      <c r="C2497" s="85" t="s">
        <v>3923</v>
      </c>
      <c r="D2497" s="85" t="s">
        <v>3189</v>
      </c>
      <c r="E2497" s="85" t="s">
        <v>3924</v>
      </c>
      <c r="F2497" s="86">
        <v>70</v>
      </c>
      <c r="G2497" s="86">
        <v>1</v>
      </c>
      <c r="H2497" s="86">
        <v>70</v>
      </c>
      <c r="I2497" s="86">
        <v>534.8</v>
      </c>
      <c r="J2497" s="85" t="s">
        <v>4391</v>
      </c>
      <c r="K2497" s="85" t="s">
        <v>10241</v>
      </c>
      <c r="L2497" s="85" t="s">
        <v>4135</v>
      </c>
      <c r="M2497" s="85" t="s">
        <v>10283</v>
      </c>
    </row>
    <row r="2498" ht="213.75" spans="1:13">
      <c r="A2498" s="85" t="s">
        <v>10284</v>
      </c>
      <c r="B2498" s="85" t="s">
        <v>10285</v>
      </c>
      <c r="C2498" s="85" t="s">
        <v>10286</v>
      </c>
      <c r="D2498" s="85" t="s">
        <v>3197</v>
      </c>
      <c r="E2498" s="85" t="s">
        <v>10287</v>
      </c>
      <c r="F2498" s="86">
        <v>8</v>
      </c>
      <c r="G2498" s="86">
        <v>10</v>
      </c>
      <c r="H2498" s="86">
        <v>80</v>
      </c>
      <c r="I2498" s="86">
        <v>80</v>
      </c>
      <c r="J2498" s="85" t="s">
        <v>2935</v>
      </c>
      <c r="K2498" s="85" t="s">
        <v>10241</v>
      </c>
      <c r="L2498" s="85" t="s">
        <v>4135</v>
      </c>
      <c r="M2498" s="85" t="s">
        <v>10288</v>
      </c>
    </row>
    <row r="2499" ht="213.75" spans="1:13">
      <c r="A2499" s="85" t="s">
        <v>10289</v>
      </c>
      <c r="B2499" s="85" t="s">
        <v>9451</v>
      </c>
      <c r="C2499" s="85" t="s">
        <v>9452</v>
      </c>
      <c r="D2499" s="85" t="s">
        <v>3753</v>
      </c>
      <c r="E2499" s="85" t="s">
        <v>3763</v>
      </c>
      <c r="F2499" s="86">
        <v>489.51</v>
      </c>
      <c r="G2499" s="86">
        <v>1</v>
      </c>
      <c r="H2499" s="86">
        <v>489.51</v>
      </c>
      <c r="I2499" s="86">
        <v>489.51</v>
      </c>
      <c r="J2499" s="85" t="s">
        <v>3112</v>
      </c>
      <c r="K2499" s="85" t="s">
        <v>10241</v>
      </c>
      <c r="L2499" s="85" t="s">
        <v>4135</v>
      </c>
      <c r="M2499" s="85" t="s">
        <v>10290</v>
      </c>
    </row>
    <row r="2500" ht="213.75" spans="1:13">
      <c r="A2500" s="85" t="s">
        <v>10291</v>
      </c>
      <c r="B2500" s="85" t="s">
        <v>8491</v>
      </c>
      <c r="C2500" s="85" t="s">
        <v>8492</v>
      </c>
      <c r="D2500" s="85" t="s">
        <v>3177</v>
      </c>
      <c r="E2500" s="85" t="s">
        <v>6549</v>
      </c>
      <c r="F2500" s="86">
        <v>520</v>
      </c>
      <c r="G2500" s="86">
        <v>1</v>
      </c>
      <c r="H2500" s="86">
        <v>520</v>
      </c>
      <c r="I2500" s="86">
        <v>586</v>
      </c>
      <c r="J2500" s="85" t="s">
        <v>4370</v>
      </c>
      <c r="K2500" s="85" t="s">
        <v>10241</v>
      </c>
      <c r="L2500" s="85" t="s">
        <v>4135</v>
      </c>
      <c r="M2500" s="85" t="s">
        <v>10292</v>
      </c>
    </row>
    <row r="2501" ht="213.75" spans="1:13">
      <c r="A2501" s="85" t="s">
        <v>10243</v>
      </c>
      <c r="B2501" s="85" t="s">
        <v>8311</v>
      </c>
      <c r="C2501" s="85" t="s">
        <v>8312</v>
      </c>
      <c r="D2501" s="85" t="s">
        <v>3197</v>
      </c>
      <c r="E2501" s="85" t="s">
        <v>8312</v>
      </c>
      <c r="F2501" s="86">
        <v>1.9</v>
      </c>
      <c r="G2501" s="86">
        <v>130</v>
      </c>
      <c r="H2501" s="86">
        <v>247</v>
      </c>
      <c r="I2501" s="86">
        <v>2361.1</v>
      </c>
      <c r="J2501" s="85" t="s">
        <v>2935</v>
      </c>
      <c r="K2501" s="85" t="s">
        <v>10241</v>
      </c>
      <c r="L2501" s="85" t="s">
        <v>4135</v>
      </c>
      <c r="M2501" s="85" t="s">
        <v>10293</v>
      </c>
    </row>
    <row r="2502" ht="213.75" spans="1:13">
      <c r="A2502" s="85" t="s">
        <v>10291</v>
      </c>
      <c r="B2502" s="85" t="s">
        <v>10294</v>
      </c>
      <c r="C2502" s="85" t="s">
        <v>10295</v>
      </c>
      <c r="D2502" s="85" t="s">
        <v>3367</v>
      </c>
      <c r="E2502" s="85" t="s">
        <v>4565</v>
      </c>
      <c r="F2502" s="86">
        <v>0.22</v>
      </c>
      <c r="G2502" s="86">
        <v>300</v>
      </c>
      <c r="H2502" s="86">
        <v>66</v>
      </c>
      <c r="I2502" s="86">
        <v>586</v>
      </c>
      <c r="J2502" s="85" t="s">
        <v>4370</v>
      </c>
      <c r="K2502" s="85" t="s">
        <v>10241</v>
      </c>
      <c r="L2502" s="85" t="s">
        <v>4135</v>
      </c>
      <c r="M2502" s="85" t="s">
        <v>10296</v>
      </c>
    </row>
    <row r="2503" ht="213.75" spans="1:13">
      <c r="A2503" s="85" t="s">
        <v>10297</v>
      </c>
      <c r="B2503" s="85" t="s">
        <v>9224</v>
      </c>
      <c r="C2503" s="85" t="s">
        <v>9225</v>
      </c>
      <c r="D2503" s="85" t="s">
        <v>3201</v>
      </c>
      <c r="E2503" s="85" t="s">
        <v>3217</v>
      </c>
      <c r="F2503" s="86">
        <v>38</v>
      </c>
      <c r="G2503" s="86">
        <v>10</v>
      </c>
      <c r="H2503" s="86">
        <v>380</v>
      </c>
      <c r="I2503" s="86">
        <v>380</v>
      </c>
      <c r="J2503" s="85" t="s">
        <v>4391</v>
      </c>
      <c r="K2503" s="85" t="s">
        <v>10241</v>
      </c>
      <c r="L2503" s="85" t="s">
        <v>4135</v>
      </c>
      <c r="M2503" s="85" t="s">
        <v>10298</v>
      </c>
    </row>
    <row r="2504" ht="213.75" spans="1:13">
      <c r="A2504" s="85" t="s">
        <v>10243</v>
      </c>
      <c r="B2504" s="85" t="s">
        <v>8554</v>
      </c>
      <c r="C2504" s="85" t="s">
        <v>8555</v>
      </c>
      <c r="D2504" s="85" t="s">
        <v>3189</v>
      </c>
      <c r="E2504" s="85" t="s">
        <v>3190</v>
      </c>
      <c r="F2504" s="86">
        <v>59.9</v>
      </c>
      <c r="G2504" s="86">
        <v>5</v>
      </c>
      <c r="H2504" s="86">
        <v>299.5</v>
      </c>
      <c r="I2504" s="86">
        <v>2361.1</v>
      </c>
      <c r="J2504" s="85" t="s">
        <v>2935</v>
      </c>
      <c r="K2504" s="85" t="s">
        <v>10241</v>
      </c>
      <c r="L2504" s="85" t="s">
        <v>4135</v>
      </c>
      <c r="M2504" s="85" t="s">
        <v>10299</v>
      </c>
    </row>
    <row r="2505" ht="213.75" spans="1:13">
      <c r="A2505" s="85" t="s">
        <v>10256</v>
      </c>
      <c r="B2505" s="85" t="s">
        <v>10300</v>
      </c>
      <c r="C2505" s="85" t="s">
        <v>10301</v>
      </c>
      <c r="D2505" s="85" t="s">
        <v>4911</v>
      </c>
      <c r="E2505" s="85" t="s">
        <v>4761</v>
      </c>
      <c r="F2505" s="86">
        <v>25</v>
      </c>
      <c r="G2505" s="86">
        <v>4</v>
      </c>
      <c r="H2505" s="86">
        <v>100</v>
      </c>
      <c r="I2505" s="86">
        <v>590</v>
      </c>
      <c r="J2505" s="85" t="s">
        <v>2935</v>
      </c>
      <c r="K2505" s="85" t="s">
        <v>10241</v>
      </c>
      <c r="L2505" s="85" t="s">
        <v>4135</v>
      </c>
      <c r="M2505" s="85" t="s">
        <v>10302</v>
      </c>
    </row>
    <row r="2506" ht="213.75" spans="1:13">
      <c r="A2506" s="85" t="s">
        <v>10266</v>
      </c>
      <c r="B2506" s="85" t="s">
        <v>10267</v>
      </c>
      <c r="C2506" s="85" t="s">
        <v>10268</v>
      </c>
      <c r="D2506" s="85" t="s">
        <v>2977</v>
      </c>
      <c r="E2506" s="85" t="s">
        <v>10303</v>
      </c>
      <c r="F2506" s="86">
        <v>43</v>
      </c>
      <c r="G2506" s="86">
        <v>5</v>
      </c>
      <c r="H2506" s="86">
        <v>215</v>
      </c>
      <c r="I2506" s="86">
        <v>534.8</v>
      </c>
      <c r="J2506" s="85" t="s">
        <v>4391</v>
      </c>
      <c r="K2506" s="85" t="s">
        <v>10241</v>
      </c>
      <c r="L2506" s="85" t="s">
        <v>4135</v>
      </c>
      <c r="M2506" s="85" t="s">
        <v>10269</v>
      </c>
    </row>
    <row r="2507" ht="213.75" spans="1:13">
      <c r="A2507" s="85" t="s">
        <v>10240</v>
      </c>
      <c r="B2507" s="85" t="s">
        <v>10304</v>
      </c>
      <c r="C2507" s="85" t="s">
        <v>10305</v>
      </c>
      <c r="D2507" s="85" t="s">
        <v>3197</v>
      </c>
      <c r="E2507" s="85" t="s">
        <v>6876</v>
      </c>
      <c r="F2507" s="86">
        <v>64.8</v>
      </c>
      <c r="G2507" s="86">
        <v>5</v>
      </c>
      <c r="H2507" s="86">
        <v>324</v>
      </c>
      <c r="I2507" s="86">
        <v>356</v>
      </c>
      <c r="J2507" s="85" t="s">
        <v>4391</v>
      </c>
      <c r="K2507" s="85" t="s">
        <v>10241</v>
      </c>
      <c r="L2507" s="85" t="s">
        <v>4135</v>
      </c>
      <c r="M2507" s="85" t="s">
        <v>10306</v>
      </c>
    </row>
    <row r="2508" ht="213.75" spans="1:13">
      <c r="A2508" s="85" t="s">
        <v>10266</v>
      </c>
      <c r="B2508" s="85" t="s">
        <v>10307</v>
      </c>
      <c r="C2508" s="85" t="s">
        <v>10308</v>
      </c>
      <c r="D2508" s="85" t="s">
        <v>3241</v>
      </c>
      <c r="E2508" s="85" t="s">
        <v>4216</v>
      </c>
      <c r="F2508" s="86">
        <v>5.8</v>
      </c>
      <c r="G2508" s="86">
        <v>6</v>
      </c>
      <c r="H2508" s="86">
        <v>34.8</v>
      </c>
      <c r="I2508" s="86">
        <v>534.8</v>
      </c>
      <c r="J2508" s="85" t="s">
        <v>4391</v>
      </c>
      <c r="K2508" s="85" t="s">
        <v>10241</v>
      </c>
      <c r="L2508" s="85" t="s">
        <v>4135</v>
      </c>
      <c r="M2508" s="85" t="s">
        <v>10309</v>
      </c>
    </row>
    <row r="2509" ht="213.75" spans="1:13">
      <c r="A2509" s="85" t="s">
        <v>10310</v>
      </c>
      <c r="B2509" s="85" t="s">
        <v>10311</v>
      </c>
      <c r="C2509" s="85" t="s">
        <v>10312</v>
      </c>
      <c r="D2509" s="85" t="s">
        <v>10313</v>
      </c>
      <c r="E2509" s="85" t="s">
        <v>10314</v>
      </c>
      <c r="F2509" s="86">
        <v>15</v>
      </c>
      <c r="G2509" s="86">
        <v>20</v>
      </c>
      <c r="H2509" s="86">
        <v>300</v>
      </c>
      <c r="I2509" s="86">
        <v>3440</v>
      </c>
      <c r="J2509" s="85" t="s">
        <v>2935</v>
      </c>
      <c r="K2509" s="85" t="s">
        <v>10315</v>
      </c>
      <c r="L2509" s="85" t="s">
        <v>4135</v>
      </c>
      <c r="M2509" s="85" t="s">
        <v>10316</v>
      </c>
    </row>
    <row r="2510" ht="213.75" spans="1:13">
      <c r="A2510" s="85" t="s">
        <v>10310</v>
      </c>
      <c r="B2510" s="85" t="s">
        <v>10317</v>
      </c>
      <c r="C2510" s="85" t="s">
        <v>10318</v>
      </c>
      <c r="D2510" s="85" t="s">
        <v>10313</v>
      </c>
      <c r="E2510" s="85" t="s">
        <v>10314</v>
      </c>
      <c r="F2510" s="86">
        <v>220</v>
      </c>
      <c r="G2510" s="86">
        <v>2</v>
      </c>
      <c r="H2510" s="86">
        <v>440</v>
      </c>
      <c r="I2510" s="86">
        <v>3440</v>
      </c>
      <c r="J2510" s="85" t="s">
        <v>2935</v>
      </c>
      <c r="K2510" s="85" t="s">
        <v>10315</v>
      </c>
      <c r="L2510" s="85" t="s">
        <v>4135</v>
      </c>
      <c r="M2510" s="85" t="s">
        <v>10319</v>
      </c>
    </row>
    <row r="2511" ht="213.75" spans="1:13">
      <c r="A2511" s="85" t="s">
        <v>10310</v>
      </c>
      <c r="B2511" s="85" t="s">
        <v>9064</v>
      </c>
      <c r="C2511" s="85" t="s">
        <v>9065</v>
      </c>
      <c r="D2511" s="85" t="s">
        <v>4246</v>
      </c>
      <c r="E2511" s="85" t="s">
        <v>9066</v>
      </c>
      <c r="F2511" s="86">
        <v>225</v>
      </c>
      <c r="G2511" s="86">
        <v>12</v>
      </c>
      <c r="H2511" s="86">
        <v>2700</v>
      </c>
      <c r="I2511" s="86">
        <v>3440</v>
      </c>
      <c r="J2511" s="85" t="s">
        <v>2935</v>
      </c>
      <c r="K2511" s="85" t="s">
        <v>10315</v>
      </c>
      <c r="L2511" s="85" t="s">
        <v>4135</v>
      </c>
      <c r="M2511" s="85" t="s">
        <v>10320</v>
      </c>
    </row>
    <row r="2512" ht="213.75" spans="1:13">
      <c r="A2512" s="85" t="s">
        <v>10321</v>
      </c>
      <c r="B2512" s="85" t="s">
        <v>4047</v>
      </c>
      <c r="C2512" s="85" t="s">
        <v>4048</v>
      </c>
      <c r="D2512" s="85" t="s">
        <v>4049</v>
      </c>
      <c r="E2512" s="85" t="s">
        <v>4048</v>
      </c>
      <c r="F2512" s="86">
        <v>70000</v>
      </c>
      <c r="G2512" s="86">
        <v>1</v>
      </c>
      <c r="H2512" s="86">
        <v>70000</v>
      </c>
      <c r="I2512" s="86">
        <v>70000</v>
      </c>
      <c r="J2512" s="85" t="s">
        <v>4162</v>
      </c>
      <c r="K2512" s="85" t="s">
        <v>10322</v>
      </c>
      <c r="L2512" s="85" t="s">
        <v>4135</v>
      </c>
      <c r="M2512" s="85" t="s">
        <v>10323</v>
      </c>
    </row>
    <row r="2513" ht="213.75" spans="1:13">
      <c r="A2513" s="85" t="s">
        <v>10324</v>
      </c>
      <c r="B2513" s="85" t="s">
        <v>3123</v>
      </c>
      <c r="C2513" s="85" t="s">
        <v>3124</v>
      </c>
      <c r="D2513" s="85" t="s">
        <v>3125</v>
      </c>
      <c r="E2513" s="85" t="s">
        <v>3124</v>
      </c>
      <c r="F2513" s="86">
        <v>5000</v>
      </c>
      <c r="G2513" s="86">
        <v>1</v>
      </c>
      <c r="H2513" s="86">
        <v>5000</v>
      </c>
      <c r="I2513" s="86">
        <v>5000</v>
      </c>
      <c r="J2513" s="85" t="s">
        <v>5334</v>
      </c>
      <c r="K2513" s="85" t="s">
        <v>10325</v>
      </c>
      <c r="L2513" s="85" t="s">
        <v>4135</v>
      </c>
      <c r="M2513" s="85" t="s">
        <v>10326</v>
      </c>
    </row>
    <row r="2514" ht="213.75" spans="1:13">
      <c r="A2514" s="85" t="s">
        <v>10327</v>
      </c>
      <c r="B2514" s="85" t="s">
        <v>4155</v>
      </c>
      <c r="C2514" s="85" t="s">
        <v>4156</v>
      </c>
      <c r="D2514" s="85" t="s">
        <v>4157</v>
      </c>
      <c r="E2514" s="85" t="s">
        <v>4156</v>
      </c>
      <c r="F2514" s="86">
        <v>98500</v>
      </c>
      <c r="G2514" s="86">
        <v>1</v>
      </c>
      <c r="H2514" s="86">
        <v>98500</v>
      </c>
      <c r="I2514" s="86">
        <v>98500</v>
      </c>
      <c r="J2514" s="85" t="s">
        <v>4158</v>
      </c>
      <c r="K2514" s="85" t="s">
        <v>10328</v>
      </c>
      <c r="L2514" s="85" t="s">
        <v>4135</v>
      </c>
      <c r="M2514" s="85" t="s">
        <v>10329</v>
      </c>
    </row>
    <row r="2515" ht="213.75" spans="1:13">
      <c r="A2515" s="85" t="s">
        <v>10330</v>
      </c>
      <c r="B2515" s="85" t="s">
        <v>3509</v>
      </c>
      <c r="C2515" s="85" t="s">
        <v>3510</v>
      </c>
      <c r="D2515" s="85" t="s">
        <v>3511</v>
      </c>
      <c r="E2515" s="85" t="s">
        <v>3510</v>
      </c>
      <c r="F2515" s="86">
        <v>34800</v>
      </c>
      <c r="G2515" s="86">
        <v>1</v>
      </c>
      <c r="H2515" s="86">
        <v>34800</v>
      </c>
      <c r="I2515" s="86">
        <v>34800</v>
      </c>
      <c r="J2515" s="85" t="s">
        <v>10331</v>
      </c>
      <c r="K2515" s="85" t="s">
        <v>10332</v>
      </c>
      <c r="L2515" s="85" t="s">
        <v>4135</v>
      </c>
      <c r="M2515" s="85" t="s">
        <v>10333</v>
      </c>
    </row>
    <row r="2516" ht="213.75" spans="1:13">
      <c r="A2516" s="85" t="s">
        <v>10334</v>
      </c>
      <c r="B2516" s="85" t="s">
        <v>4148</v>
      </c>
      <c r="C2516" s="85" t="s">
        <v>4149</v>
      </c>
      <c r="D2516" s="85" t="s">
        <v>4150</v>
      </c>
      <c r="E2516" s="85" t="s">
        <v>4149</v>
      </c>
      <c r="F2516" s="86">
        <v>46440</v>
      </c>
      <c r="G2516" s="86">
        <v>1</v>
      </c>
      <c r="H2516" s="86">
        <v>46440</v>
      </c>
      <c r="I2516" s="86">
        <v>46440</v>
      </c>
      <c r="J2516" s="85" t="s">
        <v>7174</v>
      </c>
      <c r="K2516" s="85" t="s">
        <v>10335</v>
      </c>
      <c r="L2516" s="85" t="s">
        <v>6980</v>
      </c>
      <c r="M2516" s="85" t="s">
        <v>10336</v>
      </c>
    </row>
    <row r="2517" ht="213.75" spans="1:13">
      <c r="A2517" s="85" t="s">
        <v>10337</v>
      </c>
      <c r="B2517" s="85" t="s">
        <v>10338</v>
      </c>
      <c r="C2517" s="85" t="s">
        <v>10339</v>
      </c>
      <c r="D2517" s="85" t="s">
        <v>10340</v>
      </c>
      <c r="E2517" s="85" t="s">
        <v>10341</v>
      </c>
      <c r="F2517" s="86">
        <v>72</v>
      </c>
      <c r="G2517" s="86">
        <v>6</v>
      </c>
      <c r="H2517" s="86">
        <v>432</v>
      </c>
      <c r="I2517" s="86">
        <v>864</v>
      </c>
      <c r="J2517" s="85" t="s">
        <v>10342</v>
      </c>
      <c r="K2517" s="85" t="s">
        <v>10343</v>
      </c>
      <c r="L2517" s="85" t="s">
        <v>4135</v>
      </c>
      <c r="M2517" s="85" t="s">
        <v>10344</v>
      </c>
    </row>
    <row r="2518" ht="213.75" spans="1:13">
      <c r="A2518" s="85" t="s">
        <v>10337</v>
      </c>
      <c r="B2518" s="85" t="s">
        <v>10345</v>
      </c>
      <c r="C2518" s="85" t="s">
        <v>10346</v>
      </c>
      <c r="D2518" s="85" t="s">
        <v>10340</v>
      </c>
      <c r="E2518" s="85" t="s">
        <v>10347</v>
      </c>
      <c r="F2518" s="86">
        <v>72</v>
      </c>
      <c r="G2518" s="86">
        <v>6</v>
      </c>
      <c r="H2518" s="86">
        <v>432</v>
      </c>
      <c r="I2518" s="86">
        <v>864</v>
      </c>
      <c r="J2518" s="85" t="s">
        <v>10342</v>
      </c>
      <c r="K2518" s="85" t="s">
        <v>10343</v>
      </c>
      <c r="L2518" s="85" t="s">
        <v>4135</v>
      </c>
      <c r="M2518" s="85" t="s">
        <v>10348</v>
      </c>
    </row>
    <row r="2519" ht="213.75" spans="1:13">
      <c r="A2519" s="85" t="s">
        <v>10349</v>
      </c>
      <c r="B2519" s="85" t="s">
        <v>2901</v>
      </c>
      <c r="C2519" s="85" t="s">
        <v>2902</v>
      </c>
      <c r="D2519" s="85" t="s">
        <v>2903</v>
      </c>
      <c r="E2519" s="85" t="s">
        <v>2902</v>
      </c>
      <c r="F2519" s="86">
        <v>158000</v>
      </c>
      <c r="G2519" s="86">
        <v>1</v>
      </c>
      <c r="H2519" s="86">
        <v>158000</v>
      </c>
      <c r="I2519" s="86">
        <v>158000</v>
      </c>
      <c r="J2519" s="85" t="s">
        <v>4054</v>
      </c>
      <c r="K2519" s="85" t="s">
        <v>10350</v>
      </c>
      <c r="L2519" s="85" t="s">
        <v>4135</v>
      </c>
      <c r="M2519" s="85" t="s">
        <v>10351</v>
      </c>
    </row>
    <row r="2520" ht="213.75" spans="1:13">
      <c r="A2520" s="85" t="s">
        <v>10352</v>
      </c>
      <c r="B2520" s="85" t="s">
        <v>4142</v>
      </c>
      <c r="C2520" s="85" t="s">
        <v>4143</v>
      </c>
      <c r="D2520" s="85" t="s">
        <v>4144</v>
      </c>
      <c r="E2520" s="85" t="s">
        <v>4143</v>
      </c>
      <c r="F2520" s="86">
        <v>5493699</v>
      </c>
      <c r="G2520" s="86">
        <v>1</v>
      </c>
      <c r="H2520" s="86">
        <v>5493699</v>
      </c>
      <c r="I2520" s="86">
        <v>5493699</v>
      </c>
      <c r="J2520" s="85" t="s">
        <v>3898</v>
      </c>
      <c r="K2520" s="85" t="s">
        <v>10353</v>
      </c>
      <c r="L2520" s="85" t="s">
        <v>4135</v>
      </c>
      <c r="M2520" s="85" t="s">
        <v>10354</v>
      </c>
    </row>
    <row r="2521" ht="213.75" spans="1:13">
      <c r="A2521" s="85" t="s">
        <v>10355</v>
      </c>
      <c r="B2521" s="85" t="s">
        <v>3788</v>
      </c>
      <c r="C2521" s="85" t="s">
        <v>3789</v>
      </c>
      <c r="D2521" s="85" t="s">
        <v>3189</v>
      </c>
      <c r="E2521" s="85" t="s">
        <v>3790</v>
      </c>
      <c r="F2521" s="86">
        <v>100</v>
      </c>
      <c r="G2521" s="86">
        <v>16</v>
      </c>
      <c r="H2521" s="86">
        <v>1600</v>
      </c>
      <c r="I2521" s="86">
        <v>1600</v>
      </c>
      <c r="J2521" s="85" t="s">
        <v>7934</v>
      </c>
      <c r="K2521" s="85" t="s">
        <v>10356</v>
      </c>
      <c r="L2521" s="85" t="s">
        <v>4135</v>
      </c>
      <c r="M2521" s="85" t="s">
        <v>10357</v>
      </c>
    </row>
    <row r="2522" ht="213.75" spans="1:13">
      <c r="A2522" s="85" t="s">
        <v>10358</v>
      </c>
      <c r="B2522" s="85" t="s">
        <v>2901</v>
      </c>
      <c r="C2522" s="85" t="s">
        <v>2902</v>
      </c>
      <c r="D2522" s="85" t="s">
        <v>2903</v>
      </c>
      <c r="E2522" s="85" t="s">
        <v>2902</v>
      </c>
      <c r="F2522" s="86">
        <v>7910</v>
      </c>
      <c r="G2522" s="86">
        <v>1</v>
      </c>
      <c r="H2522" s="86">
        <v>7910</v>
      </c>
      <c r="I2522" s="86">
        <v>7910</v>
      </c>
      <c r="J2522" s="85" t="s">
        <v>3816</v>
      </c>
      <c r="K2522" s="85" t="s">
        <v>10359</v>
      </c>
      <c r="L2522" s="85" t="s">
        <v>4135</v>
      </c>
      <c r="M2522" s="85" t="s">
        <v>10360</v>
      </c>
    </row>
    <row r="2523" ht="213.75" spans="1:13">
      <c r="A2523" s="85" t="s">
        <v>10361</v>
      </c>
      <c r="B2523" s="85" t="s">
        <v>2901</v>
      </c>
      <c r="C2523" s="85" t="s">
        <v>2902</v>
      </c>
      <c r="D2523" s="85" t="s">
        <v>2903</v>
      </c>
      <c r="E2523" s="85" t="s">
        <v>2902</v>
      </c>
      <c r="F2523" s="86">
        <v>4800</v>
      </c>
      <c r="G2523" s="86">
        <v>1</v>
      </c>
      <c r="H2523" s="86">
        <v>4800</v>
      </c>
      <c r="I2523" s="86">
        <v>4800</v>
      </c>
      <c r="J2523" s="85" t="s">
        <v>9948</v>
      </c>
      <c r="K2523" s="85" t="s">
        <v>10362</v>
      </c>
      <c r="L2523" s="85" t="s">
        <v>4135</v>
      </c>
      <c r="M2523" s="85" t="s">
        <v>10363</v>
      </c>
    </row>
    <row r="2524" ht="213.75" spans="1:13">
      <c r="A2524" s="85" t="s">
        <v>10364</v>
      </c>
      <c r="B2524" s="85" t="s">
        <v>4047</v>
      </c>
      <c r="C2524" s="85" t="s">
        <v>4048</v>
      </c>
      <c r="D2524" s="85" t="s">
        <v>4049</v>
      </c>
      <c r="E2524" s="85" t="s">
        <v>4048</v>
      </c>
      <c r="F2524" s="86">
        <v>5040</v>
      </c>
      <c r="G2524" s="86">
        <v>1</v>
      </c>
      <c r="H2524" s="86">
        <v>5040</v>
      </c>
      <c r="I2524" s="86">
        <v>5040</v>
      </c>
      <c r="J2524" s="85" t="s">
        <v>2920</v>
      </c>
      <c r="K2524" s="85" t="s">
        <v>10365</v>
      </c>
      <c r="L2524" s="85" t="s">
        <v>4135</v>
      </c>
      <c r="M2524" s="85" t="s">
        <v>10366</v>
      </c>
    </row>
    <row r="2525" ht="213.75" spans="1:13">
      <c r="A2525" s="85" t="s">
        <v>10367</v>
      </c>
      <c r="B2525" s="85" t="s">
        <v>10368</v>
      </c>
      <c r="C2525" s="85" t="s">
        <v>10369</v>
      </c>
      <c r="D2525" s="85" t="s">
        <v>3068</v>
      </c>
      <c r="E2525" s="85" t="s">
        <v>10369</v>
      </c>
      <c r="F2525" s="86">
        <v>16</v>
      </c>
      <c r="G2525" s="86">
        <v>100</v>
      </c>
      <c r="H2525" s="86">
        <v>1600</v>
      </c>
      <c r="I2525" s="86">
        <v>1600</v>
      </c>
      <c r="J2525" s="85" t="s">
        <v>2935</v>
      </c>
      <c r="K2525" s="85" t="s">
        <v>10370</v>
      </c>
      <c r="L2525" s="85" t="s">
        <v>4135</v>
      </c>
      <c r="M2525" s="85" t="s">
        <v>10371</v>
      </c>
    </row>
    <row r="2526" ht="213.75" spans="1:13">
      <c r="A2526" s="85" t="s">
        <v>10372</v>
      </c>
      <c r="B2526" s="85" t="s">
        <v>10207</v>
      </c>
      <c r="C2526" s="85" t="s">
        <v>10208</v>
      </c>
      <c r="D2526" s="85" t="s">
        <v>4848</v>
      </c>
      <c r="E2526" s="85" t="s">
        <v>4849</v>
      </c>
      <c r="F2526" s="86">
        <v>27</v>
      </c>
      <c r="G2526" s="86">
        <v>80</v>
      </c>
      <c r="H2526" s="86">
        <v>2160</v>
      </c>
      <c r="I2526" s="86">
        <v>2440</v>
      </c>
      <c r="J2526" s="85" t="s">
        <v>4370</v>
      </c>
      <c r="K2526" s="85" t="s">
        <v>10373</v>
      </c>
      <c r="L2526" s="85" t="s">
        <v>4135</v>
      </c>
      <c r="M2526" s="85" t="s">
        <v>10374</v>
      </c>
    </row>
    <row r="2527" ht="213.75" spans="1:13">
      <c r="A2527" s="85" t="s">
        <v>10375</v>
      </c>
      <c r="B2527" s="85" t="s">
        <v>10376</v>
      </c>
      <c r="C2527" s="85" t="s">
        <v>10377</v>
      </c>
      <c r="D2527" s="85" t="s">
        <v>9355</v>
      </c>
      <c r="E2527" s="85" t="s">
        <v>1951</v>
      </c>
      <c r="F2527" s="86">
        <v>48</v>
      </c>
      <c r="G2527" s="86">
        <v>480</v>
      </c>
      <c r="H2527" s="86">
        <v>23040</v>
      </c>
      <c r="I2527" s="86">
        <v>23058.8</v>
      </c>
      <c r="J2527" s="85" t="s">
        <v>2935</v>
      </c>
      <c r="K2527" s="85" t="s">
        <v>10373</v>
      </c>
      <c r="L2527" s="85" t="s">
        <v>4135</v>
      </c>
      <c r="M2527" s="85" t="s">
        <v>10378</v>
      </c>
    </row>
    <row r="2528" ht="213.75" spans="1:13">
      <c r="A2528" s="85" t="s">
        <v>10375</v>
      </c>
      <c r="B2528" s="85" t="s">
        <v>10132</v>
      </c>
      <c r="C2528" s="85" t="s">
        <v>10133</v>
      </c>
      <c r="D2528" s="85" t="s">
        <v>7271</v>
      </c>
      <c r="E2528" s="85" t="s">
        <v>10134</v>
      </c>
      <c r="F2528" s="86">
        <v>18.8</v>
      </c>
      <c r="G2528" s="86">
        <v>1</v>
      </c>
      <c r="H2528" s="86">
        <v>18.8</v>
      </c>
      <c r="I2528" s="86">
        <v>23058.8</v>
      </c>
      <c r="J2528" s="85" t="s">
        <v>2935</v>
      </c>
      <c r="K2528" s="85" t="s">
        <v>10373</v>
      </c>
      <c r="L2528" s="85" t="s">
        <v>4135</v>
      </c>
      <c r="M2528" s="85" t="s">
        <v>10379</v>
      </c>
    </row>
    <row r="2529" ht="213.75" spans="1:13">
      <c r="A2529" s="85" t="s">
        <v>10372</v>
      </c>
      <c r="B2529" s="85" t="s">
        <v>4942</v>
      </c>
      <c r="C2529" s="85" t="s">
        <v>4943</v>
      </c>
      <c r="D2529" s="85" t="s">
        <v>3041</v>
      </c>
      <c r="E2529" s="85" t="s">
        <v>3042</v>
      </c>
      <c r="F2529" s="86">
        <v>5</v>
      </c>
      <c r="G2529" s="86">
        <v>56</v>
      </c>
      <c r="H2529" s="86">
        <v>280</v>
      </c>
      <c r="I2529" s="86">
        <v>2440</v>
      </c>
      <c r="J2529" s="85" t="s">
        <v>4370</v>
      </c>
      <c r="K2529" s="85" t="s">
        <v>10373</v>
      </c>
      <c r="L2529" s="85" t="s">
        <v>4135</v>
      </c>
      <c r="M2529" s="85" t="s">
        <v>10380</v>
      </c>
    </row>
    <row r="2530" ht="213.75" spans="1:13">
      <c r="A2530" s="85" t="s">
        <v>10381</v>
      </c>
      <c r="B2530" s="85" t="s">
        <v>9340</v>
      </c>
      <c r="C2530" s="85" t="s">
        <v>9341</v>
      </c>
      <c r="D2530" s="85" t="s">
        <v>3068</v>
      </c>
      <c r="E2530" s="85" t="s">
        <v>9342</v>
      </c>
      <c r="F2530" s="86">
        <v>71</v>
      </c>
      <c r="G2530" s="86">
        <v>20</v>
      </c>
      <c r="H2530" s="86">
        <v>1420</v>
      </c>
      <c r="I2530" s="86">
        <v>1724</v>
      </c>
      <c r="J2530" s="85" t="s">
        <v>4391</v>
      </c>
      <c r="K2530" s="85" t="s">
        <v>10373</v>
      </c>
      <c r="L2530" s="85" t="s">
        <v>4135</v>
      </c>
      <c r="M2530" s="85" t="s">
        <v>10382</v>
      </c>
    </row>
    <row r="2531" ht="213.75" spans="1:13">
      <c r="A2531" s="85" t="s">
        <v>10381</v>
      </c>
      <c r="B2531" s="85" t="s">
        <v>10383</v>
      </c>
      <c r="C2531" s="85" t="s">
        <v>10384</v>
      </c>
      <c r="D2531" s="85" t="s">
        <v>3367</v>
      </c>
      <c r="E2531" s="85" t="s">
        <v>9766</v>
      </c>
      <c r="F2531" s="86">
        <v>38</v>
      </c>
      <c r="G2531" s="86">
        <v>8</v>
      </c>
      <c r="H2531" s="86">
        <v>304</v>
      </c>
      <c r="I2531" s="86">
        <v>1724</v>
      </c>
      <c r="J2531" s="85" t="s">
        <v>4391</v>
      </c>
      <c r="K2531" s="85" t="s">
        <v>10373</v>
      </c>
      <c r="L2531" s="85" t="s">
        <v>4135</v>
      </c>
      <c r="M2531" s="85" t="s">
        <v>10385</v>
      </c>
    </row>
    <row r="2532" ht="213.75" spans="1:13">
      <c r="A2532" s="85" t="s">
        <v>10386</v>
      </c>
      <c r="B2532" s="85" t="s">
        <v>9495</v>
      </c>
      <c r="C2532" s="85" t="s">
        <v>9496</v>
      </c>
      <c r="D2532" s="85" t="s">
        <v>9497</v>
      </c>
      <c r="E2532" s="85" t="s">
        <v>8413</v>
      </c>
      <c r="F2532" s="86">
        <v>13</v>
      </c>
      <c r="G2532" s="86">
        <v>5</v>
      </c>
      <c r="H2532" s="86">
        <v>65</v>
      </c>
      <c r="I2532" s="86">
        <v>8767.47</v>
      </c>
      <c r="J2532" s="85" t="s">
        <v>2935</v>
      </c>
      <c r="K2532" s="85" t="s">
        <v>10387</v>
      </c>
      <c r="L2532" s="85" t="s">
        <v>4135</v>
      </c>
      <c r="M2532" s="85" t="s">
        <v>10388</v>
      </c>
    </row>
    <row r="2533" ht="213.75" spans="1:13">
      <c r="A2533" s="85" t="s">
        <v>10389</v>
      </c>
      <c r="B2533" s="85" t="s">
        <v>8388</v>
      </c>
      <c r="C2533" s="85" t="s">
        <v>8389</v>
      </c>
      <c r="D2533" s="85" t="s">
        <v>3041</v>
      </c>
      <c r="E2533" s="85" t="s">
        <v>3158</v>
      </c>
      <c r="F2533" s="86">
        <v>230</v>
      </c>
      <c r="G2533" s="86">
        <v>4</v>
      </c>
      <c r="H2533" s="86">
        <v>920</v>
      </c>
      <c r="I2533" s="86">
        <v>2819.5</v>
      </c>
      <c r="J2533" s="85" t="s">
        <v>4370</v>
      </c>
      <c r="K2533" s="85" t="s">
        <v>10387</v>
      </c>
      <c r="L2533" s="85" t="s">
        <v>4135</v>
      </c>
      <c r="M2533" s="85" t="s">
        <v>10390</v>
      </c>
    </row>
    <row r="2534" ht="213.75" spans="1:13">
      <c r="A2534" s="85" t="s">
        <v>10391</v>
      </c>
      <c r="B2534" s="85" t="s">
        <v>10392</v>
      </c>
      <c r="C2534" s="85" t="s">
        <v>10393</v>
      </c>
      <c r="D2534" s="85" t="s">
        <v>10394</v>
      </c>
      <c r="E2534" s="85" t="s">
        <v>10395</v>
      </c>
      <c r="F2534" s="86">
        <v>13.72</v>
      </c>
      <c r="G2534" s="86">
        <v>100</v>
      </c>
      <c r="H2534" s="86">
        <v>1372</v>
      </c>
      <c r="I2534" s="86">
        <v>5259.28</v>
      </c>
      <c r="J2534" s="85" t="s">
        <v>4391</v>
      </c>
      <c r="K2534" s="85" t="s">
        <v>10387</v>
      </c>
      <c r="L2534" s="85" t="s">
        <v>4135</v>
      </c>
      <c r="M2534" s="85" t="s">
        <v>10396</v>
      </c>
    </row>
    <row r="2535" ht="213.75" spans="1:13">
      <c r="A2535" s="85" t="s">
        <v>10391</v>
      </c>
      <c r="B2535" s="85" t="s">
        <v>10397</v>
      </c>
      <c r="C2535" s="85" t="s">
        <v>10398</v>
      </c>
      <c r="D2535" s="85" t="s">
        <v>5610</v>
      </c>
      <c r="E2535" s="85" t="s">
        <v>10399</v>
      </c>
      <c r="F2535" s="86">
        <v>13.72</v>
      </c>
      <c r="G2535" s="86">
        <v>1</v>
      </c>
      <c r="H2535" s="86">
        <v>13.72</v>
      </c>
      <c r="I2535" s="86">
        <v>5259.28</v>
      </c>
      <c r="J2535" s="85" t="s">
        <v>4391</v>
      </c>
      <c r="K2535" s="85" t="s">
        <v>10387</v>
      </c>
      <c r="L2535" s="85" t="s">
        <v>4135</v>
      </c>
      <c r="M2535" s="85" t="s">
        <v>10400</v>
      </c>
    </row>
    <row r="2536" ht="213.75" spans="1:13">
      <c r="A2536" s="85" t="s">
        <v>10386</v>
      </c>
      <c r="B2536" s="85" t="s">
        <v>10401</v>
      </c>
      <c r="C2536" s="85" t="s">
        <v>10402</v>
      </c>
      <c r="D2536" s="85" t="s">
        <v>3148</v>
      </c>
      <c r="E2536" s="85" t="s">
        <v>4242</v>
      </c>
      <c r="F2536" s="86">
        <v>8.8</v>
      </c>
      <c r="G2536" s="86">
        <v>10</v>
      </c>
      <c r="H2536" s="86">
        <v>88</v>
      </c>
      <c r="I2536" s="86">
        <v>8767.47</v>
      </c>
      <c r="J2536" s="85" t="s">
        <v>2935</v>
      </c>
      <c r="K2536" s="85" t="s">
        <v>10387</v>
      </c>
      <c r="L2536" s="85" t="s">
        <v>4135</v>
      </c>
      <c r="M2536" s="85" t="s">
        <v>10403</v>
      </c>
    </row>
    <row r="2537" ht="213.75" spans="1:13">
      <c r="A2537" s="85" t="s">
        <v>10404</v>
      </c>
      <c r="B2537" s="85" t="s">
        <v>10405</v>
      </c>
      <c r="C2537" s="85" t="s">
        <v>10406</v>
      </c>
      <c r="D2537" s="85" t="s">
        <v>3617</v>
      </c>
      <c r="E2537" s="85" t="s">
        <v>6448</v>
      </c>
      <c r="F2537" s="86">
        <v>46</v>
      </c>
      <c r="G2537" s="86">
        <v>20</v>
      </c>
      <c r="H2537" s="86">
        <v>920</v>
      </c>
      <c r="I2537" s="86">
        <v>4160</v>
      </c>
      <c r="J2537" s="85" t="s">
        <v>2999</v>
      </c>
      <c r="K2537" s="85" t="s">
        <v>10387</v>
      </c>
      <c r="L2537" s="85" t="s">
        <v>4135</v>
      </c>
      <c r="M2537" s="85" t="s">
        <v>10407</v>
      </c>
    </row>
    <row r="2538" ht="213.75" spans="1:13">
      <c r="A2538" s="85" t="s">
        <v>10391</v>
      </c>
      <c r="B2538" s="85" t="s">
        <v>10408</v>
      </c>
      <c r="C2538" s="85" t="s">
        <v>10409</v>
      </c>
      <c r="D2538" s="85" t="s">
        <v>3442</v>
      </c>
      <c r="E2538" s="85" t="s">
        <v>9994</v>
      </c>
      <c r="F2538" s="86">
        <v>43.32</v>
      </c>
      <c r="G2538" s="86">
        <v>3</v>
      </c>
      <c r="H2538" s="86">
        <v>129.96</v>
      </c>
      <c r="I2538" s="86">
        <v>5259.28</v>
      </c>
      <c r="J2538" s="85" t="s">
        <v>4391</v>
      </c>
      <c r="K2538" s="85" t="s">
        <v>10387</v>
      </c>
      <c r="L2538" s="85" t="s">
        <v>4135</v>
      </c>
      <c r="M2538" s="85" t="s">
        <v>10410</v>
      </c>
    </row>
    <row r="2539" ht="213.75" spans="1:13">
      <c r="A2539" s="85" t="s">
        <v>10386</v>
      </c>
      <c r="B2539" s="85" t="s">
        <v>10411</v>
      </c>
      <c r="C2539" s="85" t="s">
        <v>10412</v>
      </c>
      <c r="D2539" s="85" t="s">
        <v>10413</v>
      </c>
      <c r="E2539" s="85" t="s">
        <v>10414</v>
      </c>
      <c r="F2539" s="86">
        <v>308.74</v>
      </c>
      <c r="G2539" s="86">
        <v>2</v>
      </c>
      <c r="H2539" s="86">
        <v>617.48</v>
      </c>
      <c r="I2539" s="86">
        <v>8767.47</v>
      </c>
      <c r="J2539" s="85" t="s">
        <v>2935</v>
      </c>
      <c r="K2539" s="85" t="s">
        <v>10387</v>
      </c>
      <c r="L2539" s="85" t="s">
        <v>4135</v>
      </c>
      <c r="M2539" s="85" t="s">
        <v>10415</v>
      </c>
    </row>
    <row r="2540" ht="213.75" spans="1:13">
      <c r="A2540" s="85" t="s">
        <v>10386</v>
      </c>
      <c r="B2540" s="85" t="s">
        <v>10416</v>
      </c>
      <c r="C2540" s="85" t="s">
        <v>10417</v>
      </c>
      <c r="D2540" s="85" t="s">
        <v>5766</v>
      </c>
      <c r="E2540" s="85" t="s">
        <v>10418</v>
      </c>
      <c r="F2540" s="86">
        <v>16.32</v>
      </c>
      <c r="G2540" s="86">
        <v>20</v>
      </c>
      <c r="H2540" s="86">
        <v>326.4</v>
      </c>
      <c r="I2540" s="86">
        <v>8767.47</v>
      </c>
      <c r="J2540" s="85" t="s">
        <v>2935</v>
      </c>
      <c r="K2540" s="85" t="s">
        <v>10387</v>
      </c>
      <c r="L2540" s="85" t="s">
        <v>4135</v>
      </c>
      <c r="M2540" s="85" t="s">
        <v>10419</v>
      </c>
    </row>
    <row r="2541" ht="213.75" spans="1:13">
      <c r="A2541" s="85" t="s">
        <v>10386</v>
      </c>
      <c r="B2541" s="85" t="s">
        <v>10420</v>
      </c>
      <c r="C2541" s="85" t="s">
        <v>10421</v>
      </c>
      <c r="D2541" s="85" t="s">
        <v>3419</v>
      </c>
      <c r="E2541" s="85" t="s">
        <v>10011</v>
      </c>
      <c r="F2541" s="86">
        <v>4.85</v>
      </c>
      <c r="G2541" s="86">
        <v>34</v>
      </c>
      <c r="H2541" s="86">
        <v>164.9</v>
      </c>
      <c r="I2541" s="86">
        <v>8767.47</v>
      </c>
      <c r="J2541" s="85" t="s">
        <v>2935</v>
      </c>
      <c r="K2541" s="85" t="s">
        <v>10387</v>
      </c>
      <c r="L2541" s="85" t="s">
        <v>4135</v>
      </c>
      <c r="M2541" s="85" t="s">
        <v>10422</v>
      </c>
    </row>
    <row r="2542" ht="213.75" spans="1:13">
      <c r="A2542" s="85" t="s">
        <v>10386</v>
      </c>
      <c r="B2542" s="85" t="s">
        <v>9153</v>
      </c>
      <c r="C2542" s="85" t="s">
        <v>9154</v>
      </c>
      <c r="D2542" s="85" t="s">
        <v>2973</v>
      </c>
      <c r="E2542" s="85" t="s">
        <v>9108</v>
      </c>
      <c r="F2542" s="86">
        <v>211.65</v>
      </c>
      <c r="G2542" s="86">
        <v>5</v>
      </c>
      <c r="H2542" s="86">
        <v>1058.25</v>
      </c>
      <c r="I2542" s="86">
        <v>8767.47</v>
      </c>
      <c r="J2542" s="85" t="s">
        <v>2935</v>
      </c>
      <c r="K2542" s="85" t="s">
        <v>10387</v>
      </c>
      <c r="L2542" s="85" t="s">
        <v>4135</v>
      </c>
      <c r="M2542" s="85" t="s">
        <v>10423</v>
      </c>
    </row>
    <row r="2543" ht="213.75" spans="1:13">
      <c r="A2543" s="85" t="s">
        <v>10389</v>
      </c>
      <c r="B2543" s="85" t="s">
        <v>9251</v>
      </c>
      <c r="C2543" s="85" t="s">
        <v>9252</v>
      </c>
      <c r="D2543" s="85" t="s">
        <v>3230</v>
      </c>
      <c r="E2543" s="85" t="s">
        <v>9253</v>
      </c>
      <c r="F2543" s="86">
        <v>0.05</v>
      </c>
      <c r="G2543" s="86">
        <v>9350</v>
      </c>
      <c r="H2543" s="86">
        <v>467.5</v>
      </c>
      <c r="I2543" s="86">
        <v>2819.5</v>
      </c>
      <c r="J2543" s="85" t="s">
        <v>4370</v>
      </c>
      <c r="K2543" s="85" t="s">
        <v>10387</v>
      </c>
      <c r="L2543" s="85" t="s">
        <v>4135</v>
      </c>
      <c r="M2543" s="85" t="s">
        <v>10424</v>
      </c>
    </row>
    <row r="2544" ht="213.75" spans="1:13">
      <c r="A2544" s="85" t="s">
        <v>10391</v>
      </c>
      <c r="B2544" s="85" t="s">
        <v>10425</v>
      </c>
      <c r="C2544" s="85" t="s">
        <v>10426</v>
      </c>
      <c r="D2544" s="85" t="s">
        <v>6368</v>
      </c>
      <c r="E2544" s="85" t="s">
        <v>5777</v>
      </c>
      <c r="F2544" s="86">
        <v>357.7</v>
      </c>
      <c r="G2544" s="86">
        <v>2</v>
      </c>
      <c r="H2544" s="86">
        <v>715.4</v>
      </c>
      <c r="I2544" s="86">
        <v>5259.28</v>
      </c>
      <c r="J2544" s="85" t="s">
        <v>4391</v>
      </c>
      <c r="K2544" s="85" t="s">
        <v>10387</v>
      </c>
      <c r="L2544" s="85" t="s">
        <v>4135</v>
      </c>
      <c r="M2544" s="85" t="s">
        <v>10427</v>
      </c>
    </row>
    <row r="2545" ht="213.75" spans="1:13">
      <c r="A2545" s="85" t="s">
        <v>10386</v>
      </c>
      <c r="B2545" s="85" t="s">
        <v>10428</v>
      </c>
      <c r="C2545" s="85" t="s">
        <v>10429</v>
      </c>
      <c r="D2545" s="85" t="s">
        <v>3579</v>
      </c>
      <c r="E2545" s="85" t="s">
        <v>5737</v>
      </c>
      <c r="F2545" s="86">
        <v>43</v>
      </c>
      <c r="G2545" s="86">
        <v>1</v>
      </c>
      <c r="H2545" s="86">
        <v>43</v>
      </c>
      <c r="I2545" s="86">
        <v>8767.47</v>
      </c>
      <c r="J2545" s="85" t="s">
        <v>2935</v>
      </c>
      <c r="K2545" s="85" t="s">
        <v>10387</v>
      </c>
      <c r="L2545" s="85" t="s">
        <v>4135</v>
      </c>
      <c r="M2545" s="85" t="s">
        <v>10430</v>
      </c>
    </row>
    <row r="2546" ht="213.75" spans="1:13">
      <c r="A2546" s="85" t="s">
        <v>10386</v>
      </c>
      <c r="B2546" s="85" t="s">
        <v>10431</v>
      </c>
      <c r="C2546" s="85" t="s">
        <v>10432</v>
      </c>
      <c r="D2546" s="85" t="s">
        <v>4340</v>
      </c>
      <c r="E2546" s="85" t="s">
        <v>9508</v>
      </c>
      <c r="F2546" s="86">
        <v>82.52</v>
      </c>
      <c r="G2546" s="86">
        <v>1</v>
      </c>
      <c r="H2546" s="86">
        <v>82.52</v>
      </c>
      <c r="I2546" s="86">
        <v>8767.47</v>
      </c>
      <c r="J2546" s="85" t="s">
        <v>2935</v>
      </c>
      <c r="K2546" s="85" t="s">
        <v>10387</v>
      </c>
      <c r="L2546" s="85" t="s">
        <v>4135</v>
      </c>
      <c r="M2546" s="85" t="s">
        <v>10433</v>
      </c>
    </row>
    <row r="2547" ht="213.75" spans="1:13">
      <c r="A2547" s="85" t="s">
        <v>10386</v>
      </c>
      <c r="B2547" s="85" t="s">
        <v>10434</v>
      </c>
      <c r="C2547" s="85" t="s">
        <v>10435</v>
      </c>
      <c r="D2547" s="85" t="s">
        <v>5144</v>
      </c>
      <c r="E2547" s="85" t="s">
        <v>1966</v>
      </c>
      <c r="F2547" s="86">
        <v>348</v>
      </c>
      <c r="G2547" s="86">
        <v>1</v>
      </c>
      <c r="H2547" s="86">
        <v>348</v>
      </c>
      <c r="I2547" s="86">
        <v>8767.47</v>
      </c>
      <c r="J2547" s="85" t="s">
        <v>2935</v>
      </c>
      <c r="K2547" s="85" t="s">
        <v>10387</v>
      </c>
      <c r="L2547" s="85" t="s">
        <v>4135</v>
      </c>
      <c r="M2547" s="85" t="s">
        <v>10436</v>
      </c>
    </row>
    <row r="2548" ht="213.75" spans="1:13">
      <c r="A2548" s="85" t="s">
        <v>10437</v>
      </c>
      <c r="B2548" s="85" t="s">
        <v>10438</v>
      </c>
      <c r="C2548" s="85" t="s">
        <v>10439</v>
      </c>
      <c r="D2548" s="85" t="s">
        <v>3753</v>
      </c>
      <c r="E2548" s="85" t="s">
        <v>4411</v>
      </c>
      <c r="F2548" s="86">
        <v>520</v>
      </c>
      <c r="G2548" s="86">
        <v>1</v>
      </c>
      <c r="H2548" s="86">
        <v>520</v>
      </c>
      <c r="I2548" s="86">
        <v>605</v>
      </c>
      <c r="J2548" s="85" t="s">
        <v>2935</v>
      </c>
      <c r="K2548" s="85" t="s">
        <v>10387</v>
      </c>
      <c r="L2548" s="85" t="s">
        <v>4135</v>
      </c>
      <c r="M2548" s="85" t="s">
        <v>10440</v>
      </c>
    </row>
    <row r="2549" ht="213.75" spans="1:13">
      <c r="A2549" s="85" t="s">
        <v>10391</v>
      </c>
      <c r="B2549" s="85" t="s">
        <v>8125</v>
      </c>
      <c r="C2549" s="85" t="s">
        <v>8126</v>
      </c>
      <c r="D2549" s="85" t="s">
        <v>4246</v>
      </c>
      <c r="E2549" s="85" t="s">
        <v>6919</v>
      </c>
      <c r="F2549" s="86">
        <v>56.84</v>
      </c>
      <c r="G2549" s="86">
        <v>5</v>
      </c>
      <c r="H2549" s="86">
        <v>284.2</v>
      </c>
      <c r="I2549" s="86">
        <v>5259.28</v>
      </c>
      <c r="J2549" s="85" t="s">
        <v>4391</v>
      </c>
      <c r="K2549" s="85" t="s">
        <v>10387</v>
      </c>
      <c r="L2549" s="85" t="s">
        <v>4135</v>
      </c>
      <c r="M2549" s="85" t="s">
        <v>10441</v>
      </c>
    </row>
    <row r="2550" ht="213.75" spans="1:13">
      <c r="A2550" s="85" t="s">
        <v>10386</v>
      </c>
      <c r="B2550" s="85" t="s">
        <v>8757</v>
      </c>
      <c r="C2550" s="85" t="s">
        <v>8758</v>
      </c>
      <c r="D2550" s="85" t="s">
        <v>6824</v>
      </c>
      <c r="E2550" s="85" t="s">
        <v>6825</v>
      </c>
      <c r="F2550" s="86">
        <v>380</v>
      </c>
      <c r="G2550" s="86">
        <v>6</v>
      </c>
      <c r="H2550" s="86">
        <v>2280</v>
      </c>
      <c r="I2550" s="86">
        <v>8767.47</v>
      </c>
      <c r="J2550" s="85" t="s">
        <v>2935</v>
      </c>
      <c r="K2550" s="85" t="s">
        <v>10387</v>
      </c>
      <c r="L2550" s="85" t="s">
        <v>4135</v>
      </c>
      <c r="M2550" s="85" t="s">
        <v>10442</v>
      </c>
    </row>
    <row r="2551" ht="213.75" spans="1:13">
      <c r="A2551" s="85" t="s">
        <v>10437</v>
      </c>
      <c r="B2551" s="85" t="s">
        <v>10443</v>
      </c>
      <c r="C2551" s="85" t="s">
        <v>10444</v>
      </c>
      <c r="D2551" s="85" t="s">
        <v>4296</v>
      </c>
      <c r="E2551" s="85" t="s">
        <v>10445</v>
      </c>
      <c r="F2551" s="86">
        <v>65</v>
      </c>
      <c r="G2551" s="86">
        <v>1</v>
      </c>
      <c r="H2551" s="86">
        <v>65</v>
      </c>
      <c r="I2551" s="86">
        <v>605</v>
      </c>
      <c r="J2551" s="85" t="s">
        <v>2935</v>
      </c>
      <c r="K2551" s="85" t="s">
        <v>10387</v>
      </c>
      <c r="L2551" s="85" t="s">
        <v>4135</v>
      </c>
      <c r="M2551" s="85" t="s">
        <v>10446</v>
      </c>
    </row>
    <row r="2552" ht="213.75" spans="1:13">
      <c r="A2552" s="85" t="s">
        <v>10391</v>
      </c>
      <c r="B2552" s="85" t="s">
        <v>10447</v>
      </c>
      <c r="C2552" s="85" t="s">
        <v>10448</v>
      </c>
      <c r="D2552" s="85" t="s">
        <v>3684</v>
      </c>
      <c r="E2552" s="85" t="s">
        <v>3685</v>
      </c>
      <c r="F2552" s="86">
        <v>45.57</v>
      </c>
      <c r="G2552" s="86">
        <v>2</v>
      </c>
      <c r="H2552" s="86">
        <v>91.14</v>
      </c>
      <c r="I2552" s="86">
        <v>5259.28</v>
      </c>
      <c r="J2552" s="85" t="s">
        <v>4391</v>
      </c>
      <c r="K2552" s="85" t="s">
        <v>10387</v>
      </c>
      <c r="L2552" s="85" t="s">
        <v>4135</v>
      </c>
      <c r="M2552" s="85" t="s">
        <v>10449</v>
      </c>
    </row>
    <row r="2553" ht="213.75" spans="1:13">
      <c r="A2553" s="85" t="s">
        <v>10391</v>
      </c>
      <c r="B2553" s="85" t="s">
        <v>10450</v>
      </c>
      <c r="C2553" s="85" t="s">
        <v>10451</v>
      </c>
      <c r="D2553" s="85" t="s">
        <v>10394</v>
      </c>
      <c r="E2553" s="85" t="s">
        <v>10395</v>
      </c>
      <c r="F2553" s="86">
        <v>5.88</v>
      </c>
      <c r="G2553" s="86">
        <v>100</v>
      </c>
      <c r="H2553" s="86">
        <v>588</v>
      </c>
      <c r="I2553" s="86">
        <v>5259.28</v>
      </c>
      <c r="J2553" s="85" t="s">
        <v>4391</v>
      </c>
      <c r="K2553" s="85" t="s">
        <v>10387</v>
      </c>
      <c r="L2553" s="85" t="s">
        <v>4135</v>
      </c>
      <c r="M2553" s="85" t="s">
        <v>10452</v>
      </c>
    </row>
    <row r="2554" ht="213.75" spans="1:13">
      <c r="A2554" s="85" t="s">
        <v>10391</v>
      </c>
      <c r="B2554" s="85" t="s">
        <v>10453</v>
      </c>
      <c r="C2554" s="85" t="s">
        <v>10454</v>
      </c>
      <c r="D2554" s="85" t="s">
        <v>9648</v>
      </c>
      <c r="E2554" s="85" t="s">
        <v>10455</v>
      </c>
      <c r="F2554" s="86">
        <v>1918.84</v>
      </c>
      <c r="G2554" s="86">
        <v>1</v>
      </c>
      <c r="H2554" s="86">
        <v>1918.84</v>
      </c>
      <c r="I2554" s="86">
        <v>5259.28</v>
      </c>
      <c r="J2554" s="85" t="s">
        <v>4391</v>
      </c>
      <c r="K2554" s="85" t="s">
        <v>10387</v>
      </c>
      <c r="L2554" s="85" t="s">
        <v>4135</v>
      </c>
      <c r="M2554" s="85" t="s">
        <v>10456</v>
      </c>
    </row>
    <row r="2555" ht="213.75" spans="1:13">
      <c r="A2555" s="85" t="s">
        <v>10437</v>
      </c>
      <c r="B2555" s="85" t="s">
        <v>10457</v>
      </c>
      <c r="C2555" s="85" t="s">
        <v>10458</v>
      </c>
      <c r="D2555" s="85" t="s">
        <v>4772</v>
      </c>
      <c r="E2555" s="85" t="s">
        <v>4773</v>
      </c>
      <c r="F2555" s="86">
        <v>10</v>
      </c>
      <c r="G2555" s="86">
        <v>2</v>
      </c>
      <c r="H2555" s="86">
        <v>20</v>
      </c>
      <c r="I2555" s="86">
        <v>605</v>
      </c>
      <c r="J2555" s="85" t="s">
        <v>2935</v>
      </c>
      <c r="K2555" s="85" t="s">
        <v>10387</v>
      </c>
      <c r="L2555" s="85" t="s">
        <v>4135</v>
      </c>
      <c r="M2555" s="85" t="s">
        <v>10459</v>
      </c>
    </row>
    <row r="2556" ht="213.75" spans="1:13">
      <c r="A2556" s="85" t="s">
        <v>10389</v>
      </c>
      <c r="B2556" s="85" t="s">
        <v>10460</v>
      </c>
      <c r="C2556" s="85" t="s">
        <v>10461</v>
      </c>
      <c r="D2556" s="85" t="s">
        <v>3041</v>
      </c>
      <c r="E2556" s="85" t="s">
        <v>3158</v>
      </c>
      <c r="F2556" s="86">
        <v>153</v>
      </c>
      <c r="G2556" s="86">
        <v>3</v>
      </c>
      <c r="H2556" s="86">
        <v>459</v>
      </c>
      <c r="I2556" s="86">
        <v>2819.5</v>
      </c>
      <c r="J2556" s="85" t="s">
        <v>4370</v>
      </c>
      <c r="K2556" s="85" t="s">
        <v>10387</v>
      </c>
      <c r="L2556" s="85" t="s">
        <v>4135</v>
      </c>
      <c r="M2556" s="85" t="s">
        <v>10462</v>
      </c>
    </row>
    <row r="2557" ht="213.75" spans="1:13">
      <c r="A2557" s="85" t="s">
        <v>10386</v>
      </c>
      <c r="B2557" s="85" t="s">
        <v>10463</v>
      </c>
      <c r="C2557" s="85" t="s">
        <v>10464</v>
      </c>
      <c r="D2557" s="85" t="s">
        <v>6811</v>
      </c>
      <c r="E2557" s="85" t="s">
        <v>6812</v>
      </c>
      <c r="F2557" s="86">
        <v>15.8</v>
      </c>
      <c r="G2557" s="86">
        <v>32</v>
      </c>
      <c r="H2557" s="86">
        <v>505.6</v>
      </c>
      <c r="I2557" s="86">
        <v>8767.47</v>
      </c>
      <c r="J2557" s="85" t="s">
        <v>2935</v>
      </c>
      <c r="K2557" s="85" t="s">
        <v>10387</v>
      </c>
      <c r="L2557" s="85" t="s">
        <v>4135</v>
      </c>
      <c r="M2557" s="85" t="s">
        <v>10465</v>
      </c>
    </row>
    <row r="2558" ht="213.75" spans="1:13">
      <c r="A2558" s="85" t="s">
        <v>10386</v>
      </c>
      <c r="B2558" s="85" t="s">
        <v>10466</v>
      </c>
      <c r="C2558" s="85" t="s">
        <v>10467</v>
      </c>
      <c r="D2558" s="85" t="s">
        <v>3394</v>
      </c>
      <c r="E2558" s="85" t="s">
        <v>8867</v>
      </c>
      <c r="F2558" s="86">
        <v>14.99</v>
      </c>
      <c r="G2558" s="86">
        <v>20</v>
      </c>
      <c r="H2558" s="86">
        <v>299.8</v>
      </c>
      <c r="I2558" s="86">
        <v>8767.47</v>
      </c>
      <c r="J2558" s="85" t="s">
        <v>2935</v>
      </c>
      <c r="K2558" s="85" t="s">
        <v>10387</v>
      </c>
      <c r="L2558" s="85" t="s">
        <v>4135</v>
      </c>
      <c r="M2558" s="85" t="s">
        <v>10468</v>
      </c>
    </row>
    <row r="2559" ht="213.75" spans="1:13">
      <c r="A2559" s="85" t="s">
        <v>10389</v>
      </c>
      <c r="B2559" s="85" t="s">
        <v>10224</v>
      </c>
      <c r="C2559" s="85" t="s">
        <v>10225</v>
      </c>
      <c r="D2559" s="85" t="s">
        <v>3041</v>
      </c>
      <c r="E2559" s="85" t="s">
        <v>3158</v>
      </c>
      <c r="F2559" s="86">
        <v>658</v>
      </c>
      <c r="G2559" s="86">
        <v>1</v>
      </c>
      <c r="H2559" s="86">
        <v>658</v>
      </c>
      <c r="I2559" s="86">
        <v>2819.5</v>
      </c>
      <c r="J2559" s="85" t="s">
        <v>4370</v>
      </c>
      <c r="K2559" s="85" t="s">
        <v>10387</v>
      </c>
      <c r="L2559" s="85" t="s">
        <v>4135</v>
      </c>
      <c r="M2559" s="85" t="s">
        <v>10469</v>
      </c>
    </row>
    <row r="2560" ht="213.75" spans="1:13">
      <c r="A2560" s="85" t="s">
        <v>10389</v>
      </c>
      <c r="B2560" s="85" t="s">
        <v>8168</v>
      </c>
      <c r="C2560" s="85" t="s">
        <v>8169</v>
      </c>
      <c r="D2560" s="85" t="s">
        <v>3041</v>
      </c>
      <c r="E2560" s="85" t="s">
        <v>3158</v>
      </c>
      <c r="F2560" s="86">
        <v>105</v>
      </c>
      <c r="G2560" s="86">
        <v>3</v>
      </c>
      <c r="H2560" s="86">
        <v>315</v>
      </c>
      <c r="I2560" s="86">
        <v>2819.5</v>
      </c>
      <c r="J2560" s="85" t="s">
        <v>4370</v>
      </c>
      <c r="K2560" s="85" t="s">
        <v>10387</v>
      </c>
      <c r="L2560" s="85" t="s">
        <v>4135</v>
      </c>
      <c r="M2560" s="85" t="s">
        <v>10470</v>
      </c>
    </row>
    <row r="2561" ht="213.75" spans="1:13">
      <c r="A2561" s="85" t="s">
        <v>10386</v>
      </c>
      <c r="B2561" s="85" t="s">
        <v>10471</v>
      </c>
      <c r="C2561" s="85" t="s">
        <v>10472</v>
      </c>
      <c r="D2561" s="85" t="s">
        <v>10473</v>
      </c>
      <c r="E2561" s="85" t="s">
        <v>10474</v>
      </c>
      <c r="F2561" s="86">
        <v>17.48</v>
      </c>
      <c r="G2561" s="86">
        <v>3</v>
      </c>
      <c r="H2561" s="86">
        <v>52.44</v>
      </c>
      <c r="I2561" s="86">
        <v>8767.47</v>
      </c>
      <c r="J2561" s="85" t="s">
        <v>2935</v>
      </c>
      <c r="K2561" s="85" t="s">
        <v>10387</v>
      </c>
      <c r="L2561" s="85" t="s">
        <v>4135</v>
      </c>
      <c r="M2561" s="85" t="s">
        <v>10475</v>
      </c>
    </row>
    <row r="2562" ht="213.75" spans="1:13">
      <c r="A2562" s="85" t="s">
        <v>10391</v>
      </c>
      <c r="B2562" s="85" t="s">
        <v>7699</v>
      </c>
      <c r="C2562" s="85" t="s">
        <v>7700</v>
      </c>
      <c r="D2562" s="85" t="s">
        <v>4772</v>
      </c>
      <c r="E2562" s="85" t="s">
        <v>4773</v>
      </c>
      <c r="F2562" s="86">
        <v>98.98</v>
      </c>
      <c r="G2562" s="86">
        <v>1</v>
      </c>
      <c r="H2562" s="86">
        <v>98.98</v>
      </c>
      <c r="I2562" s="86">
        <v>5259.28</v>
      </c>
      <c r="J2562" s="85" t="s">
        <v>4391</v>
      </c>
      <c r="K2562" s="85" t="s">
        <v>10387</v>
      </c>
      <c r="L2562" s="85" t="s">
        <v>4135</v>
      </c>
      <c r="M2562" s="85" t="s">
        <v>10476</v>
      </c>
    </row>
    <row r="2563" ht="213.75" spans="1:13">
      <c r="A2563" s="85" t="s">
        <v>10386</v>
      </c>
      <c r="B2563" s="85" t="s">
        <v>10477</v>
      </c>
      <c r="C2563" s="85" t="s">
        <v>10478</v>
      </c>
      <c r="D2563" s="85" t="s">
        <v>3641</v>
      </c>
      <c r="E2563" s="85" t="s">
        <v>10479</v>
      </c>
      <c r="F2563" s="86">
        <v>74</v>
      </c>
      <c r="G2563" s="86">
        <v>1</v>
      </c>
      <c r="H2563" s="86">
        <v>74</v>
      </c>
      <c r="I2563" s="86">
        <v>8767.47</v>
      </c>
      <c r="J2563" s="85" t="s">
        <v>2935</v>
      </c>
      <c r="K2563" s="85" t="s">
        <v>10387</v>
      </c>
      <c r="L2563" s="85" t="s">
        <v>4135</v>
      </c>
      <c r="M2563" s="85" t="s">
        <v>10480</v>
      </c>
    </row>
    <row r="2564" ht="213.75" spans="1:13">
      <c r="A2564" s="85" t="s">
        <v>10404</v>
      </c>
      <c r="B2564" s="85" t="s">
        <v>4537</v>
      </c>
      <c r="C2564" s="85" t="s">
        <v>10044</v>
      </c>
      <c r="D2564" s="85" t="s">
        <v>2997</v>
      </c>
      <c r="E2564" s="85" t="s">
        <v>2998</v>
      </c>
      <c r="F2564" s="86">
        <v>18</v>
      </c>
      <c r="G2564" s="86">
        <v>180</v>
      </c>
      <c r="H2564" s="86">
        <v>3240</v>
      </c>
      <c r="I2564" s="86">
        <v>4160</v>
      </c>
      <c r="J2564" s="85" t="s">
        <v>2999</v>
      </c>
      <c r="K2564" s="85" t="s">
        <v>10387</v>
      </c>
      <c r="L2564" s="85" t="s">
        <v>4135</v>
      </c>
      <c r="M2564" s="85" t="s">
        <v>10481</v>
      </c>
    </row>
    <row r="2565" ht="213.75" spans="1:13">
      <c r="A2565" s="85" t="s">
        <v>10386</v>
      </c>
      <c r="B2565" s="85" t="s">
        <v>10482</v>
      </c>
      <c r="C2565" s="85" t="s">
        <v>10483</v>
      </c>
      <c r="D2565" s="85" t="s">
        <v>5610</v>
      </c>
      <c r="E2565" s="85" t="s">
        <v>9988</v>
      </c>
      <c r="F2565" s="86">
        <v>38</v>
      </c>
      <c r="G2565" s="86">
        <v>50</v>
      </c>
      <c r="H2565" s="86">
        <v>1900</v>
      </c>
      <c r="I2565" s="86">
        <v>8767.47</v>
      </c>
      <c r="J2565" s="85" t="s">
        <v>2935</v>
      </c>
      <c r="K2565" s="85" t="s">
        <v>10387</v>
      </c>
      <c r="L2565" s="85" t="s">
        <v>4135</v>
      </c>
      <c r="M2565" s="85" t="s">
        <v>10484</v>
      </c>
    </row>
    <row r="2566" ht="213.75" spans="1:13">
      <c r="A2566" s="85" t="s">
        <v>10485</v>
      </c>
      <c r="B2566" s="85" t="s">
        <v>9688</v>
      </c>
      <c r="C2566" s="85" t="s">
        <v>9689</v>
      </c>
      <c r="D2566" s="85" t="s">
        <v>3014</v>
      </c>
      <c r="E2566" s="85" t="s">
        <v>5418</v>
      </c>
      <c r="F2566" s="86">
        <v>37</v>
      </c>
      <c r="G2566" s="86">
        <v>2</v>
      </c>
      <c r="H2566" s="86">
        <v>74</v>
      </c>
      <c r="I2566" s="86">
        <v>1340</v>
      </c>
      <c r="J2566" s="85" t="s">
        <v>4391</v>
      </c>
      <c r="K2566" s="85" t="s">
        <v>10387</v>
      </c>
      <c r="L2566" s="85" t="s">
        <v>4135</v>
      </c>
      <c r="M2566" s="85" t="s">
        <v>10486</v>
      </c>
    </row>
    <row r="2567" ht="213.75" spans="1:13">
      <c r="A2567" s="85" t="s">
        <v>10391</v>
      </c>
      <c r="B2567" s="85" t="s">
        <v>10487</v>
      </c>
      <c r="C2567" s="85" t="s">
        <v>10488</v>
      </c>
      <c r="D2567" s="85" t="s">
        <v>3637</v>
      </c>
      <c r="E2567" s="85" t="s">
        <v>10489</v>
      </c>
      <c r="F2567" s="86">
        <v>47.04</v>
      </c>
      <c r="G2567" s="86">
        <v>1</v>
      </c>
      <c r="H2567" s="86">
        <v>47.04</v>
      </c>
      <c r="I2567" s="86">
        <v>5259.28</v>
      </c>
      <c r="J2567" s="85" t="s">
        <v>4391</v>
      </c>
      <c r="K2567" s="85" t="s">
        <v>10387</v>
      </c>
      <c r="L2567" s="85" t="s">
        <v>4135</v>
      </c>
      <c r="M2567" s="85" t="s">
        <v>10490</v>
      </c>
    </row>
    <row r="2568" ht="213.75" spans="1:13">
      <c r="A2568" s="85" t="s">
        <v>10485</v>
      </c>
      <c r="B2568" s="85" t="s">
        <v>10491</v>
      </c>
      <c r="C2568" s="85" t="s">
        <v>10492</v>
      </c>
      <c r="D2568" s="85" t="s">
        <v>10493</v>
      </c>
      <c r="E2568" s="85" t="s">
        <v>10494</v>
      </c>
      <c r="F2568" s="86">
        <v>27.6</v>
      </c>
      <c r="G2568" s="86">
        <v>10</v>
      </c>
      <c r="H2568" s="86">
        <v>276</v>
      </c>
      <c r="I2568" s="86">
        <v>1340</v>
      </c>
      <c r="J2568" s="85" t="s">
        <v>4391</v>
      </c>
      <c r="K2568" s="85" t="s">
        <v>10387</v>
      </c>
      <c r="L2568" s="85" t="s">
        <v>4135</v>
      </c>
      <c r="M2568" s="85" t="s">
        <v>10495</v>
      </c>
    </row>
    <row r="2569" ht="213.75" spans="1:13">
      <c r="A2569" s="85" t="s">
        <v>10386</v>
      </c>
      <c r="B2569" s="85" t="s">
        <v>10496</v>
      </c>
      <c r="C2569" s="85" t="s">
        <v>10497</v>
      </c>
      <c r="D2569" s="85" t="s">
        <v>6122</v>
      </c>
      <c r="E2569" s="85" t="s">
        <v>6424</v>
      </c>
      <c r="F2569" s="86">
        <v>35.92</v>
      </c>
      <c r="G2569" s="86">
        <v>24</v>
      </c>
      <c r="H2569" s="86">
        <v>862.08</v>
      </c>
      <c r="I2569" s="86">
        <v>8767.47</v>
      </c>
      <c r="J2569" s="85" t="s">
        <v>2935</v>
      </c>
      <c r="K2569" s="85" t="s">
        <v>10387</v>
      </c>
      <c r="L2569" s="85" t="s">
        <v>4135</v>
      </c>
      <c r="M2569" s="85" t="s">
        <v>10498</v>
      </c>
    </row>
    <row r="2570" ht="213.75" spans="1:13">
      <c r="A2570" s="85" t="s">
        <v>10485</v>
      </c>
      <c r="B2570" s="85" t="s">
        <v>10001</v>
      </c>
      <c r="C2570" s="85" t="s">
        <v>10002</v>
      </c>
      <c r="D2570" s="85" t="s">
        <v>5368</v>
      </c>
      <c r="E2570" s="85" t="s">
        <v>10003</v>
      </c>
      <c r="F2570" s="86">
        <v>495</v>
      </c>
      <c r="G2570" s="86">
        <v>2</v>
      </c>
      <c r="H2570" s="86">
        <v>990</v>
      </c>
      <c r="I2570" s="86">
        <v>1340</v>
      </c>
      <c r="J2570" s="85" t="s">
        <v>4391</v>
      </c>
      <c r="K2570" s="85" t="s">
        <v>10387</v>
      </c>
      <c r="L2570" s="85" t="s">
        <v>4135</v>
      </c>
      <c r="M2570" s="85" t="s">
        <v>10499</v>
      </c>
    </row>
    <row r="2571" ht="213.75" spans="1:13">
      <c r="A2571" s="85" t="s">
        <v>10500</v>
      </c>
      <c r="B2571" s="85" t="s">
        <v>10501</v>
      </c>
      <c r="C2571" s="85" t="s">
        <v>10502</v>
      </c>
      <c r="D2571" s="85" t="s">
        <v>3153</v>
      </c>
      <c r="E2571" s="85" t="s">
        <v>10503</v>
      </c>
      <c r="F2571" s="86">
        <v>291</v>
      </c>
      <c r="G2571" s="86">
        <v>5</v>
      </c>
      <c r="H2571" s="86">
        <v>1455</v>
      </c>
      <c r="I2571" s="86">
        <v>4239</v>
      </c>
      <c r="J2571" s="85" t="s">
        <v>4391</v>
      </c>
      <c r="K2571" s="85" t="s">
        <v>10504</v>
      </c>
      <c r="L2571" s="85" t="s">
        <v>4135</v>
      </c>
      <c r="M2571" s="85" t="s">
        <v>10505</v>
      </c>
    </row>
    <row r="2572" ht="213.75" spans="1:13">
      <c r="A2572" s="85" t="s">
        <v>10506</v>
      </c>
      <c r="B2572" s="85" t="s">
        <v>7687</v>
      </c>
      <c r="C2572" s="85" t="s">
        <v>7688</v>
      </c>
      <c r="D2572" s="85" t="s">
        <v>3153</v>
      </c>
      <c r="E2572" s="85" t="s">
        <v>7689</v>
      </c>
      <c r="F2572" s="86">
        <v>390</v>
      </c>
      <c r="G2572" s="86">
        <v>1</v>
      </c>
      <c r="H2572" s="86">
        <v>390</v>
      </c>
      <c r="I2572" s="86">
        <v>498</v>
      </c>
      <c r="J2572" s="85" t="s">
        <v>2935</v>
      </c>
      <c r="K2572" s="85" t="s">
        <v>10504</v>
      </c>
      <c r="L2572" s="85" t="s">
        <v>4135</v>
      </c>
      <c r="M2572" s="85" t="s">
        <v>10507</v>
      </c>
    </row>
    <row r="2573" ht="213.75" spans="1:13">
      <c r="A2573" s="85" t="s">
        <v>10506</v>
      </c>
      <c r="B2573" s="85" t="s">
        <v>10508</v>
      </c>
      <c r="C2573" s="85" t="s">
        <v>10509</v>
      </c>
      <c r="D2573" s="85" t="s">
        <v>3230</v>
      </c>
      <c r="E2573" s="85" t="s">
        <v>10510</v>
      </c>
      <c r="F2573" s="86">
        <v>3</v>
      </c>
      <c r="G2573" s="86">
        <v>24</v>
      </c>
      <c r="H2573" s="86">
        <v>72</v>
      </c>
      <c r="I2573" s="86">
        <v>498</v>
      </c>
      <c r="J2573" s="85" t="s">
        <v>2935</v>
      </c>
      <c r="K2573" s="85" t="s">
        <v>10504</v>
      </c>
      <c r="L2573" s="85" t="s">
        <v>4135</v>
      </c>
      <c r="M2573" s="85" t="s">
        <v>10511</v>
      </c>
    </row>
    <row r="2574" ht="213.75" spans="1:13">
      <c r="A2574" s="85" t="s">
        <v>10500</v>
      </c>
      <c r="B2574" s="85" t="s">
        <v>10512</v>
      </c>
      <c r="C2574" s="85" t="s">
        <v>10513</v>
      </c>
      <c r="D2574" s="85" t="s">
        <v>3068</v>
      </c>
      <c r="E2574" s="85" t="s">
        <v>2330</v>
      </c>
      <c r="F2574" s="86">
        <v>464</v>
      </c>
      <c r="G2574" s="86">
        <v>6</v>
      </c>
      <c r="H2574" s="86">
        <v>2784</v>
      </c>
      <c r="I2574" s="86">
        <v>4239</v>
      </c>
      <c r="J2574" s="85" t="s">
        <v>4391</v>
      </c>
      <c r="K2574" s="85" t="s">
        <v>10504</v>
      </c>
      <c r="L2574" s="85" t="s">
        <v>4135</v>
      </c>
      <c r="M2574" s="85" t="s">
        <v>10514</v>
      </c>
    </row>
    <row r="2575" ht="213.75" spans="1:13">
      <c r="A2575" s="85" t="s">
        <v>10506</v>
      </c>
      <c r="B2575" s="85" t="s">
        <v>9000</v>
      </c>
      <c r="C2575" s="85" t="s">
        <v>9001</v>
      </c>
      <c r="D2575" s="85" t="s">
        <v>3197</v>
      </c>
      <c r="E2575" s="85" t="s">
        <v>9002</v>
      </c>
      <c r="F2575" s="86">
        <v>1.5</v>
      </c>
      <c r="G2575" s="86">
        <v>24</v>
      </c>
      <c r="H2575" s="86">
        <v>36</v>
      </c>
      <c r="I2575" s="86">
        <v>498</v>
      </c>
      <c r="J2575" s="85" t="s">
        <v>2935</v>
      </c>
      <c r="K2575" s="85" t="s">
        <v>10504</v>
      </c>
      <c r="L2575" s="85" t="s">
        <v>4135</v>
      </c>
      <c r="M2575" s="85" t="s">
        <v>10515</v>
      </c>
    </row>
    <row r="2576" ht="213.75" spans="1:13">
      <c r="A2576" s="85" t="s">
        <v>10516</v>
      </c>
      <c r="B2576" s="85" t="s">
        <v>4359</v>
      </c>
      <c r="C2576" s="85" t="s">
        <v>4360</v>
      </c>
      <c r="D2576" s="85" t="s">
        <v>3753</v>
      </c>
      <c r="E2576" s="85" t="s">
        <v>3763</v>
      </c>
      <c r="F2576" s="86">
        <v>81.59</v>
      </c>
      <c r="G2576" s="86">
        <v>1</v>
      </c>
      <c r="H2576" s="86">
        <v>81.59</v>
      </c>
      <c r="I2576" s="86">
        <v>836.25</v>
      </c>
      <c r="J2576" s="85" t="s">
        <v>3112</v>
      </c>
      <c r="K2576" s="85" t="s">
        <v>10517</v>
      </c>
      <c r="L2576" s="85" t="s">
        <v>4135</v>
      </c>
      <c r="M2576" s="85" t="s">
        <v>10518</v>
      </c>
    </row>
    <row r="2577" ht="213.75" spans="1:13">
      <c r="A2577" s="85" t="s">
        <v>10516</v>
      </c>
      <c r="B2577" s="85" t="s">
        <v>5263</v>
      </c>
      <c r="C2577" s="85" t="s">
        <v>5264</v>
      </c>
      <c r="D2577" s="85" t="s">
        <v>3753</v>
      </c>
      <c r="E2577" s="85" t="s">
        <v>3763</v>
      </c>
      <c r="F2577" s="86">
        <v>254.95</v>
      </c>
      <c r="G2577" s="86">
        <v>1</v>
      </c>
      <c r="H2577" s="86">
        <v>254.95</v>
      </c>
      <c r="I2577" s="86">
        <v>836.25</v>
      </c>
      <c r="J2577" s="85" t="s">
        <v>3112</v>
      </c>
      <c r="K2577" s="85" t="s">
        <v>10517</v>
      </c>
      <c r="L2577" s="85" t="s">
        <v>4135</v>
      </c>
      <c r="M2577" s="85" t="s">
        <v>10519</v>
      </c>
    </row>
    <row r="2578" ht="213.75" spans="1:13">
      <c r="A2578" s="85" t="s">
        <v>10516</v>
      </c>
      <c r="B2578" s="85" t="s">
        <v>9289</v>
      </c>
      <c r="C2578" s="85" t="s">
        <v>9290</v>
      </c>
      <c r="D2578" s="85" t="s">
        <v>3753</v>
      </c>
      <c r="E2578" s="85" t="s">
        <v>3763</v>
      </c>
      <c r="F2578" s="86">
        <v>285.55</v>
      </c>
      <c r="G2578" s="86">
        <v>1</v>
      </c>
      <c r="H2578" s="86">
        <v>285.55</v>
      </c>
      <c r="I2578" s="86">
        <v>836.25</v>
      </c>
      <c r="J2578" s="85" t="s">
        <v>3112</v>
      </c>
      <c r="K2578" s="85" t="s">
        <v>10517</v>
      </c>
      <c r="L2578" s="85" t="s">
        <v>4135</v>
      </c>
      <c r="M2578" s="85" t="s">
        <v>10520</v>
      </c>
    </row>
    <row r="2579" ht="213.75" spans="1:13">
      <c r="A2579" s="85" t="s">
        <v>10516</v>
      </c>
      <c r="B2579" s="85" t="s">
        <v>5246</v>
      </c>
      <c r="C2579" s="85" t="s">
        <v>5247</v>
      </c>
      <c r="D2579" s="85" t="s">
        <v>3753</v>
      </c>
      <c r="E2579" s="85" t="s">
        <v>3763</v>
      </c>
      <c r="F2579" s="86">
        <v>183.57</v>
      </c>
      <c r="G2579" s="86">
        <v>1</v>
      </c>
      <c r="H2579" s="86">
        <v>183.57</v>
      </c>
      <c r="I2579" s="86">
        <v>836.25</v>
      </c>
      <c r="J2579" s="85" t="s">
        <v>3112</v>
      </c>
      <c r="K2579" s="85" t="s">
        <v>10517</v>
      </c>
      <c r="L2579" s="85" t="s">
        <v>4135</v>
      </c>
      <c r="M2579" s="85" t="s">
        <v>10521</v>
      </c>
    </row>
    <row r="2580" ht="213.75" spans="1:13">
      <c r="A2580" s="85" t="s">
        <v>10516</v>
      </c>
      <c r="B2580" s="85" t="s">
        <v>10522</v>
      </c>
      <c r="C2580" s="85" t="s">
        <v>10523</v>
      </c>
      <c r="D2580" s="85" t="s">
        <v>3753</v>
      </c>
      <c r="E2580" s="85" t="s">
        <v>3763</v>
      </c>
      <c r="F2580" s="86">
        <v>30.59</v>
      </c>
      <c r="G2580" s="86">
        <v>1</v>
      </c>
      <c r="H2580" s="86">
        <v>30.59</v>
      </c>
      <c r="I2580" s="86">
        <v>836.25</v>
      </c>
      <c r="J2580" s="85" t="s">
        <v>3112</v>
      </c>
      <c r="K2580" s="85" t="s">
        <v>10517</v>
      </c>
      <c r="L2580" s="85" t="s">
        <v>4135</v>
      </c>
      <c r="M2580" s="85" t="s">
        <v>10524</v>
      </c>
    </row>
    <row r="2581" ht="213.75" spans="1:13">
      <c r="A2581" s="85" t="s">
        <v>10525</v>
      </c>
      <c r="B2581" s="85" t="s">
        <v>10526</v>
      </c>
      <c r="C2581" s="85" t="s">
        <v>10527</v>
      </c>
      <c r="D2581" s="85" t="s">
        <v>8767</v>
      </c>
      <c r="E2581" s="85" t="s">
        <v>3050</v>
      </c>
      <c r="F2581" s="86">
        <v>5.6</v>
      </c>
      <c r="G2581" s="86">
        <v>100</v>
      </c>
      <c r="H2581" s="86">
        <v>560</v>
      </c>
      <c r="I2581" s="86">
        <v>2050</v>
      </c>
      <c r="J2581" s="85" t="s">
        <v>10248</v>
      </c>
      <c r="K2581" s="85" t="s">
        <v>10528</v>
      </c>
      <c r="L2581" s="85" t="s">
        <v>4135</v>
      </c>
      <c r="M2581" s="85" t="s">
        <v>10529</v>
      </c>
    </row>
    <row r="2582" ht="213.75" spans="1:13">
      <c r="A2582" s="85" t="s">
        <v>10530</v>
      </c>
      <c r="B2582" s="85" t="s">
        <v>5662</v>
      </c>
      <c r="C2582" s="85" t="s">
        <v>5663</v>
      </c>
      <c r="D2582" s="85" t="s">
        <v>4076</v>
      </c>
      <c r="E2582" s="85" t="s">
        <v>1832</v>
      </c>
      <c r="F2582" s="86">
        <v>128</v>
      </c>
      <c r="G2582" s="86">
        <v>180</v>
      </c>
      <c r="H2582" s="86">
        <v>23040</v>
      </c>
      <c r="I2582" s="86">
        <v>55915</v>
      </c>
      <c r="J2582" s="85" t="s">
        <v>2938</v>
      </c>
      <c r="K2582" s="85" t="s">
        <v>10528</v>
      </c>
      <c r="L2582" s="85" t="s">
        <v>4135</v>
      </c>
      <c r="M2582" s="85" t="s">
        <v>10531</v>
      </c>
    </row>
    <row r="2583" ht="213.75" spans="1:13">
      <c r="A2583" s="85" t="s">
        <v>10532</v>
      </c>
      <c r="B2583" s="85" t="s">
        <v>10533</v>
      </c>
      <c r="C2583" s="85" t="s">
        <v>10534</v>
      </c>
      <c r="D2583" s="85" t="s">
        <v>10535</v>
      </c>
      <c r="E2583" s="85" t="s">
        <v>1765</v>
      </c>
      <c r="F2583" s="86">
        <v>1298</v>
      </c>
      <c r="G2583" s="86">
        <v>1</v>
      </c>
      <c r="H2583" s="86">
        <v>1298</v>
      </c>
      <c r="I2583" s="86">
        <v>3458</v>
      </c>
      <c r="J2583" s="85" t="s">
        <v>2935</v>
      </c>
      <c r="K2583" s="85" t="s">
        <v>10528</v>
      </c>
      <c r="L2583" s="85" t="s">
        <v>4135</v>
      </c>
      <c r="M2583" s="85" t="s">
        <v>10536</v>
      </c>
    </row>
    <row r="2584" ht="213.75" spans="1:13">
      <c r="A2584" s="85" t="s">
        <v>10532</v>
      </c>
      <c r="B2584" s="85" t="s">
        <v>10537</v>
      </c>
      <c r="C2584" s="85" t="s">
        <v>10538</v>
      </c>
      <c r="D2584" s="85" t="s">
        <v>8298</v>
      </c>
      <c r="E2584" s="85" t="s">
        <v>10539</v>
      </c>
      <c r="F2584" s="86">
        <v>1080</v>
      </c>
      <c r="G2584" s="86">
        <v>2</v>
      </c>
      <c r="H2584" s="86">
        <v>2160</v>
      </c>
      <c r="I2584" s="86">
        <v>3458</v>
      </c>
      <c r="J2584" s="85" t="s">
        <v>2935</v>
      </c>
      <c r="K2584" s="85" t="s">
        <v>10528</v>
      </c>
      <c r="L2584" s="85" t="s">
        <v>4135</v>
      </c>
      <c r="M2584" s="85" t="s">
        <v>10540</v>
      </c>
    </row>
    <row r="2585" ht="213.75" spans="1:13">
      <c r="A2585" s="85" t="s">
        <v>10530</v>
      </c>
      <c r="B2585" s="85" t="s">
        <v>9283</v>
      </c>
      <c r="C2585" s="85" t="s">
        <v>9284</v>
      </c>
      <c r="D2585" s="85" t="s">
        <v>3747</v>
      </c>
      <c r="E2585" s="85" t="s">
        <v>1827</v>
      </c>
      <c r="F2585" s="86">
        <v>135</v>
      </c>
      <c r="G2585" s="86">
        <v>230</v>
      </c>
      <c r="H2585" s="86">
        <v>31050</v>
      </c>
      <c r="I2585" s="86">
        <v>55915</v>
      </c>
      <c r="J2585" s="85" t="s">
        <v>2938</v>
      </c>
      <c r="K2585" s="85" t="s">
        <v>10528</v>
      </c>
      <c r="L2585" s="85" t="s">
        <v>4135</v>
      </c>
      <c r="M2585" s="85" t="s">
        <v>10541</v>
      </c>
    </row>
    <row r="2586" ht="213.75" spans="1:13">
      <c r="A2586" s="85" t="s">
        <v>10542</v>
      </c>
      <c r="B2586" s="85" t="s">
        <v>10543</v>
      </c>
      <c r="C2586" s="85" t="s">
        <v>10544</v>
      </c>
      <c r="D2586" s="85" t="s">
        <v>4802</v>
      </c>
      <c r="E2586" s="85" t="s">
        <v>4997</v>
      </c>
      <c r="F2586" s="86">
        <v>127.4</v>
      </c>
      <c r="G2586" s="86">
        <v>25</v>
      </c>
      <c r="H2586" s="86">
        <v>3185</v>
      </c>
      <c r="I2586" s="86">
        <v>3292.8</v>
      </c>
      <c r="J2586" s="85" t="s">
        <v>4391</v>
      </c>
      <c r="K2586" s="85" t="s">
        <v>10528</v>
      </c>
      <c r="L2586" s="85" t="s">
        <v>4135</v>
      </c>
      <c r="M2586" s="85" t="s">
        <v>10545</v>
      </c>
    </row>
    <row r="2587" ht="213.75" spans="1:13">
      <c r="A2587" s="85" t="s">
        <v>10525</v>
      </c>
      <c r="B2587" s="85" t="s">
        <v>10546</v>
      </c>
      <c r="C2587" s="85" t="s">
        <v>10547</v>
      </c>
      <c r="D2587" s="85" t="s">
        <v>4911</v>
      </c>
      <c r="E2587" s="85" t="s">
        <v>4761</v>
      </c>
      <c r="F2587" s="86">
        <v>25</v>
      </c>
      <c r="G2587" s="86">
        <v>30</v>
      </c>
      <c r="H2587" s="86">
        <v>750</v>
      </c>
      <c r="I2587" s="86">
        <v>2050</v>
      </c>
      <c r="J2587" s="85" t="s">
        <v>10248</v>
      </c>
      <c r="K2587" s="85" t="s">
        <v>10528</v>
      </c>
      <c r="L2587" s="85" t="s">
        <v>4135</v>
      </c>
      <c r="M2587" s="85" t="s">
        <v>10548</v>
      </c>
    </row>
    <row r="2588" ht="213.75" spans="1:13">
      <c r="A2588" s="85" t="s">
        <v>10530</v>
      </c>
      <c r="B2588" s="85" t="s">
        <v>8625</v>
      </c>
      <c r="C2588" s="85" t="s">
        <v>8626</v>
      </c>
      <c r="D2588" s="85" t="s">
        <v>3548</v>
      </c>
      <c r="E2588" s="85" t="s">
        <v>1835</v>
      </c>
      <c r="F2588" s="86">
        <v>365</v>
      </c>
      <c r="G2588" s="86">
        <v>5</v>
      </c>
      <c r="H2588" s="86">
        <v>1825</v>
      </c>
      <c r="I2588" s="86">
        <v>55915</v>
      </c>
      <c r="J2588" s="85" t="s">
        <v>2938</v>
      </c>
      <c r="K2588" s="85" t="s">
        <v>10528</v>
      </c>
      <c r="L2588" s="85" t="s">
        <v>4135</v>
      </c>
      <c r="M2588" s="85" t="s">
        <v>10549</v>
      </c>
    </row>
    <row r="2589" ht="213.75" spans="1:13">
      <c r="A2589" s="85" t="s">
        <v>10550</v>
      </c>
      <c r="B2589" s="85" t="s">
        <v>8765</v>
      </c>
      <c r="C2589" s="85" t="s">
        <v>8766</v>
      </c>
      <c r="D2589" s="85" t="s">
        <v>8767</v>
      </c>
      <c r="E2589" s="85" t="s">
        <v>8768</v>
      </c>
      <c r="F2589" s="86">
        <v>49.9</v>
      </c>
      <c r="G2589" s="86">
        <v>4</v>
      </c>
      <c r="H2589" s="86">
        <v>199.6</v>
      </c>
      <c r="I2589" s="86">
        <v>199.6</v>
      </c>
      <c r="J2589" s="85" t="s">
        <v>2935</v>
      </c>
      <c r="K2589" s="85" t="s">
        <v>10528</v>
      </c>
      <c r="L2589" s="85" t="s">
        <v>4135</v>
      </c>
      <c r="M2589" s="85" t="s">
        <v>10551</v>
      </c>
    </row>
    <row r="2590" ht="213.75" spans="1:13">
      <c r="A2590" s="85" t="s">
        <v>10525</v>
      </c>
      <c r="B2590" s="85" t="s">
        <v>10552</v>
      </c>
      <c r="C2590" s="85" t="s">
        <v>10553</v>
      </c>
      <c r="D2590" s="85" t="s">
        <v>3337</v>
      </c>
      <c r="E2590" s="85" t="s">
        <v>3338</v>
      </c>
      <c r="F2590" s="86">
        <v>13</v>
      </c>
      <c r="G2590" s="86">
        <v>30</v>
      </c>
      <c r="H2590" s="86">
        <v>390</v>
      </c>
      <c r="I2590" s="86">
        <v>2050</v>
      </c>
      <c r="J2590" s="85" t="s">
        <v>10248</v>
      </c>
      <c r="K2590" s="85" t="s">
        <v>10528</v>
      </c>
      <c r="L2590" s="85" t="s">
        <v>4135</v>
      </c>
      <c r="M2590" s="85" t="s">
        <v>10554</v>
      </c>
    </row>
    <row r="2591" ht="213.75" spans="1:13">
      <c r="A2591" s="85" t="s">
        <v>10525</v>
      </c>
      <c r="B2591" s="85" t="s">
        <v>10555</v>
      </c>
      <c r="C2591" s="85" t="s">
        <v>10556</v>
      </c>
      <c r="D2591" s="85" t="s">
        <v>9817</v>
      </c>
      <c r="E2591" s="85" t="s">
        <v>9818</v>
      </c>
      <c r="F2591" s="86">
        <v>7</v>
      </c>
      <c r="G2591" s="86">
        <v>50</v>
      </c>
      <c r="H2591" s="86">
        <v>350</v>
      </c>
      <c r="I2591" s="86">
        <v>2050</v>
      </c>
      <c r="J2591" s="85" t="s">
        <v>10248</v>
      </c>
      <c r="K2591" s="85" t="s">
        <v>10528</v>
      </c>
      <c r="L2591" s="85" t="s">
        <v>4135</v>
      </c>
      <c r="M2591" s="85" t="s">
        <v>10557</v>
      </c>
    </row>
    <row r="2592" ht="213.75" spans="1:13">
      <c r="A2592" s="85" t="s">
        <v>10542</v>
      </c>
      <c r="B2592" s="85" t="s">
        <v>10558</v>
      </c>
      <c r="C2592" s="85" t="s">
        <v>10559</v>
      </c>
      <c r="D2592" s="85" t="s">
        <v>5510</v>
      </c>
      <c r="E2592" s="85" t="s">
        <v>1782</v>
      </c>
      <c r="F2592" s="86">
        <v>21.56</v>
      </c>
      <c r="G2592" s="86">
        <v>5</v>
      </c>
      <c r="H2592" s="86">
        <v>107.8</v>
      </c>
      <c r="I2592" s="86">
        <v>3292.8</v>
      </c>
      <c r="J2592" s="85" t="s">
        <v>4391</v>
      </c>
      <c r="K2592" s="85" t="s">
        <v>10528</v>
      </c>
      <c r="L2592" s="85" t="s">
        <v>4135</v>
      </c>
      <c r="M2592" s="85" t="s">
        <v>10560</v>
      </c>
    </row>
    <row r="2593" ht="213.75" spans="1:13">
      <c r="A2593" s="85" t="s">
        <v>10561</v>
      </c>
      <c r="B2593" s="85" t="s">
        <v>10562</v>
      </c>
      <c r="C2593" s="85" t="s">
        <v>10563</v>
      </c>
      <c r="D2593" s="85" t="s">
        <v>6261</v>
      </c>
      <c r="E2593" s="85" t="s">
        <v>10564</v>
      </c>
      <c r="F2593" s="86">
        <v>1.6</v>
      </c>
      <c r="G2593" s="86">
        <v>90</v>
      </c>
      <c r="H2593" s="86">
        <v>144</v>
      </c>
      <c r="I2593" s="86">
        <v>144</v>
      </c>
      <c r="J2593" s="85" t="s">
        <v>4370</v>
      </c>
      <c r="K2593" s="85" t="s">
        <v>10528</v>
      </c>
      <c r="L2593" s="85" t="s">
        <v>4135</v>
      </c>
      <c r="M2593" s="85" t="s">
        <v>10565</v>
      </c>
    </row>
    <row r="2594" ht="213.75" spans="1:13">
      <c r="A2594" s="85" t="s">
        <v>10566</v>
      </c>
      <c r="B2594" s="85" t="s">
        <v>9015</v>
      </c>
      <c r="C2594" s="85" t="s">
        <v>9016</v>
      </c>
      <c r="D2594" s="85" t="s">
        <v>3189</v>
      </c>
      <c r="E2594" s="85" t="s">
        <v>9017</v>
      </c>
      <c r="F2594" s="86">
        <v>49.9</v>
      </c>
      <c r="G2594" s="86">
        <v>6</v>
      </c>
      <c r="H2594" s="86">
        <v>299.4</v>
      </c>
      <c r="I2594" s="86">
        <v>2792.4</v>
      </c>
      <c r="J2594" s="85" t="s">
        <v>2935</v>
      </c>
      <c r="K2594" s="85" t="s">
        <v>10567</v>
      </c>
      <c r="L2594" s="85" t="s">
        <v>4135</v>
      </c>
      <c r="M2594" s="85" t="s">
        <v>10568</v>
      </c>
    </row>
    <row r="2595" ht="213.75" spans="1:13">
      <c r="A2595" s="85" t="s">
        <v>10569</v>
      </c>
      <c r="B2595" s="85" t="s">
        <v>10279</v>
      </c>
      <c r="C2595" s="85" t="s">
        <v>10280</v>
      </c>
      <c r="D2595" s="85" t="s">
        <v>3367</v>
      </c>
      <c r="E2595" s="85" t="s">
        <v>10281</v>
      </c>
      <c r="F2595" s="86">
        <v>7.5</v>
      </c>
      <c r="G2595" s="86">
        <v>14</v>
      </c>
      <c r="H2595" s="86">
        <v>105</v>
      </c>
      <c r="I2595" s="86">
        <v>1665</v>
      </c>
      <c r="J2595" s="85" t="s">
        <v>2935</v>
      </c>
      <c r="K2595" s="85" t="s">
        <v>10567</v>
      </c>
      <c r="L2595" s="85" t="s">
        <v>4135</v>
      </c>
      <c r="M2595" s="85" t="s">
        <v>10570</v>
      </c>
    </row>
    <row r="2596" ht="213.75" spans="1:13">
      <c r="A2596" s="85" t="s">
        <v>10571</v>
      </c>
      <c r="B2596" s="85" t="s">
        <v>10572</v>
      </c>
      <c r="C2596" s="85" t="s">
        <v>10573</v>
      </c>
      <c r="D2596" s="85" t="s">
        <v>3753</v>
      </c>
      <c r="E2596" s="85" t="s">
        <v>10574</v>
      </c>
      <c r="F2596" s="86">
        <v>5.04</v>
      </c>
      <c r="G2596" s="86">
        <v>60</v>
      </c>
      <c r="H2596" s="86">
        <v>302.4</v>
      </c>
      <c r="I2596" s="86">
        <v>758.2</v>
      </c>
      <c r="J2596" s="85" t="s">
        <v>2935</v>
      </c>
      <c r="K2596" s="85" t="s">
        <v>10567</v>
      </c>
      <c r="L2596" s="85" t="s">
        <v>4135</v>
      </c>
      <c r="M2596" s="85" t="s">
        <v>10575</v>
      </c>
    </row>
    <row r="2597" ht="213.75" spans="1:13">
      <c r="A2597" s="85" t="s">
        <v>10566</v>
      </c>
      <c r="B2597" s="85" t="s">
        <v>9802</v>
      </c>
      <c r="C2597" s="85" t="s">
        <v>9803</v>
      </c>
      <c r="D2597" s="85" t="s">
        <v>3183</v>
      </c>
      <c r="E2597" s="85" t="s">
        <v>9804</v>
      </c>
      <c r="F2597" s="86">
        <v>60</v>
      </c>
      <c r="G2597" s="86">
        <v>10</v>
      </c>
      <c r="H2597" s="86">
        <v>600</v>
      </c>
      <c r="I2597" s="86">
        <v>2792.4</v>
      </c>
      <c r="J2597" s="85" t="s">
        <v>2935</v>
      </c>
      <c r="K2597" s="85" t="s">
        <v>10567</v>
      </c>
      <c r="L2597" s="85" t="s">
        <v>4135</v>
      </c>
      <c r="M2597" s="85" t="s">
        <v>10576</v>
      </c>
    </row>
    <row r="2598" ht="213.75" spans="1:13">
      <c r="A2598" s="85" t="s">
        <v>10577</v>
      </c>
      <c r="B2598" s="85" t="s">
        <v>10578</v>
      </c>
      <c r="C2598" s="85" t="s">
        <v>10579</v>
      </c>
      <c r="D2598" s="85" t="s">
        <v>3197</v>
      </c>
      <c r="E2598" s="85" t="s">
        <v>8445</v>
      </c>
      <c r="F2598" s="86">
        <v>20</v>
      </c>
      <c r="G2598" s="86">
        <v>10</v>
      </c>
      <c r="H2598" s="86">
        <v>200</v>
      </c>
      <c r="I2598" s="86">
        <v>200</v>
      </c>
      <c r="J2598" s="85" t="s">
        <v>4391</v>
      </c>
      <c r="K2598" s="85" t="s">
        <v>10567</v>
      </c>
      <c r="L2598" s="85" t="s">
        <v>4135</v>
      </c>
      <c r="M2598" s="85" t="s">
        <v>10580</v>
      </c>
    </row>
    <row r="2599" ht="213.75" spans="1:13">
      <c r="A2599" s="85" t="s">
        <v>10571</v>
      </c>
      <c r="B2599" s="85" t="s">
        <v>10285</v>
      </c>
      <c r="C2599" s="85" t="s">
        <v>10286</v>
      </c>
      <c r="D2599" s="85" t="s">
        <v>3197</v>
      </c>
      <c r="E2599" s="85" t="s">
        <v>10287</v>
      </c>
      <c r="F2599" s="86">
        <v>8</v>
      </c>
      <c r="G2599" s="86">
        <v>10</v>
      </c>
      <c r="H2599" s="86">
        <v>80</v>
      </c>
      <c r="I2599" s="86">
        <v>758.2</v>
      </c>
      <c r="J2599" s="85" t="s">
        <v>2935</v>
      </c>
      <c r="K2599" s="85" t="s">
        <v>10567</v>
      </c>
      <c r="L2599" s="85" t="s">
        <v>4135</v>
      </c>
      <c r="M2599" s="85" t="s">
        <v>10581</v>
      </c>
    </row>
    <row r="2600" ht="213.75" spans="1:13">
      <c r="A2600" s="85" t="s">
        <v>10571</v>
      </c>
      <c r="B2600" s="85" t="s">
        <v>10582</v>
      </c>
      <c r="C2600" s="85" t="s">
        <v>10583</v>
      </c>
      <c r="D2600" s="85" t="s">
        <v>9140</v>
      </c>
      <c r="E2600" s="85" t="s">
        <v>3209</v>
      </c>
      <c r="F2600" s="86">
        <v>25</v>
      </c>
      <c r="G2600" s="86">
        <v>10</v>
      </c>
      <c r="H2600" s="86">
        <v>250</v>
      </c>
      <c r="I2600" s="86">
        <v>758.2</v>
      </c>
      <c r="J2600" s="85" t="s">
        <v>2935</v>
      </c>
      <c r="K2600" s="85" t="s">
        <v>10567</v>
      </c>
      <c r="L2600" s="85" t="s">
        <v>4135</v>
      </c>
      <c r="M2600" s="85" t="s">
        <v>10584</v>
      </c>
    </row>
    <row r="2601" ht="213.75" spans="1:13">
      <c r="A2601" s="85" t="s">
        <v>10566</v>
      </c>
      <c r="B2601" s="85" t="s">
        <v>8554</v>
      </c>
      <c r="C2601" s="85" t="s">
        <v>8555</v>
      </c>
      <c r="D2601" s="85" t="s">
        <v>3189</v>
      </c>
      <c r="E2601" s="85" t="s">
        <v>3190</v>
      </c>
      <c r="F2601" s="86">
        <v>59.9</v>
      </c>
      <c r="G2601" s="86">
        <v>5</v>
      </c>
      <c r="H2601" s="86">
        <v>299.5</v>
      </c>
      <c r="I2601" s="86">
        <v>2792.4</v>
      </c>
      <c r="J2601" s="85" t="s">
        <v>2935</v>
      </c>
      <c r="K2601" s="85" t="s">
        <v>10567</v>
      </c>
      <c r="L2601" s="85" t="s">
        <v>4135</v>
      </c>
      <c r="M2601" s="85" t="s">
        <v>10585</v>
      </c>
    </row>
    <row r="2602" ht="213.75" spans="1:13">
      <c r="A2602" s="85" t="s">
        <v>10566</v>
      </c>
      <c r="B2602" s="85" t="s">
        <v>8961</v>
      </c>
      <c r="C2602" s="85" t="s">
        <v>8962</v>
      </c>
      <c r="D2602" s="85" t="s">
        <v>2977</v>
      </c>
      <c r="E2602" s="85" t="s">
        <v>8894</v>
      </c>
      <c r="F2602" s="86">
        <v>2.5</v>
      </c>
      <c r="G2602" s="86">
        <v>320</v>
      </c>
      <c r="H2602" s="86">
        <v>800</v>
      </c>
      <c r="I2602" s="86">
        <v>2792.4</v>
      </c>
      <c r="J2602" s="85" t="s">
        <v>2935</v>
      </c>
      <c r="K2602" s="85" t="s">
        <v>10567</v>
      </c>
      <c r="L2602" s="85" t="s">
        <v>4135</v>
      </c>
      <c r="M2602" s="85" t="s">
        <v>10586</v>
      </c>
    </row>
    <row r="2603" ht="213.75" spans="1:13">
      <c r="A2603" s="85" t="s">
        <v>10587</v>
      </c>
      <c r="B2603" s="85" t="s">
        <v>10246</v>
      </c>
      <c r="C2603" s="85" t="s">
        <v>10247</v>
      </c>
      <c r="D2603" s="85" t="s">
        <v>3201</v>
      </c>
      <c r="E2603" s="85" t="s">
        <v>5227</v>
      </c>
      <c r="F2603" s="86">
        <v>60</v>
      </c>
      <c r="G2603" s="86">
        <v>10</v>
      </c>
      <c r="H2603" s="86">
        <v>600</v>
      </c>
      <c r="I2603" s="86">
        <v>1095</v>
      </c>
      <c r="J2603" s="85" t="s">
        <v>10248</v>
      </c>
      <c r="K2603" s="85" t="s">
        <v>10567</v>
      </c>
      <c r="L2603" s="85" t="s">
        <v>4135</v>
      </c>
      <c r="M2603" s="85" t="s">
        <v>10588</v>
      </c>
    </row>
    <row r="2604" ht="213.75" spans="1:13">
      <c r="A2604" s="85" t="s">
        <v>10571</v>
      </c>
      <c r="B2604" s="85" t="s">
        <v>10589</v>
      </c>
      <c r="C2604" s="85" t="s">
        <v>10590</v>
      </c>
      <c r="D2604" s="85" t="s">
        <v>3907</v>
      </c>
      <c r="E2604" s="85" t="s">
        <v>10591</v>
      </c>
      <c r="F2604" s="86">
        <v>11.8</v>
      </c>
      <c r="G2604" s="86">
        <v>6</v>
      </c>
      <c r="H2604" s="86">
        <v>70.8</v>
      </c>
      <c r="I2604" s="86">
        <v>758.2</v>
      </c>
      <c r="J2604" s="85" t="s">
        <v>2935</v>
      </c>
      <c r="K2604" s="85" t="s">
        <v>10567</v>
      </c>
      <c r="L2604" s="85" t="s">
        <v>4135</v>
      </c>
      <c r="M2604" s="85" t="s">
        <v>10592</v>
      </c>
    </row>
    <row r="2605" ht="213.75" spans="1:13">
      <c r="A2605" s="85" t="s">
        <v>10593</v>
      </c>
      <c r="B2605" s="85" t="s">
        <v>10594</v>
      </c>
      <c r="C2605" s="85" t="s">
        <v>10595</v>
      </c>
      <c r="D2605" s="85" t="s">
        <v>4195</v>
      </c>
      <c r="E2605" s="85" t="s">
        <v>4369</v>
      </c>
      <c r="F2605" s="86">
        <v>20</v>
      </c>
      <c r="G2605" s="86">
        <v>10</v>
      </c>
      <c r="H2605" s="86">
        <v>200</v>
      </c>
      <c r="I2605" s="86">
        <v>200</v>
      </c>
      <c r="J2605" s="85" t="s">
        <v>4370</v>
      </c>
      <c r="K2605" s="85" t="s">
        <v>10567</v>
      </c>
      <c r="L2605" s="85" t="s">
        <v>4135</v>
      </c>
      <c r="M2605" s="85" t="s">
        <v>10596</v>
      </c>
    </row>
    <row r="2606" ht="213.75" spans="1:13">
      <c r="A2606" s="85" t="s">
        <v>10587</v>
      </c>
      <c r="B2606" s="85" t="s">
        <v>10597</v>
      </c>
      <c r="C2606" s="85" t="s">
        <v>10598</v>
      </c>
      <c r="D2606" s="85" t="s">
        <v>3201</v>
      </c>
      <c r="E2606" s="85" t="s">
        <v>3662</v>
      </c>
      <c r="F2606" s="86">
        <v>16.5</v>
      </c>
      <c r="G2606" s="86">
        <v>30</v>
      </c>
      <c r="H2606" s="86">
        <v>495</v>
      </c>
      <c r="I2606" s="86">
        <v>1095</v>
      </c>
      <c r="J2606" s="85" t="s">
        <v>10248</v>
      </c>
      <c r="K2606" s="85" t="s">
        <v>10567</v>
      </c>
      <c r="L2606" s="85" t="s">
        <v>4135</v>
      </c>
      <c r="M2606" s="85" t="s">
        <v>10599</v>
      </c>
    </row>
    <row r="2607" ht="213.75" spans="1:13">
      <c r="A2607" s="85" t="s">
        <v>10600</v>
      </c>
      <c r="B2607" s="85" t="s">
        <v>8857</v>
      </c>
      <c r="C2607" s="85" t="s">
        <v>8858</v>
      </c>
      <c r="D2607" s="85" t="s">
        <v>3241</v>
      </c>
      <c r="E2607" s="85" t="s">
        <v>3242</v>
      </c>
      <c r="F2607" s="86">
        <v>12.05</v>
      </c>
      <c r="G2607" s="86">
        <v>5</v>
      </c>
      <c r="H2607" s="86">
        <v>60.25</v>
      </c>
      <c r="I2607" s="86">
        <v>2408.11</v>
      </c>
      <c r="J2607" s="85" t="s">
        <v>4391</v>
      </c>
      <c r="K2607" s="85" t="s">
        <v>10567</v>
      </c>
      <c r="L2607" s="85" t="s">
        <v>4135</v>
      </c>
      <c r="M2607" s="85" t="s">
        <v>10601</v>
      </c>
    </row>
    <row r="2608" ht="213.75" spans="1:13">
      <c r="A2608" s="85" t="s">
        <v>10602</v>
      </c>
      <c r="B2608" s="85" t="s">
        <v>10603</v>
      </c>
      <c r="C2608" s="85" t="s">
        <v>10604</v>
      </c>
      <c r="D2608" s="85" t="s">
        <v>3189</v>
      </c>
      <c r="E2608" s="85" t="s">
        <v>3924</v>
      </c>
      <c r="F2608" s="86">
        <v>29</v>
      </c>
      <c r="G2608" s="86">
        <v>2</v>
      </c>
      <c r="H2608" s="86">
        <v>58</v>
      </c>
      <c r="I2608" s="86">
        <v>1318</v>
      </c>
      <c r="J2608" s="85" t="s">
        <v>4391</v>
      </c>
      <c r="K2608" s="85" t="s">
        <v>10567</v>
      </c>
      <c r="L2608" s="85" t="s">
        <v>4135</v>
      </c>
      <c r="M2608" s="85" t="s">
        <v>10605</v>
      </c>
    </row>
    <row r="2609" ht="213.75" spans="1:13">
      <c r="A2609" s="85" t="s">
        <v>10571</v>
      </c>
      <c r="B2609" s="85" t="s">
        <v>10606</v>
      </c>
      <c r="C2609" s="85" t="s">
        <v>10607</v>
      </c>
      <c r="D2609" s="85" t="s">
        <v>3907</v>
      </c>
      <c r="E2609" s="85" t="s">
        <v>10608</v>
      </c>
      <c r="F2609" s="86">
        <v>55</v>
      </c>
      <c r="G2609" s="86">
        <v>1</v>
      </c>
      <c r="H2609" s="86">
        <v>55</v>
      </c>
      <c r="I2609" s="86">
        <v>758.2</v>
      </c>
      <c r="J2609" s="85" t="s">
        <v>2935</v>
      </c>
      <c r="K2609" s="85" t="s">
        <v>10567</v>
      </c>
      <c r="L2609" s="85" t="s">
        <v>4135</v>
      </c>
      <c r="M2609" s="85" t="s">
        <v>10609</v>
      </c>
    </row>
    <row r="2610" ht="213.75" spans="1:13">
      <c r="A2610" s="85" t="s">
        <v>10600</v>
      </c>
      <c r="B2610" s="85" t="s">
        <v>9210</v>
      </c>
      <c r="C2610" s="85" t="s">
        <v>9211</v>
      </c>
      <c r="D2610" s="85" t="s">
        <v>3189</v>
      </c>
      <c r="E2610" s="85" t="s">
        <v>9212</v>
      </c>
      <c r="F2610" s="86">
        <v>181.3</v>
      </c>
      <c r="G2610" s="86">
        <v>12</v>
      </c>
      <c r="H2610" s="86">
        <v>2175.6</v>
      </c>
      <c r="I2610" s="86">
        <v>2408.11</v>
      </c>
      <c r="J2610" s="85" t="s">
        <v>4391</v>
      </c>
      <c r="K2610" s="85" t="s">
        <v>10567</v>
      </c>
      <c r="L2610" s="85" t="s">
        <v>4135</v>
      </c>
      <c r="M2610" s="85" t="s">
        <v>10610</v>
      </c>
    </row>
    <row r="2611" ht="213.75" spans="1:13">
      <c r="A2611" s="85" t="s">
        <v>10600</v>
      </c>
      <c r="B2611" s="85" t="s">
        <v>9487</v>
      </c>
      <c r="C2611" s="85" t="s">
        <v>9488</v>
      </c>
      <c r="D2611" s="85" t="s">
        <v>3189</v>
      </c>
      <c r="E2611" s="85" t="s">
        <v>3933</v>
      </c>
      <c r="F2611" s="86">
        <v>28.71</v>
      </c>
      <c r="G2611" s="86">
        <v>6</v>
      </c>
      <c r="H2611" s="86">
        <v>172.26</v>
      </c>
      <c r="I2611" s="86">
        <v>2408.11</v>
      </c>
      <c r="J2611" s="85" t="s">
        <v>4391</v>
      </c>
      <c r="K2611" s="85" t="s">
        <v>10567</v>
      </c>
      <c r="L2611" s="85" t="s">
        <v>4135</v>
      </c>
      <c r="M2611" s="85" t="s">
        <v>10611</v>
      </c>
    </row>
    <row r="2612" ht="213.75" spans="1:13">
      <c r="A2612" s="85" t="s">
        <v>10566</v>
      </c>
      <c r="B2612" s="85" t="s">
        <v>8311</v>
      </c>
      <c r="C2612" s="85" t="s">
        <v>8312</v>
      </c>
      <c r="D2612" s="85" t="s">
        <v>3197</v>
      </c>
      <c r="E2612" s="85" t="s">
        <v>8312</v>
      </c>
      <c r="F2612" s="86">
        <v>1.9</v>
      </c>
      <c r="G2612" s="86">
        <v>60</v>
      </c>
      <c r="H2612" s="86">
        <v>114</v>
      </c>
      <c r="I2612" s="86">
        <v>2792.4</v>
      </c>
      <c r="J2612" s="85" t="s">
        <v>2935</v>
      </c>
      <c r="K2612" s="85" t="s">
        <v>10567</v>
      </c>
      <c r="L2612" s="85" t="s">
        <v>4135</v>
      </c>
      <c r="M2612" s="85" t="s">
        <v>10612</v>
      </c>
    </row>
    <row r="2613" ht="213.75" spans="1:13">
      <c r="A2613" s="85" t="s">
        <v>10569</v>
      </c>
      <c r="B2613" s="85" t="s">
        <v>7687</v>
      </c>
      <c r="C2613" s="85" t="s">
        <v>7688</v>
      </c>
      <c r="D2613" s="85" t="s">
        <v>3153</v>
      </c>
      <c r="E2613" s="85" t="s">
        <v>7689</v>
      </c>
      <c r="F2613" s="86">
        <v>390</v>
      </c>
      <c r="G2613" s="86">
        <v>4</v>
      </c>
      <c r="H2613" s="86">
        <v>1560</v>
      </c>
      <c r="I2613" s="86">
        <v>1665</v>
      </c>
      <c r="J2613" s="85" t="s">
        <v>2935</v>
      </c>
      <c r="K2613" s="85" t="s">
        <v>10567</v>
      </c>
      <c r="L2613" s="85" t="s">
        <v>4135</v>
      </c>
      <c r="M2613" s="85" t="s">
        <v>10613</v>
      </c>
    </row>
    <row r="2614" ht="213.75" spans="1:13">
      <c r="A2614" s="85" t="s">
        <v>10566</v>
      </c>
      <c r="B2614" s="85" t="s">
        <v>9797</v>
      </c>
      <c r="C2614" s="85" t="s">
        <v>9798</v>
      </c>
      <c r="D2614" s="85" t="s">
        <v>3753</v>
      </c>
      <c r="E2614" s="85" t="s">
        <v>8549</v>
      </c>
      <c r="F2614" s="86">
        <v>13</v>
      </c>
      <c r="G2614" s="86">
        <v>5</v>
      </c>
      <c r="H2614" s="86">
        <v>65</v>
      </c>
      <c r="I2614" s="86">
        <v>2792.4</v>
      </c>
      <c r="J2614" s="85" t="s">
        <v>2935</v>
      </c>
      <c r="K2614" s="85" t="s">
        <v>10567</v>
      </c>
      <c r="L2614" s="85" t="s">
        <v>4135</v>
      </c>
      <c r="M2614" s="85" t="s">
        <v>10614</v>
      </c>
    </row>
    <row r="2615" ht="213.75" spans="1:13">
      <c r="A2615" s="85" t="s">
        <v>10602</v>
      </c>
      <c r="B2615" s="85" t="s">
        <v>10615</v>
      </c>
      <c r="C2615" s="85" t="s">
        <v>10616</v>
      </c>
      <c r="D2615" s="85" t="s">
        <v>3288</v>
      </c>
      <c r="E2615" s="85" t="s">
        <v>10616</v>
      </c>
      <c r="F2615" s="86">
        <v>350</v>
      </c>
      <c r="G2615" s="86">
        <v>2</v>
      </c>
      <c r="H2615" s="86">
        <v>700</v>
      </c>
      <c r="I2615" s="86">
        <v>1318</v>
      </c>
      <c r="J2615" s="85" t="s">
        <v>4391</v>
      </c>
      <c r="K2615" s="85" t="s">
        <v>10567</v>
      </c>
      <c r="L2615" s="85" t="s">
        <v>4135</v>
      </c>
      <c r="M2615" s="85" t="s">
        <v>10617</v>
      </c>
    </row>
    <row r="2616" ht="213.75" spans="1:13">
      <c r="A2616" s="85" t="s">
        <v>10602</v>
      </c>
      <c r="B2616" s="85" t="s">
        <v>10618</v>
      </c>
      <c r="C2616" s="85" t="s">
        <v>10619</v>
      </c>
      <c r="D2616" s="85" t="s">
        <v>3153</v>
      </c>
      <c r="E2616" s="85" t="s">
        <v>9380</v>
      </c>
      <c r="F2616" s="86">
        <v>36</v>
      </c>
      <c r="G2616" s="86">
        <v>5</v>
      </c>
      <c r="H2616" s="86">
        <v>180</v>
      </c>
      <c r="I2616" s="86">
        <v>1318</v>
      </c>
      <c r="J2616" s="85" t="s">
        <v>4391</v>
      </c>
      <c r="K2616" s="85" t="s">
        <v>10567</v>
      </c>
      <c r="L2616" s="85" t="s">
        <v>4135</v>
      </c>
      <c r="M2616" s="85" t="s">
        <v>10620</v>
      </c>
    </row>
    <row r="2617" ht="213.75" spans="1:13">
      <c r="A2617" s="85" t="s">
        <v>10602</v>
      </c>
      <c r="B2617" s="85" t="s">
        <v>9224</v>
      </c>
      <c r="C2617" s="85" t="s">
        <v>9225</v>
      </c>
      <c r="D2617" s="85" t="s">
        <v>3201</v>
      </c>
      <c r="E2617" s="85" t="s">
        <v>3217</v>
      </c>
      <c r="F2617" s="86">
        <v>38</v>
      </c>
      <c r="G2617" s="86">
        <v>10</v>
      </c>
      <c r="H2617" s="86">
        <v>380</v>
      </c>
      <c r="I2617" s="86">
        <v>1318</v>
      </c>
      <c r="J2617" s="85" t="s">
        <v>4391</v>
      </c>
      <c r="K2617" s="85" t="s">
        <v>10567</v>
      </c>
      <c r="L2617" s="85" t="s">
        <v>4135</v>
      </c>
      <c r="M2617" s="85" t="s">
        <v>10621</v>
      </c>
    </row>
    <row r="2618" ht="213.75" spans="1:13">
      <c r="A2618" s="85" t="s">
        <v>10566</v>
      </c>
      <c r="B2618" s="85" t="s">
        <v>10622</v>
      </c>
      <c r="C2618" s="85" t="s">
        <v>10623</v>
      </c>
      <c r="D2618" s="85" t="s">
        <v>3189</v>
      </c>
      <c r="E2618" s="85" t="s">
        <v>10624</v>
      </c>
      <c r="F2618" s="86">
        <v>46.9</v>
      </c>
      <c r="G2618" s="86">
        <v>5</v>
      </c>
      <c r="H2618" s="86">
        <v>234.5</v>
      </c>
      <c r="I2618" s="86">
        <v>2792.4</v>
      </c>
      <c r="J2618" s="85" t="s">
        <v>2935</v>
      </c>
      <c r="K2618" s="85" t="s">
        <v>10567</v>
      </c>
      <c r="L2618" s="85" t="s">
        <v>4135</v>
      </c>
      <c r="M2618" s="85" t="s">
        <v>10625</v>
      </c>
    </row>
    <row r="2619" ht="213.75" spans="1:13">
      <c r="A2619" s="85" t="s">
        <v>10566</v>
      </c>
      <c r="B2619" s="85" t="s">
        <v>5349</v>
      </c>
      <c r="C2619" s="85" t="s">
        <v>5350</v>
      </c>
      <c r="D2619" s="85" t="s">
        <v>3189</v>
      </c>
      <c r="E2619" s="85" t="s">
        <v>5351</v>
      </c>
      <c r="F2619" s="86">
        <v>19</v>
      </c>
      <c r="G2619" s="86">
        <v>20</v>
      </c>
      <c r="H2619" s="86">
        <v>380</v>
      </c>
      <c r="I2619" s="86">
        <v>2792.4</v>
      </c>
      <c r="J2619" s="85" t="s">
        <v>2935</v>
      </c>
      <c r="K2619" s="85" t="s">
        <v>10567</v>
      </c>
      <c r="L2619" s="85" t="s">
        <v>4135</v>
      </c>
      <c r="M2619" s="85" t="s">
        <v>10626</v>
      </c>
    </row>
    <row r="2620" ht="213.75" spans="1:13">
      <c r="A2620" s="85" t="s">
        <v>10627</v>
      </c>
      <c r="B2620" s="85" t="s">
        <v>8266</v>
      </c>
      <c r="C2620" s="85" t="s">
        <v>8267</v>
      </c>
      <c r="D2620" s="85" t="s">
        <v>3189</v>
      </c>
      <c r="E2620" s="85" t="s">
        <v>6337</v>
      </c>
      <c r="F2620" s="86">
        <v>27</v>
      </c>
      <c r="G2620" s="86">
        <v>100</v>
      </c>
      <c r="H2620" s="86">
        <v>2700</v>
      </c>
      <c r="I2620" s="86">
        <v>2700</v>
      </c>
      <c r="J2620" s="85" t="s">
        <v>8268</v>
      </c>
      <c r="K2620" s="85" t="s">
        <v>10567</v>
      </c>
      <c r="L2620" s="85" t="s">
        <v>4135</v>
      </c>
      <c r="M2620" s="85" t="s">
        <v>10628</v>
      </c>
    </row>
    <row r="2621" ht="213.75" spans="1:13">
      <c r="A2621" s="85" t="s">
        <v>10629</v>
      </c>
      <c r="B2621" s="85" t="s">
        <v>10630</v>
      </c>
      <c r="C2621" s="85" t="s">
        <v>10631</v>
      </c>
      <c r="D2621" s="85" t="s">
        <v>7739</v>
      </c>
      <c r="E2621" s="85" t="s">
        <v>10632</v>
      </c>
      <c r="F2621" s="86">
        <v>5148</v>
      </c>
      <c r="G2621" s="86">
        <v>1</v>
      </c>
      <c r="H2621" s="86">
        <v>5148</v>
      </c>
      <c r="I2621" s="86">
        <v>33048</v>
      </c>
      <c r="J2621" s="85" t="s">
        <v>5083</v>
      </c>
      <c r="K2621" s="85" t="s">
        <v>10633</v>
      </c>
      <c r="L2621" s="85" t="s">
        <v>4135</v>
      </c>
      <c r="M2621" s="85" t="s">
        <v>10634</v>
      </c>
    </row>
    <row r="2622" ht="327.75" spans="1:13">
      <c r="A2622" s="85" t="s">
        <v>10629</v>
      </c>
      <c r="B2622" s="85" t="s">
        <v>10635</v>
      </c>
      <c r="C2622" s="85" t="s">
        <v>10636</v>
      </c>
      <c r="D2622" s="85" t="s">
        <v>7739</v>
      </c>
      <c r="E2622" s="85" t="s">
        <v>10637</v>
      </c>
      <c r="F2622" s="86">
        <v>4650</v>
      </c>
      <c r="G2622" s="86">
        <v>6</v>
      </c>
      <c r="H2622" s="86">
        <v>27900</v>
      </c>
      <c r="I2622" s="86">
        <v>33048</v>
      </c>
      <c r="J2622" s="85" t="s">
        <v>5083</v>
      </c>
      <c r="K2622" s="85" t="s">
        <v>10633</v>
      </c>
      <c r="L2622" s="85" t="s">
        <v>4135</v>
      </c>
      <c r="M2622" s="85" t="s">
        <v>10638</v>
      </c>
    </row>
    <row r="2623" ht="213.75" spans="1:13">
      <c r="A2623" s="85" t="s">
        <v>10639</v>
      </c>
      <c r="B2623" s="85" t="s">
        <v>9451</v>
      </c>
      <c r="C2623" s="85" t="s">
        <v>9452</v>
      </c>
      <c r="D2623" s="85" t="s">
        <v>3753</v>
      </c>
      <c r="E2623" s="85" t="s">
        <v>3763</v>
      </c>
      <c r="F2623" s="86">
        <v>489.51</v>
      </c>
      <c r="G2623" s="86">
        <v>2</v>
      </c>
      <c r="H2623" s="86">
        <v>979.02</v>
      </c>
      <c r="I2623" s="86">
        <v>2371.08</v>
      </c>
      <c r="J2623" s="85" t="s">
        <v>3112</v>
      </c>
      <c r="K2623" s="85" t="s">
        <v>10640</v>
      </c>
      <c r="L2623" s="85" t="s">
        <v>4135</v>
      </c>
      <c r="M2623" s="85" t="s">
        <v>10641</v>
      </c>
    </row>
    <row r="2624" ht="213.75" spans="1:13">
      <c r="A2624" s="85" t="s">
        <v>10639</v>
      </c>
      <c r="B2624" s="85" t="s">
        <v>6577</v>
      </c>
      <c r="C2624" s="85" t="s">
        <v>6578</v>
      </c>
      <c r="D2624" s="85" t="s">
        <v>3753</v>
      </c>
      <c r="E2624" s="85" t="s">
        <v>3763</v>
      </c>
      <c r="F2624" s="86">
        <v>15.3</v>
      </c>
      <c r="G2624" s="86">
        <v>3</v>
      </c>
      <c r="H2624" s="86">
        <v>45.9</v>
      </c>
      <c r="I2624" s="86">
        <v>2371.08</v>
      </c>
      <c r="J2624" s="85" t="s">
        <v>3112</v>
      </c>
      <c r="K2624" s="85" t="s">
        <v>10640</v>
      </c>
      <c r="L2624" s="85" t="s">
        <v>4135</v>
      </c>
      <c r="M2624" s="85" t="s">
        <v>10642</v>
      </c>
    </row>
    <row r="2625" ht="213.75" spans="1:13">
      <c r="A2625" s="85" t="s">
        <v>10639</v>
      </c>
      <c r="B2625" s="85" t="s">
        <v>9790</v>
      </c>
      <c r="C2625" s="85" t="s">
        <v>9791</v>
      </c>
      <c r="D2625" s="85" t="s">
        <v>3753</v>
      </c>
      <c r="E2625" s="85" t="s">
        <v>3763</v>
      </c>
      <c r="F2625" s="86">
        <v>285.55</v>
      </c>
      <c r="G2625" s="86">
        <v>3</v>
      </c>
      <c r="H2625" s="86">
        <v>856.65</v>
      </c>
      <c r="I2625" s="86">
        <v>2371.08</v>
      </c>
      <c r="J2625" s="85" t="s">
        <v>3112</v>
      </c>
      <c r="K2625" s="85" t="s">
        <v>10640</v>
      </c>
      <c r="L2625" s="85" t="s">
        <v>4135</v>
      </c>
      <c r="M2625" s="85" t="s">
        <v>10643</v>
      </c>
    </row>
    <row r="2626" ht="213.75" spans="1:13">
      <c r="A2626" s="85" t="s">
        <v>10639</v>
      </c>
      <c r="B2626" s="85" t="s">
        <v>9239</v>
      </c>
      <c r="C2626" s="85" t="s">
        <v>9240</v>
      </c>
      <c r="D2626" s="85" t="s">
        <v>3753</v>
      </c>
      <c r="E2626" s="85" t="s">
        <v>3763</v>
      </c>
      <c r="F2626" s="86">
        <v>489.51</v>
      </c>
      <c r="G2626" s="86">
        <v>1</v>
      </c>
      <c r="H2626" s="86">
        <v>489.51</v>
      </c>
      <c r="I2626" s="86">
        <v>2371.08</v>
      </c>
      <c r="J2626" s="85" t="s">
        <v>3112</v>
      </c>
      <c r="K2626" s="85" t="s">
        <v>10640</v>
      </c>
      <c r="L2626" s="85" t="s">
        <v>4135</v>
      </c>
      <c r="M2626" s="85" t="s">
        <v>10644</v>
      </c>
    </row>
    <row r="2627" ht="213.75" spans="1:13">
      <c r="A2627" s="85" t="s">
        <v>10645</v>
      </c>
      <c r="B2627" s="85" t="s">
        <v>7775</v>
      </c>
      <c r="C2627" s="85" t="s">
        <v>7776</v>
      </c>
      <c r="D2627" s="85" t="s">
        <v>7777</v>
      </c>
      <c r="E2627" s="85" t="s">
        <v>7776</v>
      </c>
      <c r="F2627" s="86">
        <v>169089</v>
      </c>
      <c r="G2627" s="86">
        <v>1</v>
      </c>
      <c r="H2627" s="86">
        <v>169089</v>
      </c>
      <c r="I2627" s="86">
        <v>169089</v>
      </c>
      <c r="J2627" s="85" t="s">
        <v>5334</v>
      </c>
      <c r="K2627" s="85" t="s">
        <v>10646</v>
      </c>
      <c r="L2627" s="85" t="s">
        <v>4135</v>
      </c>
      <c r="M2627" s="85" t="s">
        <v>10647</v>
      </c>
    </row>
    <row r="2628" ht="213.75" spans="1:13">
      <c r="A2628" s="85" t="s">
        <v>10648</v>
      </c>
      <c r="B2628" s="85" t="s">
        <v>3116</v>
      </c>
      <c r="C2628" s="85" t="s">
        <v>3117</v>
      </c>
      <c r="D2628" s="85" t="s">
        <v>3118</v>
      </c>
      <c r="E2628" s="85" t="s">
        <v>3117</v>
      </c>
      <c r="F2628" s="86">
        <v>12000</v>
      </c>
      <c r="G2628" s="86">
        <v>1</v>
      </c>
      <c r="H2628" s="86">
        <v>12000</v>
      </c>
      <c r="I2628" s="86">
        <v>12000</v>
      </c>
      <c r="J2628" s="85" t="s">
        <v>6789</v>
      </c>
      <c r="K2628" s="85" t="s">
        <v>10649</v>
      </c>
      <c r="L2628" s="85" t="s">
        <v>4135</v>
      </c>
      <c r="M2628" s="85" t="s">
        <v>10650</v>
      </c>
    </row>
    <row r="2629" ht="213.75" spans="1:13">
      <c r="A2629" s="85" t="s">
        <v>10651</v>
      </c>
      <c r="B2629" s="85" t="s">
        <v>4373</v>
      </c>
      <c r="C2629" s="85" t="s">
        <v>4374</v>
      </c>
      <c r="D2629" s="85" t="s">
        <v>3041</v>
      </c>
      <c r="E2629" s="85" t="s">
        <v>3042</v>
      </c>
      <c r="F2629" s="86">
        <v>7</v>
      </c>
      <c r="G2629" s="86">
        <v>180</v>
      </c>
      <c r="H2629" s="86">
        <v>1260</v>
      </c>
      <c r="I2629" s="86">
        <v>1260</v>
      </c>
      <c r="J2629" s="85" t="s">
        <v>4370</v>
      </c>
      <c r="K2629" s="85" t="s">
        <v>10652</v>
      </c>
      <c r="L2629" s="85" t="s">
        <v>4135</v>
      </c>
      <c r="M2629" s="85" t="s">
        <v>10653</v>
      </c>
    </row>
    <row r="2630" ht="213.75" spans="1:13">
      <c r="A2630" s="85" t="s">
        <v>10654</v>
      </c>
      <c r="B2630" s="85" t="s">
        <v>10655</v>
      </c>
      <c r="C2630" s="85" t="s">
        <v>10656</v>
      </c>
      <c r="D2630" s="85" t="s">
        <v>3398</v>
      </c>
      <c r="E2630" s="85" t="s">
        <v>6444</v>
      </c>
      <c r="F2630" s="86">
        <v>5900</v>
      </c>
      <c r="G2630" s="86">
        <v>1</v>
      </c>
      <c r="H2630" s="86">
        <v>5900</v>
      </c>
      <c r="I2630" s="86">
        <v>6616</v>
      </c>
      <c r="J2630" s="85" t="s">
        <v>2935</v>
      </c>
      <c r="K2630" s="85" t="s">
        <v>10657</v>
      </c>
      <c r="L2630" s="85" t="s">
        <v>4135</v>
      </c>
      <c r="M2630" s="85" t="s">
        <v>10658</v>
      </c>
    </row>
    <row r="2631" ht="213.75" spans="1:13">
      <c r="A2631" s="85" t="s">
        <v>10654</v>
      </c>
      <c r="B2631" s="85" t="s">
        <v>10659</v>
      </c>
      <c r="C2631" s="85" t="s">
        <v>10660</v>
      </c>
      <c r="D2631" s="85" t="s">
        <v>5776</v>
      </c>
      <c r="E2631" s="85" t="s">
        <v>5777</v>
      </c>
      <c r="F2631" s="86">
        <v>716</v>
      </c>
      <c r="G2631" s="86">
        <v>1</v>
      </c>
      <c r="H2631" s="86">
        <v>716</v>
      </c>
      <c r="I2631" s="86">
        <v>6616</v>
      </c>
      <c r="J2631" s="85" t="s">
        <v>2935</v>
      </c>
      <c r="K2631" s="85" t="s">
        <v>10657</v>
      </c>
      <c r="L2631" s="85" t="s">
        <v>4135</v>
      </c>
      <c r="M2631" s="85" t="s">
        <v>10661</v>
      </c>
    </row>
    <row r="2632" ht="213.75" spans="1:13">
      <c r="A2632" s="85" t="s">
        <v>10662</v>
      </c>
      <c r="B2632" s="85" t="s">
        <v>7600</v>
      </c>
      <c r="C2632" s="85" t="s">
        <v>7601</v>
      </c>
      <c r="D2632" s="85" t="s">
        <v>3169</v>
      </c>
      <c r="E2632" s="85" t="s">
        <v>7602</v>
      </c>
      <c r="F2632" s="86">
        <v>15</v>
      </c>
      <c r="G2632" s="86">
        <v>100</v>
      </c>
      <c r="H2632" s="86">
        <v>1500</v>
      </c>
      <c r="I2632" s="86">
        <v>2542</v>
      </c>
      <c r="J2632" s="85" t="s">
        <v>4370</v>
      </c>
      <c r="K2632" s="85" t="s">
        <v>10663</v>
      </c>
      <c r="L2632" s="85" t="s">
        <v>4135</v>
      </c>
      <c r="M2632" s="85" t="s">
        <v>10664</v>
      </c>
    </row>
    <row r="2633" ht="213.75" spans="1:13">
      <c r="A2633" s="85" t="s">
        <v>10662</v>
      </c>
      <c r="B2633" s="85" t="s">
        <v>9251</v>
      </c>
      <c r="C2633" s="85" t="s">
        <v>9252</v>
      </c>
      <c r="D2633" s="85" t="s">
        <v>3230</v>
      </c>
      <c r="E2633" s="85" t="s">
        <v>9253</v>
      </c>
      <c r="F2633" s="86">
        <v>0.05</v>
      </c>
      <c r="G2633" s="86">
        <v>1000</v>
      </c>
      <c r="H2633" s="86">
        <v>50</v>
      </c>
      <c r="I2633" s="86">
        <v>2542</v>
      </c>
      <c r="J2633" s="85" t="s">
        <v>4370</v>
      </c>
      <c r="K2633" s="85" t="s">
        <v>10663</v>
      </c>
      <c r="L2633" s="85" t="s">
        <v>4135</v>
      </c>
      <c r="M2633" s="85" t="s">
        <v>10665</v>
      </c>
    </row>
    <row r="2634" ht="213.75" spans="1:13">
      <c r="A2634" s="85" t="s">
        <v>10662</v>
      </c>
      <c r="B2634" s="85" t="s">
        <v>10460</v>
      </c>
      <c r="C2634" s="85" t="s">
        <v>10461</v>
      </c>
      <c r="D2634" s="85" t="s">
        <v>3041</v>
      </c>
      <c r="E2634" s="85" t="s">
        <v>3158</v>
      </c>
      <c r="F2634" s="86">
        <v>153</v>
      </c>
      <c r="G2634" s="86">
        <v>4</v>
      </c>
      <c r="H2634" s="86">
        <v>612</v>
      </c>
      <c r="I2634" s="86">
        <v>2542</v>
      </c>
      <c r="J2634" s="85" t="s">
        <v>4370</v>
      </c>
      <c r="K2634" s="85" t="s">
        <v>10663</v>
      </c>
      <c r="L2634" s="85" t="s">
        <v>4135</v>
      </c>
      <c r="M2634" s="85" t="s">
        <v>10666</v>
      </c>
    </row>
    <row r="2635" ht="213.75" spans="1:13">
      <c r="A2635" s="85" t="s">
        <v>10662</v>
      </c>
      <c r="B2635" s="85" t="s">
        <v>4548</v>
      </c>
      <c r="C2635" s="85" t="s">
        <v>4549</v>
      </c>
      <c r="D2635" s="85" t="s">
        <v>3169</v>
      </c>
      <c r="E2635" s="85" t="s">
        <v>3170</v>
      </c>
      <c r="F2635" s="86">
        <v>0.38</v>
      </c>
      <c r="G2635" s="86">
        <v>1000</v>
      </c>
      <c r="H2635" s="86">
        <v>380</v>
      </c>
      <c r="I2635" s="86">
        <v>2542</v>
      </c>
      <c r="J2635" s="85" t="s">
        <v>4370</v>
      </c>
      <c r="K2635" s="85" t="s">
        <v>10663</v>
      </c>
      <c r="L2635" s="85" t="s">
        <v>4135</v>
      </c>
      <c r="M2635" s="85" t="s">
        <v>10667</v>
      </c>
    </row>
    <row r="2636" ht="213.75" spans="1:13">
      <c r="A2636" s="85" t="s">
        <v>10668</v>
      </c>
      <c r="B2636" s="85" t="s">
        <v>10294</v>
      </c>
      <c r="C2636" s="85" t="s">
        <v>10295</v>
      </c>
      <c r="D2636" s="85" t="s">
        <v>3367</v>
      </c>
      <c r="E2636" s="85" t="s">
        <v>4565</v>
      </c>
      <c r="F2636" s="86">
        <v>0.22</v>
      </c>
      <c r="G2636" s="86">
        <v>2000</v>
      </c>
      <c r="H2636" s="86">
        <v>440</v>
      </c>
      <c r="I2636" s="86">
        <v>440</v>
      </c>
      <c r="J2636" s="85" t="s">
        <v>4370</v>
      </c>
      <c r="K2636" s="85" t="s">
        <v>10669</v>
      </c>
      <c r="L2636" s="85" t="s">
        <v>4135</v>
      </c>
      <c r="M2636" s="85" t="s">
        <v>10670</v>
      </c>
    </row>
    <row r="2637" ht="213.75" spans="1:13">
      <c r="A2637" s="85" t="s">
        <v>10671</v>
      </c>
      <c r="B2637" s="85" t="s">
        <v>10672</v>
      </c>
      <c r="C2637" s="85" t="s">
        <v>10673</v>
      </c>
      <c r="D2637" s="85" t="s">
        <v>3367</v>
      </c>
      <c r="E2637" s="85" t="s">
        <v>10673</v>
      </c>
      <c r="F2637" s="86">
        <v>5.83</v>
      </c>
      <c r="G2637" s="86">
        <v>200</v>
      </c>
      <c r="H2637" s="86">
        <v>1166</v>
      </c>
      <c r="I2637" s="86">
        <v>1166</v>
      </c>
      <c r="J2637" s="85" t="s">
        <v>9954</v>
      </c>
      <c r="K2637" s="85" t="s">
        <v>10669</v>
      </c>
      <c r="L2637" s="85" t="s">
        <v>4135</v>
      </c>
      <c r="M2637" s="85" t="s">
        <v>10674</v>
      </c>
    </row>
    <row r="2638" ht="213.75" spans="1:13">
      <c r="A2638" s="85" t="s">
        <v>10675</v>
      </c>
      <c r="B2638" s="85" t="s">
        <v>10676</v>
      </c>
      <c r="C2638" s="85" t="s">
        <v>10677</v>
      </c>
      <c r="D2638" s="85" t="s">
        <v>3068</v>
      </c>
      <c r="E2638" s="85" t="s">
        <v>10677</v>
      </c>
      <c r="F2638" s="86">
        <v>1.77</v>
      </c>
      <c r="G2638" s="86">
        <v>50</v>
      </c>
      <c r="H2638" s="86">
        <v>88.5</v>
      </c>
      <c r="I2638" s="86">
        <v>719.14</v>
      </c>
      <c r="J2638" s="85" t="s">
        <v>9954</v>
      </c>
      <c r="K2638" s="85" t="s">
        <v>10678</v>
      </c>
      <c r="L2638" s="85" t="s">
        <v>6980</v>
      </c>
      <c r="M2638" s="85" t="s">
        <v>10679</v>
      </c>
    </row>
    <row r="2639" ht="213.75" spans="1:13">
      <c r="A2639" s="85" t="s">
        <v>10675</v>
      </c>
      <c r="B2639" s="85" t="s">
        <v>9961</v>
      </c>
      <c r="C2639" s="85" t="s">
        <v>9962</v>
      </c>
      <c r="D2639" s="85" t="s">
        <v>3183</v>
      </c>
      <c r="E2639" s="85" t="s">
        <v>9962</v>
      </c>
      <c r="F2639" s="86">
        <v>21.2</v>
      </c>
      <c r="G2639" s="86">
        <v>6</v>
      </c>
      <c r="H2639" s="86">
        <v>127.2</v>
      </c>
      <c r="I2639" s="86">
        <v>719.14</v>
      </c>
      <c r="J2639" s="85" t="s">
        <v>9954</v>
      </c>
      <c r="K2639" s="85" t="s">
        <v>10678</v>
      </c>
      <c r="L2639" s="85" t="s">
        <v>6980</v>
      </c>
      <c r="M2639" s="85" t="s">
        <v>10680</v>
      </c>
    </row>
    <row r="2640" ht="213.75" spans="1:13">
      <c r="A2640" s="85" t="s">
        <v>10675</v>
      </c>
      <c r="B2640" s="85" t="s">
        <v>10681</v>
      </c>
      <c r="C2640" s="85" t="s">
        <v>10682</v>
      </c>
      <c r="D2640" s="85" t="s">
        <v>7533</v>
      </c>
      <c r="E2640" s="85" t="s">
        <v>10682</v>
      </c>
      <c r="F2640" s="86">
        <v>10.5</v>
      </c>
      <c r="G2640" s="86">
        <v>8</v>
      </c>
      <c r="H2640" s="86">
        <v>84</v>
      </c>
      <c r="I2640" s="86">
        <v>719.14</v>
      </c>
      <c r="J2640" s="85" t="s">
        <v>9954</v>
      </c>
      <c r="K2640" s="85" t="s">
        <v>10678</v>
      </c>
      <c r="L2640" s="85" t="s">
        <v>6980</v>
      </c>
      <c r="M2640" s="85" t="s">
        <v>10683</v>
      </c>
    </row>
    <row r="2641" ht="213.75" spans="1:13">
      <c r="A2641" s="85" t="s">
        <v>10675</v>
      </c>
      <c r="B2641" s="85" t="s">
        <v>10684</v>
      </c>
      <c r="C2641" s="85" t="s">
        <v>10685</v>
      </c>
      <c r="D2641" s="85" t="s">
        <v>6273</v>
      </c>
      <c r="E2641" s="85" t="s">
        <v>10685</v>
      </c>
      <c r="F2641" s="86">
        <v>3.49</v>
      </c>
      <c r="G2641" s="86">
        <v>4</v>
      </c>
      <c r="H2641" s="86">
        <v>13.96</v>
      </c>
      <c r="I2641" s="86">
        <v>719.14</v>
      </c>
      <c r="J2641" s="85" t="s">
        <v>9954</v>
      </c>
      <c r="K2641" s="85" t="s">
        <v>10678</v>
      </c>
      <c r="L2641" s="85" t="s">
        <v>6980</v>
      </c>
      <c r="M2641" s="85" t="s">
        <v>10686</v>
      </c>
    </row>
    <row r="2642" ht="213.75" spans="1:13">
      <c r="A2642" s="85" t="s">
        <v>10675</v>
      </c>
      <c r="B2642" s="85" t="s">
        <v>10687</v>
      </c>
      <c r="C2642" s="85" t="s">
        <v>10688</v>
      </c>
      <c r="D2642" s="85" t="s">
        <v>3733</v>
      </c>
      <c r="E2642" s="85" t="s">
        <v>10688</v>
      </c>
      <c r="F2642" s="86">
        <v>2.7</v>
      </c>
      <c r="G2642" s="86">
        <v>40</v>
      </c>
      <c r="H2642" s="86">
        <v>108</v>
      </c>
      <c r="I2642" s="86">
        <v>719.14</v>
      </c>
      <c r="J2642" s="85" t="s">
        <v>9954</v>
      </c>
      <c r="K2642" s="85" t="s">
        <v>10678</v>
      </c>
      <c r="L2642" s="85" t="s">
        <v>6980</v>
      </c>
      <c r="M2642" s="85" t="s">
        <v>10689</v>
      </c>
    </row>
    <row r="2643" ht="213.75" spans="1:13">
      <c r="A2643" s="85" t="s">
        <v>10675</v>
      </c>
      <c r="B2643" s="85" t="s">
        <v>10690</v>
      </c>
      <c r="C2643" s="85" t="s">
        <v>10691</v>
      </c>
      <c r="D2643" s="85" t="s">
        <v>3230</v>
      </c>
      <c r="E2643" s="85" t="s">
        <v>10691</v>
      </c>
      <c r="F2643" s="86">
        <v>2.7</v>
      </c>
      <c r="G2643" s="86">
        <v>3</v>
      </c>
      <c r="H2643" s="86">
        <v>8.1</v>
      </c>
      <c r="I2643" s="86">
        <v>719.14</v>
      </c>
      <c r="J2643" s="85" t="s">
        <v>9954</v>
      </c>
      <c r="K2643" s="85" t="s">
        <v>10678</v>
      </c>
      <c r="L2643" s="85" t="s">
        <v>6980</v>
      </c>
      <c r="M2643" s="85" t="s">
        <v>10692</v>
      </c>
    </row>
    <row r="2644" ht="213.75" spans="1:13">
      <c r="A2644" s="85" t="s">
        <v>10675</v>
      </c>
      <c r="B2644" s="85" t="s">
        <v>10693</v>
      </c>
      <c r="C2644" s="85" t="s">
        <v>10694</v>
      </c>
      <c r="D2644" s="85" t="s">
        <v>3367</v>
      </c>
      <c r="E2644" s="85" t="s">
        <v>10694</v>
      </c>
      <c r="F2644" s="86">
        <v>10.8</v>
      </c>
      <c r="G2644" s="86">
        <v>10</v>
      </c>
      <c r="H2644" s="86">
        <v>108</v>
      </c>
      <c r="I2644" s="86">
        <v>719.14</v>
      </c>
      <c r="J2644" s="85" t="s">
        <v>9954</v>
      </c>
      <c r="K2644" s="85" t="s">
        <v>10678</v>
      </c>
      <c r="L2644" s="85" t="s">
        <v>6980</v>
      </c>
      <c r="M2644" s="85" t="s">
        <v>10695</v>
      </c>
    </row>
    <row r="2645" ht="213.75" spans="1:13">
      <c r="A2645" s="85" t="s">
        <v>10675</v>
      </c>
      <c r="B2645" s="85" t="s">
        <v>10696</v>
      </c>
      <c r="C2645" s="85" t="s">
        <v>10697</v>
      </c>
      <c r="D2645" s="85" t="s">
        <v>3367</v>
      </c>
      <c r="E2645" s="85" t="s">
        <v>10697</v>
      </c>
      <c r="F2645" s="86">
        <v>0.64</v>
      </c>
      <c r="G2645" s="86">
        <v>5</v>
      </c>
      <c r="H2645" s="86">
        <v>3.2</v>
      </c>
      <c r="I2645" s="86">
        <v>719.14</v>
      </c>
      <c r="J2645" s="85" t="s">
        <v>9954</v>
      </c>
      <c r="K2645" s="85" t="s">
        <v>10678</v>
      </c>
      <c r="L2645" s="85" t="s">
        <v>6980</v>
      </c>
      <c r="M2645" s="85" t="s">
        <v>10698</v>
      </c>
    </row>
    <row r="2646" ht="213.75" spans="1:13">
      <c r="A2646" s="85" t="s">
        <v>10675</v>
      </c>
      <c r="B2646" s="85" t="s">
        <v>10699</v>
      </c>
      <c r="C2646" s="85" t="s">
        <v>10700</v>
      </c>
      <c r="D2646" s="85" t="s">
        <v>3230</v>
      </c>
      <c r="E2646" s="85" t="s">
        <v>10700</v>
      </c>
      <c r="F2646" s="86">
        <v>1.66</v>
      </c>
      <c r="G2646" s="86">
        <v>3</v>
      </c>
      <c r="H2646" s="86">
        <v>4.98</v>
      </c>
      <c r="I2646" s="86">
        <v>719.14</v>
      </c>
      <c r="J2646" s="85" t="s">
        <v>9954</v>
      </c>
      <c r="K2646" s="85" t="s">
        <v>10678</v>
      </c>
      <c r="L2646" s="85" t="s">
        <v>6980</v>
      </c>
      <c r="M2646" s="85" t="s">
        <v>10701</v>
      </c>
    </row>
    <row r="2647" ht="213.75" spans="1:13">
      <c r="A2647" s="85" t="s">
        <v>10675</v>
      </c>
      <c r="B2647" s="85" t="s">
        <v>10702</v>
      </c>
      <c r="C2647" s="85" t="s">
        <v>10703</v>
      </c>
      <c r="D2647" s="85" t="s">
        <v>6236</v>
      </c>
      <c r="E2647" s="85" t="s">
        <v>10703</v>
      </c>
      <c r="F2647" s="86">
        <v>7.1</v>
      </c>
      <c r="G2647" s="86">
        <v>3</v>
      </c>
      <c r="H2647" s="86">
        <v>21.3</v>
      </c>
      <c r="I2647" s="86">
        <v>719.14</v>
      </c>
      <c r="J2647" s="85" t="s">
        <v>9954</v>
      </c>
      <c r="K2647" s="85" t="s">
        <v>10678</v>
      </c>
      <c r="L2647" s="85" t="s">
        <v>6980</v>
      </c>
      <c r="M2647" s="85" t="s">
        <v>10704</v>
      </c>
    </row>
    <row r="2648" ht="213.75" spans="1:13">
      <c r="A2648" s="85" t="s">
        <v>10675</v>
      </c>
      <c r="B2648" s="85" t="s">
        <v>10705</v>
      </c>
      <c r="C2648" s="85" t="s">
        <v>10706</v>
      </c>
      <c r="D2648" s="85" t="s">
        <v>7533</v>
      </c>
      <c r="E2648" s="85" t="s">
        <v>10706</v>
      </c>
      <c r="F2648" s="86">
        <v>8.6</v>
      </c>
      <c r="G2648" s="86">
        <v>3</v>
      </c>
      <c r="H2648" s="86">
        <v>25.8</v>
      </c>
      <c r="I2648" s="86">
        <v>719.14</v>
      </c>
      <c r="J2648" s="85" t="s">
        <v>9954</v>
      </c>
      <c r="K2648" s="85" t="s">
        <v>10678</v>
      </c>
      <c r="L2648" s="85" t="s">
        <v>6980</v>
      </c>
      <c r="M2648" s="85" t="s">
        <v>10707</v>
      </c>
    </row>
    <row r="2649" ht="213.75" spans="1:13">
      <c r="A2649" s="85" t="s">
        <v>10675</v>
      </c>
      <c r="B2649" s="85" t="s">
        <v>10708</v>
      </c>
      <c r="C2649" s="85" t="s">
        <v>10709</v>
      </c>
      <c r="D2649" s="85" t="s">
        <v>3068</v>
      </c>
      <c r="E2649" s="85" t="s">
        <v>10709</v>
      </c>
      <c r="F2649" s="86">
        <v>23.2</v>
      </c>
      <c r="G2649" s="86">
        <v>1</v>
      </c>
      <c r="H2649" s="86">
        <v>23.2</v>
      </c>
      <c r="I2649" s="86">
        <v>719.14</v>
      </c>
      <c r="J2649" s="85" t="s">
        <v>9954</v>
      </c>
      <c r="K2649" s="85" t="s">
        <v>10678</v>
      </c>
      <c r="L2649" s="85" t="s">
        <v>6980</v>
      </c>
      <c r="M2649" s="85" t="s">
        <v>10710</v>
      </c>
    </row>
    <row r="2650" ht="213.75" spans="1:13">
      <c r="A2650" s="85" t="s">
        <v>10675</v>
      </c>
      <c r="B2650" s="85" t="s">
        <v>10711</v>
      </c>
      <c r="C2650" s="85" t="s">
        <v>10712</v>
      </c>
      <c r="D2650" s="85" t="s">
        <v>7533</v>
      </c>
      <c r="E2650" s="85" t="s">
        <v>10712</v>
      </c>
      <c r="F2650" s="86">
        <v>6.1</v>
      </c>
      <c r="G2650" s="86">
        <v>6</v>
      </c>
      <c r="H2650" s="86">
        <v>36.6</v>
      </c>
      <c r="I2650" s="86">
        <v>719.14</v>
      </c>
      <c r="J2650" s="85" t="s">
        <v>9954</v>
      </c>
      <c r="K2650" s="85" t="s">
        <v>10678</v>
      </c>
      <c r="L2650" s="85" t="s">
        <v>6980</v>
      </c>
      <c r="M2650" s="85" t="s">
        <v>10713</v>
      </c>
    </row>
    <row r="2651" ht="213.75" spans="1:13">
      <c r="A2651" s="85" t="s">
        <v>10675</v>
      </c>
      <c r="B2651" s="85" t="s">
        <v>10714</v>
      </c>
      <c r="C2651" s="85" t="s">
        <v>10715</v>
      </c>
      <c r="D2651" s="85" t="s">
        <v>7533</v>
      </c>
      <c r="E2651" s="85" t="s">
        <v>10715</v>
      </c>
      <c r="F2651" s="86">
        <v>13.6</v>
      </c>
      <c r="G2651" s="86">
        <v>4</v>
      </c>
      <c r="H2651" s="86">
        <v>54.4</v>
      </c>
      <c r="I2651" s="86">
        <v>719.14</v>
      </c>
      <c r="J2651" s="85" t="s">
        <v>9954</v>
      </c>
      <c r="K2651" s="85" t="s">
        <v>10678</v>
      </c>
      <c r="L2651" s="85" t="s">
        <v>6980</v>
      </c>
      <c r="M2651" s="85" t="s">
        <v>10716</v>
      </c>
    </row>
    <row r="2652" ht="213.75" spans="1:13">
      <c r="A2652" s="85" t="s">
        <v>10675</v>
      </c>
      <c r="B2652" s="85" t="s">
        <v>10717</v>
      </c>
      <c r="C2652" s="85" t="s">
        <v>10718</v>
      </c>
      <c r="D2652" s="85" t="s">
        <v>3367</v>
      </c>
      <c r="E2652" s="85" t="s">
        <v>10718</v>
      </c>
      <c r="F2652" s="86">
        <v>0.86</v>
      </c>
      <c r="G2652" s="86">
        <v>5</v>
      </c>
      <c r="H2652" s="86">
        <v>4.3</v>
      </c>
      <c r="I2652" s="86">
        <v>719.14</v>
      </c>
      <c r="J2652" s="85" t="s">
        <v>9954</v>
      </c>
      <c r="K2652" s="85" t="s">
        <v>10678</v>
      </c>
      <c r="L2652" s="85" t="s">
        <v>6980</v>
      </c>
      <c r="M2652" s="85" t="s">
        <v>10719</v>
      </c>
    </row>
    <row r="2653" ht="213.75" spans="1:13">
      <c r="A2653" s="85" t="s">
        <v>10675</v>
      </c>
      <c r="B2653" s="85" t="s">
        <v>10720</v>
      </c>
      <c r="C2653" s="85" t="s">
        <v>10721</v>
      </c>
      <c r="D2653" s="85" t="s">
        <v>6236</v>
      </c>
      <c r="E2653" s="85" t="s">
        <v>10721</v>
      </c>
      <c r="F2653" s="86">
        <v>0.76</v>
      </c>
      <c r="G2653" s="86">
        <v>10</v>
      </c>
      <c r="H2653" s="86">
        <v>7.6</v>
      </c>
      <c r="I2653" s="86">
        <v>719.14</v>
      </c>
      <c r="J2653" s="85" t="s">
        <v>9954</v>
      </c>
      <c r="K2653" s="85" t="s">
        <v>10678</v>
      </c>
      <c r="L2653" s="85" t="s">
        <v>6980</v>
      </c>
      <c r="M2653" s="85" t="s">
        <v>10722</v>
      </c>
    </row>
    <row r="2654" ht="228" spans="1:13">
      <c r="A2654" s="85" t="s">
        <v>10723</v>
      </c>
      <c r="B2654" s="85" t="s">
        <v>4142</v>
      </c>
      <c r="C2654" s="85" t="s">
        <v>4143</v>
      </c>
      <c r="D2654" s="85" t="s">
        <v>4144</v>
      </c>
      <c r="E2654" s="85" t="s">
        <v>4143</v>
      </c>
      <c r="F2654" s="86">
        <v>2840057.88</v>
      </c>
      <c r="G2654" s="86">
        <v>1</v>
      </c>
      <c r="H2654" s="86">
        <v>2840057.88</v>
      </c>
      <c r="I2654" s="86">
        <v>2840057.88</v>
      </c>
      <c r="J2654" s="85" t="s">
        <v>10724</v>
      </c>
      <c r="K2654" s="85" t="s">
        <v>10725</v>
      </c>
      <c r="L2654" s="85" t="s">
        <v>10726</v>
      </c>
      <c r="M2654" s="85" t="s">
        <v>10727</v>
      </c>
    </row>
    <row r="2655" ht="228" spans="1:13">
      <c r="A2655" s="85" t="s">
        <v>10728</v>
      </c>
      <c r="B2655" s="85" t="s">
        <v>2901</v>
      </c>
      <c r="C2655" s="85" t="s">
        <v>2902</v>
      </c>
      <c r="D2655" s="85" t="s">
        <v>2903</v>
      </c>
      <c r="E2655" s="85" t="s">
        <v>2902</v>
      </c>
      <c r="F2655" s="86">
        <v>3610</v>
      </c>
      <c r="G2655" s="86">
        <v>1</v>
      </c>
      <c r="H2655" s="86">
        <v>3610</v>
      </c>
      <c r="I2655" s="86">
        <v>3610</v>
      </c>
      <c r="J2655" s="85" t="s">
        <v>4197</v>
      </c>
      <c r="K2655" s="85" t="s">
        <v>10729</v>
      </c>
      <c r="L2655" s="85" t="s">
        <v>10730</v>
      </c>
      <c r="M2655" s="85" t="s">
        <v>10731</v>
      </c>
    </row>
    <row r="2656" ht="228" spans="1:13">
      <c r="A2656" s="85" t="s">
        <v>10732</v>
      </c>
      <c r="B2656" s="85" t="s">
        <v>7775</v>
      </c>
      <c r="C2656" s="85" t="s">
        <v>7776</v>
      </c>
      <c r="D2656" s="85" t="s">
        <v>7777</v>
      </c>
      <c r="E2656" s="85" t="s">
        <v>7776</v>
      </c>
      <c r="F2656" s="86">
        <v>33000</v>
      </c>
      <c r="G2656" s="86">
        <v>1</v>
      </c>
      <c r="H2656" s="86">
        <v>33000</v>
      </c>
      <c r="I2656" s="86">
        <v>33000</v>
      </c>
      <c r="J2656" s="85" t="s">
        <v>8725</v>
      </c>
      <c r="K2656" s="85" t="s">
        <v>10733</v>
      </c>
      <c r="L2656" s="85" t="s">
        <v>10730</v>
      </c>
      <c r="M2656" s="85" t="s">
        <v>10734</v>
      </c>
    </row>
    <row r="2657" ht="228" spans="1:13">
      <c r="A2657" s="85" t="s">
        <v>10735</v>
      </c>
      <c r="B2657" s="85" t="s">
        <v>8889</v>
      </c>
      <c r="C2657" s="85" t="s">
        <v>8890</v>
      </c>
      <c r="D2657" s="85" t="s">
        <v>3288</v>
      </c>
      <c r="E2657" s="85" t="s">
        <v>8890</v>
      </c>
      <c r="F2657" s="86">
        <v>120</v>
      </c>
      <c r="G2657" s="86">
        <v>2</v>
      </c>
      <c r="H2657" s="86">
        <v>240</v>
      </c>
      <c r="I2657" s="86">
        <v>240</v>
      </c>
      <c r="J2657" s="85" t="s">
        <v>2935</v>
      </c>
      <c r="K2657" s="85" t="s">
        <v>10736</v>
      </c>
      <c r="L2657" s="85" t="s">
        <v>10737</v>
      </c>
      <c r="M2657" s="85" t="s">
        <v>10738</v>
      </c>
    </row>
    <row r="2658" ht="228" spans="1:13">
      <c r="A2658" s="85" t="s">
        <v>10739</v>
      </c>
      <c r="B2658" s="85" t="s">
        <v>10740</v>
      </c>
      <c r="C2658" s="85" t="s">
        <v>10741</v>
      </c>
      <c r="D2658" s="85" t="s">
        <v>9350</v>
      </c>
      <c r="E2658" s="85" t="s">
        <v>10742</v>
      </c>
      <c r="F2658" s="86">
        <v>27</v>
      </c>
      <c r="G2658" s="86">
        <v>10</v>
      </c>
      <c r="H2658" s="86">
        <v>270</v>
      </c>
      <c r="I2658" s="86">
        <v>8333.26</v>
      </c>
      <c r="J2658" s="85" t="s">
        <v>2935</v>
      </c>
      <c r="K2658" s="85" t="s">
        <v>10743</v>
      </c>
      <c r="L2658" s="85" t="s">
        <v>10737</v>
      </c>
      <c r="M2658" s="85" t="s">
        <v>10744</v>
      </c>
    </row>
    <row r="2659" ht="228" spans="1:13">
      <c r="A2659" s="85" t="s">
        <v>10745</v>
      </c>
      <c r="B2659" s="85" t="s">
        <v>9433</v>
      </c>
      <c r="C2659" s="85" t="s">
        <v>9434</v>
      </c>
      <c r="D2659" s="85" t="s">
        <v>7100</v>
      </c>
      <c r="E2659" s="85" t="s">
        <v>9435</v>
      </c>
      <c r="F2659" s="86">
        <v>215.6</v>
      </c>
      <c r="G2659" s="86">
        <v>3</v>
      </c>
      <c r="H2659" s="86">
        <v>646.8</v>
      </c>
      <c r="I2659" s="86">
        <v>3787.94</v>
      </c>
      <c r="J2659" s="85" t="s">
        <v>4391</v>
      </c>
      <c r="K2659" s="85" t="s">
        <v>10743</v>
      </c>
      <c r="L2659" s="85" t="s">
        <v>10737</v>
      </c>
      <c r="M2659" s="85" t="s">
        <v>10746</v>
      </c>
    </row>
    <row r="2660" ht="228" spans="1:13">
      <c r="A2660" s="85" t="s">
        <v>10739</v>
      </c>
      <c r="B2660" s="85" t="s">
        <v>10747</v>
      </c>
      <c r="C2660" s="85" t="s">
        <v>10748</v>
      </c>
      <c r="D2660" s="85" t="s">
        <v>3046</v>
      </c>
      <c r="E2660" s="85" t="s">
        <v>6506</v>
      </c>
      <c r="F2660" s="86">
        <v>129</v>
      </c>
      <c r="G2660" s="86">
        <v>3</v>
      </c>
      <c r="H2660" s="86">
        <v>387</v>
      </c>
      <c r="I2660" s="86">
        <v>8333.26</v>
      </c>
      <c r="J2660" s="85" t="s">
        <v>2935</v>
      </c>
      <c r="K2660" s="85" t="s">
        <v>10743</v>
      </c>
      <c r="L2660" s="85" t="s">
        <v>10737</v>
      </c>
      <c r="M2660" s="85" t="s">
        <v>10749</v>
      </c>
    </row>
    <row r="2661" ht="228" spans="1:13">
      <c r="A2661" s="85" t="s">
        <v>10739</v>
      </c>
      <c r="B2661" s="85" t="s">
        <v>9044</v>
      </c>
      <c r="C2661" s="85" t="s">
        <v>9045</v>
      </c>
      <c r="D2661" s="85" t="s">
        <v>5368</v>
      </c>
      <c r="E2661" s="85" t="s">
        <v>9046</v>
      </c>
      <c r="F2661" s="86">
        <v>272</v>
      </c>
      <c r="G2661" s="86">
        <v>7</v>
      </c>
      <c r="H2661" s="86">
        <v>1904</v>
      </c>
      <c r="I2661" s="86">
        <v>8333.26</v>
      </c>
      <c r="J2661" s="85" t="s">
        <v>2935</v>
      </c>
      <c r="K2661" s="85" t="s">
        <v>10743</v>
      </c>
      <c r="L2661" s="85" t="s">
        <v>10737</v>
      </c>
      <c r="M2661" s="85" t="s">
        <v>10750</v>
      </c>
    </row>
    <row r="2662" ht="228" spans="1:13">
      <c r="A2662" s="85" t="s">
        <v>10739</v>
      </c>
      <c r="B2662" s="85" t="s">
        <v>10751</v>
      </c>
      <c r="C2662" s="85" t="s">
        <v>10752</v>
      </c>
      <c r="D2662" s="85" t="s">
        <v>6122</v>
      </c>
      <c r="E2662" s="85" t="s">
        <v>6123</v>
      </c>
      <c r="F2662" s="86">
        <v>20</v>
      </c>
      <c r="G2662" s="86">
        <v>50</v>
      </c>
      <c r="H2662" s="86">
        <v>1000</v>
      </c>
      <c r="I2662" s="86">
        <v>8333.26</v>
      </c>
      <c r="J2662" s="85" t="s">
        <v>2935</v>
      </c>
      <c r="K2662" s="85" t="s">
        <v>10743</v>
      </c>
      <c r="L2662" s="85" t="s">
        <v>10737</v>
      </c>
      <c r="M2662" s="85" t="s">
        <v>10753</v>
      </c>
    </row>
    <row r="2663" ht="228" spans="1:13">
      <c r="A2663" s="85" t="s">
        <v>10739</v>
      </c>
      <c r="B2663" s="85" t="s">
        <v>8964</v>
      </c>
      <c r="C2663" s="85" t="s">
        <v>8965</v>
      </c>
      <c r="D2663" s="85" t="s">
        <v>3046</v>
      </c>
      <c r="E2663" s="85" t="s">
        <v>6506</v>
      </c>
      <c r="F2663" s="86">
        <v>1140</v>
      </c>
      <c r="G2663" s="86">
        <v>2</v>
      </c>
      <c r="H2663" s="86">
        <v>2280</v>
      </c>
      <c r="I2663" s="86">
        <v>8333.26</v>
      </c>
      <c r="J2663" s="85" t="s">
        <v>2935</v>
      </c>
      <c r="K2663" s="85" t="s">
        <v>10743</v>
      </c>
      <c r="L2663" s="85" t="s">
        <v>10737</v>
      </c>
      <c r="M2663" s="85" t="s">
        <v>10754</v>
      </c>
    </row>
    <row r="2664" ht="228" spans="1:13">
      <c r="A2664" s="85" t="s">
        <v>10739</v>
      </c>
      <c r="B2664" s="85" t="s">
        <v>10755</v>
      </c>
      <c r="C2664" s="85" t="s">
        <v>10756</v>
      </c>
      <c r="D2664" s="85" t="s">
        <v>4251</v>
      </c>
      <c r="E2664" s="85" t="s">
        <v>7136</v>
      </c>
      <c r="F2664" s="86">
        <v>30.1</v>
      </c>
      <c r="G2664" s="86">
        <v>6</v>
      </c>
      <c r="H2664" s="86">
        <v>180.6</v>
      </c>
      <c r="I2664" s="86">
        <v>8333.26</v>
      </c>
      <c r="J2664" s="85" t="s">
        <v>2935</v>
      </c>
      <c r="K2664" s="85" t="s">
        <v>10743</v>
      </c>
      <c r="L2664" s="85" t="s">
        <v>10737</v>
      </c>
      <c r="M2664" s="85" t="s">
        <v>10757</v>
      </c>
    </row>
    <row r="2665" ht="228" spans="1:13">
      <c r="A2665" s="85" t="s">
        <v>10745</v>
      </c>
      <c r="B2665" s="85" t="s">
        <v>10758</v>
      </c>
      <c r="C2665" s="85" t="s">
        <v>10759</v>
      </c>
      <c r="D2665" s="85" t="s">
        <v>6122</v>
      </c>
      <c r="E2665" s="85" t="s">
        <v>6424</v>
      </c>
      <c r="F2665" s="86">
        <v>41.16</v>
      </c>
      <c r="G2665" s="86">
        <v>10</v>
      </c>
      <c r="H2665" s="86">
        <v>411.6</v>
      </c>
      <c r="I2665" s="86">
        <v>3787.94</v>
      </c>
      <c r="J2665" s="85" t="s">
        <v>4391</v>
      </c>
      <c r="K2665" s="85" t="s">
        <v>10743</v>
      </c>
      <c r="L2665" s="85" t="s">
        <v>10737</v>
      </c>
      <c r="M2665" s="85" t="s">
        <v>10760</v>
      </c>
    </row>
    <row r="2666" ht="228" spans="1:13">
      <c r="A2666" s="85" t="s">
        <v>10739</v>
      </c>
      <c r="B2666" s="85" t="s">
        <v>10761</v>
      </c>
      <c r="C2666" s="85" t="s">
        <v>10762</v>
      </c>
      <c r="D2666" s="85" t="s">
        <v>4886</v>
      </c>
      <c r="E2666" s="85" t="s">
        <v>10763</v>
      </c>
      <c r="F2666" s="86">
        <v>208.74</v>
      </c>
      <c r="G2666" s="86">
        <v>9</v>
      </c>
      <c r="H2666" s="86">
        <v>1878.66</v>
      </c>
      <c r="I2666" s="86">
        <v>8333.26</v>
      </c>
      <c r="J2666" s="85" t="s">
        <v>2935</v>
      </c>
      <c r="K2666" s="85" t="s">
        <v>10743</v>
      </c>
      <c r="L2666" s="85" t="s">
        <v>10737</v>
      </c>
      <c r="M2666" s="85" t="s">
        <v>10764</v>
      </c>
    </row>
    <row r="2667" ht="228" spans="1:13">
      <c r="A2667" s="85" t="s">
        <v>10745</v>
      </c>
      <c r="B2667" s="85" t="s">
        <v>10765</v>
      </c>
      <c r="C2667" s="85" t="s">
        <v>10766</v>
      </c>
      <c r="D2667" s="85" t="s">
        <v>3959</v>
      </c>
      <c r="E2667" s="85" t="s">
        <v>6829</v>
      </c>
      <c r="F2667" s="86">
        <v>220.5</v>
      </c>
      <c r="G2667" s="86">
        <v>10</v>
      </c>
      <c r="H2667" s="86">
        <v>2205</v>
      </c>
      <c r="I2667" s="86">
        <v>3787.94</v>
      </c>
      <c r="J2667" s="85" t="s">
        <v>4391</v>
      </c>
      <c r="K2667" s="85" t="s">
        <v>10743</v>
      </c>
      <c r="L2667" s="85" t="s">
        <v>10737</v>
      </c>
      <c r="M2667" s="85" t="s">
        <v>10767</v>
      </c>
    </row>
    <row r="2668" ht="228" spans="1:13">
      <c r="A2668" s="85" t="s">
        <v>10739</v>
      </c>
      <c r="B2668" s="85" t="s">
        <v>10768</v>
      </c>
      <c r="C2668" s="85" t="s">
        <v>10769</v>
      </c>
      <c r="D2668" s="85" t="s">
        <v>8460</v>
      </c>
      <c r="E2668" s="85" t="s">
        <v>10770</v>
      </c>
      <c r="F2668" s="86">
        <v>13.5</v>
      </c>
      <c r="G2668" s="86">
        <v>10</v>
      </c>
      <c r="H2668" s="86">
        <v>135</v>
      </c>
      <c r="I2668" s="86">
        <v>8333.26</v>
      </c>
      <c r="J2668" s="85" t="s">
        <v>2935</v>
      </c>
      <c r="K2668" s="85" t="s">
        <v>10743</v>
      </c>
      <c r="L2668" s="85" t="s">
        <v>10737</v>
      </c>
      <c r="M2668" s="85" t="s">
        <v>10771</v>
      </c>
    </row>
    <row r="2669" ht="228" spans="1:13">
      <c r="A2669" s="85" t="s">
        <v>10745</v>
      </c>
      <c r="B2669" s="85" t="s">
        <v>10772</v>
      </c>
      <c r="C2669" s="85" t="s">
        <v>10773</v>
      </c>
      <c r="D2669" s="85" t="s">
        <v>3430</v>
      </c>
      <c r="E2669" s="85" t="s">
        <v>10774</v>
      </c>
      <c r="F2669" s="86">
        <v>56.84</v>
      </c>
      <c r="G2669" s="86">
        <v>1</v>
      </c>
      <c r="H2669" s="86">
        <v>56.84</v>
      </c>
      <c r="I2669" s="86">
        <v>3787.94</v>
      </c>
      <c r="J2669" s="85" t="s">
        <v>4391</v>
      </c>
      <c r="K2669" s="85" t="s">
        <v>10743</v>
      </c>
      <c r="L2669" s="85" t="s">
        <v>10737</v>
      </c>
      <c r="M2669" s="85" t="s">
        <v>10775</v>
      </c>
    </row>
    <row r="2670" ht="228" spans="1:13">
      <c r="A2670" s="85" t="s">
        <v>10739</v>
      </c>
      <c r="B2670" s="85" t="s">
        <v>10776</v>
      </c>
      <c r="C2670" s="85" t="s">
        <v>10777</v>
      </c>
      <c r="D2670" s="85" t="s">
        <v>4340</v>
      </c>
      <c r="E2670" s="85" t="s">
        <v>9508</v>
      </c>
      <c r="F2670" s="86">
        <v>149</v>
      </c>
      <c r="G2670" s="86">
        <v>2</v>
      </c>
      <c r="H2670" s="86">
        <v>298</v>
      </c>
      <c r="I2670" s="86">
        <v>8333.26</v>
      </c>
      <c r="J2670" s="85" t="s">
        <v>2935</v>
      </c>
      <c r="K2670" s="85" t="s">
        <v>10743</v>
      </c>
      <c r="L2670" s="85" t="s">
        <v>10737</v>
      </c>
      <c r="M2670" s="85" t="s">
        <v>10778</v>
      </c>
    </row>
    <row r="2671" ht="228" spans="1:13">
      <c r="A2671" s="85" t="s">
        <v>10745</v>
      </c>
      <c r="B2671" s="85" t="s">
        <v>10779</v>
      </c>
      <c r="C2671" s="85" t="s">
        <v>10780</v>
      </c>
      <c r="D2671" s="85" t="s">
        <v>10116</v>
      </c>
      <c r="E2671" s="85" t="s">
        <v>10117</v>
      </c>
      <c r="F2671" s="86">
        <v>7.06</v>
      </c>
      <c r="G2671" s="86">
        <v>50</v>
      </c>
      <c r="H2671" s="86">
        <v>353</v>
      </c>
      <c r="I2671" s="86">
        <v>3787.94</v>
      </c>
      <c r="J2671" s="85" t="s">
        <v>4391</v>
      </c>
      <c r="K2671" s="85" t="s">
        <v>10743</v>
      </c>
      <c r="L2671" s="85" t="s">
        <v>10737</v>
      </c>
      <c r="M2671" s="85" t="s">
        <v>10781</v>
      </c>
    </row>
    <row r="2672" ht="228" spans="1:13">
      <c r="A2672" s="85" t="s">
        <v>10745</v>
      </c>
      <c r="B2672" s="85" t="s">
        <v>10782</v>
      </c>
      <c r="C2672" s="85" t="s">
        <v>10783</v>
      </c>
      <c r="D2672" s="85" t="s">
        <v>6122</v>
      </c>
      <c r="E2672" s="85" t="s">
        <v>6424</v>
      </c>
      <c r="F2672" s="86">
        <v>11.47</v>
      </c>
      <c r="G2672" s="86">
        <v>10</v>
      </c>
      <c r="H2672" s="86">
        <v>114.7</v>
      </c>
      <c r="I2672" s="86">
        <v>3787.94</v>
      </c>
      <c r="J2672" s="85" t="s">
        <v>4391</v>
      </c>
      <c r="K2672" s="85" t="s">
        <v>10743</v>
      </c>
      <c r="L2672" s="85" t="s">
        <v>10737</v>
      </c>
      <c r="M2672" s="85" t="s">
        <v>10784</v>
      </c>
    </row>
    <row r="2673" ht="228" spans="1:13">
      <c r="A2673" s="85" t="s">
        <v>10785</v>
      </c>
      <c r="B2673" s="85" t="s">
        <v>6401</v>
      </c>
      <c r="C2673" s="85" t="s">
        <v>6402</v>
      </c>
      <c r="D2673" s="85" t="s">
        <v>3985</v>
      </c>
      <c r="E2673" s="85" t="s">
        <v>6403</v>
      </c>
      <c r="F2673" s="86">
        <v>45</v>
      </c>
      <c r="G2673" s="86">
        <v>4</v>
      </c>
      <c r="H2673" s="86">
        <v>180</v>
      </c>
      <c r="I2673" s="86">
        <v>1044</v>
      </c>
      <c r="J2673" s="85" t="s">
        <v>2935</v>
      </c>
      <c r="K2673" s="85" t="s">
        <v>10786</v>
      </c>
      <c r="L2673" s="85" t="s">
        <v>10737</v>
      </c>
      <c r="M2673" s="85" t="s">
        <v>10787</v>
      </c>
    </row>
    <row r="2674" ht="228" spans="1:13">
      <c r="A2674" s="85" t="s">
        <v>10785</v>
      </c>
      <c r="B2674" s="85" t="s">
        <v>9259</v>
      </c>
      <c r="C2674" s="85" t="s">
        <v>9260</v>
      </c>
      <c r="D2674" s="85" t="s">
        <v>3985</v>
      </c>
      <c r="E2674" s="85" t="s">
        <v>6502</v>
      </c>
      <c r="F2674" s="86">
        <v>32</v>
      </c>
      <c r="G2674" s="86">
        <v>2</v>
      </c>
      <c r="H2674" s="86">
        <v>64</v>
      </c>
      <c r="I2674" s="86">
        <v>1044</v>
      </c>
      <c r="J2674" s="85" t="s">
        <v>2935</v>
      </c>
      <c r="K2674" s="85" t="s">
        <v>10786</v>
      </c>
      <c r="L2674" s="85" t="s">
        <v>10737</v>
      </c>
      <c r="M2674" s="85" t="s">
        <v>10788</v>
      </c>
    </row>
    <row r="2675" ht="228" spans="1:13">
      <c r="A2675" s="85" t="s">
        <v>10785</v>
      </c>
      <c r="B2675" s="85" t="s">
        <v>10789</v>
      </c>
      <c r="C2675" s="85" t="s">
        <v>10790</v>
      </c>
      <c r="D2675" s="85" t="s">
        <v>10791</v>
      </c>
      <c r="E2675" s="85" t="s">
        <v>10792</v>
      </c>
      <c r="F2675" s="86">
        <v>65</v>
      </c>
      <c r="G2675" s="86">
        <v>2</v>
      </c>
      <c r="H2675" s="86">
        <v>130</v>
      </c>
      <c r="I2675" s="86">
        <v>1044</v>
      </c>
      <c r="J2675" s="85" t="s">
        <v>2935</v>
      </c>
      <c r="K2675" s="85" t="s">
        <v>10786</v>
      </c>
      <c r="L2675" s="85" t="s">
        <v>10737</v>
      </c>
      <c r="M2675" s="85" t="s">
        <v>10793</v>
      </c>
    </row>
    <row r="2676" ht="228" spans="1:13">
      <c r="A2676" s="85" t="s">
        <v>10785</v>
      </c>
      <c r="B2676" s="85" t="s">
        <v>9854</v>
      </c>
      <c r="C2676" s="85" t="s">
        <v>9855</v>
      </c>
      <c r="D2676" s="85" t="s">
        <v>3434</v>
      </c>
      <c r="E2676" s="85" t="s">
        <v>9856</v>
      </c>
      <c r="F2676" s="86">
        <v>7</v>
      </c>
      <c r="G2676" s="86">
        <v>10</v>
      </c>
      <c r="H2676" s="86">
        <v>70</v>
      </c>
      <c r="I2676" s="86">
        <v>1044</v>
      </c>
      <c r="J2676" s="85" t="s">
        <v>2935</v>
      </c>
      <c r="K2676" s="85" t="s">
        <v>10786</v>
      </c>
      <c r="L2676" s="85" t="s">
        <v>10737</v>
      </c>
      <c r="M2676" s="85" t="s">
        <v>10794</v>
      </c>
    </row>
    <row r="2677" ht="228" spans="1:13">
      <c r="A2677" s="85" t="s">
        <v>10785</v>
      </c>
      <c r="B2677" s="85" t="s">
        <v>9243</v>
      </c>
      <c r="C2677" s="85" t="s">
        <v>9244</v>
      </c>
      <c r="D2677" s="85" t="s">
        <v>9245</v>
      </c>
      <c r="E2677" s="85" t="s">
        <v>9246</v>
      </c>
      <c r="F2677" s="86">
        <v>3</v>
      </c>
      <c r="G2677" s="86">
        <v>200</v>
      </c>
      <c r="H2677" s="86">
        <v>600</v>
      </c>
      <c r="I2677" s="86">
        <v>1044</v>
      </c>
      <c r="J2677" s="85" t="s">
        <v>2935</v>
      </c>
      <c r="K2677" s="85" t="s">
        <v>10786</v>
      </c>
      <c r="L2677" s="85" t="s">
        <v>10737</v>
      </c>
      <c r="M2677" s="85" t="s">
        <v>10795</v>
      </c>
    </row>
    <row r="2678" ht="228" spans="1:13">
      <c r="A2678" s="85" t="s">
        <v>10796</v>
      </c>
      <c r="B2678" s="85" t="s">
        <v>5685</v>
      </c>
      <c r="C2678" s="85" t="s">
        <v>5686</v>
      </c>
      <c r="D2678" s="85" t="s">
        <v>5687</v>
      </c>
      <c r="E2678" s="85" t="s">
        <v>1971</v>
      </c>
      <c r="F2678" s="86">
        <v>850</v>
      </c>
      <c r="G2678" s="86">
        <v>7</v>
      </c>
      <c r="H2678" s="86">
        <v>5950</v>
      </c>
      <c r="I2678" s="86">
        <v>5950</v>
      </c>
      <c r="J2678" s="85" t="s">
        <v>5688</v>
      </c>
      <c r="K2678" s="85" t="s">
        <v>10786</v>
      </c>
      <c r="L2678" s="85" t="s">
        <v>10737</v>
      </c>
      <c r="M2678" s="85" t="s">
        <v>10797</v>
      </c>
    </row>
    <row r="2679" ht="228" spans="1:13">
      <c r="A2679" s="85" t="s">
        <v>10798</v>
      </c>
      <c r="B2679" s="85" t="s">
        <v>9802</v>
      </c>
      <c r="C2679" s="85" t="s">
        <v>9803</v>
      </c>
      <c r="D2679" s="85" t="s">
        <v>3183</v>
      </c>
      <c r="E2679" s="85" t="s">
        <v>9804</v>
      </c>
      <c r="F2679" s="86">
        <v>60</v>
      </c>
      <c r="G2679" s="86">
        <v>2</v>
      </c>
      <c r="H2679" s="86">
        <v>120</v>
      </c>
      <c r="I2679" s="86">
        <v>1446.9</v>
      </c>
      <c r="J2679" s="85" t="s">
        <v>2935</v>
      </c>
      <c r="K2679" s="85" t="s">
        <v>10799</v>
      </c>
      <c r="L2679" s="85" t="s">
        <v>10737</v>
      </c>
      <c r="M2679" s="85" t="s">
        <v>10800</v>
      </c>
    </row>
    <row r="2680" ht="228" spans="1:13">
      <c r="A2680" s="85" t="s">
        <v>10798</v>
      </c>
      <c r="B2680" s="85" t="s">
        <v>8765</v>
      </c>
      <c r="C2680" s="85" t="s">
        <v>8766</v>
      </c>
      <c r="D2680" s="85" t="s">
        <v>8767</v>
      </c>
      <c r="E2680" s="85" t="s">
        <v>8768</v>
      </c>
      <c r="F2680" s="86">
        <v>49.9</v>
      </c>
      <c r="G2680" s="86">
        <v>1</v>
      </c>
      <c r="H2680" s="86">
        <v>49.9</v>
      </c>
      <c r="I2680" s="86">
        <v>1446.9</v>
      </c>
      <c r="J2680" s="85" t="s">
        <v>2935</v>
      </c>
      <c r="K2680" s="85" t="s">
        <v>10799</v>
      </c>
      <c r="L2680" s="85" t="s">
        <v>10737</v>
      </c>
      <c r="M2680" s="85" t="s">
        <v>10801</v>
      </c>
    </row>
    <row r="2681" ht="228" spans="1:13">
      <c r="A2681" s="85" t="s">
        <v>10802</v>
      </c>
      <c r="B2681" s="85" t="s">
        <v>8266</v>
      </c>
      <c r="C2681" s="85" t="s">
        <v>8267</v>
      </c>
      <c r="D2681" s="85" t="s">
        <v>3189</v>
      </c>
      <c r="E2681" s="85" t="s">
        <v>6337</v>
      </c>
      <c r="F2681" s="86">
        <v>27</v>
      </c>
      <c r="G2681" s="86">
        <v>50</v>
      </c>
      <c r="H2681" s="86">
        <v>1350</v>
      </c>
      <c r="I2681" s="86">
        <v>1350</v>
      </c>
      <c r="J2681" s="85" t="s">
        <v>8268</v>
      </c>
      <c r="K2681" s="85" t="s">
        <v>10799</v>
      </c>
      <c r="L2681" s="85" t="s">
        <v>10737</v>
      </c>
      <c r="M2681" s="85" t="s">
        <v>10803</v>
      </c>
    </row>
    <row r="2682" ht="228" spans="1:13">
      <c r="A2682" s="85" t="s">
        <v>10804</v>
      </c>
      <c r="B2682" s="85" t="s">
        <v>9214</v>
      </c>
      <c r="C2682" s="85" t="s">
        <v>9215</v>
      </c>
      <c r="D2682" s="85" t="s">
        <v>3907</v>
      </c>
      <c r="E2682" s="85" t="s">
        <v>6860</v>
      </c>
      <c r="F2682" s="86">
        <v>181.3</v>
      </c>
      <c r="G2682" s="86">
        <v>2</v>
      </c>
      <c r="H2682" s="86">
        <v>362.6</v>
      </c>
      <c r="I2682" s="86">
        <v>674.84</v>
      </c>
      <c r="J2682" s="85" t="s">
        <v>4391</v>
      </c>
      <c r="K2682" s="85" t="s">
        <v>10799</v>
      </c>
      <c r="L2682" s="85" t="s">
        <v>10737</v>
      </c>
      <c r="M2682" s="85" t="s">
        <v>10805</v>
      </c>
    </row>
    <row r="2683" ht="228" spans="1:13">
      <c r="A2683" s="85" t="s">
        <v>10806</v>
      </c>
      <c r="B2683" s="85" t="s">
        <v>10246</v>
      </c>
      <c r="C2683" s="85" t="s">
        <v>10247</v>
      </c>
      <c r="D2683" s="85" t="s">
        <v>3201</v>
      </c>
      <c r="E2683" s="85" t="s">
        <v>5227</v>
      </c>
      <c r="F2683" s="86">
        <v>60</v>
      </c>
      <c r="G2683" s="86">
        <v>4</v>
      </c>
      <c r="H2683" s="86">
        <v>240</v>
      </c>
      <c r="I2683" s="86">
        <v>1060</v>
      </c>
      <c r="J2683" s="85" t="s">
        <v>10248</v>
      </c>
      <c r="K2683" s="85" t="s">
        <v>10799</v>
      </c>
      <c r="L2683" s="85" t="s">
        <v>10737</v>
      </c>
      <c r="M2683" s="85" t="s">
        <v>10807</v>
      </c>
    </row>
    <row r="2684" ht="228" spans="1:13">
      <c r="A2684" s="85" t="s">
        <v>10806</v>
      </c>
      <c r="B2684" s="85" t="s">
        <v>10808</v>
      </c>
      <c r="C2684" s="85" t="s">
        <v>10809</v>
      </c>
      <c r="D2684" s="85" t="s">
        <v>3086</v>
      </c>
      <c r="E2684" s="85" t="s">
        <v>10810</v>
      </c>
      <c r="F2684" s="86">
        <v>11</v>
      </c>
      <c r="G2684" s="86">
        <v>20</v>
      </c>
      <c r="H2684" s="86">
        <v>220</v>
      </c>
      <c r="I2684" s="86">
        <v>1060</v>
      </c>
      <c r="J2684" s="85" t="s">
        <v>10248</v>
      </c>
      <c r="K2684" s="85" t="s">
        <v>10799</v>
      </c>
      <c r="L2684" s="85" t="s">
        <v>10737</v>
      </c>
      <c r="M2684" s="85" t="s">
        <v>10811</v>
      </c>
    </row>
    <row r="2685" ht="228" spans="1:13">
      <c r="A2685" s="85" t="s">
        <v>10804</v>
      </c>
      <c r="B2685" s="85" t="s">
        <v>10812</v>
      </c>
      <c r="C2685" s="85" t="s">
        <v>10813</v>
      </c>
      <c r="D2685" s="85" t="s">
        <v>10814</v>
      </c>
      <c r="E2685" s="85" t="s">
        <v>10815</v>
      </c>
      <c r="F2685" s="86">
        <v>25.14</v>
      </c>
      <c r="G2685" s="86">
        <v>4</v>
      </c>
      <c r="H2685" s="86">
        <v>100.56</v>
      </c>
      <c r="I2685" s="86">
        <v>674.84</v>
      </c>
      <c r="J2685" s="85" t="s">
        <v>4391</v>
      </c>
      <c r="K2685" s="85" t="s">
        <v>10799</v>
      </c>
      <c r="L2685" s="85" t="s">
        <v>10737</v>
      </c>
      <c r="M2685" s="85" t="s">
        <v>10816</v>
      </c>
    </row>
    <row r="2686" ht="228" spans="1:13">
      <c r="A2686" s="85" t="s">
        <v>10798</v>
      </c>
      <c r="B2686" s="85" t="s">
        <v>8961</v>
      </c>
      <c r="C2686" s="85" t="s">
        <v>8962</v>
      </c>
      <c r="D2686" s="85" t="s">
        <v>2977</v>
      </c>
      <c r="E2686" s="85" t="s">
        <v>8894</v>
      </c>
      <c r="F2686" s="86">
        <v>2.5</v>
      </c>
      <c r="G2686" s="86">
        <v>300</v>
      </c>
      <c r="H2686" s="86">
        <v>750</v>
      </c>
      <c r="I2686" s="86">
        <v>1446.9</v>
      </c>
      <c r="J2686" s="85" t="s">
        <v>2935</v>
      </c>
      <c r="K2686" s="85" t="s">
        <v>10799</v>
      </c>
      <c r="L2686" s="85" t="s">
        <v>10737</v>
      </c>
      <c r="M2686" s="85" t="s">
        <v>10817</v>
      </c>
    </row>
    <row r="2687" ht="228" spans="1:13">
      <c r="A2687" s="85" t="s">
        <v>10806</v>
      </c>
      <c r="B2687" s="85" t="s">
        <v>10263</v>
      </c>
      <c r="C2687" s="85" t="s">
        <v>10264</v>
      </c>
      <c r="D2687" s="85" t="s">
        <v>3201</v>
      </c>
      <c r="E2687" s="85" t="s">
        <v>5227</v>
      </c>
      <c r="F2687" s="86">
        <v>60</v>
      </c>
      <c r="G2687" s="86">
        <v>10</v>
      </c>
      <c r="H2687" s="86">
        <v>600</v>
      </c>
      <c r="I2687" s="86">
        <v>1060</v>
      </c>
      <c r="J2687" s="85" t="s">
        <v>10248</v>
      </c>
      <c r="K2687" s="85" t="s">
        <v>10799</v>
      </c>
      <c r="L2687" s="85" t="s">
        <v>10737</v>
      </c>
      <c r="M2687" s="85" t="s">
        <v>10818</v>
      </c>
    </row>
    <row r="2688" ht="228" spans="1:13">
      <c r="A2688" s="85" t="s">
        <v>10819</v>
      </c>
      <c r="B2688" s="85" t="s">
        <v>3788</v>
      </c>
      <c r="C2688" s="85" t="s">
        <v>3789</v>
      </c>
      <c r="D2688" s="85" t="s">
        <v>3189</v>
      </c>
      <c r="E2688" s="85" t="s">
        <v>3790</v>
      </c>
      <c r="F2688" s="86">
        <v>100</v>
      </c>
      <c r="G2688" s="86">
        <v>22</v>
      </c>
      <c r="H2688" s="86">
        <v>2200</v>
      </c>
      <c r="I2688" s="86">
        <v>2200</v>
      </c>
      <c r="J2688" s="85" t="s">
        <v>7934</v>
      </c>
      <c r="K2688" s="85" t="s">
        <v>10799</v>
      </c>
      <c r="L2688" s="85" t="s">
        <v>10737</v>
      </c>
      <c r="M2688" s="85" t="s">
        <v>10820</v>
      </c>
    </row>
    <row r="2689" ht="228" spans="1:13">
      <c r="A2689" s="85" t="s">
        <v>10798</v>
      </c>
      <c r="B2689" s="85" t="s">
        <v>5349</v>
      </c>
      <c r="C2689" s="85" t="s">
        <v>5350</v>
      </c>
      <c r="D2689" s="85" t="s">
        <v>3189</v>
      </c>
      <c r="E2689" s="85" t="s">
        <v>5351</v>
      </c>
      <c r="F2689" s="86">
        <v>19</v>
      </c>
      <c r="G2689" s="86">
        <v>21</v>
      </c>
      <c r="H2689" s="86">
        <v>399</v>
      </c>
      <c r="I2689" s="86">
        <v>1446.9</v>
      </c>
      <c r="J2689" s="85" t="s">
        <v>2935</v>
      </c>
      <c r="K2689" s="85" t="s">
        <v>10799</v>
      </c>
      <c r="L2689" s="85" t="s">
        <v>10737</v>
      </c>
      <c r="M2689" s="85" t="s">
        <v>10821</v>
      </c>
    </row>
    <row r="2690" ht="228" spans="1:13">
      <c r="A2690" s="85" t="s">
        <v>10804</v>
      </c>
      <c r="B2690" s="85" t="s">
        <v>10822</v>
      </c>
      <c r="C2690" s="85" t="s">
        <v>10823</v>
      </c>
      <c r="D2690" s="85" t="s">
        <v>3014</v>
      </c>
      <c r="E2690" s="85" t="s">
        <v>6940</v>
      </c>
      <c r="F2690" s="86">
        <v>35.28</v>
      </c>
      <c r="G2690" s="86">
        <v>6</v>
      </c>
      <c r="H2690" s="86">
        <v>211.68</v>
      </c>
      <c r="I2690" s="86">
        <v>674.84</v>
      </c>
      <c r="J2690" s="85" t="s">
        <v>4391</v>
      </c>
      <c r="K2690" s="85" t="s">
        <v>10799</v>
      </c>
      <c r="L2690" s="85" t="s">
        <v>10737</v>
      </c>
      <c r="M2690" s="85" t="s">
        <v>10824</v>
      </c>
    </row>
    <row r="2691" ht="228" spans="1:13">
      <c r="A2691" s="85" t="s">
        <v>10798</v>
      </c>
      <c r="B2691" s="85" t="s">
        <v>9444</v>
      </c>
      <c r="C2691" s="85" t="s">
        <v>9445</v>
      </c>
      <c r="D2691" s="85" t="s">
        <v>9446</v>
      </c>
      <c r="E2691" s="85" t="s">
        <v>9447</v>
      </c>
      <c r="F2691" s="86">
        <v>32</v>
      </c>
      <c r="G2691" s="86">
        <v>4</v>
      </c>
      <c r="H2691" s="86">
        <v>128</v>
      </c>
      <c r="I2691" s="86">
        <v>1446.9</v>
      </c>
      <c r="J2691" s="85" t="s">
        <v>2935</v>
      </c>
      <c r="K2691" s="85" t="s">
        <v>10799</v>
      </c>
      <c r="L2691" s="85" t="s">
        <v>10737</v>
      </c>
      <c r="M2691" s="85" t="s">
        <v>10825</v>
      </c>
    </row>
    <row r="2692" ht="228" spans="1:13">
      <c r="A2692" s="85" t="s">
        <v>10826</v>
      </c>
      <c r="B2692" s="85" t="s">
        <v>10526</v>
      </c>
      <c r="C2692" s="85" t="s">
        <v>10527</v>
      </c>
      <c r="D2692" s="85" t="s">
        <v>8767</v>
      </c>
      <c r="E2692" s="85" t="s">
        <v>3050</v>
      </c>
      <c r="F2692" s="86">
        <v>5.6</v>
      </c>
      <c r="G2692" s="86">
        <v>100</v>
      </c>
      <c r="H2692" s="86">
        <v>560</v>
      </c>
      <c r="I2692" s="86">
        <v>6840</v>
      </c>
      <c r="J2692" s="85" t="s">
        <v>10248</v>
      </c>
      <c r="K2692" s="85" t="s">
        <v>10827</v>
      </c>
      <c r="L2692" s="85" t="s">
        <v>10737</v>
      </c>
      <c r="M2692" s="85" t="s">
        <v>10828</v>
      </c>
    </row>
    <row r="2693" ht="228" spans="1:13">
      <c r="A2693" s="85" t="s">
        <v>10826</v>
      </c>
      <c r="B2693" s="85" t="s">
        <v>10829</v>
      </c>
      <c r="C2693" s="85" t="s">
        <v>10830</v>
      </c>
      <c r="D2693" s="85" t="s">
        <v>2992</v>
      </c>
      <c r="E2693" s="85" t="s">
        <v>1815</v>
      </c>
      <c r="F2693" s="86">
        <v>0.25</v>
      </c>
      <c r="G2693" s="86">
        <v>5000</v>
      </c>
      <c r="H2693" s="86">
        <v>1250</v>
      </c>
      <c r="I2693" s="86">
        <v>6840</v>
      </c>
      <c r="J2693" s="85" t="s">
        <v>10248</v>
      </c>
      <c r="K2693" s="85" t="s">
        <v>10827</v>
      </c>
      <c r="L2693" s="85" t="s">
        <v>10737</v>
      </c>
      <c r="M2693" s="85" t="s">
        <v>10831</v>
      </c>
    </row>
    <row r="2694" ht="228" spans="1:13">
      <c r="A2694" s="85" t="s">
        <v>10826</v>
      </c>
      <c r="B2694" s="85" t="s">
        <v>10832</v>
      </c>
      <c r="C2694" s="85" t="s">
        <v>10833</v>
      </c>
      <c r="D2694" s="85" t="s">
        <v>2992</v>
      </c>
      <c r="E2694" s="85" t="s">
        <v>1815</v>
      </c>
      <c r="F2694" s="86">
        <v>0.16</v>
      </c>
      <c r="G2694" s="86">
        <v>6000</v>
      </c>
      <c r="H2694" s="86">
        <v>960</v>
      </c>
      <c r="I2694" s="86">
        <v>6840</v>
      </c>
      <c r="J2694" s="85" t="s">
        <v>10248</v>
      </c>
      <c r="K2694" s="85" t="s">
        <v>10827</v>
      </c>
      <c r="L2694" s="85" t="s">
        <v>10737</v>
      </c>
      <c r="M2694" s="85" t="s">
        <v>10834</v>
      </c>
    </row>
    <row r="2695" ht="228" spans="1:13">
      <c r="A2695" s="85" t="s">
        <v>10835</v>
      </c>
      <c r="B2695" s="85" t="s">
        <v>10836</v>
      </c>
      <c r="C2695" s="85" t="s">
        <v>10837</v>
      </c>
      <c r="D2695" s="85" t="s">
        <v>2977</v>
      </c>
      <c r="E2695" s="85" t="s">
        <v>8894</v>
      </c>
      <c r="F2695" s="86">
        <v>517</v>
      </c>
      <c r="G2695" s="86">
        <v>2</v>
      </c>
      <c r="H2695" s="86">
        <v>1034</v>
      </c>
      <c r="I2695" s="86">
        <v>1359</v>
      </c>
      <c r="J2695" s="85" t="s">
        <v>2935</v>
      </c>
      <c r="K2695" s="85" t="s">
        <v>10827</v>
      </c>
      <c r="L2695" s="85" t="s">
        <v>10737</v>
      </c>
      <c r="M2695" s="85" t="s">
        <v>10838</v>
      </c>
    </row>
    <row r="2696" ht="228" spans="1:13">
      <c r="A2696" s="85" t="s">
        <v>10839</v>
      </c>
      <c r="B2696" s="85" t="s">
        <v>9283</v>
      </c>
      <c r="C2696" s="85" t="s">
        <v>9284</v>
      </c>
      <c r="D2696" s="85" t="s">
        <v>3747</v>
      </c>
      <c r="E2696" s="85" t="s">
        <v>1827</v>
      </c>
      <c r="F2696" s="86">
        <v>135</v>
      </c>
      <c r="G2696" s="86">
        <v>150</v>
      </c>
      <c r="H2696" s="86">
        <v>20250</v>
      </c>
      <c r="I2696" s="86">
        <v>37435</v>
      </c>
      <c r="J2696" s="85" t="s">
        <v>2938</v>
      </c>
      <c r="K2696" s="85" t="s">
        <v>10827</v>
      </c>
      <c r="L2696" s="85" t="s">
        <v>10737</v>
      </c>
      <c r="M2696" s="85" t="s">
        <v>10840</v>
      </c>
    </row>
    <row r="2697" ht="228" spans="1:13">
      <c r="A2697" s="85" t="s">
        <v>10826</v>
      </c>
      <c r="B2697" s="85" t="s">
        <v>10841</v>
      </c>
      <c r="C2697" s="85" t="s">
        <v>10842</v>
      </c>
      <c r="D2697" s="85" t="s">
        <v>2992</v>
      </c>
      <c r="E2697" s="85" t="s">
        <v>1815</v>
      </c>
      <c r="F2697" s="86">
        <v>0.05</v>
      </c>
      <c r="G2697" s="86">
        <v>20000</v>
      </c>
      <c r="H2697" s="86">
        <v>1000</v>
      </c>
      <c r="I2697" s="86">
        <v>6840</v>
      </c>
      <c r="J2697" s="85" t="s">
        <v>10248</v>
      </c>
      <c r="K2697" s="85" t="s">
        <v>10827</v>
      </c>
      <c r="L2697" s="85" t="s">
        <v>10737</v>
      </c>
      <c r="M2697" s="85" t="s">
        <v>10843</v>
      </c>
    </row>
    <row r="2698" ht="228" spans="1:13">
      <c r="A2698" s="85" t="s">
        <v>10826</v>
      </c>
      <c r="B2698" s="85" t="s">
        <v>10546</v>
      </c>
      <c r="C2698" s="85" t="s">
        <v>10547</v>
      </c>
      <c r="D2698" s="85" t="s">
        <v>4911</v>
      </c>
      <c r="E2698" s="85" t="s">
        <v>4761</v>
      </c>
      <c r="F2698" s="86">
        <v>25</v>
      </c>
      <c r="G2698" s="86">
        <v>16</v>
      </c>
      <c r="H2698" s="86">
        <v>400</v>
      </c>
      <c r="I2698" s="86">
        <v>6840</v>
      </c>
      <c r="J2698" s="85" t="s">
        <v>10248</v>
      </c>
      <c r="K2698" s="85" t="s">
        <v>10827</v>
      </c>
      <c r="L2698" s="85" t="s">
        <v>10737</v>
      </c>
      <c r="M2698" s="85" t="s">
        <v>10844</v>
      </c>
    </row>
    <row r="2699" ht="228" spans="1:13">
      <c r="A2699" s="85" t="s">
        <v>10835</v>
      </c>
      <c r="B2699" s="85" t="s">
        <v>9495</v>
      </c>
      <c r="C2699" s="85" t="s">
        <v>9496</v>
      </c>
      <c r="D2699" s="85" t="s">
        <v>9497</v>
      </c>
      <c r="E2699" s="85" t="s">
        <v>8413</v>
      </c>
      <c r="F2699" s="86">
        <v>13</v>
      </c>
      <c r="G2699" s="86">
        <v>25</v>
      </c>
      <c r="H2699" s="86">
        <v>325</v>
      </c>
      <c r="I2699" s="86">
        <v>1359</v>
      </c>
      <c r="J2699" s="85" t="s">
        <v>2935</v>
      </c>
      <c r="K2699" s="85" t="s">
        <v>10827</v>
      </c>
      <c r="L2699" s="85" t="s">
        <v>10737</v>
      </c>
      <c r="M2699" s="85" t="s">
        <v>10845</v>
      </c>
    </row>
    <row r="2700" ht="228" spans="1:13">
      <c r="A2700" s="85" t="s">
        <v>10826</v>
      </c>
      <c r="B2700" s="85" t="s">
        <v>10846</v>
      </c>
      <c r="C2700" s="85" t="s">
        <v>10847</v>
      </c>
      <c r="D2700" s="85" t="s">
        <v>2992</v>
      </c>
      <c r="E2700" s="85" t="s">
        <v>1815</v>
      </c>
      <c r="F2700" s="86">
        <v>0.65</v>
      </c>
      <c r="G2700" s="86">
        <v>3000</v>
      </c>
      <c r="H2700" s="86">
        <v>1950</v>
      </c>
      <c r="I2700" s="86">
        <v>6840</v>
      </c>
      <c r="J2700" s="85" t="s">
        <v>10248</v>
      </c>
      <c r="K2700" s="85" t="s">
        <v>10827</v>
      </c>
      <c r="L2700" s="85" t="s">
        <v>10737</v>
      </c>
      <c r="M2700" s="85" t="s">
        <v>10848</v>
      </c>
    </row>
    <row r="2701" ht="228" spans="1:13">
      <c r="A2701" s="85" t="s">
        <v>10826</v>
      </c>
      <c r="B2701" s="85" t="s">
        <v>6881</v>
      </c>
      <c r="C2701" s="85" t="s">
        <v>6882</v>
      </c>
      <c r="D2701" s="85" t="s">
        <v>3753</v>
      </c>
      <c r="E2701" s="85" t="s">
        <v>5809</v>
      </c>
      <c r="F2701" s="86">
        <v>8.6</v>
      </c>
      <c r="G2701" s="86">
        <v>50</v>
      </c>
      <c r="H2701" s="86">
        <v>430</v>
      </c>
      <c r="I2701" s="86">
        <v>6840</v>
      </c>
      <c r="J2701" s="85" t="s">
        <v>10248</v>
      </c>
      <c r="K2701" s="85" t="s">
        <v>10827</v>
      </c>
      <c r="L2701" s="85" t="s">
        <v>10737</v>
      </c>
      <c r="M2701" s="85" t="s">
        <v>10849</v>
      </c>
    </row>
    <row r="2702" ht="228" spans="1:13">
      <c r="A2702" s="85" t="s">
        <v>10826</v>
      </c>
      <c r="B2702" s="85" t="s">
        <v>10850</v>
      </c>
      <c r="C2702" s="85" t="s">
        <v>10851</v>
      </c>
      <c r="D2702" s="85" t="s">
        <v>5574</v>
      </c>
      <c r="E2702" s="85" t="s">
        <v>1787</v>
      </c>
      <c r="F2702" s="86">
        <v>2.9</v>
      </c>
      <c r="G2702" s="86">
        <v>100</v>
      </c>
      <c r="H2702" s="86">
        <v>290</v>
      </c>
      <c r="I2702" s="86">
        <v>6840</v>
      </c>
      <c r="J2702" s="85" t="s">
        <v>10248</v>
      </c>
      <c r="K2702" s="85" t="s">
        <v>10827</v>
      </c>
      <c r="L2702" s="85" t="s">
        <v>10737</v>
      </c>
      <c r="M2702" s="85" t="s">
        <v>10852</v>
      </c>
    </row>
    <row r="2703" ht="228" spans="1:13">
      <c r="A2703" s="85" t="s">
        <v>10839</v>
      </c>
      <c r="B2703" s="85" t="s">
        <v>5662</v>
      </c>
      <c r="C2703" s="85" t="s">
        <v>5663</v>
      </c>
      <c r="D2703" s="85" t="s">
        <v>4076</v>
      </c>
      <c r="E2703" s="85" t="s">
        <v>1832</v>
      </c>
      <c r="F2703" s="86">
        <v>128</v>
      </c>
      <c r="G2703" s="86">
        <v>120</v>
      </c>
      <c r="H2703" s="86">
        <v>15360</v>
      </c>
      <c r="I2703" s="86">
        <v>37435</v>
      </c>
      <c r="J2703" s="85" t="s">
        <v>2938</v>
      </c>
      <c r="K2703" s="85" t="s">
        <v>10827</v>
      </c>
      <c r="L2703" s="85" t="s">
        <v>10737</v>
      </c>
      <c r="M2703" s="85" t="s">
        <v>10853</v>
      </c>
    </row>
    <row r="2704" ht="228" spans="1:13">
      <c r="A2704" s="85" t="s">
        <v>10839</v>
      </c>
      <c r="B2704" s="85" t="s">
        <v>8625</v>
      </c>
      <c r="C2704" s="85" t="s">
        <v>8626</v>
      </c>
      <c r="D2704" s="85" t="s">
        <v>3548</v>
      </c>
      <c r="E2704" s="85" t="s">
        <v>1835</v>
      </c>
      <c r="F2704" s="86">
        <v>365</v>
      </c>
      <c r="G2704" s="86">
        <v>5</v>
      </c>
      <c r="H2704" s="86">
        <v>1825</v>
      </c>
      <c r="I2704" s="86">
        <v>37435</v>
      </c>
      <c r="J2704" s="85" t="s">
        <v>2938</v>
      </c>
      <c r="K2704" s="85" t="s">
        <v>10827</v>
      </c>
      <c r="L2704" s="85" t="s">
        <v>10737</v>
      </c>
      <c r="M2704" s="85" t="s">
        <v>10854</v>
      </c>
    </row>
    <row r="2705" ht="228" spans="1:13">
      <c r="A2705" s="85" t="s">
        <v>10855</v>
      </c>
      <c r="B2705" s="85" t="s">
        <v>10856</v>
      </c>
      <c r="C2705" s="85" t="s">
        <v>10857</v>
      </c>
      <c r="D2705" s="85" t="s">
        <v>10858</v>
      </c>
      <c r="E2705" s="85" t="s">
        <v>10859</v>
      </c>
      <c r="F2705" s="86">
        <v>11.3</v>
      </c>
      <c r="G2705" s="86">
        <v>1000</v>
      </c>
      <c r="H2705" s="86">
        <v>11300</v>
      </c>
      <c r="I2705" s="86">
        <v>11300</v>
      </c>
      <c r="J2705" s="85" t="s">
        <v>3805</v>
      </c>
      <c r="K2705" s="85" t="s">
        <v>10860</v>
      </c>
      <c r="L2705" s="85" t="s">
        <v>10737</v>
      </c>
      <c r="M2705" s="85" t="s">
        <v>10861</v>
      </c>
    </row>
    <row r="2706" ht="228" spans="1:13">
      <c r="A2706" s="85" t="s">
        <v>10862</v>
      </c>
      <c r="B2706" s="85" t="s">
        <v>6783</v>
      </c>
      <c r="C2706" s="85" t="s">
        <v>6784</v>
      </c>
      <c r="D2706" s="85" t="s">
        <v>6785</v>
      </c>
      <c r="E2706" s="85" t="s">
        <v>6784</v>
      </c>
      <c r="F2706" s="86">
        <v>30160</v>
      </c>
      <c r="G2706" s="86">
        <v>1</v>
      </c>
      <c r="H2706" s="86">
        <v>30160</v>
      </c>
      <c r="I2706" s="86">
        <v>30160</v>
      </c>
      <c r="J2706" s="85" t="s">
        <v>3805</v>
      </c>
      <c r="K2706" s="85" t="s">
        <v>10863</v>
      </c>
      <c r="L2706" s="85" t="s">
        <v>10737</v>
      </c>
      <c r="M2706" s="85" t="s">
        <v>10864</v>
      </c>
    </row>
    <row r="2707" ht="228" spans="1:13">
      <c r="A2707" s="85" t="s">
        <v>10865</v>
      </c>
      <c r="B2707" s="85" t="s">
        <v>2901</v>
      </c>
      <c r="C2707" s="85" t="s">
        <v>2902</v>
      </c>
      <c r="D2707" s="85" t="s">
        <v>2903</v>
      </c>
      <c r="E2707" s="85" t="s">
        <v>2902</v>
      </c>
      <c r="F2707" s="86">
        <v>36063</v>
      </c>
      <c r="G2707" s="86">
        <v>1</v>
      </c>
      <c r="H2707" s="86">
        <v>36063</v>
      </c>
      <c r="I2707" s="86">
        <v>36063</v>
      </c>
      <c r="J2707" s="85" t="s">
        <v>4197</v>
      </c>
      <c r="K2707" s="85" t="s">
        <v>10866</v>
      </c>
      <c r="L2707" s="85" t="s">
        <v>10737</v>
      </c>
      <c r="M2707" s="85" t="s">
        <v>10867</v>
      </c>
    </row>
    <row r="2708" ht="228" spans="1:13">
      <c r="A2708" s="85" t="s">
        <v>10868</v>
      </c>
      <c r="B2708" s="85" t="s">
        <v>4062</v>
      </c>
      <c r="C2708" s="85" t="s">
        <v>4063</v>
      </c>
      <c r="D2708" s="85" t="s">
        <v>4064</v>
      </c>
      <c r="E2708" s="85" t="s">
        <v>4063</v>
      </c>
      <c r="F2708" s="86">
        <v>36786</v>
      </c>
      <c r="G2708" s="86">
        <v>1</v>
      </c>
      <c r="H2708" s="86">
        <v>36786</v>
      </c>
      <c r="I2708" s="86">
        <v>36786</v>
      </c>
      <c r="J2708" s="85" t="s">
        <v>4065</v>
      </c>
      <c r="K2708" s="85" t="s">
        <v>10869</v>
      </c>
      <c r="L2708" s="85" t="s">
        <v>10737</v>
      </c>
      <c r="M2708" s="85" t="s">
        <v>10870</v>
      </c>
    </row>
    <row r="2709" ht="228" spans="1:13">
      <c r="A2709" s="85" t="s">
        <v>10871</v>
      </c>
      <c r="B2709" s="85" t="s">
        <v>4148</v>
      </c>
      <c r="C2709" s="85" t="s">
        <v>4149</v>
      </c>
      <c r="D2709" s="85" t="s">
        <v>4150</v>
      </c>
      <c r="E2709" s="85" t="s">
        <v>4149</v>
      </c>
      <c r="F2709" s="86">
        <v>46440</v>
      </c>
      <c r="G2709" s="86">
        <v>1</v>
      </c>
      <c r="H2709" s="86">
        <v>46440</v>
      </c>
      <c r="I2709" s="86">
        <v>46440</v>
      </c>
      <c r="J2709" s="85" t="s">
        <v>7174</v>
      </c>
      <c r="K2709" s="85" t="s">
        <v>10872</v>
      </c>
      <c r="L2709" s="85" t="s">
        <v>10873</v>
      </c>
      <c r="M2709" s="85" t="s">
        <v>10874</v>
      </c>
    </row>
    <row r="2710" ht="228" spans="1:13">
      <c r="A2710" s="85" t="s">
        <v>10875</v>
      </c>
      <c r="B2710" s="85" t="s">
        <v>10876</v>
      </c>
      <c r="C2710" s="85" t="s">
        <v>10877</v>
      </c>
      <c r="D2710" s="85" t="s">
        <v>10878</v>
      </c>
      <c r="E2710" s="85" t="s">
        <v>10879</v>
      </c>
      <c r="F2710" s="86">
        <v>4.9</v>
      </c>
      <c r="G2710" s="86">
        <v>50</v>
      </c>
      <c r="H2710" s="86">
        <v>245</v>
      </c>
      <c r="I2710" s="86">
        <v>6751.89</v>
      </c>
      <c r="J2710" s="85" t="s">
        <v>4391</v>
      </c>
      <c r="K2710" s="85" t="s">
        <v>10880</v>
      </c>
      <c r="L2710" s="85" t="s">
        <v>10737</v>
      </c>
      <c r="M2710" s="85" t="s">
        <v>10881</v>
      </c>
    </row>
    <row r="2711" ht="228" spans="1:13">
      <c r="A2711" s="85" t="s">
        <v>10875</v>
      </c>
      <c r="B2711" s="85" t="s">
        <v>9518</v>
      </c>
      <c r="C2711" s="85" t="s">
        <v>9519</v>
      </c>
      <c r="D2711" s="85" t="s">
        <v>9520</v>
      </c>
      <c r="E2711" s="85" t="s">
        <v>9521</v>
      </c>
      <c r="F2711" s="86">
        <v>18.62</v>
      </c>
      <c r="G2711" s="86">
        <v>6</v>
      </c>
      <c r="H2711" s="86">
        <v>111.72</v>
      </c>
      <c r="I2711" s="86">
        <v>6751.89</v>
      </c>
      <c r="J2711" s="85" t="s">
        <v>4391</v>
      </c>
      <c r="K2711" s="85" t="s">
        <v>10880</v>
      </c>
      <c r="L2711" s="85" t="s">
        <v>10737</v>
      </c>
      <c r="M2711" s="85" t="s">
        <v>10882</v>
      </c>
    </row>
    <row r="2712" ht="228" spans="1:13">
      <c r="A2712" s="85" t="s">
        <v>10875</v>
      </c>
      <c r="B2712" s="85" t="s">
        <v>10883</v>
      </c>
      <c r="C2712" s="85" t="s">
        <v>10884</v>
      </c>
      <c r="D2712" s="85" t="s">
        <v>3148</v>
      </c>
      <c r="E2712" s="85" t="s">
        <v>4242</v>
      </c>
      <c r="F2712" s="86">
        <v>11.76</v>
      </c>
      <c r="G2712" s="86">
        <v>50</v>
      </c>
      <c r="H2712" s="86">
        <v>588</v>
      </c>
      <c r="I2712" s="86">
        <v>6751.89</v>
      </c>
      <c r="J2712" s="85" t="s">
        <v>4391</v>
      </c>
      <c r="K2712" s="85" t="s">
        <v>10880</v>
      </c>
      <c r="L2712" s="85" t="s">
        <v>10737</v>
      </c>
      <c r="M2712" s="85" t="s">
        <v>10885</v>
      </c>
    </row>
    <row r="2713" ht="228" spans="1:13">
      <c r="A2713" s="85" t="s">
        <v>10875</v>
      </c>
      <c r="B2713" s="85" t="s">
        <v>7699</v>
      </c>
      <c r="C2713" s="85" t="s">
        <v>7700</v>
      </c>
      <c r="D2713" s="85" t="s">
        <v>4772</v>
      </c>
      <c r="E2713" s="85" t="s">
        <v>4773</v>
      </c>
      <c r="F2713" s="86">
        <v>98.98</v>
      </c>
      <c r="G2713" s="86">
        <v>14</v>
      </c>
      <c r="H2713" s="86">
        <v>1385.72</v>
      </c>
      <c r="I2713" s="86">
        <v>6751.89</v>
      </c>
      <c r="J2713" s="85" t="s">
        <v>4391</v>
      </c>
      <c r="K2713" s="85" t="s">
        <v>10880</v>
      </c>
      <c r="L2713" s="85" t="s">
        <v>10737</v>
      </c>
      <c r="M2713" s="85" t="s">
        <v>10886</v>
      </c>
    </row>
    <row r="2714" ht="228" spans="1:13">
      <c r="A2714" s="85" t="s">
        <v>10875</v>
      </c>
      <c r="B2714" s="85" t="s">
        <v>9210</v>
      </c>
      <c r="C2714" s="85" t="s">
        <v>9211</v>
      </c>
      <c r="D2714" s="85" t="s">
        <v>3189</v>
      </c>
      <c r="E2714" s="85" t="s">
        <v>9212</v>
      </c>
      <c r="F2714" s="86">
        <v>181.3</v>
      </c>
      <c r="G2714" s="86">
        <v>8</v>
      </c>
      <c r="H2714" s="86">
        <v>1450.4</v>
      </c>
      <c r="I2714" s="86">
        <v>6751.89</v>
      </c>
      <c r="J2714" s="85" t="s">
        <v>4391</v>
      </c>
      <c r="K2714" s="85" t="s">
        <v>10880</v>
      </c>
      <c r="L2714" s="85" t="s">
        <v>10737</v>
      </c>
      <c r="M2714" s="85" t="s">
        <v>10887</v>
      </c>
    </row>
    <row r="2715" ht="228" spans="1:13">
      <c r="A2715" s="85" t="s">
        <v>10875</v>
      </c>
      <c r="B2715" s="85" t="s">
        <v>10154</v>
      </c>
      <c r="C2715" s="85" t="s">
        <v>10155</v>
      </c>
      <c r="D2715" s="85" t="s">
        <v>9480</v>
      </c>
      <c r="E2715" s="85" t="s">
        <v>9481</v>
      </c>
      <c r="F2715" s="86">
        <v>3.92</v>
      </c>
      <c r="G2715" s="86">
        <v>20</v>
      </c>
      <c r="H2715" s="86">
        <v>78.4</v>
      </c>
      <c r="I2715" s="86">
        <v>6751.89</v>
      </c>
      <c r="J2715" s="85" t="s">
        <v>4391</v>
      </c>
      <c r="K2715" s="85" t="s">
        <v>10880</v>
      </c>
      <c r="L2715" s="85" t="s">
        <v>10737</v>
      </c>
      <c r="M2715" s="85" t="s">
        <v>10888</v>
      </c>
    </row>
    <row r="2716" ht="228" spans="1:13">
      <c r="A2716" s="85" t="s">
        <v>10889</v>
      </c>
      <c r="B2716" s="85" t="s">
        <v>10846</v>
      </c>
      <c r="C2716" s="85" t="s">
        <v>10847</v>
      </c>
      <c r="D2716" s="85" t="s">
        <v>2992</v>
      </c>
      <c r="E2716" s="85" t="s">
        <v>1815</v>
      </c>
      <c r="F2716" s="86">
        <v>0.65</v>
      </c>
      <c r="G2716" s="86">
        <v>6000</v>
      </c>
      <c r="H2716" s="86">
        <v>3900</v>
      </c>
      <c r="I2716" s="86">
        <v>20789.5</v>
      </c>
      <c r="J2716" s="85" t="s">
        <v>10248</v>
      </c>
      <c r="K2716" s="85" t="s">
        <v>10880</v>
      </c>
      <c r="L2716" s="85" t="s">
        <v>10737</v>
      </c>
      <c r="M2716" s="85" t="s">
        <v>10890</v>
      </c>
    </row>
    <row r="2717" ht="228" spans="1:13">
      <c r="A2717" s="85" t="s">
        <v>10889</v>
      </c>
      <c r="B2717" s="85" t="s">
        <v>10832</v>
      </c>
      <c r="C2717" s="85" t="s">
        <v>10833</v>
      </c>
      <c r="D2717" s="85" t="s">
        <v>2992</v>
      </c>
      <c r="E2717" s="85" t="s">
        <v>1815</v>
      </c>
      <c r="F2717" s="86">
        <v>0.16</v>
      </c>
      <c r="G2717" s="86">
        <v>24000</v>
      </c>
      <c r="H2717" s="86">
        <v>3840</v>
      </c>
      <c r="I2717" s="86">
        <v>20789.5</v>
      </c>
      <c r="J2717" s="85" t="s">
        <v>10248</v>
      </c>
      <c r="K2717" s="85" t="s">
        <v>10880</v>
      </c>
      <c r="L2717" s="85" t="s">
        <v>10737</v>
      </c>
      <c r="M2717" s="85" t="s">
        <v>10891</v>
      </c>
    </row>
    <row r="2718" ht="228" spans="1:13">
      <c r="A2718" s="85" t="s">
        <v>10889</v>
      </c>
      <c r="B2718" s="85" t="s">
        <v>10892</v>
      </c>
      <c r="C2718" s="85" t="s">
        <v>10893</v>
      </c>
      <c r="D2718" s="85" t="s">
        <v>4911</v>
      </c>
      <c r="E2718" s="85" t="s">
        <v>4761</v>
      </c>
      <c r="F2718" s="86">
        <v>7.9</v>
      </c>
      <c r="G2718" s="86">
        <v>5</v>
      </c>
      <c r="H2718" s="86">
        <v>39.5</v>
      </c>
      <c r="I2718" s="86">
        <v>20789.5</v>
      </c>
      <c r="J2718" s="85" t="s">
        <v>10248</v>
      </c>
      <c r="K2718" s="85" t="s">
        <v>10880</v>
      </c>
      <c r="L2718" s="85" t="s">
        <v>10737</v>
      </c>
      <c r="M2718" s="85" t="s">
        <v>10894</v>
      </c>
    </row>
    <row r="2719" ht="228" spans="1:13">
      <c r="A2719" s="85" t="s">
        <v>10889</v>
      </c>
      <c r="B2719" s="85" t="s">
        <v>10841</v>
      </c>
      <c r="C2719" s="85" t="s">
        <v>10842</v>
      </c>
      <c r="D2719" s="85" t="s">
        <v>2992</v>
      </c>
      <c r="E2719" s="85" t="s">
        <v>1815</v>
      </c>
      <c r="F2719" s="86">
        <v>0.05</v>
      </c>
      <c r="G2719" s="86">
        <v>80000</v>
      </c>
      <c r="H2719" s="86">
        <v>4000</v>
      </c>
      <c r="I2719" s="86">
        <v>20789.5</v>
      </c>
      <c r="J2719" s="85" t="s">
        <v>10248</v>
      </c>
      <c r="K2719" s="85" t="s">
        <v>10880</v>
      </c>
      <c r="L2719" s="85" t="s">
        <v>10737</v>
      </c>
      <c r="M2719" s="85" t="s">
        <v>10895</v>
      </c>
    </row>
    <row r="2720" ht="228" spans="1:13">
      <c r="A2720" s="85" t="s">
        <v>10875</v>
      </c>
      <c r="B2720" s="85" t="s">
        <v>9530</v>
      </c>
      <c r="C2720" s="85" t="s">
        <v>9531</v>
      </c>
      <c r="D2720" s="85" t="s">
        <v>3907</v>
      </c>
      <c r="E2720" s="85" t="s">
        <v>3908</v>
      </c>
      <c r="F2720" s="86">
        <v>7.15</v>
      </c>
      <c r="G2720" s="86">
        <v>50</v>
      </c>
      <c r="H2720" s="86">
        <v>357.5</v>
      </c>
      <c r="I2720" s="86">
        <v>6751.89</v>
      </c>
      <c r="J2720" s="85" t="s">
        <v>4391</v>
      </c>
      <c r="K2720" s="85" t="s">
        <v>10880</v>
      </c>
      <c r="L2720" s="85" t="s">
        <v>10737</v>
      </c>
      <c r="M2720" s="85" t="s">
        <v>10896</v>
      </c>
    </row>
    <row r="2721" ht="228" spans="1:13">
      <c r="A2721" s="85" t="s">
        <v>10875</v>
      </c>
      <c r="B2721" s="85" t="s">
        <v>10765</v>
      </c>
      <c r="C2721" s="85" t="s">
        <v>10766</v>
      </c>
      <c r="D2721" s="85" t="s">
        <v>3959</v>
      </c>
      <c r="E2721" s="85" t="s">
        <v>6829</v>
      </c>
      <c r="F2721" s="86">
        <v>220.5</v>
      </c>
      <c r="G2721" s="86">
        <v>10</v>
      </c>
      <c r="H2721" s="86">
        <v>2205</v>
      </c>
      <c r="I2721" s="86">
        <v>6751.89</v>
      </c>
      <c r="J2721" s="85" t="s">
        <v>4391</v>
      </c>
      <c r="K2721" s="85" t="s">
        <v>10880</v>
      </c>
      <c r="L2721" s="85" t="s">
        <v>10737</v>
      </c>
      <c r="M2721" s="85" t="s">
        <v>10897</v>
      </c>
    </row>
    <row r="2722" ht="228" spans="1:13">
      <c r="A2722" s="85" t="s">
        <v>10889</v>
      </c>
      <c r="B2722" s="85" t="s">
        <v>10829</v>
      </c>
      <c r="C2722" s="85" t="s">
        <v>10830</v>
      </c>
      <c r="D2722" s="85" t="s">
        <v>2992</v>
      </c>
      <c r="E2722" s="85" t="s">
        <v>1815</v>
      </c>
      <c r="F2722" s="86">
        <v>0.25</v>
      </c>
      <c r="G2722" s="86">
        <v>13000</v>
      </c>
      <c r="H2722" s="86">
        <v>3250</v>
      </c>
      <c r="I2722" s="86">
        <v>20789.5</v>
      </c>
      <c r="J2722" s="85" t="s">
        <v>10248</v>
      </c>
      <c r="K2722" s="85" t="s">
        <v>10880</v>
      </c>
      <c r="L2722" s="85" t="s">
        <v>10737</v>
      </c>
      <c r="M2722" s="85" t="s">
        <v>10898</v>
      </c>
    </row>
    <row r="2723" ht="228" spans="1:13">
      <c r="A2723" s="85" t="s">
        <v>10875</v>
      </c>
      <c r="B2723" s="85" t="s">
        <v>10899</v>
      </c>
      <c r="C2723" s="85" t="s">
        <v>10900</v>
      </c>
      <c r="D2723" s="85" t="s">
        <v>3680</v>
      </c>
      <c r="E2723" s="85" t="s">
        <v>5462</v>
      </c>
      <c r="F2723" s="86">
        <v>2.94</v>
      </c>
      <c r="G2723" s="86">
        <v>100</v>
      </c>
      <c r="H2723" s="86">
        <v>294</v>
      </c>
      <c r="I2723" s="86">
        <v>6751.89</v>
      </c>
      <c r="J2723" s="85" t="s">
        <v>4391</v>
      </c>
      <c r="K2723" s="85" t="s">
        <v>10880</v>
      </c>
      <c r="L2723" s="85" t="s">
        <v>10737</v>
      </c>
      <c r="M2723" s="85" t="s">
        <v>10901</v>
      </c>
    </row>
    <row r="2724" ht="228" spans="1:13">
      <c r="A2724" s="85" t="s">
        <v>10889</v>
      </c>
      <c r="B2724" s="85" t="s">
        <v>10902</v>
      </c>
      <c r="C2724" s="85" t="s">
        <v>10903</v>
      </c>
      <c r="D2724" s="85" t="s">
        <v>9140</v>
      </c>
      <c r="E2724" s="85" t="s">
        <v>3209</v>
      </c>
      <c r="F2724" s="86">
        <v>5.6</v>
      </c>
      <c r="G2724" s="86">
        <v>600</v>
      </c>
      <c r="H2724" s="86">
        <v>3360</v>
      </c>
      <c r="I2724" s="86">
        <v>20789.5</v>
      </c>
      <c r="J2724" s="85" t="s">
        <v>10248</v>
      </c>
      <c r="K2724" s="85" t="s">
        <v>10880</v>
      </c>
      <c r="L2724" s="85" t="s">
        <v>10737</v>
      </c>
      <c r="M2724" s="85" t="s">
        <v>10904</v>
      </c>
    </row>
    <row r="2725" ht="228" spans="1:13">
      <c r="A2725" s="85" t="s">
        <v>10889</v>
      </c>
      <c r="B2725" s="85" t="s">
        <v>10263</v>
      </c>
      <c r="C2725" s="85" t="s">
        <v>10264</v>
      </c>
      <c r="D2725" s="85" t="s">
        <v>3201</v>
      </c>
      <c r="E2725" s="85" t="s">
        <v>5227</v>
      </c>
      <c r="F2725" s="86">
        <v>60</v>
      </c>
      <c r="G2725" s="86">
        <v>20</v>
      </c>
      <c r="H2725" s="86">
        <v>1200</v>
      </c>
      <c r="I2725" s="86">
        <v>20789.5</v>
      </c>
      <c r="J2725" s="85" t="s">
        <v>10248</v>
      </c>
      <c r="K2725" s="85" t="s">
        <v>10880</v>
      </c>
      <c r="L2725" s="85" t="s">
        <v>10737</v>
      </c>
      <c r="M2725" s="85" t="s">
        <v>10905</v>
      </c>
    </row>
    <row r="2726" ht="228" spans="1:13">
      <c r="A2726" s="85" t="s">
        <v>10875</v>
      </c>
      <c r="B2726" s="85" t="s">
        <v>8857</v>
      </c>
      <c r="C2726" s="85" t="s">
        <v>8858</v>
      </c>
      <c r="D2726" s="85" t="s">
        <v>3241</v>
      </c>
      <c r="E2726" s="85" t="s">
        <v>3242</v>
      </c>
      <c r="F2726" s="86">
        <v>12.05</v>
      </c>
      <c r="G2726" s="86">
        <v>3</v>
      </c>
      <c r="H2726" s="86">
        <v>36.15</v>
      </c>
      <c r="I2726" s="86">
        <v>6751.89</v>
      </c>
      <c r="J2726" s="85" t="s">
        <v>4391</v>
      </c>
      <c r="K2726" s="85" t="s">
        <v>10880</v>
      </c>
      <c r="L2726" s="85" t="s">
        <v>10737</v>
      </c>
      <c r="M2726" s="85" t="s">
        <v>10906</v>
      </c>
    </row>
    <row r="2727" ht="228" spans="1:13">
      <c r="A2727" s="85" t="s">
        <v>10889</v>
      </c>
      <c r="B2727" s="85" t="s">
        <v>10246</v>
      </c>
      <c r="C2727" s="85" t="s">
        <v>10247</v>
      </c>
      <c r="D2727" s="85" t="s">
        <v>3201</v>
      </c>
      <c r="E2727" s="85" t="s">
        <v>5227</v>
      </c>
      <c r="F2727" s="86">
        <v>60</v>
      </c>
      <c r="G2727" s="86">
        <v>20</v>
      </c>
      <c r="H2727" s="86">
        <v>1200</v>
      </c>
      <c r="I2727" s="86">
        <v>20789.5</v>
      </c>
      <c r="J2727" s="85" t="s">
        <v>10248</v>
      </c>
      <c r="K2727" s="85" t="s">
        <v>10880</v>
      </c>
      <c r="L2727" s="85" t="s">
        <v>10737</v>
      </c>
      <c r="M2727" s="85" t="s">
        <v>10907</v>
      </c>
    </row>
    <row r="2728" ht="228" spans="1:13">
      <c r="A2728" s="85" t="s">
        <v>10908</v>
      </c>
      <c r="B2728" s="85" t="s">
        <v>2917</v>
      </c>
      <c r="C2728" s="85" t="s">
        <v>2918</v>
      </c>
      <c r="D2728" s="85" t="s">
        <v>2919</v>
      </c>
      <c r="E2728" s="85" t="s">
        <v>2918</v>
      </c>
      <c r="F2728" s="86">
        <v>95560</v>
      </c>
      <c r="G2728" s="86">
        <v>1</v>
      </c>
      <c r="H2728" s="86">
        <v>95560</v>
      </c>
      <c r="I2728" s="86">
        <v>95560</v>
      </c>
      <c r="J2728" s="85" t="s">
        <v>8289</v>
      </c>
      <c r="K2728" s="85" t="s">
        <v>10909</v>
      </c>
      <c r="L2728" s="85" t="s">
        <v>10737</v>
      </c>
      <c r="M2728" s="85" t="s">
        <v>10910</v>
      </c>
    </row>
    <row r="2729" ht="228" spans="1:13">
      <c r="A2729" s="85" t="s">
        <v>10911</v>
      </c>
      <c r="B2729" s="85" t="s">
        <v>2917</v>
      </c>
      <c r="C2729" s="85" t="s">
        <v>2918</v>
      </c>
      <c r="D2729" s="85" t="s">
        <v>2919</v>
      </c>
      <c r="E2729" s="85" t="s">
        <v>2918</v>
      </c>
      <c r="F2729" s="86">
        <v>48000</v>
      </c>
      <c r="G2729" s="86">
        <v>1</v>
      </c>
      <c r="H2729" s="86">
        <v>48000</v>
      </c>
      <c r="I2729" s="86">
        <v>48000</v>
      </c>
      <c r="J2729" s="85" t="s">
        <v>4058</v>
      </c>
      <c r="K2729" s="85" t="s">
        <v>10912</v>
      </c>
      <c r="L2729" s="85" t="s">
        <v>10737</v>
      </c>
      <c r="M2729" s="85" t="s">
        <v>10913</v>
      </c>
    </row>
    <row r="2730" ht="228" spans="1:13">
      <c r="A2730" s="85" t="s">
        <v>10914</v>
      </c>
      <c r="B2730" s="85" t="s">
        <v>8625</v>
      </c>
      <c r="C2730" s="85" t="s">
        <v>8626</v>
      </c>
      <c r="D2730" s="85" t="s">
        <v>3548</v>
      </c>
      <c r="E2730" s="85" t="s">
        <v>1835</v>
      </c>
      <c r="F2730" s="86">
        <v>365</v>
      </c>
      <c r="G2730" s="86">
        <v>3</v>
      </c>
      <c r="H2730" s="86">
        <v>1095</v>
      </c>
      <c r="I2730" s="86">
        <v>44595</v>
      </c>
      <c r="J2730" s="85" t="s">
        <v>2938</v>
      </c>
      <c r="K2730" s="85" t="s">
        <v>10915</v>
      </c>
      <c r="L2730" s="85" t="s">
        <v>10737</v>
      </c>
      <c r="M2730" s="85" t="s">
        <v>10916</v>
      </c>
    </row>
    <row r="2731" ht="228" spans="1:13">
      <c r="A2731" s="85" t="s">
        <v>10917</v>
      </c>
      <c r="B2731" s="85" t="s">
        <v>8964</v>
      </c>
      <c r="C2731" s="85" t="s">
        <v>8965</v>
      </c>
      <c r="D2731" s="85" t="s">
        <v>3046</v>
      </c>
      <c r="E2731" s="85" t="s">
        <v>6506</v>
      </c>
      <c r="F2731" s="86">
        <v>1140</v>
      </c>
      <c r="G2731" s="86">
        <v>2</v>
      </c>
      <c r="H2731" s="86">
        <v>2280</v>
      </c>
      <c r="I2731" s="86">
        <v>18831.1</v>
      </c>
      <c r="J2731" s="85" t="s">
        <v>2935</v>
      </c>
      <c r="K2731" s="85" t="s">
        <v>10915</v>
      </c>
      <c r="L2731" s="85" t="s">
        <v>10737</v>
      </c>
      <c r="M2731" s="85" t="s">
        <v>10918</v>
      </c>
    </row>
    <row r="2732" ht="228" spans="1:13">
      <c r="A2732" s="85" t="s">
        <v>10917</v>
      </c>
      <c r="B2732" s="85" t="s">
        <v>10029</v>
      </c>
      <c r="C2732" s="85" t="s">
        <v>10030</v>
      </c>
      <c r="D2732" s="85" t="s">
        <v>7009</v>
      </c>
      <c r="E2732" s="85" t="s">
        <v>10031</v>
      </c>
      <c r="F2732" s="86">
        <v>10</v>
      </c>
      <c r="G2732" s="86">
        <v>80</v>
      </c>
      <c r="H2732" s="86">
        <v>800</v>
      </c>
      <c r="I2732" s="86">
        <v>18831.1</v>
      </c>
      <c r="J2732" s="85" t="s">
        <v>2935</v>
      </c>
      <c r="K2732" s="85" t="s">
        <v>10915</v>
      </c>
      <c r="L2732" s="85" t="s">
        <v>10737</v>
      </c>
      <c r="M2732" s="85" t="s">
        <v>10919</v>
      </c>
    </row>
    <row r="2733" ht="228" spans="1:13">
      <c r="A2733" s="85" t="s">
        <v>10917</v>
      </c>
      <c r="B2733" s="85" t="s">
        <v>10920</v>
      </c>
      <c r="C2733" s="85" t="s">
        <v>10921</v>
      </c>
      <c r="D2733" s="85" t="s">
        <v>4487</v>
      </c>
      <c r="E2733" s="85" t="s">
        <v>2117</v>
      </c>
      <c r="F2733" s="86">
        <v>186.63</v>
      </c>
      <c r="G2733" s="86">
        <v>2</v>
      </c>
      <c r="H2733" s="86">
        <v>373.26</v>
      </c>
      <c r="I2733" s="86">
        <v>18831.1</v>
      </c>
      <c r="J2733" s="85" t="s">
        <v>2935</v>
      </c>
      <c r="K2733" s="85" t="s">
        <v>10915</v>
      </c>
      <c r="L2733" s="85" t="s">
        <v>10737</v>
      </c>
      <c r="M2733" s="85" t="s">
        <v>10922</v>
      </c>
    </row>
    <row r="2734" ht="228" spans="1:13">
      <c r="A2734" s="85" t="s">
        <v>10914</v>
      </c>
      <c r="B2734" s="85" t="s">
        <v>5662</v>
      </c>
      <c r="C2734" s="85" t="s">
        <v>5663</v>
      </c>
      <c r="D2734" s="85" t="s">
        <v>4076</v>
      </c>
      <c r="E2734" s="85" t="s">
        <v>1832</v>
      </c>
      <c r="F2734" s="86">
        <v>128</v>
      </c>
      <c r="G2734" s="86">
        <v>150</v>
      </c>
      <c r="H2734" s="86">
        <v>19200</v>
      </c>
      <c r="I2734" s="86">
        <v>44595</v>
      </c>
      <c r="J2734" s="85" t="s">
        <v>2938</v>
      </c>
      <c r="K2734" s="85" t="s">
        <v>10915</v>
      </c>
      <c r="L2734" s="85" t="s">
        <v>10737</v>
      </c>
      <c r="M2734" s="85" t="s">
        <v>10923</v>
      </c>
    </row>
    <row r="2735" ht="228" spans="1:13">
      <c r="A2735" s="85" t="s">
        <v>10917</v>
      </c>
      <c r="B2735" s="85" t="s">
        <v>10924</v>
      </c>
      <c r="C2735" s="85" t="s">
        <v>10925</v>
      </c>
      <c r="D2735" s="85" t="s">
        <v>2969</v>
      </c>
      <c r="E2735" s="85" t="s">
        <v>10926</v>
      </c>
      <c r="F2735" s="86">
        <v>4</v>
      </c>
      <c r="G2735" s="86">
        <v>30</v>
      </c>
      <c r="H2735" s="86">
        <v>120</v>
      </c>
      <c r="I2735" s="86">
        <v>18831.1</v>
      </c>
      <c r="J2735" s="85" t="s">
        <v>2935</v>
      </c>
      <c r="K2735" s="85" t="s">
        <v>10915</v>
      </c>
      <c r="L2735" s="85" t="s">
        <v>10737</v>
      </c>
      <c r="M2735" s="85" t="s">
        <v>10927</v>
      </c>
    </row>
    <row r="2736" ht="228" spans="1:13">
      <c r="A2736" s="85" t="s">
        <v>10917</v>
      </c>
      <c r="B2736" s="85" t="s">
        <v>9220</v>
      </c>
      <c r="C2736" s="85" t="s">
        <v>9221</v>
      </c>
      <c r="D2736" s="85" t="s">
        <v>6824</v>
      </c>
      <c r="E2736" s="85" t="s">
        <v>6825</v>
      </c>
      <c r="F2736" s="86">
        <v>238</v>
      </c>
      <c r="G2736" s="86">
        <v>6</v>
      </c>
      <c r="H2736" s="86">
        <v>1428</v>
      </c>
      <c r="I2736" s="86">
        <v>18831.1</v>
      </c>
      <c r="J2736" s="85" t="s">
        <v>2935</v>
      </c>
      <c r="K2736" s="85" t="s">
        <v>10915</v>
      </c>
      <c r="L2736" s="85" t="s">
        <v>10737</v>
      </c>
      <c r="M2736" s="85" t="s">
        <v>10928</v>
      </c>
    </row>
    <row r="2737" ht="228" spans="1:13">
      <c r="A2737" s="85" t="s">
        <v>10917</v>
      </c>
      <c r="B2737" s="85" t="s">
        <v>10761</v>
      </c>
      <c r="C2737" s="85" t="s">
        <v>10762</v>
      </c>
      <c r="D2737" s="85" t="s">
        <v>4886</v>
      </c>
      <c r="E2737" s="85" t="s">
        <v>10763</v>
      </c>
      <c r="F2737" s="86">
        <v>208.74</v>
      </c>
      <c r="G2737" s="86">
        <v>1</v>
      </c>
      <c r="H2737" s="86">
        <v>208.74</v>
      </c>
      <c r="I2737" s="86">
        <v>18831.1</v>
      </c>
      <c r="J2737" s="85" t="s">
        <v>2935</v>
      </c>
      <c r="K2737" s="85" t="s">
        <v>10915</v>
      </c>
      <c r="L2737" s="85" t="s">
        <v>10737</v>
      </c>
      <c r="M2737" s="85" t="s">
        <v>10929</v>
      </c>
    </row>
    <row r="2738" ht="228" spans="1:13">
      <c r="A2738" s="85" t="s">
        <v>10917</v>
      </c>
      <c r="B2738" s="85" t="s">
        <v>10930</v>
      </c>
      <c r="C2738" s="85" t="s">
        <v>10931</v>
      </c>
      <c r="D2738" s="85" t="s">
        <v>10932</v>
      </c>
      <c r="E2738" s="85" t="s">
        <v>10933</v>
      </c>
      <c r="F2738" s="86">
        <v>148</v>
      </c>
      <c r="G2738" s="86">
        <v>4</v>
      </c>
      <c r="H2738" s="86">
        <v>592</v>
      </c>
      <c r="I2738" s="86">
        <v>18831.1</v>
      </c>
      <c r="J2738" s="85" t="s">
        <v>2935</v>
      </c>
      <c r="K2738" s="85" t="s">
        <v>10915</v>
      </c>
      <c r="L2738" s="85" t="s">
        <v>10737</v>
      </c>
      <c r="M2738" s="85" t="s">
        <v>10934</v>
      </c>
    </row>
    <row r="2739" ht="228" spans="1:13">
      <c r="A2739" s="85" t="s">
        <v>10917</v>
      </c>
      <c r="B2739" s="85" t="s">
        <v>8889</v>
      </c>
      <c r="C2739" s="85" t="s">
        <v>8890</v>
      </c>
      <c r="D2739" s="85" t="s">
        <v>3288</v>
      </c>
      <c r="E2739" s="85" t="s">
        <v>8890</v>
      </c>
      <c r="F2739" s="86">
        <v>120</v>
      </c>
      <c r="G2739" s="86">
        <v>3</v>
      </c>
      <c r="H2739" s="86">
        <v>360</v>
      </c>
      <c r="I2739" s="86">
        <v>18831.1</v>
      </c>
      <c r="J2739" s="85" t="s">
        <v>2935</v>
      </c>
      <c r="K2739" s="85" t="s">
        <v>10915</v>
      </c>
      <c r="L2739" s="85" t="s">
        <v>10737</v>
      </c>
      <c r="M2739" s="85" t="s">
        <v>10935</v>
      </c>
    </row>
    <row r="2740" ht="228" spans="1:13">
      <c r="A2740" s="85" t="s">
        <v>10917</v>
      </c>
      <c r="B2740" s="85" t="s">
        <v>8865</v>
      </c>
      <c r="C2740" s="85" t="s">
        <v>8866</v>
      </c>
      <c r="D2740" s="85" t="s">
        <v>3394</v>
      </c>
      <c r="E2740" s="85" t="s">
        <v>8867</v>
      </c>
      <c r="F2740" s="86">
        <v>17.91</v>
      </c>
      <c r="G2740" s="86">
        <v>10</v>
      </c>
      <c r="H2740" s="86">
        <v>179.1</v>
      </c>
      <c r="I2740" s="86">
        <v>18831.1</v>
      </c>
      <c r="J2740" s="85" t="s">
        <v>2935</v>
      </c>
      <c r="K2740" s="85" t="s">
        <v>10915</v>
      </c>
      <c r="L2740" s="85" t="s">
        <v>10737</v>
      </c>
      <c r="M2740" s="85" t="s">
        <v>10936</v>
      </c>
    </row>
    <row r="2741" ht="228" spans="1:13">
      <c r="A2741" s="85" t="s">
        <v>10917</v>
      </c>
      <c r="B2741" s="85" t="s">
        <v>5125</v>
      </c>
      <c r="C2741" s="85" t="s">
        <v>5126</v>
      </c>
      <c r="D2741" s="85" t="s">
        <v>3082</v>
      </c>
      <c r="E2741" s="85" t="s">
        <v>5127</v>
      </c>
      <c r="F2741" s="86">
        <v>72</v>
      </c>
      <c r="G2741" s="86">
        <v>80</v>
      </c>
      <c r="H2741" s="86">
        <v>5760</v>
      </c>
      <c r="I2741" s="86">
        <v>18831.1</v>
      </c>
      <c r="J2741" s="85" t="s">
        <v>2935</v>
      </c>
      <c r="K2741" s="85" t="s">
        <v>10915</v>
      </c>
      <c r="L2741" s="85" t="s">
        <v>10737</v>
      </c>
      <c r="M2741" s="85" t="s">
        <v>10937</v>
      </c>
    </row>
    <row r="2742" ht="228" spans="1:13">
      <c r="A2742" s="85" t="s">
        <v>10917</v>
      </c>
      <c r="B2742" s="85" t="s">
        <v>10938</v>
      </c>
      <c r="C2742" s="85" t="s">
        <v>10939</v>
      </c>
      <c r="D2742" s="85" t="s">
        <v>8838</v>
      </c>
      <c r="E2742" s="85" t="s">
        <v>10940</v>
      </c>
      <c r="F2742" s="86">
        <v>7</v>
      </c>
      <c r="G2742" s="86">
        <v>5</v>
      </c>
      <c r="H2742" s="86">
        <v>35</v>
      </c>
      <c r="I2742" s="86">
        <v>18831.1</v>
      </c>
      <c r="J2742" s="85" t="s">
        <v>2935</v>
      </c>
      <c r="K2742" s="85" t="s">
        <v>10915</v>
      </c>
      <c r="L2742" s="85" t="s">
        <v>10737</v>
      </c>
      <c r="M2742" s="85" t="s">
        <v>10941</v>
      </c>
    </row>
    <row r="2743" ht="228" spans="1:13">
      <c r="A2743" s="85" t="s">
        <v>10917</v>
      </c>
      <c r="B2743" s="85" t="s">
        <v>9909</v>
      </c>
      <c r="C2743" s="85" t="s">
        <v>9910</v>
      </c>
      <c r="D2743" s="85" t="s">
        <v>2977</v>
      </c>
      <c r="E2743" s="85" t="s">
        <v>8894</v>
      </c>
      <c r="F2743" s="86">
        <v>2.36</v>
      </c>
      <c r="G2743" s="86">
        <v>200</v>
      </c>
      <c r="H2743" s="86">
        <v>472</v>
      </c>
      <c r="I2743" s="86">
        <v>18831.1</v>
      </c>
      <c r="J2743" s="85" t="s">
        <v>2935</v>
      </c>
      <c r="K2743" s="85" t="s">
        <v>10915</v>
      </c>
      <c r="L2743" s="85" t="s">
        <v>10737</v>
      </c>
      <c r="M2743" s="85" t="s">
        <v>10942</v>
      </c>
    </row>
    <row r="2744" ht="228" spans="1:13">
      <c r="A2744" s="85" t="s">
        <v>10917</v>
      </c>
      <c r="B2744" s="85" t="s">
        <v>10477</v>
      </c>
      <c r="C2744" s="85" t="s">
        <v>10478</v>
      </c>
      <c r="D2744" s="85" t="s">
        <v>3641</v>
      </c>
      <c r="E2744" s="85" t="s">
        <v>10479</v>
      </c>
      <c r="F2744" s="86">
        <v>74</v>
      </c>
      <c r="G2744" s="86">
        <v>2</v>
      </c>
      <c r="H2744" s="86">
        <v>148</v>
      </c>
      <c r="I2744" s="86">
        <v>18831.1</v>
      </c>
      <c r="J2744" s="85" t="s">
        <v>2935</v>
      </c>
      <c r="K2744" s="85" t="s">
        <v>10915</v>
      </c>
      <c r="L2744" s="85" t="s">
        <v>10737</v>
      </c>
      <c r="M2744" s="85" t="s">
        <v>10943</v>
      </c>
    </row>
    <row r="2745" ht="228" spans="1:13">
      <c r="A2745" s="85" t="s">
        <v>10917</v>
      </c>
      <c r="B2745" s="85" t="s">
        <v>8311</v>
      </c>
      <c r="C2745" s="85" t="s">
        <v>8312</v>
      </c>
      <c r="D2745" s="85" t="s">
        <v>3197</v>
      </c>
      <c r="E2745" s="85" t="s">
        <v>8312</v>
      </c>
      <c r="F2745" s="86">
        <v>1.9</v>
      </c>
      <c r="G2745" s="86">
        <v>160</v>
      </c>
      <c r="H2745" s="86">
        <v>304</v>
      </c>
      <c r="I2745" s="86">
        <v>18831.1</v>
      </c>
      <c r="J2745" s="85" t="s">
        <v>2935</v>
      </c>
      <c r="K2745" s="85" t="s">
        <v>10915</v>
      </c>
      <c r="L2745" s="85" t="s">
        <v>10737</v>
      </c>
      <c r="M2745" s="85" t="s">
        <v>10944</v>
      </c>
    </row>
    <row r="2746" ht="228" spans="1:13">
      <c r="A2746" s="85" t="s">
        <v>10917</v>
      </c>
      <c r="B2746" s="85" t="s">
        <v>8554</v>
      </c>
      <c r="C2746" s="85" t="s">
        <v>8555</v>
      </c>
      <c r="D2746" s="85" t="s">
        <v>3189</v>
      </c>
      <c r="E2746" s="85" t="s">
        <v>3190</v>
      </c>
      <c r="F2746" s="86">
        <v>59.9</v>
      </c>
      <c r="G2746" s="86">
        <v>8</v>
      </c>
      <c r="H2746" s="86">
        <v>479.2</v>
      </c>
      <c r="I2746" s="86">
        <v>18831.1</v>
      </c>
      <c r="J2746" s="85" t="s">
        <v>2935</v>
      </c>
      <c r="K2746" s="85" t="s">
        <v>10915</v>
      </c>
      <c r="L2746" s="85" t="s">
        <v>10737</v>
      </c>
      <c r="M2746" s="85" t="s">
        <v>10945</v>
      </c>
    </row>
    <row r="2747" ht="228" spans="1:13">
      <c r="A2747" s="85" t="s">
        <v>10917</v>
      </c>
      <c r="B2747" s="85" t="s">
        <v>10946</v>
      </c>
      <c r="C2747" s="85" t="s">
        <v>10947</v>
      </c>
      <c r="D2747" s="85" t="s">
        <v>4013</v>
      </c>
      <c r="E2747" s="85" t="s">
        <v>2068</v>
      </c>
      <c r="F2747" s="86">
        <v>210</v>
      </c>
      <c r="G2747" s="86">
        <v>1</v>
      </c>
      <c r="H2747" s="86">
        <v>210</v>
      </c>
      <c r="I2747" s="86">
        <v>18831.1</v>
      </c>
      <c r="J2747" s="85" t="s">
        <v>2935</v>
      </c>
      <c r="K2747" s="85" t="s">
        <v>10915</v>
      </c>
      <c r="L2747" s="85" t="s">
        <v>10737</v>
      </c>
      <c r="M2747" s="85" t="s">
        <v>10948</v>
      </c>
    </row>
    <row r="2748" ht="228" spans="1:13">
      <c r="A2748" s="85" t="s">
        <v>10917</v>
      </c>
      <c r="B2748" s="85" t="s">
        <v>6806</v>
      </c>
      <c r="C2748" s="85" t="s">
        <v>6807</v>
      </c>
      <c r="D2748" s="85" t="s">
        <v>3189</v>
      </c>
      <c r="E2748" s="85" t="s">
        <v>6804</v>
      </c>
      <c r="F2748" s="86">
        <v>92</v>
      </c>
      <c r="G2748" s="86">
        <v>1</v>
      </c>
      <c r="H2748" s="86">
        <v>92</v>
      </c>
      <c r="I2748" s="86">
        <v>18831.1</v>
      </c>
      <c r="J2748" s="85" t="s">
        <v>2935</v>
      </c>
      <c r="K2748" s="85" t="s">
        <v>10915</v>
      </c>
      <c r="L2748" s="85" t="s">
        <v>10737</v>
      </c>
      <c r="M2748" s="85" t="s">
        <v>10949</v>
      </c>
    </row>
    <row r="2749" ht="228" spans="1:13">
      <c r="A2749" s="85" t="s">
        <v>10914</v>
      </c>
      <c r="B2749" s="85" t="s">
        <v>9283</v>
      </c>
      <c r="C2749" s="85" t="s">
        <v>9284</v>
      </c>
      <c r="D2749" s="85" t="s">
        <v>3747</v>
      </c>
      <c r="E2749" s="85" t="s">
        <v>1827</v>
      </c>
      <c r="F2749" s="86">
        <v>135</v>
      </c>
      <c r="G2749" s="86">
        <v>180</v>
      </c>
      <c r="H2749" s="86">
        <v>24300</v>
      </c>
      <c r="I2749" s="86">
        <v>44595</v>
      </c>
      <c r="J2749" s="85" t="s">
        <v>2938</v>
      </c>
      <c r="K2749" s="85" t="s">
        <v>10915</v>
      </c>
      <c r="L2749" s="85" t="s">
        <v>10737</v>
      </c>
      <c r="M2749" s="85" t="s">
        <v>10950</v>
      </c>
    </row>
    <row r="2750" ht="228" spans="1:13">
      <c r="A2750" s="85" t="s">
        <v>10917</v>
      </c>
      <c r="B2750" s="85" t="s">
        <v>9802</v>
      </c>
      <c r="C2750" s="85" t="s">
        <v>9803</v>
      </c>
      <c r="D2750" s="85" t="s">
        <v>3183</v>
      </c>
      <c r="E2750" s="85" t="s">
        <v>9804</v>
      </c>
      <c r="F2750" s="86">
        <v>60</v>
      </c>
      <c r="G2750" s="86">
        <v>7</v>
      </c>
      <c r="H2750" s="86">
        <v>420</v>
      </c>
      <c r="I2750" s="86">
        <v>18831.1</v>
      </c>
      <c r="J2750" s="85" t="s">
        <v>2935</v>
      </c>
      <c r="K2750" s="85" t="s">
        <v>10915</v>
      </c>
      <c r="L2750" s="85" t="s">
        <v>10737</v>
      </c>
      <c r="M2750" s="85" t="s">
        <v>10951</v>
      </c>
    </row>
    <row r="2751" ht="228" spans="1:13">
      <c r="A2751" s="85" t="s">
        <v>10917</v>
      </c>
      <c r="B2751" s="85" t="s">
        <v>5349</v>
      </c>
      <c r="C2751" s="85" t="s">
        <v>5350</v>
      </c>
      <c r="D2751" s="85" t="s">
        <v>3189</v>
      </c>
      <c r="E2751" s="85" t="s">
        <v>5351</v>
      </c>
      <c r="F2751" s="86">
        <v>19</v>
      </c>
      <c r="G2751" s="86">
        <v>6</v>
      </c>
      <c r="H2751" s="86">
        <v>114</v>
      </c>
      <c r="I2751" s="86">
        <v>18831.1</v>
      </c>
      <c r="J2751" s="85" t="s">
        <v>2935</v>
      </c>
      <c r="K2751" s="85" t="s">
        <v>10915</v>
      </c>
      <c r="L2751" s="85" t="s">
        <v>10737</v>
      </c>
      <c r="M2751" s="85" t="s">
        <v>10952</v>
      </c>
    </row>
    <row r="2752" ht="228" spans="1:13">
      <c r="A2752" s="85" t="s">
        <v>10917</v>
      </c>
      <c r="B2752" s="85" t="s">
        <v>10953</v>
      </c>
      <c r="C2752" s="85" t="s">
        <v>10954</v>
      </c>
      <c r="D2752" s="85" t="s">
        <v>5796</v>
      </c>
      <c r="E2752" s="85" t="s">
        <v>10955</v>
      </c>
      <c r="F2752" s="86">
        <v>24.62</v>
      </c>
      <c r="G2752" s="86">
        <v>100</v>
      </c>
      <c r="H2752" s="86">
        <v>2462</v>
      </c>
      <c r="I2752" s="86">
        <v>18831.1</v>
      </c>
      <c r="J2752" s="85" t="s">
        <v>2935</v>
      </c>
      <c r="K2752" s="85" t="s">
        <v>10915</v>
      </c>
      <c r="L2752" s="85" t="s">
        <v>10737</v>
      </c>
      <c r="M2752" s="85" t="s">
        <v>10956</v>
      </c>
    </row>
    <row r="2753" ht="228" spans="1:13">
      <c r="A2753" s="85" t="s">
        <v>10917</v>
      </c>
      <c r="B2753" s="85" t="s">
        <v>9015</v>
      </c>
      <c r="C2753" s="85" t="s">
        <v>9016</v>
      </c>
      <c r="D2753" s="85" t="s">
        <v>3189</v>
      </c>
      <c r="E2753" s="85" t="s">
        <v>9017</v>
      </c>
      <c r="F2753" s="86">
        <v>49.9</v>
      </c>
      <c r="G2753" s="86">
        <v>2</v>
      </c>
      <c r="H2753" s="86">
        <v>99.8</v>
      </c>
      <c r="I2753" s="86">
        <v>18831.1</v>
      </c>
      <c r="J2753" s="85" t="s">
        <v>2935</v>
      </c>
      <c r="K2753" s="85" t="s">
        <v>10915</v>
      </c>
      <c r="L2753" s="85" t="s">
        <v>10737</v>
      </c>
      <c r="M2753" s="85" t="s">
        <v>10957</v>
      </c>
    </row>
    <row r="2754" ht="228" spans="1:13">
      <c r="A2754" s="85" t="s">
        <v>10917</v>
      </c>
      <c r="B2754" s="85" t="s">
        <v>10958</v>
      </c>
      <c r="C2754" s="85" t="s">
        <v>10959</v>
      </c>
      <c r="D2754" s="85" t="s">
        <v>5766</v>
      </c>
      <c r="E2754" s="85" t="s">
        <v>10960</v>
      </c>
      <c r="F2754" s="86">
        <v>2.88</v>
      </c>
      <c r="G2754" s="86">
        <v>50</v>
      </c>
      <c r="H2754" s="86">
        <v>144</v>
      </c>
      <c r="I2754" s="86">
        <v>18831.1</v>
      </c>
      <c r="J2754" s="85" t="s">
        <v>2935</v>
      </c>
      <c r="K2754" s="85" t="s">
        <v>10915</v>
      </c>
      <c r="L2754" s="85" t="s">
        <v>10737</v>
      </c>
      <c r="M2754" s="85" t="s">
        <v>10961</v>
      </c>
    </row>
    <row r="2755" ht="228" spans="1:13">
      <c r="A2755" s="85" t="s">
        <v>10962</v>
      </c>
      <c r="B2755" s="85" t="s">
        <v>3788</v>
      </c>
      <c r="C2755" s="85" t="s">
        <v>3789</v>
      </c>
      <c r="D2755" s="85" t="s">
        <v>3189</v>
      </c>
      <c r="E2755" s="85" t="s">
        <v>3790</v>
      </c>
      <c r="F2755" s="86">
        <v>100</v>
      </c>
      <c r="G2755" s="86">
        <v>60</v>
      </c>
      <c r="H2755" s="86">
        <v>6000</v>
      </c>
      <c r="I2755" s="86">
        <v>6000</v>
      </c>
      <c r="J2755" s="85" t="s">
        <v>7934</v>
      </c>
      <c r="K2755" s="85" t="s">
        <v>10915</v>
      </c>
      <c r="L2755" s="85" t="s">
        <v>10737</v>
      </c>
      <c r="M2755" s="85" t="s">
        <v>10963</v>
      </c>
    </row>
    <row r="2756" ht="228" spans="1:13">
      <c r="A2756" s="85" t="s">
        <v>10917</v>
      </c>
      <c r="B2756" s="85" t="s">
        <v>8961</v>
      </c>
      <c r="C2756" s="85" t="s">
        <v>8962</v>
      </c>
      <c r="D2756" s="85" t="s">
        <v>2977</v>
      </c>
      <c r="E2756" s="85" t="s">
        <v>8894</v>
      </c>
      <c r="F2756" s="86">
        <v>2.5</v>
      </c>
      <c r="G2756" s="86">
        <v>200</v>
      </c>
      <c r="H2756" s="86">
        <v>500</v>
      </c>
      <c r="I2756" s="86">
        <v>18831.1</v>
      </c>
      <c r="J2756" s="85" t="s">
        <v>2935</v>
      </c>
      <c r="K2756" s="85" t="s">
        <v>10915</v>
      </c>
      <c r="L2756" s="85" t="s">
        <v>10737</v>
      </c>
      <c r="M2756" s="85" t="s">
        <v>10964</v>
      </c>
    </row>
    <row r="2757" ht="228" spans="1:13">
      <c r="A2757" s="85" t="s">
        <v>10917</v>
      </c>
      <c r="B2757" s="85" t="s">
        <v>10965</v>
      </c>
      <c r="C2757" s="85" t="s">
        <v>10966</v>
      </c>
      <c r="D2757" s="85" t="s">
        <v>10967</v>
      </c>
      <c r="E2757" s="85" t="s">
        <v>10968</v>
      </c>
      <c r="F2757" s="86">
        <v>625</v>
      </c>
      <c r="G2757" s="86">
        <v>2</v>
      </c>
      <c r="H2757" s="86">
        <v>1250</v>
      </c>
      <c r="I2757" s="86">
        <v>18831.1</v>
      </c>
      <c r="J2757" s="85" t="s">
        <v>2935</v>
      </c>
      <c r="K2757" s="85" t="s">
        <v>10915</v>
      </c>
      <c r="L2757" s="85" t="s">
        <v>10737</v>
      </c>
      <c r="M2757" s="85" t="s">
        <v>10969</v>
      </c>
    </row>
    <row r="2758" ht="228" spans="1:13">
      <c r="A2758" s="85" t="s">
        <v>10970</v>
      </c>
      <c r="B2758" s="85" t="s">
        <v>4655</v>
      </c>
      <c r="C2758" s="85" t="s">
        <v>4656</v>
      </c>
      <c r="D2758" s="85" t="s">
        <v>4657</v>
      </c>
      <c r="E2758" s="85" t="s">
        <v>4656</v>
      </c>
      <c r="F2758" s="86">
        <v>27870</v>
      </c>
      <c r="G2758" s="86">
        <v>1</v>
      </c>
      <c r="H2758" s="86">
        <v>27870</v>
      </c>
      <c r="I2758" s="86">
        <v>27870</v>
      </c>
      <c r="J2758" s="85" t="s">
        <v>6724</v>
      </c>
      <c r="K2758" s="85" t="s">
        <v>10971</v>
      </c>
      <c r="L2758" s="85" t="s">
        <v>10737</v>
      </c>
      <c r="M2758" s="85" t="s">
        <v>10972</v>
      </c>
    </row>
    <row r="2759" ht="228" spans="1:13">
      <c r="A2759" s="85" t="s">
        <v>10973</v>
      </c>
      <c r="B2759" s="85" t="s">
        <v>2901</v>
      </c>
      <c r="C2759" s="85" t="s">
        <v>2902</v>
      </c>
      <c r="D2759" s="85" t="s">
        <v>2903</v>
      </c>
      <c r="E2759" s="85" t="s">
        <v>2902</v>
      </c>
      <c r="F2759" s="86">
        <v>850000</v>
      </c>
      <c r="G2759" s="86">
        <v>1</v>
      </c>
      <c r="H2759" s="86">
        <v>850000</v>
      </c>
      <c r="I2759" s="86">
        <v>850000</v>
      </c>
      <c r="J2759" s="85" t="s">
        <v>4054</v>
      </c>
      <c r="K2759" s="85" t="s">
        <v>10974</v>
      </c>
      <c r="L2759" s="85" t="s">
        <v>10737</v>
      </c>
      <c r="M2759" s="85" t="s">
        <v>10975</v>
      </c>
    </row>
    <row r="2760" ht="228" spans="1:13">
      <c r="A2760" s="85" t="s">
        <v>10976</v>
      </c>
      <c r="B2760" s="85" t="s">
        <v>3794</v>
      </c>
      <c r="C2760" s="85" t="s">
        <v>3795</v>
      </c>
      <c r="D2760" s="85" t="s">
        <v>3796</v>
      </c>
      <c r="E2760" s="85" t="s">
        <v>3795</v>
      </c>
      <c r="F2760" s="86">
        <v>203520</v>
      </c>
      <c r="G2760" s="86">
        <v>1</v>
      </c>
      <c r="H2760" s="86">
        <v>203520</v>
      </c>
      <c r="I2760" s="86">
        <v>203520</v>
      </c>
      <c r="J2760" s="85" t="s">
        <v>3797</v>
      </c>
      <c r="K2760" s="85" t="s">
        <v>10977</v>
      </c>
      <c r="L2760" s="85" t="s">
        <v>10737</v>
      </c>
      <c r="M2760" s="85" t="s">
        <v>10978</v>
      </c>
    </row>
    <row r="2761" ht="228" spans="1:13">
      <c r="A2761" s="85" t="s">
        <v>10979</v>
      </c>
      <c r="B2761" s="85" t="s">
        <v>4131</v>
      </c>
      <c r="C2761" s="85" t="s">
        <v>4132</v>
      </c>
      <c r="D2761" s="85" t="s">
        <v>4133</v>
      </c>
      <c r="E2761" s="85" t="s">
        <v>4132</v>
      </c>
      <c r="F2761" s="86">
        <v>49000</v>
      </c>
      <c r="G2761" s="86">
        <v>1</v>
      </c>
      <c r="H2761" s="86">
        <v>49000</v>
      </c>
      <c r="I2761" s="86">
        <v>49000</v>
      </c>
      <c r="J2761" s="85" t="s">
        <v>3898</v>
      </c>
      <c r="K2761" s="85" t="s">
        <v>10980</v>
      </c>
      <c r="L2761" s="85" t="s">
        <v>10737</v>
      </c>
      <c r="M2761" s="85" t="s">
        <v>10981</v>
      </c>
    </row>
    <row r="2762" ht="228" spans="1:13">
      <c r="A2762" s="85" t="s">
        <v>10982</v>
      </c>
      <c r="B2762" s="85" t="s">
        <v>2948</v>
      </c>
      <c r="C2762" s="85" t="s">
        <v>2949</v>
      </c>
      <c r="D2762" s="85" t="s">
        <v>2950</v>
      </c>
      <c r="E2762" s="85" t="s">
        <v>1720</v>
      </c>
      <c r="F2762" s="86">
        <v>6615.48</v>
      </c>
      <c r="G2762" s="86">
        <v>1</v>
      </c>
      <c r="H2762" s="86">
        <v>6615.48</v>
      </c>
      <c r="I2762" s="86">
        <v>6615.48</v>
      </c>
      <c r="J2762" s="85" t="s">
        <v>2935</v>
      </c>
      <c r="K2762" s="85" t="s">
        <v>10983</v>
      </c>
      <c r="L2762" s="85" t="s">
        <v>10737</v>
      </c>
      <c r="M2762" s="85" t="s">
        <v>10984</v>
      </c>
    </row>
    <row r="2763" ht="228" spans="1:13">
      <c r="A2763" s="85" t="s">
        <v>10985</v>
      </c>
      <c r="B2763" s="85" t="s">
        <v>2917</v>
      </c>
      <c r="C2763" s="85" t="s">
        <v>2918</v>
      </c>
      <c r="D2763" s="85" t="s">
        <v>2919</v>
      </c>
      <c r="E2763" s="85" t="s">
        <v>2918</v>
      </c>
      <c r="F2763" s="86">
        <v>39170</v>
      </c>
      <c r="G2763" s="86">
        <v>1</v>
      </c>
      <c r="H2763" s="86">
        <v>39170</v>
      </c>
      <c r="I2763" s="86">
        <v>39170</v>
      </c>
      <c r="J2763" s="85" t="s">
        <v>5100</v>
      </c>
      <c r="K2763" s="85" t="s">
        <v>10986</v>
      </c>
      <c r="L2763" s="85" t="s">
        <v>10737</v>
      </c>
      <c r="M2763" s="85" t="s">
        <v>10987</v>
      </c>
    </row>
    <row r="2764" ht="228" spans="1:13">
      <c r="A2764" s="85" t="s">
        <v>10988</v>
      </c>
      <c r="B2764" s="85" t="s">
        <v>10989</v>
      </c>
      <c r="C2764" s="85" t="s">
        <v>10990</v>
      </c>
      <c r="D2764" s="85" t="s">
        <v>3288</v>
      </c>
      <c r="E2764" s="85" t="s">
        <v>10991</v>
      </c>
      <c r="F2764" s="86">
        <v>24.8</v>
      </c>
      <c r="G2764" s="86">
        <v>10</v>
      </c>
      <c r="H2764" s="86">
        <v>248</v>
      </c>
      <c r="I2764" s="86">
        <v>15467.5</v>
      </c>
      <c r="J2764" s="85" t="s">
        <v>2935</v>
      </c>
      <c r="K2764" s="85" t="s">
        <v>10992</v>
      </c>
      <c r="L2764" s="85" t="s">
        <v>10737</v>
      </c>
      <c r="M2764" s="85" t="s">
        <v>10993</v>
      </c>
    </row>
    <row r="2765" ht="228" spans="1:13">
      <c r="A2765" s="85" t="s">
        <v>10988</v>
      </c>
      <c r="B2765" s="85" t="s">
        <v>10994</v>
      </c>
      <c r="C2765" s="85" t="s">
        <v>10995</v>
      </c>
      <c r="D2765" s="85" t="s">
        <v>3367</v>
      </c>
      <c r="E2765" s="85" t="s">
        <v>10996</v>
      </c>
      <c r="F2765" s="86">
        <v>4</v>
      </c>
      <c r="G2765" s="86">
        <v>10</v>
      </c>
      <c r="H2765" s="86">
        <v>40</v>
      </c>
      <c r="I2765" s="86">
        <v>15467.5</v>
      </c>
      <c r="J2765" s="85" t="s">
        <v>2935</v>
      </c>
      <c r="K2765" s="85" t="s">
        <v>10992</v>
      </c>
      <c r="L2765" s="85" t="s">
        <v>10737</v>
      </c>
      <c r="M2765" s="85" t="s">
        <v>10997</v>
      </c>
    </row>
    <row r="2766" ht="228" spans="1:13">
      <c r="A2766" s="85" t="s">
        <v>10988</v>
      </c>
      <c r="B2766" s="85" t="s">
        <v>10998</v>
      </c>
      <c r="C2766" s="85" t="s">
        <v>10999</v>
      </c>
      <c r="D2766" s="85" t="s">
        <v>6745</v>
      </c>
      <c r="E2766" s="85" t="s">
        <v>6746</v>
      </c>
      <c r="F2766" s="86">
        <v>145</v>
      </c>
      <c r="G2766" s="86">
        <v>2</v>
      </c>
      <c r="H2766" s="86">
        <v>290</v>
      </c>
      <c r="I2766" s="86">
        <v>15467.5</v>
      </c>
      <c r="J2766" s="85" t="s">
        <v>2935</v>
      </c>
      <c r="K2766" s="85" t="s">
        <v>10992</v>
      </c>
      <c r="L2766" s="85" t="s">
        <v>10737</v>
      </c>
      <c r="M2766" s="85" t="s">
        <v>11000</v>
      </c>
    </row>
    <row r="2767" ht="228" spans="1:13">
      <c r="A2767" s="85" t="s">
        <v>10988</v>
      </c>
      <c r="B2767" s="85" t="s">
        <v>11001</v>
      </c>
      <c r="C2767" s="85" t="s">
        <v>11002</v>
      </c>
      <c r="D2767" s="85" t="s">
        <v>3753</v>
      </c>
      <c r="E2767" s="85" t="s">
        <v>5809</v>
      </c>
      <c r="F2767" s="86">
        <v>3.1</v>
      </c>
      <c r="G2767" s="86">
        <v>120</v>
      </c>
      <c r="H2767" s="86">
        <v>372</v>
      </c>
      <c r="I2767" s="86">
        <v>15467.5</v>
      </c>
      <c r="J2767" s="85" t="s">
        <v>2935</v>
      </c>
      <c r="K2767" s="85" t="s">
        <v>10992</v>
      </c>
      <c r="L2767" s="85" t="s">
        <v>10737</v>
      </c>
      <c r="M2767" s="85" t="s">
        <v>11003</v>
      </c>
    </row>
    <row r="2768" ht="228" spans="1:13">
      <c r="A2768" s="85" t="s">
        <v>10988</v>
      </c>
      <c r="B2768" s="85" t="s">
        <v>11004</v>
      </c>
      <c r="C2768" s="85" t="s">
        <v>11005</v>
      </c>
      <c r="D2768" s="85" t="s">
        <v>7739</v>
      </c>
      <c r="E2768" s="85" t="s">
        <v>11005</v>
      </c>
      <c r="F2768" s="86">
        <v>20.5</v>
      </c>
      <c r="G2768" s="86">
        <v>10</v>
      </c>
      <c r="H2768" s="86">
        <v>205</v>
      </c>
      <c r="I2768" s="86">
        <v>15467.5</v>
      </c>
      <c r="J2768" s="85" t="s">
        <v>2935</v>
      </c>
      <c r="K2768" s="85" t="s">
        <v>10992</v>
      </c>
      <c r="L2768" s="85" t="s">
        <v>10737</v>
      </c>
      <c r="M2768" s="85" t="s">
        <v>11006</v>
      </c>
    </row>
    <row r="2769" ht="228" spans="1:13">
      <c r="A2769" s="85" t="s">
        <v>10988</v>
      </c>
      <c r="B2769" s="85" t="s">
        <v>8813</v>
      </c>
      <c r="C2769" s="85" t="s">
        <v>8814</v>
      </c>
      <c r="D2769" s="85" t="s">
        <v>3153</v>
      </c>
      <c r="E2769" s="85" t="s">
        <v>7689</v>
      </c>
      <c r="F2769" s="86">
        <v>76.7</v>
      </c>
      <c r="G2769" s="86">
        <v>10</v>
      </c>
      <c r="H2769" s="86">
        <v>767</v>
      </c>
      <c r="I2769" s="86">
        <v>15467.5</v>
      </c>
      <c r="J2769" s="85" t="s">
        <v>2935</v>
      </c>
      <c r="K2769" s="85" t="s">
        <v>10992</v>
      </c>
      <c r="L2769" s="85" t="s">
        <v>10737</v>
      </c>
      <c r="M2769" s="85" t="s">
        <v>11007</v>
      </c>
    </row>
    <row r="2770" ht="228" spans="1:13">
      <c r="A2770" s="85" t="s">
        <v>10988</v>
      </c>
      <c r="B2770" s="85" t="s">
        <v>11008</v>
      </c>
      <c r="C2770" s="85" t="s">
        <v>11009</v>
      </c>
      <c r="D2770" s="85" t="s">
        <v>3288</v>
      </c>
      <c r="E2770" s="85" t="s">
        <v>11010</v>
      </c>
      <c r="F2770" s="86">
        <v>109</v>
      </c>
      <c r="G2770" s="86">
        <v>4</v>
      </c>
      <c r="H2770" s="86">
        <v>436</v>
      </c>
      <c r="I2770" s="86">
        <v>15467.5</v>
      </c>
      <c r="J2770" s="85" t="s">
        <v>2935</v>
      </c>
      <c r="K2770" s="85" t="s">
        <v>10992</v>
      </c>
      <c r="L2770" s="85" t="s">
        <v>10737</v>
      </c>
      <c r="M2770" s="85" t="s">
        <v>11011</v>
      </c>
    </row>
    <row r="2771" ht="228" spans="1:13">
      <c r="A2771" s="85" t="s">
        <v>10988</v>
      </c>
      <c r="B2771" s="85" t="s">
        <v>11012</v>
      </c>
      <c r="C2771" s="85" t="s">
        <v>11013</v>
      </c>
      <c r="D2771" s="85" t="s">
        <v>3197</v>
      </c>
      <c r="E2771" s="85" t="s">
        <v>9762</v>
      </c>
      <c r="F2771" s="86">
        <v>11</v>
      </c>
      <c r="G2771" s="86">
        <v>5</v>
      </c>
      <c r="H2771" s="86">
        <v>55</v>
      </c>
      <c r="I2771" s="86">
        <v>15467.5</v>
      </c>
      <c r="J2771" s="85" t="s">
        <v>2935</v>
      </c>
      <c r="K2771" s="85" t="s">
        <v>10992</v>
      </c>
      <c r="L2771" s="85" t="s">
        <v>10737</v>
      </c>
      <c r="M2771" s="85" t="s">
        <v>11014</v>
      </c>
    </row>
    <row r="2772" ht="228" spans="1:13">
      <c r="A2772" s="85" t="s">
        <v>10988</v>
      </c>
      <c r="B2772" s="85" t="s">
        <v>11015</v>
      </c>
      <c r="C2772" s="85" t="s">
        <v>11016</v>
      </c>
      <c r="D2772" s="85" t="s">
        <v>3386</v>
      </c>
      <c r="E2772" s="85" t="s">
        <v>11017</v>
      </c>
      <c r="F2772" s="86">
        <v>17</v>
      </c>
      <c r="G2772" s="86">
        <v>6</v>
      </c>
      <c r="H2772" s="86">
        <v>102</v>
      </c>
      <c r="I2772" s="86">
        <v>15467.5</v>
      </c>
      <c r="J2772" s="85" t="s">
        <v>2935</v>
      </c>
      <c r="K2772" s="85" t="s">
        <v>10992</v>
      </c>
      <c r="L2772" s="85" t="s">
        <v>10737</v>
      </c>
      <c r="M2772" s="85" t="s">
        <v>11018</v>
      </c>
    </row>
    <row r="2773" ht="228" spans="1:13">
      <c r="A2773" s="85" t="s">
        <v>10988</v>
      </c>
      <c r="B2773" s="85" t="s">
        <v>11019</v>
      </c>
      <c r="C2773" s="85" t="s">
        <v>11020</v>
      </c>
      <c r="D2773" s="85" t="s">
        <v>3438</v>
      </c>
      <c r="E2773" s="85" t="s">
        <v>11021</v>
      </c>
      <c r="F2773" s="86">
        <v>0.45</v>
      </c>
      <c r="G2773" s="86">
        <v>1000</v>
      </c>
      <c r="H2773" s="86">
        <v>450</v>
      </c>
      <c r="I2773" s="86">
        <v>15467.5</v>
      </c>
      <c r="J2773" s="85" t="s">
        <v>2935</v>
      </c>
      <c r="K2773" s="85" t="s">
        <v>10992</v>
      </c>
      <c r="L2773" s="85" t="s">
        <v>10737</v>
      </c>
      <c r="M2773" s="85" t="s">
        <v>11022</v>
      </c>
    </row>
    <row r="2774" ht="228" spans="1:13">
      <c r="A2774" s="85" t="s">
        <v>10988</v>
      </c>
      <c r="B2774" s="85" t="s">
        <v>11023</v>
      </c>
      <c r="C2774" s="85" t="s">
        <v>11024</v>
      </c>
      <c r="D2774" s="85" t="s">
        <v>3471</v>
      </c>
      <c r="E2774" s="85" t="s">
        <v>11025</v>
      </c>
      <c r="F2774" s="86">
        <v>15</v>
      </c>
      <c r="G2774" s="86">
        <v>5</v>
      </c>
      <c r="H2774" s="86">
        <v>75</v>
      </c>
      <c r="I2774" s="86">
        <v>15467.5</v>
      </c>
      <c r="J2774" s="85" t="s">
        <v>2935</v>
      </c>
      <c r="K2774" s="85" t="s">
        <v>10992</v>
      </c>
      <c r="L2774" s="85" t="s">
        <v>10737</v>
      </c>
      <c r="M2774" s="85" t="s">
        <v>11026</v>
      </c>
    </row>
    <row r="2775" ht="228" spans="1:13">
      <c r="A2775" s="85" t="s">
        <v>10988</v>
      </c>
      <c r="B2775" s="85" t="s">
        <v>11027</v>
      </c>
      <c r="C2775" s="85" t="s">
        <v>11028</v>
      </c>
      <c r="D2775" s="85" t="s">
        <v>5909</v>
      </c>
      <c r="E2775" s="85" t="s">
        <v>5910</v>
      </c>
      <c r="F2775" s="86">
        <v>93</v>
      </c>
      <c r="G2775" s="86">
        <v>18</v>
      </c>
      <c r="H2775" s="86">
        <v>1674</v>
      </c>
      <c r="I2775" s="86">
        <v>15467.5</v>
      </c>
      <c r="J2775" s="85" t="s">
        <v>2935</v>
      </c>
      <c r="K2775" s="85" t="s">
        <v>10992</v>
      </c>
      <c r="L2775" s="85" t="s">
        <v>10737</v>
      </c>
      <c r="M2775" s="85" t="s">
        <v>11029</v>
      </c>
    </row>
    <row r="2776" ht="228" spans="1:13">
      <c r="A2776" s="85" t="s">
        <v>10988</v>
      </c>
      <c r="B2776" s="85" t="s">
        <v>11030</v>
      </c>
      <c r="C2776" s="85" t="s">
        <v>11031</v>
      </c>
      <c r="D2776" s="85" t="s">
        <v>3153</v>
      </c>
      <c r="E2776" s="85" t="s">
        <v>11031</v>
      </c>
      <c r="F2776" s="86">
        <v>4.3</v>
      </c>
      <c r="G2776" s="86">
        <v>5</v>
      </c>
      <c r="H2776" s="86">
        <v>21.5</v>
      </c>
      <c r="I2776" s="86">
        <v>15467.5</v>
      </c>
      <c r="J2776" s="85" t="s">
        <v>2935</v>
      </c>
      <c r="K2776" s="85" t="s">
        <v>10992</v>
      </c>
      <c r="L2776" s="85" t="s">
        <v>10737</v>
      </c>
      <c r="M2776" s="85" t="s">
        <v>11032</v>
      </c>
    </row>
    <row r="2777" ht="228" spans="1:13">
      <c r="A2777" s="85" t="s">
        <v>10988</v>
      </c>
      <c r="B2777" s="85" t="s">
        <v>11033</v>
      </c>
      <c r="C2777" s="85" t="s">
        <v>11034</v>
      </c>
      <c r="D2777" s="85" t="s">
        <v>3183</v>
      </c>
      <c r="E2777" s="85" t="s">
        <v>6563</v>
      </c>
      <c r="F2777" s="86">
        <v>28</v>
      </c>
      <c r="G2777" s="86">
        <v>33</v>
      </c>
      <c r="H2777" s="86">
        <v>924</v>
      </c>
      <c r="I2777" s="86">
        <v>15467.5</v>
      </c>
      <c r="J2777" s="85" t="s">
        <v>2935</v>
      </c>
      <c r="K2777" s="85" t="s">
        <v>10992</v>
      </c>
      <c r="L2777" s="85" t="s">
        <v>10737</v>
      </c>
      <c r="M2777" s="85" t="s">
        <v>11035</v>
      </c>
    </row>
    <row r="2778" ht="228" spans="1:13">
      <c r="A2778" s="85" t="s">
        <v>10988</v>
      </c>
      <c r="B2778" s="85" t="s">
        <v>11036</v>
      </c>
      <c r="C2778" s="85" t="s">
        <v>11037</v>
      </c>
      <c r="D2778" s="85" t="s">
        <v>9350</v>
      </c>
      <c r="E2778" s="85" t="s">
        <v>9351</v>
      </c>
      <c r="F2778" s="86">
        <v>65</v>
      </c>
      <c r="G2778" s="86">
        <v>10</v>
      </c>
      <c r="H2778" s="86">
        <v>650</v>
      </c>
      <c r="I2778" s="86">
        <v>15467.5</v>
      </c>
      <c r="J2778" s="85" t="s">
        <v>2935</v>
      </c>
      <c r="K2778" s="85" t="s">
        <v>10992</v>
      </c>
      <c r="L2778" s="85" t="s">
        <v>10737</v>
      </c>
      <c r="M2778" s="85" t="s">
        <v>11038</v>
      </c>
    </row>
    <row r="2779" ht="228" spans="1:13">
      <c r="A2779" s="85" t="s">
        <v>10988</v>
      </c>
      <c r="B2779" s="85" t="s">
        <v>11039</v>
      </c>
      <c r="C2779" s="85" t="s">
        <v>11040</v>
      </c>
      <c r="D2779" s="85" t="s">
        <v>3442</v>
      </c>
      <c r="E2779" s="85" t="s">
        <v>9994</v>
      </c>
      <c r="F2779" s="86">
        <v>30</v>
      </c>
      <c r="G2779" s="86">
        <v>2</v>
      </c>
      <c r="H2779" s="86">
        <v>60</v>
      </c>
      <c r="I2779" s="86">
        <v>15467.5</v>
      </c>
      <c r="J2779" s="85" t="s">
        <v>2935</v>
      </c>
      <c r="K2779" s="85" t="s">
        <v>10992</v>
      </c>
      <c r="L2779" s="85" t="s">
        <v>10737</v>
      </c>
      <c r="M2779" s="85" t="s">
        <v>11041</v>
      </c>
    </row>
    <row r="2780" ht="228" spans="1:13">
      <c r="A2780" s="85" t="s">
        <v>10988</v>
      </c>
      <c r="B2780" s="85" t="s">
        <v>11042</v>
      </c>
      <c r="C2780" s="85" t="s">
        <v>11043</v>
      </c>
      <c r="D2780" s="85" t="s">
        <v>5479</v>
      </c>
      <c r="E2780" s="85" t="s">
        <v>7807</v>
      </c>
      <c r="F2780" s="86">
        <v>18</v>
      </c>
      <c r="G2780" s="86">
        <v>20</v>
      </c>
      <c r="H2780" s="86">
        <v>360</v>
      </c>
      <c r="I2780" s="86">
        <v>15467.5</v>
      </c>
      <c r="J2780" s="85" t="s">
        <v>2935</v>
      </c>
      <c r="K2780" s="85" t="s">
        <v>10992</v>
      </c>
      <c r="L2780" s="85" t="s">
        <v>10737</v>
      </c>
      <c r="M2780" s="85" t="s">
        <v>11044</v>
      </c>
    </row>
    <row r="2781" ht="228" spans="1:13">
      <c r="A2781" s="85" t="s">
        <v>10988</v>
      </c>
      <c r="B2781" s="85" t="s">
        <v>9337</v>
      </c>
      <c r="C2781" s="85" t="s">
        <v>9338</v>
      </c>
      <c r="D2781" s="85" t="s">
        <v>3153</v>
      </c>
      <c r="E2781" s="85" t="s">
        <v>8431</v>
      </c>
      <c r="F2781" s="86">
        <v>370</v>
      </c>
      <c r="G2781" s="86">
        <v>5</v>
      </c>
      <c r="H2781" s="86">
        <v>1850</v>
      </c>
      <c r="I2781" s="86">
        <v>15467.5</v>
      </c>
      <c r="J2781" s="85" t="s">
        <v>2935</v>
      </c>
      <c r="K2781" s="85" t="s">
        <v>10992</v>
      </c>
      <c r="L2781" s="85" t="s">
        <v>10737</v>
      </c>
      <c r="M2781" s="85" t="s">
        <v>11045</v>
      </c>
    </row>
    <row r="2782" ht="228" spans="1:13">
      <c r="A2782" s="85" t="s">
        <v>11046</v>
      </c>
      <c r="B2782" s="85" t="s">
        <v>11047</v>
      </c>
      <c r="C2782" s="85" t="s">
        <v>11048</v>
      </c>
      <c r="D2782" s="85" t="s">
        <v>3753</v>
      </c>
      <c r="E2782" s="85" t="s">
        <v>11049</v>
      </c>
      <c r="F2782" s="86">
        <v>582</v>
      </c>
      <c r="G2782" s="86">
        <v>1</v>
      </c>
      <c r="H2782" s="86">
        <v>582</v>
      </c>
      <c r="I2782" s="86">
        <v>582</v>
      </c>
      <c r="J2782" s="85" t="s">
        <v>2935</v>
      </c>
      <c r="K2782" s="85" t="s">
        <v>10992</v>
      </c>
      <c r="L2782" s="85" t="s">
        <v>10737</v>
      </c>
      <c r="M2782" s="85" t="s">
        <v>11050</v>
      </c>
    </row>
    <row r="2783" ht="228" spans="1:13">
      <c r="A2783" s="85" t="s">
        <v>10988</v>
      </c>
      <c r="B2783" s="85" t="s">
        <v>9748</v>
      </c>
      <c r="C2783" s="85" t="s">
        <v>9749</v>
      </c>
      <c r="D2783" s="85" t="s">
        <v>3046</v>
      </c>
      <c r="E2783" s="85" t="s">
        <v>6506</v>
      </c>
      <c r="F2783" s="86">
        <v>377</v>
      </c>
      <c r="G2783" s="86">
        <v>4</v>
      </c>
      <c r="H2783" s="86">
        <v>1508</v>
      </c>
      <c r="I2783" s="86">
        <v>15467.5</v>
      </c>
      <c r="J2783" s="85" t="s">
        <v>2935</v>
      </c>
      <c r="K2783" s="85" t="s">
        <v>10992</v>
      </c>
      <c r="L2783" s="85" t="s">
        <v>10737</v>
      </c>
      <c r="M2783" s="85" t="s">
        <v>11051</v>
      </c>
    </row>
    <row r="2784" ht="228" spans="1:13">
      <c r="A2784" s="85" t="s">
        <v>10988</v>
      </c>
      <c r="B2784" s="85" t="s">
        <v>11052</v>
      </c>
      <c r="C2784" s="85" t="s">
        <v>11053</v>
      </c>
      <c r="D2784" s="85" t="s">
        <v>4182</v>
      </c>
      <c r="E2784" s="85" t="s">
        <v>9188</v>
      </c>
      <c r="F2784" s="86">
        <v>440</v>
      </c>
      <c r="G2784" s="86">
        <v>2</v>
      </c>
      <c r="H2784" s="86">
        <v>880</v>
      </c>
      <c r="I2784" s="86">
        <v>15467.5</v>
      </c>
      <c r="J2784" s="85" t="s">
        <v>2935</v>
      </c>
      <c r="K2784" s="85" t="s">
        <v>10992</v>
      </c>
      <c r="L2784" s="85" t="s">
        <v>10737</v>
      </c>
      <c r="M2784" s="85" t="s">
        <v>11054</v>
      </c>
    </row>
    <row r="2785" ht="228" spans="1:13">
      <c r="A2785" s="85" t="s">
        <v>10988</v>
      </c>
      <c r="B2785" s="85" t="s">
        <v>11055</v>
      </c>
      <c r="C2785" s="85" t="s">
        <v>11056</v>
      </c>
      <c r="D2785" s="85" t="s">
        <v>11057</v>
      </c>
      <c r="E2785" s="85" t="s">
        <v>11058</v>
      </c>
      <c r="F2785" s="86">
        <v>18</v>
      </c>
      <c r="G2785" s="86">
        <v>200</v>
      </c>
      <c r="H2785" s="86">
        <v>3600</v>
      </c>
      <c r="I2785" s="86">
        <v>15467.5</v>
      </c>
      <c r="J2785" s="85" t="s">
        <v>2935</v>
      </c>
      <c r="K2785" s="85" t="s">
        <v>10992</v>
      </c>
      <c r="L2785" s="85" t="s">
        <v>10737</v>
      </c>
      <c r="M2785" s="85" t="s">
        <v>11059</v>
      </c>
    </row>
    <row r="2786" ht="228" spans="1:13">
      <c r="A2786" s="85" t="s">
        <v>10988</v>
      </c>
      <c r="B2786" s="85" t="s">
        <v>11060</v>
      </c>
      <c r="C2786" s="85" t="s">
        <v>11061</v>
      </c>
      <c r="D2786" s="85" t="s">
        <v>6236</v>
      </c>
      <c r="E2786" s="85" t="s">
        <v>11061</v>
      </c>
      <c r="F2786" s="86">
        <v>2</v>
      </c>
      <c r="G2786" s="86">
        <v>5</v>
      </c>
      <c r="H2786" s="86">
        <v>10</v>
      </c>
      <c r="I2786" s="86">
        <v>15467.5</v>
      </c>
      <c r="J2786" s="85" t="s">
        <v>2935</v>
      </c>
      <c r="K2786" s="85" t="s">
        <v>10992</v>
      </c>
      <c r="L2786" s="85" t="s">
        <v>10737</v>
      </c>
      <c r="M2786" s="85" t="s">
        <v>11062</v>
      </c>
    </row>
    <row r="2787" ht="228" spans="1:13">
      <c r="A2787" s="85" t="s">
        <v>10988</v>
      </c>
      <c r="B2787" s="85" t="s">
        <v>11063</v>
      </c>
      <c r="C2787" s="85" t="s">
        <v>11064</v>
      </c>
      <c r="D2787" s="85" t="s">
        <v>5552</v>
      </c>
      <c r="E2787" s="85" t="s">
        <v>11064</v>
      </c>
      <c r="F2787" s="86">
        <v>18.5</v>
      </c>
      <c r="G2787" s="86">
        <v>20</v>
      </c>
      <c r="H2787" s="86">
        <v>370</v>
      </c>
      <c r="I2787" s="86">
        <v>15467.5</v>
      </c>
      <c r="J2787" s="85" t="s">
        <v>2935</v>
      </c>
      <c r="K2787" s="85" t="s">
        <v>10992</v>
      </c>
      <c r="L2787" s="85" t="s">
        <v>10737</v>
      </c>
      <c r="M2787" s="85" t="s">
        <v>11065</v>
      </c>
    </row>
    <row r="2788" ht="228" spans="1:13">
      <c r="A2788" s="85" t="s">
        <v>10988</v>
      </c>
      <c r="B2788" s="85" t="s">
        <v>8429</v>
      </c>
      <c r="C2788" s="85" t="s">
        <v>8430</v>
      </c>
      <c r="D2788" s="85" t="s">
        <v>3153</v>
      </c>
      <c r="E2788" s="85" t="s">
        <v>8431</v>
      </c>
      <c r="F2788" s="86">
        <v>260</v>
      </c>
      <c r="G2788" s="86">
        <v>2</v>
      </c>
      <c r="H2788" s="86">
        <v>520</v>
      </c>
      <c r="I2788" s="86">
        <v>15467.5</v>
      </c>
      <c r="J2788" s="85" t="s">
        <v>2935</v>
      </c>
      <c r="K2788" s="85" t="s">
        <v>10992</v>
      </c>
      <c r="L2788" s="85" t="s">
        <v>10737</v>
      </c>
      <c r="M2788" s="85" t="s">
        <v>11066</v>
      </c>
    </row>
    <row r="2789" ht="228" spans="1:13">
      <c r="A2789" s="85" t="s">
        <v>11067</v>
      </c>
      <c r="B2789" s="85" t="s">
        <v>9283</v>
      </c>
      <c r="C2789" s="85" t="s">
        <v>9284</v>
      </c>
      <c r="D2789" s="85" t="s">
        <v>3747</v>
      </c>
      <c r="E2789" s="85" t="s">
        <v>1827</v>
      </c>
      <c r="F2789" s="86">
        <v>135</v>
      </c>
      <c r="G2789" s="86">
        <v>230</v>
      </c>
      <c r="H2789" s="86">
        <v>31050</v>
      </c>
      <c r="I2789" s="86">
        <v>58475</v>
      </c>
      <c r="J2789" s="85" t="s">
        <v>2938</v>
      </c>
      <c r="K2789" s="85" t="s">
        <v>11068</v>
      </c>
      <c r="L2789" s="85" t="s">
        <v>10737</v>
      </c>
      <c r="M2789" s="85" t="s">
        <v>11069</v>
      </c>
    </row>
    <row r="2790" ht="228" spans="1:13">
      <c r="A2790" s="85" t="s">
        <v>11067</v>
      </c>
      <c r="B2790" s="85" t="s">
        <v>5662</v>
      </c>
      <c r="C2790" s="85" t="s">
        <v>5663</v>
      </c>
      <c r="D2790" s="85" t="s">
        <v>4076</v>
      </c>
      <c r="E2790" s="85" t="s">
        <v>1832</v>
      </c>
      <c r="F2790" s="86">
        <v>128</v>
      </c>
      <c r="G2790" s="86">
        <v>200</v>
      </c>
      <c r="H2790" s="86">
        <v>25600</v>
      </c>
      <c r="I2790" s="86">
        <v>58475</v>
      </c>
      <c r="J2790" s="85" t="s">
        <v>2938</v>
      </c>
      <c r="K2790" s="85" t="s">
        <v>11068</v>
      </c>
      <c r="L2790" s="85" t="s">
        <v>10737</v>
      </c>
      <c r="M2790" s="85" t="s">
        <v>11070</v>
      </c>
    </row>
    <row r="2791" ht="228" spans="1:13">
      <c r="A2791" s="85" t="s">
        <v>11071</v>
      </c>
      <c r="B2791" s="85" t="s">
        <v>3788</v>
      </c>
      <c r="C2791" s="85" t="s">
        <v>3789</v>
      </c>
      <c r="D2791" s="85" t="s">
        <v>3189</v>
      </c>
      <c r="E2791" s="85" t="s">
        <v>3790</v>
      </c>
      <c r="F2791" s="86">
        <v>100</v>
      </c>
      <c r="G2791" s="86">
        <v>30</v>
      </c>
      <c r="H2791" s="86">
        <v>3000</v>
      </c>
      <c r="I2791" s="86">
        <v>3000</v>
      </c>
      <c r="J2791" s="85" t="s">
        <v>7934</v>
      </c>
      <c r="K2791" s="85" t="s">
        <v>11068</v>
      </c>
      <c r="L2791" s="85" t="s">
        <v>10737</v>
      </c>
      <c r="M2791" s="85" t="s">
        <v>11072</v>
      </c>
    </row>
    <row r="2792" ht="228" spans="1:13">
      <c r="A2792" s="85" t="s">
        <v>11073</v>
      </c>
      <c r="B2792" s="85" t="s">
        <v>4537</v>
      </c>
      <c r="C2792" s="85" t="s">
        <v>10044</v>
      </c>
      <c r="D2792" s="85" t="s">
        <v>2997</v>
      </c>
      <c r="E2792" s="85" t="s">
        <v>2998</v>
      </c>
      <c r="F2792" s="86">
        <v>18</v>
      </c>
      <c r="G2792" s="86">
        <v>300</v>
      </c>
      <c r="H2792" s="86">
        <v>5400</v>
      </c>
      <c r="I2792" s="86">
        <v>5400</v>
      </c>
      <c r="J2792" s="85" t="s">
        <v>2999</v>
      </c>
      <c r="K2792" s="85" t="s">
        <v>11068</v>
      </c>
      <c r="L2792" s="85" t="s">
        <v>10737</v>
      </c>
      <c r="M2792" s="85" t="s">
        <v>11074</v>
      </c>
    </row>
    <row r="2793" ht="228" spans="1:13">
      <c r="A2793" s="85" t="s">
        <v>11067</v>
      </c>
      <c r="B2793" s="85" t="s">
        <v>8625</v>
      </c>
      <c r="C2793" s="85" t="s">
        <v>8626</v>
      </c>
      <c r="D2793" s="85" t="s">
        <v>3548</v>
      </c>
      <c r="E2793" s="85" t="s">
        <v>1835</v>
      </c>
      <c r="F2793" s="86">
        <v>365</v>
      </c>
      <c r="G2793" s="86">
        <v>5</v>
      </c>
      <c r="H2793" s="86">
        <v>1825</v>
      </c>
      <c r="I2793" s="86">
        <v>58475</v>
      </c>
      <c r="J2793" s="85" t="s">
        <v>2938</v>
      </c>
      <c r="K2793" s="85" t="s">
        <v>11068</v>
      </c>
      <c r="L2793" s="85" t="s">
        <v>10737</v>
      </c>
      <c r="M2793" s="85" t="s">
        <v>11075</v>
      </c>
    </row>
    <row r="2794" ht="228" spans="1:13">
      <c r="A2794" s="85" t="s">
        <v>11076</v>
      </c>
      <c r="B2794" s="85" t="s">
        <v>8266</v>
      </c>
      <c r="C2794" s="85" t="s">
        <v>11077</v>
      </c>
      <c r="D2794" s="85" t="s">
        <v>3189</v>
      </c>
      <c r="E2794" s="85" t="s">
        <v>6337</v>
      </c>
      <c r="F2794" s="86">
        <v>27</v>
      </c>
      <c r="G2794" s="86">
        <v>100</v>
      </c>
      <c r="H2794" s="86">
        <v>2700</v>
      </c>
      <c r="I2794" s="86">
        <v>2700</v>
      </c>
      <c r="J2794" s="85" t="s">
        <v>8268</v>
      </c>
      <c r="K2794" s="85" t="s">
        <v>11078</v>
      </c>
      <c r="L2794" s="85" t="s">
        <v>10737</v>
      </c>
      <c r="M2794" s="85" t="s">
        <v>11079</v>
      </c>
    </row>
    <row r="2795" ht="228" spans="1:13">
      <c r="A2795" s="85" t="s">
        <v>11080</v>
      </c>
      <c r="B2795" s="85" t="s">
        <v>3123</v>
      </c>
      <c r="C2795" s="85" t="s">
        <v>3124</v>
      </c>
      <c r="D2795" s="85" t="s">
        <v>3125</v>
      </c>
      <c r="E2795" s="85" t="s">
        <v>3124</v>
      </c>
      <c r="F2795" s="86">
        <v>2768.5</v>
      </c>
      <c r="G2795" s="86">
        <v>1</v>
      </c>
      <c r="H2795" s="86">
        <v>2768.5</v>
      </c>
      <c r="I2795" s="86">
        <v>2768.5</v>
      </c>
      <c r="J2795" s="85" t="s">
        <v>3816</v>
      </c>
      <c r="K2795" s="85" t="s">
        <v>11081</v>
      </c>
      <c r="L2795" s="85" t="s">
        <v>10737</v>
      </c>
      <c r="M2795" s="85" t="s">
        <v>11082</v>
      </c>
    </row>
    <row r="2796" ht="228" spans="1:13">
      <c r="A2796" s="85" t="s">
        <v>11083</v>
      </c>
      <c r="B2796" s="85" t="s">
        <v>2901</v>
      </c>
      <c r="C2796" s="85" t="s">
        <v>2902</v>
      </c>
      <c r="D2796" s="85" t="s">
        <v>2903</v>
      </c>
      <c r="E2796" s="85" t="s">
        <v>2902</v>
      </c>
      <c r="F2796" s="86">
        <v>23180</v>
      </c>
      <c r="G2796" s="86">
        <v>1</v>
      </c>
      <c r="H2796" s="86">
        <v>23180</v>
      </c>
      <c r="I2796" s="86">
        <v>23180</v>
      </c>
      <c r="J2796" s="85" t="s">
        <v>4054</v>
      </c>
      <c r="K2796" s="85" t="s">
        <v>11084</v>
      </c>
      <c r="L2796" s="85" t="s">
        <v>10737</v>
      </c>
      <c r="M2796" s="85" t="s">
        <v>11085</v>
      </c>
    </row>
    <row r="2797" ht="228" spans="1:13">
      <c r="A2797" s="85" t="s">
        <v>11086</v>
      </c>
      <c r="B2797" s="85" t="s">
        <v>11087</v>
      </c>
      <c r="C2797" s="85" t="s">
        <v>11088</v>
      </c>
      <c r="D2797" s="85" t="s">
        <v>3241</v>
      </c>
      <c r="E2797" s="85" t="s">
        <v>4216</v>
      </c>
      <c r="F2797" s="86">
        <v>13</v>
      </c>
      <c r="G2797" s="86">
        <v>4000</v>
      </c>
      <c r="H2797" s="86">
        <v>52000</v>
      </c>
      <c r="I2797" s="86">
        <v>76900</v>
      </c>
      <c r="J2797" s="85" t="s">
        <v>2935</v>
      </c>
      <c r="K2797" s="85" t="s">
        <v>11089</v>
      </c>
      <c r="L2797" s="85" t="s">
        <v>10737</v>
      </c>
      <c r="M2797" s="85" t="s">
        <v>11090</v>
      </c>
    </row>
    <row r="2798" ht="228" spans="1:13">
      <c r="A2798" s="85" t="s">
        <v>11086</v>
      </c>
      <c r="B2798" s="85" t="s">
        <v>6442</v>
      </c>
      <c r="C2798" s="85" t="s">
        <v>6443</v>
      </c>
      <c r="D2798" s="85" t="s">
        <v>3398</v>
      </c>
      <c r="E2798" s="85" t="s">
        <v>6444</v>
      </c>
      <c r="F2798" s="86">
        <v>4980</v>
      </c>
      <c r="G2798" s="86">
        <v>5</v>
      </c>
      <c r="H2798" s="86">
        <v>24900</v>
      </c>
      <c r="I2798" s="86">
        <v>76900</v>
      </c>
      <c r="J2798" s="85" t="s">
        <v>2935</v>
      </c>
      <c r="K2798" s="85" t="s">
        <v>11089</v>
      </c>
      <c r="L2798" s="85" t="s">
        <v>10737</v>
      </c>
      <c r="M2798" s="85" t="s">
        <v>11091</v>
      </c>
    </row>
    <row r="2799" ht="228" spans="1:13">
      <c r="A2799" s="85" t="s">
        <v>11092</v>
      </c>
      <c r="B2799" s="85" t="s">
        <v>2901</v>
      </c>
      <c r="C2799" s="85" t="s">
        <v>2902</v>
      </c>
      <c r="D2799" s="85" t="s">
        <v>2903</v>
      </c>
      <c r="E2799" s="85" t="s">
        <v>2902</v>
      </c>
      <c r="F2799" s="86">
        <v>1605</v>
      </c>
      <c r="G2799" s="86">
        <v>1</v>
      </c>
      <c r="H2799" s="86">
        <v>1605</v>
      </c>
      <c r="I2799" s="86">
        <v>1605</v>
      </c>
      <c r="J2799" s="85" t="s">
        <v>4054</v>
      </c>
      <c r="K2799" s="85" t="s">
        <v>11093</v>
      </c>
      <c r="L2799" s="85" t="s">
        <v>10737</v>
      </c>
      <c r="M2799" s="85" t="s">
        <v>11094</v>
      </c>
    </row>
    <row r="2800" ht="228" spans="1:13">
      <c r="A2800" s="85" t="s">
        <v>11095</v>
      </c>
      <c r="B2800" s="85" t="s">
        <v>7775</v>
      </c>
      <c r="C2800" s="85" t="s">
        <v>7776</v>
      </c>
      <c r="D2800" s="85" t="s">
        <v>7777</v>
      </c>
      <c r="E2800" s="85" t="s">
        <v>7776</v>
      </c>
      <c r="F2800" s="86">
        <v>22790</v>
      </c>
      <c r="G2800" s="86">
        <v>1</v>
      </c>
      <c r="H2800" s="86">
        <v>22790</v>
      </c>
      <c r="I2800" s="86">
        <v>22790</v>
      </c>
      <c r="J2800" s="85" t="s">
        <v>4658</v>
      </c>
      <c r="K2800" s="85" t="s">
        <v>11096</v>
      </c>
      <c r="L2800" s="85" t="s">
        <v>10737</v>
      </c>
      <c r="M2800" s="85" t="s">
        <v>11097</v>
      </c>
    </row>
    <row r="2801" ht="228" spans="1:13">
      <c r="A2801" s="85" t="s">
        <v>11098</v>
      </c>
      <c r="B2801" s="85" t="s">
        <v>3123</v>
      </c>
      <c r="C2801" s="85" t="s">
        <v>3124</v>
      </c>
      <c r="D2801" s="85" t="s">
        <v>3125</v>
      </c>
      <c r="E2801" s="85" t="s">
        <v>3124</v>
      </c>
      <c r="F2801" s="86">
        <v>93000</v>
      </c>
      <c r="G2801" s="86">
        <v>1</v>
      </c>
      <c r="H2801" s="86">
        <v>93000</v>
      </c>
      <c r="I2801" s="86">
        <v>93000</v>
      </c>
      <c r="J2801" s="85" t="s">
        <v>5100</v>
      </c>
      <c r="K2801" s="85" t="s">
        <v>11099</v>
      </c>
      <c r="L2801" s="85" t="s">
        <v>10737</v>
      </c>
      <c r="M2801" s="85" t="s">
        <v>11100</v>
      </c>
    </row>
    <row r="2802" ht="228" spans="1:13">
      <c r="A2802" s="85" t="s">
        <v>11101</v>
      </c>
      <c r="B2802" s="85" t="s">
        <v>11102</v>
      </c>
      <c r="C2802" s="85" t="s">
        <v>11103</v>
      </c>
      <c r="D2802" s="85" t="s">
        <v>11104</v>
      </c>
      <c r="E2802" s="85" t="s">
        <v>11105</v>
      </c>
      <c r="F2802" s="86">
        <v>180</v>
      </c>
      <c r="G2802" s="86">
        <v>200</v>
      </c>
      <c r="H2802" s="86">
        <v>36000</v>
      </c>
      <c r="I2802" s="86">
        <v>36000</v>
      </c>
      <c r="J2802" s="85" t="s">
        <v>2935</v>
      </c>
      <c r="K2802" s="85" t="s">
        <v>11106</v>
      </c>
      <c r="L2802" s="85" t="s">
        <v>10737</v>
      </c>
      <c r="M2802" s="85" t="s">
        <v>11107</v>
      </c>
    </row>
    <row r="2803" ht="228" spans="1:13">
      <c r="A2803" s="85" t="s">
        <v>11108</v>
      </c>
      <c r="B2803" s="85" t="s">
        <v>11109</v>
      </c>
      <c r="C2803" s="85" t="s">
        <v>11110</v>
      </c>
      <c r="D2803" s="85" t="s">
        <v>3230</v>
      </c>
      <c r="E2803" s="85" t="s">
        <v>11111</v>
      </c>
      <c r="F2803" s="86">
        <v>57</v>
      </c>
      <c r="G2803" s="86">
        <v>1</v>
      </c>
      <c r="H2803" s="86">
        <v>57</v>
      </c>
      <c r="I2803" s="86">
        <v>1465</v>
      </c>
      <c r="J2803" s="85" t="s">
        <v>2935</v>
      </c>
      <c r="K2803" s="85" t="s">
        <v>11112</v>
      </c>
      <c r="L2803" s="85" t="s">
        <v>10737</v>
      </c>
      <c r="M2803" s="85" t="s">
        <v>11113</v>
      </c>
    </row>
    <row r="2804" ht="228" spans="1:13">
      <c r="A2804" s="85" t="s">
        <v>11108</v>
      </c>
      <c r="B2804" s="85" t="s">
        <v>11114</v>
      </c>
      <c r="C2804" s="85" t="s">
        <v>11115</v>
      </c>
      <c r="D2804" s="85" t="s">
        <v>2977</v>
      </c>
      <c r="E2804" s="85" t="s">
        <v>11116</v>
      </c>
      <c r="F2804" s="86">
        <v>87</v>
      </c>
      <c r="G2804" s="86">
        <v>3</v>
      </c>
      <c r="H2804" s="86">
        <v>261</v>
      </c>
      <c r="I2804" s="86">
        <v>1465</v>
      </c>
      <c r="J2804" s="85" t="s">
        <v>2935</v>
      </c>
      <c r="K2804" s="85" t="s">
        <v>11112</v>
      </c>
      <c r="L2804" s="85" t="s">
        <v>10737</v>
      </c>
      <c r="M2804" s="85" t="s">
        <v>11117</v>
      </c>
    </row>
    <row r="2805" ht="228" spans="1:13">
      <c r="A2805" s="85" t="s">
        <v>11108</v>
      </c>
      <c r="B2805" s="85" t="s">
        <v>11118</v>
      </c>
      <c r="C2805" s="85" t="s">
        <v>11119</v>
      </c>
      <c r="D2805" s="85" t="s">
        <v>3398</v>
      </c>
      <c r="E2805" s="85" t="s">
        <v>11120</v>
      </c>
      <c r="F2805" s="86">
        <v>189</v>
      </c>
      <c r="G2805" s="86">
        <v>1</v>
      </c>
      <c r="H2805" s="86">
        <v>189</v>
      </c>
      <c r="I2805" s="86">
        <v>1465</v>
      </c>
      <c r="J2805" s="85" t="s">
        <v>2935</v>
      </c>
      <c r="K2805" s="85" t="s">
        <v>11112</v>
      </c>
      <c r="L2805" s="85" t="s">
        <v>10737</v>
      </c>
      <c r="M2805" s="85" t="s">
        <v>11121</v>
      </c>
    </row>
    <row r="2806" ht="228" spans="1:13">
      <c r="A2806" s="85" t="s">
        <v>11108</v>
      </c>
      <c r="B2806" s="85" t="s">
        <v>11122</v>
      </c>
      <c r="C2806" s="85" t="s">
        <v>11123</v>
      </c>
      <c r="D2806" s="85" t="s">
        <v>3398</v>
      </c>
      <c r="E2806" s="85" t="s">
        <v>11124</v>
      </c>
      <c r="F2806" s="86">
        <v>283</v>
      </c>
      <c r="G2806" s="86">
        <v>1</v>
      </c>
      <c r="H2806" s="86">
        <v>283</v>
      </c>
      <c r="I2806" s="86">
        <v>1465</v>
      </c>
      <c r="J2806" s="85" t="s">
        <v>2935</v>
      </c>
      <c r="K2806" s="85" t="s">
        <v>11112</v>
      </c>
      <c r="L2806" s="85" t="s">
        <v>10737</v>
      </c>
      <c r="M2806" s="85" t="s">
        <v>11125</v>
      </c>
    </row>
    <row r="2807" ht="228" spans="1:13">
      <c r="A2807" s="85" t="s">
        <v>11108</v>
      </c>
      <c r="B2807" s="85" t="s">
        <v>11126</v>
      </c>
      <c r="C2807" s="85" t="s">
        <v>11127</v>
      </c>
      <c r="D2807" s="85" t="s">
        <v>3398</v>
      </c>
      <c r="E2807" s="85" t="s">
        <v>11128</v>
      </c>
      <c r="F2807" s="86">
        <v>108</v>
      </c>
      <c r="G2807" s="86">
        <v>5</v>
      </c>
      <c r="H2807" s="86">
        <v>540</v>
      </c>
      <c r="I2807" s="86">
        <v>1465</v>
      </c>
      <c r="J2807" s="85" t="s">
        <v>2935</v>
      </c>
      <c r="K2807" s="85" t="s">
        <v>11112</v>
      </c>
      <c r="L2807" s="85" t="s">
        <v>10737</v>
      </c>
      <c r="M2807" s="85" t="s">
        <v>11129</v>
      </c>
    </row>
    <row r="2808" ht="228" spans="1:13">
      <c r="A2808" s="85" t="s">
        <v>11108</v>
      </c>
      <c r="B2808" s="85" t="s">
        <v>11130</v>
      </c>
      <c r="C2808" s="85" t="s">
        <v>11131</v>
      </c>
      <c r="D2808" s="85" t="s">
        <v>11104</v>
      </c>
      <c r="E2808" s="85" t="s">
        <v>11105</v>
      </c>
      <c r="F2808" s="86">
        <v>135</v>
      </c>
      <c r="G2808" s="86">
        <v>1</v>
      </c>
      <c r="H2808" s="86">
        <v>135</v>
      </c>
      <c r="I2808" s="86">
        <v>1465</v>
      </c>
      <c r="J2808" s="85" t="s">
        <v>2935</v>
      </c>
      <c r="K2808" s="85" t="s">
        <v>11112</v>
      </c>
      <c r="L2808" s="85" t="s">
        <v>10737</v>
      </c>
      <c r="M2808" s="85" t="s">
        <v>11132</v>
      </c>
    </row>
    <row r="2809" ht="228" spans="1:13">
      <c r="A2809" s="85" t="s">
        <v>11133</v>
      </c>
      <c r="B2809" s="85" t="s">
        <v>11134</v>
      </c>
      <c r="C2809" s="85" t="s">
        <v>11135</v>
      </c>
      <c r="D2809" s="85" t="s">
        <v>3241</v>
      </c>
      <c r="E2809" s="85" t="s">
        <v>4216</v>
      </c>
      <c r="F2809" s="86">
        <v>34</v>
      </c>
      <c r="G2809" s="86">
        <v>5</v>
      </c>
      <c r="H2809" s="86">
        <v>170</v>
      </c>
      <c r="I2809" s="86">
        <v>49031</v>
      </c>
      <c r="J2809" s="85" t="s">
        <v>2935</v>
      </c>
      <c r="K2809" s="85" t="s">
        <v>11136</v>
      </c>
      <c r="L2809" s="85" t="s">
        <v>10737</v>
      </c>
      <c r="M2809" s="85" t="s">
        <v>11137</v>
      </c>
    </row>
    <row r="2810" ht="228" spans="1:13">
      <c r="A2810" s="85" t="s">
        <v>11133</v>
      </c>
      <c r="B2810" s="85" t="s">
        <v>11138</v>
      </c>
      <c r="C2810" s="85" t="s">
        <v>11139</v>
      </c>
      <c r="D2810" s="85" t="s">
        <v>3241</v>
      </c>
      <c r="E2810" s="85" t="s">
        <v>4216</v>
      </c>
      <c r="F2810" s="86">
        <v>25</v>
      </c>
      <c r="G2810" s="86">
        <v>5</v>
      </c>
      <c r="H2810" s="86">
        <v>125</v>
      </c>
      <c r="I2810" s="86">
        <v>49031</v>
      </c>
      <c r="J2810" s="85" t="s">
        <v>2935</v>
      </c>
      <c r="K2810" s="85" t="s">
        <v>11136</v>
      </c>
      <c r="L2810" s="85" t="s">
        <v>10737</v>
      </c>
      <c r="M2810" s="85" t="s">
        <v>11140</v>
      </c>
    </row>
    <row r="2811" ht="228" spans="1:13">
      <c r="A2811" s="85" t="s">
        <v>11133</v>
      </c>
      <c r="B2811" s="85" t="s">
        <v>11141</v>
      </c>
      <c r="C2811" s="85" t="s">
        <v>11142</v>
      </c>
      <c r="D2811" s="85" t="s">
        <v>4596</v>
      </c>
      <c r="E2811" s="85" t="s">
        <v>11142</v>
      </c>
      <c r="F2811" s="86">
        <v>5</v>
      </c>
      <c r="G2811" s="86">
        <v>2000</v>
      </c>
      <c r="H2811" s="86">
        <v>10000</v>
      </c>
      <c r="I2811" s="86">
        <v>49031</v>
      </c>
      <c r="J2811" s="85" t="s">
        <v>2935</v>
      </c>
      <c r="K2811" s="85" t="s">
        <v>11136</v>
      </c>
      <c r="L2811" s="85" t="s">
        <v>10737</v>
      </c>
      <c r="M2811" s="85" t="s">
        <v>11143</v>
      </c>
    </row>
    <row r="2812" ht="228" spans="1:13">
      <c r="A2812" s="85" t="s">
        <v>11133</v>
      </c>
      <c r="B2812" s="85" t="s">
        <v>11144</v>
      </c>
      <c r="C2812" s="85" t="s">
        <v>11145</v>
      </c>
      <c r="D2812" s="85" t="s">
        <v>10967</v>
      </c>
      <c r="E2812" s="85" t="s">
        <v>10968</v>
      </c>
      <c r="F2812" s="86">
        <v>200</v>
      </c>
      <c r="G2812" s="86">
        <v>4</v>
      </c>
      <c r="H2812" s="86">
        <v>800</v>
      </c>
      <c r="I2812" s="86">
        <v>49031</v>
      </c>
      <c r="J2812" s="85" t="s">
        <v>2935</v>
      </c>
      <c r="K2812" s="85" t="s">
        <v>11136</v>
      </c>
      <c r="L2812" s="85" t="s">
        <v>10737</v>
      </c>
      <c r="M2812" s="85" t="s">
        <v>11146</v>
      </c>
    </row>
    <row r="2813" ht="228" spans="1:13">
      <c r="A2813" s="85" t="s">
        <v>11133</v>
      </c>
      <c r="B2813" s="85" t="s">
        <v>11147</v>
      </c>
      <c r="C2813" s="85" t="s">
        <v>11148</v>
      </c>
      <c r="D2813" s="85" t="s">
        <v>3241</v>
      </c>
      <c r="E2813" s="85" t="s">
        <v>4216</v>
      </c>
      <c r="F2813" s="86">
        <v>25</v>
      </c>
      <c r="G2813" s="86">
        <v>2</v>
      </c>
      <c r="H2813" s="86">
        <v>50</v>
      </c>
      <c r="I2813" s="86">
        <v>49031</v>
      </c>
      <c r="J2813" s="85" t="s">
        <v>2935</v>
      </c>
      <c r="K2813" s="85" t="s">
        <v>11136</v>
      </c>
      <c r="L2813" s="85" t="s">
        <v>10737</v>
      </c>
      <c r="M2813" s="85" t="s">
        <v>11149</v>
      </c>
    </row>
    <row r="2814" ht="228" spans="1:13">
      <c r="A2814" s="85" t="s">
        <v>11133</v>
      </c>
      <c r="B2814" s="85" t="s">
        <v>11087</v>
      </c>
      <c r="C2814" s="85" t="s">
        <v>11088</v>
      </c>
      <c r="D2814" s="85" t="s">
        <v>3241</v>
      </c>
      <c r="E2814" s="85" t="s">
        <v>4216</v>
      </c>
      <c r="F2814" s="86">
        <v>12.7</v>
      </c>
      <c r="G2814" s="86">
        <v>2000</v>
      </c>
      <c r="H2814" s="86">
        <v>25400</v>
      </c>
      <c r="I2814" s="86">
        <v>49031</v>
      </c>
      <c r="J2814" s="85" t="s">
        <v>2935</v>
      </c>
      <c r="K2814" s="85" t="s">
        <v>11136</v>
      </c>
      <c r="L2814" s="85" t="s">
        <v>10737</v>
      </c>
      <c r="M2814" s="85" t="s">
        <v>11150</v>
      </c>
    </row>
    <row r="2815" ht="228" spans="1:13">
      <c r="A2815" s="85" t="s">
        <v>11133</v>
      </c>
      <c r="B2815" s="85" t="s">
        <v>11151</v>
      </c>
      <c r="C2815" s="85" t="s">
        <v>11152</v>
      </c>
      <c r="D2815" s="85" t="s">
        <v>11153</v>
      </c>
      <c r="E2815" s="85" t="s">
        <v>11154</v>
      </c>
      <c r="F2815" s="86">
        <v>9</v>
      </c>
      <c r="G2815" s="86">
        <v>1000</v>
      </c>
      <c r="H2815" s="86">
        <v>9000</v>
      </c>
      <c r="I2815" s="86">
        <v>49031</v>
      </c>
      <c r="J2815" s="85" t="s">
        <v>2935</v>
      </c>
      <c r="K2815" s="85" t="s">
        <v>11136</v>
      </c>
      <c r="L2815" s="85" t="s">
        <v>10737</v>
      </c>
      <c r="M2815" s="85" t="s">
        <v>11155</v>
      </c>
    </row>
    <row r="2816" ht="228" spans="1:13">
      <c r="A2816" s="85" t="s">
        <v>11133</v>
      </c>
      <c r="B2816" s="85" t="s">
        <v>11156</v>
      </c>
      <c r="C2816" s="85" t="s">
        <v>11157</v>
      </c>
      <c r="D2816" s="85" t="s">
        <v>3241</v>
      </c>
      <c r="E2816" s="85" t="s">
        <v>4216</v>
      </c>
      <c r="F2816" s="86">
        <v>45</v>
      </c>
      <c r="G2816" s="86">
        <v>4</v>
      </c>
      <c r="H2816" s="86">
        <v>180</v>
      </c>
      <c r="I2816" s="86">
        <v>49031</v>
      </c>
      <c r="J2816" s="85" t="s">
        <v>2935</v>
      </c>
      <c r="K2816" s="85" t="s">
        <v>11136</v>
      </c>
      <c r="L2816" s="85" t="s">
        <v>10737</v>
      </c>
      <c r="M2816" s="85" t="s">
        <v>11158</v>
      </c>
    </row>
    <row r="2817" ht="228" spans="1:13">
      <c r="A2817" s="85" t="s">
        <v>11133</v>
      </c>
      <c r="B2817" s="85" t="s">
        <v>11159</v>
      </c>
      <c r="C2817" s="85" t="s">
        <v>11160</v>
      </c>
      <c r="D2817" s="85" t="s">
        <v>11161</v>
      </c>
      <c r="E2817" s="85" t="s">
        <v>11162</v>
      </c>
      <c r="F2817" s="86">
        <v>3</v>
      </c>
      <c r="G2817" s="86">
        <v>1000</v>
      </c>
      <c r="H2817" s="86">
        <v>3000</v>
      </c>
      <c r="I2817" s="86">
        <v>49031</v>
      </c>
      <c r="J2817" s="85" t="s">
        <v>2935</v>
      </c>
      <c r="K2817" s="85" t="s">
        <v>11136</v>
      </c>
      <c r="L2817" s="85" t="s">
        <v>10737</v>
      </c>
      <c r="M2817" s="85" t="s">
        <v>11163</v>
      </c>
    </row>
    <row r="2818" ht="228" spans="1:13">
      <c r="A2818" s="85" t="s">
        <v>11133</v>
      </c>
      <c r="B2818" s="85" t="s">
        <v>11164</v>
      </c>
      <c r="C2818" s="85" t="s">
        <v>11165</v>
      </c>
      <c r="D2818" s="85" t="s">
        <v>3241</v>
      </c>
      <c r="E2818" s="85" t="s">
        <v>4216</v>
      </c>
      <c r="F2818" s="86">
        <v>34</v>
      </c>
      <c r="G2818" s="86">
        <v>9</v>
      </c>
      <c r="H2818" s="86">
        <v>306</v>
      </c>
      <c r="I2818" s="86">
        <v>49031</v>
      </c>
      <c r="J2818" s="85" t="s">
        <v>2935</v>
      </c>
      <c r="K2818" s="85" t="s">
        <v>11136</v>
      </c>
      <c r="L2818" s="85" t="s">
        <v>10737</v>
      </c>
      <c r="M2818" s="85" t="s">
        <v>11166</v>
      </c>
    </row>
    <row r="2819" ht="228" spans="1:13">
      <c r="A2819" s="85" t="s">
        <v>11167</v>
      </c>
      <c r="B2819" s="85" t="s">
        <v>3123</v>
      </c>
      <c r="C2819" s="85" t="s">
        <v>3124</v>
      </c>
      <c r="D2819" s="85" t="s">
        <v>3125</v>
      </c>
      <c r="E2819" s="85" t="s">
        <v>3124</v>
      </c>
      <c r="F2819" s="86">
        <v>4944</v>
      </c>
      <c r="G2819" s="86">
        <v>1</v>
      </c>
      <c r="H2819" s="86">
        <v>4944</v>
      </c>
      <c r="I2819" s="86">
        <v>4944</v>
      </c>
      <c r="J2819" s="85" t="s">
        <v>11168</v>
      </c>
      <c r="K2819" s="85" t="s">
        <v>11169</v>
      </c>
      <c r="L2819" s="85" t="s">
        <v>10737</v>
      </c>
      <c r="M2819" s="85" t="s">
        <v>11170</v>
      </c>
    </row>
    <row r="2820" ht="228" spans="1:13">
      <c r="A2820" s="85" t="s">
        <v>11171</v>
      </c>
      <c r="B2820" s="85" t="s">
        <v>3123</v>
      </c>
      <c r="C2820" s="85" t="s">
        <v>3124</v>
      </c>
      <c r="D2820" s="85" t="s">
        <v>3125</v>
      </c>
      <c r="E2820" s="85" t="s">
        <v>3124</v>
      </c>
      <c r="F2820" s="86">
        <v>21078</v>
      </c>
      <c r="G2820" s="86">
        <v>1</v>
      </c>
      <c r="H2820" s="86">
        <v>21078</v>
      </c>
      <c r="I2820" s="86">
        <v>21078</v>
      </c>
      <c r="J2820" s="85" t="s">
        <v>3812</v>
      </c>
      <c r="K2820" s="85" t="s">
        <v>11172</v>
      </c>
      <c r="L2820" s="85" t="s">
        <v>10737</v>
      </c>
      <c r="M2820" s="85" t="s">
        <v>11173</v>
      </c>
    </row>
    <row r="2821" ht="228" spans="1:13">
      <c r="A2821" s="85" t="s">
        <v>11174</v>
      </c>
      <c r="B2821" s="85" t="s">
        <v>3123</v>
      </c>
      <c r="C2821" s="85" t="s">
        <v>3124</v>
      </c>
      <c r="D2821" s="85" t="s">
        <v>3125</v>
      </c>
      <c r="E2821" s="85" t="s">
        <v>3124</v>
      </c>
      <c r="F2821" s="86">
        <v>2266</v>
      </c>
      <c r="G2821" s="86">
        <v>1</v>
      </c>
      <c r="H2821" s="86">
        <v>2266</v>
      </c>
      <c r="I2821" s="86">
        <v>2266</v>
      </c>
      <c r="J2821" s="85" t="s">
        <v>3307</v>
      </c>
      <c r="K2821" s="85" t="s">
        <v>11175</v>
      </c>
      <c r="L2821" s="85" t="s">
        <v>10737</v>
      </c>
      <c r="M2821" s="85" t="s">
        <v>11176</v>
      </c>
    </row>
    <row r="2822" ht="228" spans="1:13">
      <c r="A2822" s="85" t="s">
        <v>11177</v>
      </c>
      <c r="B2822" s="85" t="s">
        <v>11178</v>
      </c>
      <c r="C2822" s="85" t="s">
        <v>11179</v>
      </c>
      <c r="D2822" s="85" t="s">
        <v>11180</v>
      </c>
      <c r="E2822" s="85" t="s">
        <v>11181</v>
      </c>
      <c r="F2822" s="86">
        <v>1800</v>
      </c>
      <c r="G2822" s="86">
        <v>1</v>
      </c>
      <c r="H2822" s="86">
        <v>1800</v>
      </c>
      <c r="I2822" s="86">
        <v>1800</v>
      </c>
      <c r="J2822" s="85" t="s">
        <v>4391</v>
      </c>
      <c r="K2822" s="85" t="s">
        <v>11182</v>
      </c>
      <c r="L2822" s="85" t="s">
        <v>10737</v>
      </c>
      <c r="M2822" s="85" t="s">
        <v>11183</v>
      </c>
    </row>
    <row r="2823" ht="228" spans="1:13">
      <c r="A2823" s="85" t="s">
        <v>11184</v>
      </c>
      <c r="B2823" s="85" t="s">
        <v>5662</v>
      </c>
      <c r="C2823" s="85" t="s">
        <v>5663</v>
      </c>
      <c r="D2823" s="85" t="s">
        <v>4076</v>
      </c>
      <c r="E2823" s="85" t="s">
        <v>1832</v>
      </c>
      <c r="F2823" s="86">
        <v>128</v>
      </c>
      <c r="G2823" s="86">
        <v>250</v>
      </c>
      <c r="H2823" s="86">
        <v>32000</v>
      </c>
      <c r="I2823" s="86">
        <v>83350</v>
      </c>
      <c r="J2823" s="85" t="s">
        <v>2938</v>
      </c>
      <c r="K2823" s="85" t="s">
        <v>11185</v>
      </c>
      <c r="L2823" s="85" t="s">
        <v>10737</v>
      </c>
      <c r="M2823" s="85" t="s">
        <v>11186</v>
      </c>
    </row>
    <row r="2824" ht="228" spans="1:13">
      <c r="A2824" s="85" t="s">
        <v>11184</v>
      </c>
      <c r="B2824" s="85" t="s">
        <v>9283</v>
      </c>
      <c r="C2824" s="85" t="s">
        <v>9284</v>
      </c>
      <c r="D2824" s="85" t="s">
        <v>3747</v>
      </c>
      <c r="E2824" s="85" t="s">
        <v>1827</v>
      </c>
      <c r="F2824" s="86">
        <v>135</v>
      </c>
      <c r="G2824" s="86">
        <v>300</v>
      </c>
      <c r="H2824" s="86">
        <v>40500</v>
      </c>
      <c r="I2824" s="86">
        <v>83350</v>
      </c>
      <c r="J2824" s="85" t="s">
        <v>2938</v>
      </c>
      <c r="K2824" s="85" t="s">
        <v>11185</v>
      </c>
      <c r="L2824" s="85" t="s">
        <v>10737</v>
      </c>
      <c r="M2824" s="85" t="s">
        <v>11187</v>
      </c>
    </row>
    <row r="2825" ht="228" spans="1:13">
      <c r="A2825" s="85" t="s">
        <v>11184</v>
      </c>
      <c r="B2825" s="85" t="s">
        <v>11188</v>
      </c>
      <c r="C2825" s="85" t="s">
        <v>11189</v>
      </c>
      <c r="D2825" s="85" t="s">
        <v>3532</v>
      </c>
      <c r="E2825" s="85" t="s">
        <v>3533</v>
      </c>
      <c r="F2825" s="86">
        <v>120</v>
      </c>
      <c r="G2825" s="86">
        <v>60</v>
      </c>
      <c r="H2825" s="86">
        <v>7200</v>
      </c>
      <c r="I2825" s="86">
        <v>83350</v>
      </c>
      <c r="J2825" s="85" t="s">
        <v>2938</v>
      </c>
      <c r="K2825" s="85" t="s">
        <v>11185</v>
      </c>
      <c r="L2825" s="85" t="s">
        <v>10737</v>
      </c>
      <c r="M2825" s="85" t="s">
        <v>11190</v>
      </c>
    </row>
    <row r="2826" ht="228" spans="1:13">
      <c r="A2826" s="85" t="s">
        <v>11184</v>
      </c>
      <c r="B2826" s="85" t="s">
        <v>8625</v>
      </c>
      <c r="C2826" s="85" t="s">
        <v>8626</v>
      </c>
      <c r="D2826" s="85" t="s">
        <v>3548</v>
      </c>
      <c r="E2826" s="85" t="s">
        <v>1835</v>
      </c>
      <c r="F2826" s="86">
        <v>365</v>
      </c>
      <c r="G2826" s="86">
        <v>10</v>
      </c>
      <c r="H2826" s="86">
        <v>3650</v>
      </c>
      <c r="I2826" s="86">
        <v>83350</v>
      </c>
      <c r="J2826" s="85" t="s">
        <v>2938</v>
      </c>
      <c r="K2826" s="85" t="s">
        <v>11185</v>
      </c>
      <c r="L2826" s="85" t="s">
        <v>10737</v>
      </c>
      <c r="M2826" s="85" t="s">
        <v>11191</v>
      </c>
    </row>
    <row r="2827" ht="228" spans="1:13">
      <c r="A2827" s="85" t="s">
        <v>11192</v>
      </c>
      <c r="B2827" s="85" t="s">
        <v>9251</v>
      </c>
      <c r="C2827" s="85" t="s">
        <v>9252</v>
      </c>
      <c r="D2827" s="85" t="s">
        <v>3230</v>
      </c>
      <c r="E2827" s="85" t="s">
        <v>9253</v>
      </c>
      <c r="F2827" s="86">
        <v>0.05</v>
      </c>
      <c r="G2827" s="86">
        <v>13500</v>
      </c>
      <c r="H2827" s="86">
        <v>675</v>
      </c>
      <c r="I2827" s="86">
        <v>8795</v>
      </c>
      <c r="J2827" s="85" t="s">
        <v>4370</v>
      </c>
      <c r="K2827" s="85" t="s">
        <v>11193</v>
      </c>
      <c r="L2827" s="85" t="s">
        <v>10737</v>
      </c>
      <c r="M2827" s="85" t="s">
        <v>11194</v>
      </c>
    </row>
    <row r="2828" ht="228" spans="1:13">
      <c r="A2828" s="85" t="s">
        <v>11192</v>
      </c>
      <c r="B2828" s="85" t="s">
        <v>11195</v>
      </c>
      <c r="C2828" s="85" t="s">
        <v>11196</v>
      </c>
      <c r="D2828" s="85" t="s">
        <v>4848</v>
      </c>
      <c r="E2828" s="85" t="s">
        <v>4849</v>
      </c>
      <c r="F2828" s="86">
        <v>540</v>
      </c>
      <c r="G2828" s="86">
        <v>1</v>
      </c>
      <c r="H2828" s="86">
        <v>540</v>
      </c>
      <c r="I2828" s="86">
        <v>8795</v>
      </c>
      <c r="J2828" s="85" t="s">
        <v>4370</v>
      </c>
      <c r="K2828" s="85" t="s">
        <v>11193</v>
      </c>
      <c r="L2828" s="85" t="s">
        <v>10737</v>
      </c>
      <c r="M2828" s="85" t="s">
        <v>11197</v>
      </c>
    </row>
    <row r="2829" ht="228" spans="1:13">
      <c r="A2829" s="85" t="s">
        <v>11192</v>
      </c>
      <c r="B2829" s="85" t="s">
        <v>9842</v>
      </c>
      <c r="C2829" s="85" t="s">
        <v>9843</v>
      </c>
      <c r="D2829" s="85" t="s">
        <v>4456</v>
      </c>
      <c r="E2829" s="85" t="s">
        <v>4457</v>
      </c>
      <c r="F2829" s="86">
        <v>140</v>
      </c>
      <c r="G2829" s="86">
        <v>10</v>
      </c>
      <c r="H2829" s="86">
        <v>1400</v>
      </c>
      <c r="I2829" s="86">
        <v>8795</v>
      </c>
      <c r="J2829" s="85" t="s">
        <v>4370</v>
      </c>
      <c r="K2829" s="85" t="s">
        <v>11193</v>
      </c>
      <c r="L2829" s="85" t="s">
        <v>10737</v>
      </c>
      <c r="M2829" s="85" t="s">
        <v>11198</v>
      </c>
    </row>
    <row r="2830" ht="228" spans="1:13">
      <c r="A2830" s="85" t="s">
        <v>11192</v>
      </c>
      <c r="B2830" s="85" t="s">
        <v>8253</v>
      </c>
      <c r="C2830" s="85" t="s">
        <v>8254</v>
      </c>
      <c r="D2830" s="85" t="s">
        <v>3041</v>
      </c>
      <c r="E2830" s="85" t="s">
        <v>8255</v>
      </c>
      <c r="F2830" s="86">
        <v>1900</v>
      </c>
      <c r="G2830" s="86">
        <v>1</v>
      </c>
      <c r="H2830" s="86">
        <v>1900</v>
      </c>
      <c r="I2830" s="86">
        <v>8795</v>
      </c>
      <c r="J2830" s="85" t="s">
        <v>4370</v>
      </c>
      <c r="K2830" s="85" t="s">
        <v>11193</v>
      </c>
      <c r="L2830" s="85" t="s">
        <v>10737</v>
      </c>
      <c r="M2830" s="85" t="s">
        <v>11199</v>
      </c>
    </row>
    <row r="2831" ht="228" spans="1:13">
      <c r="A2831" s="85" t="s">
        <v>11192</v>
      </c>
      <c r="B2831" s="85" t="s">
        <v>11200</v>
      </c>
      <c r="C2831" s="85" t="s">
        <v>11201</v>
      </c>
      <c r="D2831" s="85" t="s">
        <v>6416</v>
      </c>
      <c r="E2831" s="85" t="s">
        <v>6417</v>
      </c>
      <c r="F2831" s="86">
        <v>750</v>
      </c>
      <c r="G2831" s="86">
        <v>4</v>
      </c>
      <c r="H2831" s="86">
        <v>3000</v>
      </c>
      <c r="I2831" s="86">
        <v>8795</v>
      </c>
      <c r="J2831" s="85" t="s">
        <v>4370</v>
      </c>
      <c r="K2831" s="85" t="s">
        <v>11193</v>
      </c>
      <c r="L2831" s="85" t="s">
        <v>10737</v>
      </c>
      <c r="M2831" s="85" t="s">
        <v>11202</v>
      </c>
    </row>
    <row r="2832" ht="228" spans="1:13">
      <c r="A2832" s="85" t="s">
        <v>11192</v>
      </c>
      <c r="B2832" s="85" t="s">
        <v>11203</v>
      </c>
      <c r="C2832" s="85" t="s">
        <v>11204</v>
      </c>
      <c r="D2832" s="85" t="s">
        <v>3230</v>
      </c>
      <c r="E2832" s="85" t="s">
        <v>4396</v>
      </c>
      <c r="F2832" s="86">
        <v>32</v>
      </c>
      <c r="G2832" s="86">
        <v>40</v>
      </c>
      <c r="H2832" s="86">
        <v>1280</v>
      </c>
      <c r="I2832" s="86">
        <v>8795</v>
      </c>
      <c r="J2832" s="85" t="s">
        <v>4370</v>
      </c>
      <c r="K2832" s="85" t="s">
        <v>11193</v>
      </c>
      <c r="L2832" s="85" t="s">
        <v>10737</v>
      </c>
      <c r="M2832" s="85" t="s">
        <v>11205</v>
      </c>
    </row>
    <row r="2833" ht="228" spans="1:13">
      <c r="A2833" s="85" t="s">
        <v>11206</v>
      </c>
      <c r="B2833" s="85" t="s">
        <v>11207</v>
      </c>
      <c r="C2833" s="85" t="s">
        <v>11208</v>
      </c>
      <c r="D2833" s="85" t="s">
        <v>11209</v>
      </c>
      <c r="E2833" s="85" t="s">
        <v>11210</v>
      </c>
      <c r="F2833" s="86">
        <v>8.5</v>
      </c>
      <c r="G2833" s="86">
        <v>50</v>
      </c>
      <c r="H2833" s="86">
        <v>425</v>
      </c>
      <c r="I2833" s="86">
        <v>25887</v>
      </c>
      <c r="J2833" s="85" t="s">
        <v>2935</v>
      </c>
      <c r="K2833" s="85" t="s">
        <v>11211</v>
      </c>
      <c r="L2833" s="85" t="s">
        <v>10737</v>
      </c>
      <c r="M2833" s="85" t="s">
        <v>11212</v>
      </c>
    </row>
    <row r="2834" ht="228" spans="1:13">
      <c r="A2834" s="85" t="s">
        <v>11206</v>
      </c>
      <c r="B2834" s="85" t="s">
        <v>11033</v>
      </c>
      <c r="C2834" s="85" t="s">
        <v>11034</v>
      </c>
      <c r="D2834" s="85" t="s">
        <v>3183</v>
      </c>
      <c r="E2834" s="85" t="s">
        <v>6563</v>
      </c>
      <c r="F2834" s="86">
        <v>28</v>
      </c>
      <c r="G2834" s="86">
        <v>20</v>
      </c>
      <c r="H2834" s="86">
        <v>560</v>
      </c>
      <c r="I2834" s="86">
        <v>25887</v>
      </c>
      <c r="J2834" s="85" t="s">
        <v>2935</v>
      </c>
      <c r="K2834" s="85" t="s">
        <v>11211</v>
      </c>
      <c r="L2834" s="85" t="s">
        <v>10737</v>
      </c>
      <c r="M2834" s="85" t="s">
        <v>11213</v>
      </c>
    </row>
    <row r="2835" ht="228" spans="1:13">
      <c r="A2835" s="85" t="s">
        <v>11206</v>
      </c>
      <c r="B2835" s="85" t="s">
        <v>9337</v>
      </c>
      <c r="C2835" s="85" t="s">
        <v>9338</v>
      </c>
      <c r="D2835" s="85" t="s">
        <v>3153</v>
      </c>
      <c r="E2835" s="85" t="s">
        <v>8431</v>
      </c>
      <c r="F2835" s="86">
        <v>370</v>
      </c>
      <c r="G2835" s="86">
        <v>10</v>
      </c>
      <c r="H2835" s="86">
        <v>3700</v>
      </c>
      <c r="I2835" s="86">
        <v>25887</v>
      </c>
      <c r="J2835" s="85" t="s">
        <v>2935</v>
      </c>
      <c r="K2835" s="85" t="s">
        <v>11211</v>
      </c>
      <c r="L2835" s="85" t="s">
        <v>10737</v>
      </c>
      <c r="M2835" s="85" t="s">
        <v>11214</v>
      </c>
    </row>
    <row r="2836" ht="228" spans="1:13">
      <c r="A2836" s="85" t="s">
        <v>11215</v>
      </c>
      <c r="B2836" s="85" t="s">
        <v>11216</v>
      </c>
      <c r="C2836" s="85" t="s">
        <v>11217</v>
      </c>
      <c r="D2836" s="85" t="s">
        <v>5155</v>
      </c>
      <c r="E2836" s="85" t="s">
        <v>11218</v>
      </c>
      <c r="F2836" s="86">
        <v>9</v>
      </c>
      <c r="G2836" s="86">
        <v>400</v>
      </c>
      <c r="H2836" s="86">
        <v>3600</v>
      </c>
      <c r="I2836" s="86">
        <v>3600</v>
      </c>
      <c r="J2836" s="85" t="s">
        <v>2935</v>
      </c>
      <c r="K2836" s="85" t="s">
        <v>11211</v>
      </c>
      <c r="L2836" s="85" t="s">
        <v>10737</v>
      </c>
      <c r="M2836" s="85" t="s">
        <v>11219</v>
      </c>
    </row>
    <row r="2837" ht="228" spans="1:13">
      <c r="A2837" s="85" t="s">
        <v>11206</v>
      </c>
      <c r="B2837" s="85" t="s">
        <v>11220</v>
      </c>
      <c r="C2837" s="85" t="s">
        <v>11221</v>
      </c>
      <c r="D2837" s="85" t="s">
        <v>3183</v>
      </c>
      <c r="E2837" s="85" t="s">
        <v>11221</v>
      </c>
      <c r="F2837" s="86">
        <v>76</v>
      </c>
      <c r="G2837" s="86">
        <v>2</v>
      </c>
      <c r="H2837" s="86">
        <v>152</v>
      </c>
      <c r="I2837" s="86">
        <v>25887</v>
      </c>
      <c r="J2837" s="85" t="s">
        <v>2935</v>
      </c>
      <c r="K2837" s="85" t="s">
        <v>11211</v>
      </c>
      <c r="L2837" s="85" t="s">
        <v>10737</v>
      </c>
      <c r="M2837" s="85" t="s">
        <v>11222</v>
      </c>
    </row>
    <row r="2838" ht="228" spans="1:13">
      <c r="A2838" s="85" t="s">
        <v>11206</v>
      </c>
      <c r="B2838" s="85" t="s">
        <v>11004</v>
      </c>
      <c r="C2838" s="85" t="s">
        <v>11005</v>
      </c>
      <c r="D2838" s="85" t="s">
        <v>7739</v>
      </c>
      <c r="E2838" s="85" t="s">
        <v>11005</v>
      </c>
      <c r="F2838" s="86">
        <v>20.5</v>
      </c>
      <c r="G2838" s="86">
        <v>10</v>
      </c>
      <c r="H2838" s="86">
        <v>205</v>
      </c>
      <c r="I2838" s="86">
        <v>25887</v>
      </c>
      <c r="J2838" s="85" t="s">
        <v>2935</v>
      </c>
      <c r="K2838" s="85" t="s">
        <v>11211</v>
      </c>
      <c r="L2838" s="85" t="s">
        <v>10737</v>
      </c>
      <c r="M2838" s="85" t="s">
        <v>11223</v>
      </c>
    </row>
    <row r="2839" ht="228" spans="1:13">
      <c r="A2839" s="85" t="s">
        <v>11206</v>
      </c>
      <c r="B2839" s="85" t="s">
        <v>7687</v>
      </c>
      <c r="C2839" s="85" t="s">
        <v>7688</v>
      </c>
      <c r="D2839" s="85" t="s">
        <v>3153</v>
      </c>
      <c r="E2839" s="85" t="s">
        <v>7689</v>
      </c>
      <c r="F2839" s="86">
        <v>390</v>
      </c>
      <c r="G2839" s="86">
        <v>4</v>
      </c>
      <c r="H2839" s="86">
        <v>1560</v>
      </c>
      <c r="I2839" s="86">
        <v>25887</v>
      </c>
      <c r="J2839" s="85" t="s">
        <v>2935</v>
      </c>
      <c r="K2839" s="85" t="s">
        <v>11211</v>
      </c>
      <c r="L2839" s="85" t="s">
        <v>10737</v>
      </c>
      <c r="M2839" s="85" t="s">
        <v>11224</v>
      </c>
    </row>
    <row r="2840" ht="228" spans="1:13">
      <c r="A2840" s="85" t="s">
        <v>11206</v>
      </c>
      <c r="B2840" s="85" t="s">
        <v>11225</v>
      </c>
      <c r="C2840" s="85" t="s">
        <v>11226</v>
      </c>
      <c r="D2840" s="85" t="s">
        <v>3398</v>
      </c>
      <c r="E2840" s="85" t="s">
        <v>7961</v>
      </c>
      <c r="F2840" s="86">
        <v>3590</v>
      </c>
      <c r="G2840" s="86">
        <v>1</v>
      </c>
      <c r="H2840" s="86">
        <v>3590</v>
      </c>
      <c r="I2840" s="86">
        <v>25887</v>
      </c>
      <c r="J2840" s="85" t="s">
        <v>2935</v>
      </c>
      <c r="K2840" s="85" t="s">
        <v>11211</v>
      </c>
      <c r="L2840" s="85" t="s">
        <v>10737</v>
      </c>
      <c r="M2840" s="85" t="s">
        <v>11227</v>
      </c>
    </row>
    <row r="2841" ht="228" spans="1:13">
      <c r="A2841" s="85" t="s">
        <v>11206</v>
      </c>
      <c r="B2841" s="85" t="s">
        <v>11228</v>
      </c>
      <c r="C2841" s="85" t="s">
        <v>11229</v>
      </c>
      <c r="D2841" s="85" t="s">
        <v>5406</v>
      </c>
      <c r="E2841" s="85" t="s">
        <v>9594</v>
      </c>
      <c r="F2841" s="86">
        <v>275</v>
      </c>
      <c r="G2841" s="86">
        <v>1</v>
      </c>
      <c r="H2841" s="86">
        <v>275</v>
      </c>
      <c r="I2841" s="86">
        <v>25887</v>
      </c>
      <c r="J2841" s="85" t="s">
        <v>2935</v>
      </c>
      <c r="K2841" s="85" t="s">
        <v>11211</v>
      </c>
      <c r="L2841" s="85" t="s">
        <v>10737</v>
      </c>
      <c r="M2841" s="85" t="s">
        <v>11230</v>
      </c>
    </row>
    <row r="2842" ht="228" spans="1:13">
      <c r="A2842" s="85" t="s">
        <v>11206</v>
      </c>
      <c r="B2842" s="85" t="s">
        <v>10953</v>
      </c>
      <c r="C2842" s="85" t="s">
        <v>10954</v>
      </c>
      <c r="D2842" s="85" t="s">
        <v>5796</v>
      </c>
      <c r="E2842" s="85" t="s">
        <v>10955</v>
      </c>
      <c r="F2842" s="86">
        <v>27</v>
      </c>
      <c r="G2842" s="86">
        <v>200</v>
      </c>
      <c r="H2842" s="86">
        <v>5400</v>
      </c>
      <c r="I2842" s="86">
        <v>25887</v>
      </c>
      <c r="J2842" s="85" t="s">
        <v>2935</v>
      </c>
      <c r="K2842" s="85" t="s">
        <v>11211</v>
      </c>
      <c r="L2842" s="85" t="s">
        <v>10737</v>
      </c>
      <c r="M2842" s="85" t="s">
        <v>11231</v>
      </c>
    </row>
    <row r="2843" ht="228" spans="1:13">
      <c r="A2843" s="85" t="s">
        <v>11206</v>
      </c>
      <c r="B2843" s="85" t="s">
        <v>11019</v>
      </c>
      <c r="C2843" s="85" t="s">
        <v>11020</v>
      </c>
      <c r="D2843" s="85" t="s">
        <v>3438</v>
      </c>
      <c r="E2843" s="85" t="s">
        <v>11021</v>
      </c>
      <c r="F2843" s="86">
        <v>0.45</v>
      </c>
      <c r="G2843" s="86">
        <v>2000</v>
      </c>
      <c r="H2843" s="86">
        <v>900</v>
      </c>
      <c r="I2843" s="86">
        <v>25887</v>
      </c>
      <c r="J2843" s="85" t="s">
        <v>2935</v>
      </c>
      <c r="K2843" s="85" t="s">
        <v>11211</v>
      </c>
      <c r="L2843" s="85" t="s">
        <v>10737</v>
      </c>
      <c r="M2843" s="85" t="s">
        <v>11232</v>
      </c>
    </row>
    <row r="2844" ht="228" spans="1:13">
      <c r="A2844" s="85" t="s">
        <v>11206</v>
      </c>
      <c r="B2844" s="85" t="s">
        <v>11233</v>
      </c>
      <c r="C2844" s="85" t="s">
        <v>11234</v>
      </c>
      <c r="D2844" s="85" t="s">
        <v>10791</v>
      </c>
      <c r="E2844" s="85" t="s">
        <v>10792</v>
      </c>
      <c r="F2844" s="86">
        <v>365</v>
      </c>
      <c r="G2844" s="86">
        <v>2</v>
      </c>
      <c r="H2844" s="86">
        <v>730</v>
      </c>
      <c r="I2844" s="86">
        <v>25887</v>
      </c>
      <c r="J2844" s="85" t="s">
        <v>2935</v>
      </c>
      <c r="K2844" s="85" t="s">
        <v>11211</v>
      </c>
      <c r="L2844" s="85" t="s">
        <v>10737</v>
      </c>
      <c r="M2844" s="85" t="s">
        <v>11235</v>
      </c>
    </row>
    <row r="2845" ht="228" spans="1:13">
      <c r="A2845" s="85" t="s">
        <v>11206</v>
      </c>
      <c r="B2845" s="85" t="s">
        <v>11236</v>
      </c>
      <c r="C2845" s="85" t="s">
        <v>11237</v>
      </c>
      <c r="D2845" s="85" t="s">
        <v>3041</v>
      </c>
      <c r="E2845" s="85" t="s">
        <v>3158</v>
      </c>
      <c r="F2845" s="86">
        <v>248</v>
      </c>
      <c r="G2845" s="86">
        <v>10</v>
      </c>
      <c r="H2845" s="86">
        <v>2480</v>
      </c>
      <c r="I2845" s="86">
        <v>25887</v>
      </c>
      <c r="J2845" s="85" t="s">
        <v>2935</v>
      </c>
      <c r="K2845" s="85" t="s">
        <v>11211</v>
      </c>
      <c r="L2845" s="85" t="s">
        <v>10737</v>
      </c>
      <c r="M2845" s="85" t="s">
        <v>11238</v>
      </c>
    </row>
    <row r="2846" ht="228" spans="1:13">
      <c r="A2846" s="85" t="s">
        <v>11206</v>
      </c>
      <c r="B2846" s="85" t="s">
        <v>6345</v>
      </c>
      <c r="C2846" s="85" t="s">
        <v>6346</v>
      </c>
      <c r="D2846" s="85" t="s">
        <v>6347</v>
      </c>
      <c r="E2846" s="85" t="s">
        <v>6348</v>
      </c>
      <c r="F2846" s="86">
        <v>140</v>
      </c>
      <c r="G2846" s="86">
        <v>40</v>
      </c>
      <c r="H2846" s="86">
        <v>5600</v>
      </c>
      <c r="I2846" s="86">
        <v>25887</v>
      </c>
      <c r="J2846" s="85" t="s">
        <v>2935</v>
      </c>
      <c r="K2846" s="85" t="s">
        <v>11211</v>
      </c>
      <c r="L2846" s="85" t="s">
        <v>10737</v>
      </c>
      <c r="M2846" s="85" t="s">
        <v>11239</v>
      </c>
    </row>
    <row r="2847" ht="228" spans="1:13">
      <c r="A2847" s="85" t="s">
        <v>11206</v>
      </c>
      <c r="B2847" s="85" t="s">
        <v>11240</v>
      </c>
      <c r="C2847" s="85" t="s">
        <v>11241</v>
      </c>
      <c r="D2847" s="85" t="s">
        <v>3183</v>
      </c>
      <c r="E2847" s="85" t="s">
        <v>11241</v>
      </c>
      <c r="F2847" s="86">
        <v>31</v>
      </c>
      <c r="G2847" s="86">
        <v>10</v>
      </c>
      <c r="H2847" s="86">
        <v>310</v>
      </c>
      <c r="I2847" s="86">
        <v>25887</v>
      </c>
      <c r="J2847" s="85" t="s">
        <v>2935</v>
      </c>
      <c r="K2847" s="85" t="s">
        <v>11211</v>
      </c>
      <c r="L2847" s="85" t="s">
        <v>10737</v>
      </c>
      <c r="M2847" s="85" t="s">
        <v>11242</v>
      </c>
    </row>
    <row r="2848" ht="228" spans="1:13">
      <c r="A2848" s="85" t="s">
        <v>11243</v>
      </c>
      <c r="B2848" s="85" t="s">
        <v>11244</v>
      </c>
      <c r="C2848" s="85" t="s">
        <v>11245</v>
      </c>
      <c r="D2848" s="85" t="s">
        <v>11246</v>
      </c>
      <c r="E2848" s="85" t="s">
        <v>11245</v>
      </c>
      <c r="F2848" s="86">
        <v>433400.64</v>
      </c>
      <c r="G2848" s="86">
        <v>1</v>
      </c>
      <c r="H2848" s="86">
        <v>433400.64</v>
      </c>
      <c r="I2848" s="86">
        <v>433400.64</v>
      </c>
      <c r="J2848" s="85" t="s">
        <v>3898</v>
      </c>
      <c r="K2848" s="85" t="s">
        <v>11247</v>
      </c>
      <c r="L2848" s="85" t="s">
        <v>10737</v>
      </c>
      <c r="M2848" s="85" t="s">
        <v>11248</v>
      </c>
    </row>
    <row r="2849" ht="228" spans="1:13">
      <c r="A2849" s="85" t="s">
        <v>11249</v>
      </c>
      <c r="B2849" s="85" t="s">
        <v>11250</v>
      </c>
      <c r="C2849" s="85" t="s">
        <v>11251</v>
      </c>
      <c r="D2849" s="85" t="s">
        <v>3450</v>
      </c>
      <c r="E2849" s="85" t="s">
        <v>7132</v>
      </c>
      <c r="F2849" s="86">
        <v>9.5</v>
      </c>
      <c r="G2849" s="86">
        <v>5</v>
      </c>
      <c r="H2849" s="86">
        <v>47.5</v>
      </c>
      <c r="I2849" s="86">
        <v>28253</v>
      </c>
      <c r="J2849" s="85" t="s">
        <v>2935</v>
      </c>
      <c r="K2849" s="85" t="s">
        <v>11252</v>
      </c>
      <c r="L2849" s="85" t="s">
        <v>10737</v>
      </c>
      <c r="M2849" s="85" t="s">
        <v>11253</v>
      </c>
    </row>
    <row r="2850" ht="228" spans="1:13">
      <c r="A2850" s="85" t="s">
        <v>11249</v>
      </c>
      <c r="B2850" s="85" t="s">
        <v>11254</v>
      </c>
      <c r="C2850" s="85" t="s">
        <v>11255</v>
      </c>
      <c r="D2850" s="85" t="s">
        <v>11057</v>
      </c>
      <c r="E2850" s="85" t="s">
        <v>11256</v>
      </c>
      <c r="F2850" s="86">
        <v>11</v>
      </c>
      <c r="G2850" s="86">
        <v>10</v>
      </c>
      <c r="H2850" s="86">
        <v>110</v>
      </c>
      <c r="I2850" s="86">
        <v>28253</v>
      </c>
      <c r="J2850" s="85" t="s">
        <v>2935</v>
      </c>
      <c r="K2850" s="85" t="s">
        <v>11252</v>
      </c>
      <c r="L2850" s="85" t="s">
        <v>10737</v>
      </c>
      <c r="M2850" s="85" t="s">
        <v>11257</v>
      </c>
    </row>
    <row r="2851" ht="228" spans="1:13">
      <c r="A2851" s="85" t="s">
        <v>11249</v>
      </c>
      <c r="B2851" s="85" t="s">
        <v>11258</v>
      </c>
      <c r="C2851" s="85" t="s">
        <v>11259</v>
      </c>
      <c r="D2851" s="85" t="s">
        <v>3014</v>
      </c>
      <c r="E2851" s="85" t="s">
        <v>11260</v>
      </c>
      <c r="F2851" s="86">
        <v>105</v>
      </c>
      <c r="G2851" s="86">
        <v>6</v>
      </c>
      <c r="H2851" s="86">
        <v>630</v>
      </c>
      <c r="I2851" s="86">
        <v>28253</v>
      </c>
      <c r="J2851" s="85" t="s">
        <v>2935</v>
      </c>
      <c r="K2851" s="85" t="s">
        <v>11252</v>
      </c>
      <c r="L2851" s="85" t="s">
        <v>10737</v>
      </c>
      <c r="M2851" s="85" t="s">
        <v>11261</v>
      </c>
    </row>
    <row r="2852" ht="228" spans="1:13">
      <c r="A2852" s="85" t="s">
        <v>11249</v>
      </c>
      <c r="B2852" s="85" t="s">
        <v>11262</v>
      </c>
      <c r="C2852" s="85" t="s">
        <v>11263</v>
      </c>
      <c r="D2852" s="85" t="s">
        <v>3834</v>
      </c>
      <c r="E2852" s="85" t="s">
        <v>3848</v>
      </c>
      <c r="F2852" s="86">
        <v>310</v>
      </c>
      <c r="G2852" s="86">
        <v>4</v>
      </c>
      <c r="H2852" s="86">
        <v>1240</v>
      </c>
      <c r="I2852" s="86">
        <v>28253</v>
      </c>
      <c r="J2852" s="85" t="s">
        <v>2935</v>
      </c>
      <c r="K2852" s="85" t="s">
        <v>11252</v>
      </c>
      <c r="L2852" s="85" t="s">
        <v>10737</v>
      </c>
      <c r="M2852" s="85" t="s">
        <v>11264</v>
      </c>
    </row>
    <row r="2853" ht="228" spans="1:13">
      <c r="A2853" s="85" t="s">
        <v>11249</v>
      </c>
      <c r="B2853" s="85" t="s">
        <v>11265</v>
      </c>
      <c r="C2853" s="85" t="s">
        <v>11266</v>
      </c>
      <c r="D2853" s="85" t="s">
        <v>3068</v>
      </c>
      <c r="E2853" s="85" t="s">
        <v>11267</v>
      </c>
      <c r="F2853" s="86">
        <v>22</v>
      </c>
      <c r="G2853" s="86">
        <v>20</v>
      </c>
      <c r="H2853" s="86">
        <v>440</v>
      </c>
      <c r="I2853" s="86">
        <v>28253</v>
      </c>
      <c r="J2853" s="85" t="s">
        <v>2935</v>
      </c>
      <c r="K2853" s="85" t="s">
        <v>11252</v>
      </c>
      <c r="L2853" s="85" t="s">
        <v>10737</v>
      </c>
      <c r="M2853" s="85" t="s">
        <v>11268</v>
      </c>
    </row>
    <row r="2854" ht="228" spans="1:13">
      <c r="A2854" s="85" t="s">
        <v>11249</v>
      </c>
      <c r="B2854" s="85" t="s">
        <v>11269</v>
      </c>
      <c r="C2854" s="85" t="s">
        <v>11270</v>
      </c>
      <c r="D2854" s="85" t="s">
        <v>3153</v>
      </c>
      <c r="E2854" s="85" t="s">
        <v>10503</v>
      </c>
      <c r="F2854" s="86">
        <v>38</v>
      </c>
      <c r="G2854" s="86">
        <v>20</v>
      </c>
      <c r="H2854" s="86">
        <v>760</v>
      </c>
      <c r="I2854" s="86">
        <v>28253</v>
      </c>
      <c r="J2854" s="85" t="s">
        <v>2935</v>
      </c>
      <c r="K2854" s="85" t="s">
        <v>11252</v>
      </c>
      <c r="L2854" s="85" t="s">
        <v>10737</v>
      </c>
      <c r="M2854" s="85" t="s">
        <v>11271</v>
      </c>
    </row>
    <row r="2855" ht="228" spans="1:13">
      <c r="A2855" s="85" t="s">
        <v>11249</v>
      </c>
      <c r="B2855" s="85" t="s">
        <v>11272</v>
      </c>
      <c r="C2855" s="85" t="s">
        <v>11273</v>
      </c>
      <c r="D2855" s="85" t="s">
        <v>3907</v>
      </c>
      <c r="E2855" s="85" t="s">
        <v>1290</v>
      </c>
      <c r="F2855" s="86">
        <v>16</v>
      </c>
      <c r="G2855" s="86">
        <v>20</v>
      </c>
      <c r="H2855" s="86">
        <v>320</v>
      </c>
      <c r="I2855" s="86">
        <v>28253</v>
      </c>
      <c r="J2855" s="85" t="s">
        <v>2935</v>
      </c>
      <c r="K2855" s="85" t="s">
        <v>11252</v>
      </c>
      <c r="L2855" s="85" t="s">
        <v>10737</v>
      </c>
      <c r="M2855" s="85" t="s">
        <v>11274</v>
      </c>
    </row>
    <row r="2856" ht="228" spans="1:13">
      <c r="A2856" s="85" t="s">
        <v>11275</v>
      </c>
      <c r="B2856" s="85" t="s">
        <v>11276</v>
      </c>
      <c r="C2856" s="85" t="s">
        <v>11277</v>
      </c>
      <c r="D2856" s="85" t="s">
        <v>3241</v>
      </c>
      <c r="E2856" s="85" t="s">
        <v>4216</v>
      </c>
      <c r="F2856" s="86">
        <v>25</v>
      </c>
      <c r="G2856" s="86">
        <v>180</v>
      </c>
      <c r="H2856" s="86">
        <v>4500</v>
      </c>
      <c r="I2856" s="86">
        <v>4500</v>
      </c>
      <c r="J2856" s="85" t="s">
        <v>2935</v>
      </c>
      <c r="K2856" s="85" t="s">
        <v>11252</v>
      </c>
      <c r="L2856" s="85" t="s">
        <v>10737</v>
      </c>
      <c r="M2856" s="85" t="s">
        <v>11278</v>
      </c>
    </row>
    <row r="2857" ht="228" spans="1:13">
      <c r="A2857" s="85" t="s">
        <v>11249</v>
      </c>
      <c r="B2857" s="85" t="s">
        <v>6858</v>
      </c>
      <c r="C2857" s="85" t="s">
        <v>6859</v>
      </c>
      <c r="D2857" s="85" t="s">
        <v>3907</v>
      </c>
      <c r="E2857" s="85" t="s">
        <v>6860</v>
      </c>
      <c r="F2857" s="86">
        <v>116</v>
      </c>
      <c r="G2857" s="86">
        <v>10</v>
      </c>
      <c r="H2857" s="86">
        <v>1160</v>
      </c>
      <c r="I2857" s="86">
        <v>28253</v>
      </c>
      <c r="J2857" s="85" t="s">
        <v>2935</v>
      </c>
      <c r="K2857" s="85" t="s">
        <v>11252</v>
      </c>
      <c r="L2857" s="85" t="s">
        <v>10737</v>
      </c>
      <c r="M2857" s="85" t="s">
        <v>11279</v>
      </c>
    </row>
    <row r="2858" ht="228" spans="1:13">
      <c r="A2858" s="85" t="s">
        <v>11249</v>
      </c>
      <c r="B2858" s="85" t="s">
        <v>11280</v>
      </c>
      <c r="C2858" s="85" t="s">
        <v>11281</v>
      </c>
      <c r="D2858" s="85" t="s">
        <v>3337</v>
      </c>
      <c r="E2858" s="85" t="s">
        <v>3338</v>
      </c>
      <c r="F2858" s="86">
        <v>45</v>
      </c>
      <c r="G2858" s="86">
        <v>30</v>
      </c>
      <c r="H2858" s="86">
        <v>1350</v>
      </c>
      <c r="I2858" s="86">
        <v>28253</v>
      </c>
      <c r="J2858" s="85" t="s">
        <v>2935</v>
      </c>
      <c r="K2858" s="85" t="s">
        <v>11252</v>
      </c>
      <c r="L2858" s="85" t="s">
        <v>10737</v>
      </c>
      <c r="M2858" s="85" t="s">
        <v>11282</v>
      </c>
    </row>
    <row r="2859" ht="228" spans="1:13">
      <c r="A2859" s="85" t="s">
        <v>11249</v>
      </c>
      <c r="B2859" s="85" t="s">
        <v>11283</v>
      </c>
      <c r="C2859" s="85" t="s">
        <v>11284</v>
      </c>
      <c r="D2859" s="85" t="s">
        <v>6153</v>
      </c>
      <c r="E2859" s="85" t="s">
        <v>11285</v>
      </c>
      <c r="F2859" s="86">
        <v>1</v>
      </c>
      <c r="G2859" s="86">
        <v>10</v>
      </c>
      <c r="H2859" s="86">
        <v>10</v>
      </c>
      <c r="I2859" s="86">
        <v>28253</v>
      </c>
      <c r="J2859" s="85" t="s">
        <v>2935</v>
      </c>
      <c r="K2859" s="85" t="s">
        <v>11252</v>
      </c>
      <c r="L2859" s="85" t="s">
        <v>10737</v>
      </c>
      <c r="M2859" s="85" t="s">
        <v>11286</v>
      </c>
    </row>
    <row r="2860" ht="228" spans="1:13">
      <c r="A2860" s="85" t="s">
        <v>11249</v>
      </c>
      <c r="B2860" s="85" t="s">
        <v>9149</v>
      </c>
      <c r="C2860" s="85" t="s">
        <v>9150</v>
      </c>
      <c r="D2860" s="85" t="s">
        <v>3543</v>
      </c>
      <c r="E2860" s="85" t="s">
        <v>9151</v>
      </c>
      <c r="F2860" s="86">
        <v>9.6</v>
      </c>
      <c r="G2860" s="86">
        <v>5</v>
      </c>
      <c r="H2860" s="86">
        <v>48</v>
      </c>
      <c r="I2860" s="86">
        <v>28253</v>
      </c>
      <c r="J2860" s="85" t="s">
        <v>2935</v>
      </c>
      <c r="K2860" s="85" t="s">
        <v>11252</v>
      </c>
      <c r="L2860" s="85" t="s">
        <v>10737</v>
      </c>
      <c r="M2860" s="85" t="s">
        <v>11287</v>
      </c>
    </row>
    <row r="2861" ht="228" spans="1:13">
      <c r="A2861" s="85" t="s">
        <v>11249</v>
      </c>
      <c r="B2861" s="85" t="s">
        <v>11288</v>
      </c>
      <c r="C2861" s="85" t="s">
        <v>11289</v>
      </c>
      <c r="D2861" s="85" t="s">
        <v>6153</v>
      </c>
      <c r="E2861" s="85" t="s">
        <v>11285</v>
      </c>
      <c r="F2861" s="86">
        <v>1.5</v>
      </c>
      <c r="G2861" s="86">
        <v>10</v>
      </c>
      <c r="H2861" s="86">
        <v>15</v>
      </c>
      <c r="I2861" s="86">
        <v>28253</v>
      </c>
      <c r="J2861" s="85" t="s">
        <v>2935</v>
      </c>
      <c r="K2861" s="85" t="s">
        <v>11252</v>
      </c>
      <c r="L2861" s="85" t="s">
        <v>10737</v>
      </c>
      <c r="M2861" s="85" t="s">
        <v>11290</v>
      </c>
    </row>
    <row r="2862" ht="228" spans="1:13">
      <c r="A2862" s="85" t="s">
        <v>11249</v>
      </c>
      <c r="B2862" s="85" t="s">
        <v>11291</v>
      </c>
      <c r="C2862" s="85" t="s">
        <v>11292</v>
      </c>
      <c r="D2862" s="85" t="s">
        <v>6153</v>
      </c>
      <c r="E2862" s="85" t="s">
        <v>11285</v>
      </c>
      <c r="F2862" s="86">
        <v>1</v>
      </c>
      <c r="G2862" s="86">
        <v>10</v>
      </c>
      <c r="H2862" s="86">
        <v>10</v>
      </c>
      <c r="I2862" s="86">
        <v>28253</v>
      </c>
      <c r="J2862" s="85" t="s">
        <v>2935</v>
      </c>
      <c r="K2862" s="85" t="s">
        <v>11252</v>
      </c>
      <c r="L2862" s="85" t="s">
        <v>10737</v>
      </c>
      <c r="M2862" s="85" t="s">
        <v>11293</v>
      </c>
    </row>
    <row r="2863" ht="228" spans="1:13">
      <c r="A2863" s="85" t="s">
        <v>11249</v>
      </c>
      <c r="B2863" s="85" t="s">
        <v>11294</v>
      </c>
      <c r="C2863" s="85" t="s">
        <v>11295</v>
      </c>
      <c r="D2863" s="85" t="s">
        <v>3907</v>
      </c>
      <c r="E2863" s="85" t="s">
        <v>6860</v>
      </c>
      <c r="F2863" s="86">
        <v>64</v>
      </c>
      <c r="G2863" s="86">
        <v>10</v>
      </c>
      <c r="H2863" s="86">
        <v>640</v>
      </c>
      <c r="I2863" s="86">
        <v>28253</v>
      </c>
      <c r="J2863" s="85" t="s">
        <v>2935</v>
      </c>
      <c r="K2863" s="85" t="s">
        <v>11252</v>
      </c>
      <c r="L2863" s="85" t="s">
        <v>10737</v>
      </c>
      <c r="M2863" s="85" t="s">
        <v>11296</v>
      </c>
    </row>
    <row r="2864" ht="228" spans="1:13">
      <c r="A2864" s="85" t="s">
        <v>11249</v>
      </c>
      <c r="B2864" s="85" t="s">
        <v>11297</v>
      </c>
      <c r="C2864" s="85" t="s">
        <v>11298</v>
      </c>
      <c r="D2864" s="85" t="s">
        <v>3579</v>
      </c>
      <c r="E2864" s="85" t="s">
        <v>5737</v>
      </c>
      <c r="F2864" s="86">
        <v>76</v>
      </c>
      <c r="G2864" s="86">
        <v>5</v>
      </c>
      <c r="H2864" s="86">
        <v>380</v>
      </c>
      <c r="I2864" s="86">
        <v>28253</v>
      </c>
      <c r="J2864" s="85" t="s">
        <v>2935</v>
      </c>
      <c r="K2864" s="85" t="s">
        <v>11252</v>
      </c>
      <c r="L2864" s="85" t="s">
        <v>10737</v>
      </c>
      <c r="M2864" s="85" t="s">
        <v>11299</v>
      </c>
    </row>
    <row r="2865" ht="228" spans="1:13">
      <c r="A2865" s="85" t="s">
        <v>11249</v>
      </c>
      <c r="B2865" s="85" t="s">
        <v>11300</v>
      </c>
      <c r="C2865" s="85" t="s">
        <v>11301</v>
      </c>
      <c r="D2865" s="85" t="s">
        <v>11302</v>
      </c>
      <c r="E2865" s="85" t="s">
        <v>11303</v>
      </c>
      <c r="F2865" s="86">
        <v>208</v>
      </c>
      <c r="G2865" s="86">
        <v>12</v>
      </c>
      <c r="H2865" s="86">
        <v>2496</v>
      </c>
      <c r="I2865" s="86">
        <v>28253</v>
      </c>
      <c r="J2865" s="85" t="s">
        <v>2935</v>
      </c>
      <c r="K2865" s="85" t="s">
        <v>11252</v>
      </c>
      <c r="L2865" s="85" t="s">
        <v>10737</v>
      </c>
      <c r="M2865" s="85" t="s">
        <v>11304</v>
      </c>
    </row>
    <row r="2866" ht="228" spans="1:13">
      <c r="A2866" s="85" t="s">
        <v>11249</v>
      </c>
      <c r="B2866" s="85" t="s">
        <v>11305</v>
      </c>
      <c r="C2866" s="85" t="s">
        <v>11306</v>
      </c>
      <c r="D2866" s="85" t="s">
        <v>3543</v>
      </c>
      <c r="E2866" s="85" t="s">
        <v>11307</v>
      </c>
      <c r="F2866" s="86">
        <v>22</v>
      </c>
      <c r="G2866" s="86">
        <v>1</v>
      </c>
      <c r="H2866" s="86">
        <v>22</v>
      </c>
      <c r="I2866" s="86">
        <v>28253</v>
      </c>
      <c r="J2866" s="85" t="s">
        <v>2935</v>
      </c>
      <c r="K2866" s="85" t="s">
        <v>11252</v>
      </c>
      <c r="L2866" s="85" t="s">
        <v>10737</v>
      </c>
      <c r="M2866" s="85" t="s">
        <v>11308</v>
      </c>
    </row>
    <row r="2867" ht="228" spans="1:13">
      <c r="A2867" s="85" t="s">
        <v>11249</v>
      </c>
      <c r="B2867" s="85" t="s">
        <v>11309</v>
      </c>
      <c r="C2867" s="85" t="s">
        <v>11310</v>
      </c>
      <c r="D2867" s="85" t="s">
        <v>6924</v>
      </c>
      <c r="E2867" s="85" t="s">
        <v>7837</v>
      </c>
      <c r="F2867" s="86">
        <v>440</v>
      </c>
      <c r="G2867" s="86">
        <v>2</v>
      </c>
      <c r="H2867" s="86">
        <v>880</v>
      </c>
      <c r="I2867" s="86">
        <v>28253</v>
      </c>
      <c r="J2867" s="85" t="s">
        <v>2935</v>
      </c>
      <c r="K2867" s="85" t="s">
        <v>11252</v>
      </c>
      <c r="L2867" s="85" t="s">
        <v>10737</v>
      </c>
      <c r="M2867" s="85" t="s">
        <v>11311</v>
      </c>
    </row>
    <row r="2868" ht="228" spans="1:13">
      <c r="A2868" s="85" t="s">
        <v>11249</v>
      </c>
      <c r="B2868" s="85" t="s">
        <v>11312</v>
      </c>
      <c r="C2868" s="85" t="s">
        <v>11313</v>
      </c>
      <c r="D2868" s="85" t="s">
        <v>3543</v>
      </c>
      <c r="E2868" s="85" t="s">
        <v>11314</v>
      </c>
      <c r="F2868" s="86">
        <v>120</v>
      </c>
      <c r="G2868" s="86">
        <v>30</v>
      </c>
      <c r="H2868" s="86">
        <v>3600</v>
      </c>
      <c r="I2868" s="86">
        <v>28253</v>
      </c>
      <c r="J2868" s="85" t="s">
        <v>2935</v>
      </c>
      <c r="K2868" s="85" t="s">
        <v>11252</v>
      </c>
      <c r="L2868" s="85" t="s">
        <v>10737</v>
      </c>
      <c r="M2868" s="85" t="s">
        <v>11315</v>
      </c>
    </row>
    <row r="2869" ht="228" spans="1:13">
      <c r="A2869" s="85" t="s">
        <v>11249</v>
      </c>
      <c r="B2869" s="85" t="s">
        <v>11316</v>
      </c>
      <c r="C2869" s="85" t="s">
        <v>11317</v>
      </c>
      <c r="D2869" s="85" t="s">
        <v>3189</v>
      </c>
      <c r="E2869" s="85" t="s">
        <v>11318</v>
      </c>
      <c r="F2869" s="86">
        <v>96</v>
      </c>
      <c r="G2869" s="86">
        <v>10</v>
      </c>
      <c r="H2869" s="86">
        <v>960</v>
      </c>
      <c r="I2869" s="86">
        <v>28253</v>
      </c>
      <c r="J2869" s="85" t="s">
        <v>2935</v>
      </c>
      <c r="K2869" s="85" t="s">
        <v>11252</v>
      </c>
      <c r="L2869" s="85" t="s">
        <v>10737</v>
      </c>
      <c r="M2869" s="85" t="s">
        <v>11319</v>
      </c>
    </row>
    <row r="2870" ht="228" spans="1:13">
      <c r="A2870" s="85" t="s">
        <v>11249</v>
      </c>
      <c r="B2870" s="85" t="s">
        <v>11320</v>
      </c>
      <c r="C2870" s="85" t="s">
        <v>11321</v>
      </c>
      <c r="D2870" s="85" t="s">
        <v>4765</v>
      </c>
      <c r="E2870" s="85" t="s">
        <v>11322</v>
      </c>
      <c r="F2870" s="86">
        <v>10</v>
      </c>
      <c r="G2870" s="86">
        <v>450</v>
      </c>
      <c r="H2870" s="86">
        <v>4500</v>
      </c>
      <c r="I2870" s="86">
        <v>28253</v>
      </c>
      <c r="J2870" s="85" t="s">
        <v>2935</v>
      </c>
      <c r="K2870" s="85" t="s">
        <v>11252</v>
      </c>
      <c r="L2870" s="85" t="s">
        <v>10737</v>
      </c>
      <c r="M2870" s="85" t="s">
        <v>11323</v>
      </c>
    </row>
    <row r="2871" ht="228" spans="1:13">
      <c r="A2871" s="85" t="s">
        <v>11249</v>
      </c>
      <c r="B2871" s="85" t="s">
        <v>11324</v>
      </c>
      <c r="C2871" s="85" t="s">
        <v>11325</v>
      </c>
      <c r="D2871" s="85" t="s">
        <v>6153</v>
      </c>
      <c r="E2871" s="85" t="s">
        <v>11285</v>
      </c>
      <c r="F2871" s="86">
        <v>2</v>
      </c>
      <c r="G2871" s="86">
        <v>10</v>
      </c>
      <c r="H2871" s="86">
        <v>20</v>
      </c>
      <c r="I2871" s="86">
        <v>28253</v>
      </c>
      <c r="J2871" s="85" t="s">
        <v>2935</v>
      </c>
      <c r="K2871" s="85" t="s">
        <v>11252</v>
      </c>
      <c r="L2871" s="85" t="s">
        <v>10737</v>
      </c>
      <c r="M2871" s="85" t="s">
        <v>11326</v>
      </c>
    </row>
    <row r="2872" ht="228" spans="1:13">
      <c r="A2872" s="85" t="s">
        <v>11249</v>
      </c>
      <c r="B2872" s="85" t="s">
        <v>11327</v>
      </c>
      <c r="C2872" s="85" t="s">
        <v>11328</v>
      </c>
      <c r="D2872" s="85" t="s">
        <v>3593</v>
      </c>
      <c r="E2872" s="85" t="s">
        <v>11328</v>
      </c>
      <c r="F2872" s="86">
        <v>8</v>
      </c>
      <c r="G2872" s="86">
        <v>10</v>
      </c>
      <c r="H2872" s="86">
        <v>80</v>
      </c>
      <c r="I2872" s="86">
        <v>28253</v>
      </c>
      <c r="J2872" s="85" t="s">
        <v>2935</v>
      </c>
      <c r="K2872" s="85" t="s">
        <v>11252</v>
      </c>
      <c r="L2872" s="85" t="s">
        <v>10737</v>
      </c>
      <c r="M2872" s="85" t="s">
        <v>11329</v>
      </c>
    </row>
    <row r="2873" ht="228" spans="1:13">
      <c r="A2873" s="85" t="s">
        <v>11249</v>
      </c>
      <c r="B2873" s="85" t="s">
        <v>11330</v>
      </c>
      <c r="C2873" s="85" t="s">
        <v>11331</v>
      </c>
      <c r="D2873" s="85" t="s">
        <v>10932</v>
      </c>
      <c r="E2873" s="85" t="s">
        <v>11332</v>
      </c>
      <c r="F2873" s="86">
        <v>84</v>
      </c>
      <c r="G2873" s="86">
        <v>8</v>
      </c>
      <c r="H2873" s="86">
        <v>672</v>
      </c>
      <c r="I2873" s="86">
        <v>28253</v>
      </c>
      <c r="J2873" s="85" t="s">
        <v>2935</v>
      </c>
      <c r="K2873" s="85" t="s">
        <v>11252</v>
      </c>
      <c r="L2873" s="85" t="s">
        <v>10737</v>
      </c>
      <c r="M2873" s="85" t="s">
        <v>11333</v>
      </c>
    </row>
    <row r="2874" ht="228" spans="1:13">
      <c r="A2874" s="85" t="s">
        <v>11249</v>
      </c>
      <c r="B2874" s="85" t="s">
        <v>11334</v>
      </c>
      <c r="C2874" s="85" t="s">
        <v>11335</v>
      </c>
      <c r="D2874" s="85" t="s">
        <v>3014</v>
      </c>
      <c r="E2874" s="85" t="s">
        <v>9619</v>
      </c>
      <c r="F2874" s="86">
        <v>335</v>
      </c>
      <c r="G2874" s="86">
        <v>1</v>
      </c>
      <c r="H2874" s="86">
        <v>335</v>
      </c>
      <c r="I2874" s="86">
        <v>28253</v>
      </c>
      <c r="J2874" s="85" t="s">
        <v>2935</v>
      </c>
      <c r="K2874" s="85" t="s">
        <v>11252</v>
      </c>
      <c r="L2874" s="85" t="s">
        <v>10737</v>
      </c>
      <c r="M2874" s="85" t="s">
        <v>11336</v>
      </c>
    </row>
    <row r="2875" ht="228" spans="1:13">
      <c r="A2875" s="85" t="s">
        <v>11249</v>
      </c>
      <c r="B2875" s="85" t="s">
        <v>11337</v>
      </c>
      <c r="C2875" s="85" t="s">
        <v>11338</v>
      </c>
      <c r="D2875" s="85" t="s">
        <v>3014</v>
      </c>
      <c r="E2875" s="85" t="s">
        <v>11339</v>
      </c>
      <c r="F2875" s="86">
        <v>103</v>
      </c>
      <c r="G2875" s="86">
        <v>6</v>
      </c>
      <c r="H2875" s="86">
        <v>618</v>
      </c>
      <c r="I2875" s="86">
        <v>28253</v>
      </c>
      <c r="J2875" s="85" t="s">
        <v>2935</v>
      </c>
      <c r="K2875" s="85" t="s">
        <v>11252</v>
      </c>
      <c r="L2875" s="85" t="s">
        <v>10737</v>
      </c>
      <c r="M2875" s="85" t="s">
        <v>11340</v>
      </c>
    </row>
    <row r="2876" ht="228" spans="1:13">
      <c r="A2876" s="85" t="s">
        <v>11249</v>
      </c>
      <c r="B2876" s="85" t="s">
        <v>11341</v>
      </c>
      <c r="C2876" s="85" t="s">
        <v>11342</v>
      </c>
      <c r="D2876" s="85" t="s">
        <v>8345</v>
      </c>
      <c r="E2876" s="85" t="s">
        <v>8346</v>
      </c>
      <c r="F2876" s="86">
        <v>16</v>
      </c>
      <c r="G2876" s="86">
        <v>5</v>
      </c>
      <c r="H2876" s="86">
        <v>80</v>
      </c>
      <c r="I2876" s="86">
        <v>28253</v>
      </c>
      <c r="J2876" s="85" t="s">
        <v>2935</v>
      </c>
      <c r="K2876" s="85" t="s">
        <v>11252</v>
      </c>
      <c r="L2876" s="85" t="s">
        <v>10737</v>
      </c>
      <c r="M2876" s="85" t="s">
        <v>11343</v>
      </c>
    </row>
    <row r="2877" ht="228" spans="1:13">
      <c r="A2877" s="85" t="s">
        <v>11249</v>
      </c>
      <c r="B2877" s="85" t="s">
        <v>11344</v>
      </c>
      <c r="C2877" s="85" t="s">
        <v>11345</v>
      </c>
      <c r="D2877" s="85" t="s">
        <v>3337</v>
      </c>
      <c r="E2877" s="85" t="s">
        <v>3338</v>
      </c>
      <c r="F2877" s="86">
        <v>25</v>
      </c>
      <c r="G2877" s="86">
        <v>10</v>
      </c>
      <c r="H2877" s="86">
        <v>250</v>
      </c>
      <c r="I2877" s="86">
        <v>28253</v>
      </c>
      <c r="J2877" s="85" t="s">
        <v>2935</v>
      </c>
      <c r="K2877" s="85" t="s">
        <v>11252</v>
      </c>
      <c r="L2877" s="85" t="s">
        <v>10737</v>
      </c>
      <c r="M2877" s="85" t="s">
        <v>11346</v>
      </c>
    </row>
    <row r="2878" ht="228" spans="1:13">
      <c r="A2878" s="85" t="s">
        <v>11249</v>
      </c>
      <c r="B2878" s="85" t="s">
        <v>11347</v>
      </c>
      <c r="C2878" s="85" t="s">
        <v>11348</v>
      </c>
      <c r="D2878" s="85" t="s">
        <v>11349</v>
      </c>
      <c r="E2878" s="85" t="s">
        <v>11350</v>
      </c>
      <c r="F2878" s="86">
        <v>3.45</v>
      </c>
      <c r="G2878" s="86">
        <v>10</v>
      </c>
      <c r="H2878" s="86">
        <v>34.5</v>
      </c>
      <c r="I2878" s="86">
        <v>28253</v>
      </c>
      <c r="J2878" s="85" t="s">
        <v>2935</v>
      </c>
      <c r="K2878" s="85" t="s">
        <v>11252</v>
      </c>
      <c r="L2878" s="85" t="s">
        <v>10737</v>
      </c>
      <c r="M2878" s="85" t="s">
        <v>11351</v>
      </c>
    </row>
    <row r="2879" ht="228" spans="1:13">
      <c r="A2879" s="85" t="s">
        <v>11249</v>
      </c>
      <c r="B2879" s="85" t="s">
        <v>11352</v>
      </c>
      <c r="C2879" s="85" t="s">
        <v>11353</v>
      </c>
      <c r="D2879" s="85" t="s">
        <v>4802</v>
      </c>
      <c r="E2879" s="85" t="s">
        <v>4997</v>
      </c>
      <c r="F2879" s="86">
        <v>25</v>
      </c>
      <c r="G2879" s="86">
        <v>100</v>
      </c>
      <c r="H2879" s="86">
        <v>2500</v>
      </c>
      <c r="I2879" s="86">
        <v>28253</v>
      </c>
      <c r="J2879" s="85" t="s">
        <v>2935</v>
      </c>
      <c r="K2879" s="85" t="s">
        <v>11252</v>
      </c>
      <c r="L2879" s="85" t="s">
        <v>10737</v>
      </c>
      <c r="M2879" s="85" t="s">
        <v>11354</v>
      </c>
    </row>
    <row r="2880" ht="228" spans="1:13">
      <c r="A2880" s="85" t="s">
        <v>11249</v>
      </c>
      <c r="B2880" s="85" t="s">
        <v>11355</v>
      </c>
      <c r="C2880" s="85" t="s">
        <v>11356</v>
      </c>
      <c r="D2880" s="85" t="s">
        <v>6153</v>
      </c>
      <c r="E2880" s="85" t="s">
        <v>11285</v>
      </c>
      <c r="F2880" s="86">
        <v>1</v>
      </c>
      <c r="G2880" s="86">
        <v>10</v>
      </c>
      <c r="H2880" s="86">
        <v>10</v>
      </c>
      <c r="I2880" s="86">
        <v>28253</v>
      </c>
      <c r="J2880" s="85" t="s">
        <v>2935</v>
      </c>
      <c r="K2880" s="85" t="s">
        <v>11252</v>
      </c>
      <c r="L2880" s="85" t="s">
        <v>10737</v>
      </c>
      <c r="M2880" s="85" t="s">
        <v>11357</v>
      </c>
    </row>
    <row r="2881" ht="228" spans="1:13">
      <c r="A2881" s="85" t="s">
        <v>11249</v>
      </c>
      <c r="B2881" s="85" t="s">
        <v>11358</v>
      </c>
      <c r="C2881" s="85" t="s">
        <v>11359</v>
      </c>
      <c r="D2881" s="85" t="s">
        <v>4765</v>
      </c>
      <c r="E2881" s="85" t="s">
        <v>11360</v>
      </c>
      <c r="F2881" s="86">
        <v>410</v>
      </c>
      <c r="G2881" s="86">
        <v>6</v>
      </c>
      <c r="H2881" s="86">
        <v>2460</v>
      </c>
      <c r="I2881" s="86">
        <v>28253</v>
      </c>
      <c r="J2881" s="85" t="s">
        <v>2935</v>
      </c>
      <c r="K2881" s="85" t="s">
        <v>11252</v>
      </c>
      <c r="L2881" s="85" t="s">
        <v>10737</v>
      </c>
      <c r="M2881" s="85" t="s">
        <v>11361</v>
      </c>
    </row>
    <row r="2882" ht="228" spans="1:13">
      <c r="A2882" s="85" t="s">
        <v>11249</v>
      </c>
      <c r="B2882" s="85" t="s">
        <v>11362</v>
      </c>
      <c r="C2882" s="85" t="s">
        <v>11363</v>
      </c>
      <c r="D2882" s="85" t="s">
        <v>3153</v>
      </c>
      <c r="E2882" s="85" t="s">
        <v>9380</v>
      </c>
      <c r="F2882" s="86">
        <v>35</v>
      </c>
      <c r="G2882" s="86">
        <v>5</v>
      </c>
      <c r="H2882" s="86">
        <v>175</v>
      </c>
      <c r="I2882" s="86">
        <v>28253</v>
      </c>
      <c r="J2882" s="85" t="s">
        <v>2935</v>
      </c>
      <c r="K2882" s="85" t="s">
        <v>11252</v>
      </c>
      <c r="L2882" s="85" t="s">
        <v>10737</v>
      </c>
      <c r="M2882" s="85" t="s">
        <v>11364</v>
      </c>
    </row>
    <row r="2883" ht="228" spans="1:13">
      <c r="A2883" s="85" t="s">
        <v>11249</v>
      </c>
      <c r="B2883" s="85" t="s">
        <v>6950</v>
      </c>
      <c r="C2883" s="85" t="s">
        <v>6951</v>
      </c>
      <c r="D2883" s="85" t="s">
        <v>4182</v>
      </c>
      <c r="E2883" s="85" t="s">
        <v>6952</v>
      </c>
      <c r="F2883" s="86">
        <v>2</v>
      </c>
      <c r="G2883" s="86">
        <v>100</v>
      </c>
      <c r="H2883" s="86">
        <v>200</v>
      </c>
      <c r="I2883" s="86">
        <v>28253</v>
      </c>
      <c r="J2883" s="85" t="s">
        <v>2935</v>
      </c>
      <c r="K2883" s="85" t="s">
        <v>11252</v>
      </c>
      <c r="L2883" s="85" t="s">
        <v>10737</v>
      </c>
      <c r="M2883" s="85" t="s">
        <v>11365</v>
      </c>
    </row>
    <row r="2884" ht="228" spans="1:13">
      <c r="A2884" s="85" t="s">
        <v>11249</v>
      </c>
      <c r="B2884" s="85" t="s">
        <v>9613</v>
      </c>
      <c r="C2884" s="85" t="s">
        <v>9614</v>
      </c>
      <c r="D2884" s="85" t="s">
        <v>9615</v>
      </c>
      <c r="E2884" s="85" t="s">
        <v>9614</v>
      </c>
      <c r="F2884" s="86">
        <v>24</v>
      </c>
      <c r="G2884" s="86">
        <v>50</v>
      </c>
      <c r="H2884" s="86">
        <v>1200</v>
      </c>
      <c r="I2884" s="86">
        <v>28253</v>
      </c>
      <c r="J2884" s="85" t="s">
        <v>2935</v>
      </c>
      <c r="K2884" s="85" t="s">
        <v>11252</v>
      </c>
      <c r="L2884" s="85" t="s">
        <v>10737</v>
      </c>
      <c r="M2884" s="85" t="s">
        <v>11366</v>
      </c>
    </row>
    <row r="2885" ht="228" spans="1:13">
      <c r="A2885" s="85" t="s">
        <v>11367</v>
      </c>
      <c r="B2885" s="85" t="s">
        <v>11368</v>
      </c>
      <c r="C2885" s="85" t="s">
        <v>11369</v>
      </c>
      <c r="D2885" s="85" t="s">
        <v>11370</v>
      </c>
      <c r="E2885" s="85" t="s">
        <v>11371</v>
      </c>
      <c r="F2885" s="86">
        <v>35</v>
      </c>
      <c r="G2885" s="86">
        <v>100</v>
      </c>
      <c r="H2885" s="86">
        <v>3500</v>
      </c>
      <c r="I2885" s="86">
        <v>5200</v>
      </c>
      <c r="J2885" s="85" t="s">
        <v>9135</v>
      </c>
      <c r="K2885" s="85" t="s">
        <v>11372</v>
      </c>
      <c r="L2885" s="85" t="s">
        <v>10737</v>
      </c>
      <c r="M2885" s="85" t="s">
        <v>11373</v>
      </c>
    </row>
    <row r="2886" ht="228" spans="1:13">
      <c r="A2886" s="85" t="s">
        <v>11374</v>
      </c>
      <c r="B2886" s="85" t="s">
        <v>11375</v>
      </c>
      <c r="C2886" s="85" t="s">
        <v>11376</v>
      </c>
      <c r="D2886" s="85" t="s">
        <v>2997</v>
      </c>
      <c r="E2886" s="85" t="s">
        <v>2998</v>
      </c>
      <c r="F2886" s="86">
        <v>18</v>
      </c>
      <c r="G2886" s="86">
        <v>360</v>
      </c>
      <c r="H2886" s="86">
        <v>6480</v>
      </c>
      <c r="I2886" s="86">
        <v>6480</v>
      </c>
      <c r="J2886" s="85" t="s">
        <v>2935</v>
      </c>
      <c r="K2886" s="85" t="s">
        <v>11372</v>
      </c>
      <c r="L2886" s="85" t="s">
        <v>10737</v>
      </c>
      <c r="M2886" s="85" t="s">
        <v>11377</v>
      </c>
    </row>
    <row r="2887" ht="228" spans="1:13">
      <c r="A2887" s="85" t="s">
        <v>11378</v>
      </c>
      <c r="B2887" s="85" t="s">
        <v>11379</v>
      </c>
      <c r="C2887" s="85" t="s">
        <v>11380</v>
      </c>
      <c r="D2887" s="85" t="s">
        <v>9890</v>
      </c>
      <c r="E2887" s="85" t="s">
        <v>9891</v>
      </c>
      <c r="F2887" s="86">
        <v>28</v>
      </c>
      <c r="G2887" s="86">
        <v>5</v>
      </c>
      <c r="H2887" s="86">
        <v>140</v>
      </c>
      <c r="I2887" s="86">
        <v>36420</v>
      </c>
      <c r="J2887" s="85" t="s">
        <v>9135</v>
      </c>
      <c r="K2887" s="85" t="s">
        <v>11372</v>
      </c>
      <c r="L2887" s="85" t="s">
        <v>10737</v>
      </c>
      <c r="M2887" s="85" t="s">
        <v>11381</v>
      </c>
    </row>
    <row r="2888" ht="228" spans="1:13">
      <c r="A2888" s="85" t="s">
        <v>11382</v>
      </c>
      <c r="B2888" s="85" t="s">
        <v>9748</v>
      </c>
      <c r="C2888" s="85" t="s">
        <v>9749</v>
      </c>
      <c r="D2888" s="85" t="s">
        <v>3046</v>
      </c>
      <c r="E2888" s="85" t="s">
        <v>6506</v>
      </c>
      <c r="F2888" s="86">
        <v>377</v>
      </c>
      <c r="G2888" s="86">
        <v>2</v>
      </c>
      <c r="H2888" s="86">
        <v>754</v>
      </c>
      <c r="I2888" s="86">
        <v>3804</v>
      </c>
      <c r="J2888" s="85" t="s">
        <v>2935</v>
      </c>
      <c r="K2888" s="85" t="s">
        <v>11372</v>
      </c>
      <c r="L2888" s="85" t="s">
        <v>10737</v>
      </c>
      <c r="M2888" s="85" t="s">
        <v>11383</v>
      </c>
    </row>
    <row r="2889" ht="228" spans="1:13">
      <c r="A2889" s="85" t="s">
        <v>11384</v>
      </c>
      <c r="B2889" s="85" t="s">
        <v>10765</v>
      </c>
      <c r="C2889" s="85" t="s">
        <v>10766</v>
      </c>
      <c r="D2889" s="85" t="s">
        <v>3959</v>
      </c>
      <c r="E2889" s="85" t="s">
        <v>6829</v>
      </c>
      <c r="F2889" s="86">
        <v>225</v>
      </c>
      <c r="G2889" s="86">
        <v>20</v>
      </c>
      <c r="H2889" s="86">
        <v>4500</v>
      </c>
      <c r="I2889" s="86">
        <v>12396</v>
      </c>
      <c r="J2889" s="85" t="s">
        <v>4391</v>
      </c>
      <c r="K2889" s="85" t="s">
        <v>11372</v>
      </c>
      <c r="L2889" s="85" t="s">
        <v>10737</v>
      </c>
      <c r="M2889" s="85" t="s">
        <v>11385</v>
      </c>
    </row>
    <row r="2890" ht="228" spans="1:13">
      <c r="A2890" s="85" t="s">
        <v>11386</v>
      </c>
      <c r="B2890" s="85" t="s">
        <v>8487</v>
      </c>
      <c r="C2890" s="85" t="s">
        <v>8488</v>
      </c>
      <c r="D2890" s="85" t="s">
        <v>3024</v>
      </c>
      <c r="E2890" s="85" t="s">
        <v>8489</v>
      </c>
      <c r="F2890" s="86">
        <v>80</v>
      </c>
      <c r="G2890" s="86">
        <v>8</v>
      </c>
      <c r="H2890" s="86">
        <v>640</v>
      </c>
      <c r="I2890" s="86">
        <v>17137.5</v>
      </c>
      <c r="J2890" s="85" t="s">
        <v>4370</v>
      </c>
      <c r="K2890" s="85" t="s">
        <v>11372</v>
      </c>
      <c r="L2890" s="85" t="s">
        <v>10737</v>
      </c>
      <c r="M2890" s="85" t="s">
        <v>11387</v>
      </c>
    </row>
    <row r="2891" ht="228" spans="1:13">
      <c r="A2891" s="85" t="s">
        <v>11388</v>
      </c>
      <c r="B2891" s="85" t="s">
        <v>9027</v>
      </c>
      <c r="C2891" s="85" t="s">
        <v>9028</v>
      </c>
      <c r="D2891" s="85" t="s">
        <v>3024</v>
      </c>
      <c r="E2891" s="85" t="s">
        <v>8489</v>
      </c>
      <c r="F2891" s="86">
        <v>31.64</v>
      </c>
      <c r="G2891" s="86">
        <v>9</v>
      </c>
      <c r="H2891" s="86">
        <v>284.76</v>
      </c>
      <c r="I2891" s="86">
        <v>1325.56</v>
      </c>
      <c r="J2891" s="85" t="s">
        <v>4370</v>
      </c>
      <c r="K2891" s="85" t="s">
        <v>11372</v>
      </c>
      <c r="L2891" s="85" t="s">
        <v>10737</v>
      </c>
      <c r="M2891" s="85" t="s">
        <v>11389</v>
      </c>
    </row>
    <row r="2892" ht="228" spans="1:13">
      <c r="A2892" s="85" t="s">
        <v>11390</v>
      </c>
      <c r="B2892" s="85" t="s">
        <v>11391</v>
      </c>
      <c r="C2892" s="85" t="s">
        <v>11392</v>
      </c>
      <c r="D2892" s="85" t="s">
        <v>6375</v>
      </c>
      <c r="E2892" s="85" t="s">
        <v>6376</v>
      </c>
      <c r="F2892" s="86">
        <v>1387.08</v>
      </c>
      <c r="G2892" s="86">
        <v>6</v>
      </c>
      <c r="H2892" s="86">
        <v>8322.48</v>
      </c>
      <c r="I2892" s="86">
        <v>8385.27</v>
      </c>
      <c r="J2892" s="85" t="s">
        <v>8500</v>
      </c>
      <c r="K2892" s="85" t="s">
        <v>11372</v>
      </c>
      <c r="L2892" s="85" t="s">
        <v>10737</v>
      </c>
      <c r="M2892" s="85" t="s">
        <v>11393</v>
      </c>
    </row>
    <row r="2893" ht="228" spans="1:13">
      <c r="A2893" s="85" t="s">
        <v>11388</v>
      </c>
      <c r="B2893" s="85" t="s">
        <v>8628</v>
      </c>
      <c r="C2893" s="85" t="s">
        <v>8629</v>
      </c>
      <c r="D2893" s="85" t="s">
        <v>8630</v>
      </c>
      <c r="E2893" s="85" t="s">
        <v>1706</v>
      </c>
      <c r="F2893" s="86">
        <v>90.4</v>
      </c>
      <c r="G2893" s="86">
        <v>10</v>
      </c>
      <c r="H2893" s="86">
        <v>904</v>
      </c>
      <c r="I2893" s="86">
        <v>1325.56</v>
      </c>
      <c r="J2893" s="85" t="s">
        <v>4370</v>
      </c>
      <c r="K2893" s="85" t="s">
        <v>11372</v>
      </c>
      <c r="L2893" s="85" t="s">
        <v>10737</v>
      </c>
      <c r="M2893" s="85" t="s">
        <v>11394</v>
      </c>
    </row>
    <row r="2894" ht="228" spans="1:13">
      <c r="A2894" s="85" t="s">
        <v>11395</v>
      </c>
      <c r="B2894" s="85" t="s">
        <v>9492</v>
      </c>
      <c r="C2894" s="85" t="s">
        <v>9493</v>
      </c>
      <c r="D2894" s="85" t="s">
        <v>3753</v>
      </c>
      <c r="E2894" s="85" t="s">
        <v>3763</v>
      </c>
      <c r="F2894" s="86">
        <v>489.51</v>
      </c>
      <c r="G2894" s="86">
        <v>2</v>
      </c>
      <c r="H2894" s="86">
        <v>979.02</v>
      </c>
      <c r="I2894" s="86">
        <v>14274.19</v>
      </c>
      <c r="J2894" s="85" t="s">
        <v>11396</v>
      </c>
      <c r="K2894" s="85" t="s">
        <v>11372</v>
      </c>
      <c r="L2894" s="85" t="s">
        <v>10737</v>
      </c>
      <c r="M2894" s="85" t="s">
        <v>11397</v>
      </c>
    </row>
    <row r="2895" ht="228" spans="1:13">
      <c r="A2895" s="85" t="s">
        <v>11378</v>
      </c>
      <c r="B2895" s="85" t="s">
        <v>11398</v>
      </c>
      <c r="C2895" s="85" t="s">
        <v>11399</v>
      </c>
      <c r="D2895" s="85" t="s">
        <v>9140</v>
      </c>
      <c r="E2895" s="85" t="s">
        <v>3209</v>
      </c>
      <c r="F2895" s="86">
        <v>6.6</v>
      </c>
      <c r="G2895" s="86">
        <v>100</v>
      </c>
      <c r="H2895" s="86">
        <v>660</v>
      </c>
      <c r="I2895" s="86">
        <v>36420</v>
      </c>
      <c r="J2895" s="85" t="s">
        <v>9135</v>
      </c>
      <c r="K2895" s="85" t="s">
        <v>11372</v>
      </c>
      <c r="L2895" s="85" t="s">
        <v>10737</v>
      </c>
      <c r="M2895" s="85" t="s">
        <v>11400</v>
      </c>
    </row>
    <row r="2896" ht="228" spans="1:13">
      <c r="A2896" s="85" t="s">
        <v>11401</v>
      </c>
      <c r="B2896" s="85" t="s">
        <v>11402</v>
      </c>
      <c r="C2896" s="85" t="s">
        <v>11403</v>
      </c>
      <c r="D2896" s="85" t="s">
        <v>3030</v>
      </c>
      <c r="E2896" s="85" t="s">
        <v>1916</v>
      </c>
      <c r="F2896" s="86">
        <v>193</v>
      </c>
      <c r="G2896" s="86">
        <v>20</v>
      </c>
      <c r="H2896" s="86">
        <v>3860</v>
      </c>
      <c r="I2896" s="86">
        <v>3860</v>
      </c>
      <c r="J2896" s="85" t="s">
        <v>2935</v>
      </c>
      <c r="K2896" s="85" t="s">
        <v>11372</v>
      </c>
      <c r="L2896" s="85" t="s">
        <v>10737</v>
      </c>
      <c r="M2896" s="85" t="s">
        <v>11404</v>
      </c>
    </row>
    <row r="2897" ht="228" spans="1:13">
      <c r="A2897" s="85" t="s">
        <v>11405</v>
      </c>
      <c r="B2897" s="85" t="s">
        <v>8964</v>
      </c>
      <c r="C2897" s="85" t="s">
        <v>8965</v>
      </c>
      <c r="D2897" s="85" t="s">
        <v>3046</v>
      </c>
      <c r="E2897" s="85" t="s">
        <v>6506</v>
      </c>
      <c r="F2897" s="86">
        <v>1280</v>
      </c>
      <c r="G2897" s="86">
        <v>2</v>
      </c>
      <c r="H2897" s="86">
        <v>2560</v>
      </c>
      <c r="I2897" s="86">
        <v>3560</v>
      </c>
      <c r="J2897" s="85" t="s">
        <v>2935</v>
      </c>
      <c r="K2897" s="85" t="s">
        <v>11372</v>
      </c>
      <c r="L2897" s="85" t="s">
        <v>10737</v>
      </c>
      <c r="M2897" s="85" t="s">
        <v>11406</v>
      </c>
    </row>
    <row r="2898" ht="228" spans="1:13">
      <c r="A2898" s="85" t="s">
        <v>11407</v>
      </c>
      <c r="B2898" s="85" t="s">
        <v>10214</v>
      </c>
      <c r="C2898" s="85" t="s">
        <v>10215</v>
      </c>
      <c r="D2898" s="85" t="s">
        <v>3241</v>
      </c>
      <c r="E2898" s="85" t="s">
        <v>3689</v>
      </c>
      <c r="F2898" s="86">
        <v>48</v>
      </c>
      <c r="G2898" s="86">
        <v>4</v>
      </c>
      <c r="H2898" s="86">
        <v>192</v>
      </c>
      <c r="I2898" s="86">
        <v>192</v>
      </c>
      <c r="J2898" s="85" t="s">
        <v>2935</v>
      </c>
      <c r="K2898" s="85" t="s">
        <v>11372</v>
      </c>
      <c r="L2898" s="85" t="s">
        <v>10737</v>
      </c>
      <c r="M2898" s="85" t="s">
        <v>11408</v>
      </c>
    </row>
    <row r="2899" ht="228" spans="1:13">
      <c r="A2899" s="85" t="s">
        <v>11409</v>
      </c>
      <c r="B2899" s="85" t="s">
        <v>11410</v>
      </c>
      <c r="C2899" s="85" t="s">
        <v>11411</v>
      </c>
      <c r="D2899" s="85" t="s">
        <v>3969</v>
      </c>
      <c r="E2899" s="85" t="s">
        <v>10021</v>
      </c>
      <c r="F2899" s="86">
        <v>1</v>
      </c>
      <c r="G2899" s="86">
        <v>500</v>
      </c>
      <c r="H2899" s="86">
        <v>500</v>
      </c>
      <c r="I2899" s="86">
        <v>2570</v>
      </c>
      <c r="J2899" s="85" t="s">
        <v>2935</v>
      </c>
      <c r="K2899" s="85" t="s">
        <v>11372</v>
      </c>
      <c r="L2899" s="85" t="s">
        <v>10737</v>
      </c>
      <c r="M2899" s="85" t="s">
        <v>11412</v>
      </c>
    </row>
    <row r="2900" ht="228" spans="1:13">
      <c r="A2900" s="85" t="s">
        <v>11378</v>
      </c>
      <c r="B2900" s="85" t="s">
        <v>10526</v>
      </c>
      <c r="C2900" s="85" t="s">
        <v>10527</v>
      </c>
      <c r="D2900" s="85" t="s">
        <v>8767</v>
      </c>
      <c r="E2900" s="85" t="s">
        <v>3050</v>
      </c>
      <c r="F2900" s="86">
        <v>5.8</v>
      </c>
      <c r="G2900" s="86">
        <v>100</v>
      </c>
      <c r="H2900" s="86">
        <v>580</v>
      </c>
      <c r="I2900" s="86">
        <v>36420</v>
      </c>
      <c r="J2900" s="85" t="s">
        <v>9135</v>
      </c>
      <c r="K2900" s="85" t="s">
        <v>11372</v>
      </c>
      <c r="L2900" s="85" t="s">
        <v>10737</v>
      </c>
      <c r="M2900" s="85" t="s">
        <v>11413</v>
      </c>
    </row>
    <row r="2901" ht="228" spans="1:13">
      <c r="A2901" s="85" t="s">
        <v>11382</v>
      </c>
      <c r="B2901" s="85" t="s">
        <v>11414</v>
      </c>
      <c r="C2901" s="85" t="s">
        <v>11415</v>
      </c>
      <c r="D2901" s="85" t="s">
        <v>9140</v>
      </c>
      <c r="E2901" s="85" t="s">
        <v>3209</v>
      </c>
      <c r="F2901" s="86">
        <v>10</v>
      </c>
      <c r="G2901" s="86">
        <v>300</v>
      </c>
      <c r="H2901" s="86">
        <v>3000</v>
      </c>
      <c r="I2901" s="86">
        <v>3804</v>
      </c>
      <c r="J2901" s="85" t="s">
        <v>2935</v>
      </c>
      <c r="K2901" s="85" t="s">
        <v>11372</v>
      </c>
      <c r="L2901" s="85" t="s">
        <v>10737</v>
      </c>
      <c r="M2901" s="85" t="s">
        <v>11416</v>
      </c>
    </row>
    <row r="2902" ht="228" spans="1:13">
      <c r="A2902" s="85" t="s">
        <v>11378</v>
      </c>
      <c r="B2902" s="85" t="s">
        <v>11417</v>
      </c>
      <c r="C2902" s="85" t="s">
        <v>11418</v>
      </c>
      <c r="D2902" s="85" t="s">
        <v>7377</v>
      </c>
      <c r="E2902" s="85" t="s">
        <v>9550</v>
      </c>
      <c r="F2902" s="86">
        <v>7</v>
      </c>
      <c r="G2902" s="86">
        <v>200</v>
      </c>
      <c r="H2902" s="86">
        <v>1400</v>
      </c>
      <c r="I2902" s="86">
        <v>36420</v>
      </c>
      <c r="J2902" s="85" t="s">
        <v>9135</v>
      </c>
      <c r="K2902" s="85" t="s">
        <v>11372</v>
      </c>
      <c r="L2902" s="85" t="s">
        <v>10737</v>
      </c>
      <c r="M2902" s="85" t="s">
        <v>11419</v>
      </c>
    </row>
    <row r="2903" ht="228" spans="1:13">
      <c r="A2903" s="85" t="s">
        <v>11386</v>
      </c>
      <c r="B2903" s="85" t="s">
        <v>11420</v>
      </c>
      <c r="C2903" s="85" t="s">
        <v>11421</v>
      </c>
      <c r="D2903" s="85" t="s">
        <v>3907</v>
      </c>
      <c r="E2903" s="85" t="s">
        <v>6220</v>
      </c>
      <c r="F2903" s="86">
        <v>0.19</v>
      </c>
      <c r="G2903" s="86">
        <v>10000</v>
      </c>
      <c r="H2903" s="86">
        <v>1900</v>
      </c>
      <c r="I2903" s="86">
        <v>17137.5</v>
      </c>
      <c r="J2903" s="85" t="s">
        <v>4370</v>
      </c>
      <c r="K2903" s="85" t="s">
        <v>11372</v>
      </c>
      <c r="L2903" s="85" t="s">
        <v>10737</v>
      </c>
      <c r="M2903" s="85" t="s">
        <v>11422</v>
      </c>
    </row>
    <row r="2904" ht="228" spans="1:13">
      <c r="A2904" s="85" t="s">
        <v>11395</v>
      </c>
      <c r="B2904" s="85" t="s">
        <v>11423</v>
      </c>
      <c r="C2904" s="85" t="s">
        <v>11424</v>
      </c>
      <c r="D2904" s="85" t="s">
        <v>3398</v>
      </c>
      <c r="E2904" s="85" t="s">
        <v>2345</v>
      </c>
      <c r="F2904" s="86">
        <v>12000</v>
      </c>
      <c r="G2904" s="86">
        <v>1</v>
      </c>
      <c r="H2904" s="86">
        <v>12000</v>
      </c>
      <c r="I2904" s="86">
        <v>14274.19</v>
      </c>
      <c r="J2904" s="85" t="s">
        <v>11396</v>
      </c>
      <c r="K2904" s="85" t="s">
        <v>11372</v>
      </c>
      <c r="L2904" s="85" t="s">
        <v>10737</v>
      </c>
      <c r="M2904" s="85" t="s">
        <v>11425</v>
      </c>
    </row>
    <row r="2905" ht="228" spans="1:13">
      <c r="A2905" s="85" t="s">
        <v>11409</v>
      </c>
      <c r="B2905" s="85" t="s">
        <v>11426</v>
      </c>
      <c r="C2905" s="85" t="s">
        <v>11427</v>
      </c>
      <c r="D2905" s="85" t="s">
        <v>11428</v>
      </c>
      <c r="E2905" s="85" t="s">
        <v>11429</v>
      </c>
      <c r="F2905" s="86">
        <v>37</v>
      </c>
      <c r="G2905" s="86">
        <v>5</v>
      </c>
      <c r="H2905" s="86">
        <v>185</v>
      </c>
      <c r="I2905" s="86">
        <v>2570</v>
      </c>
      <c r="J2905" s="85" t="s">
        <v>2935</v>
      </c>
      <c r="K2905" s="85" t="s">
        <v>11372</v>
      </c>
      <c r="L2905" s="85" t="s">
        <v>10737</v>
      </c>
      <c r="M2905" s="85" t="s">
        <v>11430</v>
      </c>
    </row>
    <row r="2906" ht="228" spans="1:13">
      <c r="A2906" s="85" t="s">
        <v>11378</v>
      </c>
      <c r="B2906" s="85" t="s">
        <v>11431</v>
      </c>
      <c r="C2906" s="85" t="s">
        <v>11432</v>
      </c>
      <c r="D2906" s="85" t="s">
        <v>3241</v>
      </c>
      <c r="E2906" s="85" t="s">
        <v>11433</v>
      </c>
      <c r="F2906" s="86">
        <v>9</v>
      </c>
      <c r="G2906" s="86">
        <v>40</v>
      </c>
      <c r="H2906" s="86">
        <v>360</v>
      </c>
      <c r="I2906" s="86">
        <v>36420</v>
      </c>
      <c r="J2906" s="85" t="s">
        <v>9135</v>
      </c>
      <c r="K2906" s="85" t="s">
        <v>11372</v>
      </c>
      <c r="L2906" s="85" t="s">
        <v>10737</v>
      </c>
      <c r="M2906" s="85" t="s">
        <v>11434</v>
      </c>
    </row>
    <row r="2907" ht="228" spans="1:13">
      <c r="A2907" s="85" t="s">
        <v>11386</v>
      </c>
      <c r="B2907" s="85" t="s">
        <v>8491</v>
      </c>
      <c r="C2907" s="85" t="s">
        <v>8492</v>
      </c>
      <c r="D2907" s="85" t="s">
        <v>3177</v>
      </c>
      <c r="E2907" s="85" t="s">
        <v>6549</v>
      </c>
      <c r="F2907" s="86">
        <v>550</v>
      </c>
      <c r="G2907" s="86">
        <v>3</v>
      </c>
      <c r="H2907" s="86">
        <v>1650</v>
      </c>
      <c r="I2907" s="86">
        <v>17137.5</v>
      </c>
      <c r="J2907" s="85" t="s">
        <v>4370</v>
      </c>
      <c r="K2907" s="85" t="s">
        <v>11372</v>
      </c>
      <c r="L2907" s="85" t="s">
        <v>10737</v>
      </c>
      <c r="M2907" s="85" t="s">
        <v>11435</v>
      </c>
    </row>
    <row r="2908" ht="228" spans="1:13">
      <c r="A2908" s="85" t="s">
        <v>11378</v>
      </c>
      <c r="B2908" s="85" t="s">
        <v>11436</v>
      </c>
      <c r="C2908" s="85" t="s">
        <v>11437</v>
      </c>
      <c r="D2908" s="85" t="s">
        <v>9541</v>
      </c>
      <c r="E2908" s="85" t="s">
        <v>4961</v>
      </c>
      <c r="F2908" s="86">
        <v>2.5</v>
      </c>
      <c r="G2908" s="86">
        <v>400</v>
      </c>
      <c r="H2908" s="86">
        <v>1000</v>
      </c>
      <c r="I2908" s="86">
        <v>36420</v>
      </c>
      <c r="J2908" s="85" t="s">
        <v>9135</v>
      </c>
      <c r="K2908" s="85" t="s">
        <v>11372</v>
      </c>
      <c r="L2908" s="85" t="s">
        <v>10737</v>
      </c>
      <c r="M2908" s="85" t="s">
        <v>11438</v>
      </c>
    </row>
    <row r="2909" ht="228" spans="1:13">
      <c r="A2909" s="85" t="s">
        <v>11395</v>
      </c>
      <c r="B2909" s="85" t="s">
        <v>5251</v>
      </c>
      <c r="C2909" s="85" t="s">
        <v>5252</v>
      </c>
      <c r="D2909" s="85" t="s">
        <v>3753</v>
      </c>
      <c r="E2909" s="85" t="s">
        <v>3763</v>
      </c>
      <c r="F2909" s="86">
        <v>254.95</v>
      </c>
      <c r="G2909" s="86">
        <v>1</v>
      </c>
      <c r="H2909" s="86">
        <v>254.95</v>
      </c>
      <c r="I2909" s="86">
        <v>14274.19</v>
      </c>
      <c r="J2909" s="85" t="s">
        <v>11396</v>
      </c>
      <c r="K2909" s="85" t="s">
        <v>11372</v>
      </c>
      <c r="L2909" s="85" t="s">
        <v>10737</v>
      </c>
      <c r="M2909" s="85" t="s">
        <v>11439</v>
      </c>
    </row>
    <row r="2910" ht="228" spans="1:13">
      <c r="A2910" s="85" t="s">
        <v>11440</v>
      </c>
      <c r="B2910" s="85" t="s">
        <v>5429</v>
      </c>
      <c r="C2910" s="85" t="s">
        <v>5430</v>
      </c>
      <c r="D2910" s="85" t="s">
        <v>5431</v>
      </c>
      <c r="E2910" s="85" t="s">
        <v>5432</v>
      </c>
      <c r="F2910" s="86">
        <v>136.5</v>
      </c>
      <c r="G2910" s="86">
        <v>20</v>
      </c>
      <c r="H2910" s="86">
        <v>2730</v>
      </c>
      <c r="I2910" s="86">
        <v>3768</v>
      </c>
      <c r="J2910" s="85" t="s">
        <v>4391</v>
      </c>
      <c r="K2910" s="85" t="s">
        <v>11372</v>
      </c>
      <c r="L2910" s="85" t="s">
        <v>10737</v>
      </c>
      <c r="M2910" s="85" t="s">
        <v>11441</v>
      </c>
    </row>
    <row r="2911" ht="228" spans="1:13">
      <c r="A2911" s="85" t="s">
        <v>11384</v>
      </c>
      <c r="B2911" s="85" t="s">
        <v>11442</v>
      </c>
      <c r="C2911" s="85" t="s">
        <v>11443</v>
      </c>
      <c r="D2911" s="85" t="s">
        <v>11444</v>
      </c>
      <c r="E2911" s="85" t="s">
        <v>11445</v>
      </c>
      <c r="F2911" s="86">
        <v>568</v>
      </c>
      <c r="G2911" s="86">
        <v>4</v>
      </c>
      <c r="H2911" s="86">
        <v>2272</v>
      </c>
      <c r="I2911" s="86">
        <v>12396</v>
      </c>
      <c r="J2911" s="85" t="s">
        <v>4391</v>
      </c>
      <c r="K2911" s="85" t="s">
        <v>11372</v>
      </c>
      <c r="L2911" s="85" t="s">
        <v>10737</v>
      </c>
      <c r="M2911" s="85" t="s">
        <v>11446</v>
      </c>
    </row>
    <row r="2912" ht="228" spans="1:13">
      <c r="A2912" s="85" t="s">
        <v>11384</v>
      </c>
      <c r="B2912" s="85" t="s">
        <v>11447</v>
      </c>
      <c r="C2912" s="85" t="s">
        <v>11448</v>
      </c>
      <c r="D2912" s="85" t="s">
        <v>4929</v>
      </c>
      <c r="E2912" s="85" t="s">
        <v>4930</v>
      </c>
      <c r="F2912" s="86">
        <v>30</v>
      </c>
      <c r="G2912" s="86">
        <v>3</v>
      </c>
      <c r="H2912" s="86">
        <v>90</v>
      </c>
      <c r="I2912" s="86">
        <v>12396</v>
      </c>
      <c r="J2912" s="85" t="s">
        <v>4391</v>
      </c>
      <c r="K2912" s="85" t="s">
        <v>11372</v>
      </c>
      <c r="L2912" s="85" t="s">
        <v>10737</v>
      </c>
      <c r="M2912" s="85" t="s">
        <v>11449</v>
      </c>
    </row>
    <row r="2913" ht="228" spans="1:13">
      <c r="A2913" s="85" t="s">
        <v>11378</v>
      </c>
      <c r="B2913" s="85" t="s">
        <v>11450</v>
      </c>
      <c r="C2913" s="85" t="s">
        <v>11451</v>
      </c>
      <c r="D2913" s="85" t="s">
        <v>2992</v>
      </c>
      <c r="E2913" s="85" t="s">
        <v>1815</v>
      </c>
      <c r="F2913" s="86">
        <v>360</v>
      </c>
      <c r="G2913" s="86">
        <v>10</v>
      </c>
      <c r="H2913" s="86">
        <v>3600</v>
      </c>
      <c r="I2913" s="86">
        <v>36420</v>
      </c>
      <c r="J2913" s="85" t="s">
        <v>9135</v>
      </c>
      <c r="K2913" s="85" t="s">
        <v>11372</v>
      </c>
      <c r="L2913" s="85" t="s">
        <v>10737</v>
      </c>
      <c r="M2913" s="85" t="s">
        <v>11452</v>
      </c>
    </row>
    <row r="2914" ht="228" spans="1:13">
      <c r="A2914" s="85" t="s">
        <v>11395</v>
      </c>
      <c r="B2914" s="85" t="s">
        <v>9451</v>
      </c>
      <c r="C2914" s="85" t="s">
        <v>9452</v>
      </c>
      <c r="D2914" s="85" t="s">
        <v>3753</v>
      </c>
      <c r="E2914" s="85" t="s">
        <v>3763</v>
      </c>
      <c r="F2914" s="86">
        <v>489.51</v>
      </c>
      <c r="G2914" s="86">
        <v>1</v>
      </c>
      <c r="H2914" s="86">
        <v>489.51</v>
      </c>
      <c r="I2914" s="86">
        <v>14274.19</v>
      </c>
      <c r="J2914" s="85" t="s">
        <v>11396</v>
      </c>
      <c r="K2914" s="85" t="s">
        <v>11372</v>
      </c>
      <c r="L2914" s="85" t="s">
        <v>10737</v>
      </c>
      <c r="M2914" s="85" t="s">
        <v>11453</v>
      </c>
    </row>
    <row r="2915" ht="228" spans="1:13">
      <c r="A2915" s="85" t="s">
        <v>11386</v>
      </c>
      <c r="B2915" s="85" t="s">
        <v>4510</v>
      </c>
      <c r="C2915" s="85" t="s">
        <v>4511</v>
      </c>
      <c r="D2915" s="85" t="s">
        <v>3041</v>
      </c>
      <c r="E2915" s="85" t="s">
        <v>3042</v>
      </c>
      <c r="F2915" s="86">
        <v>9.5</v>
      </c>
      <c r="G2915" s="86">
        <v>25</v>
      </c>
      <c r="H2915" s="86">
        <v>237.5</v>
      </c>
      <c r="I2915" s="86">
        <v>17137.5</v>
      </c>
      <c r="J2915" s="85" t="s">
        <v>4370</v>
      </c>
      <c r="K2915" s="85" t="s">
        <v>11372</v>
      </c>
      <c r="L2915" s="85" t="s">
        <v>10737</v>
      </c>
      <c r="M2915" s="85" t="s">
        <v>11454</v>
      </c>
    </row>
    <row r="2916" ht="228" spans="1:13">
      <c r="A2916" s="85" t="s">
        <v>11455</v>
      </c>
      <c r="B2916" s="85" t="s">
        <v>11456</v>
      </c>
      <c r="C2916" s="85" t="s">
        <v>11457</v>
      </c>
      <c r="D2916" s="85" t="s">
        <v>3625</v>
      </c>
      <c r="E2916" s="85" t="s">
        <v>11458</v>
      </c>
      <c r="F2916" s="86">
        <v>0.8</v>
      </c>
      <c r="G2916" s="86">
        <v>100</v>
      </c>
      <c r="H2916" s="86">
        <v>80</v>
      </c>
      <c r="I2916" s="86">
        <v>2596</v>
      </c>
      <c r="J2916" s="85" t="s">
        <v>2935</v>
      </c>
      <c r="K2916" s="85" t="s">
        <v>11372</v>
      </c>
      <c r="L2916" s="85" t="s">
        <v>10737</v>
      </c>
      <c r="M2916" s="85" t="s">
        <v>11459</v>
      </c>
    </row>
    <row r="2917" ht="228" spans="1:13">
      <c r="A2917" s="85" t="s">
        <v>11384</v>
      </c>
      <c r="B2917" s="85" t="s">
        <v>11460</v>
      </c>
      <c r="C2917" s="85" t="s">
        <v>11461</v>
      </c>
      <c r="D2917" s="85" t="s">
        <v>5744</v>
      </c>
      <c r="E2917" s="85" t="s">
        <v>5745</v>
      </c>
      <c r="F2917" s="86">
        <v>72.6</v>
      </c>
      <c r="G2917" s="86">
        <v>10</v>
      </c>
      <c r="H2917" s="86">
        <v>726</v>
      </c>
      <c r="I2917" s="86">
        <v>12396</v>
      </c>
      <c r="J2917" s="85" t="s">
        <v>4391</v>
      </c>
      <c r="K2917" s="85" t="s">
        <v>11372</v>
      </c>
      <c r="L2917" s="85" t="s">
        <v>10737</v>
      </c>
      <c r="M2917" s="85" t="s">
        <v>11462</v>
      </c>
    </row>
    <row r="2918" ht="228" spans="1:13">
      <c r="A2918" s="85" t="s">
        <v>11409</v>
      </c>
      <c r="B2918" s="85" t="s">
        <v>9255</v>
      </c>
      <c r="C2918" s="85" t="s">
        <v>9256</v>
      </c>
      <c r="D2918" s="85" t="s">
        <v>4030</v>
      </c>
      <c r="E2918" s="85" t="s">
        <v>9257</v>
      </c>
      <c r="F2918" s="86">
        <v>2</v>
      </c>
      <c r="G2918" s="86">
        <v>100</v>
      </c>
      <c r="H2918" s="86">
        <v>200</v>
      </c>
      <c r="I2918" s="86">
        <v>2570</v>
      </c>
      <c r="J2918" s="85" t="s">
        <v>2935</v>
      </c>
      <c r="K2918" s="85" t="s">
        <v>11372</v>
      </c>
      <c r="L2918" s="85" t="s">
        <v>10737</v>
      </c>
      <c r="M2918" s="85" t="s">
        <v>11463</v>
      </c>
    </row>
    <row r="2919" ht="228" spans="1:13">
      <c r="A2919" s="85" t="s">
        <v>11384</v>
      </c>
      <c r="B2919" s="85" t="s">
        <v>9467</v>
      </c>
      <c r="C2919" s="85" t="s">
        <v>9468</v>
      </c>
      <c r="D2919" s="85" t="s">
        <v>3704</v>
      </c>
      <c r="E2919" s="85" t="s">
        <v>9469</v>
      </c>
      <c r="F2919" s="86">
        <v>25</v>
      </c>
      <c r="G2919" s="86">
        <v>20</v>
      </c>
      <c r="H2919" s="86">
        <v>500</v>
      </c>
      <c r="I2919" s="86">
        <v>12396</v>
      </c>
      <c r="J2919" s="85" t="s">
        <v>4391</v>
      </c>
      <c r="K2919" s="85" t="s">
        <v>11372</v>
      </c>
      <c r="L2919" s="85" t="s">
        <v>10737</v>
      </c>
      <c r="M2919" s="85" t="s">
        <v>11464</v>
      </c>
    </row>
    <row r="2920" ht="228" spans="1:13">
      <c r="A2920" s="85" t="s">
        <v>11384</v>
      </c>
      <c r="B2920" s="85" t="s">
        <v>11465</v>
      </c>
      <c r="C2920" s="85" t="s">
        <v>11466</v>
      </c>
      <c r="D2920" s="85" t="s">
        <v>3450</v>
      </c>
      <c r="E2920" s="85" t="s">
        <v>11467</v>
      </c>
      <c r="F2920" s="86">
        <v>12</v>
      </c>
      <c r="G2920" s="86">
        <v>5</v>
      </c>
      <c r="H2920" s="86">
        <v>60</v>
      </c>
      <c r="I2920" s="86">
        <v>12396</v>
      </c>
      <c r="J2920" s="85" t="s">
        <v>4391</v>
      </c>
      <c r="K2920" s="85" t="s">
        <v>11372</v>
      </c>
      <c r="L2920" s="85" t="s">
        <v>10737</v>
      </c>
      <c r="M2920" s="85" t="s">
        <v>11468</v>
      </c>
    </row>
    <row r="2921" ht="228" spans="1:13">
      <c r="A2921" s="85" t="s">
        <v>11384</v>
      </c>
      <c r="B2921" s="85" t="s">
        <v>11469</v>
      </c>
      <c r="C2921" s="85" t="s">
        <v>11470</v>
      </c>
      <c r="D2921" s="85" t="s">
        <v>4340</v>
      </c>
      <c r="E2921" s="85" t="s">
        <v>9666</v>
      </c>
      <c r="F2921" s="86">
        <v>49</v>
      </c>
      <c r="G2921" s="86">
        <v>50</v>
      </c>
      <c r="H2921" s="86">
        <v>2450</v>
      </c>
      <c r="I2921" s="86">
        <v>12396</v>
      </c>
      <c r="J2921" s="85" t="s">
        <v>4391</v>
      </c>
      <c r="K2921" s="85" t="s">
        <v>11372</v>
      </c>
      <c r="L2921" s="85" t="s">
        <v>10737</v>
      </c>
      <c r="M2921" s="85" t="s">
        <v>11471</v>
      </c>
    </row>
    <row r="2922" ht="228" spans="1:13">
      <c r="A2922" s="85" t="s">
        <v>11378</v>
      </c>
      <c r="B2922" s="85" t="s">
        <v>11472</v>
      </c>
      <c r="C2922" s="85" t="s">
        <v>11473</v>
      </c>
      <c r="D2922" s="85" t="s">
        <v>2992</v>
      </c>
      <c r="E2922" s="85" t="s">
        <v>1815</v>
      </c>
      <c r="F2922" s="86">
        <v>0.25</v>
      </c>
      <c r="G2922" s="86">
        <v>60000</v>
      </c>
      <c r="H2922" s="86">
        <v>15000</v>
      </c>
      <c r="I2922" s="86">
        <v>36420</v>
      </c>
      <c r="J2922" s="85" t="s">
        <v>9135</v>
      </c>
      <c r="K2922" s="85" t="s">
        <v>11372</v>
      </c>
      <c r="L2922" s="85" t="s">
        <v>10737</v>
      </c>
      <c r="M2922" s="85" t="s">
        <v>11474</v>
      </c>
    </row>
    <row r="2923" ht="228" spans="1:13">
      <c r="A2923" s="85" t="s">
        <v>11405</v>
      </c>
      <c r="B2923" s="85" t="s">
        <v>9464</v>
      </c>
      <c r="C2923" s="85" t="s">
        <v>9465</v>
      </c>
      <c r="D2923" s="85" t="s">
        <v>4911</v>
      </c>
      <c r="E2923" s="85" t="s">
        <v>4761</v>
      </c>
      <c r="F2923" s="86">
        <v>10</v>
      </c>
      <c r="G2923" s="86">
        <v>100</v>
      </c>
      <c r="H2923" s="86">
        <v>1000</v>
      </c>
      <c r="I2923" s="86">
        <v>3560</v>
      </c>
      <c r="J2923" s="85" t="s">
        <v>2935</v>
      </c>
      <c r="K2923" s="85" t="s">
        <v>11372</v>
      </c>
      <c r="L2923" s="85" t="s">
        <v>10737</v>
      </c>
      <c r="M2923" s="85" t="s">
        <v>11475</v>
      </c>
    </row>
    <row r="2924" ht="228" spans="1:13">
      <c r="A2924" s="85" t="s">
        <v>11476</v>
      </c>
      <c r="B2924" s="85" t="s">
        <v>8266</v>
      </c>
      <c r="C2924" s="85" t="s">
        <v>11077</v>
      </c>
      <c r="D2924" s="85" t="s">
        <v>3189</v>
      </c>
      <c r="E2924" s="85" t="s">
        <v>6337</v>
      </c>
      <c r="F2924" s="86">
        <v>27</v>
      </c>
      <c r="G2924" s="86">
        <v>210</v>
      </c>
      <c r="H2924" s="86">
        <v>5670</v>
      </c>
      <c r="I2924" s="86">
        <v>5670</v>
      </c>
      <c r="J2924" s="85" t="s">
        <v>8268</v>
      </c>
      <c r="K2924" s="85" t="s">
        <v>11372</v>
      </c>
      <c r="L2924" s="85" t="s">
        <v>10737</v>
      </c>
      <c r="M2924" s="85" t="s">
        <v>11477</v>
      </c>
    </row>
    <row r="2925" ht="228" spans="1:13">
      <c r="A2925" s="85" t="s">
        <v>11382</v>
      </c>
      <c r="B2925" s="85" t="s">
        <v>11478</v>
      </c>
      <c r="C2925" s="85" t="s">
        <v>11479</v>
      </c>
      <c r="D2925" s="85" t="s">
        <v>6122</v>
      </c>
      <c r="E2925" s="85" t="s">
        <v>8559</v>
      </c>
      <c r="F2925" s="86">
        <v>1</v>
      </c>
      <c r="G2925" s="86">
        <v>50</v>
      </c>
      <c r="H2925" s="86">
        <v>50</v>
      </c>
      <c r="I2925" s="86">
        <v>3804</v>
      </c>
      <c r="J2925" s="85" t="s">
        <v>2935</v>
      </c>
      <c r="K2925" s="85" t="s">
        <v>11372</v>
      </c>
      <c r="L2925" s="85" t="s">
        <v>10737</v>
      </c>
      <c r="M2925" s="85" t="s">
        <v>11480</v>
      </c>
    </row>
    <row r="2926" ht="228" spans="1:13">
      <c r="A2926" s="85" t="s">
        <v>11440</v>
      </c>
      <c r="B2926" s="85" t="s">
        <v>11481</v>
      </c>
      <c r="C2926" s="85" t="s">
        <v>11482</v>
      </c>
      <c r="D2926" s="85" t="s">
        <v>4246</v>
      </c>
      <c r="E2926" s="85" t="s">
        <v>6030</v>
      </c>
      <c r="F2926" s="86">
        <v>34.6</v>
      </c>
      <c r="G2926" s="86">
        <v>30</v>
      </c>
      <c r="H2926" s="86">
        <v>1038</v>
      </c>
      <c r="I2926" s="86">
        <v>3768</v>
      </c>
      <c r="J2926" s="85" t="s">
        <v>4391</v>
      </c>
      <c r="K2926" s="85" t="s">
        <v>11372</v>
      </c>
      <c r="L2926" s="85" t="s">
        <v>10737</v>
      </c>
      <c r="M2926" s="85" t="s">
        <v>11483</v>
      </c>
    </row>
    <row r="2927" ht="228" spans="1:13">
      <c r="A2927" s="85" t="s">
        <v>11390</v>
      </c>
      <c r="B2927" s="85" t="s">
        <v>11484</v>
      </c>
      <c r="C2927" s="85" t="s">
        <v>11485</v>
      </c>
      <c r="D2927" s="85" t="s">
        <v>5131</v>
      </c>
      <c r="E2927" s="85" t="s">
        <v>5132</v>
      </c>
      <c r="F2927" s="86">
        <v>20.93</v>
      </c>
      <c r="G2927" s="86">
        <v>3</v>
      </c>
      <c r="H2927" s="86">
        <v>62.79</v>
      </c>
      <c r="I2927" s="86">
        <v>8385.27</v>
      </c>
      <c r="J2927" s="85" t="s">
        <v>8500</v>
      </c>
      <c r="K2927" s="85" t="s">
        <v>11372</v>
      </c>
      <c r="L2927" s="85" t="s">
        <v>10737</v>
      </c>
      <c r="M2927" s="85" t="s">
        <v>11486</v>
      </c>
    </row>
    <row r="2928" ht="228" spans="1:13">
      <c r="A2928" s="85" t="s">
        <v>11386</v>
      </c>
      <c r="B2928" s="85" t="s">
        <v>5175</v>
      </c>
      <c r="C2928" s="85" t="s">
        <v>5176</v>
      </c>
      <c r="D2928" s="85" t="s">
        <v>3177</v>
      </c>
      <c r="E2928" s="85" t="s">
        <v>3178</v>
      </c>
      <c r="F2928" s="86">
        <v>20</v>
      </c>
      <c r="G2928" s="86">
        <v>4</v>
      </c>
      <c r="H2928" s="86">
        <v>80</v>
      </c>
      <c r="I2928" s="86">
        <v>17137.5</v>
      </c>
      <c r="J2928" s="85" t="s">
        <v>4370</v>
      </c>
      <c r="K2928" s="85" t="s">
        <v>11372</v>
      </c>
      <c r="L2928" s="85" t="s">
        <v>10737</v>
      </c>
      <c r="M2928" s="85" t="s">
        <v>11487</v>
      </c>
    </row>
    <row r="2929" ht="228" spans="1:13">
      <c r="A2929" s="85" t="s">
        <v>11455</v>
      </c>
      <c r="B2929" s="85" t="s">
        <v>10376</v>
      </c>
      <c r="C2929" s="85" t="s">
        <v>10377</v>
      </c>
      <c r="D2929" s="85" t="s">
        <v>9355</v>
      </c>
      <c r="E2929" s="85" t="s">
        <v>1951</v>
      </c>
      <c r="F2929" s="86">
        <v>49</v>
      </c>
      <c r="G2929" s="86">
        <v>50</v>
      </c>
      <c r="H2929" s="86">
        <v>2450</v>
      </c>
      <c r="I2929" s="86">
        <v>2596</v>
      </c>
      <c r="J2929" s="85" t="s">
        <v>2935</v>
      </c>
      <c r="K2929" s="85" t="s">
        <v>11372</v>
      </c>
      <c r="L2929" s="85" t="s">
        <v>10737</v>
      </c>
      <c r="M2929" s="85" t="s">
        <v>11488</v>
      </c>
    </row>
    <row r="2930" ht="228" spans="1:13">
      <c r="A2930" s="85" t="s">
        <v>11378</v>
      </c>
      <c r="B2930" s="85" t="s">
        <v>11489</v>
      </c>
      <c r="C2930" s="85" t="s">
        <v>11490</v>
      </c>
      <c r="D2930" s="85" t="s">
        <v>3656</v>
      </c>
      <c r="E2930" s="85" t="s">
        <v>8150</v>
      </c>
      <c r="F2930" s="86">
        <v>24</v>
      </c>
      <c r="G2930" s="86">
        <v>150</v>
      </c>
      <c r="H2930" s="86">
        <v>3600</v>
      </c>
      <c r="I2930" s="86">
        <v>36420</v>
      </c>
      <c r="J2930" s="85" t="s">
        <v>9135</v>
      </c>
      <c r="K2930" s="85" t="s">
        <v>11372</v>
      </c>
      <c r="L2930" s="85" t="s">
        <v>10737</v>
      </c>
      <c r="M2930" s="85" t="s">
        <v>11491</v>
      </c>
    </row>
    <row r="2931" ht="228" spans="1:13">
      <c r="A2931" s="85" t="s">
        <v>11386</v>
      </c>
      <c r="B2931" s="85" t="s">
        <v>4864</v>
      </c>
      <c r="C2931" s="85" t="s">
        <v>4865</v>
      </c>
      <c r="D2931" s="85" t="s">
        <v>4866</v>
      </c>
      <c r="E2931" s="85" t="s">
        <v>4867</v>
      </c>
      <c r="F2931" s="86">
        <v>100</v>
      </c>
      <c r="G2931" s="86">
        <v>1</v>
      </c>
      <c r="H2931" s="86">
        <v>100</v>
      </c>
      <c r="I2931" s="86">
        <v>17137.5</v>
      </c>
      <c r="J2931" s="85" t="s">
        <v>4370</v>
      </c>
      <c r="K2931" s="85" t="s">
        <v>11372</v>
      </c>
      <c r="L2931" s="85" t="s">
        <v>10737</v>
      </c>
      <c r="M2931" s="85" t="s">
        <v>11492</v>
      </c>
    </row>
    <row r="2932" ht="228" spans="1:13">
      <c r="A2932" s="85" t="s">
        <v>11384</v>
      </c>
      <c r="B2932" s="85" t="s">
        <v>11493</v>
      </c>
      <c r="C2932" s="85" t="s">
        <v>11494</v>
      </c>
      <c r="D2932" s="85" t="s">
        <v>4929</v>
      </c>
      <c r="E2932" s="85" t="s">
        <v>4930</v>
      </c>
      <c r="F2932" s="86">
        <v>25</v>
      </c>
      <c r="G2932" s="86">
        <v>3</v>
      </c>
      <c r="H2932" s="86">
        <v>75</v>
      </c>
      <c r="I2932" s="86">
        <v>12396</v>
      </c>
      <c r="J2932" s="85" t="s">
        <v>4391</v>
      </c>
      <c r="K2932" s="85" t="s">
        <v>11372</v>
      </c>
      <c r="L2932" s="85" t="s">
        <v>10737</v>
      </c>
      <c r="M2932" s="85" t="s">
        <v>11495</v>
      </c>
    </row>
    <row r="2933" ht="228" spans="1:13">
      <c r="A2933" s="85" t="s">
        <v>11367</v>
      </c>
      <c r="B2933" s="85" t="s">
        <v>11496</v>
      </c>
      <c r="C2933" s="85" t="s">
        <v>11497</v>
      </c>
      <c r="D2933" s="85" t="s">
        <v>11498</v>
      </c>
      <c r="E2933" s="85" t="s">
        <v>3094</v>
      </c>
      <c r="F2933" s="86">
        <v>17</v>
      </c>
      <c r="G2933" s="86">
        <v>100</v>
      </c>
      <c r="H2933" s="86">
        <v>1700</v>
      </c>
      <c r="I2933" s="86">
        <v>5200</v>
      </c>
      <c r="J2933" s="85" t="s">
        <v>9135</v>
      </c>
      <c r="K2933" s="85" t="s">
        <v>11372</v>
      </c>
      <c r="L2933" s="85" t="s">
        <v>10737</v>
      </c>
      <c r="M2933" s="85" t="s">
        <v>11499</v>
      </c>
    </row>
    <row r="2934" ht="228" spans="1:13">
      <c r="A2934" s="85" t="s">
        <v>11500</v>
      </c>
      <c r="B2934" s="85" t="s">
        <v>11501</v>
      </c>
      <c r="C2934" s="85" t="s">
        <v>11502</v>
      </c>
      <c r="D2934" s="85" t="s">
        <v>11503</v>
      </c>
      <c r="E2934" s="85" t="s">
        <v>11504</v>
      </c>
      <c r="F2934" s="86">
        <v>452</v>
      </c>
      <c r="G2934" s="86">
        <v>20</v>
      </c>
      <c r="H2934" s="86">
        <v>9040</v>
      </c>
      <c r="I2934" s="86">
        <v>9040</v>
      </c>
      <c r="J2934" s="85" t="s">
        <v>11505</v>
      </c>
      <c r="K2934" s="85" t="s">
        <v>11372</v>
      </c>
      <c r="L2934" s="85" t="s">
        <v>10737</v>
      </c>
      <c r="M2934" s="85" t="s">
        <v>11506</v>
      </c>
    </row>
    <row r="2935" ht="228" spans="1:13">
      <c r="A2935" s="85" t="s">
        <v>11378</v>
      </c>
      <c r="B2935" s="85" t="s">
        <v>11507</v>
      </c>
      <c r="C2935" s="85" t="s">
        <v>11508</v>
      </c>
      <c r="D2935" s="85" t="s">
        <v>2992</v>
      </c>
      <c r="E2935" s="85" t="s">
        <v>1815</v>
      </c>
      <c r="F2935" s="86">
        <v>392</v>
      </c>
      <c r="G2935" s="86">
        <v>10</v>
      </c>
      <c r="H2935" s="86">
        <v>3920</v>
      </c>
      <c r="I2935" s="86">
        <v>36420</v>
      </c>
      <c r="J2935" s="85" t="s">
        <v>9135</v>
      </c>
      <c r="K2935" s="85" t="s">
        <v>11372</v>
      </c>
      <c r="L2935" s="85" t="s">
        <v>10737</v>
      </c>
      <c r="M2935" s="85" t="s">
        <v>11509</v>
      </c>
    </row>
    <row r="2936" ht="228" spans="1:13">
      <c r="A2936" s="85" t="s">
        <v>11388</v>
      </c>
      <c r="B2936" s="85" t="s">
        <v>10294</v>
      </c>
      <c r="C2936" s="85" t="s">
        <v>10295</v>
      </c>
      <c r="D2936" s="85" t="s">
        <v>3367</v>
      </c>
      <c r="E2936" s="85" t="s">
        <v>4565</v>
      </c>
      <c r="F2936" s="86">
        <v>0.23</v>
      </c>
      <c r="G2936" s="86">
        <v>300</v>
      </c>
      <c r="H2936" s="86">
        <v>69</v>
      </c>
      <c r="I2936" s="86">
        <v>1325.56</v>
      </c>
      <c r="J2936" s="85" t="s">
        <v>4370</v>
      </c>
      <c r="K2936" s="85" t="s">
        <v>11372</v>
      </c>
      <c r="L2936" s="85" t="s">
        <v>10737</v>
      </c>
      <c r="M2936" s="85" t="s">
        <v>11510</v>
      </c>
    </row>
    <row r="2937" ht="228" spans="1:13">
      <c r="A2937" s="85" t="s">
        <v>11388</v>
      </c>
      <c r="B2937" s="85" t="s">
        <v>11511</v>
      </c>
      <c r="C2937" s="85" t="s">
        <v>11512</v>
      </c>
      <c r="D2937" s="85" t="s">
        <v>3041</v>
      </c>
      <c r="E2937" s="85" t="s">
        <v>5167</v>
      </c>
      <c r="F2937" s="86">
        <v>22.6</v>
      </c>
      <c r="G2937" s="86">
        <v>3</v>
      </c>
      <c r="H2937" s="86">
        <v>67.8</v>
      </c>
      <c r="I2937" s="86">
        <v>1325.56</v>
      </c>
      <c r="J2937" s="85" t="s">
        <v>4370</v>
      </c>
      <c r="K2937" s="85" t="s">
        <v>11372</v>
      </c>
      <c r="L2937" s="85" t="s">
        <v>10737</v>
      </c>
      <c r="M2937" s="85" t="s">
        <v>11513</v>
      </c>
    </row>
    <row r="2938" ht="228" spans="1:13">
      <c r="A2938" s="85" t="s">
        <v>11395</v>
      </c>
      <c r="B2938" s="85" t="s">
        <v>9289</v>
      </c>
      <c r="C2938" s="85" t="s">
        <v>9290</v>
      </c>
      <c r="D2938" s="85" t="s">
        <v>3753</v>
      </c>
      <c r="E2938" s="85" t="s">
        <v>3763</v>
      </c>
      <c r="F2938" s="86">
        <v>285.55</v>
      </c>
      <c r="G2938" s="86">
        <v>1</v>
      </c>
      <c r="H2938" s="86">
        <v>285.55</v>
      </c>
      <c r="I2938" s="86">
        <v>14274.19</v>
      </c>
      <c r="J2938" s="85" t="s">
        <v>11396</v>
      </c>
      <c r="K2938" s="85" t="s">
        <v>11372</v>
      </c>
      <c r="L2938" s="85" t="s">
        <v>10737</v>
      </c>
      <c r="M2938" s="85" t="s">
        <v>11514</v>
      </c>
    </row>
    <row r="2939" ht="228" spans="1:13">
      <c r="A2939" s="85" t="s">
        <v>11386</v>
      </c>
      <c r="B2939" s="85" t="s">
        <v>4373</v>
      </c>
      <c r="C2939" s="85" t="s">
        <v>4374</v>
      </c>
      <c r="D2939" s="85" t="s">
        <v>3041</v>
      </c>
      <c r="E2939" s="85" t="s">
        <v>3042</v>
      </c>
      <c r="F2939" s="86">
        <v>7</v>
      </c>
      <c r="G2939" s="86">
        <v>780</v>
      </c>
      <c r="H2939" s="86">
        <v>5460</v>
      </c>
      <c r="I2939" s="86">
        <v>17137.5</v>
      </c>
      <c r="J2939" s="85" t="s">
        <v>4370</v>
      </c>
      <c r="K2939" s="85" t="s">
        <v>11372</v>
      </c>
      <c r="L2939" s="85" t="s">
        <v>10737</v>
      </c>
      <c r="M2939" s="85" t="s">
        <v>11515</v>
      </c>
    </row>
    <row r="2940" ht="228" spans="1:13">
      <c r="A2940" s="85" t="s">
        <v>11409</v>
      </c>
      <c r="B2940" s="85" t="s">
        <v>9695</v>
      </c>
      <c r="C2940" s="85" t="s">
        <v>9696</v>
      </c>
      <c r="D2940" s="85" t="s">
        <v>5610</v>
      </c>
      <c r="E2940" s="85" t="s">
        <v>5611</v>
      </c>
      <c r="F2940" s="86">
        <v>64</v>
      </c>
      <c r="G2940" s="86">
        <v>15</v>
      </c>
      <c r="H2940" s="86">
        <v>960</v>
      </c>
      <c r="I2940" s="86">
        <v>2570</v>
      </c>
      <c r="J2940" s="85" t="s">
        <v>2935</v>
      </c>
      <c r="K2940" s="85" t="s">
        <v>11372</v>
      </c>
      <c r="L2940" s="85" t="s">
        <v>10737</v>
      </c>
      <c r="M2940" s="85" t="s">
        <v>11516</v>
      </c>
    </row>
    <row r="2941" ht="228" spans="1:13">
      <c r="A2941" s="85" t="s">
        <v>11395</v>
      </c>
      <c r="B2941" s="85" t="s">
        <v>5246</v>
      </c>
      <c r="C2941" s="85" t="s">
        <v>5247</v>
      </c>
      <c r="D2941" s="85" t="s">
        <v>3753</v>
      </c>
      <c r="E2941" s="85" t="s">
        <v>3763</v>
      </c>
      <c r="F2941" s="86">
        <v>183.57</v>
      </c>
      <c r="G2941" s="86">
        <v>1</v>
      </c>
      <c r="H2941" s="86">
        <v>183.57</v>
      </c>
      <c r="I2941" s="86">
        <v>14274.19</v>
      </c>
      <c r="J2941" s="85" t="s">
        <v>11396</v>
      </c>
      <c r="K2941" s="85" t="s">
        <v>11372</v>
      </c>
      <c r="L2941" s="85" t="s">
        <v>10737</v>
      </c>
      <c r="M2941" s="85" t="s">
        <v>11517</v>
      </c>
    </row>
    <row r="2942" ht="228" spans="1:13">
      <c r="A2942" s="85" t="s">
        <v>11395</v>
      </c>
      <c r="B2942" s="85" t="s">
        <v>4359</v>
      </c>
      <c r="C2942" s="85" t="s">
        <v>4360</v>
      </c>
      <c r="D2942" s="85" t="s">
        <v>3753</v>
      </c>
      <c r="E2942" s="85" t="s">
        <v>3763</v>
      </c>
      <c r="F2942" s="86">
        <v>81.59</v>
      </c>
      <c r="G2942" s="86">
        <v>1</v>
      </c>
      <c r="H2942" s="86">
        <v>81.59</v>
      </c>
      <c r="I2942" s="86">
        <v>14274.19</v>
      </c>
      <c r="J2942" s="85" t="s">
        <v>11396</v>
      </c>
      <c r="K2942" s="85" t="s">
        <v>11372</v>
      </c>
      <c r="L2942" s="85" t="s">
        <v>10737</v>
      </c>
      <c r="M2942" s="85" t="s">
        <v>11518</v>
      </c>
    </row>
    <row r="2943" ht="228" spans="1:13">
      <c r="A2943" s="85" t="s">
        <v>11378</v>
      </c>
      <c r="B2943" s="85" t="s">
        <v>6850</v>
      </c>
      <c r="C2943" s="85" t="s">
        <v>6851</v>
      </c>
      <c r="D2943" s="85" t="s">
        <v>6852</v>
      </c>
      <c r="E2943" s="85" t="s">
        <v>6853</v>
      </c>
      <c r="F2943" s="86">
        <v>40</v>
      </c>
      <c r="G2943" s="86">
        <v>60</v>
      </c>
      <c r="H2943" s="86">
        <v>2400</v>
      </c>
      <c r="I2943" s="86">
        <v>36420</v>
      </c>
      <c r="J2943" s="85" t="s">
        <v>9135</v>
      </c>
      <c r="K2943" s="85" t="s">
        <v>11372</v>
      </c>
      <c r="L2943" s="85" t="s">
        <v>10737</v>
      </c>
      <c r="M2943" s="85" t="s">
        <v>11519</v>
      </c>
    </row>
    <row r="2944" ht="228" spans="1:13">
      <c r="A2944" s="85" t="s">
        <v>11409</v>
      </c>
      <c r="B2944" s="85" t="s">
        <v>10075</v>
      </c>
      <c r="C2944" s="85" t="s">
        <v>10076</v>
      </c>
      <c r="D2944" s="85" t="s">
        <v>5610</v>
      </c>
      <c r="E2944" s="85" t="s">
        <v>9988</v>
      </c>
      <c r="F2944" s="86">
        <v>5.8</v>
      </c>
      <c r="G2944" s="86">
        <v>125</v>
      </c>
      <c r="H2944" s="86">
        <v>725</v>
      </c>
      <c r="I2944" s="86">
        <v>2570</v>
      </c>
      <c r="J2944" s="85" t="s">
        <v>2935</v>
      </c>
      <c r="K2944" s="85" t="s">
        <v>11372</v>
      </c>
      <c r="L2944" s="85" t="s">
        <v>10737</v>
      </c>
      <c r="M2944" s="85" t="s">
        <v>11520</v>
      </c>
    </row>
    <row r="2945" ht="228" spans="1:13">
      <c r="A2945" s="85" t="s">
        <v>11384</v>
      </c>
      <c r="B2945" s="85" t="s">
        <v>11521</v>
      </c>
      <c r="C2945" s="85" t="s">
        <v>11522</v>
      </c>
      <c r="D2945" s="85" t="s">
        <v>4425</v>
      </c>
      <c r="E2945" s="85" t="s">
        <v>5732</v>
      </c>
      <c r="F2945" s="86">
        <v>29</v>
      </c>
      <c r="G2945" s="86">
        <v>5</v>
      </c>
      <c r="H2945" s="86">
        <v>145</v>
      </c>
      <c r="I2945" s="86">
        <v>12396</v>
      </c>
      <c r="J2945" s="85" t="s">
        <v>4391</v>
      </c>
      <c r="K2945" s="85" t="s">
        <v>11372</v>
      </c>
      <c r="L2945" s="85" t="s">
        <v>10737</v>
      </c>
      <c r="M2945" s="85" t="s">
        <v>11523</v>
      </c>
    </row>
    <row r="2946" ht="228" spans="1:13">
      <c r="A2946" s="85" t="s">
        <v>11384</v>
      </c>
      <c r="B2946" s="85" t="s">
        <v>11524</v>
      </c>
      <c r="C2946" s="85" t="s">
        <v>11525</v>
      </c>
      <c r="D2946" s="85" t="s">
        <v>5355</v>
      </c>
      <c r="E2946" s="85" t="s">
        <v>10062</v>
      </c>
      <c r="F2946" s="86">
        <v>263</v>
      </c>
      <c r="G2946" s="86">
        <v>6</v>
      </c>
      <c r="H2946" s="86">
        <v>1578</v>
      </c>
      <c r="I2946" s="86">
        <v>12396</v>
      </c>
      <c r="J2946" s="85" t="s">
        <v>4391</v>
      </c>
      <c r="K2946" s="85" t="s">
        <v>11372</v>
      </c>
      <c r="L2946" s="85" t="s">
        <v>10737</v>
      </c>
      <c r="M2946" s="85" t="s">
        <v>11526</v>
      </c>
    </row>
    <row r="2947" ht="228" spans="1:13">
      <c r="A2947" s="85" t="s">
        <v>11378</v>
      </c>
      <c r="B2947" s="85" t="s">
        <v>11527</v>
      </c>
      <c r="C2947" s="85" t="s">
        <v>11528</v>
      </c>
      <c r="D2947" s="85" t="s">
        <v>2992</v>
      </c>
      <c r="E2947" s="85" t="s">
        <v>1815</v>
      </c>
      <c r="F2947" s="86">
        <v>0.47</v>
      </c>
      <c r="G2947" s="86">
        <v>8000</v>
      </c>
      <c r="H2947" s="86">
        <v>3760</v>
      </c>
      <c r="I2947" s="86">
        <v>36420</v>
      </c>
      <c r="J2947" s="85" t="s">
        <v>9135</v>
      </c>
      <c r="K2947" s="85" t="s">
        <v>11372</v>
      </c>
      <c r="L2947" s="85" t="s">
        <v>10737</v>
      </c>
      <c r="M2947" s="85" t="s">
        <v>11529</v>
      </c>
    </row>
    <row r="2948" ht="228" spans="1:13">
      <c r="A2948" s="85" t="s">
        <v>11386</v>
      </c>
      <c r="B2948" s="85" t="s">
        <v>11530</v>
      </c>
      <c r="C2948" s="85" t="s">
        <v>11531</v>
      </c>
      <c r="D2948" s="85" t="s">
        <v>3041</v>
      </c>
      <c r="E2948" s="85" t="s">
        <v>3042</v>
      </c>
      <c r="F2948" s="86">
        <v>13</v>
      </c>
      <c r="G2948" s="86">
        <v>190</v>
      </c>
      <c r="H2948" s="86">
        <v>2470</v>
      </c>
      <c r="I2948" s="86">
        <v>17137.5</v>
      </c>
      <c r="J2948" s="85" t="s">
        <v>4370</v>
      </c>
      <c r="K2948" s="85" t="s">
        <v>11372</v>
      </c>
      <c r="L2948" s="85" t="s">
        <v>10737</v>
      </c>
      <c r="M2948" s="85" t="s">
        <v>11532</v>
      </c>
    </row>
    <row r="2949" ht="228" spans="1:13">
      <c r="A2949" s="85" t="s">
        <v>11386</v>
      </c>
      <c r="B2949" s="85" t="s">
        <v>7600</v>
      </c>
      <c r="C2949" s="85" t="s">
        <v>7601</v>
      </c>
      <c r="D2949" s="85" t="s">
        <v>3169</v>
      </c>
      <c r="E2949" s="85" t="s">
        <v>7602</v>
      </c>
      <c r="F2949" s="86">
        <v>15</v>
      </c>
      <c r="G2949" s="86">
        <v>200</v>
      </c>
      <c r="H2949" s="86">
        <v>3000</v>
      </c>
      <c r="I2949" s="86">
        <v>17137.5</v>
      </c>
      <c r="J2949" s="85" t="s">
        <v>4370</v>
      </c>
      <c r="K2949" s="85" t="s">
        <v>11372</v>
      </c>
      <c r="L2949" s="85" t="s">
        <v>10737</v>
      </c>
      <c r="M2949" s="85" t="s">
        <v>11533</v>
      </c>
    </row>
    <row r="2950" ht="228" spans="1:13">
      <c r="A2950" s="85" t="s">
        <v>11534</v>
      </c>
      <c r="B2950" s="85" t="s">
        <v>3788</v>
      </c>
      <c r="C2950" s="85" t="s">
        <v>3789</v>
      </c>
      <c r="D2950" s="85" t="s">
        <v>3189</v>
      </c>
      <c r="E2950" s="85" t="s">
        <v>3790</v>
      </c>
      <c r="F2950" s="86">
        <v>100</v>
      </c>
      <c r="G2950" s="86">
        <v>30</v>
      </c>
      <c r="H2950" s="86">
        <v>3000</v>
      </c>
      <c r="I2950" s="86">
        <v>3000</v>
      </c>
      <c r="J2950" s="85" t="s">
        <v>7934</v>
      </c>
      <c r="K2950" s="85" t="s">
        <v>11372</v>
      </c>
      <c r="L2950" s="85" t="s">
        <v>10737</v>
      </c>
      <c r="M2950" s="85" t="s">
        <v>11535</v>
      </c>
    </row>
    <row r="2951" ht="228" spans="1:13">
      <c r="A2951" s="85" t="s">
        <v>11386</v>
      </c>
      <c r="B2951" s="85" t="s">
        <v>4942</v>
      </c>
      <c r="C2951" s="85" t="s">
        <v>4943</v>
      </c>
      <c r="D2951" s="85" t="s">
        <v>3041</v>
      </c>
      <c r="E2951" s="85" t="s">
        <v>3042</v>
      </c>
      <c r="F2951" s="86">
        <v>5</v>
      </c>
      <c r="G2951" s="86">
        <v>320</v>
      </c>
      <c r="H2951" s="86">
        <v>1600</v>
      </c>
      <c r="I2951" s="86">
        <v>17137.5</v>
      </c>
      <c r="J2951" s="85" t="s">
        <v>4370</v>
      </c>
      <c r="K2951" s="85" t="s">
        <v>11372</v>
      </c>
      <c r="L2951" s="85" t="s">
        <v>10737</v>
      </c>
      <c r="M2951" s="85" t="s">
        <v>11536</v>
      </c>
    </row>
    <row r="2952" ht="228" spans="1:13">
      <c r="A2952" s="85" t="s">
        <v>11455</v>
      </c>
      <c r="B2952" s="85" t="s">
        <v>5349</v>
      </c>
      <c r="C2952" s="85" t="s">
        <v>5350</v>
      </c>
      <c r="D2952" s="85" t="s">
        <v>3189</v>
      </c>
      <c r="E2952" s="85" t="s">
        <v>5351</v>
      </c>
      <c r="F2952" s="86">
        <v>22</v>
      </c>
      <c r="G2952" s="86">
        <v>3</v>
      </c>
      <c r="H2952" s="86">
        <v>66</v>
      </c>
      <c r="I2952" s="86">
        <v>2596</v>
      </c>
      <c r="J2952" s="85" t="s">
        <v>2935</v>
      </c>
      <c r="K2952" s="85" t="s">
        <v>11372</v>
      </c>
      <c r="L2952" s="85" t="s">
        <v>10737</v>
      </c>
      <c r="M2952" s="85" t="s">
        <v>11537</v>
      </c>
    </row>
    <row r="2953" ht="256.5" spans="1:13">
      <c r="A2953" s="85" t="s">
        <v>11538</v>
      </c>
      <c r="B2953" s="85" t="s">
        <v>4148</v>
      </c>
      <c r="C2953" s="85" t="s">
        <v>4149</v>
      </c>
      <c r="D2953" s="85" t="s">
        <v>4150</v>
      </c>
      <c r="E2953" s="85" t="s">
        <v>4149</v>
      </c>
      <c r="F2953" s="86">
        <v>129600</v>
      </c>
      <c r="G2953" s="86">
        <v>1</v>
      </c>
      <c r="H2953" s="86">
        <v>129600</v>
      </c>
      <c r="I2953" s="86">
        <v>129600</v>
      </c>
      <c r="J2953" s="85" t="s">
        <v>11539</v>
      </c>
      <c r="K2953" s="85" t="s">
        <v>11540</v>
      </c>
      <c r="L2953" s="85" t="s">
        <v>11541</v>
      </c>
      <c r="M2953" s="85" t="s">
        <v>11542</v>
      </c>
    </row>
    <row r="2954" ht="228" spans="1:13">
      <c r="A2954" s="85" t="s">
        <v>11543</v>
      </c>
      <c r="B2954" s="85" t="s">
        <v>11544</v>
      </c>
      <c r="C2954" s="85" t="s">
        <v>11545</v>
      </c>
      <c r="D2954" s="85" t="s">
        <v>6261</v>
      </c>
      <c r="E2954" s="85" t="s">
        <v>10564</v>
      </c>
      <c r="F2954" s="86">
        <v>0.8</v>
      </c>
      <c r="G2954" s="86">
        <v>1000</v>
      </c>
      <c r="H2954" s="86">
        <v>800</v>
      </c>
      <c r="I2954" s="86">
        <v>1440</v>
      </c>
      <c r="J2954" s="85" t="s">
        <v>4370</v>
      </c>
      <c r="K2954" s="85" t="s">
        <v>11546</v>
      </c>
      <c r="L2954" s="85" t="s">
        <v>10737</v>
      </c>
      <c r="M2954" s="85" t="s">
        <v>11547</v>
      </c>
    </row>
    <row r="2955" ht="228" spans="1:13">
      <c r="A2955" s="85" t="s">
        <v>11543</v>
      </c>
      <c r="B2955" s="85" t="s">
        <v>10562</v>
      </c>
      <c r="C2955" s="85" t="s">
        <v>10563</v>
      </c>
      <c r="D2955" s="85" t="s">
        <v>6261</v>
      </c>
      <c r="E2955" s="85" t="s">
        <v>10564</v>
      </c>
      <c r="F2955" s="86">
        <v>1.6</v>
      </c>
      <c r="G2955" s="86">
        <v>400</v>
      </c>
      <c r="H2955" s="86">
        <v>640</v>
      </c>
      <c r="I2955" s="86">
        <v>1440</v>
      </c>
      <c r="J2955" s="85" t="s">
        <v>4370</v>
      </c>
      <c r="K2955" s="85" t="s">
        <v>11546</v>
      </c>
      <c r="L2955" s="85" t="s">
        <v>10737</v>
      </c>
      <c r="M2955" s="85" t="s">
        <v>11548</v>
      </c>
    </row>
    <row r="2956" ht="228" spans="1:13">
      <c r="A2956" s="85" t="s">
        <v>11549</v>
      </c>
      <c r="B2956" s="85" t="s">
        <v>11550</v>
      </c>
      <c r="C2956" s="85" t="s">
        <v>11551</v>
      </c>
      <c r="D2956" s="85" t="s">
        <v>2973</v>
      </c>
      <c r="E2956" s="85" t="s">
        <v>11552</v>
      </c>
      <c r="F2956" s="86">
        <v>455</v>
      </c>
      <c r="G2956" s="86">
        <v>6</v>
      </c>
      <c r="H2956" s="86">
        <v>2730</v>
      </c>
      <c r="I2956" s="86">
        <v>15251</v>
      </c>
      <c r="J2956" s="85" t="s">
        <v>4391</v>
      </c>
      <c r="K2956" s="85" t="s">
        <v>11553</v>
      </c>
      <c r="L2956" s="85" t="s">
        <v>10737</v>
      </c>
      <c r="M2956" s="85" t="s">
        <v>11554</v>
      </c>
    </row>
    <row r="2957" ht="242.25" spans="1:13">
      <c r="A2957" s="85" t="s">
        <v>11549</v>
      </c>
      <c r="B2957" s="85" t="s">
        <v>11555</v>
      </c>
      <c r="C2957" s="85" t="s">
        <v>11556</v>
      </c>
      <c r="D2957" s="85" t="s">
        <v>8063</v>
      </c>
      <c r="E2957" s="85" t="s">
        <v>11557</v>
      </c>
      <c r="F2957" s="86">
        <v>499</v>
      </c>
      <c r="G2957" s="86">
        <v>1</v>
      </c>
      <c r="H2957" s="86">
        <v>499</v>
      </c>
      <c r="I2957" s="86">
        <v>15251</v>
      </c>
      <c r="J2957" s="85" t="s">
        <v>4391</v>
      </c>
      <c r="K2957" s="85" t="s">
        <v>11553</v>
      </c>
      <c r="L2957" s="85" t="s">
        <v>10737</v>
      </c>
      <c r="M2957" s="85" t="s">
        <v>11558</v>
      </c>
    </row>
    <row r="2958" ht="228" spans="1:13">
      <c r="A2958" s="85" t="s">
        <v>11549</v>
      </c>
      <c r="B2958" s="85" t="s">
        <v>11559</v>
      </c>
      <c r="C2958" s="85" t="s">
        <v>11560</v>
      </c>
      <c r="D2958" s="85" t="s">
        <v>11561</v>
      </c>
      <c r="E2958" s="85" t="s">
        <v>11562</v>
      </c>
      <c r="F2958" s="86">
        <v>185</v>
      </c>
      <c r="G2958" s="86">
        <v>3</v>
      </c>
      <c r="H2958" s="86">
        <v>555</v>
      </c>
      <c r="I2958" s="86">
        <v>15251</v>
      </c>
      <c r="J2958" s="85" t="s">
        <v>4391</v>
      </c>
      <c r="K2958" s="85" t="s">
        <v>11553</v>
      </c>
      <c r="L2958" s="85" t="s">
        <v>10737</v>
      </c>
      <c r="M2958" s="85" t="s">
        <v>11563</v>
      </c>
    </row>
    <row r="2959" ht="228" spans="1:13">
      <c r="A2959" s="85" t="s">
        <v>11549</v>
      </c>
      <c r="B2959" s="85" t="s">
        <v>11564</v>
      </c>
      <c r="C2959" s="85" t="s">
        <v>11565</v>
      </c>
      <c r="D2959" s="85" t="s">
        <v>3356</v>
      </c>
      <c r="E2959" s="85" t="s">
        <v>11566</v>
      </c>
      <c r="F2959" s="86">
        <v>2</v>
      </c>
      <c r="G2959" s="86">
        <v>50</v>
      </c>
      <c r="H2959" s="86">
        <v>100</v>
      </c>
      <c r="I2959" s="86">
        <v>15251</v>
      </c>
      <c r="J2959" s="85" t="s">
        <v>4391</v>
      </c>
      <c r="K2959" s="85" t="s">
        <v>11553</v>
      </c>
      <c r="L2959" s="85" t="s">
        <v>10737</v>
      </c>
      <c r="M2959" s="85" t="s">
        <v>11567</v>
      </c>
    </row>
    <row r="2960" ht="228" spans="1:13">
      <c r="A2960" s="85" t="s">
        <v>11549</v>
      </c>
      <c r="B2960" s="85" t="s">
        <v>5724</v>
      </c>
      <c r="C2960" s="85" t="s">
        <v>5725</v>
      </c>
      <c r="D2960" s="85" t="s">
        <v>5302</v>
      </c>
      <c r="E2960" s="85" t="s">
        <v>5726</v>
      </c>
      <c r="F2960" s="86">
        <v>5.8</v>
      </c>
      <c r="G2960" s="86">
        <v>500</v>
      </c>
      <c r="H2960" s="86">
        <v>2900</v>
      </c>
      <c r="I2960" s="86">
        <v>15251</v>
      </c>
      <c r="J2960" s="85" t="s">
        <v>4391</v>
      </c>
      <c r="K2960" s="85" t="s">
        <v>11553</v>
      </c>
      <c r="L2960" s="85" t="s">
        <v>10737</v>
      </c>
      <c r="M2960" s="85" t="s">
        <v>11568</v>
      </c>
    </row>
    <row r="2961" ht="228" spans="1:13">
      <c r="A2961" s="85" t="s">
        <v>11549</v>
      </c>
      <c r="B2961" s="85" t="s">
        <v>11569</v>
      </c>
      <c r="C2961" s="85" t="s">
        <v>11570</v>
      </c>
      <c r="D2961" s="85" t="s">
        <v>3398</v>
      </c>
      <c r="E2961" s="85" t="s">
        <v>8064</v>
      </c>
      <c r="F2961" s="86">
        <v>305</v>
      </c>
      <c r="G2961" s="86">
        <v>1</v>
      </c>
      <c r="H2961" s="86">
        <v>305</v>
      </c>
      <c r="I2961" s="86">
        <v>15251</v>
      </c>
      <c r="J2961" s="85" t="s">
        <v>4391</v>
      </c>
      <c r="K2961" s="85" t="s">
        <v>11553</v>
      </c>
      <c r="L2961" s="85" t="s">
        <v>10737</v>
      </c>
      <c r="M2961" s="85" t="s">
        <v>11571</v>
      </c>
    </row>
    <row r="2962" ht="228" spans="1:13">
      <c r="A2962" s="85" t="s">
        <v>11549</v>
      </c>
      <c r="B2962" s="85" t="s">
        <v>11572</v>
      </c>
      <c r="C2962" s="85" t="s">
        <v>11573</v>
      </c>
      <c r="D2962" s="85" t="s">
        <v>2977</v>
      </c>
      <c r="E2962" s="85" t="s">
        <v>8573</v>
      </c>
      <c r="F2962" s="86">
        <v>93</v>
      </c>
      <c r="G2962" s="86">
        <v>4</v>
      </c>
      <c r="H2962" s="86">
        <v>372</v>
      </c>
      <c r="I2962" s="86">
        <v>15251</v>
      </c>
      <c r="J2962" s="85" t="s">
        <v>4391</v>
      </c>
      <c r="K2962" s="85" t="s">
        <v>11553</v>
      </c>
      <c r="L2962" s="85" t="s">
        <v>10737</v>
      </c>
      <c r="M2962" s="85" t="s">
        <v>11574</v>
      </c>
    </row>
    <row r="2963" ht="228" spans="1:13">
      <c r="A2963" s="85" t="s">
        <v>11549</v>
      </c>
      <c r="B2963" s="85" t="s">
        <v>11575</v>
      </c>
      <c r="C2963" s="85" t="s">
        <v>11576</v>
      </c>
      <c r="D2963" s="85" t="s">
        <v>11577</v>
      </c>
      <c r="E2963" s="85" t="s">
        <v>11578</v>
      </c>
      <c r="F2963" s="86">
        <v>1.45</v>
      </c>
      <c r="G2963" s="86">
        <v>200</v>
      </c>
      <c r="H2963" s="86">
        <v>290</v>
      </c>
      <c r="I2963" s="86">
        <v>15251</v>
      </c>
      <c r="J2963" s="85" t="s">
        <v>4391</v>
      </c>
      <c r="K2963" s="85" t="s">
        <v>11553</v>
      </c>
      <c r="L2963" s="85" t="s">
        <v>10737</v>
      </c>
      <c r="M2963" s="85" t="s">
        <v>11579</v>
      </c>
    </row>
    <row r="2964" ht="228" spans="1:13">
      <c r="A2964" s="85" t="s">
        <v>11549</v>
      </c>
      <c r="B2964" s="85" t="s">
        <v>11580</v>
      </c>
      <c r="C2964" s="85" t="s">
        <v>11581</v>
      </c>
      <c r="D2964" s="85" t="s">
        <v>10967</v>
      </c>
      <c r="E2964" s="85" t="s">
        <v>10968</v>
      </c>
      <c r="F2964" s="86">
        <v>7500</v>
      </c>
      <c r="G2964" s="86">
        <v>1</v>
      </c>
      <c r="H2964" s="86">
        <v>7500</v>
      </c>
      <c r="I2964" s="86">
        <v>15251</v>
      </c>
      <c r="J2964" s="85" t="s">
        <v>4391</v>
      </c>
      <c r="K2964" s="85" t="s">
        <v>11553</v>
      </c>
      <c r="L2964" s="85" t="s">
        <v>10737</v>
      </c>
      <c r="M2964" s="85" t="s">
        <v>11582</v>
      </c>
    </row>
    <row r="2965" ht="228" spans="1:13">
      <c r="A2965" s="85" t="s">
        <v>11583</v>
      </c>
      <c r="B2965" s="85" t="s">
        <v>2901</v>
      </c>
      <c r="C2965" s="85" t="s">
        <v>2902</v>
      </c>
      <c r="D2965" s="85" t="s">
        <v>2903</v>
      </c>
      <c r="E2965" s="85" t="s">
        <v>2902</v>
      </c>
      <c r="F2965" s="86">
        <v>17000</v>
      </c>
      <c r="G2965" s="86">
        <v>1</v>
      </c>
      <c r="H2965" s="86">
        <v>17000</v>
      </c>
      <c r="I2965" s="86">
        <v>17000</v>
      </c>
      <c r="J2965" s="85" t="s">
        <v>8504</v>
      </c>
      <c r="K2965" s="85" t="s">
        <v>11584</v>
      </c>
      <c r="L2965" s="85" t="s">
        <v>10737</v>
      </c>
      <c r="M2965" s="85" t="s">
        <v>11585</v>
      </c>
    </row>
    <row r="2966" ht="228" spans="1:13">
      <c r="A2966" s="85" t="s">
        <v>11586</v>
      </c>
      <c r="B2966" s="85" t="s">
        <v>3123</v>
      </c>
      <c r="C2966" s="85" t="s">
        <v>3124</v>
      </c>
      <c r="D2966" s="85" t="s">
        <v>3125</v>
      </c>
      <c r="E2966" s="85" t="s">
        <v>3124</v>
      </c>
      <c r="F2966" s="86">
        <v>47380</v>
      </c>
      <c r="G2966" s="86">
        <v>1</v>
      </c>
      <c r="H2966" s="86">
        <v>47380</v>
      </c>
      <c r="I2966" s="86">
        <v>47380</v>
      </c>
      <c r="J2966" s="85" t="s">
        <v>5100</v>
      </c>
      <c r="K2966" s="85" t="s">
        <v>11587</v>
      </c>
      <c r="L2966" s="85" t="s">
        <v>10737</v>
      </c>
      <c r="M2966" s="85" t="s">
        <v>11588</v>
      </c>
    </row>
    <row r="2967" ht="228" spans="1:13">
      <c r="A2967" s="85" t="s">
        <v>11589</v>
      </c>
      <c r="B2967" s="85" t="s">
        <v>11590</v>
      </c>
      <c r="C2967" s="85" t="s">
        <v>11591</v>
      </c>
      <c r="D2967" s="85" t="s">
        <v>7739</v>
      </c>
      <c r="E2967" s="85" t="s">
        <v>10637</v>
      </c>
      <c r="F2967" s="86">
        <v>4650</v>
      </c>
      <c r="G2967" s="86">
        <v>14</v>
      </c>
      <c r="H2967" s="86">
        <v>65100</v>
      </c>
      <c r="I2967" s="86">
        <v>65100</v>
      </c>
      <c r="J2967" s="85" t="s">
        <v>5083</v>
      </c>
      <c r="K2967" s="85" t="s">
        <v>11592</v>
      </c>
      <c r="L2967" s="85" t="s">
        <v>10737</v>
      </c>
      <c r="M2967" s="85" t="s">
        <v>11593</v>
      </c>
    </row>
    <row r="2968" ht="228" spans="1:13">
      <c r="A2968" s="85" t="s">
        <v>11594</v>
      </c>
      <c r="B2968" s="85" t="s">
        <v>11595</v>
      </c>
      <c r="C2968" s="85" t="s">
        <v>11596</v>
      </c>
      <c r="D2968" s="85" t="s">
        <v>7739</v>
      </c>
      <c r="E2968" s="85" t="s">
        <v>10632</v>
      </c>
      <c r="F2968" s="86">
        <v>6335</v>
      </c>
      <c r="G2968" s="86">
        <v>1</v>
      </c>
      <c r="H2968" s="86">
        <v>6335</v>
      </c>
      <c r="I2968" s="86">
        <v>6335</v>
      </c>
      <c r="J2968" s="85" t="s">
        <v>11597</v>
      </c>
      <c r="K2968" s="85" t="s">
        <v>11598</v>
      </c>
      <c r="L2968" s="85" t="s">
        <v>10737</v>
      </c>
      <c r="M2968" s="85" t="s">
        <v>11599</v>
      </c>
    </row>
    <row r="2969" ht="228" spans="1:13">
      <c r="A2969" s="85" t="s">
        <v>11600</v>
      </c>
      <c r="B2969" s="85" t="s">
        <v>11601</v>
      </c>
      <c r="C2969" s="85" t="s">
        <v>11602</v>
      </c>
      <c r="D2969" s="85" t="s">
        <v>3783</v>
      </c>
      <c r="E2969" s="85" t="s">
        <v>3784</v>
      </c>
      <c r="F2969" s="86">
        <v>360</v>
      </c>
      <c r="G2969" s="86">
        <v>70</v>
      </c>
      <c r="H2969" s="86">
        <v>25200</v>
      </c>
      <c r="I2969" s="86">
        <v>44161</v>
      </c>
      <c r="J2969" s="85" t="s">
        <v>2935</v>
      </c>
      <c r="K2969" s="85" t="s">
        <v>11603</v>
      </c>
      <c r="L2969" s="85" t="s">
        <v>10737</v>
      </c>
      <c r="M2969" s="85" t="s">
        <v>11604</v>
      </c>
    </row>
    <row r="2970" ht="228" spans="1:13">
      <c r="A2970" s="85" t="s">
        <v>11600</v>
      </c>
      <c r="B2970" s="85" t="s">
        <v>11605</v>
      </c>
      <c r="C2970" s="85" t="s">
        <v>11606</v>
      </c>
      <c r="D2970" s="85" t="s">
        <v>9388</v>
      </c>
      <c r="E2970" s="85" t="s">
        <v>9389</v>
      </c>
      <c r="F2970" s="86">
        <v>24</v>
      </c>
      <c r="G2970" s="86">
        <v>42</v>
      </c>
      <c r="H2970" s="86">
        <v>1008</v>
      </c>
      <c r="I2970" s="86">
        <v>44161</v>
      </c>
      <c r="J2970" s="85" t="s">
        <v>2935</v>
      </c>
      <c r="K2970" s="85" t="s">
        <v>11603</v>
      </c>
      <c r="L2970" s="85" t="s">
        <v>10737</v>
      </c>
      <c r="M2970" s="85" t="s">
        <v>11607</v>
      </c>
    </row>
    <row r="2971" ht="228" spans="1:13">
      <c r="A2971" s="85" t="s">
        <v>11600</v>
      </c>
      <c r="B2971" s="85" t="s">
        <v>11109</v>
      </c>
      <c r="C2971" s="85" t="s">
        <v>11110</v>
      </c>
      <c r="D2971" s="85" t="s">
        <v>3230</v>
      </c>
      <c r="E2971" s="85" t="s">
        <v>11111</v>
      </c>
      <c r="F2971" s="86">
        <v>57</v>
      </c>
      <c r="G2971" s="86">
        <v>2</v>
      </c>
      <c r="H2971" s="86">
        <v>114</v>
      </c>
      <c r="I2971" s="86">
        <v>44161</v>
      </c>
      <c r="J2971" s="85" t="s">
        <v>2935</v>
      </c>
      <c r="K2971" s="85" t="s">
        <v>11603</v>
      </c>
      <c r="L2971" s="85" t="s">
        <v>10737</v>
      </c>
      <c r="M2971" s="85" t="s">
        <v>11608</v>
      </c>
    </row>
    <row r="2972" ht="228" spans="1:13">
      <c r="A2972" s="85" t="s">
        <v>11600</v>
      </c>
      <c r="B2972" s="85" t="s">
        <v>11609</v>
      </c>
      <c r="C2972" s="85" t="s">
        <v>11610</v>
      </c>
      <c r="D2972" s="85" t="s">
        <v>11611</v>
      </c>
      <c r="E2972" s="85" t="s">
        <v>11612</v>
      </c>
      <c r="F2972" s="86">
        <v>10</v>
      </c>
      <c r="G2972" s="86">
        <v>400</v>
      </c>
      <c r="H2972" s="86">
        <v>4000</v>
      </c>
      <c r="I2972" s="86">
        <v>44161</v>
      </c>
      <c r="J2972" s="85" t="s">
        <v>2935</v>
      </c>
      <c r="K2972" s="85" t="s">
        <v>11603</v>
      </c>
      <c r="L2972" s="85" t="s">
        <v>10737</v>
      </c>
      <c r="M2972" s="85" t="s">
        <v>11613</v>
      </c>
    </row>
    <row r="2973" ht="228" spans="1:13">
      <c r="A2973" s="85" t="s">
        <v>11600</v>
      </c>
      <c r="B2973" s="85" t="s">
        <v>11614</v>
      </c>
      <c r="C2973" s="85" t="s">
        <v>11615</v>
      </c>
      <c r="D2973" s="85" t="s">
        <v>3398</v>
      </c>
      <c r="E2973" s="85" t="s">
        <v>11616</v>
      </c>
      <c r="F2973" s="86">
        <v>275</v>
      </c>
      <c r="G2973" s="86">
        <v>6</v>
      </c>
      <c r="H2973" s="86">
        <v>1650</v>
      </c>
      <c r="I2973" s="86">
        <v>44161</v>
      </c>
      <c r="J2973" s="85" t="s">
        <v>2935</v>
      </c>
      <c r="K2973" s="85" t="s">
        <v>11603</v>
      </c>
      <c r="L2973" s="85" t="s">
        <v>10737</v>
      </c>
      <c r="M2973" s="85" t="s">
        <v>11617</v>
      </c>
    </row>
    <row r="2974" ht="228" spans="1:13">
      <c r="A2974" s="85" t="s">
        <v>11600</v>
      </c>
      <c r="B2974" s="85" t="s">
        <v>11122</v>
      </c>
      <c r="C2974" s="85" t="s">
        <v>11123</v>
      </c>
      <c r="D2974" s="85" t="s">
        <v>3398</v>
      </c>
      <c r="E2974" s="85" t="s">
        <v>11124</v>
      </c>
      <c r="F2974" s="86">
        <v>283</v>
      </c>
      <c r="G2974" s="86">
        <v>6</v>
      </c>
      <c r="H2974" s="86">
        <v>1698</v>
      </c>
      <c r="I2974" s="86">
        <v>44161</v>
      </c>
      <c r="J2974" s="85" t="s">
        <v>2935</v>
      </c>
      <c r="K2974" s="85" t="s">
        <v>11603</v>
      </c>
      <c r="L2974" s="85" t="s">
        <v>10737</v>
      </c>
      <c r="M2974" s="85" t="s">
        <v>11618</v>
      </c>
    </row>
    <row r="2975" ht="228" spans="1:13">
      <c r="A2975" s="85" t="s">
        <v>11600</v>
      </c>
      <c r="B2975" s="85" t="s">
        <v>11126</v>
      </c>
      <c r="C2975" s="85" t="s">
        <v>11127</v>
      </c>
      <c r="D2975" s="85" t="s">
        <v>3398</v>
      </c>
      <c r="E2975" s="85" t="s">
        <v>11128</v>
      </c>
      <c r="F2975" s="86">
        <v>108</v>
      </c>
      <c r="G2975" s="86">
        <v>6</v>
      </c>
      <c r="H2975" s="86">
        <v>648</v>
      </c>
      <c r="I2975" s="86">
        <v>44161</v>
      </c>
      <c r="J2975" s="85" t="s">
        <v>2935</v>
      </c>
      <c r="K2975" s="85" t="s">
        <v>11603</v>
      </c>
      <c r="L2975" s="85" t="s">
        <v>10737</v>
      </c>
      <c r="M2975" s="85" t="s">
        <v>11619</v>
      </c>
    </row>
    <row r="2976" ht="228" spans="1:13">
      <c r="A2976" s="85" t="s">
        <v>11600</v>
      </c>
      <c r="B2976" s="85" t="s">
        <v>11620</v>
      </c>
      <c r="C2976" s="85" t="s">
        <v>11621</v>
      </c>
      <c r="D2976" s="85" t="s">
        <v>3201</v>
      </c>
      <c r="E2976" s="85" t="s">
        <v>11622</v>
      </c>
      <c r="F2976" s="86">
        <v>130</v>
      </c>
      <c r="G2976" s="86">
        <v>4</v>
      </c>
      <c r="H2976" s="86">
        <v>520</v>
      </c>
      <c r="I2976" s="86">
        <v>44161</v>
      </c>
      <c r="J2976" s="85" t="s">
        <v>2935</v>
      </c>
      <c r="K2976" s="85" t="s">
        <v>11603</v>
      </c>
      <c r="L2976" s="85" t="s">
        <v>10737</v>
      </c>
      <c r="M2976" s="85" t="s">
        <v>11623</v>
      </c>
    </row>
    <row r="2977" ht="228" spans="1:13">
      <c r="A2977" s="85" t="s">
        <v>11600</v>
      </c>
      <c r="B2977" s="85" t="s">
        <v>11624</v>
      </c>
      <c r="C2977" s="85" t="s">
        <v>11625</v>
      </c>
      <c r="D2977" s="85" t="s">
        <v>11626</v>
      </c>
      <c r="E2977" s="85" t="s">
        <v>11627</v>
      </c>
      <c r="F2977" s="86">
        <v>60</v>
      </c>
      <c r="G2977" s="86">
        <v>1</v>
      </c>
      <c r="H2977" s="86">
        <v>60</v>
      </c>
      <c r="I2977" s="86">
        <v>44161</v>
      </c>
      <c r="J2977" s="85" t="s">
        <v>2935</v>
      </c>
      <c r="K2977" s="85" t="s">
        <v>11603</v>
      </c>
      <c r="L2977" s="85" t="s">
        <v>10737</v>
      </c>
      <c r="M2977" s="85" t="s">
        <v>11628</v>
      </c>
    </row>
    <row r="2978" ht="228" spans="1:13">
      <c r="A2978" s="85" t="s">
        <v>11600</v>
      </c>
      <c r="B2978" s="85" t="s">
        <v>11629</v>
      </c>
      <c r="C2978" s="85" t="s">
        <v>11630</v>
      </c>
      <c r="D2978" s="85" t="s">
        <v>11631</v>
      </c>
      <c r="E2978" s="85" t="s">
        <v>11632</v>
      </c>
      <c r="F2978" s="86">
        <v>12</v>
      </c>
      <c r="G2978" s="86">
        <v>50</v>
      </c>
      <c r="H2978" s="86">
        <v>600</v>
      </c>
      <c r="I2978" s="86">
        <v>44161</v>
      </c>
      <c r="J2978" s="85" t="s">
        <v>2935</v>
      </c>
      <c r="K2978" s="85" t="s">
        <v>11603</v>
      </c>
      <c r="L2978" s="85" t="s">
        <v>10737</v>
      </c>
      <c r="M2978" s="85" t="s">
        <v>11633</v>
      </c>
    </row>
    <row r="2979" ht="228" spans="1:13">
      <c r="A2979" s="85" t="s">
        <v>11600</v>
      </c>
      <c r="B2979" s="85" t="s">
        <v>11634</v>
      </c>
      <c r="C2979" s="85" t="s">
        <v>11635</v>
      </c>
      <c r="D2979" s="85" t="s">
        <v>4246</v>
      </c>
      <c r="E2979" s="85" t="s">
        <v>4247</v>
      </c>
      <c r="F2979" s="86">
        <v>45</v>
      </c>
      <c r="G2979" s="86">
        <v>5</v>
      </c>
      <c r="H2979" s="86">
        <v>225</v>
      </c>
      <c r="I2979" s="86">
        <v>44161</v>
      </c>
      <c r="J2979" s="85" t="s">
        <v>2935</v>
      </c>
      <c r="K2979" s="85" t="s">
        <v>11603</v>
      </c>
      <c r="L2979" s="85" t="s">
        <v>10737</v>
      </c>
      <c r="M2979" s="85" t="s">
        <v>11636</v>
      </c>
    </row>
    <row r="2980" ht="228" spans="1:13">
      <c r="A2980" s="85" t="s">
        <v>11600</v>
      </c>
      <c r="B2980" s="85" t="s">
        <v>11637</v>
      </c>
      <c r="C2980" s="85" t="s">
        <v>11638</v>
      </c>
      <c r="D2980" s="85" t="s">
        <v>11611</v>
      </c>
      <c r="E2980" s="85" t="s">
        <v>11612</v>
      </c>
      <c r="F2980" s="86">
        <v>720</v>
      </c>
      <c r="G2980" s="86">
        <v>1</v>
      </c>
      <c r="H2980" s="86">
        <v>720</v>
      </c>
      <c r="I2980" s="86">
        <v>44161</v>
      </c>
      <c r="J2980" s="85" t="s">
        <v>2935</v>
      </c>
      <c r="K2980" s="85" t="s">
        <v>11603</v>
      </c>
      <c r="L2980" s="85" t="s">
        <v>10737</v>
      </c>
      <c r="M2980" s="85" t="s">
        <v>11639</v>
      </c>
    </row>
    <row r="2981" ht="228" spans="1:13">
      <c r="A2981" s="85" t="s">
        <v>11600</v>
      </c>
      <c r="B2981" s="85" t="s">
        <v>11118</v>
      </c>
      <c r="C2981" s="85" t="s">
        <v>11119</v>
      </c>
      <c r="D2981" s="85" t="s">
        <v>3398</v>
      </c>
      <c r="E2981" s="85" t="s">
        <v>11120</v>
      </c>
      <c r="F2981" s="86">
        <v>189</v>
      </c>
      <c r="G2981" s="86">
        <v>6</v>
      </c>
      <c r="H2981" s="86">
        <v>1134</v>
      </c>
      <c r="I2981" s="86">
        <v>44161</v>
      </c>
      <c r="J2981" s="85" t="s">
        <v>2935</v>
      </c>
      <c r="K2981" s="85" t="s">
        <v>11603</v>
      </c>
      <c r="L2981" s="85" t="s">
        <v>10737</v>
      </c>
      <c r="M2981" s="85" t="s">
        <v>11640</v>
      </c>
    </row>
    <row r="2982" ht="228" spans="1:13">
      <c r="A2982" s="85" t="s">
        <v>11600</v>
      </c>
      <c r="B2982" s="85" t="s">
        <v>11641</v>
      </c>
      <c r="C2982" s="85" t="s">
        <v>11642</v>
      </c>
      <c r="D2982" s="85" t="s">
        <v>3086</v>
      </c>
      <c r="E2982" s="85" t="s">
        <v>11643</v>
      </c>
      <c r="F2982" s="86">
        <v>205</v>
      </c>
      <c r="G2982" s="86">
        <v>4</v>
      </c>
      <c r="H2982" s="86">
        <v>820</v>
      </c>
      <c r="I2982" s="86">
        <v>44161</v>
      </c>
      <c r="J2982" s="85" t="s">
        <v>2935</v>
      </c>
      <c r="K2982" s="85" t="s">
        <v>11603</v>
      </c>
      <c r="L2982" s="85" t="s">
        <v>10737</v>
      </c>
      <c r="M2982" s="85" t="s">
        <v>11644</v>
      </c>
    </row>
    <row r="2983" ht="228" spans="1:13">
      <c r="A2983" s="85" t="s">
        <v>11600</v>
      </c>
      <c r="B2983" s="85" t="s">
        <v>4394</v>
      </c>
      <c r="C2983" s="85" t="s">
        <v>4395</v>
      </c>
      <c r="D2983" s="85" t="s">
        <v>3230</v>
      </c>
      <c r="E2983" s="85" t="s">
        <v>4396</v>
      </c>
      <c r="F2983" s="86">
        <v>13</v>
      </c>
      <c r="G2983" s="86">
        <v>16</v>
      </c>
      <c r="H2983" s="86">
        <v>208</v>
      </c>
      <c r="I2983" s="86">
        <v>44161</v>
      </c>
      <c r="J2983" s="85" t="s">
        <v>2935</v>
      </c>
      <c r="K2983" s="85" t="s">
        <v>11603</v>
      </c>
      <c r="L2983" s="85" t="s">
        <v>10737</v>
      </c>
      <c r="M2983" s="85" t="s">
        <v>11645</v>
      </c>
    </row>
    <row r="2984" ht="228" spans="1:13">
      <c r="A2984" s="85" t="s">
        <v>11600</v>
      </c>
      <c r="B2984" s="85" t="s">
        <v>11646</v>
      </c>
      <c r="C2984" s="85" t="s">
        <v>11647</v>
      </c>
      <c r="D2984" s="85" t="s">
        <v>3737</v>
      </c>
      <c r="E2984" s="85" t="s">
        <v>11648</v>
      </c>
      <c r="F2984" s="86">
        <v>15</v>
      </c>
      <c r="G2984" s="86">
        <v>3</v>
      </c>
      <c r="H2984" s="86">
        <v>45</v>
      </c>
      <c r="I2984" s="86">
        <v>44161</v>
      </c>
      <c r="J2984" s="85" t="s">
        <v>2935</v>
      </c>
      <c r="K2984" s="85" t="s">
        <v>11603</v>
      </c>
      <c r="L2984" s="85" t="s">
        <v>10737</v>
      </c>
      <c r="M2984" s="85" t="s">
        <v>11649</v>
      </c>
    </row>
    <row r="2985" ht="228" spans="1:13">
      <c r="A2985" s="85" t="s">
        <v>11600</v>
      </c>
      <c r="B2985" s="85" t="s">
        <v>11650</v>
      </c>
      <c r="C2985" s="85" t="s">
        <v>11651</v>
      </c>
      <c r="D2985" s="85" t="s">
        <v>6541</v>
      </c>
      <c r="E2985" s="85" t="s">
        <v>11652</v>
      </c>
      <c r="F2985" s="86">
        <v>8</v>
      </c>
      <c r="G2985" s="86">
        <v>2</v>
      </c>
      <c r="H2985" s="86">
        <v>16</v>
      </c>
      <c r="I2985" s="86">
        <v>44161</v>
      </c>
      <c r="J2985" s="85" t="s">
        <v>2935</v>
      </c>
      <c r="K2985" s="85" t="s">
        <v>11603</v>
      </c>
      <c r="L2985" s="85" t="s">
        <v>10737</v>
      </c>
      <c r="M2985" s="85" t="s">
        <v>11653</v>
      </c>
    </row>
    <row r="2986" ht="228" spans="1:13">
      <c r="A2986" s="85" t="s">
        <v>11600</v>
      </c>
      <c r="B2986" s="85" t="s">
        <v>11654</v>
      </c>
      <c r="C2986" s="85" t="s">
        <v>11655</v>
      </c>
      <c r="D2986" s="85" t="s">
        <v>3398</v>
      </c>
      <c r="E2986" s="85" t="s">
        <v>11656</v>
      </c>
      <c r="F2986" s="86">
        <v>135</v>
      </c>
      <c r="G2986" s="86">
        <v>2</v>
      </c>
      <c r="H2986" s="86">
        <v>270</v>
      </c>
      <c r="I2986" s="86">
        <v>44161</v>
      </c>
      <c r="J2986" s="85" t="s">
        <v>2935</v>
      </c>
      <c r="K2986" s="85" t="s">
        <v>11603</v>
      </c>
      <c r="L2986" s="85" t="s">
        <v>10737</v>
      </c>
      <c r="M2986" s="85" t="s">
        <v>11657</v>
      </c>
    </row>
    <row r="2987" ht="228" spans="1:13">
      <c r="A2987" s="85" t="s">
        <v>11600</v>
      </c>
      <c r="B2987" s="85" t="s">
        <v>11114</v>
      </c>
      <c r="C2987" s="85" t="s">
        <v>11115</v>
      </c>
      <c r="D2987" s="85" t="s">
        <v>2977</v>
      </c>
      <c r="E2987" s="85" t="s">
        <v>11116</v>
      </c>
      <c r="F2987" s="86">
        <v>87</v>
      </c>
      <c r="G2987" s="86">
        <v>2</v>
      </c>
      <c r="H2987" s="86">
        <v>174</v>
      </c>
      <c r="I2987" s="86">
        <v>44161</v>
      </c>
      <c r="J2987" s="85" t="s">
        <v>2935</v>
      </c>
      <c r="K2987" s="85" t="s">
        <v>11603</v>
      </c>
      <c r="L2987" s="85" t="s">
        <v>10737</v>
      </c>
      <c r="M2987" s="85" t="s">
        <v>11658</v>
      </c>
    </row>
    <row r="2988" ht="228" spans="1:13">
      <c r="A2988" s="85" t="s">
        <v>11600</v>
      </c>
      <c r="B2988" s="85" t="s">
        <v>11659</v>
      </c>
      <c r="C2988" s="85" t="s">
        <v>11660</v>
      </c>
      <c r="D2988" s="85" t="s">
        <v>11611</v>
      </c>
      <c r="E2988" s="85" t="s">
        <v>11612</v>
      </c>
      <c r="F2988" s="86">
        <v>13</v>
      </c>
      <c r="G2988" s="86">
        <v>300</v>
      </c>
      <c r="H2988" s="86">
        <v>3900</v>
      </c>
      <c r="I2988" s="86">
        <v>44161</v>
      </c>
      <c r="J2988" s="85" t="s">
        <v>2935</v>
      </c>
      <c r="K2988" s="85" t="s">
        <v>11603</v>
      </c>
      <c r="L2988" s="85" t="s">
        <v>10737</v>
      </c>
      <c r="M2988" s="85" t="s">
        <v>11661</v>
      </c>
    </row>
    <row r="2989" ht="228" spans="1:13">
      <c r="A2989" s="85" t="s">
        <v>11600</v>
      </c>
      <c r="B2989" s="85" t="s">
        <v>11662</v>
      </c>
      <c r="C2989" s="85" t="s">
        <v>11663</v>
      </c>
      <c r="D2989" s="85" t="s">
        <v>3398</v>
      </c>
      <c r="E2989" s="85" t="s">
        <v>7820</v>
      </c>
      <c r="F2989" s="86">
        <v>103</v>
      </c>
      <c r="G2989" s="86">
        <v>2</v>
      </c>
      <c r="H2989" s="86">
        <v>206</v>
      </c>
      <c r="I2989" s="86">
        <v>44161</v>
      </c>
      <c r="J2989" s="85" t="s">
        <v>2935</v>
      </c>
      <c r="K2989" s="85" t="s">
        <v>11603</v>
      </c>
      <c r="L2989" s="85" t="s">
        <v>10737</v>
      </c>
      <c r="M2989" s="85" t="s">
        <v>11664</v>
      </c>
    </row>
    <row r="2990" ht="228" spans="1:13">
      <c r="A2990" s="85" t="s">
        <v>11600</v>
      </c>
      <c r="B2990" s="85" t="s">
        <v>11130</v>
      </c>
      <c r="C2990" s="85" t="s">
        <v>11131</v>
      </c>
      <c r="D2990" s="85" t="s">
        <v>11104</v>
      </c>
      <c r="E2990" s="85" t="s">
        <v>11105</v>
      </c>
      <c r="F2990" s="86">
        <v>135</v>
      </c>
      <c r="G2990" s="86">
        <v>7</v>
      </c>
      <c r="H2990" s="86">
        <v>945</v>
      </c>
      <c r="I2990" s="86">
        <v>44161</v>
      </c>
      <c r="J2990" s="85" t="s">
        <v>2935</v>
      </c>
      <c r="K2990" s="85" t="s">
        <v>11603</v>
      </c>
      <c r="L2990" s="85" t="s">
        <v>10737</v>
      </c>
      <c r="M2990" s="85" t="s">
        <v>11665</v>
      </c>
    </row>
    <row r="2991" ht="228" spans="1:13">
      <c r="A2991" s="85" t="s">
        <v>11666</v>
      </c>
      <c r="B2991" s="85" t="s">
        <v>11667</v>
      </c>
      <c r="C2991" s="85" t="s">
        <v>11668</v>
      </c>
      <c r="D2991" s="85" t="s">
        <v>3747</v>
      </c>
      <c r="E2991" s="85" t="s">
        <v>1827</v>
      </c>
      <c r="F2991" s="86">
        <v>135</v>
      </c>
      <c r="G2991" s="86">
        <v>220</v>
      </c>
      <c r="H2991" s="86">
        <v>29700</v>
      </c>
      <c r="I2991" s="86">
        <v>55660</v>
      </c>
      <c r="J2991" s="85" t="s">
        <v>2938</v>
      </c>
      <c r="K2991" s="85" t="s">
        <v>11669</v>
      </c>
      <c r="L2991" s="85" t="s">
        <v>10737</v>
      </c>
      <c r="M2991" s="85" t="s">
        <v>11670</v>
      </c>
    </row>
    <row r="2992" ht="228" spans="1:13">
      <c r="A2992" s="85" t="s">
        <v>11666</v>
      </c>
      <c r="B2992" s="85" t="s">
        <v>7924</v>
      </c>
      <c r="C2992" s="85" t="s">
        <v>7925</v>
      </c>
      <c r="D2992" s="85" t="s">
        <v>3548</v>
      </c>
      <c r="E2992" s="85" t="s">
        <v>1835</v>
      </c>
      <c r="F2992" s="86">
        <v>365</v>
      </c>
      <c r="G2992" s="86">
        <v>8</v>
      </c>
      <c r="H2992" s="86">
        <v>2920</v>
      </c>
      <c r="I2992" s="86">
        <v>55660</v>
      </c>
      <c r="J2992" s="85" t="s">
        <v>2938</v>
      </c>
      <c r="K2992" s="85" t="s">
        <v>11669</v>
      </c>
      <c r="L2992" s="85" t="s">
        <v>10737</v>
      </c>
      <c r="M2992" s="85" t="s">
        <v>11671</v>
      </c>
    </row>
    <row r="2993" ht="228" spans="1:13">
      <c r="A2993" s="85" t="s">
        <v>11666</v>
      </c>
      <c r="B2993" s="85" t="s">
        <v>5662</v>
      </c>
      <c r="C2993" s="85" t="s">
        <v>11672</v>
      </c>
      <c r="D2993" s="85" t="s">
        <v>4076</v>
      </c>
      <c r="E2993" s="85" t="s">
        <v>1832</v>
      </c>
      <c r="F2993" s="86">
        <v>128</v>
      </c>
      <c r="G2993" s="86">
        <v>180</v>
      </c>
      <c r="H2993" s="86">
        <v>23040</v>
      </c>
      <c r="I2993" s="86">
        <v>55660</v>
      </c>
      <c r="J2993" s="85" t="s">
        <v>2938</v>
      </c>
      <c r="K2993" s="85" t="s">
        <v>11669</v>
      </c>
      <c r="L2993" s="85" t="s">
        <v>10737</v>
      </c>
      <c r="M2993" s="85" t="s">
        <v>11673</v>
      </c>
    </row>
    <row r="2994" ht="228" spans="1:13">
      <c r="A2994" s="85" t="s">
        <v>11674</v>
      </c>
      <c r="B2994" s="85" t="s">
        <v>11675</v>
      </c>
      <c r="C2994" s="85" t="s">
        <v>11676</v>
      </c>
      <c r="D2994" s="85" t="s">
        <v>10340</v>
      </c>
      <c r="E2994" s="85" t="s">
        <v>11677</v>
      </c>
      <c r="F2994" s="86">
        <v>88</v>
      </c>
      <c r="G2994" s="86">
        <v>34</v>
      </c>
      <c r="H2994" s="86">
        <v>2992</v>
      </c>
      <c r="I2994" s="86">
        <v>5984</v>
      </c>
      <c r="J2994" s="85" t="s">
        <v>10342</v>
      </c>
      <c r="K2994" s="85" t="s">
        <v>11678</v>
      </c>
      <c r="L2994" s="85" t="s">
        <v>10873</v>
      </c>
      <c r="M2994" s="85" t="s">
        <v>11679</v>
      </c>
    </row>
    <row r="2995" ht="228" spans="1:13">
      <c r="A2995" s="85" t="s">
        <v>11674</v>
      </c>
      <c r="B2995" s="85" t="s">
        <v>11680</v>
      </c>
      <c r="C2995" s="85" t="s">
        <v>11681</v>
      </c>
      <c r="D2995" s="85" t="s">
        <v>10340</v>
      </c>
      <c r="E2995" s="85" t="s">
        <v>11682</v>
      </c>
      <c r="F2995" s="86">
        <v>88</v>
      </c>
      <c r="G2995" s="86">
        <v>34</v>
      </c>
      <c r="H2995" s="86">
        <v>2992</v>
      </c>
      <c r="I2995" s="86">
        <v>5984</v>
      </c>
      <c r="J2995" s="85" t="s">
        <v>10342</v>
      </c>
      <c r="K2995" s="85" t="s">
        <v>11678</v>
      </c>
      <c r="L2995" s="85" t="s">
        <v>10873</v>
      </c>
      <c r="M2995" s="85" t="s">
        <v>11683</v>
      </c>
    </row>
    <row r="2996" ht="228" spans="1:13">
      <c r="A2996" s="85" t="s">
        <v>11684</v>
      </c>
      <c r="B2996" s="85" t="s">
        <v>11685</v>
      </c>
      <c r="C2996" s="85" t="s">
        <v>11686</v>
      </c>
      <c r="D2996" s="85" t="s">
        <v>3543</v>
      </c>
      <c r="E2996" s="85" t="s">
        <v>11686</v>
      </c>
      <c r="F2996" s="86">
        <v>180</v>
      </c>
      <c r="G2996" s="86">
        <v>2</v>
      </c>
      <c r="H2996" s="86">
        <v>360</v>
      </c>
      <c r="I2996" s="86">
        <v>15796</v>
      </c>
      <c r="J2996" s="85" t="s">
        <v>2935</v>
      </c>
      <c r="K2996" s="85" t="s">
        <v>11687</v>
      </c>
      <c r="L2996" s="85" t="s">
        <v>10737</v>
      </c>
      <c r="M2996" s="85" t="s">
        <v>11688</v>
      </c>
    </row>
    <row r="2997" ht="228" spans="1:13">
      <c r="A2997" s="85" t="s">
        <v>11684</v>
      </c>
      <c r="B2997" s="85" t="s">
        <v>11236</v>
      </c>
      <c r="C2997" s="85" t="s">
        <v>11237</v>
      </c>
      <c r="D2997" s="85" t="s">
        <v>3041</v>
      </c>
      <c r="E2997" s="85" t="s">
        <v>3158</v>
      </c>
      <c r="F2997" s="86">
        <v>248</v>
      </c>
      <c r="G2997" s="86">
        <v>18</v>
      </c>
      <c r="H2997" s="86">
        <v>4464</v>
      </c>
      <c r="I2997" s="86">
        <v>15796</v>
      </c>
      <c r="J2997" s="85" t="s">
        <v>2935</v>
      </c>
      <c r="K2997" s="85" t="s">
        <v>11687</v>
      </c>
      <c r="L2997" s="85" t="s">
        <v>10737</v>
      </c>
      <c r="M2997" s="85" t="s">
        <v>11689</v>
      </c>
    </row>
    <row r="2998" ht="228" spans="1:13">
      <c r="A2998" s="85" t="s">
        <v>11684</v>
      </c>
      <c r="B2998" s="85" t="s">
        <v>11690</v>
      </c>
      <c r="C2998" s="85" t="s">
        <v>11691</v>
      </c>
      <c r="D2998" s="85" t="s">
        <v>11692</v>
      </c>
      <c r="E2998" s="85" t="s">
        <v>11693</v>
      </c>
      <c r="F2998" s="86">
        <v>42</v>
      </c>
      <c r="G2998" s="86">
        <v>6</v>
      </c>
      <c r="H2998" s="86">
        <v>252</v>
      </c>
      <c r="I2998" s="86">
        <v>15796</v>
      </c>
      <c r="J2998" s="85" t="s">
        <v>2935</v>
      </c>
      <c r="K2998" s="85" t="s">
        <v>11687</v>
      </c>
      <c r="L2998" s="85" t="s">
        <v>10737</v>
      </c>
      <c r="M2998" s="85" t="s">
        <v>11694</v>
      </c>
    </row>
    <row r="2999" ht="228" spans="1:13">
      <c r="A2999" s="85" t="s">
        <v>11695</v>
      </c>
      <c r="B2999" s="85" t="s">
        <v>11696</v>
      </c>
      <c r="C2999" s="85" t="s">
        <v>11697</v>
      </c>
      <c r="D2999" s="85" t="s">
        <v>4182</v>
      </c>
      <c r="E2999" s="85" t="s">
        <v>11698</v>
      </c>
      <c r="F2999" s="86">
        <v>360</v>
      </c>
      <c r="G2999" s="86">
        <v>2</v>
      </c>
      <c r="H2999" s="86">
        <v>720</v>
      </c>
      <c r="I2999" s="86">
        <v>720</v>
      </c>
      <c r="J2999" s="85" t="s">
        <v>2935</v>
      </c>
      <c r="K2999" s="85" t="s">
        <v>11687</v>
      </c>
      <c r="L2999" s="85" t="s">
        <v>10737</v>
      </c>
      <c r="M2999" s="85" t="s">
        <v>11699</v>
      </c>
    </row>
    <row r="3000" ht="228" spans="1:13">
      <c r="A3000" s="85" t="s">
        <v>11684</v>
      </c>
      <c r="B3000" s="85" t="s">
        <v>11700</v>
      </c>
      <c r="C3000" s="85" t="s">
        <v>11701</v>
      </c>
      <c r="D3000" s="85" t="s">
        <v>3241</v>
      </c>
      <c r="E3000" s="85" t="s">
        <v>4216</v>
      </c>
      <c r="F3000" s="86">
        <v>15</v>
      </c>
      <c r="G3000" s="86">
        <v>10</v>
      </c>
      <c r="H3000" s="86">
        <v>150</v>
      </c>
      <c r="I3000" s="86">
        <v>15796</v>
      </c>
      <c r="J3000" s="85" t="s">
        <v>2935</v>
      </c>
      <c r="K3000" s="85" t="s">
        <v>11687</v>
      </c>
      <c r="L3000" s="85" t="s">
        <v>10737</v>
      </c>
      <c r="M3000" s="85" t="s">
        <v>11702</v>
      </c>
    </row>
    <row r="3001" ht="228" spans="1:13">
      <c r="A3001" s="85" t="s">
        <v>11684</v>
      </c>
      <c r="B3001" s="85" t="s">
        <v>11703</v>
      </c>
      <c r="C3001" s="85" t="s">
        <v>11704</v>
      </c>
      <c r="D3001" s="85" t="s">
        <v>3566</v>
      </c>
      <c r="E3001" s="85" t="s">
        <v>3567</v>
      </c>
      <c r="F3001" s="86">
        <v>7</v>
      </c>
      <c r="G3001" s="86">
        <v>30</v>
      </c>
      <c r="H3001" s="86">
        <v>210</v>
      </c>
      <c r="I3001" s="86">
        <v>15796</v>
      </c>
      <c r="J3001" s="85" t="s">
        <v>2935</v>
      </c>
      <c r="K3001" s="85" t="s">
        <v>11687</v>
      </c>
      <c r="L3001" s="85" t="s">
        <v>10737</v>
      </c>
      <c r="M3001" s="85" t="s">
        <v>11705</v>
      </c>
    </row>
    <row r="3002" ht="228" spans="1:13">
      <c r="A3002" s="85" t="s">
        <v>11684</v>
      </c>
      <c r="B3002" s="85" t="s">
        <v>11706</v>
      </c>
      <c r="C3002" s="85" t="s">
        <v>11707</v>
      </c>
      <c r="D3002" s="85" t="s">
        <v>3241</v>
      </c>
      <c r="E3002" s="85" t="s">
        <v>4216</v>
      </c>
      <c r="F3002" s="86">
        <v>12</v>
      </c>
      <c r="G3002" s="86">
        <v>10</v>
      </c>
      <c r="H3002" s="86">
        <v>120</v>
      </c>
      <c r="I3002" s="86">
        <v>15796</v>
      </c>
      <c r="J3002" s="85" t="s">
        <v>2935</v>
      </c>
      <c r="K3002" s="85" t="s">
        <v>11687</v>
      </c>
      <c r="L3002" s="85" t="s">
        <v>10737</v>
      </c>
      <c r="M3002" s="85" t="s">
        <v>11708</v>
      </c>
    </row>
    <row r="3003" ht="228" spans="1:13">
      <c r="A3003" s="85" t="s">
        <v>11684</v>
      </c>
      <c r="B3003" s="85" t="s">
        <v>11709</v>
      </c>
      <c r="C3003" s="85" t="s">
        <v>11710</v>
      </c>
      <c r="D3003" s="85" t="s">
        <v>3241</v>
      </c>
      <c r="E3003" s="85" t="s">
        <v>4578</v>
      </c>
      <c r="F3003" s="86">
        <v>9.8</v>
      </c>
      <c r="G3003" s="86">
        <v>10</v>
      </c>
      <c r="H3003" s="86">
        <v>98</v>
      </c>
      <c r="I3003" s="86">
        <v>15796</v>
      </c>
      <c r="J3003" s="85" t="s">
        <v>2935</v>
      </c>
      <c r="K3003" s="85" t="s">
        <v>11687</v>
      </c>
      <c r="L3003" s="85" t="s">
        <v>10737</v>
      </c>
      <c r="M3003" s="85" t="s">
        <v>11711</v>
      </c>
    </row>
    <row r="3004" ht="228" spans="1:13">
      <c r="A3004" s="85" t="s">
        <v>11684</v>
      </c>
      <c r="B3004" s="85" t="s">
        <v>11712</v>
      </c>
      <c r="C3004" s="85" t="s">
        <v>11713</v>
      </c>
      <c r="D3004" s="85" t="s">
        <v>3241</v>
      </c>
      <c r="E3004" s="85" t="s">
        <v>4216</v>
      </c>
      <c r="F3004" s="86">
        <v>6</v>
      </c>
      <c r="G3004" s="86">
        <v>10</v>
      </c>
      <c r="H3004" s="86">
        <v>60</v>
      </c>
      <c r="I3004" s="86">
        <v>15796</v>
      </c>
      <c r="J3004" s="85" t="s">
        <v>2935</v>
      </c>
      <c r="K3004" s="85" t="s">
        <v>11687</v>
      </c>
      <c r="L3004" s="85" t="s">
        <v>10737</v>
      </c>
      <c r="M3004" s="85" t="s">
        <v>11714</v>
      </c>
    </row>
    <row r="3005" ht="228" spans="1:13">
      <c r="A3005" s="85" t="s">
        <v>11684</v>
      </c>
      <c r="B3005" s="85" t="s">
        <v>11715</v>
      </c>
      <c r="C3005" s="85" t="s">
        <v>11716</v>
      </c>
      <c r="D3005" s="85" t="s">
        <v>3459</v>
      </c>
      <c r="E3005" s="85" t="s">
        <v>9602</v>
      </c>
      <c r="F3005" s="86">
        <v>255</v>
      </c>
      <c r="G3005" s="86">
        <v>2</v>
      </c>
      <c r="H3005" s="86">
        <v>510</v>
      </c>
      <c r="I3005" s="86">
        <v>15796</v>
      </c>
      <c r="J3005" s="85" t="s">
        <v>2935</v>
      </c>
      <c r="K3005" s="85" t="s">
        <v>11687</v>
      </c>
      <c r="L3005" s="85" t="s">
        <v>10737</v>
      </c>
      <c r="M3005" s="85" t="s">
        <v>11717</v>
      </c>
    </row>
    <row r="3006" ht="228" spans="1:13">
      <c r="A3006" s="85" t="s">
        <v>11684</v>
      </c>
      <c r="B3006" s="85" t="s">
        <v>11718</v>
      </c>
      <c r="C3006" s="85" t="s">
        <v>11719</v>
      </c>
      <c r="D3006" s="85" t="s">
        <v>11720</v>
      </c>
      <c r="E3006" s="85" t="s">
        <v>8705</v>
      </c>
      <c r="F3006" s="86">
        <v>4</v>
      </c>
      <c r="G3006" s="86">
        <v>100</v>
      </c>
      <c r="H3006" s="86">
        <v>400</v>
      </c>
      <c r="I3006" s="86">
        <v>15796</v>
      </c>
      <c r="J3006" s="85" t="s">
        <v>2935</v>
      </c>
      <c r="K3006" s="85" t="s">
        <v>11687</v>
      </c>
      <c r="L3006" s="85" t="s">
        <v>10737</v>
      </c>
      <c r="M3006" s="85" t="s">
        <v>11721</v>
      </c>
    </row>
    <row r="3007" ht="228" spans="1:13">
      <c r="A3007" s="85" t="s">
        <v>11684</v>
      </c>
      <c r="B3007" s="85" t="s">
        <v>11722</v>
      </c>
      <c r="C3007" s="85" t="s">
        <v>11723</v>
      </c>
      <c r="D3007" s="85" t="s">
        <v>2977</v>
      </c>
      <c r="E3007" s="85" t="s">
        <v>11724</v>
      </c>
      <c r="F3007" s="86">
        <v>25</v>
      </c>
      <c r="G3007" s="86">
        <v>20</v>
      </c>
      <c r="H3007" s="86">
        <v>500</v>
      </c>
      <c r="I3007" s="86">
        <v>15796</v>
      </c>
      <c r="J3007" s="85" t="s">
        <v>2935</v>
      </c>
      <c r="K3007" s="85" t="s">
        <v>11687</v>
      </c>
      <c r="L3007" s="85" t="s">
        <v>10737</v>
      </c>
      <c r="M3007" s="85" t="s">
        <v>11725</v>
      </c>
    </row>
    <row r="3008" ht="228" spans="1:13">
      <c r="A3008" s="85" t="s">
        <v>11684</v>
      </c>
      <c r="B3008" s="85" t="s">
        <v>11726</v>
      </c>
      <c r="C3008" s="85" t="s">
        <v>11727</v>
      </c>
      <c r="D3008" s="85" t="s">
        <v>3201</v>
      </c>
      <c r="E3008" s="85" t="s">
        <v>11622</v>
      </c>
      <c r="F3008" s="86">
        <v>6</v>
      </c>
      <c r="G3008" s="86">
        <v>50</v>
      </c>
      <c r="H3008" s="86">
        <v>300</v>
      </c>
      <c r="I3008" s="86">
        <v>15796</v>
      </c>
      <c r="J3008" s="85" t="s">
        <v>2935</v>
      </c>
      <c r="K3008" s="85" t="s">
        <v>11687</v>
      </c>
      <c r="L3008" s="85" t="s">
        <v>10737</v>
      </c>
      <c r="M3008" s="85" t="s">
        <v>11728</v>
      </c>
    </row>
    <row r="3009" ht="228" spans="1:13">
      <c r="A3009" s="85" t="s">
        <v>11684</v>
      </c>
      <c r="B3009" s="85" t="s">
        <v>11019</v>
      </c>
      <c r="C3009" s="85" t="s">
        <v>11020</v>
      </c>
      <c r="D3009" s="85" t="s">
        <v>3438</v>
      </c>
      <c r="E3009" s="85" t="s">
        <v>11021</v>
      </c>
      <c r="F3009" s="86">
        <v>0.45</v>
      </c>
      <c r="G3009" s="86">
        <v>2000</v>
      </c>
      <c r="H3009" s="86">
        <v>900</v>
      </c>
      <c r="I3009" s="86">
        <v>15796</v>
      </c>
      <c r="J3009" s="85" t="s">
        <v>2935</v>
      </c>
      <c r="K3009" s="85" t="s">
        <v>11687</v>
      </c>
      <c r="L3009" s="85" t="s">
        <v>10737</v>
      </c>
      <c r="M3009" s="85" t="s">
        <v>11729</v>
      </c>
    </row>
    <row r="3010" ht="228" spans="1:13">
      <c r="A3010" s="85" t="s">
        <v>11684</v>
      </c>
      <c r="B3010" s="85" t="s">
        <v>11730</v>
      </c>
      <c r="C3010" s="85" t="s">
        <v>11731</v>
      </c>
      <c r="D3010" s="85" t="s">
        <v>3241</v>
      </c>
      <c r="E3010" s="85" t="s">
        <v>6010</v>
      </c>
      <c r="F3010" s="86">
        <v>29</v>
      </c>
      <c r="G3010" s="86">
        <v>8</v>
      </c>
      <c r="H3010" s="86">
        <v>232</v>
      </c>
      <c r="I3010" s="86">
        <v>15796</v>
      </c>
      <c r="J3010" s="85" t="s">
        <v>2935</v>
      </c>
      <c r="K3010" s="85" t="s">
        <v>11687</v>
      </c>
      <c r="L3010" s="85" t="s">
        <v>10737</v>
      </c>
      <c r="M3010" s="85" t="s">
        <v>11732</v>
      </c>
    </row>
    <row r="3011" ht="228" spans="1:13">
      <c r="A3011" s="85" t="s">
        <v>11684</v>
      </c>
      <c r="B3011" s="85" t="s">
        <v>8429</v>
      </c>
      <c r="C3011" s="85" t="s">
        <v>8430</v>
      </c>
      <c r="D3011" s="85" t="s">
        <v>3153</v>
      </c>
      <c r="E3011" s="85" t="s">
        <v>8431</v>
      </c>
      <c r="F3011" s="86">
        <v>65</v>
      </c>
      <c r="G3011" s="86">
        <v>2</v>
      </c>
      <c r="H3011" s="86">
        <v>130</v>
      </c>
      <c r="I3011" s="86">
        <v>15796</v>
      </c>
      <c r="J3011" s="85" t="s">
        <v>2935</v>
      </c>
      <c r="K3011" s="85" t="s">
        <v>11687</v>
      </c>
      <c r="L3011" s="85" t="s">
        <v>10737</v>
      </c>
      <c r="M3011" s="85" t="s">
        <v>11733</v>
      </c>
    </row>
    <row r="3012" ht="228" spans="1:13">
      <c r="A3012" s="85" t="s">
        <v>11684</v>
      </c>
      <c r="B3012" s="85" t="s">
        <v>11734</v>
      </c>
      <c r="C3012" s="85" t="s">
        <v>11735</v>
      </c>
      <c r="D3012" s="85" t="s">
        <v>5546</v>
      </c>
      <c r="E3012" s="85" t="s">
        <v>11736</v>
      </c>
      <c r="F3012" s="86">
        <v>3280</v>
      </c>
      <c r="G3012" s="86">
        <v>1</v>
      </c>
      <c r="H3012" s="86">
        <v>3280</v>
      </c>
      <c r="I3012" s="86">
        <v>15796</v>
      </c>
      <c r="J3012" s="85" t="s">
        <v>2935</v>
      </c>
      <c r="K3012" s="85" t="s">
        <v>11687</v>
      </c>
      <c r="L3012" s="85" t="s">
        <v>10737</v>
      </c>
      <c r="M3012" s="85" t="s">
        <v>11737</v>
      </c>
    </row>
    <row r="3013" ht="228" spans="1:13">
      <c r="A3013" s="85" t="s">
        <v>11684</v>
      </c>
      <c r="B3013" s="85" t="s">
        <v>10998</v>
      </c>
      <c r="C3013" s="85" t="s">
        <v>10999</v>
      </c>
      <c r="D3013" s="85" t="s">
        <v>6745</v>
      </c>
      <c r="E3013" s="85" t="s">
        <v>6746</v>
      </c>
      <c r="F3013" s="86">
        <v>135</v>
      </c>
      <c r="G3013" s="86">
        <v>2</v>
      </c>
      <c r="H3013" s="86">
        <v>270</v>
      </c>
      <c r="I3013" s="86">
        <v>15796</v>
      </c>
      <c r="J3013" s="85" t="s">
        <v>2935</v>
      </c>
      <c r="K3013" s="85" t="s">
        <v>11687</v>
      </c>
      <c r="L3013" s="85" t="s">
        <v>10737</v>
      </c>
      <c r="M3013" s="85" t="s">
        <v>11738</v>
      </c>
    </row>
    <row r="3014" ht="228" spans="1:13">
      <c r="A3014" s="85" t="s">
        <v>11684</v>
      </c>
      <c r="B3014" s="85" t="s">
        <v>11240</v>
      </c>
      <c r="C3014" s="85" t="s">
        <v>11241</v>
      </c>
      <c r="D3014" s="85" t="s">
        <v>3183</v>
      </c>
      <c r="E3014" s="85" t="s">
        <v>11241</v>
      </c>
      <c r="F3014" s="86">
        <v>31</v>
      </c>
      <c r="G3014" s="86">
        <v>10</v>
      </c>
      <c r="H3014" s="86">
        <v>310</v>
      </c>
      <c r="I3014" s="86">
        <v>15796</v>
      </c>
      <c r="J3014" s="85" t="s">
        <v>2935</v>
      </c>
      <c r="K3014" s="85" t="s">
        <v>11687</v>
      </c>
      <c r="L3014" s="85" t="s">
        <v>10737</v>
      </c>
      <c r="M3014" s="85" t="s">
        <v>11739</v>
      </c>
    </row>
    <row r="3015" ht="228" spans="1:13">
      <c r="A3015" s="85" t="s">
        <v>11684</v>
      </c>
      <c r="B3015" s="85" t="s">
        <v>11740</v>
      </c>
      <c r="C3015" s="85" t="s">
        <v>11741</v>
      </c>
      <c r="D3015" s="85" t="s">
        <v>5991</v>
      </c>
      <c r="E3015" s="85" t="s">
        <v>11742</v>
      </c>
      <c r="F3015" s="86">
        <v>38</v>
      </c>
      <c r="G3015" s="86">
        <v>30</v>
      </c>
      <c r="H3015" s="86">
        <v>1140</v>
      </c>
      <c r="I3015" s="86">
        <v>15796</v>
      </c>
      <c r="J3015" s="85" t="s">
        <v>2935</v>
      </c>
      <c r="K3015" s="85" t="s">
        <v>11687</v>
      </c>
      <c r="L3015" s="85" t="s">
        <v>10737</v>
      </c>
      <c r="M3015" s="85" t="s">
        <v>11743</v>
      </c>
    </row>
    <row r="3016" ht="228" spans="1:13">
      <c r="A3016" s="85" t="s">
        <v>11684</v>
      </c>
      <c r="B3016" s="85" t="s">
        <v>11744</v>
      </c>
      <c r="C3016" s="85" t="s">
        <v>11745</v>
      </c>
      <c r="D3016" s="85" t="s">
        <v>5991</v>
      </c>
      <c r="E3016" s="85" t="s">
        <v>11742</v>
      </c>
      <c r="F3016" s="86">
        <v>44</v>
      </c>
      <c r="G3016" s="86">
        <v>30</v>
      </c>
      <c r="H3016" s="86">
        <v>1320</v>
      </c>
      <c r="I3016" s="86">
        <v>15796</v>
      </c>
      <c r="J3016" s="85" t="s">
        <v>2935</v>
      </c>
      <c r="K3016" s="85" t="s">
        <v>11687</v>
      </c>
      <c r="L3016" s="85" t="s">
        <v>10737</v>
      </c>
      <c r="M3016" s="85" t="s">
        <v>11746</v>
      </c>
    </row>
    <row r="3017" ht="228" spans="1:13">
      <c r="A3017" s="85" t="s">
        <v>11684</v>
      </c>
      <c r="B3017" s="85" t="s">
        <v>11747</v>
      </c>
      <c r="C3017" s="85" t="s">
        <v>11748</v>
      </c>
      <c r="D3017" s="85" t="s">
        <v>3356</v>
      </c>
      <c r="E3017" s="85" t="s">
        <v>11566</v>
      </c>
      <c r="F3017" s="86">
        <v>5</v>
      </c>
      <c r="G3017" s="86">
        <v>20</v>
      </c>
      <c r="H3017" s="86">
        <v>100</v>
      </c>
      <c r="I3017" s="86">
        <v>15796</v>
      </c>
      <c r="J3017" s="85" t="s">
        <v>2935</v>
      </c>
      <c r="K3017" s="85" t="s">
        <v>11687</v>
      </c>
      <c r="L3017" s="85" t="s">
        <v>10737</v>
      </c>
      <c r="M3017" s="85" t="s">
        <v>11749</v>
      </c>
    </row>
    <row r="3018" ht="228" spans="1:13">
      <c r="A3018" s="85" t="s">
        <v>11684</v>
      </c>
      <c r="B3018" s="85" t="s">
        <v>11750</v>
      </c>
      <c r="C3018" s="85" t="s">
        <v>11751</v>
      </c>
      <c r="D3018" s="85" t="s">
        <v>3367</v>
      </c>
      <c r="E3018" s="85" t="s">
        <v>9766</v>
      </c>
      <c r="F3018" s="86">
        <v>3</v>
      </c>
      <c r="G3018" s="86">
        <v>80</v>
      </c>
      <c r="H3018" s="86">
        <v>240</v>
      </c>
      <c r="I3018" s="86">
        <v>15796</v>
      </c>
      <c r="J3018" s="85" t="s">
        <v>2935</v>
      </c>
      <c r="K3018" s="85" t="s">
        <v>11687</v>
      </c>
      <c r="L3018" s="85" t="s">
        <v>10737</v>
      </c>
      <c r="M3018" s="85" t="s">
        <v>11752</v>
      </c>
    </row>
    <row r="3019" ht="228" spans="1:13">
      <c r="A3019" s="85" t="s">
        <v>11684</v>
      </c>
      <c r="B3019" s="85" t="s">
        <v>10989</v>
      </c>
      <c r="C3019" s="85" t="s">
        <v>10990</v>
      </c>
      <c r="D3019" s="85" t="s">
        <v>3288</v>
      </c>
      <c r="E3019" s="85" t="s">
        <v>10991</v>
      </c>
      <c r="F3019" s="86">
        <v>25</v>
      </c>
      <c r="G3019" s="86">
        <v>3</v>
      </c>
      <c r="H3019" s="86">
        <v>75</v>
      </c>
      <c r="I3019" s="86">
        <v>15796</v>
      </c>
      <c r="J3019" s="85" t="s">
        <v>2935</v>
      </c>
      <c r="K3019" s="85" t="s">
        <v>11687</v>
      </c>
      <c r="L3019" s="85" t="s">
        <v>10737</v>
      </c>
      <c r="M3019" s="85" t="s">
        <v>11753</v>
      </c>
    </row>
    <row r="3020" ht="228" spans="1:13">
      <c r="A3020" s="85" t="s">
        <v>11684</v>
      </c>
      <c r="B3020" s="85" t="s">
        <v>8857</v>
      </c>
      <c r="C3020" s="85" t="s">
        <v>8858</v>
      </c>
      <c r="D3020" s="85" t="s">
        <v>3241</v>
      </c>
      <c r="E3020" s="85" t="s">
        <v>3242</v>
      </c>
      <c r="F3020" s="86">
        <v>11.5</v>
      </c>
      <c r="G3020" s="86">
        <v>10</v>
      </c>
      <c r="H3020" s="86">
        <v>115</v>
      </c>
      <c r="I3020" s="86">
        <v>15796</v>
      </c>
      <c r="J3020" s="85" t="s">
        <v>2935</v>
      </c>
      <c r="K3020" s="85" t="s">
        <v>11687</v>
      </c>
      <c r="L3020" s="85" t="s">
        <v>10737</v>
      </c>
      <c r="M3020" s="85" t="s">
        <v>11754</v>
      </c>
    </row>
    <row r="3021" ht="228" spans="1:13">
      <c r="A3021" s="85" t="s">
        <v>11684</v>
      </c>
      <c r="B3021" s="85" t="s">
        <v>11755</v>
      </c>
      <c r="C3021" s="85" t="s">
        <v>11756</v>
      </c>
      <c r="D3021" s="85" t="s">
        <v>3201</v>
      </c>
      <c r="E3021" s="85" t="s">
        <v>11756</v>
      </c>
      <c r="F3021" s="86">
        <v>21</v>
      </c>
      <c r="G3021" s="86">
        <v>10</v>
      </c>
      <c r="H3021" s="86">
        <v>210</v>
      </c>
      <c r="I3021" s="86">
        <v>15796</v>
      </c>
      <c r="J3021" s="85" t="s">
        <v>2935</v>
      </c>
      <c r="K3021" s="85" t="s">
        <v>11687</v>
      </c>
      <c r="L3021" s="85" t="s">
        <v>10737</v>
      </c>
      <c r="M3021" s="85" t="s">
        <v>11757</v>
      </c>
    </row>
    <row r="3022" ht="228" spans="1:13">
      <c r="A3022" s="85" t="s">
        <v>11684</v>
      </c>
      <c r="B3022" s="85" t="s">
        <v>11758</v>
      </c>
      <c r="C3022" s="85" t="s">
        <v>11759</v>
      </c>
      <c r="D3022" s="85" t="s">
        <v>3241</v>
      </c>
      <c r="E3022" s="85" t="s">
        <v>11760</v>
      </c>
      <c r="F3022" s="86">
        <v>5</v>
      </c>
      <c r="G3022" s="86">
        <v>10</v>
      </c>
      <c r="H3022" s="86">
        <v>50</v>
      </c>
      <c r="I3022" s="86">
        <v>15796</v>
      </c>
      <c r="J3022" s="85" t="s">
        <v>2935</v>
      </c>
      <c r="K3022" s="85" t="s">
        <v>11687</v>
      </c>
      <c r="L3022" s="85" t="s">
        <v>10737</v>
      </c>
      <c r="M3022" s="85" t="s">
        <v>11761</v>
      </c>
    </row>
    <row r="3023" ht="228" spans="1:13">
      <c r="A3023" s="85" t="s">
        <v>11762</v>
      </c>
      <c r="B3023" s="85" t="s">
        <v>6577</v>
      </c>
      <c r="C3023" s="85" t="s">
        <v>6578</v>
      </c>
      <c r="D3023" s="85" t="s">
        <v>3753</v>
      </c>
      <c r="E3023" s="85" t="s">
        <v>3763</v>
      </c>
      <c r="F3023" s="86">
        <v>15.3</v>
      </c>
      <c r="G3023" s="86">
        <v>265</v>
      </c>
      <c r="H3023" s="86">
        <v>4054.5</v>
      </c>
      <c r="I3023" s="86">
        <v>128593.07</v>
      </c>
      <c r="J3023" s="85" t="s">
        <v>11396</v>
      </c>
      <c r="K3023" s="85" t="s">
        <v>11763</v>
      </c>
      <c r="L3023" s="85" t="s">
        <v>10737</v>
      </c>
      <c r="M3023" s="85" t="s">
        <v>11764</v>
      </c>
    </row>
    <row r="3024" ht="228" spans="1:13">
      <c r="A3024" s="85" t="s">
        <v>11762</v>
      </c>
      <c r="B3024" s="85" t="s">
        <v>5251</v>
      </c>
      <c r="C3024" s="85" t="s">
        <v>5252</v>
      </c>
      <c r="D3024" s="85" t="s">
        <v>3753</v>
      </c>
      <c r="E3024" s="85" t="s">
        <v>3763</v>
      </c>
      <c r="F3024" s="86">
        <v>254.95</v>
      </c>
      <c r="G3024" s="86">
        <v>96</v>
      </c>
      <c r="H3024" s="86">
        <v>24475.2</v>
      </c>
      <c r="I3024" s="86">
        <v>128593.07</v>
      </c>
      <c r="J3024" s="85" t="s">
        <v>11396</v>
      </c>
      <c r="K3024" s="85" t="s">
        <v>11763</v>
      </c>
      <c r="L3024" s="85" t="s">
        <v>10737</v>
      </c>
      <c r="M3024" s="85" t="s">
        <v>11765</v>
      </c>
    </row>
    <row r="3025" ht="228" spans="1:13">
      <c r="A3025" s="85" t="s">
        <v>11762</v>
      </c>
      <c r="B3025" s="85" t="s">
        <v>5263</v>
      </c>
      <c r="C3025" s="85" t="s">
        <v>5264</v>
      </c>
      <c r="D3025" s="85" t="s">
        <v>3753</v>
      </c>
      <c r="E3025" s="85" t="s">
        <v>3763</v>
      </c>
      <c r="F3025" s="86">
        <v>254.95</v>
      </c>
      <c r="G3025" s="86">
        <v>32</v>
      </c>
      <c r="H3025" s="86">
        <v>8158.4</v>
      </c>
      <c r="I3025" s="86">
        <v>128593.07</v>
      </c>
      <c r="J3025" s="85" t="s">
        <v>11396</v>
      </c>
      <c r="K3025" s="85" t="s">
        <v>11763</v>
      </c>
      <c r="L3025" s="85" t="s">
        <v>10737</v>
      </c>
      <c r="M3025" s="85" t="s">
        <v>11766</v>
      </c>
    </row>
    <row r="3026" ht="228" spans="1:13">
      <c r="A3026" s="85" t="s">
        <v>11762</v>
      </c>
      <c r="B3026" s="85" t="s">
        <v>9451</v>
      </c>
      <c r="C3026" s="85" t="s">
        <v>9452</v>
      </c>
      <c r="D3026" s="85" t="s">
        <v>3753</v>
      </c>
      <c r="E3026" s="85" t="s">
        <v>3763</v>
      </c>
      <c r="F3026" s="86">
        <v>489.51</v>
      </c>
      <c r="G3026" s="86">
        <v>1</v>
      </c>
      <c r="H3026" s="86">
        <v>489.51</v>
      </c>
      <c r="I3026" s="86">
        <v>128593.07</v>
      </c>
      <c r="J3026" s="85" t="s">
        <v>11396</v>
      </c>
      <c r="K3026" s="85" t="s">
        <v>11763</v>
      </c>
      <c r="L3026" s="85" t="s">
        <v>10737</v>
      </c>
      <c r="M3026" s="85" t="s">
        <v>11767</v>
      </c>
    </row>
    <row r="3027" ht="228" spans="1:13">
      <c r="A3027" s="85" t="s">
        <v>11762</v>
      </c>
      <c r="B3027" s="85" t="s">
        <v>5246</v>
      </c>
      <c r="C3027" s="85" t="s">
        <v>5247</v>
      </c>
      <c r="D3027" s="85" t="s">
        <v>3753</v>
      </c>
      <c r="E3027" s="85" t="s">
        <v>3763</v>
      </c>
      <c r="F3027" s="86">
        <v>183.57</v>
      </c>
      <c r="G3027" s="86">
        <v>96</v>
      </c>
      <c r="H3027" s="86">
        <v>17622.72</v>
      </c>
      <c r="I3027" s="86">
        <v>128593.07</v>
      </c>
      <c r="J3027" s="85" t="s">
        <v>11396</v>
      </c>
      <c r="K3027" s="85" t="s">
        <v>11763</v>
      </c>
      <c r="L3027" s="85" t="s">
        <v>10737</v>
      </c>
      <c r="M3027" s="85" t="s">
        <v>11768</v>
      </c>
    </row>
    <row r="3028" ht="228" spans="1:13">
      <c r="A3028" s="85" t="s">
        <v>11762</v>
      </c>
      <c r="B3028" s="85" t="s">
        <v>6573</v>
      </c>
      <c r="C3028" s="85" t="s">
        <v>6574</v>
      </c>
      <c r="D3028" s="85" t="s">
        <v>3753</v>
      </c>
      <c r="E3028" s="85" t="s">
        <v>3763</v>
      </c>
      <c r="F3028" s="86">
        <v>254.95</v>
      </c>
      <c r="G3028" s="86">
        <v>96</v>
      </c>
      <c r="H3028" s="86">
        <v>24475.2</v>
      </c>
      <c r="I3028" s="86">
        <v>128593.07</v>
      </c>
      <c r="J3028" s="85" t="s">
        <v>11396</v>
      </c>
      <c r="K3028" s="85" t="s">
        <v>11763</v>
      </c>
      <c r="L3028" s="85" t="s">
        <v>10737</v>
      </c>
      <c r="M3028" s="85" t="s">
        <v>11769</v>
      </c>
    </row>
    <row r="3029" ht="228" spans="1:13">
      <c r="A3029" s="85" t="s">
        <v>11762</v>
      </c>
      <c r="B3029" s="85" t="s">
        <v>9289</v>
      </c>
      <c r="C3029" s="85" t="s">
        <v>9290</v>
      </c>
      <c r="D3029" s="85" t="s">
        <v>3753</v>
      </c>
      <c r="E3029" s="85" t="s">
        <v>3763</v>
      </c>
      <c r="F3029" s="86">
        <v>285.55</v>
      </c>
      <c r="G3029" s="86">
        <v>1</v>
      </c>
      <c r="H3029" s="86">
        <v>285.55</v>
      </c>
      <c r="I3029" s="86">
        <v>128593.07</v>
      </c>
      <c r="J3029" s="85" t="s">
        <v>11396</v>
      </c>
      <c r="K3029" s="85" t="s">
        <v>11763</v>
      </c>
      <c r="L3029" s="85" t="s">
        <v>10737</v>
      </c>
      <c r="M3029" s="85" t="s">
        <v>11770</v>
      </c>
    </row>
    <row r="3030" ht="228" spans="1:13">
      <c r="A3030" s="85" t="s">
        <v>11762</v>
      </c>
      <c r="B3030" s="85" t="s">
        <v>4359</v>
      </c>
      <c r="C3030" s="85" t="s">
        <v>4360</v>
      </c>
      <c r="D3030" s="85" t="s">
        <v>3753</v>
      </c>
      <c r="E3030" s="85" t="s">
        <v>3763</v>
      </c>
      <c r="F3030" s="86">
        <v>81.59</v>
      </c>
      <c r="G3030" s="86">
        <v>1</v>
      </c>
      <c r="H3030" s="86">
        <v>81.59</v>
      </c>
      <c r="I3030" s="86">
        <v>128593.07</v>
      </c>
      <c r="J3030" s="85" t="s">
        <v>11396</v>
      </c>
      <c r="K3030" s="85" t="s">
        <v>11763</v>
      </c>
      <c r="L3030" s="85" t="s">
        <v>10737</v>
      </c>
      <c r="M3030" s="85" t="s">
        <v>11771</v>
      </c>
    </row>
    <row r="3031" ht="228" spans="1:13">
      <c r="A3031" s="85" t="s">
        <v>11762</v>
      </c>
      <c r="B3031" s="85" t="s">
        <v>6570</v>
      </c>
      <c r="C3031" s="85" t="s">
        <v>6571</v>
      </c>
      <c r="D3031" s="85" t="s">
        <v>3753</v>
      </c>
      <c r="E3031" s="85" t="s">
        <v>3763</v>
      </c>
      <c r="F3031" s="86">
        <v>509.9</v>
      </c>
      <c r="G3031" s="86">
        <v>96</v>
      </c>
      <c r="H3031" s="86">
        <v>48950.4</v>
      </c>
      <c r="I3031" s="86">
        <v>128593.07</v>
      </c>
      <c r="J3031" s="85" t="s">
        <v>11396</v>
      </c>
      <c r="K3031" s="85" t="s">
        <v>11763</v>
      </c>
      <c r="L3031" s="85" t="s">
        <v>10737</v>
      </c>
      <c r="M3031" s="85" t="s">
        <v>11772</v>
      </c>
    </row>
    <row r="3032" ht="228" spans="1:13">
      <c r="A3032" s="85" t="s">
        <v>11773</v>
      </c>
      <c r="B3032" s="85" t="s">
        <v>9464</v>
      </c>
      <c r="C3032" s="85" t="s">
        <v>9465</v>
      </c>
      <c r="D3032" s="85" t="s">
        <v>4911</v>
      </c>
      <c r="E3032" s="85" t="s">
        <v>4761</v>
      </c>
      <c r="F3032" s="86">
        <v>10</v>
      </c>
      <c r="G3032" s="86">
        <v>100</v>
      </c>
      <c r="H3032" s="86">
        <v>1000</v>
      </c>
      <c r="I3032" s="86">
        <v>1092</v>
      </c>
      <c r="J3032" s="85" t="s">
        <v>2935</v>
      </c>
      <c r="K3032" s="85" t="s">
        <v>11774</v>
      </c>
      <c r="L3032" s="85" t="s">
        <v>10737</v>
      </c>
      <c r="M3032" s="85" t="s">
        <v>11775</v>
      </c>
    </row>
    <row r="3033" ht="228" spans="1:13">
      <c r="A3033" s="85" t="s">
        <v>11776</v>
      </c>
      <c r="B3033" s="85" t="s">
        <v>11777</v>
      </c>
      <c r="C3033" s="85" t="s">
        <v>11778</v>
      </c>
      <c r="D3033" s="85" t="s">
        <v>7663</v>
      </c>
      <c r="E3033" s="85" t="s">
        <v>7664</v>
      </c>
      <c r="F3033" s="86">
        <v>36</v>
      </c>
      <c r="G3033" s="86">
        <v>500</v>
      </c>
      <c r="H3033" s="86">
        <v>18000</v>
      </c>
      <c r="I3033" s="86">
        <v>18000</v>
      </c>
      <c r="J3033" s="85" t="s">
        <v>2935</v>
      </c>
      <c r="K3033" s="85" t="s">
        <v>11774</v>
      </c>
      <c r="L3033" s="85" t="s">
        <v>10737</v>
      </c>
      <c r="M3033" s="85" t="s">
        <v>11779</v>
      </c>
    </row>
    <row r="3034" ht="228" spans="1:13">
      <c r="A3034" s="85" t="s">
        <v>11780</v>
      </c>
      <c r="B3034" s="85" t="s">
        <v>11781</v>
      </c>
      <c r="C3034" s="85" t="s">
        <v>11782</v>
      </c>
      <c r="D3034" s="85" t="s">
        <v>11180</v>
      </c>
      <c r="E3034" s="85" t="s">
        <v>11181</v>
      </c>
      <c r="F3034" s="86">
        <v>175</v>
      </c>
      <c r="G3034" s="86">
        <v>3</v>
      </c>
      <c r="H3034" s="86">
        <v>525</v>
      </c>
      <c r="I3034" s="86">
        <v>12322.6</v>
      </c>
      <c r="J3034" s="85" t="s">
        <v>2935</v>
      </c>
      <c r="K3034" s="85" t="s">
        <v>11774</v>
      </c>
      <c r="L3034" s="85" t="s">
        <v>10737</v>
      </c>
      <c r="M3034" s="85" t="s">
        <v>11783</v>
      </c>
    </row>
    <row r="3035" ht="228" spans="1:13">
      <c r="A3035" s="85" t="s">
        <v>11784</v>
      </c>
      <c r="B3035" s="85" t="s">
        <v>11785</v>
      </c>
      <c r="C3035" s="85" t="s">
        <v>11786</v>
      </c>
      <c r="D3035" s="85" t="s">
        <v>3753</v>
      </c>
      <c r="E3035" s="85" t="s">
        <v>11787</v>
      </c>
      <c r="F3035" s="86">
        <v>18</v>
      </c>
      <c r="G3035" s="86">
        <v>5</v>
      </c>
      <c r="H3035" s="86">
        <v>90</v>
      </c>
      <c r="I3035" s="86">
        <v>36421</v>
      </c>
      <c r="J3035" s="85" t="s">
        <v>9135</v>
      </c>
      <c r="K3035" s="85" t="s">
        <v>11774</v>
      </c>
      <c r="L3035" s="85" t="s">
        <v>10737</v>
      </c>
      <c r="M3035" s="85" t="s">
        <v>11788</v>
      </c>
    </row>
    <row r="3036" ht="228" spans="1:13">
      <c r="A3036" s="85" t="s">
        <v>11789</v>
      </c>
      <c r="B3036" s="85" t="s">
        <v>11352</v>
      </c>
      <c r="C3036" s="85" t="s">
        <v>11353</v>
      </c>
      <c r="D3036" s="85" t="s">
        <v>4802</v>
      </c>
      <c r="E3036" s="85" t="s">
        <v>4997</v>
      </c>
      <c r="F3036" s="86">
        <v>30</v>
      </c>
      <c r="G3036" s="86">
        <v>100</v>
      </c>
      <c r="H3036" s="86">
        <v>3000</v>
      </c>
      <c r="I3036" s="86">
        <v>10680</v>
      </c>
      <c r="J3036" s="85" t="s">
        <v>2935</v>
      </c>
      <c r="K3036" s="85" t="s">
        <v>11774</v>
      </c>
      <c r="L3036" s="85" t="s">
        <v>10737</v>
      </c>
      <c r="M3036" s="85" t="s">
        <v>11790</v>
      </c>
    </row>
    <row r="3037" ht="228" spans="1:13">
      <c r="A3037" s="85" t="s">
        <v>11784</v>
      </c>
      <c r="B3037" s="85" t="s">
        <v>11527</v>
      </c>
      <c r="C3037" s="85" t="s">
        <v>11528</v>
      </c>
      <c r="D3037" s="85" t="s">
        <v>2992</v>
      </c>
      <c r="E3037" s="85" t="s">
        <v>1815</v>
      </c>
      <c r="F3037" s="86">
        <v>0.47</v>
      </c>
      <c r="G3037" s="86">
        <v>8000</v>
      </c>
      <c r="H3037" s="86">
        <v>3760</v>
      </c>
      <c r="I3037" s="86">
        <v>36421</v>
      </c>
      <c r="J3037" s="85" t="s">
        <v>9135</v>
      </c>
      <c r="K3037" s="85" t="s">
        <v>11774</v>
      </c>
      <c r="L3037" s="85" t="s">
        <v>10737</v>
      </c>
      <c r="M3037" s="85" t="s">
        <v>11791</v>
      </c>
    </row>
    <row r="3038" ht="228" spans="1:13">
      <c r="A3038" s="85" t="s">
        <v>11792</v>
      </c>
      <c r="B3038" s="85" t="s">
        <v>11460</v>
      </c>
      <c r="C3038" s="85" t="s">
        <v>11461</v>
      </c>
      <c r="D3038" s="85" t="s">
        <v>5744</v>
      </c>
      <c r="E3038" s="85" t="s">
        <v>5745</v>
      </c>
      <c r="F3038" s="86">
        <v>72.6</v>
      </c>
      <c r="G3038" s="86">
        <v>20</v>
      </c>
      <c r="H3038" s="86">
        <v>1452</v>
      </c>
      <c r="I3038" s="86">
        <v>4297.6</v>
      </c>
      <c r="J3038" s="85" t="s">
        <v>4391</v>
      </c>
      <c r="K3038" s="85" t="s">
        <v>11774</v>
      </c>
      <c r="L3038" s="85" t="s">
        <v>10737</v>
      </c>
      <c r="M3038" s="85" t="s">
        <v>11793</v>
      </c>
    </row>
    <row r="3039" ht="228" spans="1:13">
      <c r="A3039" s="85" t="s">
        <v>11784</v>
      </c>
      <c r="B3039" s="85" t="s">
        <v>11417</v>
      </c>
      <c r="C3039" s="85" t="s">
        <v>11418</v>
      </c>
      <c r="D3039" s="85" t="s">
        <v>7377</v>
      </c>
      <c r="E3039" s="85" t="s">
        <v>9550</v>
      </c>
      <c r="F3039" s="86">
        <v>7</v>
      </c>
      <c r="G3039" s="86">
        <v>200</v>
      </c>
      <c r="H3039" s="86">
        <v>1400</v>
      </c>
      <c r="I3039" s="86">
        <v>36421</v>
      </c>
      <c r="J3039" s="85" t="s">
        <v>9135</v>
      </c>
      <c r="K3039" s="85" t="s">
        <v>11774</v>
      </c>
      <c r="L3039" s="85" t="s">
        <v>10737</v>
      </c>
      <c r="M3039" s="85" t="s">
        <v>11794</v>
      </c>
    </row>
    <row r="3040" ht="228" spans="1:13">
      <c r="A3040" s="85" t="s">
        <v>11795</v>
      </c>
      <c r="B3040" s="85" t="s">
        <v>9680</v>
      </c>
      <c r="C3040" s="85" t="s">
        <v>9681</v>
      </c>
      <c r="D3040" s="85" t="s">
        <v>3014</v>
      </c>
      <c r="E3040" s="85" t="s">
        <v>9682</v>
      </c>
      <c r="F3040" s="86">
        <v>62</v>
      </c>
      <c r="G3040" s="86">
        <v>4</v>
      </c>
      <c r="H3040" s="86">
        <v>248</v>
      </c>
      <c r="I3040" s="86">
        <v>1358</v>
      </c>
      <c r="J3040" s="85" t="s">
        <v>2935</v>
      </c>
      <c r="K3040" s="85" t="s">
        <v>11774</v>
      </c>
      <c r="L3040" s="85" t="s">
        <v>10737</v>
      </c>
      <c r="M3040" s="85" t="s">
        <v>11796</v>
      </c>
    </row>
    <row r="3041" ht="228" spans="1:13">
      <c r="A3041" s="85" t="s">
        <v>11797</v>
      </c>
      <c r="B3041" s="85" t="s">
        <v>8266</v>
      </c>
      <c r="C3041" s="85" t="s">
        <v>11077</v>
      </c>
      <c r="D3041" s="85" t="s">
        <v>3189</v>
      </c>
      <c r="E3041" s="85" t="s">
        <v>6337</v>
      </c>
      <c r="F3041" s="86">
        <v>27</v>
      </c>
      <c r="G3041" s="86">
        <v>200</v>
      </c>
      <c r="H3041" s="86">
        <v>5400</v>
      </c>
      <c r="I3041" s="86">
        <v>5400</v>
      </c>
      <c r="J3041" s="85" t="s">
        <v>8268</v>
      </c>
      <c r="K3041" s="85" t="s">
        <v>11774</v>
      </c>
      <c r="L3041" s="85" t="s">
        <v>10737</v>
      </c>
      <c r="M3041" s="85" t="s">
        <v>11798</v>
      </c>
    </row>
    <row r="3042" ht="228" spans="1:13">
      <c r="A3042" s="85" t="s">
        <v>11799</v>
      </c>
      <c r="B3042" s="85" t="s">
        <v>11800</v>
      </c>
      <c r="C3042" s="85" t="s">
        <v>11801</v>
      </c>
      <c r="D3042" s="85" t="s">
        <v>6924</v>
      </c>
      <c r="E3042" s="85" t="s">
        <v>7837</v>
      </c>
      <c r="F3042" s="86">
        <v>14</v>
      </c>
      <c r="G3042" s="86">
        <v>10</v>
      </c>
      <c r="H3042" s="86">
        <v>140</v>
      </c>
      <c r="I3042" s="86">
        <v>140</v>
      </c>
      <c r="J3042" s="85" t="s">
        <v>2935</v>
      </c>
      <c r="K3042" s="85" t="s">
        <v>11774</v>
      </c>
      <c r="L3042" s="85" t="s">
        <v>10737</v>
      </c>
      <c r="M3042" s="85" t="s">
        <v>11802</v>
      </c>
    </row>
    <row r="3043" ht="228" spans="1:13">
      <c r="A3043" s="85" t="s">
        <v>11803</v>
      </c>
      <c r="B3043" s="85" t="s">
        <v>11804</v>
      </c>
      <c r="C3043" s="85" t="s">
        <v>11805</v>
      </c>
      <c r="D3043" s="85" t="s">
        <v>5574</v>
      </c>
      <c r="E3043" s="85" t="s">
        <v>1787</v>
      </c>
      <c r="F3043" s="86">
        <v>72</v>
      </c>
      <c r="G3043" s="86">
        <v>50</v>
      </c>
      <c r="H3043" s="86">
        <v>3600</v>
      </c>
      <c r="I3043" s="86">
        <v>3600</v>
      </c>
      <c r="J3043" s="85" t="s">
        <v>9135</v>
      </c>
      <c r="K3043" s="85" t="s">
        <v>11774</v>
      </c>
      <c r="L3043" s="85" t="s">
        <v>10737</v>
      </c>
      <c r="M3043" s="85" t="s">
        <v>11806</v>
      </c>
    </row>
    <row r="3044" ht="228" spans="1:13">
      <c r="A3044" s="85" t="s">
        <v>11807</v>
      </c>
      <c r="B3044" s="85" t="s">
        <v>11511</v>
      </c>
      <c r="C3044" s="85" t="s">
        <v>11512</v>
      </c>
      <c r="D3044" s="85" t="s">
        <v>3041</v>
      </c>
      <c r="E3044" s="85" t="s">
        <v>5167</v>
      </c>
      <c r="F3044" s="86">
        <v>22.6</v>
      </c>
      <c r="G3044" s="86">
        <v>63</v>
      </c>
      <c r="H3044" s="86">
        <v>1423.8</v>
      </c>
      <c r="I3044" s="86">
        <v>6560.78</v>
      </c>
      <c r="J3044" s="85" t="s">
        <v>4370</v>
      </c>
      <c r="K3044" s="85" t="s">
        <v>11774</v>
      </c>
      <c r="L3044" s="85" t="s">
        <v>10737</v>
      </c>
      <c r="M3044" s="85" t="s">
        <v>11808</v>
      </c>
    </row>
    <row r="3045" ht="228" spans="1:13">
      <c r="A3045" s="85" t="s">
        <v>11809</v>
      </c>
      <c r="B3045" s="85" t="s">
        <v>4864</v>
      </c>
      <c r="C3045" s="85" t="s">
        <v>4865</v>
      </c>
      <c r="D3045" s="85" t="s">
        <v>4866</v>
      </c>
      <c r="E3045" s="85" t="s">
        <v>4867</v>
      </c>
      <c r="F3045" s="86">
        <v>100</v>
      </c>
      <c r="G3045" s="86">
        <v>1</v>
      </c>
      <c r="H3045" s="86">
        <v>100</v>
      </c>
      <c r="I3045" s="86">
        <v>1000</v>
      </c>
      <c r="J3045" s="85" t="s">
        <v>4370</v>
      </c>
      <c r="K3045" s="85" t="s">
        <v>11774</v>
      </c>
      <c r="L3045" s="85" t="s">
        <v>10737</v>
      </c>
      <c r="M3045" s="85" t="s">
        <v>11810</v>
      </c>
    </row>
    <row r="3046" ht="228" spans="1:13">
      <c r="A3046" s="85" t="s">
        <v>11784</v>
      </c>
      <c r="B3046" s="85" t="s">
        <v>11398</v>
      </c>
      <c r="C3046" s="85" t="s">
        <v>11399</v>
      </c>
      <c r="D3046" s="85" t="s">
        <v>9140</v>
      </c>
      <c r="E3046" s="85" t="s">
        <v>3209</v>
      </c>
      <c r="F3046" s="86">
        <v>6.6</v>
      </c>
      <c r="G3046" s="86">
        <v>200</v>
      </c>
      <c r="H3046" s="86">
        <v>1320</v>
      </c>
      <c r="I3046" s="86">
        <v>36421</v>
      </c>
      <c r="J3046" s="85" t="s">
        <v>9135</v>
      </c>
      <c r="K3046" s="85" t="s">
        <v>11774</v>
      </c>
      <c r="L3046" s="85" t="s">
        <v>10737</v>
      </c>
      <c r="M3046" s="85" t="s">
        <v>11811</v>
      </c>
    </row>
    <row r="3047" ht="228" spans="1:13">
      <c r="A3047" s="85" t="s">
        <v>11789</v>
      </c>
      <c r="B3047" s="85" t="s">
        <v>10214</v>
      </c>
      <c r="C3047" s="85" t="s">
        <v>10215</v>
      </c>
      <c r="D3047" s="85" t="s">
        <v>3241</v>
      </c>
      <c r="E3047" s="85" t="s">
        <v>3689</v>
      </c>
      <c r="F3047" s="86">
        <v>48</v>
      </c>
      <c r="G3047" s="86">
        <v>10</v>
      </c>
      <c r="H3047" s="86">
        <v>480</v>
      </c>
      <c r="I3047" s="86">
        <v>10680</v>
      </c>
      <c r="J3047" s="85" t="s">
        <v>2935</v>
      </c>
      <c r="K3047" s="85" t="s">
        <v>11774</v>
      </c>
      <c r="L3047" s="85" t="s">
        <v>10737</v>
      </c>
      <c r="M3047" s="85" t="s">
        <v>11812</v>
      </c>
    </row>
    <row r="3048" ht="228" spans="1:13">
      <c r="A3048" s="85" t="s">
        <v>11780</v>
      </c>
      <c r="B3048" s="85" t="s">
        <v>11813</v>
      </c>
      <c r="C3048" s="85" t="s">
        <v>11814</v>
      </c>
      <c r="D3048" s="85" t="s">
        <v>3617</v>
      </c>
      <c r="E3048" s="85" t="s">
        <v>11815</v>
      </c>
      <c r="F3048" s="86">
        <v>192</v>
      </c>
      <c r="G3048" s="86">
        <v>3</v>
      </c>
      <c r="H3048" s="86">
        <v>576</v>
      </c>
      <c r="I3048" s="86">
        <v>12322.6</v>
      </c>
      <c r="J3048" s="85" t="s">
        <v>2935</v>
      </c>
      <c r="K3048" s="85" t="s">
        <v>11774</v>
      </c>
      <c r="L3048" s="85" t="s">
        <v>10737</v>
      </c>
      <c r="M3048" s="85" t="s">
        <v>11816</v>
      </c>
    </row>
    <row r="3049" ht="228" spans="1:13">
      <c r="A3049" s="85" t="s">
        <v>11817</v>
      </c>
      <c r="B3049" s="85" t="s">
        <v>5429</v>
      </c>
      <c r="C3049" s="85" t="s">
        <v>5430</v>
      </c>
      <c r="D3049" s="85" t="s">
        <v>5431</v>
      </c>
      <c r="E3049" s="85" t="s">
        <v>5432</v>
      </c>
      <c r="F3049" s="86">
        <v>136.5</v>
      </c>
      <c r="G3049" s="86">
        <v>5</v>
      </c>
      <c r="H3049" s="86">
        <v>682.5</v>
      </c>
      <c r="I3049" s="86">
        <v>682.5</v>
      </c>
      <c r="J3049" s="85" t="s">
        <v>4391</v>
      </c>
      <c r="K3049" s="85" t="s">
        <v>11774</v>
      </c>
      <c r="L3049" s="85" t="s">
        <v>10737</v>
      </c>
      <c r="M3049" s="85" t="s">
        <v>11818</v>
      </c>
    </row>
    <row r="3050" ht="228" spans="1:13">
      <c r="A3050" s="85" t="s">
        <v>11819</v>
      </c>
      <c r="B3050" s="85" t="s">
        <v>3788</v>
      </c>
      <c r="C3050" s="85" t="s">
        <v>3789</v>
      </c>
      <c r="D3050" s="85" t="s">
        <v>3189</v>
      </c>
      <c r="E3050" s="85" t="s">
        <v>3790</v>
      </c>
      <c r="F3050" s="86">
        <v>100</v>
      </c>
      <c r="G3050" s="86">
        <v>30</v>
      </c>
      <c r="H3050" s="86">
        <v>3000</v>
      </c>
      <c r="I3050" s="86">
        <v>3000</v>
      </c>
      <c r="J3050" s="85" t="s">
        <v>7934</v>
      </c>
      <c r="K3050" s="85" t="s">
        <v>11774</v>
      </c>
      <c r="L3050" s="85" t="s">
        <v>10737</v>
      </c>
      <c r="M3050" s="85" t="s">
        <v>11820</v>
      </c>
    </row>
    <row r="3051" ht="228" spans="1:13">
      <c r="A3051" s="85" t="s">
        <v>11789</v>
      </c>
      <c r="B3051" s="85" t="s">
        <v>5125</v>
      </c>
      <c r="C3051" s="85" t="s">
        <v>5126</v>
      </c>
      <c r="D3051" s="85" t="s">
        <v>3082</v>
      </c>
      <c r="E3051" s="85" t="s">
        <v>5127</v>
      </c>
      <c r="F3051" s="86">
        <v>72</v>
      </c>
      <c r="G3051" s="86">
        <v>100</v>
      </c>
      <c r="H3051" s="86">
        <v>7200</v>
      </c>
      <c r="I3051" s="86">
        <v>10680</v>
      </c>
      <c r="J3051" s="85" t="s">
        <v>2935</v>
      </c>
      <c r="K3051" s="85" t="s">
        <v>11774</v>
      </c>
      <c r="L3051" s="85" t="s">
        <v>10737</v>
      </c>
      <c r="M3051" s="85" t="s">
        <v>11821</v>
      </c>
    </row>
    <row r="3052" ht="228" spans="1:13">
      <c r="A3052" s="85" t="s">
        <v>11822</v>
      </c>
      <c r="B3052" s="85" t="s">
        <v>9015</v>
      </c>
      <c r="C3052" s="85" t="s">
        <v>9016</v>
      </c>
      <c r="D3052" s="85" t="s">
        <v>3189</v>
      </c>
      <c r="E3052" s="85" t="s">
        <v>9017</v>
      </c>
      <c r="F3052" s="86">
        <v>52</v>
      </c>
      <c r="G3052" s="86">
        <v>2</v>
      </c>
      <c r="H3052" s="86">
        <v>104</v>
      </c>
      <c r="I3052" s="86">
        <v>1642</v>
      </c>
      <c r="J3052" s="85" t="s">
        <v>2935</v>
      </c>
      <c r="K3052" s="85" t="s">
        <v>11774</v>
      </c>
      <c r="L3052" s="85" t="s">
        <v>10737</v>
      </c>
      <c r="M3052" s="85" t="s">
        <v>11823</v>
      </c>
    </row>
    <row r="3053" ht="228" spans="1:13">
      <c r="A3053" s="85" t="s">
        <v>11792</v>
      </c>
      <c r="B3053" s="85" t="s">
        <v>11824</v>
      </c>
      <c r="C3053" s="85" t="s">
        <v>11825</v>
      </c>
      <c r="D3053" s="85" t="s">
        <v>3434</v>
      </c>
      <c r="E3053" s="85" t="s">
        <v>9856</v>
      </c>
      <c r="F3053" s="86">
        <v>5</v>
      </c>
      <c r="G3053" s="86">
        <v>10</v>
      </c>
      <c r="H3053" s="86">
        <v>50</v>
      </c>
      <c r="I3053" s="86">
        <v>4297.6</v>
      </c>
      <c r="J3053" s="85" t="s">
        <v>4391</v>
      </c>
      <c r="K3053" s="85" t="s">
        <v>11774</v>
      </c>
      <c r="L3053" s="85" t="s">
        <v>10737</v>
      </c>
      <c r="M3053" s="85" t="s">
        <v>11826</v>
      </c>
    </row>
    <row r="3054" ht="228" spans="1:13">
      <c r="A3054" s="85" t="s">
        <v>11784</v>
      </c>
      <c r="B3054" s="85" t="s">
        <v>11507</v>
      </c>
      <c r="C3054" s="85" t="s">
        <v>11508</v>
      </c>
      <c r="D3054" s="85" t="s">
        <v>2992</v>
      </c>
      <c r="E3054" s="85" t="s">
        <v>1815</v>
      </c>
      <c r="F3054" s="86">
        <v>392</v>
      </c>
      <c r="G3054" s="86">
        <v>8</v>
      </c>
      <c r="H3054" s="86">
        <v>3136</v>
      </c>
      <c r="I3054" s="86">
        <v>36421</v>
      </c>
      <c r="J3054" s="85" t="s">
        <v>9135</v>
      </c>
      <c r="K3054" s="85" t="s">
        <v>11774</v>
      </c>
      <c r="L3054" s="85" t="s">
        <v>10737</v>
      </c>
      <c r="M3054" s="85" t="s">
        <v>11827</v>
      </c>
    </row>
    <row r="3055" ht="228" spans="1:13">
      <c r="A3055" s="85" t="s">
        <v>11792</v>
      </c>
      <c r="B3055" s="85" t="s">
        <v>11828</v>
      </c>
      <c r="C3055" s="85" t="s">
        <v>11829</v>
      </c>
      <c r="D3055" s="85" t="s">
        <v>8934</v>
      </c>
      <c r="E3055" s="85" t="s">
        <v>8935</v>
      </c>
      <c r="F3055" s="86">
        <v>42</v>
      </c>
      <c r="G3055" s="86">
        <v>2</v>
      </c>
      <c r="H3055" s="86">
        <v>84</v>
      </c>
      <c r="I3055" s="86">
        <v>4297.6</v>
      </c>
      <c r="J3055" s="85" t="s">
        <v>4391</v>
      </c>
      <c r="K3055" s="85" t="s">
        <v>11774</v>
      </c>
      <c r="L3055" s="85" t="s">
        <v>10737</v>
      </c>
      <c r="M3055" s="85" t="s">
        <v>11830</v>
      </c>
    </row>
    <row r="3056" ht="228" spans="1:13">
      <c r="A3056" s="85" t="s">
        <v>11831</v>
      </c>
      <c r="B3056" s="85" t="s">
        <v>11832</v>
      </c>
      <c r="C3056" s="85" t="s">
        <v>11833</v>
      </c>
      <c r="D3056" s="85" t="s">
        <v>3471</v>
      </c>
      <c r="E3056" s="85" t="s">
        <v>11025</v>
      </c>
      <c r="F3056" s="86">
        <v>38</v>
      </c>
      <c r="G3056" s="86">
        <v>5</v>
      </c>
      <c r="H3056" s="86">
        <v>190</v>
      </c>
      <c r="I3056" s="86">
        <v>190</v>
      </c>
      <c r="J3056" s="85" t="s">
        <v>4391</v>
      </c>
      <c r="K3056" s="85" t="s">
        <v>11774</v>
      </c>
      <c r="L3056" s="85" t="s">
        <v>10737</v>
      </c>
      <c r="M3056" s="85" t="s">
        <v>11834</v>
      </c>
    </row>
    <row r="3057" ht="228" spans="1:13">
      <c r="A3057" s="85" t="s">
        <v>11780</v>
      </c>
      <c r="B3057" s="85" t="s">
        <v>9695</v>
      </c>
      <c r="C3057" s="85" t="s">
        <v>9696</v>
      </c>
      <c r="D3057" s="85" t="s">
        <v>5610</v>
      </c>
      <c r="E3057" s="85" t="s">
        <v>5611</v>
      </c>
      <c r="F3057" s="86">
        <v>64</v>
      </c>
      <c r="G3057" s="86">
        <v>90</v>
      </c>
      <c r="H3057" s="86">
        <v>5760</v>
      </c>
      <c r="I3057" s="86">
        <v>12322.6</v>
      </c>
      <c r="J3057" s="85" t="s">
        <v>2935</v>
      </c>
      <c r="K3057" s="85" t="s">
        <v>11774</v>
      </c>
      <c r="L3057" s="85" t="s">
        <v>10737</v>
      </c>
      <c r="M3057" s="85" t="s">
        <v>11835</v>
      </c>
    </row>
    <row r="3058" ht="228" spans="1:13">
      <c r="A3058" s="85" t="s">
        <v>11836</v>
      </c>
      <c r="B3058" s="85" t="s">
        <v>5349</v>
      </c>
      <c r="C3058" s="85" t="s">
        <v>5350</v>
      </c>
      <c r="D3058" s="85" t="s">
        <v>3189</v>
      </c>
      <c r="E3058" s="85" t="s">
        <v>5351</v>
      </c>
      <c r="F3058" s="86">
        <v>22</v>
      </c>
      <c r="G3058" s="86">
        <v>3</v>
      </c>
      <c r="H3058" s="86">
        <v>66</v>
      </c>
      <c r="I3058" s="86">
        <v>66</v>
      </c>
      <c r="J3058" s="85" t="s">
        <v>2935</v>
      </c>
      <c r="K3058" s="85" t="s">
        <v>11774</v>
      </c>
      <c r="L3058" s="85" t="s">
        <v>10737</v>
      </c>
      <c r="M3058" s="85" t="s">
        <v>11837</v>
      </c>
    </row>
    <row r="3059" ht="228" spans="1:13">
      <c r="A3059" s="85" t="s">
        <v>11780</v>
      </c>
      <c r="B3059" s="85" t="s">
        <v>10761</v>
      </c>
      <c r="C3059" s="85" t="s">
        <v>10762</v>
      </c>
      <c r="D3059" s="85" t="s">
        <v>4886</v>
      </c>
      <c r="E3059" s="85" t="s">
        <v>10763</v>
      </c>
      <c r="F3059" s="86">
        <v>215</v>
      </c>
      <c r="G3059" s="86">
        <v>6</v>
      </c>
      <c r="H3059" s="86">
        <v>1290</v>
      </c>
      <c r="I3059" s="86">
        <v>12322.6</v>
      </c>
      <c r="J3059" s="85" t="s">
        <v>2935</v>
      </c>
      <c r="K3059" s="85" t="s">
        <v>11774</v>
      </c>
      <c r="L3059" s="85" t="s">
        <v>10737</v>
      </c>
      <c r="M3059" s="85" t="s">
        <v>11838</v>
      </c>
    </row>
    <row r="3060" ht="228" spans="1:13">
      <c r="A3060" s="85" t="s">
        <v>11792</v>
      </c>
      <c r="B3060" s="85" t="s">
        <v>11839</v>
      </c>
      <c r="C3060" s="85" t="s">
        <v>11840</v>
      </c>
      <c r="D3060" s="85" t="s">
        <v>4802</v>
      </c>
      <c r="E3060" s="85" t="s">
        <v>4997</v>
      </c>
      <c r="F3060" s="86">
        <v>18.8</v>
      </c>
      <c r="G3060" s="86">
        <v>2</v>
      </c>
      <c r="H3060" s="86">
        <v>37.6</v>
      </c>
      <c r="I3060" s="86">
        <v>4297.6</v>
      </c>
      <c r="J3060" s="85" t="s">
        <v>4391</v>
      </c>
      <c r="K3060" s="85" t="s">
        <v>11774</v>
      </c>
      <c r="L3060" s="85" t="s">
        <v>10737</v>
      </c>
      <c r="M3060" s="85" t="s">
        <v>11841</v>
      </c>
    </row>
    <row r="3061" ht="228" spans="1:13">
      <c r="A3061" s="85" t="s">
        <v>11807</v>
      </c>
      <c r="B3061" s="85" t="s">
        <v>9869</v>
      </c>
      <c r="C3061" s="85" t="s">
        <v>9870</v>
      </c>
      <c r="D3061" s="85" t="s">
        <v>4848</v>
      </c>
      <c r="E3061" s="85" t="s">
        <v>4849</v>
      </c>
      <c r="F3061" s="86">
        <v>20.34</v>
      </c>
      <c r="G3061" s="86">
        <v>50</v>
      </c>
      <c r="H3061" s="86">
        <v>1017</v>
      </c>
      <c r="I3061" s="86">
        <v>6560.78</v>
      </c>
      <c r="J3061" s="85" t="s">
        <v>4370</v>
      </c>
      <c r="K3061" s="85" t="s">
        <v>11774</v>
      </c>
      <c r="L3061" s="85" t="s">
        <v>10737</v>
      </c>
      <c r="M3061" s="85" t="s">
        <v>11842</v>
      </c>
    </row>
    <row r="3062" ht="228" spans="1:13">
      <c r="A3062" s="85" t="s">
        <v>11780</v>
      </c>
      <c r="B3062" s="85" t="s">
        <v>11410</v>
      </c>
      <c r="C3062" s="85" t="s">
        <v>11411</v>
      </c>
      <c r="D3062" s="85" t="s">
        <v>3969</v>
      </c>
      <c r="E3062" s="85" t="s">
        <v>10021</v>
      </c>
      <c r="F3062" s="86">
        <v>1</v>
      </c>
      <c r="G3062" s="86">
        <v>500</v>
      </c>
      <c r="H3062" s="86">
        <v>500</v>
      </c>
      <c r="I3062" s="86">
        <v>12322.6</v>
      </c>
      <c r="J3062" s="85" t="s">
        <v>2935</v>
      </c>
      <c r="K3062" s="85" t="s">
        <v>11774</v>
      </c>
      <c r="L3062" s="85" t="s">
        <v>10737</v>
      </c>
      <c r="M3062" s="85" t="s">
        <v>11843</v>
      </c>
    </row>
    <row r="3063" ht="228" spans="1:13">
      <c r="A3063" s="85" t="s">
        <v>11784</v>
      </c>
      <c r="B3063" s="85" t="s">
        <v>11844</v>
      </c>
      <c r="C3063" s="85" t="s">
        <v>11845</v>
      </c>
      <c r="D3063" s="85" t="s">
        <v>6852</v>
      </c>
      <c r="E3063" s="85" t="s">
        <v>6853</v>
      </c>
      <c r="F3063" s="86">
        <v>30</v>
      </c>
      <c r="G3063" s="86">
        <v>30</v>
      </c>
      <c r="H3063" s="86">
        <v>900</v>
      </c>
      <c r="I3063" s="86">
        <v>36421</v>
      </c>
      <c r="J3063" s="85" t="s">
        <v>9135</v>
      </c>
      <c r="K3063" s="85" t="s">
        <v>11774</v>
      </c>
      <c r="L3063" s="85" t="s">
        <v>10737</v>
      </c>
      <c r="M3063" s="85" t="s">
        <v>11846</v>
      </c>
    </row>
    <row r="3064" ht="228" spans="1:13">
      <c r="A3064" s="85" t="s">
        <v>11780</v>
      </c>
      <c r="B3064" s="85" t="s">
        <v>11847</v>
      </c>
      <c r="C3064" s="85" t="s">
        <v>11848</v>
      </c>
      <c r="D3064" s="85" t="s">
        <v>10141</v>
      </c>
      <c r="E3064" s="85" t="s">
        <v>10142</v>
      </c>
      <c r="F3064" s="86">
        <v>1.5</v>
      </c>
      <c r="G3064" s="86">
        <v>30</v>
      </c>
      <c r="H3064" s="86">
        <v>45</v>
      </c>
      <c r="I3064" s="86">
        <v>12322.6</v>
      </c>
      <c r="J3064" s="85" t="s">
        <v>2935</v>
      </c>
      <c r="K3064" s="85" t="s">
        <v>11774</v>
      </c>
      <c r="L3064" s="85" t="s">
        <v>10737</v>
      </c>
      <c r="M3064" s="85" t="s">
        <v>11849</v>
      </c>
    </row>
    <row r="3065" ht="228" spans="1:13">
      <c r="A3065" s="85" t="s">
        <v>11850</v>
      </c>
      <c r="B3065" s="85" t="s">
        <v>11851</v>
      </c>
      <c r="C3065" s="85" t="s">
        <v>11852</v>
      </c>
      <c r="D3065" s="85" t="s">
        <v>3201</v>
      </c>
      <c r="E3065" s="85" t="s">
        <v>11853</v>
      </c>
      <c r="F3065" s="86">
        <v>32</v>
      </c>
      <c r="G3065" s="86">
        <v>5</v>
      </c>
      <c r="H3065" s="86">
        <v>160</v>
      </c>
      <c r="I3065" s="86">
        <v>160</v>
      </c>
      <c r="J3065" s="85" t="s">
        <v>4391</v>
      </c>
      <c r="K3065" s="85" t="s">
        <v>11774</v>
      </c>
      <c r="L3065" s="85" t="s">
        <v>10737</v>
      </c>
      <c r="M3065" s="85" t="s">
        <v>11854</v>
      </c>
    </row>
    <row r="3066" ht="228" spans="1:13">
      <c r="A3066" s="85" t="s">
        <v>11784</v>
      </c>
      <c r="B3066" s="85" t="s">
        <v>9545</v>
      </c>
      <c r="C3066" s="85" t="s">
        <v>9546</v>
      </c>
      <c r="D3066" s="85" t="s">
        <v>5574</v>
      </c>
      <c r="E3066" s="85" t="s">
        <v>1787</v>
      </c>
      <c r="F3066" s="86">
        <v>15</v>
      </c>
      <c r="G3066" s="86">
        <v>150</v>
      </c>
      <c r="H3066" s="86">
        <v>2250</v>
      </c>
      <c r="I3066" s="86">
        <v>36421</v>
      </c>
      <c r="J3066" s="85" t="s">
        <v>9135</v>
      </c>
      <c r="K3066" s="85" t="s">
        <v>11774</v>
      </c>
      <c r="L3066" s="85" t="s">
        <v>10737</v>
      </c>
      <c r="M3066" s="85" t="s">
        <v>11855</v>
      </c>
    </row>
    <row r="3067" ht="228" spans="1:13">
      <c r="A3067" s="85" t="s">
        <v>11784</v>
      </c>
      <c r="B3067" s="85" t="s">
        <v>11856</v>
      </c>
      <c r="C3067" s="85" t="s">
        <v>11857</v>
      </c>
      <c r="D3067" s="85" t="s">
        <v>5510</v>
      </c>
      <c r="E3067" s="85" t="s">
        <v>1782</v>
      </c>
      <c r="F3067" s="86">
        <v>17</v>
      </c>
      <c r="G3067" s="86">
        <v>100</v>
      </c>
      <c r="H3067" s="86">
        <v>1700</v>
      </c>
      <c r="I3067" s="86">
        <v>36421</v>
      </c>
      <c r="J3067" s="85" t="s">
        <v>9135</v>
      </c>
      <c r="K3067" s="85" t="s">
        <v>11774</v>
      </c>
      <c r="L3067" s="85" t="s">
        <v>10737</v>
      </c>
      <c r="M3067" s="85" t="s">
        <v>11858</v>
      </c>
    </row>
    <row r="3068" ht="228" spans="1:13">
      <c r="A3068" s="85" t="s">
        <v>11792</v>
      </c>
      <c r="B3068" s="85" t="s">
        <v>11859</v>
      </c>
      <c r="C3068" s="85" t="s">
        <v>11860</v>
      </c>
      <c r="D3068" s="85" t="s">
        <v>5406</v>
      </c>
      <c r="E3068" s="85" t="s">
        <v>2083</v>
      </c>
      <c r="F3068" s="86">
        <v>4</v>
      </c>
      <c r="G3068" s="86">
        <v>10</v>
      </c>
      <c r="H3068" s="86">
        <v>40</v>
      </c>
      <c r="I3068" s="86">
        <v>4297.6</v>
      </c>
      <c r="J3068" s="85" t="s">
        <v>4391</v>
      </c>
      <c r="K3068" s="85" t="s">
        <v>11774</v>
      </c>
      <c r="L3068" s="85" t="s">
        <v>10737</v>
      </c>
      <c r="M3068" s="85" t="s">
        <v>11861</v>
      </c>
    </row>
    <row r="3069" ht="228" spans="1:13">
      <c r="A3069" s="85" t="s">
        <v>11784</v>
      </c>
      <c r="B3069" s="85" t="s">
        <v>11862</v>
      </c>
      <c r="C3069" s="85" t="s">
        <v>11863</v>
      </c>
      <c r="D3069" s="85" t="s">
        <v>11864</v>
      </c>
      <c r="E3069" s="85" t="s">
        <v>11865</v>
      </c>
      <c r="F3069" s="86">
        <v>48</v>
      </c>
      <c r="G3069" s="86">
        <v>40</v>
      </c>
      <c r="H3069" s="86">
        <v>1920</v>
      </c>
      <c r="I3069" s="86">
        <v>36421</v>
      </c>
      <c r="J3069" s="85" t="s">
        <v>9135</v>
      </c>
      <c r="K3069" s="85" t="s">
        <v>11774</v>
      </c>
      <c r="L3069" s="85" t="s">
        <v>10737</v>
      </c>
      <c r="M3069" s="85" t="s">
        <v>11866</v>
      </c>
    </row>
    <row r="3070" ht="228" spans="1:13">
      <c r="A3070" s="85" t="s">
        <v>11795</v>
      </c>
      <c r="B3070" s="85" t="s">
        <v>8544</v>
      </c>
      <c r="C3070" s="85" t="s">
        <v>8545</v>
      </c>
      <c r="D3070" s="85" t="s">
        <v>3579</v>
      </c>
      <c r="E3070" s="85" t="s">
        <v>5737</v>
      </c>
      <c r="F3070" s="86">
        <v>370</v>
      </c>
      <c r="G3070" s="86">
        <v>3</v>
      </c>
      <c r="H3070" s="86">
        <v>1110</v>
      </c>
      <c r="I3070" s="86">
        <v>1358</v>
      </c>
      <c r="J3070" s="85" t="s">
        <v>2935</v>
      </c>
      <c r="K3070" s="85" t="s">
        <v>11774</v>
      </c>
      <c r="L3070" s="85" t="s">
        <v>10737</v>
      </c>
      <c r="M3070" s="85" t="s">
        <v>11867</v>
      </c>
    </row>
    <row r="3071" ht="228" spans="1:13">
      <c r="A3071" s="85" t="s">
        <v>11773</v>
      </c>
      <c r="B3071" s="85" t="s">
        <v>6806</v>
      </c>
      <c r="C3071" s="85" t="s">
        <v>6807</v>
      </c>
      <c r="D3071" s="85" t="s">
        <v>3189</v>
      </c>
      <c r="E3071" s="85" t="s">
        <v>6804</v>
      </c>
      <c r="F3071" s="86">
        <v>92</v>
      </c>
      <c r="G3071" s="86">
        <v>1</v>
      </c>
      <c r="H3071" s="86">
        <v>92</v>
      </c>
      <c r="I3071" s="86">
        <v>1092</v>
      </c>
      <c r="J3071" s="85" t="s">
        <v>2935</v>
      </c>
      <c r="K3071" s="85" t="s">
        <v>11774</v>
      </c>
      <c r="L3071" s="85" t="s">
        <v>10737</v>
      </c>
      <c r="M3071" s="85" t="s">
        <v>11868</v>
      </c>
    </row>
    <row r="3072" ht="228" spans="1:13">
      <c r="A3072" s="85" t="s">
        <v>11784</v>
      </c>
      <c r="B3072" s="85" t="s">
        <v>11489</v>
      </c>
      <c r="C3072" s="85" t="s">
        <v>11490</v>
      </c>
      <c r="D3072" s="85" t="s">
        <v>3656</v>
      </c>
      <c r="E3072" s="85" t="s">
        <v>8150</v>
      </c>
      <c r="F3072" s="86">
        <v>24</v>
      </c>
      <c r="G3072" s="86">
        <v>40</v>
      </c>
      <c r="H3072" s="86">
        <v>960</v>
      </c>
      <c r="I3072" s="86">
        <v>36421</v>
      </c>
      <c r="J3072" s="85" t="s">
        <v>9135</v>
      </c>
      <c r="K3072" s="85" t="s">
        <v>11774</v>
      </c>
      <c r="L3072" s="85" t="s">
        <v>10737</v>
      </c>
      <c r="M3072" s="85" t="s">
        <v>11869</v>
      </c>
    </row>
    <row r="3073" ht="228" spans="1:13">
      <c r="A3073" s="85" t="s">
        <v>11784</v>
      </c>
      <c r="B3073" s="85" t="s">
        <v>11472</v>
      </c>
      <c r="C3073" s="85" t="s">
        <v>11473</v>
      </c>
      <c r="D3073" s="85" t="s">
        <v>2992</v>
      </c>
      <c r="E3073" s="85" t="s">
        <v>1815</v>
      </c>
      <c r="F3073" s="86">
        <v>0.25</v>
      </c>
      <c r="G3073" s="86">
        <v>48000</v>
      </c>
      <c r="H3073" s="86">
        <v>12000</v>
      </c>
      <c r="I3073" s="86">
        <v>36421</v>
      </c>
      <c r="J3073" s="85" t="s">
        <v>9135</v>
      </c>
      <c r="K3073" s="85" t="s">
        <v>11774</v>
      </c>
      <c r="L3073" s="85" t="s">
        <v>10737</v>
      </c>
      <c r="M3073" s="85" t="s">
        <v>11870</v>
      </c>
    </row>
    <row r="3074" ht="228" spans="1:13">
      <c r="A3074" s="85" t="s">
        <v>11807</v>
      </c>
      <c r="B3074" s="85" t="s">
        <v>8628</v>
      </c>
      <c r="C3074" s="85" t="s">
        <v>8629</v>
      </c>
      <c r="D3074" s="85" t="s">
        <v>8630</v>
      </c>
      <c r="E3074" s="85" t="s">
        <v>1706</v>
      </c>
      <c r="F3074" s="86">
        <v>90.4</v>
      </c>
      <c r="G3074" s="86">
        <v>2</v>
      </c>
      <c r="H3074" s="86">
        <v>180.8</v>
      </c>
      <c r="I3074" s="86">
        <v>6560.78</v>
      </c>
      <c r="J3074" s="85" t="s">
        <v>4370</v>
      </c>
      <c r="K3074" s="85" t="s">
        <v>11774</v>
      </c>
      <c r="L3074" s="85" t="s">
        <v>10737</v>
      </c>
      <c r="M3074" s="85" t="s">
        <v>11871</v>
      </c>
    </row>
    <row r="3075" ht="228" spans="1:13">
      <c r="A3075" s="85" t="s">
        <v>11807</v>
      </c>
      <c r="B3075" s="85" t="s">
        <v>8388</v>
      </c>
      <c r="C3075" s="85" t="s">
        <v>8389</v>
      </c>
      <c r="D3075" s="85" t="s">
        <v>3041</v>
      </c>
      <c r="E3075" s="85" t="s">
        <v>3158</v>
      </c>
      <c r="F3075" s="86">
        <v>237.3</v>
      </c>
      <c r="G3075" s="86">
        <v>15</v>
      </c>
      <c r="H3075" s="86">
        <v>3559.5</v>
      </c>
      <c r="I3075" s="86">
        <v>6560.78</v>
      </c>
      <c r="J3075" s="85" t="s">
        <v>4370</v>
      </c>
      <c r="K3075" s="85" t="s">
        <v>11774</v>
      </c>
      <c r="L3075" s="85" t="s">
        <v>10737</v>
      </c>
      <c r="M3075" s="85" t="s">
        <v>11872</v>
      </c>
    </row>
    <row r="3076" ht="228" spans="1:13">
      <c r="A3076" s="85" t="s">
        <v>11792</v>
      </c>
      <c r="B3076" s="85" t="s">
        <v>10765</v>
      </c>
      <c r="C3076" s="85" t="s">
        <v>10766</v>
      </c>
      <c r="D3076" s="85" t="s">
        <v>3959</v>
      </c>
      <c r="E3076" s="85" t="s">
        <v>6829</v>
      </c>
      <c r="F3076" s="86">
        <v>225</v>
      </c>
      <c r="G3076" s="86">
        <v>10</v>
      </c>
      <c r="H3076" s="86">
        <v>2250</v>
      </c>
      <c r="I3076" s="86">
        <v>4297.6</v>
      </c>
      <c r="J3076" s="85" t="s">
        <v>4391</v>
      </c>
      <c r="K3076" s="85" t="s">
        <v>11774</v>
      </c>
      <c r="L3076" s="85" t="s">
        <v>10737</v>
      </c>
      <c r="M3076" s="85" t="s">
        <v>11873</v>
      </c>
    </row>
    <row r="3077" ht="228" spans="1:13">
      <c r="A3077" s="85" t="s">
        <v>11784</v>
      </c>
      <c r="B3077" s="85" t="s">
        <v>11431</v>
      </c>
      <c r="C3077" s="85" t="s">
        <v>11432</v>
      </c>
      <c r="D3077" s="85" t="s">
        <v>3241</v>
      </c>
      <c r="E3077" s="85" t="s">
        <v>11433</v>
      </c>
      <c r="F3077" s="86">
        <v>9</v>
      </c>
      <c r="G3077" s="86">
        <v>30</v>
      </c>
      <c r="H3077" s="86">
        <v>270</v>
      </c>
      <c r="I3077" s="86">
        <v>36421</v>
      </c>
      <c r="J3077" s="85" t="s">
        <v>9135</v>
      </c>
      <c r="K3077" s="85" t="s">
        <v>11774</v>
      </c>
      <c r="L3077" s="85" t="s">
        <v>10737</v>
      </c>
      <c r="M3077" s="85" t="s">
        <v>11874</v>
      </c>
    </row>
    <row r="3078" ht="228" spans="1:13">
      <c r="A3078" s="85" t="s">
        <v>11784</v>
      </c>
      <c r="B3078" s="85" t="s">
        <v>11875</v>
      </c>
      <c r="C3078" s="85" t="s">
        <v>11876</v>
      </c>
      <c r="D3078" s="85" t="s">
        <v>3656</v>
      </c>
      <c r="E3078" s="85" t="s">
        <v>1789</v>
      </c>
      <c r="F3078" s="86">
        <v>8</v>
      </c>
      <c r="G3078" s="86">
        <v>40</v>
      </c>
      <c r="H3078" s="86">
        <v>320</v>
      </c>
      <c r="I3078" s="86">
        <v>36421</v>
      </c>
      <c r="J3078" s="85" t="s">
        <v>9135</v>
      </c>
      <c r="K3078" s="85" t="s">
        <v>11774</v>
      </c>
      <c r="L3078" s="85" t="s">
        <v>10737</v>
      </c>
      <c r="M3078" s="85" t="s">
        <v>11877</v>
      </c>
    </row>
    <row r="3079" ht="228" spans="1:13">
      <c r="A3079" s="85" t="s">
        <v>11809</v>
      </c>
      <c r="B3079" s="85" t="s">
        <v>7600</v>
      </c>
      <c r="C3079" s="85" t="s">
        <v>7601</v>
      </c>
      <c r="D3079" s="85" t="s">
        <v>3169</v>
      </c>
      <c r="E3079" s="85" t="s">
        <v>7602</v>
      </c>
      <c r="F3079" s="86">
        <v>15</v>
      </c>
      <c r="G3079" s="86">
        <v>60</v>
      </c>
      <c r="H3079" s="86">
        <v>900</v>
      </c>
      <c r="I3079" s="86">
        <v>1000</v>
      </c>
      <c r="J3079" s="85" t="s">
        <v>4370</v>
      </c>
      <c r="K3079" s="85" t="s">
        <v>11774</v>
      </c>
      <c r="L3079" s="85" t="s">
        <v>10737</v>
      </c>
      <c r="M3079" s="85" t="s">
        <v>11878</v>
      </c>
    </row>
    <row r="3080" ht="228" spans="1:13">
      <c r="A3080" s="85" t="s">
        <v>11784</v>
      </c>
      <c r="B3080" s="85" t="s">
        <v>11450</v>
      </c>
      <c r="C3080" s="85" t="s">
        <v>11451</v>
      </c>
      <c r="D3080" s="85" t="s">
        <v>2992</v>
      </c>
      <c r="E3080" s="85" t="s">
        <v>1815</v>
      </c>
      <c r="F3080" s="86">
        <v>360</v>
      </c>
      <c r="G3080" s="86">
        <v>15</v>
      </c>
      <c r="H3080" s="86">
        <v>5400</v>
      </c>
      <c r="I3080" s="86">
        <v>36421</v>
      </c>
      <c r="J3080" s="85" t="s">
        <v>9135</v>
      </c>
      <c r="K3080" s="85" t="s">
        <v>11774</v>
      </c>
      <c r="L3080" s="85" t="s">
        <v>10737</v>
      </c>
      <c r="M3080" s="85" t="s">
        <v>11879</v>
      </c>
    </row>
    <row r="3081" ht="228" spans="1:13">
      <c r="A3081" s="85" t="s">
        <v>11780</v>
      </c>
      <c r="B3081" s="85" t="s">
        <v>11880</v>
      </c>
      <c r="C3081" s="85" t="s">
        <v>11881</v>
      </c>
      <c r="D3081" s="85" t="s">
        <v>5406</v>
      </c>
      <c r="E3081" s="85" t="s">
        <v>9265</v>
      </c>
      <c r="F3081" s="86">
        <v>435</v>
      </c>
      <c r="G3081" s="86">
        <v>1</v>
      </c>
      <c r="H3081" s="86">
        <v>435</v>
      </c>
      <c r="I3081" s="86">
        <v>12322.6</v>
      </c>
      <c r="J3081" s="85" t="s">
        <v>2935</v>
      </c>
      <c r="K3081" s="85" t="s">
        <v>11774</v>
      </c>
      <c r="L3081" s="85" t="s">
        <v>10737</v>
      </c>
      <c r="M3081" s="85" t="s">
        <v>11882</v>
      </c>
    </row>
    <row r="3082" ht="228" spans="1:13">
      <c r="A3082" s="85" t="s">
        <v>11822</v>
      </c>
      <c r="B3082" s="85" t="s">
        <v>10965</v>
      </c>
      <c r="C3082" s="85" t="s">
        <v>10966</v>
      </c>
      <c r="D3082" s="85" t="s">
        <v>10967</v>
      </c>
      <c r="E3082" s="85" t="s">
        <v>10968</v>
      </c>
      <c r="F3082" s="86">
        <v>769</v>
      </c>
      <c r="G3082" s="86">
        <v>2</v>
      </c>
      <c r="H3082" s="86">
        <v>1538</v>
      </c>
      <c r="I3082" s="86">
        <v>1642</v>
      </c>
      <c r="J3082" s="85" t="s">
        <v>2935</v>
      </c>
      <c r="K3082" s="85" t="s">
        <v>11774</v>
      </c>
      <c r="L3082" s="85" t="s">
        <v>10737</v>
      </c>
      <c r="M3082" s="85" t="s">
        <v>11883</v>
      </c>
    </row>
    <row r="3083" ht="228" spans="1:13">
      <c r="A3083" s="85" t="s">
        <v>11780</v>
      </c>
      <c r="B3083" s="85" t="s">
        <v>10075</v>
      </c>
      <c r="C3083" s="85" t="s">
        <v>10076</v>
      </c>
      <c r="D3083" s="85" t="s">
        <v>5610</v>
      </c>
      <c r="E3083" s="85" t="s">
        <v>9988</v>
      </c>
      <c r="F3083" s="86">
        <v>5.8</v>
      </c>
      <c r="G3083" s="86">
        <v>2</v>
      </c>
      <c r="H3083" s="86">
        <v>11.6</v>
      </c>
      <c r="I3083" s="86">
        <v>12322.6</v>
      </c>
      <c r="J3083" s="85" t="s">
        <v>2935</v>
      </c>
      <c r="K3083" s="85" t="s">
        <v>11774</v>
      </c>
      <c r="L3083" s="85" t="s">
        <v>10737</v>
      </c>
      <c r="M3083" s="85" t="s">
        <v>11884</v>
      </c>
    </row>
    <row r="3084" ht="228" spans="1:13">
      <c r="A3084" s="85" t="s">
        <v>11784</v>
      </c>
      <c r="B3084" s="85" t="s">
        <v>10526</v>
      </c>
      <c r="C3084" s="85" t="s">
        <v>10527</v>
      </c>
      <c r="D3084" s="85" t="s">
        <v>8767</v>
      </c>
      <c r="E3084" s="85" t="s">
        <v>3050</v>
      </c>
      <c r="F3084" s="86">
        <v>5.8</v>
      </c>
      <c r="G3084" s="86">
        <v>100</v>
      </c>
      <c r="H3084" s="86">
        <v>580</v>
      </c>
      <c r="I3084" s="86">
        <v>36421</v>
      </c>
      <c r="J3084" s="85" t="s">
        <v>9135</v>
      </c>
      <c r="K3084" s="85" t="s">
        <v>11774</v>
      </c>
      <c r="L3084" s="85" t="s">
        <v>10737</v>
      </c>
      <c r="M3084" s="85" t="s">
        <v>11885</v>
      </c>
    </row>
    <row r="3085" ht="228" spans="1:13">
      <c r="A3085" s="85" t="s">
        <v>11780</v>
      </c>
      <c r="B3085" s="85" t="s">
        <v>10958</v>
      </c>
      <c r="C3085" s="85" t="s">
        <v>10959</v>
      </c>
      <c r="D3085" s="85" t="s">
        <v>5766</v>
      </c>
      <c r="E3085" s="85" t="s">
        <v>10960</v>
      </c>
      <c r="F3085" s="86">
        <v>3</v>
      </c>
      <c r="G3085" s="86">
        <v>100</v>
      </c>
      <c r="H3085" s="86">
        <v>300</v>
      </c>
      <c r="I3085" s="86">
        <v>12322.6</v>
      </c>
      <c r="J3085" s="85" t="s">
        <v>2935</v>
      </c>
      <c r="K3085" s="85" t="s">
        <v>11774</v>
      </c>
      <c r="L3085" s="85" t="s">
        <v>10737</v>
      </c>
      <c r="M3085" s="85" t="s">
        <v>11886</v>
      </c>
    </row>
    <row r="3086" ht="228" spans="1:13">
      <c r="A3086" s="85" t="s">
        <v>11792</v>
      </c>
      <c r="B3086" s="85" t="s">
        <v>10149</v>
      </c>
      <c r="C3086" s="85" t="s">
        <v>10150</v>
      </c>
      <c r="D3086" s="85" t="s">
        <v>10151</v>
      </c>
      <c r="E3086" s="85" t="s">
        <v>10152</v>
      </c>
      <c r="F3086" s="86">
        <v>16</v>
      </c>
      <c r="G3086" s="86">
        <v>24</v>
      </c>
      <c r="H3086" s="86">
        <v>384</v>
      </c>
      <c r="I3086" s="86">
        <v>4297.6</v>
      </c>
      <c r="J3086" s="85" t="s">
        <v>4391</v>
      </c>
      <c r="K3086" s="85" t="s">
        <v>11774</v>
      </c>
      <c r="L3086" s="85" t="s">
        <v>10737</v>
      </c>
      <c r="M3086" s="85" t="s">
        <v>11887</v>
      </c>
    </row>
    <row r="3087" ht="228" spans="1:13">
      <c r="A3087" s="85" t="s">
        <v>11888</v>
      </c>
      <c r="B3087" s="85" t="s">
        <v>11375</v>
      </c>
      <c r="C3087" s="85" t="s">
        <v>11376</v>
      </c>
      <c r="D3087" s="85" t="s">
        <v>2997</v>
      </c>
      <c r="E3087" s="85" t="s">
        <v>2998</v>
      </c>
      <c r="F3087" s="86">
        <v>18</v>
      </c>
      <c r="G3087" s="86">
        <v>300</v>
      </c>
      <c r="H3087" s="86">
        <v>5400</v>
      </c>
      <c r="I3087" s="86">
        <v>5400</v>
      </c>
      <c r="J3087" s="85" t="s">
        <v>2935</v>
      </c>
      <c r="K3087" s="85" t="s">
        <v>11774</v>
      </c>
      <c r="L3087" s="85" t="s">
        <v>10737</v>
      </c>
      <c r="M3087" s="85" t="s">
        <v>11889</v>
      </c>
    </row>
    <row r="3088" ht="228" spans="1:13">
      <c r="A3088" s="85" t="s">
        <v>11780</v>
      </c>
      <c r="B3088" s="85" t="s">
        <v>9220</v>
      </c>
      <c r="C3088" s="85" t="s">
        <v>9221</v>
      </c>
      <c r="D3088" s="85" t="s">
        <v>6824</v>
      </c>
      <c r="E3088" s="85" t="s">
        <v>6825</v>
      </c>
      <c r="F3088" s="86">
        <v>240</v>
      </c>
      <c r="G3088" s="86">
        <v>12</v>
      </c>
      <c r="H3088" s="86">
        <v>2880</v>
      </c>
      <c r="I3088" s="86">
        <v>12322.6</v>
      </c>
      <c r="J3088" s="85" t="s">
        <v>2935</v>
      </c>
      <c r="K3088" s="85" t="s">
        <v>11774</v>
      </c>
      <c r="L3088" s="85" t="s">
        <v>10737</v>
      </c>
      <c r="M3088" s="85" t="s">
        <v>11890</v>
      </c>
    </row>
    <row r="3089" ht="228" spans="1:13">
      <c r="A3089" s="85" t="s">
        <v>11784</v>
      </c>
      <c r="B3089" s="85" t="s">
        <v>11785</v>
      </c>
      <c r="C3089" s="85" t="s">
        <v>11786</v>
      </c>
      <c r="D3089" s="85" t="s">
        <v>3753</v>
      </c>
      <c r="E3089" s="85" t="s">
        <v>11787</v>
      </c>
      <c r="F3089" s="86">
        <v>83</v>
      </c>
      <c r="G3089" s="86">
        <v>5</v>
      </c>
      <c r="H3089" s="86">
        <v>415</v>
      </c>
      <c r="I3089" s="86">
        <v>36421</v>
      </c>
      <c r="J3089" s="85" t="s">
        <v>9135</v>
      </c>
      <c r="K3089" s="85" t="s">
        <v>11774</v>
      </c>
      <c r="L3089" s="85" t="s">
        <v>10737</v>
      </c>
      <c r="M3089" s="85" t="s">
        <v>11891</v>
      </c>
    </row>
    <row r="3090" ht="228" spans="1:13">
      <c r="A3090" s="85" t="s">
        <v>11807</v>
      </c>
      <c r="B3090" s="85" t="s">
        <v>9027</v>
      </c>
      <c r="C3090" s="85" t="s">
        <v>9028</v>
      </c>
      <c r="D3090" s="85" t="s">
        <v>3024</v>
      </c>
      <c r="E3090" s="85" t="s">
        <v>8489</v>
      </c>
      <c r="F3090" s="86">
        <v>31.64</v>
      </c>
      <c r="G3090" s="86">
        <v>12</v>
      </c>
      <c r="H3090" s="86">
        <v>379.68</v>
      </c>
      <c r="I3090" s="86">
        <v>6560.78</v>
      </c>
      <c r="J3090" s="85" t="s">
        <v>4370</v>
      </c>
      <c r="K3090" s="85" t="s">
        <v>11774</v>
      </c>
      <c r="L3090" s="85" t="s">
        <v>10737</v>
      </c>
      <c r="M3090" s="85" t="s">
        <v>11892</v>
      </c>
    </row>
    <row r="3091" ht="228" spans="1:13">
      <c r="A3091" s="85" t="s">
        <v>11893</v>
      </c>
      <c r="B3091" s="85" t="s">
        <v>11894</v>
      </c>
      <c r="C3091" s="85" t="s">
        <v>11895</v>
      </c>
      <c r="D3091" s="85" t="s">
        <v>11896</v>
      </c>
      <c r="E3091" s="85" t="s">
        <v>11897</v>
      </c>
      <c r="F3091" s="86">
        <v>28</v>
      </c>
      <c r="G3091" s="86">
        <v>4</v>
      </c>
      <c r="H3091" s="86">
        <v>112</v>
      </c>
      <c r="I3091" s="86">
        <v>6790</v>
      </c>
      <c r="J3091" s="85" t="s">
        <v>4391</v>
      </c>
      <c r="K3091" s="85" t="s">
        <v>11898</v>
      </c>
      <c r="L3091" s="85" t="s">
        <v>10737</v>
      </c>
      <c r="M3091" s="85" t="s">
        <v>11899</v>
      </c>
    </row>
    <row r="3092" ht="228" spans="1:13">
      <c r="A3092" s="85" t="s">
        <v>11893</v>
      </c>
      <c r="B3092" s="85" t="s">
        <v>11900</v>
      </c>
      <c r="C3092" s="85" t="s">
        <v>11901</v>
      </c>
      <c r="D3092" s="85" t="s">
        <v>3386</v>
      </c>
      <c r="E3092" s="85" t="s">
        <v>11902</v>
      </c>
      <c r="F3092" s="86">
        <v>36.3</v>
      </c>
      <c r="G3092" s="86">
        <v>4</v>
      </c>
      <c r="H3092" s="86">
        <v>145.2</v>
      </c>
      <c r="I3092" s="86">
        <v>6790</v>
      </c>
      <c r="J3092" s="85" t="s">
        <v>4391</v>
      </c>
      <c r="K3092" s="85" t="s">
        <v>11898</v>
      </c>
      <c r="L3092" s="85" t="s">
        <v>10737</v>
      </c>
      <c r="M3092" s="85" t="s">
        <v>11903</v>
      </c>
    </row>
    <row r="3093" ht="228" spans="1:13">
      <c r="A3093" s="85" t="s">
        <v>11893</v>
      </c>
      <c r="B3093" s="85" t="s">
        <v>11904</v>
      </c>
      <c r="C3093" s="85" t="s">
        <v>11905</v>
      </c>
      <c r="D3093" s="85" t="s">
        <v>4929</v>
      </c>
      <c r="E3093" s="85" t="s">
        <v>11906</v>
      </c>
      <c r="F3093" s="86">
        <v>205.4</v>
      </c>
      <c r="G3093" s="86">
        <v>8</v>
      </c>
      <c r="H3093" s="86">
        <v>1643.2</v>
      </c>
      <c r="I3093" s="86">
        <v>6790</v>
      </c>
      <c r="J3093" s="85" t="s">
        <v>4391</v>
      </c>
      <c r="K3093" s="85" t="s">
        <v>11898</v>
      </c>
      <c r="L3093" s="85" t="s">
        <v>10737</v>
      </c>
      <c r="M3093" s="85" t="s">
        <v>11907</v>
      </c>
    </row>
    <row r="3094" ht="228" spans="1:13">
      <c r="A3094" s="85" t="s">
        <v>11893</v>
      </c>
      <c r="B3094" s="85" t="s">
        <v>11572</v>
      </c>
      <c r="C3094" s="85" t="s">
        <v>11573</v>
      </c>
      <c r="D3094" s="85" t="s">
        <v>2977</v>
      </c>
      <c r="E3094" s="85" t="s">
        <v>8573</v>
      </c>
      <c r="F3094" s="86">
        <v>93</v>
      </c>
      <c r="G3094" s="86">
        <v>1</v>
      </c>
      <c r="H3094" s="86">
        <v>93</v>
      </c>
      <c r="I3094" s="86">
        <v>6790</v>
      </c>
      <c r="J3094" s="85" t="s">
        <v>4391</v>
      </c>
      <c r="K3094" s="85" t="s">
        <v>11898</v>
      </c>
      <c r="L3094" s="85" t="s">
        <v>10737</v>
      </c>
      <c r="M3094" s="85" t="s">
        <v>11908</v>
      </c>
    </row>
    <row r="3095" ht="228" spans="1:13">
      <c r="A3095" s="85" t="s">
        <v>11893</v>
      </c>
      <c r="B3095" s="85" t="s">
        <v>11008</v>
      </c>
      <c r="C3095" s="85" t="s">
        <v>11009</v>
      </c>
      <c r="D3095" s="85" t="s">
        <v>3288</v>
      </c>
      <c r="E3095" s="85" t="s">
        <v>11010</v>
      </c>
      <c r="F3095" s="86">
        <v>109</v>
      </c>
      <c r="G3095" s="86">
        <v>3</v>
      </c>
      <c r="H3095" s="86">
        <v>327</v>
      </c>
      <c r="I3095" s="86">
        <v>6790</v>
      </c>
      <c r="J3095" s="85" t="s">
        <v>4391</v>
      </c>
      <c r="K3095" s="85" t="s">
        <v>11898</v>
      </c>
      <c r="L3095" s="85" t="s">
        <v>10737</v>
      </c>
      <c r="M3095" s="85" t="s">
        <v>11909</v>
      </c>
    </row>
    <row r="3096" ht="228" spans="1:13">
      <c r="A3096" s="85" t="s">
        <v>11893</v>
      </c>
      <c r="B3096" s="85" t="s">
        <v>11910</v>
      </c>
      <c r="C3096" s="85" t="s">
        <v>11911</v>
      </c>
      <c r="D3096" s="85" t="s">
        <v>11912</v>
      </c>
      <c r="E3096" s="85" t="s">
        <v>11913</v>
      </c>
      <c r="F3096" s="86">
        <v>14.9</v>
      </c>
      <c r="G3096" s="86">
        <v>50</v>
      </c>
      <c r="H3096" s="86">
        <v>745</v>
      </c>
      <c r="I3096" s="86">
        <v>6790</v>
      </c>
      <c r="J3096" s="85" t="s">
        <v>4391</v>
      </c>
      <c r="K3096" s="85" t="s">
        <v>11898</v>
      </c>
      <c r="L3096" s="85" t="s">
        <v>10737</v>
      </c>
      <c r="M3096" s="85" t="s">
        <v>11914</v>
      </c>
    </row>
    <row r="3097" ht="228" spans="1:13">
      <c r="A3097" s="85" t="s">
        <v>11893</v>
      </c>
      <c r="B3097" s="85" t="s">
        <v>11559</v>
      </c>
      <c r="C3097" s="85" t="s">
        <v>11560</v>
      </c>
      <c r="D3097" s="85" t="s">
        <v>11561</v>
      </c>
      <c r="E3097" s="85" t="s">
        <v>11562</v>
      </c>
      <c r="F3097" s="86">
        <v>185</v>
      </c>
      <c r="G3097" s="86">
        <v>2</v>
      </c>
      <c r="H3097" s="86">
        <v>370</v>
      </c>
      <c r="I3097" s="86">
        <v>6790</v>
      </c>
      <c r="J3097" s="85" t="s">
        <v>4391</v>
      </c>
      <c r="K3097" s="85" t="s">
        <v>11898</v>
      </c>
      <c r="L3097" s="85" t="s">
        <v>10737</v>
      </c>
      <c r="M3097" s="85" t="s">
        <v>11915</v>
      </c>
    </row>
    <row r="3098" ht="228" spans="1:13">
      <c r="A3098" s="85" t="s">
        <v>11893</v>
      </c>
      <c r="B3098" s="85" t="s">
        <v>11916</v>
      </c>
      <c r="C3098" s="85" t="s">
        <v>11917</v>
      </c>
      <c r="D3098" s="85" t="s">
        <v>3625</v>
      </c>
      <c r="E3098" s="85" t="s">
        <v>11918</v>
      </c>
      <c r="F3098" s="86">
        <v>18</v>
      </c>
      <c r="G3098" s="86">
        <v>1</v>
      </c>
      <c r="H3098" s="86">
        <v>18</v>
      </c>
      <c r="I3098" s="86">
        <v>6790</v>
      </c>
      <c r="J3098" s="85" t="s">
        <v>4391</v>
      </c>
      <c r="K3098" s="85" t="s">
        <v>11898</v>
      </c>
      <c r="L3098" s="85" t="s">
        <v>10737</v>
      </c>
      <c r="M3098" s="85" t="s">
        <v>11919</v>
      </c>
    </row>
    <row r="3099" ht="228" spans="1:13">
      <c r="A3099" s="85" t="s">
        <v>11893</v>
      </c>
      <c r="B3099" s="85" t="s">
        <v>11920</v>
      </c>
      <c r="C3099" s="85" t="s">
        <v>11921</v>
      </c>
      <c r="D3099" s="85" t="s">
        <v>3907</v>
      </c>
      <c r="E3099" s="85" t="s">
        <v>3908</v>
      </c>
      <c r="F3099" s="86">
        <v>10.5</v>
      </c>
      <c r="G3099" s="86">
        <v>4</v>
      </c>
      <c r="H3099" s="86">
        <v>42</v>
      </c>
      <c r="I3099" s="86">
        <v>6790</v>
      </c>
      <c r="J3099" s="85" t="s">
        <v>4391</v>
      </c>
      <c r="K3099" s="85" t="s">
        <v>11898</v>
      </c>
      <c r="L3099" s="85" t="s">
        <v>10737</v>
      </c>
      <c r="M3099" s="85" t="s">
        <v>11922</v>
      </c>
    </row>
    <row r="3100" ht="228" spans="1:13">
      <c r="A3100" s="85" t="s">
        <v>11893</v>
      </c>
      <c r="B3100" s="85" t="s">
        <v>11923</v>
      </c>
      <c r="C3100" s="85" t="s">
        <v>11924</v>
      </c>
      <c r="D3100" s="85" t="s">
        <v>10111</v>
      </c>
      <c r="E3100" s="85" t="s">
        <v>10112</v>
      </c>
      <c r="F3100" s="86">
        <v>5.6</v>
      </c>
      <c r="G3100" s="86">
        <v>100</v>
      </c>
      <c r="H3100" s="86">
        <v>560</v>
      </c>
      <c r="I3100" s="86">
        <v>6790</v>
      </c>
      <c r="J3100" s="85" t="s">
        <v>4391</v>
      </c>
      <c r="K3100" s="85" t="s">
        <v>11898</v>
      </c>
      <c r="L3100" s="85" t="s">
        <v>10737</v>
      </c>
      <c r="M3100" s="85" t="s">
        <v>11925</v>
      </c>
    </row>
    <row r="3101" ht="228" spans="1:13">
      <c r="A3101" s="85" t="s">
        <v>11893</v>
      </c>
      <c r="B3101" s="85" t="s">
        <v>11926</v>
      </c>
      <c r="C3101" s="85" t="s">
        <v>11927</v>
      </c>
      <c r="D3101" s="85" t="s">
        <v>6924</v>
      </c>
      <c r="E3101" s="85" t="s">
        <v>11928</v>
      </c>
      <c r="F3101" s="86">
        <v>4.5</v>
      </c>
      <c r="G3101" s="86">
        <v>20</v>
      </c>
      <c r="H3101" s="86">
        <v>90</v>
      </c>
      <c r="I3101" s="86">
        <v>6790</v>
      </c>
      <c r="J3101" s="85" t="s">
        <v>4391</v>
      </c>
      <c r="K3101" s="85" t="s">
        <v>11898</v>
      </c>
      <c r="L3101" s="85" t="s">
        <v>10737</v>
      </c>
      <c r="M3101" s="85" t="s">
        <v>11929</v>
      </c>
    </row>
    <row r="3102" ht="228" spans="1:13">
      <c r="A3102" s="85" t="s">
        <v>11893</v>
      </c>
      <c r="B3102" s="85" t="s">
        <v>11930</v>
      </c>
      <c r="C3102" s="85" t="s">
        <v>11931</v>
      </c>
      <c r="D3102" s="85" t="s">
        <v>4824</v>
      </c>
      <c r="E3102" s="85" t="s">
        <v>9734</v>
      </c>
      <c r="F3102" s="86">
        <v>19.5</v>
      </c>
      <c r="G3102" s="86">
        <v>4</v>
      </c>
      <c r="H3102" s="86">
        <v>78</v>
      </c>
      <c r="I3102" s="86">
        <v>6790</v>
      </c>
      <c r="J3102" s="85" t="s">
        <v>4391</v>
      </c>
      <c r="K3102" s="85" t="s">
        <v>11898</v>
      </c>
      <c r="L3102" s="85" t="s">
        <v>10737</v>
      </c>
      <c r="M3102" s="85" t="s">
        <v>11932</v>
      </c>
    </row>
    <row r="3103" ht="228" spans="1:13">
      <c r="A3103" s="85" t="s">
        <v>11893</v>
      </c>
      <c r="B3103" s="85" t="s">
        <v>11933</v>
      </c>
      <c r="C3103" s="85" t="s">
        <v>11934</v>
      </c>
      <c r="D3103" s="85" t="s">
        <v>8063</v>
      </c>
      <c r="E3103" s="85" t="s">
        <v>11935</v>
      </c>
      <c r="F3103" s="86">
        <v>34</v>
      </c>
      <c r="G3103" s="86">
        <v>1</v>
      </c>
      <c r="H3103" s="86">
        <v>34</v>
      </c>
      <c r="I3103" s="86">
        <v>6790</v>
      </c>
      <c r="J3103" s="85" t="s">
        <v>4391</v>
      </c>
      <c r="K3103" s="85" t="s">
        <v>11898</v>
      </c>
      <c r="L3103" s="85" t="s">
        <v>10737</v>
      </c>
      <c r="M3103" s="85" t="s">
        <v>11936</v>
      </c>
    </row>
    <row r="3104" ht="228" spans="1:13">
      <c r="A3104" s="85" t="s">
        <v>11893</v>
      </c>
      <c r="B3104" s="85" t="s">
        <v>11937</v>
      </c>
      <c r="C3104" s="85" t="s">
        <v>11938</v>
      </c>
      <c r="D3104" s="85" t="s">
        <v>4824</v>
      </c>
      <c r="E3104" s="85" t="s">
        <v>9734</v>
      </c>
      <c r="F3104" s="86">
        <v>10</v>
      </c>
      <c r="G3104" s="86">
        <v>4</v>
      </c>
      <c r="H3104" s="86">
        <v>40</v>
      </c>
      <c r="I3104" s="86">
        <v>6790</v>
      </c>
      <c r="J3104" s="85" t="s">
        <v>4391</v>
      </c>
      <c r="K3104" s="85" t="s">
        <v>11898</v>
      </c>
      <c r="L3104" s="85" t="s">
        <v>10737</v>
      </c>
      <c r="M3104" s="85" t="s">
        <v>11939</v>
      </c>
    </row>
    <row r="3105" ht="228" spans="1:13">
      <c r="A3105" s="85" t="s">
        <v>11893</v>
      </c>
      <c r="B3105" s="85" t="s">
        <v>11940</v>
      </c>
      <c r="C3105" s="85" t="s">
        <v>11941</v>
      </c>
      <c r="D3105" s="85" t="s">
        <v>2973</v>
      </c>
      <c r="E3105" s="85" t="s">
        <v>9108</v>
      </c>
      <c r="F3105" s="86">
        <v>62.1</v>
      </c>
      <c r="G3105" s="86">
        <v>4</v>
      </c>
      <c r="H3105" s="86">
        <v>248.4</v>
      </c>
      <c r="I3105" s="86">
        <v>6790</v>
      </c>
      <c r="J3105" s="85" t="s">
        <v>4391</v>
      </c>
      <c r="K3105" s="85" t="s">
        <v>11898</v>
      </c>
      <c r="L3105" s="85" t="s">
        <v>10737</v>
      </c>
      <c r="M3105" s="85" t="s">
        <v>11942</v>
      </c>
    </row>
    <row r="3106" ht="228" spans="1:13">
      <c r="A3106" s="85" t="s">
        <v>11893</v>
      </c>
      <c r="B3106" s="85" t="s">
        <v>11943</v>
      </c>
      <c r="C3106" s="85" t="s">
        <v>11944</v>
      </c>
      <c r="D3106" s="85" t="s">
        <v>11945</v>
      </c>
      <c r="E3106" s="85" t="s">
        <v>11946</v>
      </c>
      <c r="F3106" s="86">
        <v>4.3</v>
      </c>
      <c r="G3106" s="86">
        <v>4</v>
      </c>
      <c r="H3106" s="86">
        <v>17.2</v>
      </c>
      <c r="I3106" s="86">
        <v>6790</v>
      </c>
      <c r="J3106" s="85" t="s">
        <v>4391</v>
      </c>
      <c r="K3106" s="85" t="s">
        <v>11898</v>
      </c>
      <c r="L3106" s="85" t="s">
        <v>10737</v>
      </c>
      <c r="M3106" s="85" t="s">
        <v>11947</v>
      </c>
    </row>
    <row r="3107" ht="228" spans="1:13">
      <c r="A3107" s="85" t="s">
        <v>11893</v>
      </c>
      <c r="B3107" s="85" t="s">
        <v>11923</v>
      </c>
      <c r="C3107" s="85" t="s">
        <v>11924</v>
      </c>
      <c r="D3107" s="85" t="s">
        <v>10111</v>
      </c>
      <c r="E3107" s="85" t="s">
        <v>10112</v>
      </c>
      <c r="F3107" s="86">
        <v>5.6</v>
      </c>
      <c r="G3107" s="86">
        <v>30</v>
      </c>
      <c r="H3107" s="86">
        <v>168</v>
      </c>
      <c r="I3107" s="86">
        <v>6790</v>
      </c>
      <c r="J3107" s="85" t="s">
        <v>4391</v>
      </c>
      <c r="K3107" s="85" t="s">
        <v>11898</v>
      </c>
      <c r="L3107" s="85" t="s">
        <v>10737</v>
      </c>
      <c r="M3107" s="85" t="s">
        <v>11948</v>
      </c>
    </row>
    <row r="3108" ht="228" spans="1:13">
      <c r="A3108" s="85" t="s">
        <v>11893</v>
      </c>
      <c r="B3108" s="85" t="s">
        <v>11949</v>
      </c>
      <c r="C3108" s="85" t="s">
        <v>11950</v>
      </c>
      <c r="D3108" s="85" t="s">
        <v>7146</v>
      </c>
      <c r="E3108" s="85" t="s">
        <v>4452</v>
      </c>
      <c r="F3108" s="86">
        <v>222</v>
      </c>
      <c r="G3108" s="86">
        <v>2</v>
      </c>
      <c r="H3108" s="86">
        <v>444</v>
      </c>
      <c r="I3108" s="86">
        <v>6790</v>
      </c>
      <c r="J3108" s="85" t="s">
        <v>4391</v>
      </c>
      <c r="K3108" s="85" t="s">
        <v>11898</v>
      </c>
      <c r="L3108" s="85" t="s">
        <v>10737</v>
      </c>
      <c r="M3108" s="85" t="s">
        <v>11951</v>
      </c>
    </row>
    <row r="3109" ht="228" spans="1:13">
      <c r="A3109" s="85" t="s">
        <v>11893</v>
      </c>
      <c r="B3109" s="85" t="s">
        <v>11952</v>
      </c>
      <c r="C3109" s="85" t="s">
        <v>11953</v>
      </c>
      <c r="D3109" s="85" t="s">
        <v>10083</v>
      </c>
      <c r="E3109" s="85" t="s">
        <v>10084</v>
      </c>
      <c r="F3109" s="86">
        <v>19.5</v>
      </c>
      <c r="G3109" s="86">
        <v>14</v>
      </c>
      <c r="H3109" s="86">
        <v>273</v>
      </c>
      <c r="I3109" s="86">
        <v>6790</v>
      </c>
      <c r="J3109" s="85" t="s">
        <v>4391</v>
      </c>
      <c r="K3109" s="85" t="s">
        <v>11898</v>
      </c>
      <c r="L3109" s="85" t="s">
        <v>10737</v>
      </c>
      <c r="M3109" s="85" t="s">
        <v>11954</v>
      </c>
    </row>
    <row r="3110" ht="228" spans="1:13">
      <c r="A3110" s="85" t="s">
        <v>11893</v>
      </c>
      <c r="B3110" s="85" t="s">
        <v>11955</v>
      </c>
      <c r="C3110" s="85" t="s">
        <v>11956</v>
      </c>
      <c r="D3110" s="85" t="s">
        <v>6273</v>
      </c>
      <c r="E3110" s="85" t="s">
        <v>10237</v>
      </c>
      <c r="F3110" s="86">
        <v>48</v>
      </c>
      <c r="G3110" s="86">
        <v>2</v>
      </c>
      <c r="H3110" s="86">
        <v>96</v>
      </c>
      <c r="I3110" s="86">
        <v>6790</v>
      </c>
      <c r="J3110" s="85" t="s">
        <v>4391</v>
      </c>
      <c r="K3110" s="85" t="s">
        <v>11898</v>
      </c>
      <c r="L3110" s="85" t="s">
        <v>10737</v>
      </c>
      <c r="M3110" s="85" t="s">
        <v>11957</v>
      </c>
    </row>
    <row r="3111" ht="228" spans="1:13">
      <c r="A3111" s="85" t="s">
        <v>11893</v>
      </c>
      <c r="B3111" s="85" t="s">
        <v>11958</v>
      </c>
      <c r="C3111" s="85" t="s">
        <v>11959</v>
      </c>
      <c r="D3111" s="85" t="s">
        <v>10126</v>
      </c>
      <c r="E3111" s="85" t="s">
        <v>10127</v>
      </c>
      <c r="F3111" s="86">
        <v>35</v>
      </c>
      <c r="G3111" s="86">
        <v>2</v>
      </c>
      <c r="H3111" s="86">
        <v>70</v>
      </c>
      <c r="I3111" s="86">
        <v>6790</v>
      </c>
      <c r="J3111" s="85" t="s">
        <v>4391</v>
      </c>
      <c r="K3111" s="85" t="s">
        <v>11898</v>
      </c>
      <c r="L3111" s="85" t="s">
        <v>10737</v>
      </c>
      <c r="M3111" s="85" t="s">
        <v>11960</v>
      </c>
    </row>
    <row r="3112" ht="228" spans="1:13">
      <c r="A3112" s="85" t="s">
        <v>11893</v>
      </c>
      <c r="B3112" s="85" t="s">
        <v>11961</v>
      </c>
      <c r="C3112" s="85" t="s">
        <v>11962</v>
      </c>
      <c r="D3112" s="85" t="s">
        <v>7146</v>
      </c>
      <c r="E3112" s="85" t="s">
        <v>11963</v>
      </c>
      <c r="F3112" s="86">
        <v>11</v>
      </c>
      <c r="G3112" s="86">
        <v>2</v>
      </c>
      <c r="H3112" s="86">
        <v>22</v>
      </c>
      <c r="I3112" s="86">
        <v>6790</v>
      </c>
      <c r="J3112" s="85" t="s">
        <v>4391</v>
      </c>
      <c r="K3112" s="85" t="s">
        <v>11898</v>
      </c>
      <c r="L3112" s="85" t="s">
        <v>10737</v>
      </c>
      <c r="M3112" s="85" t="s">
        <v>11964</v>
      </c>
    </row>
    <row r="3113" ht="228" spans="1:13">
      <c r="A3113" s="85" t="s">
        <v>11893</v>
      </c>
      <c r="B3113" s="85" t="s">
        <v>9329</v>
      </c>
      <c r="C3113" s="85" t="s">
        <v>9330</v>
      </c>
      <c r="D3113" s="85" t="s">
        <v>9331</v>
      </c>
      <c r="E3113" s="85" t="s">
        <v>9332</v>
      </c>
      <c r="F3113" s="86">
        <v>3</v>
      </c>
      <c r="G3113" s="86">
        <v>5</v>
      </c>
      <c r="H3113" s="86">
        <v>15</v>
      </c>
      <c r="I3113" s="86">
        <v>6790</v>
      </c>
      <c r="J3113" s="85" t="s">
        <v>4391</v>
      </c>
      <c r="K3113" s="85" t="s">
        <v>11898</v>
      </c>
      <c r="L3113" s="85" t="s">
        <v>10737</v>
      </c>
      <c r="M3113" s="85" t="s">
        <v>11965</v>
      </c>
    </row>
    <row r="3114" ht="228" spans="1:13">
      <c r="A3114" s="85" t="s">
        <v>11893</v>
      </c>
      <c r="B3114" s="85" t="s">
        <v>5724</v>
      </c>
      <c r="C3114" s="85" t="s">
        <v>5725</v>
      </c>
      <c r="D3114" s="85" t="s">
        <v>5302</v>
      </c>
      <c r="E3114" s="85" t="s">
        <v>5726</v>
      </c>
      <c r="F3114" s="86">
        <v>5.8</v>
      </c>
      <c r="G3114" s="86">
        <v>30</v>
      </c>
      <c r="H3114" s="86">
        <v>174</v>
      </c>
      <c r="I3114" s="86">
        <v>6790</v>
      </c>
      <c r="J3114" s="85" t="s">
        <v>4391</v>
      </c>
      <c r="K3114" s="85" t="s">
        <v>11898</v>
      </c>
      <c r="L3114" s="85" t="s">
        <v>10737</v>
      </c>
      <c r="M3114" s="85" t="s">
        <v>11966</v>
      </c>
    </row>
    <row r="3115" ht="228" spans="1:13">
      <c r="A3115" s="85" t="s">
        <v>11893</v>
      </c>
      <c r="B3115" s="85" t="s">
        <v>11967</v>
      </c>
      <c r="C3115" s="85" t="s">
        <v>11968</v>
      </c>
      <c r="D3115" s="85" t="s">
        <v>5610</v>
      </c>
      <c r="E3115" s="85" t="s">
        <v>11969</v>
      </c>
      <c r="F3115" s="86">
        <v>5.9</v>
      </c>
      <c r="G3115" s="86">
        <v>100</v>
      </c>
      <c r="H3115" s="86">
        <v>590</v>
      </c>
      <c r="I3115" s="86">
        <v>6790</v>
      </c>
      <c r="J3115" s="85" t="s">
        <v>4391</v>
      </c>
      <c r="K3115" s="85" t="s">
        <v>11898</v>
      </c>
      <c r="L3115" s="85" t="s">
        <v>10737</v>
      </c>
      <c r="M3115" s="85" t="s">
        <v>11970</v>
      </c>
    </row>
    <row r="3116" ht="228" spans="1:13">
      <c r="A3116" s="85" t="s">
        <v>11893</v>
      </c>
      <c r="B3116" s="85" t="s">
        <v>11971</v>
      </c>
      <c r="C3116" s="85" t="s">
        <v>11972</v>
      </c>
      <c r="D3116" s="85" t="s">
        <v>3419</v>
      </c>
      <c r="E3116" s="85" t="s">
        <v>10011</v>
      </c>
      <c r="F3116" s="86">
        <v>0.8</v>
      </c>
      <c r="G3116" s="86">
        <v>100</v>
      </c>
      <c r="H3116" s="86">
        <v>80</v>
      </c>
      <c r="I3116" s="86">
        <v>6790</v>
      </c>
      <c r="J3116" s="85" t="s">
        <v>4391</v>
      </c>
      <c r="K3116" s="85" t="s">
        <v>11898</v>
      </c>
      <c r="L3116" s="85" t="s">
        <v>10737</v>
      </c>
      <c r="M3116" s="85" t="s">
        <v>11973</v>
      </c>
    </row>
    <row r="3117" ht="228" spans="1:13">
      <c r="A3117" s="85" t="s">
        <v>11893</v>
      </c>
      <c r="B3117" s="85" t="s">
        <v>11974</v>
      </c>
      <c r="C3117" s="85" t="s">
        <v>11975</v>
      </c>
      <c r="D3117" s="85" t="s">
        <v>5610</v>
      </c>
      <c r="E3117" s="85" t="s">
        <v>11976</v>
      </c>
      <c r="F3117" s="86">
        <v>3.5</v>
      </c>
      <c r="G3117" s="86">
        <v>10</v>
      </c>
      <c r="H3117" s="86">
        <v>35</v>
      </c>
      <c r="I3117" s="86">
        <v>6790</v>
      </c>
      <c r="J3117" s="85" t="s">
        <v>4391</v>
      </c>
      <c r="K3117" s="85" t="s">
        <v>11898</v>
      </c>
      <c r="L3117" s="85" t="s">
        <v>10737</v>
      </c>
      <c r="M3117" s="85" t="s">
        <v>11977</v>
      </c>
    </row>
    <row r="3118" ht="228" spans="1:13">
      <c r="A3118" s="85" t="s">
        <v>11893</v>
      </c>
      <c r="B3118" s="85" t="s">
        <v>11978</v>
      </c>
      <c r="C3118" s="85" t="s">
        <v>11979</v>
      </c>
      <c r="D3118" s="85" t="s">
        <v>3367</v>
      </c>
      <c r="E3118" s="85" t="s">
        <v>11980</v>
      </c>
      <c r="F3118" s="86">
        <v>5</v>
      </c>
      <c r="G3118" s="86">
        <v>6</v>
      </c>
      <c r="H3118" s="86">
        <v>30</v>
      </c>
      <c r="I3118" s="86">
        <v>6790</v>
      </c>
      <c r="J3118" s="85" t="s">
        <v>4391</v>
      </c>
      <c r="K3118" s="85" t="s">
        <v>11898</v>
      </c>
      <c r="L3118" s="85" t="s">
        <v>10737</v>
      </c>
      <c r="M3118" s="85" t="s">
        <v>11981</v>
      </c>
    </row>
    <row r="3119" ht="228" spans="1:13">
      <c r="A3119" s="85" t="s">
        <v>11893</v>
      </c>
      <c r="B3119" s="85" t="s">
        <v>11564</v>
      </c>
      <c r="C3119" s="85" t="s">
        <v>11565</v>
      </c>
      <c r="D3119" s="85" t="s">
        <v>3356</v>
      </c>
      <c r="E3119" s="85" t="s">
        <v>11566</v>
      </c>
      <c r="F3119" s="86">
        <v>2</v>
      </c>
      <c r="G3119" s="86">
        <v>50</v>
      </c>
      <c r="H3119" s="86">
        <v>100</v>
      </c>
      <c r="I3119" s="86">
        <v>6790</v>
      </c>
      <c r="J3119" s="85" t="s">
        <v>4391</v>
      </c>
      <c r="K3119" s="85" t="s">
        <v>11898</v>
      </c>
      <c r="L3119" s="85" t="s">
        <v>10737</v>
      </c>
      <c r="M3119" s="85" t="s">
        <v>11982</v>
      </c>
    </row>
    <row r="3120" ht="228" spans="1:13">
      <c r="A3120" s="85" t="s">
        <v>11893</v>
      </c>
      <c r="B3120" s="85" t="s">
        <v>11983</v>
      </c>
      <c r="C3120" s="85" t="s">
        <v>11984</v>
      </c>
      <c r="D3120" s="85" t="s">
        <v>3386</v>
      </c>
      <c r="E3120" s="85" t="s">
        <v>11985</v>
      </c>
      <c r="F3120" s="86">
        <v>32.5</v>
      </c>
      <c r="G3120" s="86">
        <v>4</v>
      </c>
      <c r="H3120" s="86">
        <v>130</v>
      </c>
      <c r="I3120" s="86">
        <v>6790</v>
      </c>
      <c r="J3120" s="85" t="s">
        <v>4391</v>
      </c>
      <c r="K3120" s="85" t="s">
        <v>11898</v>
      </c>
      <c r="L3120" s="85" t="s">
        <v>10737</v>
      </c>
      <c r="M3120" s="85" t="s">
        <v>11986</v>
      </c>
    </row>
    <row r="3121" ht="228" spans="1:13">
      <c r="A3121" s="85" t="s">
        <v>11987</v>
      </c>
      <c r="B3121" s="85" t="s">
        <v>11988</v>
      </c>
      <c r="C3121" s="85" t="s">
        <v>11989</v>
      </c>
      <c r="D3121" s="85" t="s">
        <v>6122</v>
      </c>
      <c r="E3121" s="85" t="s">
        <v>6424</v>
      </c>
      <c r="F3121" s="86">
        <v>24</v>
      </c>
      <c r="G3121" s="86">
        <v>50</v>
      </c>
      <c r="H3121" s="86">
        <v>1200</v>
      </c>
      <c r="I3121" s="86">
        <v>9158</v>
      </c>
      <c r="J3121" s="85" t="s">
        <v>2935</v>
      </c>
      <c r="K3121" s="85" t="s">
        <v>11990</v>
      </c>
      <c r="L3121" s="85" t="s">
        <v>10737</v>
      </c>
      <c r="M3121" s="85" t="s">
        <v>11991</v>
      </c>
    </row>
    <row r="3122" ht="228" spans="1:13">
      <c r="A3122" s="85" t="s">
        <v>11987</v>
      </c>
      <c r="B3122" s="85" t="s">
        <v>9428</v>
      </c>
      <c r="C3122" s="85" t="s">
        <v>9429</v>
      </c>
      <c r="D3122" s="85" t="s">
        <v>9430</v>
      </c>
      <c r="E3122" s="85" t="s">
        <v>9431</v>
      </c>
      <c r="F3122" s="86">
        <v>1.5</v>
      </c>
      <c r="G3122" s="86">
        <v>50</v>
      </c>
      <c r="H3122" s="86">
        <v>75</v>
      </c>
      <c r="I3122" s="86">
        <v>9158</v>
      </c>
      <c r="J3122" s="85" t="s">
        <v>2935</v>
      </c>
      <c r="K3122" s="85" t="s">
        <v>11990</v>
      </c>
      <c r="L3122" s="85" t="s">
        <v>10737</v>
      </c>
      <c r="M3122" s="85" t="s">
        <v>11992</v>
      </c>
    </row>
    <row r="3123" ht="228" spans="1:13">
      <c r="A3123" s="85" t="s">
        <v>11987</v>
      </c>
      <c r="B3123" s="85" t="s">
        <v>11993</v>
      </c>
      <c r="C3123" s="85" t="s">
        <v>11994</v>
      </c>
      <c r="D3123" s="85" t="s">
        <v>6924</v>
      </c>
      <c r="E3123" s="85" t="s">
        <v>7837</v>
      </c>
      <c r="F3123" s="86">
        <v>25</v>
      </c>
      <c r="G3123" s="86">
        <v>5</v>
      </c>
      <c r="H3123" s="86">
        <v>125</v>
      </c>
      <c r="I3123" s="86">
        <v>9158</v>
      </c>
      <c r="J3123" s="85" t="s">
        <v>2935</v>
      </c>
      <c r="K3123" s="85" t="s">
        <v>11990</v>
      </c>
      <c r="L3123" s="85" t="s">
        <v>10737</v>
      </c>
      <c r="M3123" s="85" t="s">
        <v>11995</v>
      </c>
    </row>
    <row r="3124" ht="228" spans="1:13">
      <c r="A3124" s="85" t="s">
        <v>11987</v>
      </c>
      <c r="B3124" s="85" t="s">
        <v>8529</v>
      </c>
      <c r="C3124" s="85" t="s">
        <v>8530</v>
      </c>
      <c r="D3124" s="85" t="s">
        <v>3153</v>
      </c>
      <c r="E3124" s="85" t="s">
        <v>8431</v>
      </c>
      <c r="F3124" s="86">
        <v>370</v>
      </c>
      <c r="G3124" s="86">
        <v>3</v>
      </c>
      <c r="H3124" s="86">
        <v>1110</v>
      </c>
      <c r="I3124" s="86">
        <v>9158</v>
      </c>
      <c r="J3124" s="85" t="s">
        <v>2935</v>
      </c>
      <c r="K3124" s="85" t="s">
        <v>11990</v>
      </c>
      <c r="L3124" s="85" t="s">
        <v>10737</v>
      </c>
      <c r="M3124" s="85" t="s">
        <v>11996</v>
      </c>
    </row>
    <row r="3125" ht="228" spans="1:13">
      <c r="A3125" s="85" t="s">
        <v>11987</v>
      </c>
      <c r="B3125" s="85" t="s">
        <v>11997</v>
      </c>
      <c r="C3125" s="85" t="s">
        <v>11998</v>
      </c>
      <c r="D3125" s="85" t="s">
        <v>11999</v>
      </c>
      <c r="E3125" s="85" t="s">
        <v>12000</v>
      </c>
      <c r="F3125" s="86">
        <v>1980</v>
      </c>
      <c r="G3125" s="86">
        <v>2</v>
      </c>
      <c r="H3125" s="86">
        <v>3960</v>
      </c>
      <c r="I3125" s="86">
        <v>9158</v>
      </c>
      <c r="J3125" s="85" t="s">
        <v>2935</v>
      </c>
      <c r="K3125" s="85" t="s">
        <v>11990</v>
      </c>
      <c r="L3125" s="85" t="s">
        <v>10737</v>
      </c>
      <c r="M3125" s="85" t="s">
        <v>12001</v>
      </c>
    </row>
    <row r="3126" ht="228" spans="1:13">
      <c r="A3126" s="85" t="s">
        <v>11987</v>
      </c>
      <c r="B3126" s="85" t="s">
        <v>12002</v>
      </c>
      <c r="C3126" s="85" t="s">
        <v>12003</v>
      </c>
      <c r="D3126" s="85" t="s">
        <v>3197</v>
      </c>
      <c r="E3126" s="85" t="s">
        <v>12004</v>
      </c>
      <c r="F3126" s="86">
        <v>1.9</v>
      </c>
      <c r="G3126" s="86">
        <v>180</v>
      </c>
      <c r="H3126" s="86">
        <v>342</v>
      </c>
      <c r="I3126" s="86">
        <v>9158</v>
      </c>
      <c r="J3126" s="85" t="s">
        <v>2935</v>
      </c>
      <c r="K3126" s="85" t="s">
        <v>11990</v>
      </c>
      <c r="L3126" s="85" t="s">
        <v>10737</v>
      </c>
      <c r="M3126" s="85" t="s">
        <v>12005</v>
      </c>
    </row>
    <row r="3127" ht="228" spans="1:13">
      <c r="A3127" s="85" t="s">
        <v>11987</v>
      </c>
      <c r="B3127" s="85" t="s">
        <v>10622</v>
      </c>
      <c r="C3127" s="85" t="s">
        <v>10623</v>
      </c>
      <c r="D3127" s="85" t="s">
        <v>3189</v>
      </c>
      <c r="E3127" s="85" t="s">
        <v>10624</v>
      </c>
      <c r="F3127" s="86">
        <v>53</v>
      </c>
      <c r="G3127" s="86">
        <v>5</v>
      </c>
      <c r="H3127" s="86">
        <v>265</v>
      </c>
      <c r="I3127" s="86">
        <v>9158</v>
      </c>
      <c r="J3127" s="85" t="s">
        <v>2935</v>
      </c>
      <c r="K3127" s="85" t="s">
        <v>11990</v>
      </c>
      <c r="L3127" s="85" t="s">
        <v>10737</v>
      </c>
      <c r="M3127" s="85" t="s">
        <v>12006</v>
      </c>
    </row>
    <row r="3128" ht="228" spans="1:13">
      <c r="A3128" s="85" t="s">
        <v>11987</v>
      </c>
      <c r="B3128" s="85" t="s">
        <v>12007</v>
      </c>
      <c r="C3128" s="85" t="s">
        <v>12008</v>
      </c>
      <c r="D3128" s="85" t="s">
        <v>6924</v>
      </c>
      <c r="E3128" s="85" t="s">
        <v>7837</v>
      </c>
      <c r="F3128" s="86">
        <v>25</v>
      </c>
      <c r="G3128" s="86">
        <v>5</v>
      </c>
      <c r="H3128" s="86">
        <v>125</v>
      </c>
      <c r="I3128" s="86">
        <v>9158</v>
      </c>
      <c r="J3128" s="85" t="s">
        <v>2935</v>
      </c>
      <c r="K3128" s="85" t="s">
        <v>11990</v>
      </c>
      <c r="L3128" s="85" t="s">
        <v>10737</v>
      </c>
      <c r="M3128" s="85" t="s">
        <v>12009</v>
      </c>
    </row>
    <row r="3129" ht="228" spans="1:13">
      <c r="A3129" s="85" t="s">
        <v>11987</v>
      </c>
      <c r="B3129" s="85" t="s">
        <v>11233</v>
      </c>
      <c r="C3129" s="85" t="s">
        <v>11234</v>
      </c>
      <c r="D3129" s="85" t="s">
        <v>10791</v>
      </c>
      <c r="E3129" s="85" t="s">
        <v>10792</v>
      </c>
      <c r="F3129" s="86">
        <v>365</v>
      </c>
      <c r="G3129" s="86">
        <v>2</v>
      </c>
      <c r="H3129" s="86">
        <v>730</v>
      </c>
      <c r="I3129" s="86">
        <v>9158</v>
      </c>
      <c r="J3129" s="85" t="s">
        <v>2935</v>
      </c>
      <c r="K3129" s="85" t="s">
        <v>11990</v>
      </c>
      <c r="L3129" s="85" t="s">
        <v>10737</v>
      </c>
      <c r="M3129" s="85" t="s">
        <v>12010</v>
      </c>
    </row>
    <row r="3130" ht="228" spans="1:13">
      <c r="A3130" s="85" t="s">
        <v>11987</v>
      </c>
      <c r="B3130" s="85" t="s">
        <v>11033</v>
      </c>
      <c r="C3130" s="85" t="s">
        <v>11034</v>
      </c>
      <c r="D3130" s="85" t="s">
        <v>3183</v>
      </c>
      <c r="E3130" s="85" t="s">
        <v>6563</v>
      </c>
      <c r="F3130" s="86">
        <v>28</v>
      </c>
      <c r="G3130" s="86">
        <v>23</v>
      </c>
      <c r="H3130" s="86">
        <v>644</v>
      </c>
      <c r="I3130" s="86">
        <v>9158</v>
      </c>
      <c r="J3130" s="85" t="s">
        <v>2935</v>
      </c>
      <c r="K3130" s="85" t="s">
        <v>11990</v>
      </c>
      <c r="L3130" s="85" t="s">
        <v>10737</v>
      </c>
      <c r="M3130" s="85" t="s">
        <v>12011</v>
      </c>
    </row>
    <row r="3131" ht="228" spans="1:13">
      <c r="A3131" s="85" t="s">
        <v>11987</v>
      </c>
      <c r="B3131" s="85" t="s">
        <v>11220</v>
      </c>
      <c r="C3131" s="85" t="s">
        <v>11221</v>
      </c>
      <c r="D3131" s="85" t="s">
        <v>3183</v>
      </c>
      <c r="E3131" s="85" t="s">
        <v>11221</v>
      </c>
      <c r="F3131" s="86">
        <v>76</v>
      </c>
      <c r="G3131" s="86">
        <v>2</v>
      </c>
      <c r="H3131" s="86">
        <v>152</v>
      </c>
      <c r="I3131" s="86">
        <v>9158</v>
      </c>
      <c r="J3131" s="85" t="s">
        <v>2935</v>
      </c>
      <c r="K3131" s="85" t="s">
        <v>11990</v>
      </c>
      <c r="L3131" s="85" t="s">
        <v>10737</v>
      </c>
      <c r="M3131" s="85" t="s">
        <v>12012</v>
      </c>
    </row>
    <row r="3132" ht="228" spans="1:13">
      <c r="A3132" s="85" t="s">
        <v>11987</v>
      </c>
      <c r="B3132" s="85" t="s">
        <v>12013</v>
      </c>
      <c r="C3132" s="85" t="s">
        <v>12014</v>
      </c>
      <c r="D3132" s="85" t="s">
        <v>3068</v>
      </c>
      <c r="E3132" s="85" t="s">
        <v>12014</v>
      </c>
      <c r="F3132" s="86">
        <v>13</v>
      </c>
      <c r="G3132" s="86">
        <v>10</v>
      </c>
      <c r="H3132" s="86">
        <v>130</v>
      </c>
      <c r="I3132" s="86">
        <v>9158</v>
      </c>
      <c r="J3132" s="85" t="s">
        <v>2935</v>
      </c>
      <c r="K3132" s="85" t="s">
        <v>11990</v>
      </c>
      <c r="L3132" s="85" t="s">
        <v>10737</v>
      </c>
      <c r="M3132" s="85" t="s">
        <v>12015</v>
      </c>
    </row>
    <row r="3133" ht="228" spans="1:13">
      <c r="A3133" s="85" t="s">
        <v>11987</v>
      </c>
      <c r="B3133" s="85" t="s">
        <v>12016</v>
      </c>
      <c r="C3133" s="85" t="s">
        <v>12017</v>
      </c>
      <c r="D3133" s="85" t="s">
        <v>3419</v>
      </c>
      <c r="E3133" s="85" t="s">
        <v>10011</v>
      </c>
      <c r="F3133" s="86">
        <v>1.5</v>
      </c>
      <c r="G3133" s="86">
        <v>200</v>
      </c>
      <c r="H3133" s="86">
        <v>300</v>
      </c>
      <c r="I3133" s="86">
        <v>9158</v>
      </c>
      <c r="J3133" s="85" t="s">
        <v>2935</v>
      </c>
      <c r="K3133" s="85" t="s">
        <v>11990</v>
      </c>
      <c r="L3133" s="85" t="s">
        <v>10737</v>
      </c>
      <c r="M3133" s="85" t="s">
        <v>12018</v>
      </c>
    </row>
    <row r="3134" ht="256.5" spans="1:13">
      <c r="A3134" s="85" t="s">
        <v>12019</v>
      </c>
      <c r="B3134" s="85" t="s">
        <v>4142</v>
      </c>
      <c r="C3134" s="85" t="s">
        <v>4143</v>
      </c>
      <c r="D3134" s="85" t="s">
        <v>4144</v>
      </c>
      <c r="E3134" s="85" t="s">
        <v>4143</v>
      </c>
      <c r="F3134" s="86">
        <v>225705</v>
      </c>
      <c r="G3134" s="86">
        <v>1</v>
      </c>
      <c r="H3134" s="86">
        <v>225705</v>
      </c>
      <c r="I3134" s="86">
        <v>225705</v>
      </c>
      <c r="J3134" s="85" t="s">
        <v>3797</v>
      </c>
      <c r="K3134" s="85" t="s">
        <v>12020</v>
      </c>
      <c r="L3134" s="85" t="s">
        <v>11541</v>
      </c>
      <c r="M3134" s="85" t="s">
        <v>12021</v>
      </c>
    </row>
    <row r="3135" ht="256.5" spans="1:13">
      <c r="A3135" s="85" t="s">
        <v>12022</v>
      </c>
      <c r="B3135" s="85" t="s">
        <v>2901</v>
      </c>
      <c r="C3135" s="85" t="s">
        <v>2902</v>
      </c>
      <c r="D3135" s="85" t="s">
        <v>2903</v>
      </c>
      <c r="E3135" s="85" t="s">
        <v>2902</v>
      </c>
      <c r="F3135" s="86">
        <v>54116</v>
      </c>
      <c r="G3135" s="86">
        <v>1</v>
      </c>
      <c r="H3135" s="86">
        <v>54116</v>
      </c>
      <c r="I3135" s="86">
        <v>54116</v>
      </c>
      <c r="J3135" s="85" t="s">
        <v>6734</v>
      </c>
      <c r="K3135" s="85" t="s">
        <v>12023</v>
      </c>
      <c r="L3135" s="85" t="s">
        <v>11541</v>
      </c>
      <c r="M3135" s="85" t="s">
        <v>12024</v>
      </c>
    </row>
    <row r="3136" ht="256.5" spans="1:13">
      <c r="A3136" s="85" t="s">
        <v>12025</v>
      </c>
      <c r="B3136" s="85" t="s">
        <v>2901</v>
      </c>
      <c r="C3136" s="85" t="s">
        <v>2902</v>
      </c>
      <c r="D3136" s="85" t="s">
        <v>2903</v>
      </c>
      <c r="E3136" s="85" t="s">
        <v>2902</v>
      </c>
      <c r="F3136" s="86">
        <v>54550</v>
      </c>
      <c r="G3136" s="86">
        <v>1</v>
      </c>
      <c r="H3136" s="86">
        <v>54550</v>
      </c>
      <c r="I3136" s="86">
        <v>54550</v>
      </c>
      <c r="J3136" s="85" t="s">
        <v>6734</v>
      </c>
      <c r="K3136" s="85" t="s">
        <v>12023</v>
      </c>
      <c r="L3136" s="85" t="s">
        <v>11541</v>
      </c>
      <c r="M3136" s="85" t="s">
        <v>12026</v>
      </c>
    </row>
    <row r="3137" ht="256.5" spans="1:13">
      <c r="A3137" s="85" t="s">
        <v>12027</v>
      </c>
      <c r="B3137" s="85" t="s">
        <v>2901</v>
      </c>
      <c r="C3137" s="85" t="s">
        <v>2902</v>
      </c>
      <c r="D3137" s="85" t="s">
        <v>2903</v>
      </c>
      <c r="E3137" s="85" t="s">
        <v>2902</v>
      </c>
      <c r="F3137" s="86">
        <v>21000</v>
      </c>
      <c r="G3137" s="86">
        <v>1</v>
      </c>
      <c r="H3137" s="86">
        <v>21000</v>
      </c>
      <c r="I3137" s="86">
        <v>21000</v>
      </c>
      <c r="J3137" s="85" t="s">
        <v>6734</v>
      </c>
      <c r="K3137" s="85" t="s">
        <v>12023</v>
      </c>
      <c r="L3137" s="85" t="s">
        <v>11541</v>
      </c>
      <c r="M3137" s="85" t="s">
        <v>12028</v>
      </c>
    </row>
    <row r="3138" ht="228" spans="1:13">
      <c r="A3138" s="85" t="s">
        <v>12029</v>
      </c>
      <c r="B3138" s="85" t="s">
        <v>12030</v>
      </c>
      <c r="C3138" s="85" t="s">
        <v>12031</v>
      </c>
      <c r="D3138" s="85" t="s">
        <v>3367</v>
      </c>
      <c r="E3138" s="85" t="s">
        <v>12031</v>
      </c>
      <c r="F3138" s="86">
        <v>1.57</v>
      </c>
      <c r="G3138" s="86">
        <v>3</v>
      </c>
      <c r="H3138" s="86">
        <v>4.71</v>
      </c>
      <c r="I3138" s="86">
        <v>799.52</v>
      </c>
      <c r="J3138" s="85" t="s">
        <v>9954</v>
      </c>
      <c r="K3138" s="85" t="s">
        <v>12032</v>
      </c>
      <c r="L3138" s="85" t="s">
        <v>10873</v>
      </c>
      <c r="M3138" s="85" t="s">
        <v>12033</v>
      </c>
    </row>
    <row r="3139" ht="228" spans="1:13">
      <c r="A3139" s="85" t="s">
        <v>12029</v>
      </c>
      <c r="B3139" s="85" t="s">
        <v>12034</v>
      </c>
      <c r="C3139" s="85" t="s">
        <v>12035</v>
      </c>
      <c r="D3139" s="85" t="s">
        <v>3593</v>
      </c>
      <c r="E3139" s="85" t="s">
        <v>12035</v>
      </c>
      <c r="F3139" s="86">
        <v>2.1</v>
      </c>
      <c r="G3139" s="86">
        <v>10</v>
      </c>
      <c r="H3139" s="86">
        <v>21</v>
      </c>
      <c r="I3139" s="86">
        <v>799.52</v>
      </c>
      <c r="J3139" s="85" t="s">
        <v>9954</v>
      </c>
      <c r="K3139" s="85" t="s">
        <v>12032</v>
      </c>
      <c r="L3139" s="85" t="s">
        <v>10873</v>
      </c>
      <c r="M3139" s="85" t="s">
        <v>12036</v>
      </c>
    </row>
    <row r="3140" ht="228" spans="1:13">
      <c r="A3140" s="85" t="s">
        <v>12029</v>
      </c>
      <c r="B3140" s="85" t="s">
        <v>9961</v>
      </c>
      <c r="C3140" s="85" t="s">
        <v>9962</v>
      </c>
      <c r="D3140" s="85" t="s">
        <v>3183</v>
      </c>
      <c r="E3140" s="85" t="s">
        <v>9962</v>
      </c>
      <c r="F3140" s="86">
        <v>21.2</v>
      </c>
      <c r="G3140" s="86">
        <v>25</v>
      </c>
      <c r="H3140" s="86">
        <v>530</v>
      </c>
      <c r="I3140" s="86">
        <v>799.52</v>
      </c>
      <c r="J3140" s="85" t="s">
        <v>9954</v>
      </c>
      <c r="K3140" s="85" t="s">
        <v>12032</v>
      </c>
      <c r="L3140" s="85" t="s">
        <v>10873</v>
      </c>
      <c r="M3140" s="85" t="s">
        <v>12037</v>
      </c>
    </row>
    <row r="3141" ht="228" spans="1:13">
      <c r="A3141" s="85" t="s">
        <v>12029</v>
      </c>
      <c r="B3141" s="85" t="s">
        <v>12038</v>
      </c>
      <c r="C3141" s="85" t="s">
        <v>12039</v>
      </c>
      <c r="D3141" s="85" t="s">
        <v>3593</v>
      </c>
      <c r="E3141" s="85" t="s">
        <v>12039</v>
      </c>
      <c r="F3141" s="86">
        <v>0.86</v>
      </c>
      <c r="G3141" s="86">
        <v>20</v>
      </c>
      <c r="H3141" s="86">
        <v>17.2</v>
      </c>
      <c r="I3141" s="86">
        <v>799.52</v>
      </c>
      <c r="J3141" s="85" t="s">
        <v>9954</v>
      </c>
      <c r="K3141" s="85" t="s">
        <v>12032</v>
      </c>
      <c r="L3141" s="85" t="s">
        <v>10873</v>
      </c>
      <c r="M3141" s="85" t="s">
        <v>12040</v>
      </c>
    </row>
    <row r="3142" ht="228" spans="1:13">
      <c r="A3142" s="85" t="s">
        <v>12029</v>
      </c>
      <c r="B3142" s="85" t="s">
        <v>12041</v>
      </c>
      <c r="C3142" s="85" t="s">
        <v>12042</v>
      </c>
      <c r="D3142" s="85" t="s">
        <v>3593</v>
      </c>
      <c r="E3142" s="85" t="s">
        <v>12042</v>
      </c>
      <c r="F3142" s="86">
        <v>4.28</v>
      </c>
      <c r="G3142" s="86">
        <v>10</v>
      </c>
      <c r="H3142" s="86">
        <v>42.8</v>
      </c>
      <c r="I3142" s="86">
        <v>799.52</v>
      </c>
      <c r="J3142" s="85" t="s">
        <v>9954</v>
      </c>
      <c r="K3142" s="85" t="s">
        <v>12032</v>
      </c>
      <c r="L3142" s="85" t="s">
        <v>10873</v>
      </c>
      <c r="M3142" s="85" t="s">
        <v>12043</v>
      </c>
    </row>
    <row r="3143" ht="228" spans="1:13">
      <c r="A3143" s="85" t="s">
        <v>12029</v>
      </c>
      <c r="B3143" s="85" t="s">
        <v>12044</v>
      </c>
      <c r="C3143" s="85" t="s">
        <v>12045</v>
      </c>
      <c r="D3143" s="85" t="s">
        <v>3733</v>
      </c>
      <c r="E3143" s="85" t="s">
        <v>12045</v>
      </c>
      <c r="F3143" s="86">
        <v>3.4</v>
      </c>
      <c r="G3143" s="86">
        <v>10</v>
      </c>
      <c r="H3143" s="86">
        <v>34</v>
      </c>
      <c r="I3143" s="86">
        <v>799.52</v>
      </c>
      <c r="J3143" s="85" t="s">
        <v>9954</v>
      </c>
      <c r="K3143" s="85" t="s">
        <v>12032</v>
      </c>
      <c r="L3143" s="85" t="s">
        <v>10873</v>
      </c>
      <c r="M3143" s="85" t="s">
        <v>12046</v>
      </c>
    </row>
    <row r="3144" ht="228" spans="1:13">
      <c r="A3144" s="85" t="s">
        <v>12029</v>
      </c>
      <c r="B3144" s="85" t="s">
        <v>10699</v>
      </c>
      <c r="C3144" s="85" t="s">
        <v>10700</v>
      </c>
      <c r="D3144" s="85" t="s">
        <v>3230</v>
      </c>
      <c r="E3144" s="85" t="s">
        <v>10700</v>
      </c>
      <c r="F3144" s="86">
        <v>1.66</v>
      </c>
      <c r="G3144" s="86">
        <v>5</v>
      </c>
      <c r="H3144" s="86">
        <v>8.3</v>
      </c>
      <c r="I3144" s="86">
        <v>799.52</v>
      </c>
      <c r="J3144" s="85" t="s">
        <v>9954</v>
      </c>
      <c r="K3144" s="85" t="s">
        <v>12032</v>
      </c>
      <c r="L3144" s="85" t="s">
        <v>10873</v>
      </c>
      <c r="M3144" s="85" t="s">
        <v>12047</v>
      </c>
    </row>
    <row r="3145" ht="228" spans="1:13">
      <c r="A3145" s="85" t="s">
        <v>12029</v>
      </c>
      <c r="B3145" s="85" t="s">
        <v>10690</v>
      </c>
      <c r="C3145" s="85" t="s">
        <v>10691</v>
      </c>
      <c r="D3145" s="85" t="s">
        <v>3230</v>
      </c>
      <c r="E3145" s="85" t="s">
        <v>10691</v>
      </c>
      <c r="F3145" s="86">
        <v>2.7</v>
      </c>
      <c r="G3145" s="86">
        <v>5</v>
      </c>
      <c r="H3145" s="86">
        <v>13.5</v>
      </c>
      <c r="I3145" s="86">
        <v>799.52</v>
      </c>
      <c r="J3145" s="85" t="s">
        <v>9954</v>
      </c>
      <c r="K3145" s="85" t="s">
        <v>12032</v>
      </c>
      <c r="L3145" s="85" t="s">
        <v>10873</v>
      </c>
      <c r="M3145" s="85" t="s">
        <v>12048</v>
      </c>
    </row>
    <row r="3146" ht="228" spans="1:13">
      <c r="A3146" s="85" t="s">
        <v>12029</v>
      </c>
      <c r="B3146" s="85" t="s">
        <v>12049</v>
      </c>
      <c r="C3146" s="85" t="s">
        <v>12050</v>
      </c>
      <c r="D3146" s="85" t="s">
        <v>3153</v>
      </c>
      <c r="E3146" s="85" t="s">
        <v>12050</v>
      </c>
      <c r="F3146" s="86">
        <v>114.8</v>
      </c>
      <c r="G3146" s="86">
        <v>1</v>
      </c>
      <c r="H3146" s="86">
        <v>114.8</v>
      </c>
      <c r="I3146" s="86">
        <v>799.52</v>
      </c>
      <c r="J3146" s="85" t="s">
        <v>9954</v>
      </c>
      <c r="K3146" s="85" t="s">
        <v>12032</v>
      </c>
      <c r="L3146" s="85" t="s">
        <v>10873</v>
      </c>
      <c r="M3146" s="85" t="s">
        <v>12051</v>
      </c>
    </row>
    <row r="3147" ht="228" spans="1:13">
      <c r="A3147" s="85" t="s">
        <v>12029</v>
      </c>
      <c r="B3147" s="85" t="s">
        <v>12052</v>
      </c>
      <c r="C3147" s="85" t="s">
        <v>12053</v>
      </c>
      <c r="D3147" s="85" t="s">
        <v>3367</v>
      </c>
      <c r="E3147" s="85" t="s">
        <v>12053</v>
      </c>
      <c r="F3147" s="86">
        <v>1.57</v>
      </c>
      <c r="G3147" s="86">
        <v>3</v>
      </c>
      <c r="H3147" s="86">
        <v>4.71</v>
      </c>
      <c r="I3147" s="86">
        <v>799.52</v>
      </c>
      <c r="J3147" s="85" t="s">
        <v>9954</v>
      </c>
      <c r="K3147" s="85" t="s">
        <v>12032</v>
      </c>
      <c r="L3147" s="85" t="s">
        <v>10873</v>
      </c>
      <c r="M3147" s="85" t="s">
        <v>12054</v>
      </c>
    </row>
    <row r="3148" ht="228" spans="1:13">
      <c r="A3148" s="85" t="s">
        <v>12029</v>
      </c>
      <c r="B3148" s="85" t="s">
        <v>12055</v>
      </c>
      <c r="C3148" s="85" t="s">
        <v>12056</v>
      </c>
      <c r="D3148" s="85" t="s">
        <v>3230</v>
      </c>
      <c r="E3148" s="85" t="s">
        <v>12056</v>
      </c>
      <c r="F3148" s="86">
        <v>1.7</v>
      </c>
      <c r="G3148" s="86">
        <v>5</v>
      </c>
      <c r="H3148" s="86">
        <v>8.5</v>
      </c>
      <c r="I3148" s="86">
        <v>799.52</v>
      </c>
      <c r="J3148" s="85" t="s">
        <v>9954</v>
      </c>
      <c r="K3148" s="85" t="s">
        <v>12032</v>
      </c>
      <c r="L3148" s="85" t="s">
        <v>10873</v>
      </c>
      <c r="M3148" s="85" t="s">
        <v>12057</v>
      </c>
    </row>
    <row r="3149" ht="256.5" spans="1:13">
      <c r="A3149" s="85" t="s">
        <v>12058</v>
      </c>
      <c r="B3149" s="85" t="s">
        <v>3123</v>
      </c>
      <c r="C3149" s="85" t="s">
        <v>3124</v>
      </c>
      <c r="D3149" s="85" t="s">
        <v>3125</v>
      </c>
      <c r="E3149" s="85" t="s">
        <v>3124</v>
      </c>
      <c r="F3149" s="86">
        <v>9600</v>
      </c>
      <c r="G3149" s="86">
        <v>1</v>
      </c>
      <c r="H3149" s="86">
        <v>9600</v>
      </c>
      <c r="I3149" s="86">
        <v>35200</v>
      </c>
      <c r="J3149" s="85" t="s">
        <v>12059</v>
      </c>
      <c r="K3149" s="85" t="s">
        <v>12060</v>
      </c>
      <c r="L3149" s="85" t="s">
        <v>11541</v>
      </c>
      <c r="M3149" s="85" t="s">
        <v>12061</v>
      </c>
    </row>
    <row r="3150" ht="256.5" spans="1:13">
      <c r="A3150" s="85" t="s">
        <v>12058</v>
      </c>
      <c r="B3150" s="85" t="s">
        <v>3123</v>
      </c>
      <c r="C3150" s="85" t="s">
        <v>3124</v>
      </c>
      <c r="D3150" s="85" t="s">
        <v>3125</v>
      </c>
      <c r="E3150" s="85" t="s">
        <v>3124</v>
      </c>
      <c r="F3150" s="86">
        <v>25600</v>
      </c>
      <c r="G3150" s="86">
        <v>1</v>
      </c>
      <c r="H3150" s="86">
        <v>25600</v>
      </c>
      <c r="I3150" s="86">
        <v>35200</v>
      </c>
      <c r="J3150" s="85" t="s">
        <v>12059</v>
      </c>
      <c r="K3150" s="85" t="s">
        <v>12060</v>
      </c>
      <c r="L3150" s="85" t="s">
        <v>11541</v>
      </c>
      <c r="M3150" s="85" t="s">
        <v>12062</v>
      </c>
    </row>
    <row r="3151" ht="256.5" spans="1:13">
      <c r="A3151" s="85" t="s">
        <v>12063</v>
      </c>
      <c r="B3151" s="85" t="s">
        <v>2901</v>
      </c>
      <c r="C3151" s="85" t="s">
        <v>2902</v>
      </c>
      <c r="D3151" s="85" t="s">
        <v>2903</v>
      </c>
      <c r="E3151" s="85" t="s">
        <v>2902</v>
      </c>
      <c r="F3151" s="86">
        <v>16000</v>
      </c>
      <c r="G3151" s="86">
        <v>1</v>
      </c>
      <c r="H3151" s="86">
        <v>16000</v>
      </c>
      <c r="I3151" s="86">
        <v>32873</v>
      </c>
      <c r="J3151" s="85" t="s">
        <v>4054</v>
      </c>
      <c r="K3151" s="85" t="s">
        <v>12064</v>
      </c>
      <c r="L3151" s="85" t="s">
        <v>11541</v>
      </c>
      <c r="M3151" s="85" t="s">
        <v>12065</v>
      </c>
    </row>
    <row r="3152" ht="256.5" spans="1:13">
      <c r="A3152" s="85" t="s">
        <v>12063</v>
      </c>
      <c r="B3152" s="85" t="s">
        <v>2901</v>
      </c>
      <c r="C3152" s="85" t="s">
        <v>2902</v>
      </c>
      <c r="D3152" s="85" t="s">
        <v>2903</v>
      </c>
      <c r="E3152" s="85" t="s">
        <v>2902</v>
      </c>
      <c r="F3152" s="86">
        <v>16873</v>
      </c>
      <c r="G3152" s="86">
        <v>1</v>
      </c>
      <c r="H3152" s="86">
        <v>16873</v>
      </c>
      <c r="I3152" s="86">
        <v>32873</v>
      </c>
      <c r="J3152" s="85" t="s">
        <v>4054</v>
      </c>
      <c r="K3152" s="85" t="s">
        <v>12064</v>
      </c>
      <c r="L3152" s="85" t="s">
        <v>11541</v>
      </c>
      <c r="M3152" s="85" t="s">
        <v>12066</v>
      </c>
    </row>
    <row r="3153" ht="228" spans="1:13">
      <c r="A3153" s="85" t="s">
        <v>12067</v>
      </c>
      <c r="B3153" s="85" t="s">
        <v>10024</v>
      </c>
      <c r="C3153" s="85" t="s">
        <v>10025</v>
      </c>
      <c r="D3153" s="85" t="s">
        <v>10026</v>
      </c>
      <c r="E3153" s="85" t="s">
        <v>10027</v>
      </c>
      <c r="F3153" s="86">
        <v>48</v>
      </c>
      <c r="G3153" s="86">
        <v>20</v>
      </c>
      <c r="H3153" s="86">
        <v>960</v>
      </c>
      <c r="I3153" s="86">
        <v>21811.7</v>
      </c>
      <c r="J3153" s="85" t="s">
        <v>2935</v>
      </c>
      <c r="K3153" s="85" t="s">
        <v>12068</v>
      </c>
      <c r="L3153" s="85" t="s">
        <v>10737</v>
      </c>
      <c r="M3153" s="85" t="s">
        <v>12069</v>
      </c>
    </row>
    <row r="3154" ht="228" spans="1:13">
      <c r="A3154" s="85" t="s">
        <v>12067</v>
      </c>
      <c r="B3154" s="85" t="s">
        <v>8311</v>
      </c>
      <c r="C3154" s="85" t="s">
        <v>8312</v>
      </c>
      <c r="D3154" s="85" t="s">
        <v>3197</v>
      </c>
      <c r="E3154" s="85" t="s">
        <v>8312</v>
      </c>
      <c r="F3154" s="86">
        <v>1.9</v>
      </c>
      <c r="G3154" s="86">
        <v>80</v>
      </c>
      <c r="H3154" s="86">
        <v>152</v>
      </c>
      <c r="I3154" s="86">
        <v>21811.7</v>
      </c>
      <c r="J3154" s="85" t="s">
        <v>2935</v>
      </c>
      <c r="K3154" s="85" t="s">
        <v>12068</v>
      </c>
      <c r="L3154" s="85" t="s">
        <v>10737</v>
      </c>
      <c r="M3154" s="85" t="s">
        <v>12070</v>
      </c>
    </row>
    <row r="3155" ht="228" spans="1:13">
      <c r="A3155" s="85" t="s">
        <v>12067</v>
      </c>
      <c r="B3155" s="85" t="s">
        <v>12071</v>
      </c>
      <c r="C3155" s="85" t="s">
        <v>12072</v>
      </c>
      <c r="D3155" s="85" t="s">
        <v>3213</v>
      </c>
      <c r="E3155" s="85" t="s">
        <v>12073</v>
      </c>
      <c r="F3155" s="86">
        <v>12</v>
      </c>
      <c r="G3155" s="86">
        <v>38</v>
      </c>
      <c r="H3155" s="86">
        <v>456</v>
      </c>
      <c r="I3155" s="86">
        <v>21811.7</v>
      </c>
      <c r="J3155" s="85" t="s">
        <v>2935</v>
      </c>
      <c r="K3155" s="85" t="s">
        <v>12068</v>
      </c>
      <c r="L3155" s="85" t="s">
        <v>10737</v>
      </c>
      <c r="M3155" s="85" t="s">
        <v>12074</v>
      </c>
    </row>
    <row r="3156" ht="228" spans="1:13">
      <c r="A3156" s="85" t="s">
        <v>12067</v>
      </c>
      <c r="B3156" s="85" t="s">
        <v>12075</v>
      </c>
      <c r="C3156" s="85" t="s">
        <v>12076</v>
      </c>
      <c r="D3156" s="85" t="s">
        <v>3213</v>
      </c>
      <c r="E3156" s="85" t="s">
        <v>12077</v>
      </c>
      <c r="F3156" s="86">
        <v>12</v>
      </c>
      <c r="G3156" s="86">
        <v>38</v>
      </c>
      <c r="H3156" s="86">
        <v>456</v>
      </c>
      <c r="I3156" s="86">
        <v>21811.7</v>
      </c>
      <c r="J3156" s="85" t="s">
        <v>2935</v>
      </c>
      <c r="K3156" s="85" t="s">
        <v>12068</v>
      </c>
      <c r="L3156" s="85" t="s">
        <v>10737</v>
      </c>
      <c r="M3156" s="85" t="s">
        <v>12078</v>
      </c>
    </row>
    <row r="3157" ht="228" spans="1:13">
      <c r="A3157" s="85" t="s">
        <v>12067</v>
      </c>
      <c r="B3157" s="85" t="s">
        <v>12079</v>
      </c>
      <c r="C3157" s="85" t="s">
        <v>12080</v>
      </c>
      <c r="D3157" s="85" t="s">
        <v>7955</v>
      </c>
      <c r="E3157" s="85" t="s">
        <v>2103</v>
      </c>
      <c r="F3157" s="86">
        <v>980</v>
      </c>
      <c r="G3157" s="86">
        <v>1</v>
      </c>
      <c r="H3157" s="86">
        <v>980</v>
      </c>
      <c r="I3157" s="86">
        <v>21811.7</v>
      </c>
      <c r="J3157" s="85" t="s">
        <v>2935</v>
      </c>
      <c r="K3157" s="85" t="s">
        <v>12068</v>
      </c>
      <c r="L3157" s="85" t="s">
        <v>10737</v>
      </c>
      <c r="M3157" s="85" t="s">
        <v>12081</v>
      </c>
    </row>
    <row r="3158" ht="228" spans="1:13">
      <c r="A3158" s="85" t="s">
        <v>12067</v>
      </c>
      <c r="B3158" s="85" t="s">
        <v>12082</v>
      </c>
      <c r="C3158" s="85" t="s">
        <v>12083</v>
      </c>
      <c r="D3158" s="85" t="s">
        <v>12084</v>
      </c>
      <c r="E3158" s="85" t="s">
        <v>12085</v>
      </c>
      <c r="F3158" s="86">
        <v>22</v>
      </c>
      <c r="G3158" s="86">
        <v>30</v>
      </c>
      <c r="H3158" s="86">
        <v>660</v>
      </c>
      <c r="I3158" s="86">
        <v>21811.7</v>
      </c>
      <c r="J3158" s="85" t="s">
        <v>2935</v>
      </c>
      <c r="K3158" s="85" t="s">
        <v>12068</v>
      </c>
      <c r="L3158" s="85" t="s">
        <v>10737</v>
      </c>
      <c r="M3158" s="85" t="s">
        <v>12086</v>
      </c>
    </row>
    <row r="3159" ht="228" spans="1:13">
      <c r="A3159" s="85" t="s">
        <v>12067</v>
      </c>
      <c r="B3159" s="85" t="s">
        <v>12087</v>
      </c>
      <c r="C3159" s="85" t="s">
        <v>12088</v>
      </c>
      <c r="D3159" s="85" t="s">
        <v>3367</v>
      </c>
      <c r="E3159" s="85" t="s">
        <v>11980</v>
      </c>
      <c r="F3159" s="86">
        <v>8.9</v>
      </c>
      <c r="G3159" s="86">
        <v>3</v>
      </c>
      <c r="H3159" s="86">
        <v>26.7</v>
      </c>
      <c r="I3159" s="86">
        <v>21811.7</v>
      </c>
      <c r="J3159" s="85" t="s">
        <v>2935</v>
      </c>
      <c r="K3159" s="85" t="s">
        <v>12068</v>
      </c>
      <c r="L3159" s="85" t="s">
        <v>10737</v>
      </c>
      <c r="M3159" s="85" t="s">
        <v>12089</v>
      </c>
    </row>
    <row r="3160" ht="228" spans="1:13">
      <c r="A3160" s="85" t="s">
        <v>12067</v>
      </c>
      <c r="B3160" s="85" t="s">
        <v>10132</v>
      </c>
      <c r="C3160" s="85" t="s">
        <v>10133</v>
      </c>
      <c r="D3160" s="85" t="s">
        <v>7271</v>
      </c>
      <c r="E3160" s="85" t="s">
        <v>10134</v>
      </c>
      <c r="F3160" s="86">
        <v>20</v>
      </c>
      <c r="G3160" s="86">
        <v>36</v>
      </c>
      <c r="H3160" s="86">
        <v>720</v>
      </c>
      <c r="I3160" s="86">
        <v>21811.7</v>
      </c>
      <c r="J3160" s="85" t="s">
        <v>2935</v>
      </c>
      <c r="K3160" s="85" t="s">
        <v>12068</v>
      </c>
      <c r="L3160" s="85" t="s">
        <v>10737</v>
      </c>
      <c r="M3160" s="85" t="s">
        <v>12090</v>
      </c>
    </row>
    <row r="3161" ht="228" spans="1:13">
      <c r="A3161" s="85" t="s">
        <v>12067</v>
      </c>
      <c r="B3161" s="85" t="s">
        <v>12091</v>
      </c>
      <c r="C3161" s="85" t="s">
        <v>12092</v>
      </c>
      <c r="D3161" s="85" t="s">
        <v>3617</v>
      </c>
      <c r="E3161" s="85" t="s">
        <v>9396</v>
      </c>
      <c r="F3161" s="86">
        <v>760</v>
      </c>
      <c r="G3161" s="86">
        <v>8</v>
      </c>
      <c r="H3161" s="86">
        <v>6080</v>
      </c>
      <c r="I3161" s="86">
        <v>21811.7</v>
      </c>
      <c r="J3161" s="85" t="s">
        <v>2935</v>
      </c>
      <c r="K3161" s="85" t="s">
        <v>12068</v>
      </c>
      <c r="L3161" s="85" t="s">
        <v>10737</v>
      </c>
      <c r="M3161" s="85" t="s">
        <v>12093</v>
      </c>
    </row>
    <row r="3162" ht="228" spans="1:13">
      <c r="A3162" s="85" t="s">
        <v>12067</v>
      </c>
      <c r="B3162" s="85" t="s">
        <v>10953</v>
      </c>
      <c r="C3162" s="85" t="s">
        <v>10954</v>
      </c>
      <c r="D3162" s="85" t="s">
        <v>5796</v>
      </c>
      <c r="E3162" s="85" t="s">
        <v>10955</v>
      </c>
      <c r="F3162" s="86">
        <v>25</v>
      </c>
      <c r="G3162" s="86">
        <v>50</v>
      </c>
      <c r="H3162" s="86">
        <v>1250</v>
      </c>
      <c r="I3162" s="86">
        <v>21811.7</v>
      </c>
      <c r="J3162" s="85" t="s">
        <v>2935</v>
      </c>
      <c r="K3162" s="85" t="s">
        <v>12068</v>
      </c>
      <c r="L3162" s="85" t="s">
        <v>10737</v>
      </c>
      <c r="M3162" s="85" t="s">
        <v>12094</v>
      </c>
    </row>
    <row r="3163" ht="228" spans="1:13">
      <c r="A3163" s="85" t="s">
        <v>12067</v>
      </c>
      <c r="B3163" s="85" t="s">
        <v>11033</v>
      </c>
      <c r="C3163" s="85" t="s">
        <v>11034</v>
      </c>
      <c r="D3163" s="85" t="s">
        <v>3183</v>
      </c>
      <c r="E3163" s="85" t="s">
        <v>6563</v>
      </c>
      <c r="F3163" s="86">
        <v>28</v>
      </c>
      <c r="G3163" s="86">
        <v>103</v>
      </c>
      <c r="H3163" s="86">
        <v>2884</v>
      </c>
      <c r="I3163" s="86">
        <v>21811.7</v>
      </c>
      <c r="J3163" s="85" t="s">
        <v>2935</v>
      </c>
      <c r="K3163" s="85" t="s">
        <v>12068</v>
      </c>
      <c r="L3163" s="85" t="s">
        <v>10737</v>
      </c>
      <c r="M3163" s="85" t="s">
        <v>12095</v>
      </c>
    </row>
    <row r="3164" ht="228" spans="1:13">
      <c r="A3164" s="85" t="s">
        <v>12067</v>
      </c>
      <c r="B3164" s="85" t="s">
        <v>12096</v>
      </c>
      <c r="C3164" s="85" t="s">
        <v>12097</v>
      </c>
      <c r="D3164" s="85" t="s">
        <v>3014</v>
      </c>
      <c r="E3164" s="85" t="s">
        <v>12097</v>
      </c>
      <c r="F3164" s="86">
        <v>460</v>
      </c>
      <c r="G3164" s="86">
        <v>3</v>
      </c>
      <c r="H3164" s="86">
        <v>1380</v>
      </c>
      <c r="I3164" s="86">
        <v>21811.7</v>
      </c>
      <c r="J3164" s="85" t="s">
        <v>2935</v>
      </c>
      <c r="K3164" s="85" t="s">
        <v>12068</v>
      </c>
      <c r="L3164" s="85" t="s">
        <v>10737</v>
      </c>
      <c r="M3164" s="85" t="s">
        <v>12098</v>
      </c>
    </row>
    <row r="3165" ht="228" spans="1:13">
      <c r="A3165" s="85" t="s">
        <v>12067</v>
      </c>
      <c r="B3165" s="85" t="s">
        <v>12099</v>
      </c>
      <c r="C3165" s="85" t="s">
        <v>12100</v>
      </c>
      <c r="D3165" s="85" t="s">
        <v>8790</v>
      </c>
      <c r="E3165" s="85" t="s">
        <v>8791</v>
      </c>
      <c r="F3165" s="86">
        <v>375</v>
      </c>
      <c r="G3165" s="86">
        <v>2</v>
      </c>
      <c r="H3165" s="86">
        <v>750</v>
      </c>
      <c r="I3165" s="86">
        <v>21811.7</v>
      </c>
      <c r="J3165" s="85" t="s">
        <v>2935</v>
      </c>
      <c r="K3165" s="85" t="s">
        <v>12068</v>
      </c>
      <c r="L3165" s="85" t="s">
        <v>10737</v>
      </c>
      <c r="M3165" s="85" t="s">
        <v>12101</v>
      </c>
    </row>
    <row r="3166" ht="228" spans="1:13">
      <c r="A3166" s="85" t="s">
        <v>12067</v>
      </c>
      <c r="B3166" s="85" t="s">
        <v>12102</v>
      </c>
      <c r="C3166" s="85" t="s">
        <v>12103</v>
      </c>
      <c r="D3166" s="85" t="s">
        <v>11999</v>
      </c>
      <c r="E3166" s="85" t="s">
        <v>12104</v>
      </c>
      <c r="F3166" s="86">
        <v>955</v>
      </c>
      <c r="G3166" s="86">
        <v>5</v>
      </c>
      <c r="H3166" s="86">
        <v>4775</v>
      </c>
      <c r="I3166" s="86">
        <v>21811.7</v>
      </c>
      <c r="J3166" s="85" t="s">
        <v>2935</v>
      </c>
      <c r="K3166" s="85" t="s">
        <v>12068</v>
      </c>
      <c r="L3166" s="85" t="s">
        <v>10737</v>
      </c>
      <c r="M3166" s="85" t="s">
        <v>12105</v>
      </c>
    </row>
    <row r="3167" ht="228" spans="1:13">
      <c r="A3167" s="85" t="s">
        <v>12067</v>
      </c>
      <c r="B3167" s="85" t="s">
        <v>9769</v>
      </c>
      <c r="C3167" s="85" t="s">
        <v>9770</v>
      </c>
      <c r="D3167" s="85" t="s">
        <v>9771</v>
      </c>
      <c r="E3167" s="85" t="s">
        <v>9772</v>
      </c>
      <c r="F3167" s="86">
        <v>36</v>
      </c>
      <c r="G3167" s="86">
        <v>2</v>
      </c>
      <c r="H3167" s="86">
        <v>72</v>
      </c>
      <c r="I3167" s="86">
        <v>21811.7</v>
      </c>
      <c r="J3167" s="85" t="s">
        <v>2935</v>
      </c>
      <c r="K3167" s="85" t="s">
        <v>12068</v>
      </c>
      <c r="L3167" s="85" t="s">
        <v>10737</v>
      </c>
      <c r="M3167" s="85" t="s">
        <v>12106</v>
      </c>
    </row>
    <row r="3168" ht="228" spans="1:13">
      <c r="A3168" s="85" t="s">
        <v>12067</v>
      </c>
      <c r="B3168" s="85" t="s">
        <v>12107</v>
      </c>
      <c r="C3168" s="85" t="s">
        <v>12108</v>
      </c>
      <c r="D3168" s="85" t="s">
        <v>7140</v>
      </c>
      <c r="E3168" s="85" t="s">
        <v>7141</v>
      </c>
      <c r="F3168" s="86">
        <v>70</v>
      </c>
      <c r="G3168" s="86">
        <v>3</v>
      </c>
      <c r="H3168" s="86">
        <v>210</v>
      </c>
      <c r="I3168" s="86">
        <v>21811.7</v>
      </c>
      <c r="J3168" s="85" t="s">
        <v>2935</v>
      </c>
      <c r="K3168" s="85" t="s">
        <v>12068</v>
      </c>
      <c r="L3168" s="85" t="s">
        <v>10737</v>
      </c>
      <c r="M3168" s="85" t="s">
        <v>12109</v>
      </c>
    </row>
    <row r="3169" ht="228" spans="1:13">
      <c r="A3169" s="85" t="s">
        <v>12110</v>
      </c>
      <c r="B3169" s="85" t="s">
        <v>12111</v>
      </c>
      <c r="C3169" s="85" t="s">
        <v>12112</v>
      </c>
      <c r="D3169" s="85" t="s">
        <v>12113</v>
      </c>
      <c r="E3169" s="85" t="s">
        <v>12114</v>
      </c>
      <c r="F3169" s="86">
        <v>2699</v>
      </c>
      <c r="G3169" s="86">
        <v>6</v>
      </c>
      <c r="H3169" s="86">
        <v>16194</v>
      </c>
      <c r="I3169" s="86">
        <v>16194</v>
      </c>
      <c r="J3169" s="85" t="s">
        <v>11597</v>
      </c>
      <c r="K3169" s="85" t="s">
        <v>12115</v>
      </c>
      <c r="L3169" s="85" t="s">
        <v>10873</v>
      </c>
      <c r="M3169" s="85" t="s">
        <v>12116</v>
      </c>
    </row>
    <row r="3170" ht="228" spans="1:13">
      <c r="A3170" s="85" t="s">
        <v>12117</v>
      </c>
      <c r="B3170" s="85" t="s">
        <v>11511</v>
      </c>
      <c r="C3170" s="85" t="s">
        <v>11512</v>
      </c>
      <c r="D3170" s="85" t="s">
        <v>3041</v>
      </c>
      <c r="E3170" s="85" t="s">
        <v>5167</v>
      </c>
      <c r="F3170" s="86">
        <v>22.6</v>
      </c>
      <c r="G3170" s="86">
        <v>54</v>
      </c>
      <c r="H3170" s="86">
        <v>1220.4</v>
      </c>
      <c r="I3170" s="86">
        <v>1220.4</v>
      </c>
      <c r="J3170" s="85" t="s">
        <v>4370</v>
      </c>
      <c r="K3170" s="85" t="s">
        <v>12118</v>
      </c>
      <c r="L3170" s="85" t="s">
        <v>10737</v>
      </c>
      <c r="M3170" s="85" t="s">
        <v>12119</v>
      </c>
    </row>
    <row r="3171" ht="228" spans="1:13">
      <c r="A3171" s="85" t="s">
        <v>12120</v>
      </c>
      <c r="B3171" s="85" t="s">
        <v>11590</v>
      </c>
      <c r="C3171" s="85" t="s">
        <v>11591</v>
      </c>
      <c r="D3171" s="85" t="s">
        <v>7739</v>
      </c>
      <c r="E3171" s="85" t="s">
        <v>10637</v>
      </c>
      <c r="F3171" s="86">
        <v>4650</v>
      </c>
      <c r="G3171" s="86">
        <v>6</v>
      </c>
      <c r="H3171" s="86">
        <v>27900</v>
      </c>
      <c r="I3171" s="86">
        <v>27900</v>
      </c>
      <c r="J3171" s="85" t="s">
        <v>5083</v>
      </c>
      <c r="K3171" s="85" t="s">
        <v>12118</v>
      </c>
      <c r="L3171" s="85" t="s">
        <v>10737</v>
      </c>
      <c r="M3171" s="85" t="s">
        <v>12121</v>
      </c>
    </row>
    <row r="3172" ht="228" spans="1:13">
      <c r="A3172" s="85" t="s">
        <v>12122</v>
      </c>
      <c r="B3172" s="85" t="s">
        <v>3788</v>
      </c>
      <c r="C3172" s="85" t="s">
        <v>3789</v>
      </c>
      <c r="D3172" s="85" t="s">
        <v>3189</v>
      </c>
      <c r="E3172" s="85" t="s">
        <v>3790</v>
      </c>
      <c r="F3172" s="86">
        <v>100</v>
      </c>
      <c r="G3172" s="86">
        <v>40</v>
      </c>
      <c r="H3172" s="86">
        <v>4000</v>
      </c>
      <c r="I3172" s="86">
        <v>4000</v>
      </c>
      <c r="J3172" s="85" t="s">
        <v>7934</v>
      </c>
      <c r="K3172" s="85" t="s">
        <v>12118</v>
      </c>
      <c r="L3172" s="85" t="s">
        <v>10737</v>
      </c>
      <c r="M3172" s="85" t="s">
        <v>12123</v>
      </c>
    </row>
    <row r="3173" ht="228" spans="1:13">
      <c r="A3173" s="85" t="s">
        <v>12124</v>
      </c>
      <c r="B3173" s="85" t="s">
        <v>12125</v>
      </c>
      <c r="C3173" s="85" t="s">
        <v>12126</v>
      </c>
      <c r="D3173" s="85" t="s">
        <v>3543</v>
      </c>
      <c r="E3173" s="85" t="s">
        <v>8057</v>
      </c>
      <c r="F3173" s="86">
        <v>55</v>
      </c>
      <c r="G3173" s="86">
        <v>5</v>
      </c>
      <c r="H3173" s="86">
        <v>275</v>
      </c>
      <c r="I3173" s="86">
        <v>275</v>
      </c>
      <c r="J3173" s="85" t="s">
        <v>2935</v>
      </c>
      <c r="K3173" s="85" t="s">
        <v>12118</v>
      </c>
      <c r="L3173" s="85" t="s">
        <v>10737</v>
      </c>
      <c r="M3173" s="85" t="s">
        <v>12127</v>
      </c>
    </row>
    <row r="3174" ht="228" spans="1:13">
      <c r="A3174" s="85" t="s">
        <v>12128</v>
      </c>
      <c r="B3174" s="85" t="s">
        <v>12129</v>
      </c>
      <c r="C3174" s="85" t="s">
        <v>12130</v>
      </c>
      <c r="D3174" s="85" t="s">
        <v>3438</v>
      </c>
      <c r="E3174" s="85" t="s">
        <v>11021</v>
      </c>
      <c r="F3174" s="86">
        <v>410</v>
      </c>
      <c r="G3174" s="86">
        <v>5</v>
      </c>
      <c r="H3174" s="86">
        <v>2050</v>
      </c>
      <c r="I3174" s="86">
        <v>14479</v>
      </c>
      <c r="J3174" s="85" t="s">
        <v>2935</v>
      </c>
      <c r="K3174" s="85" t="s">
        <v>12131</v>
      </c>
      <c r="L3174" s="85" t="s">
        <v>10737</v>
      </c>
      <c r="M3174" s="85" t="s">
        <v>12132</v>
      </c>
    </row>
    <row r="3175" ht="228" spans="1:13">
      <c r="A3175" s="85" t="s">
        <v>12128</v>
      </c>
      <c r="B3175" s="85" t="s">
        <v>12133</v>
      </c>
      <c r="C3175" s="85" t="s">
        <v>12134</v>
      </c>
      <c r="D3175" s="85" t="s">
        <v>3862</v>
      </c>
      <c r="E3175" s="85" t="s">
        <v>12135</v>
      </c>
      <c r="F3175" s="86">
        <v>615</v>
      </c>
      <c r="G3175" s="86">
        <v>1</v>
      </c>
      <c r="H3175" s="86">
        <v>615</v>
      </c>
      <c r="I3175" s="86">
        <v>14479</v>
      </c>
      <c r="J3175" s="85" t="s">
        <v>2935</v>
      </c>
      <c r="K3175" s="85" t="s">
        <v>12131</v>
      </c>
      <c r="L3175" s="85" t="s">
        <v>10737</v>
      </c>
      <c r="M3175" s="85" t="s">
        <v>12136</v>
      </c>
    </row>
    <row r="3176" ht="228" spans="1:13">
      <c r="A3176" s="85" t="s">
        <v>12128</v>
      </c>
      <c r="B3176" s="85" t="s">
        <v>12137</v>
      </c>
      <c r="C3176" s="85" t="s">
        <v>12138</v>
      </c>
      <c r="D3176" s="85" t="s">
        <v>11999</v>
      </c>
      <c r="E3176" s="85" t="s">
        <v>12139</v>
      </c>
      <c r="F3176" s="86">
        <v>587</v>
      </c>
      <c r="G3176" s="86">
        <v>5</v>
      </c>
      <c r="H3176" s="86">
        <v>2935</v>
      </c>
      <c r="I3176" s="86">
        <v>14479</v>
      </c>
      <c r="J3176" s="85" t="s">
        <v>2935</v>
      </c>
      <c r="K3176" s="85" t="s">
        <v>12131</v>
      </c>
      <c r="L3176" s="85" t="s">
        <v>10737</v>
      </c>
      <c r="M3176" s="85" t="s">
        <v>12140</v>
      </c>
    </row>
    <row r="3177" ht="228" spans="1:13">
      <c r="A3177" s="85" t="s">
        <v>12128</v>
      </c>
      <c r="B3177" s="85" t="s">
        <v>12141</v>
      </c>
      <c r="C3177" s="85" t="s">
        <v>12142</v>
      </c>
      <c r="D3177" s="85" t="s">
        <v>8767</v>
      </c>
      <c r="E3177" s="85" t="s">
        <v>8768</v>
      </c>
      <c r="F3177" s="86">
        <v>31</v>
      </c>
      <c r="G3177" s="86">
        <v>10</v>
      </c>
      <c r="H3177" s="86">
        <v>310</v>
      </c>
      <c r="I3177" s="86">
        <v>14479</v>
      </c>
      <c r="J3177" s="85" t="s">
        <v>2935</v>
      </c>
      <c r="K3177" s="85" t="s">
        <v>12131</v>
      </c>
      <c r="L3177" s="85" t="s">
        <v>10737</v>
      </c>
      <c r="M3177" s="85" t="s">
        <v>12143</v>
      </c>
    </row>
    <row r="3178" ht="228" spans="1:13">
      <c r="A3178" s="85" t="s">
        <v>12128</v>
      </c>
      <c r="B3178" s="85" t="s">
        <v>12144</v>
      </c>
      <c r="C3178" s="85" t="s">
        <v>12145</v>
      </c>
      <c r="D3178" s="85" t="s">
        <v>3928</v>
      </c>
      <c r="E3178" s="85" t="s">
        <v>7744</v>
      </c>
      <c r="F3178" s="86">
        <v>40</v>
      </c>
      <c r="G3178" s="86">
        <v>40</v>
      </c>
      <c r="H3178" s="86">
        <v>1600</v>
      </c>
      <c r="I3178" s="86">
        <v>14479</v>
      </c>
      <c r="J3178" s="85" t="s">
        <v>2935</v>
      </c>
      <c r="K3178" s="85" t="s">
        <v>12131</v>
      </c>
      <c r="L3178" s="85" t="s">
        <v>10737</v>
      </c>
      <c r="M3178" s="85" t="s">
        <v>12146</v>
      </c>
    </row>
    <row r="3179" ht="228" spans="1:13">
      <c r="A3179" s="85" t="s">
        <v>12128</v>
      </c>
      <c r="B3179" s="85" t="s">
        <v>12147</v>
      </c>
      <c r="C3179" s="85" t="s">
        <v>12148</v>
      </c>
      <c r="D3179" s="85" t="s">
        <v>3337</v>
      </c>
      <c r="E3179" s="85" t="s">
        <v>3338</v>
      </c>
      <c r="F3179" s="86">
        <v>35</v>
      </c>
      <c r="G3179" s="86">
        <v>5</v>
      </c>
      <c r="H3179" s="86">
        <v>175</v>
      </c>
      <c r="I3179" s="86">
        <v>14479</v>
      </c>
      <c r="J3179" s="85" t="s">
        <v>2935</v>
      </c>
      <c r="K3179" s="85" t="s">
        <v>12131</v>
      </c>
      <c r="L3179" s="85" t="s">
        <v>10737</v>
      </c>
      <c r="M3179" s="85" t="s">
        <v>12149</v>
      </c>
    </row>
    <row r="3180" ht="228" spans="1:13">
      <c r="A3180" s="85" t="s">
        <v>12128</v>
      </c>
      <c r="B3180" s="85" t="s">
        <v>12150</v>
      </c>
      <c r="C3180" s="85" t="s">
        <v>12151</v>
      </c>
      <c r="D3180" s="85" t="s">
        <v>11161</v>
      </c>
      <c r="E3180" s="85" t="s">
        <v>11162</v>
      </c>
      <c r="F3180" s="86">
        <v>3</v>
      </c>
      <c r="G3180" s="86">
        <v>500</v>
      </c>
      <c r="H3180" s="86">
        <v>1500</v>
      </c>
      <c r="I3180" s="86">
        <v>14479</v>
      </c>
      <c r="J3180" s="85" t="s">
        <v>2935</v>
      </c>
      <c r="K3180" s="85" t="s">
        <v>12131</v>
      </c>
      <c r="L3180" s="85" t="s">
        <v>10737</v>
      </c>
      <c r="M3180" s="85" t="s">
        <v>12152</v>
      </c>
    </row>
    <row r="3181" ht="228" spans="1:13">
      <c r="A3181" s="85" t="s">
        <v>12128</v>
      </c>
      <c r="B3181" s="85" t="s">
        <v>12153</v>
      </c>
      <c r="C3181" s="85" t="s">
        <v>12154</v>
      </c>
      <c r="D3181" s="85" t="s">
        <v>12155</v>
      </c>
      <c r="E3181" s="85" t="s">
        <v>12156</v>
      </c>
      <c r="F3181" s="86">
        <v>7</v>
      </c>
      <c r="G3181" s="86">
        <v>6</v>
      </c>
      <c r="H3181" s="86">
        <v>42</v>
      </c>
      <c r="I3181" s="86">
        <v>14479</v>
      </c>
      <c r="J3181" s="85" t="s">
        <v>2935</v>
      </c>
      <c r="K3181" s="85" t="s">
        <v>12131</v>
      </c>
      <c r="L3181" s="85" t="s">
        <v>10737</v>
      </c>
      <c r="M3181" s="85" t="s">
        <v>12157</v>
      </c>
    </row>
    <row r="3182" ht="228" spans="1:13">
      <c r="A3182" s="85" t="s">
        <v>12128</v>
      </c>
      <c r="B3182" s="85" t="s">
        <v>11151</v>
      </c>
      <c r="C3182" s="85" t="s">
        <v>11152</v>
      </c>
      <c r="D3182" s="85" t="s">
        <v>11153</v>
      </c>
      <c r="E3182" s="85" t="s">
        <v>11154</v>
      </c>
      <c r="F3182" s="86">
        <v>9</v>
      </c>
      <c r="G3182" s="86">
        <v>500</v>
      </c>
      <c r="H3182" s="86">
        <v>4500</v>
      </c>
      <c r="I3182" s="86">
        <v>14479</v>
      </c>
      <c r="J3182" s="85" t="s">
        <v>2935</v>
      </c>
      <c r="K3182" s="85" t="s">
        <v>12131</v>
      </c>
      <c r="L3182" s="85" t="s">
        <v>10737</v>
      </c>
      <c r="M3182" s="85" t="s">
        <v>12158</v>
      </c>
    </row>
    <row r="3183" ht="228" spans="1:13">
      <c r="A3183" s="85" t="s">
        <v>12128</v>
      </c>
      <c r="B3183" s="85" t="s">
        <v>12159</v>
      </c>
      <c r="C3183" s="85" t="s">
        <v>12160</v>
      </c>
      <c r="D3183" s="85" t="s">
        <v>9140</v>
      </c>
      <c r="E3183" s="85" t="s">
        <v>3209</v>
      </c>
      <c r="F3183" s="86">
        <v>17</v>
      </c>
      <c r="G3183" s="86">
        <v>6</v>
      </c>
      <c r="H3183" s="86">
        <v>102</v>
      </c>
      <c r="I3183" s="86">
        <v>14479</v>
      </c>
      <c r="J3183" s="85" t="s">
        <v>2935</v>
      </c>
      <c r="K3183" s="85" t="s">
        <v>12131</v>
      </c>
      <c r="L3183" s="85" t="s">
        <v>10737</v>
      </c>
      <c r="M3183" s="85" t="s">
        <v>12161</v>
      </c>
    </row>
    <row r="3184" ht="228" spans="1:13">
      <c r="A3184" s="85" t="s">
        <v>12128</v>
      </c>
      <c r="B3184" s="85" t="s">
        <v>12162</v>
      </c>
      <c r="C3184" s="85" t="s">
        <v>12163</v>
      </c>
      <c r="D3184" s="85" t="s">
        <v>3862</v>
      </c>
      <c r="E3184" s="85" t="s">
        <v>12164</v>
      </c>
      <c r="F3184" s="86">
        <v>450</v>
      </c>
      <c r="G3184" s="86">
        <v>1</v>
      </c>
      <c r="H3184" s="86">
        <v>450</v>
      </c>
      <c r="I3184" s="86">
        <v>14479</v>
      </c>
      <c r="J3184" s="85" t="s">
        <v>2935</v>
      </c>
      <c r="K3184" s="85" t="s">
        <v>12131</v>
      </c>
      <c r="L3184" s="85" t="s">
        <v>10737</v>
      </c>
      <c r="M3184" s="85" t="s">
        <v>12165</v>
      </c>
    </row>
    <row r="3185" ht="228" spans="1:13">
      <c r="A3185" s="85" t="s">
        <v>12128</v>
      </c>
      <c r="B3185" s="85" t="s">
        <v>9406</v>
      </c>
      <c r="C3185" s="85" t="s">
        <v>9407</v>
      </c>
      <c r="D3185" s="85" t="s">
        <v>9408</v>
      </c>
      <c r="E3185" s="85" t="s">
        <v>9409</v>
      </c>
      <c r="F3185" s="86">
        <v>20</v>
      </c>
      <c r="G3185" s="86">
        <v>10</v>
      </c>
      <c r="H3185" s="86">
        <v>200</v>
      </c>
      <c r="I3185" s="86">
        <v>14479</v>
      </c>
      <c r="J3185" s="85" t="s">
        <v>2935</v>
      </c>
      <c r="K3185" s="85" t="s">
        <v>12131</v>
      </c>
      <c r="L3185" s="85" t="s">
        <v>10737</v>
      </c>
      <c r="M3185" s="85" t="s">
        <v>12166</v>
      </c>
    </row>
    <row r="3186" ht="228" spans="1:13">
      <c r="A3186" s="85" t="s">
        <v>12167</v>
      </c>
      <c r="B3186" s="85" t="s">
        <v>8883</v>
      </c>
      <c r="C3186" s="85" t="s">
        <v>8884</v>
      </c>
      <c r="D3186" s="85" t="s">
        <v>3041</v>
      </c>
      <c r="E3186" s="85" t="s">
        <v>3158</v>
      </c>
      <c r="F3186" s="86">
        <v>20</v>
      </c>
      <c r="G3186" s="86">
        <v>200</v>
      </c>
      <c r="H3186" s="86">
        <v>4000</v>
      </c>
      <c r="I3186" s="86">
        <v>5717</v>
      </c>
      <c r="J3186" s="85" t="s">
        <v>4370</v>
      </c>
      <c r="K3186" s="85" t="s">
        <v>12168</v>
      </c>
      <c r="L3186" s="85" t="s">
        <v>10737</v>
      </c>
      <c r="M3186" s="85" t="s">
        <v>12169</v>
      </c>
    </row>
    <row r="3187" ht="228" spans="1:13">
      <c r="A3187" s="85" t="s">
        <v>12170</v>
      </c>
      <c r="B3187" s="85" t="s">
        <v>12171</v>
      </c>
      <c r="C3187" s="85" t="s">
        <v>12172</v>
      </c>
      <c r="D3187" s="85" t="s">
        <v>4225</v>
      </c>
      <c r="E3187" s="85" t="s">
        <v>4226</v>
      </c>
      <c r="F3187" s="86">
        <v>55</v>
      </c>
      <c r="G3187" s="86">
        <v>20</v>
      </c>
      <c r="H3187" s="86">
        <v>1100</v>
      </c>
      <c r="I3187" s="86">
        <v>1970</v>
      </c>
      <c r="J3187" s="85" t="s">
        <v>4391</v>
      </c>
      <c r="K3187" s="85" t="s">
        <v>12168</v>
      </c>
      <c r="L3187" s="85" t="s">
        <v>10737</v>
      </c>
      <c r="M3187" s="85" t="s">
        <v>12173</v>
      </c>
    </row>
    <row r="3188" ht="228" spans="1:13">
      <c r="A3188" s="85" t="s">
        <v>12174</v>
      </c>
      <c r="B3188" s="85" t="s">
        <v>9441</v>
      </c>
      <c r="C3188" s="85" t="s">
        <v>9442</v>
      </c>
      <c r="D3188" s="85" t="s">
        <v>3014</v>
      </c>
      <c r="E3188" s="85" t="s">
        <v>5150</v>
      </c>
      <c r="F3188" s="86">
        <v>108</v>
      </c>
      <c r="G3188" s="86">
        <v>3</v>
      </c>
      <c r="H3188" s="86">
        <v>324</v>
      </c>
      <c r="I3188" s="86">
        <v>1648</v>
      </c>
      <c r="J3188" s="85" t="s">
        <v>2935</v>
      </c>
      <c r="K3188" s="85" t="s">
        <v>12168</v>
      </c>
      <c r="L3188" s="85" t="s">
        <v>10737</v>
      </c>
      <c r="M3188" s="85" t="s">
        <v>12175</v>
      </c>
    </row>
    <row r="3189" ht="228" spans="1:13">
      <c r="A3189" s="85" t="s">
        <v>12176</v>
      </c>
      <c r="B3189" s="85" t="s">
        <v>10049</v>
      </c>
      <c r="C3189" s="85" t="s">
        <v>10050</v>
      </c>
      <c r="D3189" s="85" t="s">
        <v>7140</v>
      </c>
      <c r="E3189" s="85" t="s">
        <v>7141</v>
      </c>
      <c r="F3189" s="86">
        <v>279</v>
      </c>
      <c r="G3189" s="86">
        <v>39</v>
      </c>
      <c r="H3189" s="86">
        <v>10881</v>
      </c>
      <c r="I3189" s="86">
        <v>11781</v>
      </c>
      <c r="J3189" s="85" t="s">
        <v>2935</v>
      </c>
      <c r="K3189" s="85" t="s">
        <v>12168</v>
      </c>
      <c r="L3189" s="85" t="s">
        <v>10737</v>
      </c>
      <c r="M3189" s="85" t="s">
        <v>12177</v>
      </c>
    </row>
    <row r="3190" ht="228" spans="1:13">
      <c r="A3190" s="85" t="s">
        <v>12178</v>
      </c>
      <c r="B3190" s="85" t="s">
        <v>10526</v>
      </c>
      <c r="C3190" s="85" t="s">
        <v>10527</v>
      </c>
      <c r="D3190" s="85" t="s">
        <v>8767</v>
      </c>
      <c r="E3190" s="85" t="s">
        <v>3050</v>
      </c>
      <c r="F3190" s="86">
        <v>5.8</v>
      </c>
      <c r="G3190" s="86">
        <v>100</v>
      </c>
      <c r="H3190" s="86">
        <v>580</v>
      </c>
      <c r="I3190" s="86">
        <v>21234</v>
      </c>
      <c r="J3190" s="85" t="s">
        <v>9135</v>
      </c>
      <c r="K3190" s="85" t="s">
        <v>12168</v>
      </c>
      <c r="L3190" s="85" t="s">
        <v>10737</v>
      </c>
      <c r="M3190" s="85" t="s">
        <v>12179</v>
      </c>
    </row>
    <row r="3191" ht="228" spans="1:13">
      <c r="A3191" s="85" t="s">
        <v>12180</v>
      </c>
      <c r="B3191" s="85" t="s">
        <v>12181</v>
      </c>
      <c r="C3191" s="85" t="s">
        <v>12182</v>
      </c>
      <c r="D3191" s="85" t="s">
        <v>12183</v>
      </c>
      <c r="E3191" s="85" t="s">
        <v>2988</v>
      </c>
      <c r="F3191" s="86">
        <v>35</v>
      </c>
      <c r="G3191" s="86">
        <v>10</v>
      </c>
      <c r="H3191" s="86">
        <v>350</v>
      </c>
      <c r="I3191" s="86">
        <v>350</v>
      </c>
      <c r="J3191" s="85" t="s">
        <v>9135</v>
      </c>
      <c r="K3191" s="85" t="s">
        <v>12168</v>
      </c>
      <c r="L3191" s="85" t="s">
        <v>10737</v>
      </c>
      <c r="M3191" s="85" t="s">
        <v>12184</v>
      </c>
    </row>
    <row r="3192" ht="228" spans="1:13">
      <c r="A3192" s="85" t="s">
        <v>12185</v>
      </c>
      <c r="B3192" s="85" t="s">
        <v>8518</v>
      </c>
      <c r="C3192" s="85" t="s">
        <v>8519</v>
      </c>
      <c r="D3192" s="85" t="s">
        <v>3617</v>
      </c>
      <c r="E3192" s="85" t="s">
        <v>6448</v>
      </c>
      <c r="F3192" s="86">
        <v>48</v>
      </c>
      <c r="G3192" s="86">
        <v>20</v>
      </c>
      <c r="H3192" s="86">
        <v>960</v>
      </c>
      <c r="I3192" s="86">
        <v>3947</v>
      </c>
      <c r="J3192" s="85" t="s">
        <v>2935</v>
      </c>
      <c r="K3192" s="85" t="s">
        <v>12168</v>
      </c>
      <c r="L3192" s="85" t="s">
        <v>10737</v>
      </c>
      <c r="M3192" s="85" t="s">
        <v>12186</v>
      </c>
    </row>
    <row r="3193" ht="228" spans="1:13">
      <c r="A3193" s="85" t="s">
        <v>12167</v>
      </c>
      <c r="B3193" s="85" t="s">
        <v>4864</v>
      </c>
      <c r="C3193" s="85" t="s">
        <v>4865</v>
      </c>
      <c r="D3193" s="85" t="s">
        <v>4866</v>
      </c>
      <c r="E3193" s="85" t="s">
        <v>4867</v>
      </c>
      <c r="F3193" s="86">
        <v>100</v>
      </c>
      <c r="G3193" s="86">
        <v>4</v>
      </c>
      <c r="H3193" s="86">
        <v>400</v>
      </c>
      <c r="I3193" s="86">
        <v>5717</v>
      </c>
      <c r="J3193" s="85" t="s">
        <v>4370</v>
      </c>
      <c r="K3193" s="85" t="s">
        <v>12168</v>
      </c>
      <c r="L3193" s="85" t="s">
        <v>10737</v>
      </c>
      <c r="M3193" s="85" t="s">
        <v>12187</v>
      </c>
    </row>
    <row r="3194" ht="228" spans="1:13">
      <c r="A3194" s="85" t="s">
        <v>12188</v>
      </c>
      <c r="B3194" s="85" t="s">
        <v>12189</v>
      </c>
      <c r="C3194" s="85" t="s">
        <v>12190</v>
      </c>
      <c r="D3194" s="85" t="s">
        <v>3014</v>
      </c>
      <c r="E3194" s="85" t="s">
        <v>12191</v>
      </c>
      <c r="F3194" s="86">
        <v>74</v>
      </c>
      <c r="G3194" s="86">
        <v>3</v>
      </c>
      <c r="H3194" s="86">
        <v>222</v>
      </c>
      <c r="I3194" s="86">
        <v>2276</v>
      </c>
      <c r="J3194" s="85" t="s">
        <v>4391</v>
      </c>
      <c r="K3194" s="85" t="s">
        <v>12168</v>
      </c>
      <c r="L3194" s="85" t="s">
        <v>10737</v>
      </c>
      <c r="M3194" s="85" t="s">
        <v>12192</v>
      </c>
    </row>
    <row r="3195" ht="228" spans="1:13">
      <c r="A3195" s="85" t="s">
        <v>12176</v>
      </c>
      <c r="B3195" s="85" t="s">
        <v>11375</v>
      </c>
      <c r="C3195" s="85" t="s">
        <v>11376</v>
      </c>
      <c r="D3195" s="85" t="s">
        <v>2997</v>
      </c>
      <c r="E3195" s="85" t="s">
        <v>2998</v>
      </c>
      <c r="F3195" s="86">
        <v>18</v>
      </c>
      <c r="G3195" s="86">
        <v>50</v>
      </c>
      <c r="H3195" s="86">
        <v>900</v>
      </c>
      <c r="I3195" s="86">
        <v>11781</v>
      </c>
      <c r="J3195" s="85" t="s">
        <v>2935</v>
      </c>
      <c r="K3195" s="85" t="s">
        <v>12168</v>
      </c>
      <c r="L3195" s="85" t="s">
        <v>10737</v>
      </c>
      <c r="M3195" s="85" t="s">
        <v>12193</v>
      </c>
    </row>
    <row r="3196" ht="228" spans="1:13">
      <c r="A3196" s="85" t="s">
        <v>12188</v>
      </c>
      <c r="B3196" s="85" t="s">
        <v>10149</v>
      </c>
      <c r="C3196" s="85" t="s">
        <v>10150</v>
      </c>
      <c r="D3196" s="85" t="s">
        <v>10151</v>
      </c>
      <c r="E3196" s="85" t="s">
        <v>10152</v>
      </c>
      <c r="F3196" s="86">
        <v>16</v>
      </c>
      <c r="G3196" s="86">
        <v>24</v>
      </c>
      <c r="H3196" s="86">
        <v>384</v>
      </c>
      <c r="I3196" s="86">
        <v>2276</v>
      </c>
      <c r="J3196" s="85" t="s">
        <v>4391</v>
      </c>
      <c r="K3196" s="85" t="s">
        <v>12168</v>
      </c>
      <c r="L3196" s="85" t="s">
        <v>10737</v>
      </c>
      <c r="M3196" s="85" t="s">
        <v>12194</v>
      </c>
    </row>
    <row r="3197" ht="228" spans="1:13">
      <c r="A3197" s="85" t="s">
        <v>12195</v>
      </c>
      <c r="B3197" s="85" t="s">
        <v>8765</v>
      </c>
      <c r="C3197" s="85" t="s">
        <v>8766</v>
      </c>
      <c r="D3197" s="85" t="s">
        <v>8767</v>
      </c>
      <c r="E3197" s="85" t="s">
        <v>8768</v>
      </c>
      <c r="F3197" s="86">
        <v>62</v>
      </c>
      <c r="G3197" s="86">
        <v>26</v>
      </c>
      <c r="H3197" s="86">
        <v>1612</v>
      </c>
      <c r="I3197" s="86">
        <v>4172</v>
      </c>
      <c r="J3197" s="85" t="s">
        <v>2935</v>
      </c>
      <c r="K3197" s="85" t="s">
        <v>12168</v>
      </c>
      <c r="L3197" s="85" t="s">
        <v>10737</v>
      </c>
      <c r="M3197" s="85" t="s">
        <v>12196</v>
      </c>
    </row>
    <row r="3198" ht="228" spans="1:13">
      <c r="A3198" s="85" t="s">
        <v>12178</v>
      </c>
      <c r="B3198" s="85" t="s">
        <v>11450</v>
      </c>
      <c r="C3198" s="85" t="s">
        <v>11451</v>
      </c>
      <c r="D3198" s="85" t="s">
        <v>2992</v>
      </c>
      <c r="E3198" s="85" t="s">
        <v>1815</v>
      </c>
      <c r="F3198" s="86">
        <v>360</v>
      </c>
      <c r="G3198" s="86">
        <v>6</v>
      </c>
      <c r="H3198" s="86">
        <v>2160</v>
      </c>
      <c r="I3198" s="86">
        <v>21234</v>
      </c>
      <c r="J3198" s="85" t="s">
        <v>9135</v>
      </c>
      <c r="K3198" s="85" t="s">
        <v>12168</v>
      </c>
      <c r="L3198" s="85" t="s">
        <v>10737</v>
      </c>
      <c r="M3198" s="85" t="s">
        <v>12197</v>
      </c>
    </row>
    <row r="3199" ht="228" spans="1:13">
      <c r="A3199" s="85" t="s">
        <v>12178</v>
      </c>
      <c r="B3199" s="85" t="s">
        <v>11489</v>
      </c>
      <c r="C3199" s="85" t="s">
        <v>11490</v>
      </c>
      <c r="D3199" s="85" t="s">
        <v>3656</v>
      </c>
      <c r="E3199" s="85" t="s">
        <v>8150</v>
      </c>
      <c r="F3199" s="86">
        <v>24</v>
      </c>
      <c r="G3199" s="86">
        <v>40</v>
      </c>
      <c r="H3199" s="86">
        <v>960</v>
      </c>
      <c r="I3199" s="86">
        <v>21234</v>
      </c>
      <c r="J3199" s="85" t="s">
        <v>9135</v>
      </c>
      <c r="K3199" s="85" t="s">
        <v>12168</v>
      </c>
      <c r="L3199" s="85" t="s">
        <v>10737</v>
      </c>
      <c r="M3199" s="85" t="s">
        <v>12198</v>
      </c>
    </row>
    <row r="3200" ht="228" spans="1:13">
      <c r="A3200" s="85" t="s">
        <v>12199</v>
      </c>
      <c r="B3200" s="85" t="s">
        <v>11036</v>
      </c>
      <c r="C3200" s="85" t="s">
        <v>11037</v>
      </c>
      <c r="D3200" s="85" t="s">
        <v>9350</v>
      </c>
      <c r="E3200" s="85" t="s">
        <v>9351</v>
      </c>
      <c r="F3200" s="86">
        <v>65</v>
      </c>
      <c r="G3200" s="86">
        <v>20</v>
      </c>
      <c r="H3200" s="86">
        <v>1300</v>
      </c>
      <c r="I3200" s="86">
        <v>1450</v>
      </c>
      <c r="J3200" s="85" t="s">
        <v>2935</v>
      </c>
      <c r="K3200" s="85" t="s">
        <v>12168</v>
      </c>
      <c r="L3200" s="85" t="s">
        <v>10737</v>
      </c>
      <c r="M3200" s="85" t="s">
        <v>12200</v>
      </c>
    </row>
    <row r="3201" ht="228" spans="1:13">
      <c r="A3201" s="85" t="s">
        <v>12185</v>
      </c>
      <c r="B3201" s="85" t="s">
        <v>9423</v>
      </c>
      <c r="C3201" s="85" t="s">
        <v>9424</v>
      </c>
      <c r="D3201" s="85" t="s">
        <v>3014</v>
      </c>
      <c r="E3201" s="85" t="s">
        <v>9425</v>
      </c>
      <c r="F3201" s="86">
        <v>71</v>
      </c>
      <c r="G3201" s="86">
        <v>3</v>
      </c>
      <c r="H3201" s="86">
        <v>213</v>
      </c>
      <c r="I3201" s="86">
        <v>3947</v>
      </c>
      <c r="J3201" s="85" t="s">
        <v>2935</v>
      </c>
      <c r="K3201" s="85" t="s">
        <v>12168</v>
      </c>
      <c r="L3201" s="85" t="s">
        <v>10737</v>
      </c>
      <c r="M3201" s="85" t="s">
        <v>12201</v>
      </c>
    </row>
    <row r="3202" ht="228" spans="1:13">
      <c r="A3202" s="85" t="s">
        <v>12202</v>
      </c>
      <c r="B3202" s="85" t="s">
        <v>11496</v>
      </c>
      <c r="C3202" s="85" t="s">
        <v>11497</v>
      </c>
      <c r="D3202" s="85" t="s">
        <v>11498</v>
      </c>
      <c r="E3202" s="85" t="s">
        <v>3094</v>
      </c>
      <c r="F3202" s="86">
        <v>17</v>
      </c>
      <c r="G3202" s="86">
        <v>60</v>
      </c>
      <c r="H3202" s="86">
        <v>1020</v>
      </c>
      <c r="I3202" s="86">
        <v>8120</v>
      </c>
      <c r="J3202" s="85" t="s">
        <v>9135</v>
      </c>
      <c r="K3202" s="85" t="s">
        <v>12168</v>
      </c>
      <c r="L3202" s="85" t="s">
        <v>10737</v>
      </c>
      <c r="M3202" s="85" t="s">
        <v>12203</v>
      </c>
    </row>
    <row r="3203" ht="228" spans="1:13">
      <c r="A3203" s="85" t="s">
        <v>12174</v>
      </c>
      <c r="B3203" s="85" t="s">
        <v>9259</v>
      </c>
      <c r="C3203" s="85" t="s">
        <v>9260</v>
      </c>
      <c r="D3203" s="85" t="s">
        <v>3985</v>
      </c>
      <c r="E3203" s="85" t="s">
        <v>6502</v>
      </c>
      <c r="F3203" s="86">
        <v>35</v>
      </c>
      <c r="G3203" s="86">
        <v>2</v>
      </c>
      <c r="H3203" s="86">
        <v>70</v>
      </c>
      <c r="I3203" s="86">
        <v>1648</v>
      </c>
      <c r="J3203" s="85" t="s">
        <v>2935</v>
      </c>
      <c r="K3203" s="85" t="s">
        <v>12168</v>
      </c>
      <c r="L3203" s="85" t="s">
        <v>10737</v>
      </c>
      <c r="M3203" s="85" t="s">
        <v>12204</v>
      </c>
    </row>
    <row r="3204" ht="228" spans="1:13">
      <c r="A3204" s="85" t="s">
        <v>12205</v>
      </c>
      <c r="B3204" s="85" t="s">
        <v>11851</v>
      </c>
      <c r="C3204" s="85" t="s">
        <v>11852</v>
      </c>
      <c r="D3204" s="85" t="s">
        <v>3201</v>
      </c>
      <c r="E3204" s="85" t="s">
        <v>11853</v>
      </c>
      <c r="F3204" s="86">
        <v>32</v>
      </c>
      <c r="G3204" s="86">
        <v>3</v>
      </c>
      <c r="H3204" s="86">
        <v>96</v>
      </c>
      <c r="I3204" s="86">
        <v>96</v>
      </c>
      <c r="J3204" s="85" t="s">
        <v>4391</v>
      </c>
      <c r="K3204" s="85" t="s">
        <v>12168</v>
      </c>
      <c r="L3204" s="85" t="s">
        <v>10737</v>
      </c>
      <c r="M3204" s="85" t="s">
        <v>12206</v>
      </c>
    </row>
    <row r="3205" ht="228" spans="1:13">
      <c r="A3205" s="85" t="s">
        <v>12185</v>
      </c>
      <c r="B3205" s="85" t="s">
        <v>12207</v>
      </c>
      <c r="C3205" s="85" t="s">
        <v>12208</v>
      </c>
      <c r="D3205" s="85" t="s">
        <v>3617</v>
      </c>
      <c r="E3205" s="85" t="s">
        <v>6448</v>
      </c>
      <c r="F3205" s="86">
        <v>33</v>
      </c>
      <c r="G3205" s="86">
        <v>20</v>
      </c>
      <c r="H3205" s="86">
        <v>660</v>
      </c>
      <c r="I3205" s="86">
        <v>3947</v>
      </c>
      <c r="J3205" s="85" t="s">
        <v>2935</v>
      </c>
      <c r="K3205" s="85" t="s">
        <v>12168</v>
      </c>
      <c r="L3205" s="85" t="s">
        <v>10737</v>
      </c>
      <c r="M3205" s="85" t="s">
        <v>12209</v>
      </c>
    </row>
    <row r="3206" ht="228" spans="1:13">
      <c r="A3206" s="85" t="s">
        <v>12185</v>
      </c>
      <c r="B3206" s="85" t="s">
        <v>9748</v>
      </c>
      <c r="C3206" s="85" t="s">
        <v>9749</v>
      </c>
      <c r="D3206" s="85" t="s">
        <v>3046</v>
      </c>
      <c r="E3206" s="85" t="s">
        <v>6506</v>
      </c>
      <c r="F3206" s="86">
        <v>377</v>
      </c>
      <c r="G3206" s="86">
        <v>2</v>
      </c>
      <c r="H3206" s="86">
        <v>754</v>
      </c>
      <c r="I3206" s="86">
        <v>3947</v>
      </c>
      <c r="J3206" s="85" t="s">
        <v>2935</v>
      </c>
      <c r="K3206" s="85" t="s">
        <v>12168</v>
      </c>
      <c r="L3206" s="85" t="s">
        <v>10737</v>
      </c>
      <c r="M3206" s="85" t="s">
        <v>12210</v>
      </c>
    </row>
    <row r="3207" ht="228" spans="1:13">
      <c r="A3207" s="85" t="s">
        <v>12170</v>
      </c>
      <c r="B3207" s="85" t="s">
        <v>12211</v>
      </c>
      <c r="C3207" s="85" t="s">
        <v>12212</v>
      </c>
      <c r="D3207" s="85" t="s">
        <v>4225</v>
      </c>
      <c r="E3207" s="85" t="s">
        <v>4226</v>
      </c>
      <c r="F3207" s="86">
        <v>43.5</v>
      </c>
      <c r="G3207" s="86">
        <v>20</v>
      </c>
      <c r="H3207" s="86">
        <v>870</v>
      </c>
      <c r="I3207" s="86">
        <v>1970</v>
      </c>
      <c r="J3207" s="85" t="s">
        <v>4391</v>
      </c>
      <c r="K3207" s="85" t="s">
        <v>12168</v>
      </c>
      <c r="L3207" s="85" t="s">
        <v>10737</v>
      </c>
      <c r="M3207" s="85" t="s">
        <v>12213</v>
      </c>
    </row>
    <row r="3208" ht="228" spans="1:13">
      <c r="A3208" s="85" t="s">
        <v>12188</v>
      </c>
      <c r="B3208" s="85" t="s">
        <v>7699</v>
      </c>
      <c r="C3208" s="85" t="s">
        <v>7700</v>
      </c>
      <c r="D3208" s="85" t="s">
        <v>4772</v>
      </c>
      <c r="E3208" s="85" t="s">
        <v>4773</v>
      </c>
      <c r="F3208" s="86">
        <v>101</v>
      </c>
      <c r="G3208" s="86">
        <v>10</v>
      </c>
      <c r="H3208" s="86">
        <v>1010</v>
      </c>
      <c r="I3208" s="86">
        <v>2276</v>
      </c>
      <c r="J3208" s="85" t="s">
        <v>4391</v>
      </c>
      <c r="K3208" s="85" t="s">
        <v>12168</v>
      </c>
      <c r="L3208" s="85" t="s">
        <v>10737</v>
      </c>
      <c r="M3208" s="85" t="s">
        <v>12214</v>
      </c>
    </row>
    <row r="3209" ht="228" spans="1:13">
      <c r="A3209" s="85" t="s">
        <v>12188</v>
      </c>
      <c r="B3209" s="85" t="s">
        <v>10883</v>
      </c>
      <c r="C3209" s="85" t="s">
        <v>10884</v>
      </c>
      <c r="D3209" s="85" t="s">
        <v>3148</v>
      </c>
      <c r="E3209" s="85" t="s">
        <v>4242</v>
      </c>
      <c r="F3209" s="86">
        <v>12</v>
      </c>
      <c r="G3209" s="86">
        <v>30</v>
      </c>
      <c r="H3209" s="86">
        <v>360</v>
      </c>
      <c r="I3209" s="86">
        <v>2276</v>
      </c>
      <c r="J3209" s="85" t="s">
        <v>4391</v>
      </c>
      <c r="K3209" s="85" t="s">
        <v>12168</v>
      </c>
      <c r="L3209" s="85" t="s">
        <v>10737</v>
      </c>
      <c r="M3209" s="85" t="s">
        <v>12215</v>
      </c>
    </row>
    <row r="3210" ht="228" spans="1:13">
      <c r="A3210" s="85" t="s">
        <v>12216</v>
      </c>
      <c r="B3210" s="85" t="s">
        <v>5662</v>
      </c>
      <c r="C3210" s="85" t="s">
        <v>11672</v>
      </c>
      <c r="D3210" s="85" t="s">
        <v>4076</v>
      </c>
      <c r="E3210" s="85" t="s">
        <v>1832</v>
      </c>
      <c r="F3210" s="86">
        <v>106</v>
      </c>
      <c r="G3210" s="86">
        <v>150</v>
      </c>
      <c r="H3210" s="86">
        <v>15900</v>
      </c>
      <c r="I3210" s="86">
        <v>38325</v>
      </c>
      <c r="J3210" s="85" t="s">
        <v>12217</v>
      </c>
      <c r="K3210" s="85" t="s">
        <v>12168</v>
      </c>
      <c r="L3210" s="85" t="s">
        <v>10737</v>
      </c>
      <c r="M3210" s="85" t="s">
        <v>12218</v>
      </c>
    </row>
    <row r="3211" ht="228" spans="1:13">
      <c r="A3211" s="85" t="s">
        <v>12174</v>
      </c>
      <c r="B3211" s="85" t="s">
        <v>9495</v>
      </c>
      <c r="C3211" s="85" t="s">
        <v>9496</v>
      </c>
      <c r="D3211" s="85" t="s">
        <v>9497</v>
      </c>
      <c r="E3211" s="85" t="s">
        <v>8413</v>
      </c>
      <c r="F3211" s="86">
        <v>13.5</v>
      </c>
      <c r="G3211" s="86">
        <v>50</v>
      </c>
      <c r="H3211" s="86">
        <v>675</v>
      </c>
      <c r="I3211" s="86">
        <v>1648</v>
      </c>
      <c r="J3211" s="85" t="s">
        <v>2935</v>
      </c>
      <c r="K3211" s="85" t="s">
        <v>12168</v>
      </c>
      <c r="L3211" s="85" t="s">
        <v>10737</v>
      </c>
      <c r="M3211" s="85" t="s">
        <v>12219</v>
      </c>
    </row>
    <row r="3212" ht="228" spans="1:13">
      <c r="A3212" s="85" t="s">
        <v>12174</v>
      </c>
      <c r="B3212" s="85" t="s">
        <v>11402</v>
      </c>
      <c r="C3212" s="85" t="s">
        <v>11403</v>
      </c>
      <c r="D3212" s="85" t="s">
        <v>3030</v>
      </c>
      <c r="E3212" s="85" t="s">
        <v>1916</v>
      </c>
      <c r="F3212" s="86">
        <v>193</v>
      </c>
      <c r="G3212" s="86">
        <v>3</v>
      </c>
      <c r="H3212" s="86">
        <v>579</v>
      </c>
      <c r="I3212" s="86">
        <v>1648</v>
      </c>
      <c r="J3212" s="85" t="s">
        <v>2935</v>
      </c>
      <c r="K3212" s="85" t="s">
        <v>12168</v>
      </c>
      <c r="L3212" s="85" t="s">
        <v>10737</v>
      </c>
      <c r="M3212" s="85" t="s">
        <v>12220</v>
      </c>
    </row>
    <row r="3213" ht="228" spans="1:13">
      <c r="A3213" s="85" t="s">
        <v>12178</v>
      </c>
      <c r="B3213" s="85" t="s">
        <v>11472</v>
      </c>
      <c r="C3213" s="85" t="s">
        <v>11473</v>
      </c>
      <c r="D3213" s="85" t="s">
        <v>2992</v>
      </c>
      <c r="E3213" s="85" t="s">
        <v>1815</v>
      </c>
      <c r="F3213" s="86">
        <v>0.25</v>
      </c>
      <c r="G3213" s="86">
        <v>40000</v>
      </c>
      <c r="H3213" s="86">
        <v>10000</v>
      </c>
      <c r="I3213" s="86">
        <v>21234</v>
      </c>
      <c r="J3213" s="85" t="s">
        <v>9135</v>
      </c>
      <c r="K3213" s="85" t="s">
        <v>12168</v>
      </c>
      <c r="L3213" s="85" t="s">
        <v>10737</v>
      </c>
      <c r="M3213" s="85" t="s">
        <v>12221</v>
      </c>
    </row>
    <row r="3214" ht="228" spans="1:13">
      <c r="A3214" s="85" t="s">
        <v>12188</v>
      </c>
      <c r="B3214" s="85" t="s">
        <v>10899</v>
      </c>
      <c r="C3214" s="85" t="s">
        <v>10900</v>
      </c>
      <c r="D3214" s="85" t="s">
        <v>3680</v>
      </c>
      <c r="E3214" s="85" t="s">
        <v>5462</v>
      </c>
      <c r="F3214" s="86">
        <v>3</v>
      </c>
      <c r="G3214" s="86">
        <v>100</v>
      </c>
      <c r="H3214" s="86">
        <v>300</v>
      </c>
      <c r="I3214" s="86">
        <v>2276</v>
      </c>
      <c r="J3214" s="85" t="s">
        <v>4391</v>
      </c>
      <c r="K3214" s="85" t="s">
        <v>12168</v>
      </c>
      <c r="L3214" s="85" t="s">
        <v>10737</v>
      </c>
      <c r="M3214" s="85" t="s">
        <v>12222</v>
      </c>
    </row>
    <row r="3215" ht="228" spans="1:13">
      <c r="A3215" s="85" t="s">
        <v>12202</v>
      </c>
      <c r="B3215" s="85" t="s">
        <v>11368</v>
      </c>
      <c r="C3215" s="85" t="s">
        <v>11369</v>
      </c>
      <c r="D3215" s="85" t="s">
        <v>11370</v>
      </c>
      <c r="E3215" s="85" t="s">
        <v>11371</v>
      </c>
      <c r="F3215" s="86">
        <v>35</v>
      </c>
      <c r="G3215" s="86">
        <v>80</v>
      </c>
      <c r="H3215" s="86">
        <v>2800</v>
      </c>
      <c r="I3215" s="86">
        <v>8120</v>
      </c>
      <c r="J3215" s="85" t="s">
        <v>9135</v>
      </c>
      <c r="K3215" s="85" t="s">
        <v>12168</v>
      </c>
      <c r="L3215" s="85" t="s">
        <v>10737</v>
      </c>
      <c r="M3215" s="85" t="s">
        <v>12223</v>
      </c>
    </row>
    <row r="3216" ht="228" spans="1:13">
      <c r="A3216" s="85" t="s">
        <v>12178</v>
      </c>
      <c r="B3216" s="85" t="s">
        <v>11527</v>
      </c>
      <c r="C3216" s="85" t="s">
        <v>11528</v>
      </c>
      <c r="D3216" s="85" t="s">
        <v>2992</v>
      </c>
      <c r="E3216" s="85" t="s">
        <v>1815</v>
      </c>
      <c r="F3216" s="86">
        <v>0.47</v>
      </c>
      <c r="G3216" s="86">
        <v>8000</v>
      </c>
      <c r="H3216" s="86">
        <v>3760</v>
      </c>
      <c r="I3216" s="86">
        <v>21234</v>
      </c>
      <c r="J3216" s="85" t="s">
        <v>9135</v>
      </c>
      <c r="K3216" s="85" t="s">
        <v>12168</v>
      </c>
      <c r="L3216" s="85" t="s">
        <v>10737</v>
      </c>
      <c r="M3216" s="85" t="s">
        <v>12224</v>
      </c>
    </row>
    <row r="3217" ht="228" spans="1:13">
      <c r="A3217" s="85" t="s">
        <v>12185</v>
      </c>
      <c r="B3217" s="85" t="s">
        <v>9680</v>
      </c>
      <c r="C3217" s="85" t="s">
        <v>9681</v>
      </c>
      <c r="D3217" s="85" t="s">
        <v>3014</v>
      </c>
      <c r="E3217" s="85" t="s">
        <v>9682</v>
      </c>
      <c r="F3217" s="86">
        <v>62</v>
      </c>
      <c r="G3217" s="86">
        <v>10</v>
      </c>
      <c r="H3217" s="86">
        <v>620</v>
      </c>
      <c r="I3217" s="86">
        <v>3947</v>
      </c>
      <c r="J3217" s="85" t="s">
        <v>2935</v>
      </c>
      <c r="K3217" s="85" t="s">
        <v>12168</v>
      </c>
      <c r="L3217" s="85" t="s">
        <v>10737</v>
      </c>
      <c r="M3217" s="85" t="s">
        <v>12225</v>
      </c>
    </row>
    <row r="3218" ht="228" spans="1:13">
      <c r="A3218" s="85" t="s">
        <v>12195</v>
      </c>
      <c r="B3218" s="85" t="s">
        <v>8964</v>
      </c>
      <c r="C3218" s="85" t="s">
        <v>8965</v>
      </c>
      <c r="D3218" s="85" t="s">
        <v>3046</v>
      </c>
      <c r="E3218" s="85" t="s">
        <v>6506</v>
      </c>
      <c r="F3218" s="86">
        <v>1280</v>
      </c>
      <c r="G3218" s="86">
        <v>2</v>
      </c>
      <c r="H3218" s="86">
        <v>2560</v>
      </c>
      <c r="I3218" s="86">
        <v>4172</v>
      </c>
      <c r="J3218" s="85" t="s">
        <v>2935</v>
      </c>
      <c r="K3218" s="85" t="s">
        <v>12168</v>
      </c>
      <c r="L3218" s="85" t="s">
        <v>10737</v>
      </c>
      <c r="M3218" s="85" t="s">
        <v>12226</v>
      </c>
    </row>
    <row r="3219" ht="228" spans="1:13">
      <c r="A3219" s="85" t="s">
        <v>12178</v>
      </c>
      <c r="B3219" s="85" t="s">
        <v>12227</v>
      </c>
      <c r="C3219" s="85" t="s">
        <v>12228</v>
      </c>
      <c r="D3219" s="85" t="s">
        <v>5431</v>
      </c>
      <c r="E3219" s="85" t="s">
        <v>3010</v>
      </c>
      <c r="F3219" s="86">
        <v>58</v>
      </c>
      <c r="G3219" s="86">
        <v>5</v>
      </c>
      <c r="H3219" s="86">
        <v>290</v>
      </c>
      <c r="I3219" s="86">
        <v>21234</v>
      </c>
      <c r="J3219" s="85" t="s">
        <v>9135</v>
      </c>
      <c r="K3219" s="85" t="s">
        <v>12168</v>
      </c>
      <c r="L3219" s="85" t="s">
        <v>10737</v>
      </c>
      <c r="M3219" s="85" t="s">
        <v>12229</v>
      </c>
    </row>
    <row r="3220" ht="228" spans="1:13">
      <c r="A3220" s="85" t="s">
        <v>12178</v>
      </c>
      <c r="B3220" s="85" t="s">
        <v>12230</v>
      </c>
      <c r="C3220" s="85" t="s">
        <v>12231</v>
      </c>
      <c r="D3220" s="85" t="s">
        <v>11864</v>
      </c>
      <c r="E3220" s="85" t="s">
        <v>11865</v>
      </c>
      <c r="F3220" s="86">
        <v>11</v>
      </c>
      <c r="G3220" s="86">
        <v>60</v>
      </c>
      <c r="H3220" s="86">
        <v>660</v>
      </c>
      <c r="I3220" s="86">
        <v>21234</v>
      </c>
      <c r="J3220" s="85" t="s">
        <v>9135</v>
      </c>
      <c r="K3220" s="85" t="s">
        <v>12168</v>
      </c>
      <c r="L3220" s="85" t="s">
        <v>10737</v>
      </c>
      <c r="M3220" s="85" t="s">
        <v>12232</v>
      </c>
    </row>
    <row r="3221" ht="228" spans="1:13">
      <c r="A3221" s="85" t="s">
        <v>12167</v>
      </c>
      <c r="B3221" s="85" t="s">
        <v>4510</v>
      </c>
      <c r="C3221" s="85" t="s">
        <v>4511</v>
      </c>
      <c r="D3221" s="85" t="s">
        <v>3041</v>
      </c>
      <c r="E3221" s="85" t="s">
        <v>3042</v>
      </c>
      <c r="F3221" s="86">
        <v>9.5</v>
      </c>
      <c r="G3221" s="86">
        <v>30</v>
      </c>
      <c r="H3221" s="86">
        <v>285</v>
      </c>
      <c r="I3221" s="86">
        <v>5717</v>
      </c>
      <c r="J3221" s="85" t="s">
        <v>4370</v>
      </c>
      <c r="K3221" s="85" t="s">
        <v>12168</v>
      </c>
      <c r="L3221" s="85" t="s">
        <v>10737</v>
      </c>
      <c r="M3221" s="85" t="s">
        <v>12233</v>
      </c>
    </row>
    <row r="3222" ht="228" spans="1:13">
      <c r="A3222" s="85" t="s">
        <v>12167</v>
      </c>
      <c r="B3222" s="85" t="s">
        <v>4373</v>
      </c>
      <c r="C3222" s="85" t="s">
        <v>4374</v>
      </c>
      <c r="D3222" s="85" t="s">
        <v>3041</v>
      </c>
      <c r="E3222" s="85" t="s">
        <v>3042</v>
      </c>
      <c r="F3222" s="86">
        <v>7</v>
      </c>
      <c r="G3222" s="86">
        <v>56</v>
      </c>
      <c r="H3222" s="86">
        <v>392</v>
      </c>
      <c r="I3222" s="86">
        <v>5717</v>
      </c>
      <c r="J3222" s="85" t="s">
        <v>4370</v>
      </c>
      <c r="K3222" s="85" t="s">
        <v>12168</v>
      </c>
      <c r="L3222" s="85" t="s">
        <v>10737</v>
      </c>
      <c r="M3222" s="85" t="s">
        <v>12234</v>
      </c>
    </row>
    <row r="3223" ht="228" spans="1:13">
      <c r="A3223" s="85" t="s">
        <v>12216</v>
      </c>
      <c r="B3223" s="85" t="s">
        <v>11667</v>
      </c>
      <c r="C3223" s="85" t="s">
        <v>11668</v>
      </c>
      <c r="D3223" s="85" t="s">
        <v>3747</v>
      </c>
      <c r="E3223" s="85" t="s">
        <v>1827</v>
      </c>
      <c r="F3223" s="86">
        <v>115</v>
      </c>
      <c r="G3223" s="86">
        <v>180</v>
      </c>
      <c r="H3223" s="86">
        <v>20700</v>
      </c>
      <c r="I3223" s="86">
        <v>38325</v>
      </c>
      <c r="J3223" s="85" t="s">
        <v>12217</v>
      </c>
      <c r="K3223" s="85" t="s">
        <v>12168</v>
      </c>
      <c r="L3223" s="85" t="s">
        <v>10737</v>
      </c>
      <c r="M3223" s="85" t="s">
        <v>12235</v>
      </c>
    </row>
    <row r="3224" ht="228" spans="1:13">
      <c r="A3224" s="85" t="s">
        <v>12178</v>
      </c>
      <c r="B3224" s="85" t="s">
        <v>11507</v>
      </c>
      <c r="C3224" s="85" t="s">
        <v>11508</v>
      </c>
      <c r="D3224" s="85" t="s">
        <v>2992</v>
      </c>
      <c r="E3224" s="85" t="s">
        <v>1815</v>
      </c>
      <c r="F3224" s="86">
        <v>392</v>
      </c>
      <c r="G3224" s="86">
        <v>5</v>
      </c>
      <c r="H3224" s="86">
        <v>1960</v>
      </c>
      <c r="I3224" s="86">
        <v>21234</v>
      </c>
      <c r="J3224" s="85" t="s">
        <v>9135</v>
      </c>
      <c r="K3224" s="85" t="s">
        <v>12168</v>
      </c>
      <c r="L3224" s="85" t="s">
        <v>10737</v>
      </c>
      <c r="M3224" s="85" t="s">
        <v>12236</v>
      </c>
    </row>
    <row r="3225" ht="228" spans="1:13">
      <c r="A3225" s="85" t="s">
        <v>12216</v>
      </c>
      <c r="B3225" s="85" t="s">
        <v>7924</v>
      </c>
      <c r="C3225" s="85" t="s">
        <v>7925</v>
      </c>
      <c r="D3225" s="85" t="s">
        <v>3548</v>
      </c>
      <c r="E3225" s="85" t="s">
        <v>1835</v>
      </c>
      <c r="F3225" s="86">
        <v>345</v>
      </c>
      <c r="G3225" s="86">
        <v>5</v>
      </c>
      <c r="H3225" s="86">
        <v>1725</v>
      </c>
      <c r="I3225" s="86">
        <v>38325</v>
      </c>
      <c r="J3225" s="85" t="s">
        <v>12217</v>
      </c>
      <c r="K3225" s="85" t="s">
        <v>12168</v>
      </c>
      <c r="L3225" s="85" t="s">
        <v>10737</v>
      </c>
      <c r="M3225" s="85" t="s">
        <v>12237</v>
      </c>
    </row>
    <row r="3226" ht="228" spans="1:13">
      <c r="A3226" s="85" t="s">
        <v>12202</v>
      </c>
      <c r="B3226" s="85" t="s">
        <v>12238</v>
      </c>
      <c r="C3226" s="85" t="s">
        <v>12239</v>
      </c>
      <c r="D3226" s="85" t="s">
        <v>3538</v>
      </c>
      <c r="E3226" s="85" t="s">
        <v>9572</v>
      </c>
      <c r="F3226" s="86">
        <v>35</v>
      </c>
      <c r="G3226" s="86">
        <v>20</v>
      </c>
      <c r="H3226" s="86">
        <v>700</v>
      </c>
      <c r="I3226" s="86">
        <v>8120</v>
      </c>
      <c r="J3226" s="85" t="s">
        <v>9135</v>
      </c>
      <c r="K3226" s="85" t="s">
        <v>12168</v>
      </c>
      <c r="L3226" s="85" t="s">
        <v>10737</v>
      </c>
      <c r="M3226" s="85" t="s">
        <v>12240</v>
      </c>
    </row>
    <row r="3227" ht="228" spans="1:13">
      <c r="A3227" s="85" t="s">
        <v>12185</v>
      </c>
      <c r="B3227" s="85" t="s">
        <v>9515</v>
      </c>
      <c r="C3227" s="85" t="s">
        <v>9516</v>
      </c>
      <c r="D3227" s="85" t="s">
        <v>3617</v>
      </c>
      <c r="E3227" s="85" t="s">
        <v>6448</v>
      </c>
      <c r="F3227" s="86">
        <v>37</v>
      </c>
      <c r="G3227" s="86">
        <v>20</v>
      </c>
      <c r="H3227" s="86">
        <v>740</v>
      </c>
      <c r="I3227" s="86">
        <v>3947</v>
      </c>
      <c r="J3227" s="85" t="s">
        <v>2935</v>
      </c>
      <c r="K3227" s="85" t="s">
        <v>12168</v>
      </c>
      <c r="L3227" s="85" t="s">
        <v>10737</v>
      </c>
      <c r="M3227" s="85" t="s">
        <v>12241</v>
      </c>
    </row>
    <row r="3228" ht="228" spans="1:13">
      <c r="A3228" s="85" t="s">
        <v>12167</v>
      </c>
      <c r="B3228" s="85" t="s">
        <v>4548</v>
      </c>
      <c r="C3228" s="85" t="s">
        <v>4549</v>
      </c>
      <c r="D3228" s="85" t="s">
        <v>3169</v>
      </c>
      <c r="E3228" s="85" t="s">
        <v>3170</v>
      </c>
      <c r="F3228" s="86">
        <v>0.4</v>
      </c>
      <c r="G3228" s="86">
        <v>1600</v>
      </c>
      <c r="H3228" s="86">
        <v>640</v>
      </c>
      <c r="I3228" s="86">
        <v>5717</v>
      </c>
      <c r="J3228" s="85" t="s">
        <v>4370</v>
      </c>
      <c r="K3228" s="85" t="s">
        <v>12168</v>
      </c>
      <c r="L3228" s="85" t="s">
        <v>10737</v>
      </c>
      <c r="M3228" s="85" t="s">
        <v>12242</v>
      </c>
    </row>
    <row r="3229" ht="228" spans="1:13">
      <c r="A3229" s="85" t="s">
        <v>12199</v>
      </c>
      <c r="B3229" s="85" t="s">
        <v>10958</v>
      </c>
      <c r="C3229" s="85" t="s">
        <v>10959</v>
      </c>
      <c r="D3229" s="85" t="s">
        <v>5766</v>
      </c>
      <c r="E3229" s="85" t="s">
        <v>10960</v>
      </c>
      <c r="F3229" s="86">
        <v>3</v>
      </c>
      <c r="G3229" s="86">
        <v>50</v>
      </c>
      <c r="H3229" s="86">
        <v>150</v>
      </c>
      <c r="I3229" s="86">
        <v>1450</v>
      </c>
      <c r="J3229" s="85" t="s">
        <v>2935</v>
      </c>
      <c r="K3229" s="85" t="s">
        <v>12168</v>
      </c>
      <c r="L3229" s="85" t="s">
        <v>10737</v>
      </c>
      <c r="M3229" s="85" t="s">
        <v>12243</v>
      </c>
    </row>
    <row r="3230" ht="228" spans="1:13">
      <c r="A3230" s="85" t="s">
        <v>12244</v>
      </c>
      <c r="B3230" s="85" t="s">
        <v>8266</v>
      </c>
      <c r="C3230" s="85" t="s">
        <v>11077</v>
      </c>
      <c r="D3230" s="85" t="s">
        <v>3189</v>
      </c>
      <c r="E3230" s="85" t="s">
        <v>6337</v>
      </c>
      <c r="F3230" s="86">
        <v>27</v>
      </c>
      <c r="G3230" s="86">
        <v>300</v>
      </c>
      <c r="H3230" s="86">
        <v>8100</v>
      </c>
      <c r="I3230" s="86">
        <v>8100</v>
      </c>
      <c r="J3230" s="85" t="s">
        <v>8268</v>
      </c>
      <c r="K3230" s="85" t="s">
        <v>12168</v>
      </c>
      <c r="L3230" s="85" t="s">
        <v>10737</v>
      </c>
      <c r="M3230" s="85" t="s">
        <v>12245</v>
      </c>
    </row>
    <row r="3231" ht="228" spans="1:13">
      <c r="A3231" s="85" t="s">
        <v>12202</v>
      </c>
      <c r="B3231" s="85" t="s">
        <v>11804</v>
      </c>
      <c r="C3231" s="85" t="s">
        <v>11805</v>
      </c>
      <c r="D3231" s="85" t="s">
        <v>5574</v>
      </c>
      <c r="E3231" s="85" t="s">
        <v>1787</v>
      </c>
      <c r="F3231" s="86">
        <v>72</v>
      </c>
      <c r="G3231" s="86">
        <v>50</v>
      </c>
      <c r="H3231" s="86">
        <v>3600</v>
      </c>
      <c r="I3231" s="86">
        <v>8120</v>
      </c>
      <c r="J3231" s="85" t="s">
        <v>9135</v>
      </c>
      <c r="K3231" s="85" t="s">
        <v>12168</v>
      </c>
      <c r="L3231" s="85" t="s">
        <v>10737</v>
      </c>
      <c r="M3231" s="85" t="s">
        <v>12246</v>
      </c>
    </row>
    <row r="3232" ht="228" spans="1:13">
      <c r="A3232" s="85" t="s">
        <v>12178</v>
      </c>
      <c r="B3232" s="85" t="s">
        <v>12247</v>
      </c>
      <c r="C3232" s="85" t="s">
        <v>12248</v>
      </c>
      <c r="D3232" s="85" t="s">
        <v>3201</v>
      </c>
      <c r="E3232" s="85" t="s">
        <v>3662</v>
      </c>
      <c r="F3232" s="86">
        <v>9</v>
      </c>
      <c r="G3232" s="86">
        <v>96</v>
      </c>
      <c r="H3232" s="86">
        <v>864</v>
      </c>
      <c r="I3232" s="86">
        <v>21234</v>
      </c>
      <c r="J3232" s="85" t="s">
        <v>9135</v>
      </c>
      <c r="K3232" s="85" t="s">
        <v>12168</v>
      </c>
      <c r="L3232" s="85" t="s">
        <v>10737</v>
      </c>
      <c r="M3232" s="85" t="s">
        <v>12249</v>
      </c>
    </row>
    <row r="3233" ht="228" spans="1:13">
      <c r="A3233" s="85" t="s">
        <v>12250</v>
      </c>
      <c r="B3233" s="85" t="s">
        <v>5349</v>
      </c>
      <c r="C3233" s="85" t="s">
        <v>5350</v>
      </c>
      <c r="D3233" s="85" t="s">
        <v>3189</v>
      </c>
      <c r="E3233" s="85" t="s">
        <v>5351</v>
      </c>
      <c r="F3233" s="86">
        <v>22</v>
      </c>
      <c r="G3233" s="86">
        <v>3</v>
      </c>
      <c r="H3233" s="86">
        <v>66</v>
      </c>
      <c r="I3233" s="86">
        <v>66</v>
      </c>
      <c r="J3233" s="85" t="s">
        <v>2935</v>
      </c>
      <c r="K3233" s="85" t="s">
        <v>12168</v>
      </c>
      <c r="L3233" s="85" t="s">
        <v>10737</v>
      </c>
      <c r="M3233" s="85" t="s">
        <v>12251</v>
      </c>
    </row>
    <row r="3234" ht="228" spans="1:13">
      <c r="A3234" s="85" t="s">
        <v>12252</v>
      </c>
      <c r="B3234" s="85" t="s">
        <v>5429</v>
      </c>
      <c r="C3234" s="85" t="s">
        <v>5430</v>
      </c>
      <c r="D3234" s="85" t="s">
        <v>5431</v>
      </c>
      <c r="E3234" s="85" t="s">
        <v>5432</v>
      </c>
      <c r="F3234" s="86">
        <v>136.5</v>
      </c>
      <c r="G3234" s="86">
        <v>5</v>
      </c>
      <c r="H3234" s="86">
        <v>682.5</v>
      </c>
      <c r="I3234" s="86">
        <v>13116.9</v>
      </c>
      <c r="J3234" s="85" t="s">
        <v>4391</v>
      </c>
      <c r="K3234" s="85" t="s">
        <v>12253</v>
      </c>
      <c r="L3234" s="85" t="s">
        <v>10737</v>
      </c>
      <c r="M3234" s="85" t="s">
        <v>12254</v>
      </c>
    </row>
    <row r="3235" ht="228" spans="1:13">
      <c r="A3235" s="85" t="s">
        <v>12252</v>
      </c>
      <c r="B3235" s="85" t="s">
        <v>11575</v>
      </c>
      <c r="C3235" s="85" t="s">
        <v>11576</v>
      </c>
      <c r="D3235" s="85" t="s">
        <v>11577</v>
      </c>
      <c r="E3235" s="85" t="s">
        <v>11578</v>
      </c>
      <c r="F3235" s="86">
        <v>1.45</v>
      </c>
      <c r="G3235" s="86">
        <v>200</v>
      </c>
      <c r="H3235" s="86">
        <v>290</v>
      </c>
      <c r="I3235" s="86">
        <v>13116.9</v>
      </c>
      <c r="J3235" s="85" t="s">
        <v>4391</v>
      </c>
      <c r="K3235" s="85" t="s">
        <v>12253</v>
      </c>
      <c r="L3235" s="85" t="s">
        <v>10737</v>
      </c>
      <c r="M3235" s="85" t="s">
        <v>12255</v>
      </c>
    </row>
    <row r="3236" ht="228" spans="1:13">
      <c r="A3236" s="85" t="s">
        <v>12252</v>
      </c>
      <c r="B3236" s="85" t="s">
        <v>11008</v>
      </c>
      <c r="C3236" s="85" t="s">
        <v>11009</v>
      </c>
      <c r="D3236" s="85" t="s">
        <v>3288</v>
      </c>
      <c r="E3236" s="85" t="s">
        <v>11010</v>
      </c>
      <c r="F3236" s="86">
        <v>109</v>
      </c>
      <c r="G3236" s="86">
        <v>5</v>
      </c>
      <c r="H3236" s="86">
        <v>545</v>
      </c>
      <c r="I3236" s="86">
        <v>13116.9</v>
      </c>
      <c r="J3236" s="85" t="s">
        <v>4391</v>
      </c>
      <c r="K3236" s="85" t="s">
        <v>12253</v>
      </c>
      <c r="L3236" s="85" t="s">
        <v>10737</v>
      </c>
      <c r="M3236" s="85" t="s">
        <v>12256</v>
      </c>
    </row>
    <row r="3237" ht="228" spans="1:13">
      <c r="A3237" s="85" t="s">
        <v>12252</v>
      </c>
      <c r="B3237" s="85" t="s">
        <v>12257</v>
      </c>
      <c r="C3237" s="85" t="s">
        <v>12258</v>
      </c>
      <c r="D3237" s="85" t="s">
        <v>3241</v>
      </c>
      <c r="E3237" s="85" t="s">
        <v>5195</v>
      </c>
      <c r="F3237" s="86">
        <v>39</v>
      </c>
      <c r="G3237" s="86">
        <v>2</v>
      </c>
      <c r="H3237" s="86">
        <v>78</v>
      </c>
      <c r="I3237" s="86">
        <v>13116.9</v>
      </c>
      <c r="J3237" s="85" t="s">
        <v>4391</v>
      </c>
      <c r="K3237" s="85" t="s">
        <v>12253</v>
      </c>
      <c r="L3237" s="85" t="s">
        <v>10737</v>
      </c>
      <c r="M3237" s="85" t="s">
        <v>12259</v>
      </c>
    </row>
    <row r="3238" ht="228" spans="1:13">
      <c r="A3238" s="85" t="s">
        <v>12252</v>
      </c>
      <c r="B3238" s="85" t="s">
        <v>12260</v>
      </c>
      <c r="C3238" s="85" t="s">
        <v>12261</v>
      </c>
      <c r="D3238" s="85" t="s">
        <v>12262</v>
      </c>
      <c r="E3238" s="85" t="s">
        <v>12263</v>
      </c>
      <c r="F3238" s="86">
        <v>46.8</v>
      </c>
      <c r="G3238" s="86">
        <v>36</v>
      </c>
      <c r="H3238" s="86">
        <v>1684.8</v>
      </c>
      <c r="I3238" s="86">
        <v>13116.9</v>
      </c>
      <c r="J3238" s="85" t="s">
        <v>4391</v>
      </c>
      <c r="K3238" s="85" t="s">
        <v>12253</v>
      </c>
      <c r="L3238" s="85" t="s">
        <v>10737</v>
      </c>
      <c r="M3238" s="85" t="s">
        <v>12264</v>
      </c>
    </row>
    <row r="3239" ht="228" spans="1:13">
      <c r="A3239" s="85" t="s">
        <v>12252</v>
      </c>
      <c r="B3239" s="85" t="s">
        <v>12265</v>
      </c>
      <c r="C3239" s="85" t="s">
        <v>12266</v>
      </c>
      <c r="D3239" s="85" t="s">
        <v>3153</v>
      </c>
      <c r="E3239" s="85" t="s">
        <v>8431</v>
      </c>
      <c r="F3239" s="86">
        <v>1365</v>
      </c>
      <c r="G3239" s="86">
        <v>2</v>
      </c>
      <c r="H3239" s="86">
        <v>2730</v>
      </c>
      <c r="I3239" s="86">
        <v>13116.9</v>
      </c>
      <c r="J3239" s="85" t="s">
        <v>4391</v>
      </c>
      <c r="K3239" s="85" t="s">
        <v>12253</v>
      </c>
      <c r="L3239" s="85" t="s">
        <v>10737</v>
      </c>
      <c r="M3239" s="85" t="s">
        <v>12267</v>
      </c>
    </row>
    <row r="3240" ht="228" spans="1:13">
      <c r="A3240" s="85" t="s">
        <v>12252</v>
      </c>
      <c r="B3240" s="85" t="s">
        <v>8108</v>
      </c>
      <c r="C3240" s="85" t="s">
        <v>8109</v>
      </c>
      <c r="D3240" s="85" t="s">
        <v>5449</v>
      </c>
      <c r="E3240" s="85" t="s">
        <v>8110</v>
      </c>
      <c r="F3240" s="86">
        <v>18.9</v>
      </c>
      <c r="G3240" s="86">
        <v>100</v>
      </c>
      <c r="H3240" s="86">
        <v>1890</v>
      </c>
      <c r="I3240" s="86">
        <v>13116.9</v>
      </c>
      <c r="J3240" s="85" t="s">
        <v>4391</v>
      </c>
      <c r="K3240" s="85" t="s">
        <v>12253</v>
      </c>
      <c r="L3240" s="85" t="s">
        <v>10737</v>
      </c>
      <c r="M3240" s="85" t="s">
        <v>12268</v>
      </c>
    </row>
    <row r="3241" ht="228" spans="1:13">
      <c r="A3241" s="85" t="s">
        <v>12252</v>
      </c>
      <c r="B3241" s="85" t="s">
        <v>12269</v>
      </c>
      <c r="C3241" s="85" t="s">
        <v>12270</v>
      </c>
      <c r="D3241" s="85" t="s">
        <v>3068</v>
      </c>
      <c r="E3241" s="85" t="s">
        <v>12271</v>
      </c>
      <c r="F3241" s="86">
        <v>66.5</v>
      </c>
      <c r="G3241" s="86">
        <v>55</v>
      </c>
      <c r="H3241" s="86">
        <v>3657.5</v>
      </c>
      <c r="I3241" s="86">
        <v>13116.9</v>
      </c>
      <c r="J3241" s="85" t="s">
        <v>4391</v>
      </c>
      <c r="K3241" s="85" t="s">
        <v>12253</v>
      </c>
      <c r="L3241" s="85" t="s">
        <v>10737</v>
      </c>
      <c r="M3241" s="85" t="s">
        <v>12272</v>
      </c>
    </row>
    <row r="3242" ht="228" spans="1:13">
      <c r="A3242" s="85" t="s">
        <v>12252</v>
      </c>
      <c r="B3242" s="85" t="s">
        <v>8813</v>
      </c>
      <c r="C3242" s="85" t="s">
        <v>8814</v>
      </c>
      <c r="D3242" s="85" t="s">
        <v>3153</v>
      </c>
      <c r="E3242" s="85" t="s">
        <v>7689</v>
      </c>
      <c r="F3242" s="86">
        <v>76.7</v>
      </c>
      <c r="G3242" s="86">
        <v>3</v>
      </c>
      <c r="H3242" s="86">
        <v>230.1</v>
      </c>
      <c r="I3242" s="86">
        <v>13116.9</v>
      </c>
      <c r="J3242" s="85" t="s">
        <v>4391</v>
      </c>
      <c r="K3242" s="85" t="s">
        <v>12253</v>
      </c>
      <c r="L3242" s="85" t="s">
        <v>10737</v>
      </c>
      <c r="M3242" s="85" t="s">
        <v>12273</v>
      </c>
    </row>
    <row r="3243" ht="228" spans="1:13">
      <c r="A3243" s="85" t="s">
        <v>12252</v>
      </c>
      <c r="B3243" s="85" t="s">
        <v>12274</v>
      </c>
      <c r="C3243" s="85" t="s">
        <v>12275</v>
      </c>
      <c r="D3243" s="85" t="s">
        <v>10026</v>
      </c>
      <c r="E3243" s="85" t="s">
        <v>12276</v>
      </c>
      <c r="F3243" s="86">
        <v>43.5</v>
      </c>
      <c r="G3243" s="86">
        <v>20</v>
      </c>
      <c r="H3243" s="86">
        <v>870</v>
      </c>
      <c r="I3243" s="86">
        <v>13116.9</v>
      </c>
      <c r="J3243" s="85" t="s">
        <v>4391</v>
      </c>
      <c r="K3243" s="85" t="s">
        <v>12253</v>
      </c>
      <c r="L3243" s="85" t="s">
        <v>10737</v>
      </c>
      <c r="M3243" s="85" t="s">
        <v>12277</v>
      </c>
    </row>
    <row r="3244" ht="228" spans="1:13">
      <c r="A3244" s="85" t="s">
        <v>12252</v>
      </c>
      <c r="B3244" s="85" t="s">
        <v>12278</v>
      </c>
      <c r="C3244" s="85" t="s">
        <v>12279</v>
      </c>
      <c r="D3244" s="85" t="s">
        <v>2973</v>
      </c>
      <c r="E3244" s="85" t="s">
        <v>9108</v>
      </c>
      <c r="F3244" s="86">
        <v>459</v>
      </c>
      <c r="G3244" s="86">
        <v>1</v>
      </c>
      <c r="H3244" s="86">
        <v>459</v>
      </c>
      <c r="I3244" s="86">
        <v>13116.9</v>
      </c>
      <c r="J3244" s="85" t="s">
        <v>4391</v>
      </c>
      <c r="K3244" s="85" t="s">
        <v>12253</v>
      </c>
      <c r="L3244" s="85" t="s">
        <v>10737</v>
      </c>
      <c r="M3244" s="85" t="s">
        <v>12280</v>
      </c>
    </row>
    <row r="3245" ht="256.5" spans="1:13">
      <c r="A3245" s="85" t="s">
        <v>12281</v>
      </c>
      <c r="B3245" s="85" t="s">
        <v>3123</v>
      </c>
      <c r="C3245" s="85" t="s">
        <v>3124</v>
      </c>
      <c r="D3245" s="85" t="s">
        <v>3125</v>
      </c>
      <c r="E3245" s="85" t="s">
        <v>3124</v>
      </c>
      <c r="F3245" s="86">
        <v>8352</v>
      </c>
      <c r="G3245" s="86">
        <v>1</v>
      </c>
      <c r="H3245" s="86">
        <v>8352</v>
      </c>
      <c r="I3245" s="86">
        <v>8352</v>
      </c>
      <c r="J3245" s="85" t="s">
        <v>4370</v>
      </c>
      <c r="K3245" s="85" t="s">
        <v>12282</v>
      </c>
      <c r="L3245" s="85" t="s">
        <v>11541</v>
      </c>
      <c r="M3245" s="85" t="s">
        <v>12283</v>
      </c>
    </row>
    <row r="3246" ht="256.5" spans="1:13">
      <c r="A3246" s="85" t="s">
        <v>12284</v>
      </c>
      <c r="B3246" s="85" t="s">
        <v>12285</v>
      </c>
      <c r="C3246" s="85" t="s">
        <v>12286</v>
      </c>
      <c r="D3246" s="85" t="s">
        <v>12287</v>
      </c>
      <c r="E3246" s="85" t="s">
        <v>12286</v>
      </c>
      <c r="F3246" s="86">
        <v>198825</v>
      </c>
      <c r="G3246" s="86">
        <v>1</v>
      </c>
      <c r="H3246" s="86">
        <v>198825</v>
      </c>
      <c r="I3246" s="86">
        <v>198825</v>
      </c>
      <c r="J3246" s="85" t="s">
        <v>12288</v>
      </c>
      <c r="K3246" s="85" t="s">
        <v>12289</v>
      </c>
      <c r="L3246" s="85" t="s">
        <v>11541</v>
      </c>
      <c r="M3246" s="85" t="s">
        <v>12290</v>
      </c>
    </row>
    <row r="3247" ht="256.5" spans="1:13">
      <c r="A3247" s="85" t="s">
        <v>12291</v>
      </c>
      <c r="B3247" s="85" t="s">
        <v>2901</v>
      </c>
      <c r="C3247" s="85" t="s">
        <v>2902</v>
      </c>
      <c r="D3247" s="85" t="s">
        <v>2903</v>
      </c>
      <c r="E3247" s="85" t="s">
        <v>2902</v>
      </c>
      <c r="F3247" s="86">
        <v>190950</v>
      </c>
      <c r="G3247" s="86">
        <v>1</v>
      </c>
      <c r="H3247" s="86">
        <v>190950</v>
      </c>
      <c r="I3247" s="86">
        <v>190950</v>
      </c>
      <c r="J3247" s="85" t="s">
        <v>6889</v>
      </c>
      <c r="K3247" s="85" t="s">
        <v>12292</v>
      </c>
      <c r="L3247" s="85" t="s">
        <v>11541</v>
      </c>
      <c r="M3247" s="85" t="s">
        <v>12293</v>
      </c>
    </row>
    <row r="3248" ht="228" spans="1:13">
      <c r="A3248" s="85" t="s">
        <v>12294</v>
      </c>
      <c r="B3248" s="85" t="s">
        <v>8932</v>
      </c>
      <c r="C3248" s="85" t="s">
        <v>8933</v>
      </c>
      <c r="D3248" s="85" t="s">
        <v>8934</v>
      </c>
      <c r="E3248" s="85" t="s">
        <v>8935</v>
      </c>
      <c r="F3248" s="86">
        <v>57</v>
      </c>
      <c r="G3248" s="86">
        <v>2</v>
      </c>
      <c r="H3248" s="86">
        <v>114</v>
      </c>
      <c r="I3248" s="86">
        <v>77123</v>
      </c>
      <c r="J3248" s="85" t="s">
        <v>2935</v>
      </c>
      <c r="K3248" s="85" t="s">
        <v>12295</v>
      </c>
      <c r="L3248" s="85" t="s">
        <v>10737</v>
      </c>
      <c r="M3248" s="85" t="s">
        <v>12296</v>
      </c>
    </row>
    <row r="3249" ht="228" spans="1:13">
      <c r="A3249" s="85" t="s">
        <v>12297</v>
      </c>
      <c r="B3249" s="85" t="s">
        <v>9802</v>
      </c>
      <c r="C3249" s="85" t="s">
        <v>9803</v>
      </c>
      <c r="D3249" s="85" t="s">
        <v>3183</v>
      </c>
      <c r="E3249" s="85" t="s">
        <v>9804</v>
      </c>
      <c r="F3249" s="86">
        <v>76</v>
      </c>
      <c r="G3249" s="86">
        <v>5</v>
      </c>
      <c r="H3249" s="86">
        <v>380</v>
      </c>
      <c r="I3249" s="86">
        <v>19238.5</v>
      </c>
      <c r="J3249" s="85" t="s">
        <v>2935</v>
      </c>
      <c r="K3249" s="85" t="s">
        <v>12295</v>
      </c>
      <c r="L3249" s="85" t="s">
        <v>10737</v>
      </c>
      <c r="M3249" s="85" t="s">
        <v>12298</v>
      </c>
    </row>
    <row r="3250" ht="228" spans="1:13">
      <c r="A3250" s="85" t="s">
        <v>12297</v>
      </c>
      <c r="B3250" s="85" t="s">
        <v>12299</v>
      </c>
      <c r="C3250" s="85" t="s">
        <v>12300</v>
      </c>
      <c r="D3250" s="85" t="s">
        <v>10116</v>
      </c>
      <c r="E3250" s="85" t="s">
        <v>10117</v>
      </c>
      <c r="F3250" s="86">
        <v>3.5</v>
      </c>
      <c r="G3250" s="86">
        <v>100</v>
      </c>
      <c r="H3250" s="86">
        <v>350</v>
      </c>
      <c r="I3250" s="86">
        <v>19238.5</v>
      </c>
      <c r="J3250" s="85" t="s">
        <v>2935</v>
      </c>
      <c r="K3250" s="85" t="s">
        <v>12295</v>
      </c>
      <c r="L3250" s="85" t="s">
        <v>10737</v>
      </c>
      <c r="M3250" s="85" t="s">
        <v>12301</v>
      </c>
    </row>
    <row r="3251" ht="228" spans="1:13">
      <c r="A3251" s="85" t="s">
        <v>12297</v>
      </c>
      <c r="B3251" s="85" t="s">
        <v>10751</v>
      </c>
      <c r="C3251" s="85" t="s">
        <v>10752</v>
      </c>
      <c r="D3251" s="85" t="s">
        <v>6122</v>
      </c>
      <c r="E3251" s="85" t="s">
        <v>6123</v>
      </c>
      <c r="F3251" s="86">
        <v>20</v>
      </c>
      <c r="G3251" s="86">
        <v>20</v>
      </c>
      <c r="H3251" s="86">
        <v>400</v>
      </c>
      <c r="I3251" s="86">
        <v>19238.5</v>
      </c>
      <c r="J3251" s="85" t="s">
        <v>2935</v>
      </c>
      <c r="K3251" s="85" t="s">
        <v>12295</v>
      </c>
      <c r="L3251" s="85" t="s">
        <v>10737</v>
      </c>
      <c r="M3251" s="85" t="s">
        <v>12302</v>
      </c>
    </row>
    <row r="3252" ht="228" spans="1:13">
      <c r="A3252" s="85" t="s">
        <v>12294</v>
      </c>
      <c r="B3252" s="85" t="s">
        <v>12303</v>
      </c>
      <c r="C3252" s="85" t="s">
        <v>12304</v>
      </c>
      <c r="D3252" s="85" t="s">
        <v>12305</v>
      </c>
      <c r="E3252" s="85" t="s">
        <v>12306</v>
      </c>
      <c r="F3252" s="86">
        <v>45</v>
      </c>
      <c r="G3252" s="86">
        <v>1</v>
      </c>
      <c r="H3252" s="86">
        <v>45</v>
      </c>
      <c r="I3252" s="86">
        <v>77123</v>
      </c>
      <c r="J3252" s="85" t="s">
        <v>2935</v>
      </c>
      <c r="K3252" s="85" t="s">
        <v>12295</v>
      </c>
      <c r="L3252" s="85" t="s">
        <v>10737</v>
      </c>
      <c r="M3252" s="85" t="s">
        <v>12307</v>
      </c>
    </row>
    <row r="3253" ht="228" spans="1:13">
      <c r="A3253" s="85" t="s">
        <v>12294</v>
      </c>
      <c r="B3253" s="85" t="s">
        <v>12308</v>
      </c>
      <c r="C3253" s="85" t="s">
        <v>12309</v>
      </c>
      <c r="D3253" s="85" t="s">
        <v>3633</v>
      </c>
      <c r="E3253" s="85" t="s">
        <v>4447</v>
      </c>
      <c r="F3253" s="86">
        <v>25</v>
      </c>
      <c r="G3253" s="86">
        <v>2</v>
      </c>
      <c r="H3253" s="86">
        <v>50</v>
      </c>
      <c r="I3253" s="86">
        <v>77123</v>
      </c>
      <c r="J3253" s="85" t="s">
        <v>2935</v>
      </c>
      <c r="K3253" s="85" t="s">
        <v>12295</v>
      </c>
      <c r="L3253" s="85" t="s">
        <v>10737</v>
      </c>
      <c r="M3253" s="85" t="s">
        <v>12310</v>
      </c>
    </row>
    <row r="3254" ht="228" spans="1:13">
      <c r="A3254" s="85" t="s">
        <v>12297</v>
      </c>
      <c r="B3254" s="85" t="s">
        <v>8889</v>
      </c>
      <c r="C3254" s="85" t="s">
        <v>8890</v>
      </c>
      <c r="D3254" s="85" t="s">
        <v>3288</v>
      </c>
      <c r="E3254" s="85" t="s">
        <v>8890</v>
      </c>
      <c r="F3254" s="86">
        <v>120</v>
      </c>
      <c r="G3254" s="86">
        <v>2</v>
      </c>
      <c r="H3254" s="86">
        <v>240</v>
      </c>
      <c r="I3254" s="86">
        <v>19238.5</v>
      </c>
      <c r="J3254" s="85" t="s">
        <v>2935</v>
      </c>
      <c r="K3254" s="85" t="s">
        <v>12295</v>
      </c>
      <c r="L3254" s="85" t="s">
        <v>10737</v>
      </c>
      <c r="M3254" s="85" t="s">
        <v>12311</v>
      </c>
    </row>
    <row r="3255" ht="228" spans="1:13">
      <c r="A3255" s="85" t="s">
        <v>12297</v>
      </c>
      <c r="B3255" s="85" t="s">
        <v>9337</v>
      </c>
      <c r="C3255" s="85" t="s">
        <v>9338</v>
      </c>
      <c r="D3255" s="85" t="s">
        <v>3153</v>
      </c>
      <c r="E3255" s="85" t="s">
        <v>8431</v>
      </c>
      <c r="F3255" s="86">
        <v>370</v>
      </c>
      <c r="G3255" s="86">
        <v>3</v>
      </c>
      <c r="H3255" s="86">
        <v>1110</v>
      </c>
      <c r="I3255" s="86">
        <v>19238.5</v>
      </c>
      <c r="J3255" s="85" t="s">
        <v>2935</v>
      </c>
      <c r="K3255" s="85" t="s">
        <v>12295</v>
      </c>
      <c r="L3255" s="85" t="s">
        <v>10737</v>
      </c>
      <c r="M3255" s="85" t="s">
        <v>12312</v>
      </c>
    </row>
    <row r="3256" ht="228" spans="1:13">
      <c r="A3256" s="85" t="s">
        <v>12294</v>
      </c>
      <c r="B3256" s="85" t="s">
        <v>12313</v>
      </c>
      <c r="C3256" s="85" t="s">
        <v>12314</v>
      </c>
      <c r="D3256" s="85" t="s">
        <v>4390</v>
      </c>
      <c r="E3256" s="85" t="s">
        <v>12315</v>
      </c>
      <c r="F3256" s="86">
        <v>65000</v>
      </c>
      <c r="G3256" s="86">
        <v>1</v>
      </c>
      <c r="H3256" s="86">
        <v>65000</v>
      </c>
      <c r="I3256" s="86">
        <v>77123</v>
      </c>
      <c r="J3256" s="85" t="s">
        <v>2935</v>
      </c>
      <c r="K3256" s="85" t="s">
        <v>12295</v>
      </c>
      <c r="L3256" s="85" t="s">
        <v>10737</v>
      </c>
      <c r="M3256" s="85" t="s">
        <v>12316</v>
      </c>
    </row>
    <row r="3257" ht="228" spans="1:13">
      <c r="A3257" s="85" t="s">
        <v>12297</v>
      </c>
      <c r="B3257" s="85" t="s">
        <v>9186</v>
      </c>
      <c r="C3257" s="85" t="s">
        <v>9187</v>
      </c>
      <c r="D3257" s="85" t="s">
        <v>4182</v>
      </c>
      <c r="E3257" s="85" t="s">
        <v>9188</v>
      </c>
      <c r="F3257" s="86">
        <v>531</v>
      </c>
      <c r="G3257" s="86">
        <v>1</v>
      </c>
      <c r="H3257" s="86">
        <v>531</v>
      </c>
      <c r="I3257" s="86">
        <v>19238.5</v>
      </c>
      <c r="J3257" s="85" t="s">
        <v>2935</v>
      </c>
      <c r="K3257" s="85" t="s">
        <v>12295</v>
      </c>
      <c r="L3257" s="85" t="s">
        <v>10737</v>
      </c>
      <c r="M3257" s="85" t="s">
        <v>12317</v>
      </c>
    </row>
    <row r="3258" ht="228" spans="1:13">
      <c r="A3258" s="85" t="s">
        <v>12297</v>
      </c>
      <c r="B3258" s="85" t="s">
        <v>12318</v>
      </c>
      <c r="C3258" s="85" t="s">
        <v>12319</v>
      </c>
      <c r="D3258" s="85" t="s">
        <v>3153</v>
      </c>
      <c r="E3258" s="85" t="s">
        <v>12320</v>
      </c>
      <c r="F3258" s="86">
        <v>180</v>
      </c>
      <c r="G3258" s="86">
        <v>3</v>
      </c>
      <c r="H3258" s="86">
        <v>540</v>
      </c>
      <c r="I3258" s="86">
        <v>19238.5</v>
      </c>
      <c r="J3258" s="85" t="s">
        <v>2935</v>
      </c>
      <c r="K3258" s="85" t="s">
        <v>12295</v>
      </c>
      <c r="L3258" s="85" t="s">
        <v>10737</v>
      </c>
      <c r="M3258" s="85" t="s">
        <v>12321</v>
      </c>
    </row>
    <row r="3259" ht="228" spans="1:13">
      <c r="A3259" s="85" t="s">
        <v>12294</v>
      </c>
      <c r="B3259" s="85" t="s">
        <v>12322</v>
      </c>
      <c r="C3259" s="85" t="s">
        <v>12323</v>
      </c>
      <c r="D3259" s="85" t="s">
        <v>9648</v>
      </c>
      <c r="E3259" s="85" t="s">
        <v>9653</v>
      </c>
      <c r="F3259" s="86">
        <v>702</v>
      </c>
      <c r="G3259" s="86">
        <v>1</v>
      </c>
      <c r="H3259" s="86">
        <v>702</v>
      </c>
      <c r="I3259" s="86">
        <v>77123</v>
      </c>
      <c r="J3259" s="85" t="s">
        <v>2935</v>
      </c>
      <c r="K3259" s="85" t="s">
        <v>12295</v>
      </c>
      <c r="L3259" s="85" t="s">
        <v>10737</v>
      </c>
      <c r="M3259" s="85" t="s">
        <v>12324</v>
      </c>
    </row>
    <row r="3260" ht="228" spans="1:13">
      <c r="A3260" s="85" t="s">
        <v>12294</v>
      </c>
      <c r="B3260" s="85" t="s">
        <v>12159</v>
      </c>
      <c r="C3260" s="85" t="s">
        <v>12160</v>
      </c>
      <c r="D3260" s="85" t="s">
        <v>9140</v>
      </c>
      <c r="E3260" s="85" t="s">
        <v>3209</v>
      </c>
      <c r="F3260" s="86">
        <v>17</v>
      </c>
      <c r="G3260" s="86">
        <v>10</v>
      </c>
      <c r="H3260" s="86">
        <v>170</v>
      </c>
      <c r="I3260" s="86">
        <v>77123</v>
      </c>
      <c r="J3260" s="85" t="s">
        <v>2935</v>
      </c>
      <c r="K3260" s="85" t="s">
        <v>12295</v>
      </c>
      <c r="L3260" s="85" t="s">
        <v>10737</v>
      </c>
      <c r="M3260" s="85" t="s">
        <v>12325</v>
      </c>
    </row>
    <row r="3261" ht="228" spans="1:13">
      <c r="A3261" s="85" t="s">
        <v>12294</v>
      </c>
      <c r="B3261" s="85" t="s">
        <v>12326</v>
      </c>
      <c r="C3261" s="85" t="s">
        <v>12327</v>
      </c>
      <c r="D3261" s="85" t="s">
        <v>3579</v>
      </c>
      <c r="E3261" s="85" t="s">
        <v>5737</v>
      </c>
      <c r="F3261" s="86">
        <v>9</v>
      </c>
      <c r="G3261" s="86">
        <v>10</v>
      </c>
      <c r="H3261" s="86">
        <v>90</v>
      </c>
      <c r="I3261" s="86">
        <v>77123</v>
      </c>
      <c r="J3261" s="85" t="s">
        <v>2935</v>
      </c>
      <c r="K3261" s="85" t="s">
        <v>12295</v>
      </c>
      <c r="L3261" s="85" t="s">
        <v>10737</v>
      </c>
      <c r="M3261" s="85" t="s">
        <v>12328</v>
      </c>
    </row>
    <row r="3262" ht="228" spans="1:13">
      <c r="A3262" s="85" t="s">
        <v>12294</v>
      </c>
      <c r="B3262" s="85" t="s">
        <v>12329</v>
      </c>
      <c r="C3262" s="85" t="s">
        <v>12330</v>
      </c>
      <c r="D3262" s="85" t="s">
        <v>5378</v>
      </c>
      <c r="E3262" s="85" t="s">
        <v>2036</v>
      </c>
      <c r="F3262" s="86">
        <v>19</v>
      </c>
      <c r="G3262" s="86">
        <v>60</v>
      </c>
      <c r="H3262" s="86">
        <v>1140</v>
      </c>
      <c r="I3262" s="86">
        <v>77123</v>
      </c>
      <c r="J3262" s="85" t="s">
        <v>2935</v>
      </c>
      <c r="K3262" s="85" t="s">
        <v>12295</v>
      </c>
      <c r="L3262" s="85" t="s">
        <v>10737</v>
      </c>
      <c r="M3262" s="85" t="s">
        <v>12331</v>
      </c>
    </row>
    <row r="3263" ht="228" spans="1:13">
      <c r="A3263" s="85" t="s">
        <v>12294</v>
      </c>
      <c r="B3263" s="85" t="s">
        <v>12332</v>
      </c>
      <c r="C3263" s="85" t="s">
        <v>12333</v>
      </c>
      <c r="D3263" s="85" t="s">
        <v>6924</v>
      </c>
      <c r="E3263" s="85" t="s">
        <v>7837</v>
      </c>
      <c r="F3263" s="86">
        <v>67</v>
      </c>
      <c r="G3263" s="86">
        <v>5</v>
      </c>
      <c r="H3263" s="86">
        <v>335</v>
      </c>
      <c r="I3263" s="86">
        <v>77123</v>
      </c>
      <c r="J3263" s="85" t="s">
        <v>2935</v>
      </c>
      <c r="K3263" s="85" t="s">
        <v>12295</v>
      </c>
      <c r="L3263" s="85" t="s">
        <v>10737</v>
      </c>
      <c r="M3263" s="85" t="s">
        <v>12334</v>
      </c>
    </row>
    <row r="3264" ht="228" spans="1:13">
      <c r="A3264" s="85" t="s">
        <v>12294</v>
      </c>
      <c r="B3264" s="85" t="s">
        <v>12335</v>
      </c>
      <c r="C3264" s="85" t="s">
        <v>12336</v>
      </c>
      <c r="D3264" s="85" t="s">
        <v>3398</v>
      </c>
      <c r="E3264" s="85" t="s">
        <v>12337</v>
      </c>
      <c r="F3264" s="86">
        <v>1208</v>
      </c>
      <c r="G3264" s="86">
        <v>3</v>
      </c>
      <c r="H3264" s="86">
        <v>3624</v>
      </c>
      <c r="I3264" s="86">
        <v>77123</v>
      </c>
      <c r="J3264" s="85" t="s">
        <v>2935</v>
      </c>
      <c r="K3264" s="85" t="s">
        <v>12295</v>
      </c>
      <c r="L3264" s="85" t="s">
        <v>10737</v>
      </c>
      <c r="M3264" s="85" t="s">
        <v>12338</v>
      </c>
    </row>
    <row r="3265" ht="228" spans="1:13">
      <c r="A3265" s="85" t="s">
        <v>12297</v>
      </c>
      <c r="B3265" s="85" t="s">
        <v>12339</v>
      </c>
      <c r="C3265" s="85" t="s">
        <v>12340</v>
      </c>
      <c r="D3265" s="85" t="s">
        <v>12341</v>
      </c>
      <c r="E3265" s="85" t="s">
        <v>12342</v>
      </c>
      <c r="F3265" s="86">
        <v>5</v>
      </c>
      <c r="G3265" s="86">
        <v>5</v>
      </c>
      <c r="H3265" s="86">
        <v>25</v>
      </c>
      <c r="I3265" s="86">
        <v>19238.5</v>
      </c>
      <c r="J3265" s="85" t="s">
        <v>2935</v>
      </c>
      <c r="K3265" s="85" t="s">
        <v>12295</v>
      </c>
      <c r="L3265" s="85" t="s">
        <v>10737</v>
      </c>
      <c r="M3265" s="85" t="s">
        <v>12343</v>
      </c>
    </row>
    <row r="3266" ht="228" spans="1:13">
      <c r="A3266" s="85" t="s">
        <v>12297</v>
      </c>
      <c r="B3266" s="85" t="s">
        <v>12344</v>
      </c>
      <c r="C3266" s="85" t="s">
        <v>12345</v>
      </c>
      <c r="D3266" s="85" t="s">
        <v>9355</v>
      </c>
      <c r="E3266" s="85" t="s">
        <v>1951</v>
      </c>
      <c r="F3266" s="86">
        <v>2600</v>
      </c>
      <c r="G3266" s="86">
        <v>6</v>
      </c>
      <c r="H3266" s="86">
        <v>15600</v>
      </c>
      <c r="I3266" s="86">
        <v>19238.5</v>
      </c>
      <c r="J3266" s="85" t="s">
        <v>2935</v>
      </c>
      <c r="K3266" s="85" t="s">
        <v>12295</v>
      </c>
      <c r="L3266" s="85" t="s">
        <v>10737</v>
      </c>
      <c r="M3266" s="85" t="s">
        <v>12346</v>
      </c>
    </row>
    <row r="3267" ht="228" spans="1:13">
      <c r="A3267" s="85" t="s">
        <v>12294</v>
      </c>
      <c r="B3267" s="85" t="s">
        <v>12347</v>
      </c>
      <c r="C3267" s="85" t="s">
        <v>12348</v>
      </c>
      <c r="D3267" s="85" t="s">
        <v>4251</v>
      </c>
      <c r="E3267" s="85" t="s">
        <v>7136</v>
      </c>
      <c r="F3267" s="86">
        <v>211</v>
      </c>
      <c r="G3267" s="86">
        <v>2</v>
      </c>
      <c r="H3267" s="86">
        <v>422</v>
      </c>
      <c r="I3267" s="86">
        <v>77123</v>
      </c>
      <c r="J3267" s="85" t="s">
        <v>2935</v>
      </c>
      <c r="K3267" s="85" t="s">
        <v>12295</v>
      </c>
      <c r="L3267" s="85" t="s">
        <v>10737</v>
      </c>
      <c r="M3267" s="85" t="s">
        <v>12349</v>
      </c>
    </row>
    <row r="3268" ht="228" spans="1:13">
      <c r="A3268" s="85" t="s">
        <v>12294</v>
      </c>
      <c r="B3268" s="85" t="s">
        <v>12350</v>
      </c>
      <c r="C3268" s="85" t="s">
        <v>12351</v>
      </c>
      <c r="D3268" s="85" t="s">
        <v>4013</v>
      </c>
      <c r="E3268" s="85" t="s">
        <v>12352</v>
      </c>
      <c r="F3268" s="86">
        <v>584</v>
      </c>
      <c r="G3268" s="86">
        <v>1</v>
      </c>
      <c r="H3268" s="86">
        <v>584</v>
      </c>
      <c r="I3268" s="86">
        <v>77123</v>
      </c>
      <c r="J3268" s="85" t="s">
        <v>2935</v>
      </c>
      <c r="K3268" s="85" t="s">
        <v>12295</v>
      </c>
      <c r="L3268" s="85" t="s">
        <v>10737</v>
      </c>
      <c r="M3268" s="85" t="s">
        <v>12353</v>
      </c>
    </row>
    <row r="3269" ht="228" spans="1:13">
      <c r="A3269" s="85" t="s">
        <v>12294</v>
      </c>
      <c r="B3269" s="85" t="s">
        <v>12354</v>
      </c>
      <c r="C3269" s="85" t="s">
        <v>12355</v>
      </c>
      <c r="D3269" s="85" t="s">
        <v>8767</v>
      </c>
      <c r="E3269" s="85" t="s">
        <v>8768</v>
      </c>
      <c r="F3269" s="86">
        <v>31</v>
      </c>
      <c r="G3269" s="86">
        <v>5</v>
      </c>
      <c r="H3269" s="86">
        <v>155</v>
      </c>
      <c r="I3269" s="86">
        <v>77123</v>
      </c>
      <c r="J3269" s="85" t="s">
        <v>2935</v>
      </c>
      <c r="K3269" s="85" t="s">
        <v>12295</v>
      </c>
      <c r="L3269" s="85" t="s">
        <v>10737</v>
      </c>
      <c r="M3269" s="85" t="s">
        <v>12356</v>
      </c>
    </row>
    <row r="3270" ht="228" spans="1:13">
      <c r="A3270" s="85" t="s">
        <v>12294</v>
      </c>
      <c r="B3270" s="85" t="s">
        <v>9406</v>
      </c>
      <c r="C3270" s="85" t="s">
        <v>9407</v>
      </c>
      <c r="D3270" s="85" t="s">
        <v>9408</v>
      </c>
      <c r="E3270" s="85" t="s">
        <v>9409</v>
      </c>
      <c r="F3270" s="86">
        <v>20</v>
      </c>
      <c r="G3270" s="86">
        <v>10</v>
      </c>
      <c r="H3270" s="86">
        <v>200</v>
      </c>
      <c r="I3270" s="86">
        <v>77123</v>
      </c>
      <c r="J3270" s="85" t="s">
        <v>2935</v>
      </c>
      <c r="K3270" s="85" t="s">
        <v>12295</v>
      </c>
      <c r="L3270" s="85" t="s">
        <v>10737</v>
      </c>
      <c r="M3270" s="85" t="s">
        <v>12357</v>
      </c>
    </row>
    <row r="3271" ht="228" spans="1:13">
      <c r="A3271" s="85" t="s">
        <v>12294</v>
      </c>
      <c r="B3271" s="85" t="s">
        <v>9914</v>
      </c>
      <c r="C3271" s="85" t="s">
        <v>9915</v>
      </c>
      <c r="D3271" s="85" t="s">
        <v>3367</v>
      </c>
      <c r="E3271" s="85" t="s">
        <v>9916</v>
      </c>
      <c r="F3271" s="86">
        <v>10</v>
      </c>
      <c r="G3271" s="86">
        <v>10</v>
      </c>
      <c r="H3271" s="86">
        <v>100</v>
      </c>
      <c r="I3271" s="86">
        <v>77123</v>
      </c>
      <c r="J3271" s="85" t="s">
        <v>2935</v>
      </c>
      <c r="K3271" s="85" t="s">
        <v>12295</v>
      </c>
      <c r="L3271" s="85" t="s">
        <v>10737</v>
      </c>
      <c r="M3271" s="85" t="s">
        <v>12358</v>
      </c>
    </row>
    <row r="3272" ht="228" spans="1:13">
      <c r="A3272" s="85" t="s">
        <v>12297</v>
      </c>
      <c r="B3272" s="85" t="s">
        <v>12359</v>
      </c>
      <c r="C3272" s="85" t="s">
        <v>12360</v>
      </c>
      <c r="D3272" s="85" t="s">
        <v>3367</v>
      </c>
      <c r="E3272" s="85" t="s">
        <v>10281</v>
      </c>
      <c r="F3272" s="86">
        <v>12.5</v>
      </c>
      <c r="G3272" s="86">
        <v>5</v>
      </c>
      <c r="H3272" s="86">
        <v>62.5</v>
      </c>
      <c r="I3272" s="86">
        <v>19238.5</v>
      </c>
      <c r="J3272" s="85" t="s">
        <v>2935</v>
      </c>
      <c r="K3272" s="85" t="s">
        <v>12295</v>
      </c>
      <c r="L3272" s="85" t="s">
        <v>10737</v>
      </c>
      <c r="M3272" s="85" t="s">
        <v>12361</v>
      </c>
    </row>
    <row r="3273" ht="228" spans="1:13">
      <c r="A3273" s="85" t="s">
        <v>12294</v>
      </c>
      <c r="B3273" s="85" t="s">
        <v>12362</v>
      </c>
      <c r="C3273" s="85" t="s">
        <v>12363</v>
      </c>
      <c r="D3273" s="85" t="s">
        <v>8934</v>
      </c>
      <c r="E3273" s="85" t="s">
        <v>8935</v>
      </c>
      <c r="F3273" s="86">
        <v>53</v>
      </c>
      <c r="G3273" s="86">
        <v>2</v>
      </c>
      <c r="H3273" s="86">
        <v>106</v>
      </c>
      <c r="I3273" s="86">
        <v>77123</v>
      </c>
      <c r="J3273" s="85" t="s">
        <v>2935</v>
      </c>
      <c r="K3273" s="85" t="s">
        <v>12295</v>
      </c>
      <c r="L3273" s="85" t="s">
        <v>10737</v>
      </c>
      <c r="M3273" s="85" t="s">
        <v>12364</v>
      </c>
    </row>
    <row r="3274" ht="228" spans="1:13">
      <c r="A3274" s="85" t="s">
        <v>12294</v>
      </c>
      <c r="B3274" s="85" t="s">
        <v>12365</v>
      </c>
      <c r="C3274" s="85" t="s">
        <v>12366</v>
      </c>
      <c r="D3274" s="85" t="s">
        <v>3459</v>
      </c>
      <c r="E3274" s="85" t="s">
        <v>9602</v>
      </c>
      <c r="F3274" s="86">
        <v>145</v>
      </c>
      <c r="G3274" s="86">
        <v>4</v>
      </c>
      <c r="H3274" s="86">
        <v>580</v>
      </c>
      <c r="I3274" s="86">
        <v>77123</v>
      </c>
      <c r="J3274" s="85" t="s">
        <v>2935</v>
      </c>
      <c r="K3274" s="85" t="s">
        <v>12295</v>
      </c>
      <c r="L3274" s="85" t="s">
        <v>10737</v>
      </c>
      <c r="M3274" s="85" t="s">
        <v>12367</v>
      </c>
    </row>
    <row r="3275" ht="228" spans="1:13">
      <c r="A3275" s="85" t="s">
        <v>12294</v>
      </c>
      <c r="B3275" s="85" t="s">
        <v>12368</v>
      </c>
      <c r="C3275" s="85" t="s">
        <v>12369</v>
      </c>
      <c r="D3275" s="85" t="s">
        <v>3633</v>
      </c>
      <c r="E3275" s="85" t="s">
        <v>4447</v>
      </c>
      <c r="F3275" s="86">
        <v>53</v>
      </c>
      <c r="G3275" s="86">
        <v>2</v>
      </c>
      <c r="H3275" s="86">
        <v>106</v>
      </c>
      <c r="I3275" s="86">
        <v>77123</v>
      </c>
      <c r="J3275" s="85" t="s">
        <v>2935</v>
      </c>
      <c r="K3275" s="85" t="s">
        <v>12295</v>
      </c>
      <c r="L3275" s="85" t="s">
        <v>10737</v>
      </c>
      <c r="M3275" s="85" t="s">
        <v>12370</v>
      </c>
    </row>
    <row r="3276" ht="228" spans="1:13">
      <c r="A3276" s="85" t="s">
        <v>12294</v>
      </c>
      <c r="B3276" s="85" t="s">
        <v>12371</v>
      </c>
      <c r="C3276" s="85" t="s">
        <v>12372</v>
      </c>
      <c r="D3276" s="85" t="s">
        <v>3928</v>
      </c>
      <c r="E3276" s="85" t="s">
        <v>7744</v>
      </c>
      <c r="F3276" s="86">
        <v>40</v>
      </c>
      <c r="G3276" s="86">
        <v>90</v>
      </c>
      <c r="H3276" s="86">
        <v>3600</v>
      </c>
      <c r="I3276" s="86">
        <v>77123</v>
      </c>
      <c r="J3276" s="85" t="s">
        <v>2935</v>
      </c>
      <c r="K3276" s="85" t="s">
        <v>12295</v>
      </c>
      <c r="L3276" s="85" t="s">
        <v>10737</v>
      </c>
      <c r="M3276" s="85" t="s">
        <v>12373</v>
      </c>
    </row>
    <row r="3277" ht="228" spans="1:13">
      <c r="A3277" s="85" t="s">
        <v>12374</v>
      </c>
      <c r="B3277" s="85" t="s">
        <v>9527</v>
      </c>
      <c r="C3277" s="85" t="s">
        <v>9528</v>
      </c>
      <c r="D3277" s="85" t="s">
        <v>3617</v>
      </c>
      <c r="E3277" s="85" t="s">
        <v>3618</v>
      </c>
      <c r="F3277" s="86">
        <v>13</v>
      </c>
      <c r="G3277" s="86">
        <v>100</v>
      </c>
      <c r="H3277" s="86">
        <v>1300</v>
      </c>
      <c r="I3277" s="86">
        <v>5944</v>
      </c>
      <c r="J3277" s="85" t="s">
        <v>4391</v>
      </c>
      <c r="K3277" s="85" t="s">
        <v>12375</v>
      </c>
      <c r="L3277" s="85" t="s">
        <v>10737</v>
      </c>
      <c r="M3277" s="85" t="s">
        <v>12376</v>
      </c>
    </row>
    <row r="3278" ht="228" spans="1:13">
      <c r="A3278" s="85" t="s">
        <v>12374</v>
      </c>
      <c r="B3278" s="85" t="s">
        <v>8429</v>
      </c>
      <c r="C3278" s="85" t="s">
        <v>8430</v>
      </c>
      <c r="D3278" s="85" t="s">
        <v>3153</v>
      </c>
      <c r="E3278" s="85" t="s">
        <v>8431</v>
      </c>
      <c r="F3278" s="86">
        <v>340</v>
      </c>
      <c r="G3278" s="86">
        <v>2</v>
      </c>
      <c r="H3278" s="86">
        <v>680</v>
      </c>
      <c r="I3278" s="86">
        <v>5944</v>
      </c>
      <c r="J3278" s="85" t="s">
        <v>4391</v>
      </c>
      <c r="K3278" s="85" t="s">
        <v>12375</v>
      </c>
      <c r="L3278" s="85" t="s">
        <v>10737</v>
      </c>
      <c r="M3278" s="85" t="s">
        <v>12377</v>
      </c>
    </row>
    <row r="3279" ht="228" spans="1:13">
      <c r="A3279" s="85" t="s">
        <v>12374</v>
      </c>
      <c r="B3279" s="85" t="s">
        <v>12378</v>
      </c>
      <c r="C3279" s="85" t="s">
        <v>12379</v>
      </c>
      <c r="D3279" s="85" t="s">
        <v>3153</v>
      </c>
      <c r="E3279" s="85" t="s">
        <v>8431</v>
      </c>
      <c r="F3279" s="86">
        <v>280</v>
      </c>
      <c r="G3279" s="86">
        <v>2</v>
      </c>
      <c r="H3279" s="86">
        <v>560</v>
      </c>
      <c r="I3279" s="86">
        <v>5944</v>
      </c>
      <c r="J3279" s="85" t="s">
        <v>4391</v>
      </c>
      <c r="K3279" s="85" t="s">
        <v>12375</v>
      </c>
      <c r="L3279" s="85" t="s">
        <v>10737</v>
      </c>
      <c r="M3279" s="85" t="s">
        <v>12380</v>
      </c>
    </row>
    <row r="3280" ht="228" spans="1:13">
      <c r="A3280" s="85" t="s">
        <v>12374</v>
      </c>
      <c r="B3280" s="85" t="s">
        <v>12381</v>
      </c>
      <c r="C3280" s="85" t="s">
        <v>12382</v>
      </c>
      <c r="D3280" s="85" t="s">
        <v>3969</v>
      </c>
      <c r="E3280" s="85" t="s">
        <v>10021</v>
      </c>
      <c r="F3280" s="86">
        <v>260</v>
      </c>
      <c r="G3280" s="86">
        <v>2</v>
      </c>
      <c r="H3280" s="86">
        <v>520</v>
      </c>
      <c r="I3280" s="86">
        <v>5944</v>
      </c>
      <c r="J3280" s="85" t="s">
        <v>4391</v>
      </c>
      <c r="K3280" s="85" t="s">
        <v>12375</v>
      </c>
      <c r="L3280" s="85" t="s">
        <v>10737</v>
      </c>
      <c r="M3280" s="85" t="s">
        <v>12383</v>
      </c>
    </row>
    <row r="3281" ht="228" spans="1:13">
      <c r="A3281" s="85" t="s">
        <v>12374</v>
      </c>
      <c r="B3281" s="85" t="s">
        <v>11019</v>
      </c>
      <c r="C3281" s="85" t="s">
        <v>11020</v>
      </c>
      <c r="D3281" s="85" t="s">
        <v>3438</v>
      </c>
      <c r="E3281" s="85" t="s">
        <v>11021</v>
      </c>
      <c r="F3281" s="86">
        <v>0.57</v>
      </c>
      <c r="G3281" s="86">
        <v>2000</v>
      </c>
      <c r="H3281" s="86">
        <v>1140</v>
      </c>
      <c r="I3281" s="86">
        <v>5944</v>
      </c>
      <c r="J3281" s="85" t="s">
        <v>4391</v>
      </c>
      <c r="K3281" s="85" t="s">
        <v>12375</v>
      </c>
      <c r="L3281" s="85" t="s">
        <v>10737</v>
      </c>
      <c r="M3281" s="85" t="s">
        <v>12384</v>
      </c>
    </row>
    <row r="3282" ht="228" spans="1:13">
      <c r="A3282" s="85" t="s">
        <v>12374</v>
      </c>
      <c r="B3282" s="85" t="s">
        <v>12385</v>
      </c>
      <c r="C3282" s="85" t="s">
        <v>12386</v>
      </c>
      <c r="D3282" s="85" t="s">
        <v>6236</v>
      </c>
      <c r="E3282" s="85" t="s">
        <v>12387</v>
      </c>
      <c r="F3282" s="86">
        <v>22</v>
      </c>
      <c r="G3282" s="86">
        <v>5</v>
      </c>
      <c r="H3282" s="86">
        <v>110</v>
      </c>
      <c r="I3282" s="86">
        <v>5944</v>
      </c>
      <c r="J3282" s="85" t="s">
        <v>4391</v>
      </c>
      <c r="K3282" s="85" t="s">
        <v>12375</v>
      </c>
      <c r="L3282" s="85" t="s">
        <v>10737</v>
      </c>
      <c r="M3282" s="85" t="s">
        <v>12388</v>
      </c>
    </row>
    <row r="3283" ht="228" spans="1:13">
      <c r="A3283" s="85" t="s">
        <v>12374</v>
      </c>
      <c r="B3283" s="85" t="s">
        <v>9243</v>
      </c>
      <c r="C3283" s="85" t="s">
        <v>9244</v>
      </c>
      <c r="D3283" s="85" t="s">
        <v>9245</v>
      </c>
      <c r="E3283" s="85" t="s">
        <v>9246</v>
      </c>
      <c r="F3283" s="86">
        <v>5.2</v>
      </c>
      <c r="G3283" s="86">
        <v>100</v>
      </c>
      <c r="H3283" s="86">
        <v>520</v>
      </c>
      <c r="I3283" s="86">
        <v>5944</v>
      </c>
      <c r="J3283" s="85" t="s">
        <v>4391</v>
      </c>
      <c r="K3283" s="85" t="s">
        <v>12375</v>
      </c>
      <c r="L3283" s="85" t="s">
        <v>10737</v>
      </c>
      <c r="M3283" s="85" t="s">
        <v>12389</v>
      </c>
    </row>
    <row r="3284" ht="228" spans="1:13">
      <c r="A3284" s="85" t="s">
        <v>12374</v>
      </c>
      <c r="B3284" s="85" t="s">
        <v>10501</v>
      </c>
      <c r="C3284" s="85" t="s">
        <v>12390</v>
      </c>
      <c r="D3284" s="85" t="s">
        <v>3153</v>
      </c>
      <c r="E3284" s="85" t="s">
        <v>10503</v>
      </c>
      <c r="F3284" s="86">
        <v>123.6</v>
      </c>
      <c r="G3284" s="86">
        <v>5</v>
      </c>
      <c r="H3284" s="86">
        <v>618</v>
      </c>
      <c r="I3284" s="86">
        <v>5944</v>
      </c>
      <c r="J3284" s="85" t="s">
        <v>4391</v>
      </c>
      <c r="K3284" s="85" t="s">
        <v>12375</v>
      </c>
      <c r="L3284" s="85" t="s">
        <v>10737</v>
      </c>
      <c r="M3284" s="85" t="s">
        <v>12391</v>
      </c>
    </row>
    <row r="3285" ht="228" spans="1:13">
      <c r="A3285" s="85" t="s">
        <v>12374</v>
      </c>
      <c r="B3285" s="85" t="s">
        <v>12392</v>
      </c>
      <c r="C3285" s="85" t="s">
        <v>12393</v>
      </c>
      <c r="D3285" s="85" t="s">
        <v>3367</v>
      </c>
      <c r="E3285" s="85" t="s">
        <v>12393</v>
      </c>
      <c r="F3285" s="86">
        <v>32</v>
      </c>
      <c r="G3285" s="86">
        <v>3</v>
      </c>
      <c r="H3285" s="86">
        <v>96</v>
      </c>
      <c r="I3285" s="86">
        <v>5944</v>
      </c>
      <c r="J3285" s="85" t="s">
        <v>4391</v>
      </c>
      <c r="K3285" s="85" t="s">
        <v>12375</v>
      </c>
      <c r="L3285" s="85" t="s">
        <v>10737</v>
      </c>
      <c r="M3285" s="85" t="s">
        <v>12394</v>
      </c>
    </row>
    <row r="3286" ht="228" spans="1:13">
      <c r="A3286" s="85" t="s">
        <v>12374</v>
      </c>
      <c r="B3286" s="85" t="s">
        <v>12395</v>
      </c>
      <c r="C3286" s="85" t="s">
        <v>12396</v>
      </c>
      <c r="D3286" s="85" t="s">
        <v>3753</v>
      </c>
      <c r="E3286" s="85" t="s">
        <v>5809</v>
      </c>
      <c r="F3286" s="86">
        <v>8</v>
      </c>
      <c r="G3286" s="86">
        <v>20</v>
      </c>
      <c r="H3286" s="86">
        <v>160</v>
      </c>
      <c r="I3286" s="86">
        <v>5944</v>
      </c>
      <c r="J3286" s="85" t="s">
        <v>4391</v>
      </c>
      <c r="K3286" s="85" t="s">
        <v>12375</v>
      </c>
      <c r="L3286" s="85" t="s">
        <v>10737</v>
      </c>
      <c r="M3286" s="85" t="s">
        <v>12397</v>
      </c>
    </row>
    <row r="3287" ht="228" spans="1:13">
      <c r="A3287" s="85" t="s">
        <v>12374</v>
      </c>
      <c r="B3287" s="85" t="s">
        <v>6160</v>
      </c>
      <c r="C3287" s="85" t="s">
        <v>6161</v>
      </c>
      <c r="D3287" s="85" t="s">
        <v>5552</v>
      </c>
      <c r="E3287" s="85" t="s">
        <v>6162</v>
      </c>
      <c r="F3287" s="86">
        <v>120</v>
      </c>
      <c r="G3287" s="86">
        <v>2</v>
      </c>
      <c r="H3287" s="86">
        <v>240</v>
      </c>
      <c r="I3287" s="86">
        <v>5944</v>
      </c>
      <c r="J3287" s="85" t="s">
        <v>4391</v>
      </c>
      <c r="K3287" s="85" t="s">
        <v>12375</v>
      </c>
      <c r="L3287" s="85" t="s">
        <v>10737</v>
      </c>
      <c r="M3287" s="85" t="s">
        <v>12398</v>
      </c>
    </row>
    <row r="3288" ht="228" spans="1:13">
      <c r="A3288" s="85" t="s">
        <v>12399</v>
      </c>
      <c r="B3288" s="85" t="s">
        <v>12400</v>
      </c>
      <c r="C3288" s="85" t="s">
        <v>12401</v>
      </c>
      <c r="D3288" s="85" t="s">
        <v>11999</v>
      </c>
      <c r="E3288" s="85" t="s">
        <v>12139</v>
      </c>
      <c r="F3288" s="86">
        <v>1.6</v>
      </c>
      <c r="G3288" s="86">
        <v>300</v>
      </c>
      <c r="H3288" s="86">
        <v>480</v>
      </c>
      <c r="I3288" s="86">
        <v>1204</v>
      </c>
      <c r="J3288" s="85" t="s">
        <v>2935</v>
      </c>
      <c r="K3288" s="85" t="s">
        <v>12402</v>
      </c>
      <c r="L3288" s="85" t="s">
        <v>10737</v>
      </c>
      <c r="M3288" s="85" t="s">
        <v>12403</v>
      </c>
    </row>
    <row r="3289" ht="228" spans="1:13">
      <c r="A3289" s="85" t="s">
        <v>12399</v>
      </c>
      <c r="B3289" s="85" t="s">
        <v>8765</v>
      </c>
      <c r="C3289" s="85" t="s">
        <v>8766</v>
      </c>
      <c r="D3289" s="85" t="s">
        <v>8767</v>
      </c>
      <c r="E3289" s="85" t="s">
        <v>8768</v>
      </c>
      <c r="F3289" s="86">
        <v>62</v>
      </c>
      <c r="G3289" s="86">
        <v>10</v>
      </c>
      <c r="H3289" s="86">
        <v>620</v>
      </c>
      <c r="I3289" s="86">
        <v>1204</v>
      </c>
      <c r="J3289" s="85" t="s">
        <v>2935</v>
      </c>
      <c r="K3289" s="85" t="s">
        <v>12402</v>
      </c>
      <c r="L3289" s="85" t="s">
        <v>10737</v>
      </c>
      <c r="M3289" s="85" t="s">
        <v>12404</v>
      </c>
    </row>
    <row r="3290" ht="228" spans="1:13">
      <c r="A3290" s="85" t="s">
        <v>12399</v>
      </c>
      <c r="B3290" s="85" t="s">
        <v>12405</v>
      </c>
      <c r="C3290" s="85" t="s">
        <v>12406</v>
      </c>
      <c r="D3290" s="85" t="s">
        <v>3907</v>
      </c>
      <c r="E3290" s="85" t="s">
        <v>1880</v>
      </c>
      <c r="F3290" s="86">
        <v>13</v>
      </c>
      <c r="G3290" s="86">
        <v>8</v>
      </c>
      <c r="H3290" s="86">
        <v>104</v>
      </c>
      <c r="I3290" s="86">
        <v>1204</v>
      </c>
      <c r="J3290" s="85" t="s">
        <v>2935</v>
      </c>
      <c r="K3290" s="85" t="s">
        <v>12402</v>
      </c>
      <c r="L3290" s="85" t="s">
        <v>10737</v>
      </c>
      <c r="M3290" s="85" t="s">
        <v>12407</v>
      </c>
    </row>
    <row r="3291" ht="228" spans="1:13">
      <c r="A3291" s="85" t="s">
        <v>12408</v>
      </c>
      <c r="B3291" s="85" t="s">
        <v>12409</v>
      </c>
      <c r="C3291" s="85" t="s">
        <v>12410</v>
      </c>
      <c r="D3291" s="85" t="s">
        <v>3030</v>
      </c>
      <c r="E3291" s="85" t="s">
        <v>1916</v>
      </c>
      <c r="F3291" s="86">
        <v>249</v>
      </c>
      <c r="G3291" s="86">
        <v>251</v>
      </c>
      <c r="H3291" s="86">
        <v>62499</v>
      </c>
      <c r="I3291" s="86">
        <v>62499</v>
      </c>
      <c r="J3291" s="85" t="s">
        <v>2935</v>
      </c>
      <c r="K3291" s="85" t="s">
        <v>12402</v>
      </c>
      <c r="L3291" s="85" t="s">
        <v>10737</v>
      </c>
      <c r="M3291" s="85" t="s">
        <v>12411</v>
      </c>
    </row>
    <row r="3292" ht="327.75" spans="1:13">
      <c r="A3292" s="85" t="s">
        <v>12412</v>
      </c>
      <c r="B3292" s="85" t="s">
        <v>12413</v>
      </c>
      <c r="C3292" s="85" t="s">
        <v>12414</v>
      </c>
      <c r="D3292" s="85" t="s">
        <v>4177</v>
      </c>
      <c r="E3292" s="85" t="s">
        <v>12415</v>
      </c>
      <c r="F3292" s="86">
        <v>24300</v>
      </c>
      <c r="G3292" s="86">
        <v>1</v>
      </c>
      <c r="H3292" s="86">
        <v>24300</v>
      </c>
      <c r="I3292" s="86">
        <v>24300</v>
      </c>
      <c r="J3292" s="85" t="s">
        <v>7948</v>
      </c>
      <c r="K3292" s="85" t="s">
        <v>12416</v>
      </c>
      <c r="L3292" s="85" t="s">
        <v>12417</v>
      </c>
      <c r="M3292" s="85" t="s">
        <v>12418</v>
      </c>
    </row>
    <row r="3293" ht="256.5" spans="1:13">
      <c r="A3293" s="85" t="s">
        <v>12419</v>
      </c>
      <c r="B3293" s="85" t="s">
        <v>2901</v>
      </c>
      <c r="C3293" s="85" t="s">
        <v>2902</v>
      </c>
      <c r="D3293" s="85" t="s">
        <v>2903</v>
      </c>
      <c r="E3293" s="85" t="s">
        <v>2902</v>
      </c>
      <c r="F3293" s="86">
        <v>62000</v>
      </c>
      <c r="G3293" s="86">
        <v>1</v>
      </c>
      <c r="H3293" s="86">
        <v>62000</v>
      </c>
      <c r="I3293" s="86">
        <v>62000</v>
      </c>
      <c r="J3293" s="85" t="s">
        <v>4050</v>
      </c>
      <c r="K3293" s="85" t="s">
        <v>12420</v>
      </c>
      <c r="L3293" s="85" t="s">
        <v>11541</v>
      </c>
      <c r="M3293" s="85" t="s">
        <v>12421</v>
      </c>
    </row>
    <row r="3294" ht="256.5" spans="1:13">
      <c r="A3294" s="85" t="s">
        <v>12422</v>
      </c>
      <c r="B3294" s="85" t="s">
        <v>2901</v>
      </c>
      <c r="C3294" s="85" t="s">
        <v>2902</v>
      </c>
      <c r="D3294" s="85" t="s">
        <v>2903</v>
      </c>
      <c r="E3294" s="85" t="s">
        <v>2902</v>
      </c>
      <c r="F3294" s="86">
        <v>70000</v>
      </c>
      <c r="G3294" s="86">
        <v>1</v>
      </c>
      <c r="H3294" s="86">
        <v>70000</v>
      </c>
      <c r="I3294" s="86">
        <v>70000</v>
      </c>
      <c r="J3294" s="85" t="s">
        <v>6734</v>
      </c>
      <c r="K3294" s="85" t="s">
        <v>12423</v>
      </c>
      <c r="L3294" s="85" t="s">
        <v>11541</v>
      </c>
      <c r="M3294" s="85" t="s">
        <v>12424</v>
      </c>
    </row>
    <row r="3295" ht="327.75" spans="1:13">
      <c r="A3295" s="85" t="s">
        <v>12425</v>
      </c>
      <c r="B3295" s="85" t="s">
        <v>10899</v>
      </c>
      <c r="C3295" s="85" t="s">
        <v>10900</v>
      </c>
      <c r="D3295" s="85" t="s">
        <v>3680</v>
      </c>
      <c r="E3295" s="85" t="s">
        <v>5462</v>
      </c>
      <c r="F3295" s="86">
        <v>3</v>
      </c>
      <c r="G3295" s="86">
        <v>50</v>
      </c>
      <c r="H3295" s="86">
        <v>150</v>
      </c>
      <c r="I3295" s="86">
        <v>7236</v>
      </c>
      <c r="J3295" s="85" t="s">
        <v>4391</v>
      </c>
      <c r="K3295" s="85" t="s">
        <v>12426</v>
      </c>
      <c r="L3295" s="85" t="s">
        <v>12417</v>
      </c>
      <c r="M3295" s="85" t="s">
        <v>12427</v>
      </c>
    </row>
    <row r="3296" ht="327.75" spans="1:13">
      <c r="A3296" s="85" t="s">
        <v>12425</v>
      </c>
      <c r="B3296" s="85" t="s">
        <v>11839</v>
      </c>
      <c r="C3296" s="85" t="s">
        <v>11840</v>
      </c>
      <c r="D3296" s="85" t="s">
        <v>4802</v>
      </c>
      <c r="E3296" s="85" t="s">
        <v>4997</v>
      </c>
      <c r="F3296" s="86">
        <v>18.8</v>
      </c>
      <c r="G3296" s="86">
        <v>5</v>
      </c>
      <c r="H3296" s="86">
        <v>94</v>
      </c>
      <c r="I3296" s="86">
        <v>7236</v>
      </c>
      <c r="J3296" s="85" t="s">
        <v>4391</v>
      </c>
      <c r="K3296" s="85" t="s">
        <v>12426</v>
      </c>
      <c r="L3296" s="85" t="s">
        <v>12417</v>
      </c>
      <c r="M3296" s="85" t="s">
        <v>12428</v>
      </c>
    </row>
    <row r="3297" ht="327.75" spans="1:13">
      <c r="A3297" s="85" t="s">
        <v>12429</v>
      </c>
      <c r="B3297" s="85" t="s">
        <v>5349</v>
      </c>
      <c r="C3297" s="85" t="s">
        <v>5350</v>
      </c>
      <c r="D3297" s="85" t="s">
        <v>3189</v>
      </c>
      <c r="E3297" s="85" t="s">
        <v>5351</v>
      </c>
      <c r="F3297" s="86">
        <v>22</v>
      </c>
      <c r="G3297" s="86">
        <v>5</v>
      </c>
      <c r="H3297" s="86">
        <v>110</v>
      </c>
      <c r="I3297" s="86">
        <v>350</v>
      </c>
      <c r="J3297" s="85" t="s">
        <v>2935</v>
      </c>
      <c r="K3297" s="85" t="s">
        <v>12426</v>
      </c>
      <c r="L3297" s="85" t="s">
        <v>12417</v>
      </c>
      <c r="M3297" s="85" t="s">
        <v>12430</v>
      </c>
    </row>
    <row r="3298" ht="327.75" spans="1:13">
      <c r="A3298" s="85" t="s">
        <v>12425</v>
      </c>
      <c r="B3298" s="85" t="s">
        <v>12431</v>
      </c>
      <c r="C3298" s="85" t="s">
        <v>12432</v>
      </c>
      <c r="D3298" s="85" t="s">
        <v>6924</v>
      </c>
      <c r="E3298" s="85" t="s">
        <v>7837</v>
      </c>
      <c r="F3298" s="86">
        <v>12.47</v>
      </c>
      <c r="G3298" s="86">
        <v>100</v>
      </c>
      <c r="H3298" s="86">
        <v>1247</v>
      </c>
      <c r="I3298" s="86">
        <v>7236</v>
      </c>
      <c r="J3298" s="85" t="s">
        <v>4391</v>
      </c>
      <c r="K3298" s="85" t="s">
        <v>12426</v>
      </c>
      <c r="L3298" s="85" t="s">
        <v>12417</v>
      </c>
      <c r="M3298" s="85" t="s">
        <v>12433</v>
      </c>
    </row>
    <row r="3299" ht="327.75" spans="1:13">
      <c r="A3299" s="85" t="s">
        <v>12434</v>
      </c>
      <c r="B3299" s="85" t="s">
        <v>6899</v>
      </c>
      <c r="C3299" s="85" t="s">
        <v>6900</v>
      </c>
      <c r="D3299" s="85" t="s">
        <v>6901</v>
      </c>
      <c r="E3299" s="85" t="s">
        <v>5752</v>
      </c>
      <c r="F3299" s="86">
        <v>35.1</v>
      </c>
      <c r="G3299" s="86">
        <v>100</v>
      </c>
      <c r="H3299" s="86">
        <v>3510</v>
      </c>
      <c r="I3299" s="86">
        <v>3510</v>
      </c>
      <c r="J3299" s="85" t="s">
        <v>4391</v>
      </c>
      <c r="K3299" s="85" t="s">
        <v>12426</v>
      </c>
      <c r="L3299" s="85" t="s">
        <v>12417</v>
      </c>
      <c r="M3299" s="85" t="s">
        <v>12435</v>
      </c>
    </row>
    <row r="3300" ht="327.75" spans="1:13">
      <c r="A3300" s="85" t="s">
        <v>12429</v>
      </c>
      <c r="B3300" s="85" t="s">
        <v>11456</v>
      </c>
      <c r="C3300" s="85" t="s">
        <v>11457</v>
      </c>
      <c r="D3300" s="85" t="s">
        <v>3625</v>
      </c>
      <c r="E3300" s="85" t="s">
        <v>11458</v>
      </c>
      <c r="F3300" s="86">
        <v>0.8</v>
      </c>
      <c r="G3300" s="86">
        <v>300</v>
      </c>
      <c r="H3300" s="86">
        <v>240</v>
      </c>
      <c r="I3300" s="86">
        <v>350</v>
      </c>
      <c r="J3300" s="85" t="s">
        <v>2935</v>
      </c>
      <c r="K3300" s="85" t="s">
        <v>12426</v>
      </c>
      <c r="L3300" s="85" t="s">
        <v>12417</v>
      </c>
      <c r="M3300" s="85" t="s">
        <v>12436</v>
      </c>
    </row>
    <row r="3301" ht="327.75" spans="1:13">
      <c r="A3301" s="85" t="s">
        <v>12437</v>
      </c>
      <c r="B3301" s="85" t="s">
        <v>12438</v>
      </c>
      <c r="C3301" s="85" t="s">
        <v>12439</v>
      </c>
      <c r="D3301" s="85" t="s">
        <v>5155</v>
      </c>
      <c r="E3301" s="85" t="s">
        <v>12440</v>
      </c>
      <c r="F3301" s="86">
        <v>11</v>
      </c>
      <c r="G3301" s="86">
        <v>600</v>
      </c>
      <c r="H3301" s="86">
        <v>6600</v>
      </c>
      <c r="I3301" s="86">
        <v>10611</v>
      </c>
      <c r="J3301" s="85" t="s">
        <v>2935</v>
      </c>
      <c r="K3301" s="85" t="s">
        <v>12426</v>
      </c>
      <c r="L3301" s="85" t="s">
        <v>12417</v>
      </c>
      <c r="M3301" s="85" t="s">
        <v>12441</v>
      </c>
    </row>
    <row r="3302" ht="327.75" spans="1:13">
      <c r="A3302" s="85" t="s">
        <v>12442</v>
      </c>
      <c r="B3302" s="85" t="s">
        <v>11375</v>
      </c>
      <c r="C3302" s="85" t="s">
        <v>11376</v>
      </c>
      <c r="D3302" s="85" t="s">
        <v>2997</v>
      </c>
      <c r="E3302" s="85" t="s">
        <v>2998</v>
      </c>
      <c r="F3302" s="86">
        <v>18</v>
      </c>
      <c r="G3302" s="86">
        <v>300</v>
      </c>
      <c r="H3302" s="86">
        <v>5400</v>
      </c>
      <c r="I3302" s="86">
        <v>6588</v>
      </c>
      <c r="J3302" s="85" t="s">
        <v>2935</v>
      </c>
      <c r="K3302" s="85" t="s">
        <v>12426</v>
      </c>
      <c r="L3302" s="85" t="s">
        <v>12417</v>
      </c>
      <c r="M3302" s="85" t="s">
        <v>12443</v>
      </c>
    </row>
    <row r="3303" ht="327.75" spans="1:13">
      <c r="A3303" s="85" t="s">
        <v>12444</v>
      </c>
      <c r="B3303" s="85" t="s">
        <v>12445</v>
      </c>
      <c r="C3303" s="85" t="s">
        <v>12446</v>
      </c>
      <c r="D3303" s="85" t="s">
        <v>3014</v>
      </c>
      <c r="E3303" s="85" t="s">
        <v>8141</v>
      </c>
      <c r="F3303" s="86">
        <v>463</v>
      </c>
      <c r="G3303" s="86">
        <v>3</v>
      </c>
      <c r="H3303" s="86">
        <v>1389</v>
      </c>
      <c r="I3303" s="86">
        <v>1389</v>
      </c>
      <c r="J3303" s="85" t="s">
        <v>2935</v>
      </c>
      <c r="K3303" s="85" t="s">
        <v>12426</v>
      </c>
      <c r="L3303" s="85" t="s">
        <v>12417</v>
      </c>
      <c r="M3303" s="85" t="s">
        <v>12447</v>
      </c>
    </row>
    <row r="3304" ht="327.75" spans="1:13">
      <c r="A3304" s="85" t="s">
        <v>12437</v>
      </c>
      <c r="B3304" s="85" t="s">
        <v>12448</v>
      </c>
      <c r="C3304" s="85" t="s">
        <v>12449</v>
      </c>
      <c r="D3304" s="85" t="s">
        <v>3959</v>
      </c>
      <c r="E3304" s="85" t="s">
        <v>6829</v>
      </c>
      <c r="F3304" s="86">
        <v>245</v>
      </c>
      <c r="G3304" s="86">
        <v>2</v>
      </c>
      <c r="H3304" s="86">
        <v>490</v>
      </c>
      <c r="I3304" s="86">
        <v>10611</v>
      </c>
      <c r="J3304" s="85" t="s">
        <v>2935</v>
      </c>
      <c r="K3304" s="85" t="s">
        <v>12426</v>
      </c>
      <c r="L3304" s="85" t="s">
        <v>12417</v>
      </c>
      <c r="M3304" s="85" t="s">
        <v>12450</v>
      </c>
    </row>
    <row r="3305" ht="327.75" spans="1:13">
      <c r="A3305" s="85" t="s">
        <v>12425</v>
      </c>
      <c r="B3305" s="85" t="s">
        <v>10765</v>
      </c>
      <c r="C3305" s="85" t="s">
        <v>10766</v>
      </c>
      <c r="D3305" s="85" t="s">
        <v>3959</v>
      </c>
      <c r="E3305" s="85" t="s">
        <v>6829</v>
      </c>
      <c r="F3305" s="86">
        <v>225</v>
      </c>
      <c r="G3305" s="86">
        <v>10</v>
      </c>
      <c r="H3305" s="86">
        <v>2250</v>
      </c>
      <c r="I3305" s="86">
        <v>7236</v>
      </c>
      <c r="J3305" s="85" t="s">
        <v>4391</v>
      </c>
      <c r="K3305" s="85" t="s">
        <v>12426</v>
      </c>
      <c r="L3305" s="85" t="s">
        <v>12417</v>
      </c>
      <c r="M3305" s="85" t="s">
        <v>12451</v>
      </c>
    </row>
    <row r="3306" ht="327.75" spans="1:13">
      <c r="A3306" s="85" t="s">
        <v>12452</v>
      </c>
      <c r="B3306" s="85" t="s">
        <v>9515</v>
      </c>
      <c r="C3306" s="85" t="s">
        <v>9516</v>
      </c>
      <c r="D3306" s="85" t="s">
        <v>3617</v>
      </c>
      <c r="E3306" s="85" t="s">
        <v>6448</v>
      </c>
      <c r="F3306" s="86">
        <v>37</v>
      </c>
      <c r="G3306" s="86">
        <v>20</v>
      </c>
      <c r="H3306" s="86">
        <v>740</v>
      </c>
      <c r="I3306" s="86">
        <v>27214</v>
      </c>
      <c r="J3306" s="85" t="s">
        <v>2935</v>
      </c>
      <c r="K3306" s="85" t="s">
        <v>12426</v>
      </c>
      <c r="L3306" s="85" t="s">
        <v>12417</v>
      </c>
      <c r="M3306" s="85" t="s">
        <v>12453</v>
      </c>
    </row>
    <row r="3307" ht="327.75" spans="1:13">
      <c r="A3307" s="85" t="s">
        <v>12454</v>
      </c>
      <c r="B3307" s="85" t="s">
        <v>12455</v>
      </c>
      <c r="C3307" s="85" t="s">
        <v>12456</v>
      </c>
      <c r="D3307" s="85" t="s">
        <v>3680</v>
      </c>
      <c r="E3307" s="85" t="s">
        <v>5462</v>
      </c>
      <c r="F3307" s="86">
        <v>1875</v>
      </c>
      <c r="G3307" s="86">
        <v>45</v>
      </c>
      <c r="H3307" s="86">
        <v>84375</v>
      </c>
      <c r="I3307" s="86">
        <v>84375</v>
      </c>
      <c r="J3307" s="85" t="s">
        <v>4391</v>
      </c>
      <c r="K3307" s="85" t="s">
        <v>12426</v>
      </c>
      <c r="L3307" s="85" t="s">
        <v>12417</v>
      </c>
      <c r="M3307" s="85" t="s">
        <v>12457</v>
      </c>
    </row>
    <row r="3308" ht="327.75" spans="1:13">
      <c r="A3308" s="85" t="s">
        <v>12425</v>
      </c>
      <c r="B3308" s="85" t="s">
        <v>11469</v>
      </c>
      <c r="C3308" s="85" t="s">
        <v>11470</v>
      </c>
      <c r="D3308" s="85" t="s">
        <v>4340</v>
      </c>
      <c r="E3308" s="85" t="s">
        <v>9666</v>
      </c>
      <c r="F3308" s="86">
        <v>49</v>
      </c>
      <c r="G3308" s="86">
        <v>5</v>
      </c>
      <c r="H3308" s="86">
        <v>245</v>
      </c>
      <c r="I3308" s="86">
        <v>7236</v>
      </c>
      <c r="J3308" s="85" t="s">
        <v>4391</v>
      </c>
      <c r="K3308" s="85" t="s">
        <v>12426</v>
      </c>
      <c r="L3308" s="85" t="s">
        <v>12417</v>
      </c>
      <c r="M3308" s="85" t="s">
        <v>12458</v>
      </c>
    </row>
    <row r="3309" ht="327.75" spans="1:13">
      <c r="A3309" s="85" t="s">
        <v>12452</v>
      </c>
      <c r="B3309" s="85" t="s">
        <v>12459</v>
      </c>
      <c r="C3309" s="85" t="s">
        <v>12460</v>
      </c>
      <c r="D3309" s="85" t="s">
        <v>3398</v>
      </c>
      <c r="E3309" s="85" t="s">
        <v>12461</v>
      </c>
      <c r="F3309" s="86">
        <v>5510</v>
      </c>
      <c r="G3309" s="86">
        <v>4</v>
      </c>
      <c r="H3309" s="86">
        <v>22040</v>
      </c>
      <c r="I3309" s="86">
        <v>27214</v>
      </c>
      <c r="J3309" s="85" t="s">
        <v>2935</v>
      </c>
      <c r="K3309" s="85" t="s">
        <v>12426</v>
      </c>
      <c r="L3309" s="85" t="s">
        <v>12417</v>
      </c>
      <c r="M3309" s="85" t="s">
        <v>12462</v>
      </c>
    </row>
    <row r="3310" ht="327.75" spans="1:13">
      <c r="A3310" s="85" t="s">
        <v>12452</v>
      </c>
      <c r="B3310" s="85" t="s">
        <v>12463</v>
      </c>
      <c r="C3310" s="85" t="s">
        <v>12464</v>
      </c>
      <c r="D3310" s="85" t="s">
        <v>3398</v>
      </c>
      <c r="E3310" s="85" t="s">
        <v>12461</v>
      </c>
      <c r="F3310" s="86">
        <v>670</v>
      </c>
      <c r="G3310" s="86">
        <v>5</v>
      </c>
      <c r="H3310" s="86">
        <v>3350</v>
      </c>
      <c r="I3310" s="86">
        <v>27214</v>
      </c>
      <c r="J3310" s="85" t="s">
        <v>2935</v>
      </c>
      <c r="K3310" s="85" t="s">
        <v>12426</v>
      </c>
      <c r="L3310" s="85" t="s">
        <v>12417</v>
      </c>
      <c r="M3310" s="85" t="s">
        <v>12465</v>
      </c>
    </row>
    <row r="3311" ht="327.75" spans="1:13">
      <c r="A3311" s="85" t="s">
        <v>12466</v>
      </c>
      <c r="B3311" s="85" t="s">
        <v>9464</v>
      </c>
      <c r="C3311" s="85" t="s">
        <v>9465</v>
      </c>
      <c r="D3311" s="85" t="s">
        <v>4911</v>
      </c>
      <c r="E3311" s="85" t="s">
        <v>4761</v>
      </c>
      <c r="F3311" s="86">
        <v>10</v>
      </c>
      <c r="G3311" s="86">
        <v>100</v>
      </c>
      <c r="H3311" s="86">
        <v>1000</v>
      </c>
      <c r="I3311" s="86">
        <v>1000</v>
      </c>
      <c r="J3311" s="85" t="s">
        <v>2935</v>
      </c>
      <c r="K3311" s="85" t="s">
        <v>12426</v>
      </c>
      <c r="L3311" s="85" t="s">
        <v>12417</v>
      </c>
      <c r="M3311" s="85" t="s">
        <v>12467</v>
      </c>
    </row>
    <row r="3312" ht="327.75" spans="1:13">
      <c r="A3312" s="85" t="s">
        <v>12452</v>
      </c>
      <c r="B3312" s="85" t="s">
        <v>11478</v>
      </c>
      <c r="C3312" s="85" t="s">
        <v>11479</v>
      </c>
      <c r="D3312" s="85" t="s">
        <v>6122</v>
      </c>
      <c r="E3312" s="85" t="s">
        <v>8559</v>
      </c>
      <c r="F3312" s="86">
        <v>1</v>
      </c>
      <c r="G3312" s="86">
        <v>50</v>
      </c>
      <c r="H3312" s="86">
        <v>50</v>
      </c>
      <c r="I3312" s="86">
        <v>27214</v>
      </c>
      <c r="J3312" s="85" t="s">
        <v>2935</v>
      </c>
      <c r="K3312" s="85" t="s">
        <v>12426</v>
      </c>
      <c r="L3312" s="85" t="s">
        <v>12417</v>
      </c>
      <c r="M3312" s="85" t="s">
        <v>12468</v>
      </c>
    </row>
    <row r="3313" ht="327.75" spans="1:13">
      <c r="A3313" s="85" t="s">
        <v>12442</v>
      </c>
      <c r="B3313" s="85" t="s">
        <v>10930</v>
      </c>
      <c r="C3313" s="85" t="s">
        <v>10931</v>
      </c>
      <c r="D3313" s="85" t="s">
        <v>10932</v>
      </c>
      <c r="E3313" s="85" t="s">
        <v>10933</v>
      </c>
      <c r="F3313" s="86">
        <v>156</v>
      </c>
      <c r="G3313" s="86">
        <v>3</v>
      </c>
      <c r="H3313" s="86">
        <v>468</v>
      </c>
      <c r="I3313" s="86">
        <v>6588</v>
      </c>
      <c r="J3313" s="85" t="s">
        <v>2935</v>
      </c>
      <c r="K3313" s="85" t="s">
        <v>12426</v>
      </c>
      <c r="L3313" s="85" t="s">
        <v>12417</v>
      </c>
      <c r="M3313" s="85" t="s">
        <v>12469</v>
      </c>
    </row>
    <row r="3314" ht="327.75" spans="1:13">
      <c r="A3314" s="85" t="s">
        <v>12437</v>
      </c>
      <c r="B3314" s="85" t="s">
        <v>12470</v>
      </c>
      <c r="C3314" s="85" t="s">
        <v>12471</v>
      </c>
      <c r="D3314" s="85" t="s">
        <v>4220</v>
      </c>
      <c r="E3314" s="85" t="s">
        <v>9346</v>
      </c>
      <c r="F3314" s="86">
        <v>503</v>
      </c>
      <c r="G3314" s="86">
        <v>7</v>
      </c>
      <c r="H3314" s="86">
        <v>3521</v>
      </c>
      <c r="I3314" s="86">
        <v>10611</v>
      </c>
      <c r="J3314" s="85" t="s">
        <v>2935</v>
      </c>
      <c r="K3314" s="85" t="s">
        <v>12426</v>
      </c>
      <c r="L3314" s="85" t="s">
        <v>12417</v>
      </c>
      <c r="M3314" s="85" t="s">
        <v>12472</v>
      </c>
    </row>
    <row r="3315" ht="327.75" spans="1:13">
      <c r="A3315" s="85" t="s">
        <v>12473</v>
      </c>
      <c r="B3315" s="85" t="s">
        <v>10965</v>
      </c>
      <c r="C3315" s="85" t="s">
        <v>10966</v>
      </c>
      <c r="D3315" s="85" t="s">
        <v>10967</v>
      </c>
      <c r="E3315" s="85" t="s">
        <v>10968</v>
      </c>
      <c r="F3315" s="86">
        <v>769</v>
      </c>
      <c r="G3315" s="86">
        <v>1</v>
      </c>
      <c r="H3315" s="86">
        <v>769</v>
      </c>
      <c r="I3315" s="86">
        <v>769</v>
      </c>
      <c r="J3315" s="85" t="s">
        <v>2935</v>
      </c>
      <c r="K3315" s="85" t="s">
        <v>12426</v>
      </c>
      <c r="L3315" s="85" t="s">
        <v>12417</v>
      </c>
      <c r="M3315" s="85" t="s">
        <v>12474</v>
      </c>
    </row>
    <row r="3316" ht="327.75" spans="1:13">
      <c r="A3316" s="85" t="s">
        <v>12425</v>
      </c>
      <c r="B3316" s="85" t="s">
        <v>12475</v>
      </c>
      <c r="C3316" s="85" t="s">
        <v>12476</v>
      </c>
      <c r="D3316" s="85" t="s">
        <v>6901</v>
      </c>
      <c r="E3316" s="85" t="s">
        <v>5752</v>
      </c>
      <c r="F3316" s="86">
        <v>32.5</v>
      </c>
      <c r="G3316" s="86">
        <v>100</v>
      </c>
      <c r="H3316" s="86">
        <v>3250</v>
      </c>
      <c r="I3316" s="86">
        <v>7236</v>
      </c>
      <c r="J3316" s="85" t="s">
        <v>4391</v>
      </c>
      <c r="K3316" s="85" t="s">
        <v>12426</v>
      </c>
      <c r="L3316" s="85" t="s">
        <v>12417</v>
      </c>
      <c r="M3316" s="85" t="s">
        <v>12477</v>
      </c>
    </row>
    <row r="3317" ht="327.75" spans="1:13">
      <c r="A3317" s="85" t="s">
        <v>12442</v>
      </c>
      <c r="B3317" s="85" t="s">
        <v>12478</v>
      </c>
      <c r="C3317" s="85" t="s">
        <v>12479</v>
      </c>
      <c r="D3317" s="85" t="s">
        <v>11999</v>
      </c>
      <c r="E3317" s="85" t="s">
        <v>2327</v>
      </c>
      <c r="F3317" s="86">
        <v>720</v>
      </c>
      <c r="G3317" s="86">
        <v>1</v>
      </c>
      <c r="H3317" s="86">
        <v>720</v>
      </c>
      <c r="I3317" s="86">
        <v>6588</v>
      </c>
      <c r="J3317" s="85" t="s">
        <v>2935</v>
      </c>
      <c r="K3317" s="85" t="s">
        <v>12426</v>
      </c>
      <c r="L3317" s="85" t="s">
        <v>12417</v>
      </c>
      <c r="M3317" s="85" t="s">
        <v>12480</v>
      </c>
    </row>
    <row r="3318" ht="327.75" spans="1:13">
      <c r="A3318" s="85" t="s">
        <v>12452</v>
      </c>
      <c r="B3318" s="85" t="s">
        <v>12481</v>
      </c>
      <c r="C3318" s="85" t="s">
        <v>12482</v>
      </c>
      <c r="D3318" s="85" t="s">
        <v>7326</v>
      </c>
      <c r="E3318" s="85" t="s">
        <v>7394</v>
      </c>
      <c r="F3318" s="86">
        <v>517</v>
      </c>
      <c r="G3318" s="86">
        <v>2</v>
      </c>
      <c r="H3318" s="86">
        <v>1034</v>
      </c>
      <c r="I3318" s="86">
        <v>27214</v>
      </c>
      <c r="J3318" s="85" t="s">
        <v>2935</v>
      </c>
      <c r="K3318" s="85" t="s">
        <v>12426</v>
      </c>
      <c r="L3318" s="85" t="s">
        <v>12417</v>
      </c>
      <c r="M3318" s="85" t="s">
        <v>12483</v>
      </c>
    </row>
    <row r="3319" ht="327.75" spans="1:13">
      <c r="A3319" s="85" t="s">
        <v>12484</v>
      </c>
      <c r="B3319" s="85" t="s">
        <v>5246</v>
      </c>
      <c r="C3319" s="85" t="s">
        <v>5247</v>
      </c>
      <c r="D3319" s="85" t="s">
        <v>3753</v>
      </c>
      <c r="E3319" s="85" t="s">
        <v>3763</v>
      </c>
      <c r="F3319" s="86">
        <v>183.57</v>
      </c>
      <c r="G3319" s="86">
        <v>8</v>
      </c>
      <c r="H3319" s="86">
        <v>1468.56</v>
      </c>
      <c r="I3319" s="86">
        <v>19978.11</v>
      </c>
      <c r="J3319" s="85" t="s">
        <v>11396</v>
      </c>
      <c r="K3319" s="85" t="s">
        <v>12485</v>
      </c>
      <c r="L3319" s="85" t="s">
        <v>12417</v>
      </c>
      <c r="M3319" s="85" t="s">
        <v>12486</v>
      </c>
    </row>
    <row r="3320" ht="327.75" spans="1:13">
      <c r="A3320" s="85" t="s">
        <v>12484</v>
      </c>
      <c r="B3320" s="85" t="s">
        <v>4359</v>
      </c>
      <c r="C3320" s="85" t="s">
        <v>4360</v>
      </c>
      <c r="D3320" s="85" t="s">
        <v>3753</v>
      </c>
      <c r="E3320" s="85" t="s">
        <v>3763</v>
      </c>
      <c r="F3320" s="86">
        <v>81.59</v>
      </c>
      <c r="G3320" s="86">
        <v>2</v>
      </c>
      <c r="H3320" s="86">
        <v>163.18</v>
      </c>
      <c r="I3320" s="86">
        <v>19978.11</v>
      </c>
      <c r="J3320" s="85" t="s">
        <v>11396</v>
      </c>
      <c r="K3320" s="85" t="s">
        <v>12485</v>
      </c>
      <c r="L3320" s="85" t="s">
        <v>12417</v>
      </c>
      <c r="M3320" s="85" t="s">
        <v>12487</v>
      </c>
    </row>
    <row r="3321" ht="327.75" spans="1:13">
      <c r="A3321" s="85" t="s">
        <v>12484</v>
      </c>
      <c r="B3321" s="85" t="s">
        <v>5251</v>
      </c>
      <c r="C3321" s="85" t="s">
        <v>5252</v>
      </c>
      <c r="D3321" s="85" t="s">
        <v>3753</v>
      </c>
      <c r="E3321" s="85" t="s">
        <v>3763</v>
      </c>
      <c r="F3321" s="86">
        <v>254.95</v>
      </c>
      <c r="G3321" s="86">
        <v>8</v>
      </c>
      <c r="H3321" s="86">
        <v>2039.6</v>
      </c>
      <c r="I3321" s="86">
        <v>19978.11</v>
      </c>
      <c r="J3321" s="85" t="s">
        <v>11396</v>
      </c>
      <c r="K3321" s="85" t="s">
        <v>12485</v>
      </c>
      <c r="L3321" s="85" t="s">
        <v>12417</v>
      </c>
      <c r="M3321" s="85" t="s">
        <v>12488</v>
      </c>
    </row>
    <row r="3322" ht="327.75" spans="1:13">
      <c r="A3322" s="85" t="s">
        <v>12484</v>
      </c>
      <c r="B3322" s="85" t="s">
        <v>9492</v>
      </c>
      <c r="C3322" s="85" t="s">
        <v>9493</v>
      </c>
      <c r="D3322" s="85" t="s">
        <v>3753</v>
      </c>
      <c r="E3322" s="85" t="s">
        <v>3763</v>
      </c>
      <c r="F3322" s="86">
        <v>489.51</v>
      </c>
      <c r="G3322" s="86">
        <v>8</v>
      </c>
      <c r="H3322" s="86">
        <v>3916.08</v>
      </c>
      <c r="I3322" s="86">
        <v>19978.11</v>
      </c>
      <c r="J3322" s="85" t="s">
        <v>11396</v>
      </c>
      <c r="K3322" s="85" t="s">
        <v>12485</v>
      </c>
      <c r="L3322" s="85" t="s">
        <v>12417</v>
      </c>
      <c r="M3322" s="85" t="s">
        <v>12489</v>
      </c>
    </row>
    <row r="3323" ht="327.75" spans="1:13">
      <c r="A3323" s="85" t="s">
        <v>12484</v>
      </c>
      <c r="B3323" s="85" t="s">
        <v>9239</v>
      </c>
      <c r="C3323" s="85" t="s">
        <v>9240</v>
      </c>
      <c r="D3323" s="85" t="s">
        <v>3753</v>
      </c>
      <c r="E3323" s="85" t="s">
        <v>3763</v>
      </c>
      <c r="F3323" s="86">
        <v>489.51</v>
      </c>
      <c r="G3323" s="86">
        <v>8</v>
      </c>
      <c r="H3323" s="86">
        <v>3916.08</v>
      </c>
      <c r="I3323" s="86">
        <v>19978.11</v>
      </c>
      <c r="J3323" s="85" t="s">
        <v>11396</v>
      </c>
      <c r="K3323" s="85" t="s">
        <v>12485</v>
      </c>
      <c r="L3323" s="85" t="s">
        <v>12417</v>
      </c>
      <c r="M3323" s="85" t="s">
        <v>12490</v>
      </c>
    </row>
    <row r="3324" ht="327.75" spans="1:13">
      <c r="A3324" s="85" t="s">
        <v>12484</v>
      </c>
      <c r="B3324" s="85" t="s">
        <v>3761</v>
      </c>
      <c r="C3324" s="85" t="s">
        <v>3762</v>
      </c>
      <c r="D3324" s="85" t="s">
        <v>3753</v>
      </c>
      <c r="E3324" s="85" t="s">
        <v>3763</v>
      </c>
      <c r="F3324" s="86">
        <v>387.53</v>
      </c>
      <c r="G3324" s="86">
        <v>1</v>
      </c>
      <c r="H3324" s="86">
        <v>387.53</v>
      </c>
      <c r="I3324" s="86">
        <v>19978.11</v>
      </c>
      <c r="J3324" s="85" t="s">
        <v>11396</v>
      </c>
      <c r="K3324" s="85" t="s">
        <v>12485</v>
      </c>
      <c r="L3324" s="85" t="s">
        <v>12417</v>
      </c>
      <c r="M3324" s="85" t="s">
        <v>12491</v>
      </c>
    </row>
    <row r="3325" ht="327.75" spans="1:13">
      <c r="A3325" s="85" t="s">
        <v>12484</v>
      </c>
      <c r="B3325" s="85" t="s">
        <v>6573</v>
      </c>
      <c r="C3325" s="85" t="s">
        <v>6574</v>
      </c>
      <c r="D3325" s="85" t="s">
        <v>3753</v>
      </c>
      <c r="E3325" s="85" t="s">
        <v>3763</v>
      </c>
      <c r="F3325" s="86">
        <v>254.95</v>
      </c>
      <c r="G3325" s="86">
        <v>4</v>
      </c>
      <c r="H3325" s="86">
        <v>1019.8</v>
      </c>
      <c r="I3325" s="86">
        <v>19978.11</v>
      </c>
      <c r="J3325" s="85" t="s">
        <v>11396</v>
      </c>
      <c r="K3325" s="85" t="s">
        <v>12485</v>
      </c>
      <c r="L3325" s="85" t="s">
        <v>12417</v>
      </c>
      <c r="M3325" s="85" t="s">
        <v>12492</v>
      </c>
    </row>
    <row r="3326" ht="327.75" spans="1:13">
      <c r="A3326" s="85" t="s">
        <v>12484</v>
      </c>
      <c r="B3326" s="85" t="s">
        <v>9790</v>
      </c>
      <c r="C3326" s="85" t="s">
        <v>9791</v>
      </c>
      <c r="D3326" s="85" t="s">
        <v>3753</v>
      </c>
      <c r="E3326" s="85" t="s">
        <v>3763</v>
      </c>
      <c r="F3326" s="86">
        <v>285.55</v>
      </c>
      <c r="G3326" s="86">
        <v>3</v>
      </c>
      <c r="H3326" s="86">
        <v>856.65</v>
      </c>
      <c r="I3326" s="86">
        <v>19978.11</v>
      </c>
      <c r="J3326" s="85" t="s">
        <v>11396</v>
      </c>
      <c r="K3326" s="85" t="s">
        <v>12485</v>
      </c>
      <c r="L3326" s="85" t="s">
        <v>12417</v>
      </c>
      <c r="M3326" s="85" t="s">
        <v>12493</v>
      </c>
    </row>
    <row r="3327" ht="327.75" spans="1:13">
      <c r="A3327" s="85" t="s">
        <v>12484</v>
      </c>
      <c r="B3327" s="85" t="s">
        <v>5263</v>
      </c>
      <c r="C3327" s="85" t="s">
        <v>5264</v>
      </c>
      <c r="D3327" s="85" t="s">
        <v>3753</v>
      </c>
      <c r="E3327" s="85" t="s">
        <v>3763</v>
      </c>
      <c r="F3327" s="86">
        <v>254.95</v>
      </c>
      <c r="G3327" s="86">
        <v>6</v>
      </c>
      <c r="H3327" s="86">
        <v>1529.7</v>
      </c>
      <c r="I3327" s="86">
        <v>19978.11</v>
      </c>
      <c r="J3327" s="85" t="s">
        <v>11396</v>
      </c>
      <c r="K3327" s="85" t="s">
        <v>12485</v>
      </c>
      <c r="L3327" s="85" t="s">
        <v>12417</v>
      </c>
      <c r="M3327" s="85" t="s">
        <v>12494</v>
      </c>
    </row>
    <row r="3328" ht="327.75" spans="1:13">
      <c r="A3328" s="85" t="s">
        <v>12484</v>
      </c>
      <c r="B3328" s="85" t="s">
        <v>12495</v>
      </c>
      <c r="C3328" s="85" t="s">
        <v>12496</v>
      </c>
      <c r="D3328" s="85" t="s">
        <v>3753</v>
      </c>
      <c r="E3328" s="85" t="s">
        <v>3763</v>
      </c>
      <c r="F3328" s="86">
        <v>50.99</v>
      </c>
      <c r="G3328" s="86">
        <v>3</v>
      </c>
      <c r="H3328" s="86">
        <v>152.97</v>
      </c>
      <c r="I3328" s="86">
        <v>19978.11</v>
      </c>
      <c r="J3328" s="85" t="s">
        <v>11396</v>
      </c>
      <c r="K3328" s="85" t="s">
        <v>12485</v>
      </c>
      <c r="L3328" s="85" t="s">
        <v>12417</v>
      </c>
      <c r="M3328" s="85" t="s">
        <v>12497</v>
      </c>
    </row>
    <row r="3329" ht="327.75" spans="1:13">
      <c r="A3329" s="85" t="s">
        <v>12484</v>
      </c>
      <c r="B3329" s="85" t="s">
        <v>9523</v>
      </c>
      <c r="C3329" s="85" t="s">
        <v>9524</v>
      </c>
      <c r="D3329" s="85" t="s">
        <v>3753</v>
      </c>
      <c r="E3329" s="85" t="s">
        <v>3763</v>
      </c>
      <c r="F3329" s="86">
        <v>285.55</v>
      </c>
      <c r="G3329" s="86">
        <v>1</v>
      </c>
      <c r="H3329" s="86">
        <v>285.55</v>
      </c>
      <c r="I3329" s="86">
        <v>19978.11</v>
      </c>
      <c r="J3329" s="85" t="s">
        <v>11396</v>
      </c>
      <c r="K3329" s="85" t="s">
        <v>12485</v>
      </c>
      <c r="L3329" s="85" t="s">
        <v>12417</v>
      </c>
      <c r="M3329" s="85" t="s">
        <v>12498</v>
      </c>
    </row>
    <row r="3330" ht="327.75" spans="1:13">
      <c r="A3330" s="85" t="s">
        <v>12484</v>
      </c>
      <c r="B3330" s="85" t="s">
        <v>6570</v>
      </c>
      <c r="C3330" s="85" t="s">
        <v>6571</v>
      </c>
      <c r="D3330" s="85" t="s">
        <v>3753</v>
      </c>
      <c r="E3330" s="85" t="s">
        <v>3763</v>
      </c>
      <c r="F3330" s="86">
        <v>509.9</v>
      </c>
      <c r="G3330" s="86">
        <v>2</v>
      </c>
      <c r="H3330" s="86">
        <v>1019.8</v>
      </c>
      <c r="I3330" s="86">
        <v>19978.11</v>
      </c>
      <c r="J3330" s="85" t="s">
        <v>11396</v>
      </c>
      <c r="K3330" s="85" t="s">
        <v>12485</v>
      </c>
      <c r="L3330" s="85" t="s">
        <v>12417</v>
      </c>
      <c r="M3330" s="85" t="s">
        <v>12499</v>
      </c>
    </row>
    <row r="3331" ht="327.75" spans="1:13">
      <c r="A3331" s="85" t="s">
        <v>12484</v>
      </c>
      <c r="B3331" s="85" t="s">
        <v>9289</v>
      </c>
      <c r="C3331" s="85" t="s">
        <v>9290</v>
      </c>
      <c r="D3331" s="85" t="s">
        <v>3753</v>
      </c>
      <c r="E3331" s="85" t="s">
        <v>3763</v>
      </c>
      <c r="F3331" s="86">
        <v>285.55</v>
      </c>
      <c r="G3331" s="86">
        <v>1</v>
      </c>
      <c r="H3331" s="86">
        <v>285.55</v>
      </c>
      <c r="I3331" s="86">
        <v>19978.11</v>
      </c>
      <c r="J3331" s="85" t="s">
        <v>11396</v>
      </c>
      <c r="K3331" s="85" t="s">
        <v>12485</v>
      </c>
      <c r="L3331" s="85" t="s">
        <v>12417</v>
      </c>
      <c r="M3331" s="85" t="s">
        <v>12500</v>
      </c>
    </row>
    <row r="3332" ht="327.75" spans="1:13">
      <c r="A3332" s="85" t="s">
        <v>12484</v>
      </c>
      <c r="B3332" s="85" t="s">
        <v>9451</v>
      </c>
      <c r="C3332" s="85" t="s">
        <v>9452</v>
      </c>
      <c r="D3332" s="85" t="s">
        <v>3753</v>
      </c>
      <c r="E3332" s="85" t="s">
        <v>3763</v>
      </c>
      <c r="F3332" s="86">
        <v>489.51</v>
      </c>
      <c r="G3332" s="86">
        <v>6</v>
      </c>
      <c r="H3332" s="86">
        <v>2937.06</v>
      </c>
      <c r="I3332" s="86">
        <v>19978.11</v>
      </c>
      <c r="J3332" s="85" t="s">
        <v>11396</v>
      </c>
      <c r="K3332" s="85" t="s">
        <v>12485</v>
      </c>
      <c r="L3332" s="85" t="s">
        <v>12417</v>
      </c>
      <c r="M3332" s="85" t="s">
        <v>12501</v>
      </c>
    </row>
    <row r="3333" ht="228" spans="1:13">
      <c r="A3333" s="85" t="s">
        <v>12502</v>
      </c>
      <c r="B3333" s="85" t="s">
        <v>12049</v>
      </c>
      <c r="C3333" s="85" t="s">
        <v>12050</v>
      </c>
      <c r="D3333" s="85" t="s">
        <v>3153</v>
      </c>
      <c r="E3333" s="85" t="s">
        <v>12050</v>
      </c>
      <c r="F3333" s="86">
        <v>114.8</v>
      </c>
      <c r="G3333" s="86">
        <v>1</v>
      </c>
      <c r="H3333" s="86">
        <v>114.8</v>
      </c>
      <c r="I3333" s="86">
        <v>494.24</v>
      </c>
      <c r="J3333" s="85" t="s">
        <v>9954</v>
      </c>
      <c r="K3333" s="85" t="s">
        <v>12503</v>
      </c>
      <c r="L3333" s="85" t="s">
        <v>10873</v>
      </c>
      <c r="M3333" s="85" t="s">
        <v>12504</v>
      </c>
    </row>
    <row r="3334" ht="228" spans="1:13">
      <c r="A3334" s="85" t="s">
        <v>12502</v>
      </c>
      <c r="B3334" s="85" t="s">
        <v>12505</v>
      </c>
      <c r="C3334" s="85" t="s">
        <v>12506</v>
      </c>
      <c r="D3334" s="85" t="s">
        <v>9959</v>
      </c>
      <c r="E3334" s="85" t="s">
        <v>12506</v>
      </c>
      <c r="F3334" s="86">
        <v>38.52</v>
      </c>
      <c r="G3334" s="86">
        <v>2</v>
      </c>
      <c r="H3334" s="86">
        <v>77.04</v>
      </c>
      <c r="I3334" s="86">
        <v>494.24</v>
      </c>
      <c r="J3334" s="85" t="s">
        <v>9954</v>
      </c>
      <c r="K3334" s="85" t="s">
        <v>12503</v>
      </c>
      <c r="L3334" s="85" t="s">
        <v>10873</v>
      </c>
      <c r="M3334" s="85" t="s">
        <v>12507</v>
      </c>
    </row>
    <row r="3335" ht="228" spans="1:13">
      <c r="A3335" s="85" t="s">
        <v>12502</v>
      </c>
      <c r="B3335" s="85" t="s">
        <v>11240</v>
      </c>
      <c r="C3335" s="85" t="s">
        <v>11241</v>
      </c>
      <c r="D3335" s="85" t="s">
        <v>3183</v>
      </c>
      <c r="E3335" s="85" t="s">
        <v>11241</v>
      </c>
      <c r="F3335" s="86">
        <v>30.24</v>
      </c>
      <c r="G3335" s="86">
        <v>10</v>
      </c>
      <c r="H3335" s="86">
        <v>302.4</v>
      </c>
      <c r="I3335" s="86">
        <v>494.24</v>
      </c>
      <c r="J3335" s="85" t="s">
        <v>9954</v>
      </c>
      <c r="K3335" s="85" t="s">
        <v>12503</v>
      </c>
      <c r="L3335" s="85" t="s">
        <v>10873</v>
      </c>
      <c r="M3335" s="85" t="s">
        <v>12508</v>
      </c>
    </row>
    <row r="3336" ht="327.75" spans="1:13">
      <c r="A3336" s="85" t="s">
        <v>12509</v>
      </c>
      <c r="B3336" s="85" t="s">
        <v>12510</v>
      </c>
      <c r="C3336" s="85" t="s">
        <v>12511</v>
      </c>
      <c r="D3336" s="85" t="s">
        <v>3201</v>
      </c>
      <c r="E3336" s="85" t="s">
        <v>5227</v>
      </c>
      <c r="F3336" s="86">
        <v>62</v>
      </c>
      <c r="G3336" s="86">
        <v>40</v>
      </c>
      <c r="H3336" s="86">
        <v>2480</v>
      </c>
      <c r="I3336" s="86">
        <v>31614</v>
      </c>
      <c r="J3336" s="85" t="s">
        <v>9135</v>
      </c>
      <c r="K3336" s="85" t="s">
        <v>12512</v>
      </c>
      <c r="L3336" s="85" t="s">
        <v>12417</v>
      </c>
      <c r="M3336" s="85" t="s">
        <v>12513</v>
      </c>
    </row>
    <row r="3337" ht="327.75" spans="1:13">
      <c r="A3337" s="85" t="s">
        <v>12509</v>
      </c>
      <c r="B3337" s="85" t="s">
        <v>11450</v>
      </c>
      <c r="C3337" s="85" t="s">
        <v>11451</v>
      </c>
      <c r="D3337" s="85" t="s">
        <v>2992</v>
      </c>
      <c r="E3337" s="85" t="s">
        <v>1815</v>
      </c>
      <c r="F3337" s="86">
        <v>360</v>
      </c>
      <c r="G3337" s="86">
        <v>10</v>
      </c>
      <c r="H3337" s="86">
        <v>3600</v>
      </c>
      <c r="I3337" s="86">
        <v>31614</v>
      </c>
      <c r="J3337" s="85" t="s">
        <v>9135</v>
      </c>
      <c r="K3337" s="85" t="s">
        <v>12512</v>
      </c>
      <c r="L3337" s="85" t="s">
        <v>12417</v>
      </c>
      <c r="M3337" s="85" t="s">
        <v>12514</v>
      </c>
    </row>
    <row r="3338" ht="327.75" spans="1:13">
      <c r="A3338" s="85" t="s">
        <v>12509</v>
      </c>
      <c r="B3338" s="85" t="s">
        <v>12515</v>
      </c>
      <c r="C3338" s="85" t="s">
        <v>12516</v>
      </c>
      <c r="D3338" s="85" t="s">
        <v>5023</v>
      </c>
      <c r="E3338" s="85" t="s">
        <v>5024</v>
      </c>
      <c r="F3338" s="86">
        <v>17</v>
      </c>
      <c r="G3338" s="86">
        <v>100</v>
      </c>
      <c r="H3338" s="86">
        <v>1700</v>
      </c>
      <c r="I3338" s="86">
        <v>31614</v>
      </c>
      <c r="J3338" s="85" t="s">
        <v>9135</v>
      </c>
      <c r="K3338" s="85" t="s">
        <v>12512</v>
      </c>
      <c r="L3338" s="85" t="s">
        <v>12417</v>
      </c>
      <c r="M3338" s="85" t="s">
        <v>12517</v>
      </c>
    </row>
    <row r="3339" ht="327.75" spans="1:13">
      <c r="A3339" s="85" t="s">
        <v>12509</v>
      </c>
      <c r="B3339" s="85" t="s">
        <v>11436</v>
      </c>
      <c r="C3339" s="85" t="s">
        <v>11437</v>
      </c>
      <c r="D3339" s="85" t="s">
        <v>9541</v>
      </c>
      <c r="E3339" s="85" t="s">
        <v>4961</v>
      </c>
      <c r="F3339" s="86">
        <v>2.5</v>
      </c>
      <c r="G3339" s="86">
        <v>400</v>
      </c>
      <c r="H3339" s="86">
        <v>1000</v>
      </c>
      <c r="I3339" s="86">
        <v>31614</v>
      </c>
      <c r="J3339" s="85" t="s">
        <v>9135</v>
      </c>
      <c r="K3339" s="85" t="s">
        <v>12512</v>
      </c>
      <c r="L3339" s="85" t="s">
        <v>12417</v>
      </c>
      <c r="M3339" s="85" t="s">
        <v>12518</v>
      </c>
    </row>
    <row r="3340" ht="327.75" spans="1:13">
      <c r="A3340" s="85" t="s">
        <v>12509</v>
      </c>
      <c r="B3340" s="85" t="s">
        <v>12519</v>
      </c>
      <c r="C3340" s="85" t="s">
        <v>12520</v>
      </c>
      <c r="D3340" s="85" t="s">
        <v>3201</v>
      </c>
      <c r="E3340" s="85" t="s">
        <v>5227</v>
      </c>
      <c r="F3340" s="86">
        <v>62</v>
      </c>
      <c r="G3340" s="86">
        <v>40</v>
      </c>
      <c r="H3340" s="86">
        <v>2480</v>
      </c>
      <c r="I3340" s="86">
        <v>31614</v>
      </c>
      <c r="J3340" s="85" t="s">
        <v>9135</v>
      </c>
      <c r="K3340" s="85" t="s">
        <v>12512</v>
      </c>
      <c r="L3340" s="85" t="s">
        <v>12417</v>
      </c>
      <c r="M3340" s="85" t="s">
        <v>12521</v>
      </c>
    </row>
    <row r="3341" ht="327.75" spans="1:13">
      <c r="A3341" s="85" t="s">
        <v>12522</v>
      </c>
      <c r="B3341" s="85" t="s">
        <v>12523</v>
      </c>
      <c r="C3341" s="85" t="s">
        <v>12524</v>
      </c>
      <c r="D3341" s="85" t="s">
        <v>4802</v>
      </c>
      <c r="E3341" s="85" t="s">
        <v>4997</v>
      </c>
      <c r="F3341" s="86">
        <v>45.5</v>
      </c>
      <c r="G3341" s="86">
        <v>30</v>
      </c>
      <c r="H3341" s="86">
        <v>1365</v>
      </c>
      <c r="I3341" s="86">
        <v>1365</v>
      </c>
      <c r="J3341" s="85" t="s">
        <v>9135</v>
      </c>
      <c r="K3341" s="85" t="s">
        <v>12512</v>
      </c>
      <c r="L3341" s="85" t="s">
        <v>12417</v>
      </c>
      <c r="M3341" s="85" t="s">
        <v>12525</v>
      </c>
    </row>
    <row r="3342" ht="327.75" spans="1:13">
      <c r="A3342" s="85" t="s">
        <v>12509</v>
      </c>
      <c r="B3342" s="85" t="s">
        <v>11472</v>
      </c>
      <c r="C3342" s="85" t="s">
        <v>11473</v>
      </c>
      <c r="D3342" s="85" t="s">
        <v>2992</v>
      </c>
      <c r="E3342" s="85" t="s">
        <v>1815</v>
      </c>
      <c r="F3342" s="86">
        <v>0.25</v>
      </c>
      <c r="G3342" s="86">
        <v>60000</v>
      </c>
      <c r="H3342" s="86">
        <v>15000</v>
      </c>
      <c r="I3342" s="86">
        <v>31614</v>
      </c>
      <c r="J3342" s="85" t="s">
        <v>9135</v>
      </c>
      <c r="K3342" s="85" t="s">
        <v>12512</v>
      </c>
      <c r="L3342" s="85" t="s">
        <v>12417</v>
      </c>
      <c r="M3342" s="85" t="s">
        <v>12526</v>
      </c>
    </row>
    <row r="3343" ht="327.75" spans="1:13">
      <c r="A3343" s="85" t="s">
        <v>12509</v>
      </c>
      <c r="B3343" s="85" t="s">
        <v>11507</v>
      </c>
      <c r="C3343" s="85" t="s">
        <v>11508</v>
      </c>
      <c r="D3343" s="85" t="s">
        <v>2992</v>
      </c>
      <c r="E3343" s="85" t="s">
        <v>1815</v>
      </c>
      <c r="F3343" s="86">
        <v>392</v>
      </c>
      <c r="G3343" s="86">
        <v>5</v>
      </c>
      <c r="H3343" s="86">
        <v>1960</v>
      </c>
      <c r="I3343" s="86">
        <v>31614</v>
      </c>
      <c r="J3343" s="85" t="s">
        <v>9135</v>
      </c>
      <c r="K3343" s="85" t="s">
        <v>12512</v>
      </c>
      <c r="L3343" s="85" t="s">
        <v>12417</v>
      </c>
      <c r="M3343" s="85" t="s">
        <v>12527</v>
      </c>
    </row>
    <row r="3344" ht="327.75" spans="1:13">
      <c r="A3344" s="85" t="s">
        <v>12509</v>
      </c>
      <c r="B3344" s="85" t="s">
        <v>11527</v>
      </c>
      <c r="C3344" s="85" t="s">
        <v>11528</v>
      </c>
      <c r="D3344" s="85" t="s">
        <v>2992</v>
      </c>
      <c r="E3344" s="85" t="s">
        <v>1815</v>
      </c>
      <c r="F3344" s="86">
        <v>0.47</v>
      </c>
      <c r="G3344" s="86">
        <v>3200</v>
      </c>
      <c r="H3344" s="86">
        <v>1504</v>
      </c>
      <c r="I3344" s="86">
        <v>31614</v>
      </c>
      <c r="J3344" s="85" t="s">
        <v>9135</v>
      </c>
      <c r="K3344" s="85" t="s">
        <v>12512</v>
      </c>
      <c r="L3344" s="85" t="s">
        <v>12417</v>
      </c>
      <c r="M3344" s="85" t="s">
        <v>12528</v>
      </c>
    </row>
    <row r="3345" ht="327.75" spans="1:13">
      <c r="A3345" s="85" t="s">
        <v>12509</v>
      </c>
      <c r="B3345" s="85" t="s">
        <v>11431</v>
      </c>
      <c r="C3345" s="85" t="s">
        <v>11432</v>
      </c>
      <c r="D3345" s="85" t="s">
        <v>3241</v>
      </c>
      <c r="E3345" s="85" t="s">
        <v>11433</v>
      </c>
      <c r="F3345" s="86">
        <v>9</v>
      </c>
      <c r="G3345" s="86">
        <v>10</v>
      </c>
      <c r="H3345" s="86">
        <v>90</v>
      </c>
      <c r="I3345" s="86">
        <v>31614</v>
      </c>
      <c r="J3345" s="85" t="s">
        <v>9135</v>
      </c>
      <c r="K3345" s="85" t="s">
        <v>12512</v>
      </c>
      <c r="L3345" s="85" t="s">
        <v>12417</v>
      </c>
      <c r="M3345" s="85" t="s">
        <v>12529</v>
      </c>
    </row>
    <row r="3346" ht="327.75" spans="1:13">
      <c r="A3346" s="85" t="s">
        <v>12530</v>
      </c>
      <c r="B3346" s="85" t="s">
        <v>5662</v>
      </c>
      <c r="C3346" s="85" t="s">
        <v>11672</v>
      </c>
      <c r="D3346" s="85" t="s">
        <v>4076</v>
      </c>
      <c r="E3346" s="85" t="s">
        <v>1832</v>
      </c>
      <c r="F3346" s="86">
        <v>106</v>
      </c>
      <c r="G3346" s="86">
        <v>150</v>
      </c>
      <c r="H3346" s="86">
        <v>15900</v>
      </c>
      <c r="I3346" s="86">
        <v>42925</v>
      </c>
      <c r="J3346" s="85" t="s">
        <v>12217</v>
      </c>
      <c r="K3346" s="85" t="s">
        <v>12512</v>
      </c>
      <c r="L3346" s="85" t="s">
        <v>12417</v>
      </c>
      <c r="M3346" s="85" t="s">
        <v>12531</v>
      </c>
    </row>
    <row r="3347" ht="327.75" spans="1:13">
      <c r="A3347" s="85" t="s">
        <v>12509</v>
      </c>
      <c r="B3347" s="85" t="s">
        <v>12532</v>
      </c>
      <c r="C3347" s="85" t="s">
        <v>12533</v>
      </c>
      <c r="D3347" s="85" t="s">
        <v>3201</v>
      </c>
      <c r="E3347" s="85" t="s">
        <v>3217</v>
      </c>
      <c r="F3347" s="86">
        <v>45</v>
      </c>
      <c r="G3347" s="86">
        <v>40</v>
      </c>
      <c r="H3347" s="86">
        <v>1800</v>
      </c>
      <c r="I3347" s="86">
        <v>31614</v>
      </c>
      <c r="J3347" s="85" t="s">
        <v>9135</v>
      </c>
      <c r="K3347" s="85" t="s">
        <v>12512</v>
      </c>
      <c r="L3347" s="85" t="s">
        <v>12417</v>
      </c>
      <c r="M3347" s="85" t="s">
        <v>12534</v>
      </c>
    </row>
    <row r="3348" ht="327.75" spans="1:13">
      <c r="A3348" s="85" t="s">
        <v>12535</v>
      </c>
      <c r="B3348" s="85" t="s">
        <v>8266</v>
      </c>
      <c r="C3348" s="85" t="s">
        <v>11077</v>
      </c>
      <c r="D3348" s="85" t="s">
        <v>3189</v>
      </c>
      <c r="E3348" s="85" t="s">
        <v>6337</v>
      </c>
      <c r="F3348" s="86">
        <v>27</v>
      </c>
      <c r="G3348" s="86">
        <v>200</v>
      </c>
      <c r="H3348" s="86">
        <v>5400</v>
      </c>
      <c r="I3348" s="86">
        <v>5400</v>
      </c>
      <c r="J3348" s="85" t="s">
        <v>8268</v>
      </c>
      <c r="K3348" s="85" t="s">
        <v>12512</v>
      </c>
      <c r="L3348" s="85" t="s">
        <v>12417</v>
      </c>
      <c r="M3348" s="85" t="s">
        <v>12536</v>
      </c>
    </row>
    <row r="3349" ht="327.75" spans="1:13">
      <c r="A3349" s="85" t="s">
        <v>12530</v>
      </c>
      <c r="B3349" s="85" t="s">
        <v>11667</v>
      </c>
      <c r="C3349" s="85" t="s">
        <v>11668</v>
      </c>
      <c r="D3349" s="85" t="s">
        <v>3747</v>
      </c>
      <c r="E3349" s="85" t="s">
        <v>1827</v>
      </c>
      <c r="F3349" s="86">
        <v>115</v>
      </c>
      <c r="G3349" s="86">
        <v>220</v>
      </c>
      <c r="H3349" s="86">
        <v>25300</v>
      </c>
      <c r="I3349" s="86">
        <v>42925</v>
      </c>
      <c r="J3349" s="85" t="s">
        <v>12217</v>
      </c>
      <c r="K3349" s="85" t="s">
        <v>12512</v>
      </c>
      <c r="L3349" s="85" t="s">
        <v>12417</v>
      </c>
      <c r="M3349" s="85" t="s">
        <v>12537</v>
      </c>
    </row>
    <row r="3350" ht="327.75" spans="1:13">
      <c r="A3350" s="85" t="s">
        <v>12530</v>
      </c>
      <c r="B3350" s="85" t="s">
        <v>7924</v>
      </c>
      <c r="C3350" s="85" t="s">
        <v>7925</v>
      </c>
      <c r="D3350" s="85" t="s">
        <v>3548</v>
      </c>
      <c r="E3350" s="85" t="s">
        <v>1835</v>
      </c>
      <c r="F3350" s="86">
        <v>345</v>
      </c>
      <c r="G3350" s="86">
        <v>5</v>
      </c>
      <c r="H3350" s="86">
        <v>1725</v>
      </c>
      <c r="I3350" s="86">
        <v>42925</v>
      </c>
      <c r="J3350" s="85" t="s">
        <v>12217</v>
      </c>
      <c r="K3350" s="85" t="s">
        <v>12512</v>
      </c>
      <c r="L3350" s="85" t="s">
        <v>12417</v>
      </c>
      <c r="M3350" s="85" t="s">
        <v>12538</v>
      </c>
    </row>
    <row r="3351" ht="228" spans="1:13">
      <c r="A3351" s="85" t="s">
        <v>12539</v>
      </c>
      <c r="B3351" s="85" t="s">
        <v>3896</v>
      </c>
      <c r="C3351" s="85" t="s">
        <v>1308</v>
      </c>
      <c r="D3351" s="85" t="s">
        <v>3897</v>
      </c>
      <c r="E3351" s="85" t="s">
        <v>1308</v>
      </c>
      <c r="F3351" s="86">
        <v>282964.75</v>
      </c>
      <c r="G3351" s="86">
        <v>1</v>
      </c>
      <c r="H3351" s="86">
        <v>282964.75</v>
      </c>
      <c r="I3351" s="86">
        <v>282964.75</v>
      </c>
      <c r="J3351" s="85" t="s">
        <v>7938</v>
      </c>
      <c r="K3351" s="85" t="s">
        <v>12540</v>
      </c>
      <c r="L3351" s="85" t="s">
        <v>10873</v>
      </c>
      <c r="M3351" s="85" t="s">
        <v>12541</v>
      </c>
    </row>
    <row r="3352" ht="327.75" spans="1:13">
      <c r="A3352" s="85" t="s">
        <v>12542</v>
      </c>
      <c r="B3352" s="85" t="s">
        <v>11527</v>
      </c>
      <c r="C3352" s="85" t="s">
        <v>11528</v>
      </c>
      <c r="D3352" s="85" t="s">
        <v>2992</v>
      </c>
      <c r="E3352" s="85" t="s">
        <v>1815</v>
      </c>
      <c r="F3352" s="86">
        <v>0.47</v>
      </c>
      <c r="G3352" s="86">
        <v>3200</v>
      </c>
      <c r="H3352" s="86">
        <v>1504</v>
      </c>
      <c r="I3352" s="86">
        <v>28232</v>
      </c>
      <c r="J3352" s="85" t="s">
        <v>9135</v>
      </c>
      <c r="K3352" s="85" t="s">
        <v>12543</v>
      </c>
      <c r="L3352" s="85" t="s">
        <v>12417</v>
      </c>
      <c r="M3352" s="85" t="s">
        <v>12544</v>
      </c>
    </row>
    <row r="3353" ht="327.75" spans="1:13">
      <c r="A3353" s="85" t="s">
        <v>12545</v>
      </c>
      <c r="B3353" s="85" t="s">
        <v>12546</v>
      </c>
      <c r="C3353" s="85" t="s">
        <v>12547</v>
      </c>
      <c r="D3353" s="85" t="s">
        <v>5909</v>
      </c>
      <c r="E3353" s="85" t="s">
        <v>5910</v>
      </c>
      <c r="F3353" s="86">
        <v>88</v>
      </c>
      <c r="G3353" s="86">
        <v>50</v>
      </c>
      <c r="H3353" s="86">
        <v>4400</v>
      </c>
      <c r="I3353" s="86">
        <v>4970</v>
      </c>
      <c r="J3353" s="85" t="s">
        <v>2935</v>
      </c>
      <c r="K3353" s="85" t="s">
        <v>12543</v>
      </c>
      <c r="L3353" s="85" t="s">
        <v>12417</v>
      </c>
      <c r="M3353" s="85" t="s">
        <v>12548</v>
      </c>
    </row>
    <row r="3354" ht="327.75" spans="1:13">
      <c r="A3354" s="85" t="s">
        <v>12549</v>
      </c>
      <c r="B3354" s="85" t="s">
        <v>4373</v>
      </c>
      <c r="C3354" s="85" t="s">
        <v>4374</v>
      </c>
      <c r="D3354" s="85" t="s">
        <v>3041</v>
      </c>
      <c r="E3354" s="85" t="s">
        <v>3042</v>
      </c>
      <c r="F3354" s="86">
        <v>7</v>
      </c>
      <c r="G3354" s="86">
        <v>56</v>
      </c>
      <c r="H3354" s="86">
        <v>392</v>
      </c>
      <c r="I3354" s="86">
        <v>512</v>
      </c>
      <c r="J3354" s="85" t="s">
        <v>4370</v>
      </c>
      <c r="K3354" s="85" t="s">
        <v>12543</v>
      </c>
      <c r="L3354" s="85" t="s">
        <v>12417</v>
      </c>
      <c r="M3354" s="85" t="s">
        <v>12550</v>
      </c>
    </row>
    <row r="3355" ht="327.75" spans="1:13">
      <c r="A3355" s="85" t="s">
        <v>12551</v>
      </c>
      <c r="B3355" s="85" t="s">
        <v>9337</v>
      </c>
      <c r="C3355" s="85" t="s">
        <v>9338</v>
      </c>
      <c r="D3355" s="85" t="s">
        <v>3153</v>
      </c>
      <c r="E3355" s="85" t="s">
        <v>8431</v>
      </c>
      <c r="F3355" s="86">
        <v>370</v>
      </c>
      <c r="G3355" s="86">
        <v>1</v>
      </c>
      <c r="H3355" s="86">
        <v>370</v>
      </c>
      <c r="I3355" s="86">
        <v>520</v>
      </c>
      <c r="J3355" s="85" t="s">
        <v>2935</v>
      </c>
      <c r="K3355" s="85" t="s">
        <v>12543</v>
      </c>
      <c r="L3355" s="85" t="s">
        <v>12417</v>
      </c>
      <c r="M3355" s="85" t="s">
        <v>12552</v>
      </c>
    </row>
    <row r="3356" ht="327.75" spans="1:13">
      <c r="A3356" s="85" t="s">
        <v>12553</v>
      </c>
      <c r="B3356" s="85" t="s">
        <v>5662</v>
      </c>
      <c r="C3356" s="85" t="s">
        <v>11672</v>
      </c>
      <c r="D3356" s="85" t="s">
        <v>4076</v>
      </c>
      <c r="E3356" s="85" t="s">
        <v>1832</v>
      </c>
      <c r="F3356" s="86">
        <v>106</v>
      </c>
      <c r="G3356" s="86">
        <v>170</v>
      </c>
      <c r="H3356" s="86">
        <v>18020</v>
      </c>
      <c r="I3356" s="86">
        <v>48035</v>
      </c>
      <c r="J3356" s="85" t="s">
        <v>12217</v>
      </c>
      <c r="K3356" s="85" t="s">
        <v>12543</v>
      </c>
      <c r="L3356" s="85" t="s">
        <v>12417</v>
      </c>
      <c r="M3356" s="85" t="s">
        <v>12554</v>
      </c>
    </row>
    <row r="3357" ht="327.75" spans="1:13">
      <c r="A3357" s="85" t="s">
        <v>12555</v>
      </c>
      <c r="B3357" s="85" t="s">
        <v>12556</v>
      </c>
      <c r="C3357" s="85" t="s">
        <v>12557</v>
      </c>
      <c r="D3357" s="85" t="s">
        <v>3153</v>
      </c>
      <c r="E3357" s="85" t="s">
        <v>10503</v>
      </c>
      <c r="F3357" s="86">
        <v>350</v>
      </c>
      <c r="G3357" s="86">
        <v>2</v>
      </c>
      <c r="H3357" s="86">
        <v>700</v>
      </c>
      <c r="I3357" s="86">
        <v>1350</v>
      </c>
      <c r="J3357" s="85" t="s">
        <v>2935</v>
      </c>
      <c r="K3357" s="85" t="s">
        <v>12543</v>
      </c>
      <c r="L3357" s="85" t="s">
        <v>12417</v>
      </c>
      <c r="M3357" s="85" t="s">
        <v>12558</v>
      </c>
    </row>
    <row r="3358" ht="327.75" spans="1:13">
      <c r="A3358" s="85" t="s">
        <v>12555</v>
      </c>
      <c r="B3358" s="85" t="s">
        <v>12559</v>
      </c>
      <c r="C3358" s="85" t="s">
        <v>12560</v>
      </c>
      <c r="D3358" s="85" t="s">
        <v>12561</v>
      </c>
      <c r="E3358" s="85" t="s">
        <v>12562</v>
      </c>
      <c r="F3358" s="86">
        <v>5</v>
      </c>
      <c r="G3358" s="86">
        <v>10</v>
      </c>
      <c r="H3358" s="86">
        <v>50</v>
      </c>
      <c r="I3358" s="86">
        <v>1350</v>
      </c>
      <c r="J3358" s="85" t="s">
        <v>2935</v>
      </c>
      <c r="K3358" s="85" t="s">
        <v>12543</v>
      </c>
      <c r="L3358" s="85" t="s">
        <v>12417</v>
      </c>
      <c r="M3358" s="85" t="s">
        <v>12563</v>
      </c>
    </row>
    <row r="3359" ht="327.75" spans="1:13">
      <c r="A3359" s="85" t="s">
        <v>12564</v>
      </c>
      <c r="B3359" s="85" t="s">
        <v>12565</v>
      </c>
      <c r="C3359" s="85" t="s">
        <v>12566</v>
      </c>
      <c r="D3359" s="85" t="s">
        <v>12567</v>
      </c>
      <c r="E3359" s="85" t="s">
        <v>12568</v>
      </c>
      <c r="F3359" s="86">
        <v>92</v>
      </c>
      <c r="G3359" s="86">
        <v>2</v>
      </c>
      <c r="H3359" s="86">
        <v>184</v>
      </c>
      <c r="I3359" s="86">
        <v>57602</v>
      </c>
      <c r="J3359" s="85" t="s">
        <v>4391</v>
      </c>
      <c r="K3359" s="85" t="s">
        <v>12543</v>
      </c>
      <c r="L3359" s="85" t="s">
        <v>12417</v>
      </c>
      <c r="M3359" s="85" t="s">
        <v>12569</v>
      </c>
    </row>
    <row r="3360" ht="327.75" spans="1:13">
      <c r="A3360" s="85" t="s">
        <v>12570</v>
      </c>
      <c r="B3360" s="85" t="s">
        <v>8544</v>
      </c>
      <c r="C3360" s="85" t="s">
        <v>8545</v>
      </c>
      <c r="D3360" s="85" t="s">
        <v>3579</v>
      </c>
      <c r="E3360" s="85" t="s">
        <v>5737</v>
      </c>
      <c r="F3360" s="86">
        <v>370</v>
      </c>
      <c r="G3360" s="86">
        <v>5</v>
      </c>
      <c r="H3360" s="86">
        <v>1850</v>
      </c>
      <c r="I3360" s="86">
        <v>4602</v>
      </c>
      <c r="J3360" s="85" t="s">
        <v>2935</v>
      </c>
      <c r="K3360" s="85" t="s">
        <v>12543</v>
      </c>
      <c r="L3360" s="85" t="s">
        <v>12417</v>
      </c>
      <c r="M3360" s="85" t="s">
        <v>12571</v>
      </c>
    </row>
    <row r="3361" ht="327.75" spans="1:13">
      <c r="A3361" s="85" t="s">
        <v>12572</v>
      </c>
      <c r="B3361" s="85" t="s">
        <v>10149</v>
      </c>
      <c r="C3361" s="85" t="s">
        <v>10150</v>
      </c>
      <c r="D3361" s="85" t="s">
        <v>10151</v>
      </c>
      <c r="E3361" s="85" t="s">
        <v>10152</v>
      </c>
      <c r="F3361" s="86">
        <v>16</v>
      </c>
      <c r="G3361" s="86">
        <v>100</v>
      </c>
      <c r="H3361" s="86">
        <v>1600</v>
      </c>
      <c r="I3361" s="86">
        <v>12401</v>
      </c>
      <c r="J3361" s="85" t="s">
        <v>4391</v>
      </c>
      <c r="K3361" s="85" t="s">
        <v>12543</v>
      </c>
      <c r="L3361" s="85" t="s">
        <v>12417</v>
      </c>
      <c r="M3361" s="85" t="s">
        <v>12573</v>
      </c>
    </row>
    <row r="3362" ht="327.75" spans="1:13">
      <c r="A3362" s="85" t="s">
        <v>12564</v>
      </c>
      <c r="B3362" s="85" t="s">
        <v>12574</v>
      </c>
      <c r="C3362" s="85" t="s">
        <v>12575</v>
      </c>
      <c r="D3362" s="85" t="s">
        <v>5312</v>
      </c>
      <c r="E3362" s="85" t="s">
        <v>12576</v>
      </c>
      <c r="F3362" s="86">
        <v>74</v>
      </c>
      <c r="G3362" s="86">
        <v>6</v>
      </c>
      <c r="H3362" s="86">
        <v>444</v>
      </c>
      <c r="I3362" s="86">
        <v>57602</v>
      </c>
      <c r="J3362" s="85" t="s">
        <v>4391</v>
      </c>
      <c r="K3362" s="85" t="s">
        <v>12543</v>
      </c>
      <c r="L3362" s="85" t="s">
        <v>12417</v>
      </c>
      <c r="M3362" s="85" t="s">
        <v>12577</v>
      </c>
    </row>
    <row r="3363" ht="327.75" spans="1:13">
      <c r="A3363" s="85" t="s">
        <v>12564</v>
      </c>
      <c r="B3363" s="85" t="s">
        <v>8919</v>
      </c>
      <c r="C3363" s="85" t="s">
        <v>8920</v>
      </c>
      <c r="D3363" s="85" t="s">
        <v>3284</v>
      </c>
      <c r="E3363" s="85" t="s">
        <v>8921</v>
      </c>
      <c r="F3363" s="86">
        <v>25</v>
      </c>
      <c r="G3363" s="86">
        <v>20</v>
      </c>
      <c r="H3363" s="86">
        <v>500</v>
      </c>
      <c r="I3363" s="86">
        <v>57602</v>
      </c>
      <c r="J3363" s="85" t="s">
        <v>4391</v>
      </c>
      <c r="K3363" s="85" t="s">
        <v>12543</v>
      </c>
      <c r="L3363" s="85" t="s">
        <v>12417</v>
      </c>
      <c r="M3363" s="85" t="s">
        <v>12578</v>
      </c>
    </row>
    <row r="3364" ht="327.75" spans="1:13">
      <c r="A3364" s="85" t="s">
        <v>12579</v>
      </c>
      <c r="B3364" s="85" t="s">
        <v>9015</v>
      </c>
      <c r="C3364" s="85" t="s">
        <v>9016</v>
      </c>
      <c r="D3364" s="85" t="s">
        <v>3189</v>
      </c>
      <c r="E3364" s="85" t="s">
        <v>9017</v>
      </c>
      <c r="F3364" s="86">
        <v>52</v>
      </c>
      <c r="G3364" s="86">
        <v>2</v>
      </c>
      <c r="H3364" s="86">
        <v>104</v>
      </c>
      <c r="I3364" s="86">
        <v>104</v>
      </c>
      <c r="J3364" s="85" t="s">
        <v>2935</v>
      </c>
      <c r="K3364" s="85" t="s">
        <v>12543</v>
      </c>
      <c r="L3364" s="85" t="s">
        <v>12417</v>
      </c>
      <c r="M3364" s="85" t="s">
        <v>12580</v>
      </c>
    </row>
    <row r="3365" ht="327.75" spans="1:13">
      <c r="A3365" s="85" t="s">
        <v>12553</v>
      </c>
      <c r="B3365" s="85" t="s">
        <v>7924</v>
      </c>
      <c r="C3365" s="85" t="s">
        <v>7925</v>
      </c>
      <c r="D3365" s="85" t="s">
        <v>3548</v>
      </c>
      <c r="E3365" s="85" t="s">
        <v>1835</v>
      </c>
      <c r="F3365" s="86">
        <v>345</v>
      </c>
      <c r="G3365" s="86">
        <v>7</v>
      </c>
      <c r="H3365" s="86">
        <v>2415</v>
      </c>
      <c r="I3365" s="86">
        <v>48035</v>
      </c>
      <c r="J3365" s="85" t="s">
        <v>12217</v>
      </c>
      <c r="K3365" s="85" t="s">
        <v>12543</v>
      </c>
      <c r="L3365" s="85" t="s">
        <v>12417</v>
      </c>
      <c r="M3365" s="85" t="s">
        <v>12581</v>
      </c>
    </row>
    <row r="3366" ht="327.75" spans="1:13">
      <c r="A3366" s="85" t="s">
        <v>12549</v>
      </c>
      <c r="B3366" s="85" t="s">
        <v>12582</v>
      </c>
      <c r="C3366" s="85" t="s">
        <v>12583</v>
      </c>
      <c r="D3366" s="85" t="s">
        <v>3041</v>
      </c>
      <c r="E3366" s="85" t="s">
        <v>3158</v>
      </c>
      <c r="F3366" s="86">
        <v>60</v>
      </c>
      <c r="G3366" s="86">
        <v>2</v>
      </c>
      <c r="H3366" s="86">
        <v>120</v>
      </c>
      <c r="I3366" s="86">
        <v>512</v>
      </c>
      <c r="J3366" s="85" t="s">
        <v>4370</v>
      </c>
      <c r="K3366" s="85" t="s">
        <v>12543</v>
      </c>
      <c r="L3366" s="85" t="s">
        <v>12417</v>
      </c>
      <c r="M3366" s="85" t="s">
        <v>12584</v>
      </c>
    </row>
    <row r="3367" ht="327.75" spans="1:13">
      <c r="A3367" s="85" t="s">
        <v>12542</v>
      </c>
      <c r="B3367" s="85" t="s">
        <v>10526</v>
      </c>
      <c r="C3367" s="85" t="s">
        <v>10527</v>
      </c>
      <c r="D3367" s="85" t="s">
        <v>8767</v>
      </c>
      <c r="E3367" s="85" t="s">
        <v>3050</v>
      </c>
      <c r="F3367" s="86">
        <v>5.8</v>
      </c>
      <c r="G3367" s="86">
        <v>100</v>
      </c>
      <c r="H3367" s="86">
        <v>580</v>
      </c>
      <c r="I3367" s="86">
        <v>28232</v>
      </c>
      <c r="J3367" s="85" t="s">
        <v>9135</v>
      </c>
      <c r="K3367" s="85" t="s">
        <v>12543</v>
      </c>
      <c r="L3367" s="85" t="s">
        <v>12417</v>
      </c>
      <c r="M3367" s="85" t="s">
        <v>12585</v>
      </c>
    </row>
    <row r="3368" ht="327.75" spans="1:13">
      <c r="A3368" s="85" t="s">
        <v>12586</v>
      </c>
      <c r="B3368" s="85" t="s">
        <v>10965</v>
      </c>
      <c r="C3368" s="85" t="s">
        <v>10966</v>
      </c>
      <c r="D3368" s="85" t="s">
        <v>10967</v>
      </c>
      <c r="E3368" s="85" t="s">
        <v>10968</v>
      </c>
      <c r="F3368" s="86">
        <v>769</v>
      </c>
      <c r="G3368" s="86">
        <v>2</v>
      </c>
      <c r="H3368" s="86">
        <v>1538</v>
      </c>
      <c r="I3368" s="86">
        <v>5778</v>
      </c>
      <c r="J3368" s="85" t="s">
        <v>2935</v>
      </c>
      <c r="K3368" s="85" t="s">
        <v>12543</v>
      </c>
      <c r="L3368" s="85" t="s">
        <v>12417</v>
      </c>
      <c r="M3368" s="85" t="s">
        <v>12587</v>
      </c>
    </row>
    <row r="3369" ht="327.75" spans="1:13">
      <c r="A3369" s="85" t="s">
        <v>12572</v>
      </c>
      <c r="B3369" s="85" t="s">
        <v>12588</v>
      </c>
      <c r="C3369" s="85" t="s">
        <v>12589</v>
      </c>
      <c r="D3369" s="85" t="s">
        <v>4425</v>
      </c>
      <c r="E3369" s="85" t="s">
        <v>4426</v>
      </c>
      <c r="F3369" s="86">
        <v>5.9</v>
      </c>
      <c r="G3369" s="86">
        <v>30</v>
      </c>
      <c r="H3369" s="86">
        <v>177</v>
      </c>
      <c r="I3369" s="86">
        <v>12401</v>
      </c>
      <c r="J3369" s="85" t="s">
        <v>4391</v>
      </c>
      <c r="K3369" s="85" t="s">
        <v>12543</v>
      </c>
      <c r="L3369" s="85" t="s">
        <v>12417</v>
      </c>
      <c r="M3369" s="85" t="s">
        <v>12590</v>
      </c>
    </row>
    <row r="3370" ht="327.75" spans="1:13">
      <c r="A3370" s="85" t="s">
        <v>12591</v>
      </c>
      <c r="B3370" s="85" t="s">
        <v>12523</v>
      </c>
      <c r="C3370" s="85" t="s">
        <v>12524</v>
      </c>
      <c r="D3370" s="85" t="s">
        <v>4802</v>
      </c>
      <c r="E3370" s="85" t="s">
        <v>4997</v>
      </c>
      <c r="F3370" s="86">
        <v>45.5</v>
      </c>
      <c r="G3370" s="86">
        <v>100</v>
      </c>
      <c r="H3370" s="86">
        <v>4550</v>
      </c>
      <c r="I3370" s="86">
        <v>4620</v>
      </c>
      <c r="J3370" s="85" t="s">
        <v>9135</v>
      </c>
      <c r="K3370" s="85" t="s">
        <v>12543</v>
      </c>
      <c r="L3370" s="85" t="s">
        <v>12417</v>
      </c>
      <c r="M3370" s="85" t="s">
        <v>12592</v>
      </c>
    </row>
    <row r="3371" ht="327.75" spans="1:13">
      <c r="A3371" s="85" t="s">
        <v>12572</v>
      </c>
      <c r="B3371" s="85" t="s">
        <v>12431</v>
      </c>
      <c r="C3371" s="85" t="s">
        <v>12432</v>
      </c>
      <c r="D3371" s="85" t="s">
        <v>6924</v>
      </c>
      <c r="E3371" s="85" t="s">
        <v>7837</v>
      </c>
      <c r="F3371" s="86">
        <v>12.47</v>
      </c>
      <c r="G3371" s="86">
        <v>100</v>
      </c>
      <c r="H3371" s="86">
        <v>1247</v>
      </c>
      <c r="I3371" s="86">
        <v>12401</v>
      </c>
      <c r="J3371" s="85" t="s">
        <v>4391</v>
      </c>
      <c r="K3371" s="85" t="s">
        <v>12543</v>
      </c>
      <c r="L3371" s="85" t="s">
        <v>12417</v>
      </c>
      <c r="M3371" s="85" t="s">
        <v>12593</v>
      </c>
    </row>
    <row r="3372" ht="327.75" spans="1:13">
      <c r="A3372" s="85" t="s">
        <v>12594</v>
      </c>
      <c r="B3372" s="85" t="s">
        <v>12359</v>
      </c>
      <c r="C3372" s="85" t="s">
        <v>12360</v>
      </c>
      <c r="D3372" s="85" t="s">
        <v>3367</v>
      </c>
      <c r="E3372" s="85" t="s">
        <v>10281</v>
      </c>
      <c r="F3372" s="86">
        <v>12.5</v>
      </c>
      <c r="G3372" s="86">
        <v>4</v>
      </c>
      <c r="H3372" s="86">
        <v>50</v>
      </c>
      <c r="I3372" s="86">
        <v>587</v>
      </c>
      <c r="J3372" s="85" t="s">
        <v>2935</v>
      </c>
      <c r="K3372" s="85" t="s">
        <v>12543</v>
      </c>
      <c r="L3372" s="85" t="s">
        <v>12417</v>
      </c>
      <c r="M3372" s="85" t="s">
        <v>12595</v>
      </c>
    </row>
    <row r="3373" ht="327.75" spans="1:13">
      <c r="A3373" s="85" t="s">
        <v>12542</v>
      </c>
      <c r="B3373" s="85" t="s">
        <v>11507</v>
      </c>
      <c r="C3373" s="85" t="s">
        <v>11508</v>
      </c>
      <c r="D3373" s="85" t="s">
        <v>2992</v>
      </c>
      <c r="E3373" s="85" t="s">
        <v>1815</v>
      </c>
      <c r="F3373" s="86">
        <v>392</v>
      </c>
      <c r="G3373" s="86">
        <v>5</v>
      </c>
      <c r="H3373" s="86">
        <v>1960</v>
      </c>
      <c r="I3373" s="86">
        <v>28232</v>
      </c>
      <c r="J3373" s="85" t="s">
        <v>9135</v>
      </c>
      <c r="K3373" s="85" t="s">
        <v>12543</v>
      </c>
      <c r="L3373" s="85" t="s">
        <v>12417</v>
      </c>
      <c r="M3373" s="85" t="s">
        <v>12596</v>
      </c>
    </row>
    <row r="3374" ht="327.75" spans="1:13">
      <c r="A3374" s="85" t="s">
        <v>12542</v>
      </c>
      <c r="B3374" s="85" t="s">
        <v>11472</v>
      </c>
      <c r="C3374" s="85" t="s">
        <v>11473</v>
      </c>
      <c r="D3374" s="85" t="s">
        <v>2992</v>
      </c>
      <c r="E3374" s="85" t="s">
        <v>1815</v>
      </c>
      <c r="F3374" s="86">
        <v>0.25</v>
      </c>
      <c r="G3374" s="86">
        <v>60000</v>
      </c>
      <c r="H3374" s="86">
        <v>15000</v>
      </c>
      <c r="I3374" s="86">
        <v>28232</v>
      </c>
      <c r="J3374" s="85" t="s">
        <v>9135</v>
      </c>
      <c r="K3374" s="85" t="s">
        <v>12543</v>
      </c>
      <c r="L3374" s="85" t="s">
        <v>12417</v>
      </c>
      <c r="M3374" s="85" t="s">
        <v>12597</v>
      </c>
    </row>
    <row r="3375" ht="327.75" spans="1:13">
      <c r="A3375" s="85" t="s">
        <v>12572</v>
      </c>
      <c r="B3375" s="85" t="s">
        <v>10453</v>
      </c>
      <c r="C3375" s="85" t="s">
        <v>10454</v>
      </c>
      <c r="D3375" s="85" t="s">
        <v>9648</v>
      </c>
      <c r="E3375" s="85" t="s">
        <v>10455</v>
      </c>
      <c r="F3375" s="86">
        <v>1958</v>
      </c>
      <c r="G3375" s="86">
        <v>2</v>
      </c>
      <c r="H3375" s="86">
        <v>3916</v>
      </c>
      <c r="I3375" s="86">
        <v>12401</v>
      </c>
      <c r="J3375" s="85" t="s">
        <v>4391</v>
      </c>
      <c r="K3375" s="85" t="s">
        <v>12543</v>
      </c>
      <c r="L3375" s="85" t="s">
        <v>12417</v>
      </c>
      <c r="M3375" s="85" t="s">
        <v>12598</v>
      </c>
    </row>
    <row r="3376" ht="327.75" spans="1:13">
      <c r="A3376" s="85" t="s">
        <v>12572</v>
      </c>
      <c r="B3376" s="85" t="s">
        <v>9428</v>
      </c>
      <c r="C3376" s="85" t="s">
        <v>9429</v>
      </c>
      <c r="D3376" s="85" t="s">
        <v>9430</v>
      </c>
      <c r="E3376" s="85" t="s">
        <v>9431</v>
      </c>
      <c r="F3376" s="86">
        <v>1</v>
      </c>
      <c r="G3376" s="86">
        <v>100</v>
      </c>
      <c r="H3376" s="86">
        <v>100</v>
      </c>
      <c r="I3376" s="86">
        <v>12401</v>
      </c>
      <c r="J3376" s="85" t="s">
        <v>4391</v>
      </c>
      <c r="K3376" s="85" t="s">
        <v>12543</v>
      </c>
      <c r="L3376" s="85" t="s">
        <v>12417</v>
      </c>
      <c r="M3376" s="85" t="s">
        <v>12599</v>
      </c>
    </row>
    <row r="3377" ht="327.75" spans="1:13">
      <c r="A3377" s="85" t="s">
        <v>12570</v>
      </c>
      <c r="B3377" s="85" t="s">
        <v>12600</v>
      </c>
      <c r="C3377" s="85" t="s">
        <v>12601</v>
      </c>
      <c r="D3377" s="85" t="s">
        <v>12602</v>
      </c>
      <c r="E3377" s="85" t="s">
        <v>12603</v>
      </c>
      <c r="F3377" s="86">
        <v>8</v>
      </c>
      <c r="G3377" s="86">
        <v>10</v>
      </c>
      <c r="H3377" s="86">
        <v>80</v>
      </c>
      <c r="I3377" s="86">
        <v>4602</v>
      </c>
      <c r="J3377" s="85" t="s">
        <v>2935</v>
      </c>
      <c r="K3377" s="85" t="s">
        <v>12543</v>
      </c>
      <c r="L3377" s="85" t="s">
        <v>12417</v>
      </c>
      <c r="M3377" s="85" t="s">
        <v>12604</v>
      </c>
    </row>
    <row r="3378" ht="327.75" spans="1:13">
      <c r="A3378" s="85" t="s">
        <v>12542</v>
      </c>
      <c r="B3378" s="85" t="s">
        <v>6850</v>
      </c>
      <c r="C3378" s="85" t="s">
        <v>6851</v>
      </c>
      <c r="D3378" s="85" t="s">
        <v>6852</v>
      </c>
      <c r="E3378" s="85" t="s">
        <v>6853</v>
      </c>
      <c r="F3378" s="86">
        <v>40</v>
      </c>
      <c r="G3378" s="86">
        <v>30</v>
      </c>
      <c r="H3378" s="86">
        <v>1200</v>
      </c>
      <c r="I3378" s="86">
        <v>28232</v>
      </c>
      <c r="J3378" s="85" t="s">
        <v>9135</v>
      </c>
      <c r="K3378" s="85" t="s">
        <v>12543</v>
      </c>
      <c r="L3378" s="85" t="s">
        <v>12417</v>
      </c>
      <c r="M3378" s="85" t="s">
        <v>12605</v>
      </c>
    </row>
    <row r="3379" ht="327.75" spans="1:13">
      <c r="A3379" s="85" t="s">
        <v>12586</v>
      </c>
      <c r="B3379" s="85" t="s">
        <v>12606</v>
      </c>
      <c r="C3379" s="85" t="s">
        <v>12607</v>
      </c>
      <c r="D3379" s="85" t="s">
        <v>2977</v>
      </c>
      <c r="E3379" s="85" t="s">
        <v>8894</v>
      </c>
      <c r="F3379" s="86">
        <v>8</v>
      </c>
      <c r="G3379" s="86">
        <v>500</v>
      </c>
      <c r="H3379" s="86">
        <v>4000</v>
      </c>
      <c r="I3379" s="86">
        <v>5778</v>
      </c>
      <c r="J3379" s="85" t="s">
        <v>2935</v>
      </c>
      <c r="K3379" s="85" t="s">
        <v>12543</v>
      </c>
      <c r="L3379" s="85" t="s">
        <v>12417</v>
      </c>
      <c r="M3379" s="85" t="s">
        <v>12608</v>
      </c>
    </row>
    <row r="3380" ht="327.75" spans="1:13">
      <c r="A3380" s="85" t="s">
        <v>12572</v>
      </c>
      <c r="B3380" s="85" t="s">
        <v>12609</v>
      </c>
      <c r="C3380" s="85" t="s">
        <v>12610</v>
      </c>
      <c r="D3380" s="85" t="s">
        <v>12611</v>
      </c>
      <c r="E3380" s="85" t="s">
        <v>12612</v>
      </c>
      <c r="F3380" s="86">
        <v>53</v>
      </c>
      <c r="G3380" s="86">
        <v>3</v>
      </c>
      <c r="H3380" s="86">
        <v>159</v>
      </c>
      <c r="I3380" s="86">
        <v>12401</v>
      </c>
      <c r="J3380" s="85" t="s">
        <v>4391</v>
      </c>
      <c r="K3380" s="85" t="s">
        <v>12543</v>
      </c>
      <c r="L3380" s="85" t="s">
        <v>12417</v>
      </c>
      <c r="M3380" s="85" t="s">
        <v>12613</v>
      </c>
    </row>
    <row r="3381" ht="327.75" spans="1:13">
      <c r="A3381" s="85" t="s">
        <v>12542</v>
      </c>
      <c r="B3381" s="85" t="s">
        <v>11450</v>
      </c>
      <c r="C3381" s="85" t="s">
        <v>11451</v>
      </c>
      <c r="D3381" s="85" t="s">
        <v>2992</v>
      </c>
      <c r="E3381" s="85" t="s">
        <v>1815</v>
      </c>
      <c r="F3381" s="86">
        <v>360</v>
      </c>
      <c r="G3381" s="86">
        <v>6</v>
      </c>
      <c r="H3381" s="86">
        <v>2160</v>
      </c>
      <c r="I3381" s="86">
        <v>28232</v>
      </c>
      <c r="J3381" s="85" t="s">
        <v>9135</v>
      </c>
      <c r="K3381" s="85" t="s">
        <v>12543</v>
      </c>
      <c r="L3381" s="85" t="s">
        <v>12417</v>
      </c>
      <c r="M3381" s="85" t="s">
        <v>12614</v>
      </c>
    </row>
    <row r="3382" ht="327.75" spans="1:13">
      <c r="A3382" s="85" t="s">
        <v>12542</v>
      </c>
      <c r="B3382" s="85" t="s">
        <v>12615</v>
      </c>
      <c r="C3382" s="85" t="s">
        <v>12616</v>
      </c>
      <c r="D3382" s="85" t="s">
        <v>8419</v>
      </c>
      <c r="E3382" s="85" t="s">
        <v>8420</v>
      </c>
      <c r="F3382" s="86">
        <v>68</v>
      </c>
      <c r="G3382" s="86">
        <v>10</v>
      </c>
      <c r="H3382" s="86">
        <v>680</v>
      </c>
      <c r="I3382" s="86">
        <v>28232</v>
      </c>
      <c r="J3382" s="85" t="s">
        <v>9135</v>
      </c>
      <c r="K3382" s="85" t="s">
        <v>12543</v>
      </c>
      <c r="L3382" s="85" t="s">
        <v>12417</v>
      </c>
      <c r="M3382" s="85" t="s">
        <v>12617</v>
      </c>
    </row>
    <row r="3383" ht="327.75" spans="1:13">
      <c r="A3383" s="85" t="s">
        <v>12594</v>
      </c>
      <c r="B3383" s="85" t="s">
        <v>10235</v>
      </c>
      <c r="C3383" s="85" t="s">
        <v>10236</v>
      </c>
      <c r="D3383" s="85" t="s">
        <v>6273</v>
      </c>
      <c r="E3383" s="85" t="s">
        <v>10237</v>
      </c>
      <c r="F3383" s="86">
        <v>12</v>
      </c>
      <c r="G3383" s="86">
        <v>5</v>
      </c>
      <c r="H3383" s="86">
        <v>60</v>
      </c>
      <c r="I3383" s="86">
        <v>587</v>
      </c>
      <c r="J3383" s="85" t="s">
        <v>2935</v>
      </c>
      <c r="K3383" s="85" t="s">
        <v>12543</v>
      </c>
      <c r="L3383" s="85" t="s">
        <v>12417</v>
      </c>
      <c r="M3383" s="85" t="s">
        <v>12618</v>
      </c>
    </row>
    <row r="3384" ht="327.75" spans="1:13">
      <c r="A3384" s="85" t="s">
        <v>12542</v>
      </c>
      <c r="B3384" s="85" t="s">
        <v>11398</v>
      </c>
      <c r="C3384" s="85" t="s">
        <v>11399</v>
      </c>
      <c r="D3384" s="85" t="s">
        <v>9140</v>
      </c>
      <c r="E3384" s="85" t="s">
        <v>3209</v>
      </c>
      <c r="F3384" s="86">
        <v>6.6</v>
      </c>
      <c r="G3384" s="86">
        <v>300</v>
      </c>
      <c r="H3384" s="86">
        <v>1980</v>
      </c>
      <c r="I3384" s="86">
        <v>28232</v>
      </c>
      <c r="J3384" s="85" t="s">
        <v>9135</v>
      </c>
      <c r="K3384" s="85" t="s">
        <v>12543</v>
      </c>
      <c r="L3384" s="85" t="s">
        <v>12417</v>
      </c>
      <c r="M3384" s="85" t="s">
        <v>12619</v>
      </c>
    </row>
    <row r="3385" ht="327.75" spans="1:13">
      <c r="A3385" s="85" t="s">
        <v>12542</v>
      </c>
      <c r="B3385" s="85" t="s">
        <v>11436</v>
      </c>
      <c r="C3385" s="85" t="s">
        <v>11437</v>
      </c>
      <c r="D3385" s="85" t="s">
        <v>9541</v>
      </c>
      <c r="E3385" s="85" t="s">
        <v>4961</v>
      </c>
      <c r="F3385" s="86">
        <v>2.5</v>
      </c>
      <c r="G3385" s="86">
        <v>400</v>
      </c>
      <c r="H3385" s="86">
        <v>1000</v>
      </c>
      <c r="I3385" s="86">
        <v>28232</v>
      </c>
      <c r="J3385" s="85" t="s">
        <v>9135</v>
      </c>
      <c r="K3385" s="85" t="s">
        <v>12543</v>
      </c>
      <c r="L3385" s="85" t="s">
        <v>12417</v>
      </c>
      <c r="M3385" s="85" t="s">
        <v>12620</v>
      </c>
    </row>
    <row r="3386" ht="327.75" spans="1:13">
      <c r="A3386" s="85" t="s">
        <v>12553</v>
      </c>
      <c r="B3386" s="85" t="s">
        <v>11667</v>
      </c>
      <c r="C3386" s="85" t="s">
        <v>11668</v>
      </c>
      <c r="D3386" s="85" t="s">
        <v>3747</v>
      </c>
      <c r="E3386" s="85" t="s">
        <v>1827</v>
      </c>
      <c r="F3386" s="86">
        <v>115</v>
      </c>
      <c r="G3386" s="86">
        <v>240</v>
      </c>
      <c r="H3386" s="86">
        <v>27600</v>
      </c>
      <c r="I3386" s="86">
        <v>48035</v>
      </c>
      <c r="J3386" s="85" t="s">
        <v>12217</v>
      </c>
      <c r="K3386" s="85" t="s">
        <v>12543</v>
      </c>
      <c r="L3386" s="85" t="s">
        <v>12417</v>
      </c>
      <c r="M3386" s="85" t="s">
        <v>12621</v>
      </c>
    </row>
    <row r="3387" ht="327.75" spans="1:13">
      <c r="A3387" s="85" t="s">
        <v>12594</v>
      </c>
      <c r="B3387" s="85" t="s">
        <v>6401</v>
      </c>
      <c r="C3387" s="85" t="s">
        <v>6402</v>
      </c>
      <c r="D3387" s="85" t="s">
        <v>3985</v>
      </c>
      <c r="E3387" s="85" t="s">
        <v>6403</v>
      </c>
      <c r="F3387" s="86">
        <v>45</v>
      </c>
      <c r="G3387" s="86">
        <v>5</v>
      </c>
      <c r="H3387" s="86">
        <v>225</v>
      </c>
      <c r="I3387" s="86">
        <v>587</v>
      </c>
      <c r="J3387" s="85" t="s">
        <v>2935</v>
      </c>
      <c r="K3387" s="85" t="s">
        <v>12543</v>
      </c>
      <c r="L3387" s="85" t="s">
        <v>12417</v>
      </c>
      <c r="M3387" s="85" t="s">
        <v>12622</v>
      </c>
    </row>
    <row r="3388" ht="327.75" spans="1:13">
      <c r="A3388" s="85" t="s">
        <v>12570</v>
      </c>
      <c r="B3388" s="85" t="s">
        <v>12623</v>
      </c>
      <c r="C3388" s="85" t="s">
        <v>12624</v>
      </c>
      <c r="D3388" s="85" t="s">
        <v>12625</v>
      </c>
      <c r="E3388" s="85" t="s">
        <v>12626</v>
      </c>
      <c r="F3388" s="86">
        <v>26</v>
      </c>
      <c r="G3388" s="86">
        <v>100</v>
      </c>
      <c r="H3388" s="86">
        <v>2600</v>
      </c>
      <c r="I3388" s="86">
        <v>4602</v>
      </c>
      <c r="J3388" s="85" t="s">
        <v>2935</v>
      </c>
      <c r="K3388" s="85" t="s">
        <v>12543</v>
      </c>
      <c r="L3388" s="85" t="s">
        <v>12417</v>
      </c>
      <c r="M3388" s="85" t="s">
        <v>12627</v>
      </c>
    </row>
    <row r="3389" ht="327.75" spans="1:13">
      <c r="A3389" s="85" t="s">
        <v>12572</v>
      </c>
      <c r="B3389" s="85" t="s">
        <v>9467</v>
      </c>
      <c r="C3389" s="85" t="s">
        <v>9468</v>
      </c>
      <c r="D3389" s="85" t="s">
        <v>3704</v>
      </c>
      <c r="E3389" s="85" t="s">
        <v>9469</v>
      </c>
      <c r="F3389" s="86">
        <v>25</v>
      </c>
      <c r="G3389" s="86">
        <v>20</v>
      </c>
      <c r="H3389" s="86">
        <v>500</v>
      </c>
      <c r="I3389" s="86">
        <v>12401</v>
      </c>
      <c r="J3389" s="85" t="s">
        <v>4391</v>
      </c>
      <c r="K3389" s="85" t="s">
        <v>12543</v>
      </c>
      <c r="L3389" s="85" t="s">
        <v>12417</v>
      </c>
      <c r="M3389" s="85" t="s">
        <v>12628</v>
      </c>
    </row>
    <row r="3390" ht="327.75" spans="1:13">
      <c r="A3390" s="85" t="s">
        <v>12545</v>
      </c>
      <c r="B3390" s="85" t="s">
        <v>5349</v>
      </c>
      <c r="C3390" s="85" t="s">
        <v>5350</v>
      </c>
      <c r="D3390" s="85" t="s">
        <v>3189</v>
      </c>
      <c r="E3390" s="85" t="s">
        <v>5351</v>
      </c>
      <c r="F3390" s="86">
        <v>22</v>
      </c>
      <c r="G3390" s="86">
        <v>5</v>
      </c>
      <c r="H3390" s="86">
        <v>110</v>
      </c>
      <c r="I3390" s="86">
        <v>4970</v>
      </c>
      <c r="J3390" s="85" t="s">
        <v>2935</v>
      </c>
      <c r="K3390" s="85" t="s">
        <v>12543</v>
      </c>
      <c r="L3390" s="85" t="s">
        <v>12417</v>
      </c>
      <c r="M3390" s="85" t="s">
        <v>12629</v>
      </c>
    </row>
    <row r="3391" ht="327.75" spans="1:13">
      <c r="A3391" s="85" t="s">
        <v>12564</v>
      </c>
      <c r="B3391" s="85" t="s">
        <v>12455</v>
      </c>
      <c r="C3391" s="85" t="s">
        <v>12456</v>
      </c>
      <c r="D3391" s="85" t="s">
        <v>3680</v>
      </c>
      <c r="E3391" s="85" t="s">
        <v>5462</v>
      </c>
      <c r="F3391" s="86">
        <v>1875</v>
      </c>
      <c r="G3391" s="86">
        <v>30</v>
      </c>
      <c r="H3391" s="86">
        <v>56250</v>
      </c>
      <c r="I3391" s="86">
        <v>57602</v>
      </c>
      <c r="J3391" s="85" t="s">
        <v>4391</v>
      </c>
      <c r="K3391" s="85" t="s">
        <v>12543</v>
      </c>
      <c r="L3391" s="85" t="s">
        <v>12417</v>
      </c>
      <c r="M3391" s="85" t="s">
        <v>12630</v>
      </c>
    </row>
    <row r="3392" ht="327.75" spans="1:13">
      <c r="A3392" s="85" t="s">
        <v>12631</v>
      </c>
      <c r="B3392" s="85" t="s">
        <v>5429</v>
      </c>
      <c r="C3392" s="85" t="s">
        <v>5430</v>
      </c>
      <c r="D3392" s="85" t="s">
        <v>5431</v>
      </c>
      <c r="E3392" s="85" t="s">
        <v>5432</v>
      </c>
      <c r="F3392" s="86">
        <v>136.5</v>
      </c>
      <c r="G3392" s="86">
        <v>4</v>
      </c>
      <c r="H3392" s="86">
        <v>546</v>
      </c>
      <c r="I3392" s="86">
        <v>2276</v>
      </c>
      <c r="J3392" s="85" t="s">
        <v>4391</v>
      </c>
      <c r="K3392" s="85" t="s">
        <v>12543</v>
      </c>
      <c r="L3392" s="85" t="s">
        <v>12417</v>
      </c>
      <c r="M3392" s="85" t="s">
        <v>12632</v>
      </c>
    </row>
    <row r="3393" ht="327.75" spans="1:13">
      <c r="A3393" s="85" t="s">
        <v>12633</v>
      </c>
      <c r="B3393" s="85" t="s">
        <v>3788</v>
      </c>
      <c r="C3393" s="85" t="s">
        <v>3789</v>
      </c>
      <c r="D3393" s="85" t="s">
        <v>3189</v>
      </c>
      <c r="E3393" s="85" t="s">
        <v>3790</v>
      </c>
      <c r="F3393" s="86">
        <v>100</v>
      </c>
      <c r="G3393" s="86">
        <v>30</v>
      </c>
      <c r="H3393" s="86">
        <v>3000</v>
      </c>
      <c r="I3393" s="86">
        <v>3000</v>
      </c>
      <c r="J3393" s="85" t="s">
        <v>12634</v>
      </c>
      <c r="K3393" s="85" t="s">
        <v>12543</v>
      </c>
      <c r="L3393" s="85" t="s">
        <v>12417</v>
      </c>
      <c r="M3393" s="85" t="s">
        <v>12635</v>
      </c>
    </row>
    <row r="3394" ht="327.75" spans="1:13">
      <c r="A3394" s="85" t="s">
        <v>12551</v>
      </c>
      <c r="B3394" s="85" t="s">
        <v>12636</v>
      </c>
      <c r="C3394" s="85" t="s">
        <v>12637</v>
      </c>
      <c r="D3394" s="85" t="s">
        <v>3625</v>
      </c>
      <c r="E3394" s="85" t="s">
        <v>10093</v>
      </c>
      <c r="F3394" s="86">
        <v>3</v>
      </c>
      <c r="G3394" s="86">
        <v>50</v>
      </c>
      <c r="H3394" s="86">
        <v>150</v>
      </c>
      <c r="I3394" s="86">
        <v>520</v>
      </c>
      <c r="J3394" s="85" t="s">
        <v>2935</v>
      </c>
      <c r="K3394" s="85" t="s">
        <v>12543</v>
      </c>
      <c r="L3394" s="85" t="s">
        <v>12417</v>
      </c>
      <c r="M3394" s="85" t="s">
        <v>12638</v>
      </c>
    </row>
    <row r="3395" ht="327.75" spans="1:13">
      <c r="A3395" s="85" t="s">
        <v>12555</v>
      </c>
      <c r="B3395" s="85" t="s">
        <v>8554</v>
      </c>
      <c r="C3395" s="85" t="s">
        <v>8555</v>
      </c>
      <c r="D3395" s="85" t="s">
        <v>3189</v>
      </c>
      <c r="E3395" s="85" t="s">
        <v>3190</v>
      </c>
      <c r="F3395" s="86">
        <v>75</v>
      </c>
      <c r="G3395" s="86">
        <v>8</v>
      </c>
      <c r="H3395" s="86">
        <v>600</v>
      </c>
      <c r="I3395" s="86">
        <v>1350</v>
      </c>
      <c r="J3395" s="85" t="s">
        <v>2935</v>
      </c>
      <c r="K3395" s="85" t="s">
        <v>12543</v>
      </c>
      <c r="L3395" s="85" t="s">
        <v>12417</v>
      </c>
      <c r="M3395" s="85" t="s">
        <v>12639</v>
      </c>
    </row>
    <row r="3396" ht="327.75" spans="1:13">
      <c r="A3396" s="85" t="s">
        <v>12640</v>
      </c>
      <c r="B3396" s="85" t="s">
        <v>10958</v>
      </c>
      <c r="C3396" s="85" t="s">
        <v>10959</v>
      </c>
      <c r="D3396" s="85" t="s">
        <v>5766</v>
      </c>
      <c r="E3396" s="85" t="s">
        <v>10960</v>
      </c>
      <c r="F3396" s="86">
        <v>3</v>
      </c>
      <c r="G3396" s="86">
        <v>50</v>
      </c>
      <c r="H3396" s="86">
        <v>150</v>
      </c>
      <c r="I3396" s="86">
        <v>8110</v>
      </c>
      <c r="J3396" s="85" t="s">
        <v>2935</v>
      </c>
      <c r="K3396" s="85" t="s">
        <v>12543</v>
      </c>
      <c r="L3396" s="85" t="s">
        <v>12417</v>
      </c>
      <c r="M3396" s="85" t="s">
        <v>12641</v>
      </c>
    </row>
    <row r="3397" ht="327.75" spans="1:13">
      <c r="A3397" s="85" t="s">
        <v>12545</v>
      </c>
      <c r="B3397" s="85" t="s">
        <v>12150</v>
      </c>
      <c r="C3397" s="85" t="s">
        <v>12151</v>
      </c>
      <c r="D3397" s="85" t="s">
        <v>11161</v>
      </c>
      <c r="E3397" s="85" t="s">
        <v>11162</v>
      </c>
      <c r="F3397" s="86">
        <v>3</v>
      </c>
      <c r="G3397" s="86">
        <v>100</v>
      </c>
      <c r="H3397" s="86">
        <v>300</v>
      </c>
      <c r="I3397" s="86">
        <v>4970</v>
      </c>
      <c r="J3397" s="85" t="s">
        <v>2935</v>
      </c>
      <c r="K3397" s="85" t="s">
        <v>12543</v>
      </c>
      <c r="L3397" s="85" t="s">
        <v>12417</v>
      </c>
      <c r="M3397" s="85" t="s">
        <v>12642</v>
      </c>
    </row>
    <row r="3398" ht="327.75" spans="1:13">
      <c r="A3398" s="85" t="s">
        <v>12564</v>
      </c>
      <c r="B3398" s="85" t="s">
        <v>12643</v>
      </c>
      <c r="C3398" s="85" t="s">
        <v>12644</v>
      </c>
      <c r="D3398" s="85" t="s">
        <v>12567</v>
      </c>
      <c r="E3398" s="85" t="s">
        <v>12568</v>
      </c>
      <c r="F3398" s="86">
        <v>56</v>
      </c>
      <c r="G3398" s="86">
        <v>2</v>
      </c>
      <c r="H3398" s="86">
        <v>112</v>
      </c>
      <c r="I3398" s="86">
        <v>57602</v>
      </c>
      <c r="J3398" s="85" t="s">
        <v>4391</v>
      </c>
      <c r="K3398" s="85" t="s">
        <v>12543</v>
      </c>
      <c r="L3398" s="85" t="s">
        <v>12417</v>
      </c>
      <c r="M3398" s="85" t="s">
        <v>12645</v>
      </c>
    </row>
    <row r="3399" ht="327.75" spans="1:13">
      <c r="A3399" s="85" t="s">
        <v>12545</v>
      </c>
      <c r="B3399" s="85" t="s">
        <v>9996</v>
      </c>
      <c r="C3399" s="85" t="s">
        <v>9997</v>
      </c>
      <c r="D3399" s="85" t="s">
        <v>2977</v>
      </c>
      <c r="E3399" s="85" t="s">
        <v>8894</v>
      </c>
      <c r="F3399" s="86">
        <v>8</v>
      </c>
      <c r="G3399" s="86">
        <v>20</v>
      </c>
      <c r="H3399" s="86">
        <v>160</v>
      </c>
      <c r="I3399" s="86">
        <v>4970</v>
      </c>
      <c r="J3399" s="85" t="s">
        <v>2935</v>
      </c>
      <c r="K3399" s="85" t="s">
        <v>12543</v>
      </c>
      <c r="L3399" s="85" t="s">
        <v>12417</v>
      </c>
      <c r="M3399" s="85" t="s">
        <v>12646</v>
      </c>
    </row>
    <row r="3400" ht="327.75" spans="1:13">
      <c r="A3400" s="85" t="s">
        <v>12647</v>
      </c>
      <c r="B3400" s="85" t="s">
        <v>11188</v>
      </c>
      <c r="C3400" s="85" t="s">
        <v>12648</v>
      </c>
      <c r="D3400" s="85" t="s">
        <v>3532</v>
      </c>
      <c r="E3400" s="85" t="s">
        <v>3533</v>
      </c>
      <c r="F3400" s="86">
        <v>130</v>
      </c>
      <c r="G3400" s="86">
        <v>40</v>
      </c>
      <c r="H3400" s="86">
        <v>5200</v>
      </c>
      <c r="I3400" s="86">
        <v>5200</v>
      </c>
      <c r="J3400" s="85" t="s">
        <v>12217</v>
      </c>
      <c r="K3400" s="85" t="s">
        <v>12543</v>
      </c>
      <c r="L3400" s="85" t="s">
        <v>12417</v>
      </c>
      <c r="M3400" s="85" t="s">
        <v>12649</v>
      </c>
    </row>
    <row r="3401" ht="327.75" spans="1:13">
      <c r="A3401" s="85" t="s">
        <v>12542</v>
      </c>
      <c r="B3401" s="85" t="s">
        <v>11417</v>
      </c>
      <c r="C3401" s="85" t="s">
        <v>11418</v>
      </c>
      <c r="D3401" s="85" t="s">
        <v>7377</v>
      </c>
      <c r="E3401" s="85" t="s">
        <v>9550</v>
      </c>
      <c r="F3401" s="86">
        <v>7</v>
      </c>
      <c r="G3401" s="86">
        <v>200</v>
      </c>
      <c r="H3401" s="86">
        <v>1400</v>
      </c>
      <c r="I3401" s="86">
        <v>28232</v>
      </c>
      <c r="J3401" s="85" t="s">
        <v>9135</v>
      </c>
      <c r="K3401" s="85" t="s">
        <v>12543</v>
      </c>
      <c r="L3401" s="85" t="s">
        <v>12417</v>
      </c>
      <c r="M3401" s="85" t="s">
        <v>12650</v>
      </c>
    </row>
    <row r="3402" ht="327.75" spans="1:13">
      <c r="A3402" s="85" t="s">
        <v>12651</v>
      </c>
      <c r="B3402" s="85" t="s">
        <v>11368</v>
      </c>
      <c r="C3402" s="85" t="s">
        <v>11369</v>
      </c>
      <c r="D3402" s="85" t="s">
        <v>11370</v>
      </c>
      <c r="E3402" s="85" t="s">
        <v>11371</v>
      </c>
      <c r="F3402" s="86">
        <v>35</v>
      </c>
      <c r="G3402" s="86">
        <v>80</v>
      </c>
      <c r="H3402" s="86">
        <v>2800</v>
      </c>
      <c r="I3402" s="86">
        <v>2800</v>
      </c>
      <c r="J3402" s="85" t="s">
        <v>9135</v>
      </c>
      <c r="K3402" s="85" t="s">
        <v>12543</v>
      </c>
      <c r="L3402" s="85" t="s">
        <v>12417</v>
      </c>
      <c r="M3402" s="85" t="s">
        <v>12652</v>
      </c>
    </row>
    <row r="3403" ht="327.75" spans="1:13">
      <c r="A3403" s="85" t="s">
        <v>12640</v>
      </c>
      <c r="B3403" s="85" t="s">
        <v>10014</v>
      </c>
      <c r="C3403" s="85" t="s">
        <v>10015</v>
      </c>
      <c r="D3403" s="85" t="s">
        <v>4752</v>
      </c>
      <c r="E3403" s="85" t="s">
        <v>7659</v>
      </c>
      <c r="F3403" s="86">
        <v>480</v>
      </c>
      <c r="G3403" s="86">
        <v>10</v>
      </c>
      <c r="H3403" s="86">
        <v>4800</v>
      </c>
      <c r="I3403" s="86">
        <v>8110</v>
      </c>
      <c r="J3403" s="85" t="s">
        <v>2935</v>
      </c>
      <c r="K3403" s="85" t="s">
        <v>12543</v>
      </c>
      <c r="L3403" s="85" t="s">
        <v>12417</v>
      </c>
      <c r="M3403" s="85" t="s">
        <v>12653</v>
      </c>
    </row>
    <row r="3404" ht="327.75" spans="1:13">
      <c r="A3404" s="85" t="s">
        <v>12654</v>
      </c>
      <c r="B3404" s="85" t="s">
        <v>12265</v>
      </c>
      <c r="C3404" s="85" t="s">
        <v>12266</v>
      </c>
      <c r="D3404" s="85" t="s">
        <v>3153</v>
      </c>
      <c r="E3404" s="85" t="s">
        <v>8431</v>
      </c>
      <c r="F3404" s="86">
        <v>1499</v>
      </c>
      <c r="G3404" s="86">
        <v>2</v>
      </c>
      <c r="H3404" s="86">
        <v>2998</v>
      </c>
      <c r="I3404" s="86">
        <v>2998</v>
      </c>
      <c r="J3404" s="85" t="s">
        <v>2935</v>
      </c>
      <c r="K3404" s="85" t="s">
        <v>12543</v>
      </c>
      <c r="L3404" s="85" t="s">
        <v>12417</v>
      </c>
      <c r="M3404" s="85" t="s">
        <v>12655</v>
      </c>
    </row>
    <row r="3405" ht="327.75" spans="1:13">
      <c r="A3405" s="85" t="s">
        <v>12572</v>
      </c>
      <c r="B3405" s="85" t="s">
        <v>11460</v>
      </c>
      <c r="C3405" s="85" t="s">
        <v>11461</v>
      </c>
      <c r="D3405" s="85" t="s">
        <v>5744</v>
      </c>
      <c r="E3405" s="85" t="s">
        <v>5745</v>
      </c>
      <c r="F3405" s="86">
        <v>72.6</v>
      </c>
      <c r="G3405" s="86">
        <v>20</v>
      </c>
      <c r="H3405" s="86">
        <v>1452</v>
      </c>
      <c r="I3405" s="86">
        <v>12401</v>
      </c>
      <c r="J3405" s="85" t="s">
        <v>4391</v>
      </c>
      <c r="K3405" s="85" t="s">
        <v>12543</v>
      </c>
      <c r="L3405" s="85" t="s">
        <v>12417</v>
      </c>
      <c r="M3405" s="85" t="s">
        <v>12656</v>
      </c>
    </row>
    <row r="3406" ht="327.75" spans="1:13">
      <c r="A3406" s="85" t="s">
        <v>12542</v>
      </c>
      <c r="B3406" s="85" t="s">
        <v>11862</v>
      </c>
      <c r="C3406" s="85" t="s">
        <v>11863</v>
      </c>
      <c r="D3406" s="85" t="s">
        <v>11864</v>
      </c>
      <c r="E3406" s="85" t="s">
        <v>11865</v>
      </c>
      <c r="F3406" s="86">
        <v>48</v>
      </c>
      <c r="G3406" s="86">
        <v>16</v>
      </c>
      <c r="H3406" s="86">
        <v>768</v>
      </c>
      <c r="I3406" s="86">
        <v>28232</v>
      </c>
      <c r="J3406" s="85" t="s">
        <v>9135</v>
      </c>
      <c r="K3406" s="85" t="s">
        <v>12543</v>
      </c>
      <c r="L3406" s="85" t="s">
        <v>12417</v>
      </c>
      <c r="M3406" s="85" t="s">
        <v>12657</v>
      </c>
    </row>
    <row r="3407" ht="327.75" spans="1:13">
      <c r="A3407" s="85" t="s">
        <v>12586</v>
      </c>
      <c r="B3407" s="85" t="s">
        <v>12658</v>
      </c>
      <c r="C3407" s="85" t="s">
        <v>12659</v>
      </c>
      <c r="D3407" s="85" t="s">
        <v>3288</v>
      </c>
      <c r="E3407" s="85" t="s">
        <v>12660</v>
      </c>
      <c r="F3407" s="86">
        <v>120</v>
      </c>
      <c r="G3407" s="86">
        <v>2</v>
      </c>
      <c r="H3407" s="86">
        <v>240</v>
      </c>
      <c r="I3407" s="86">
        <v>5778</v>
      </c>
      <c r="J3407" s="85" t="s">
        <v>2935</v>
      </c>
      <c r="K3407" s="85" t="s">
        <v>12543</v>
      </c>
      <c r="L3407" s="85" t="s">
        <v>12417</v>
      </c>
      <c r="M3407" s="85" t="s">
        <v>12661</v>
      </c>
    </row>
    <row r="3408" ht="327.75" spans="1:13">
      <c r="A3408" s="85" t="s">
        <v>12570</v>
      </c>
      <c r="B3408" s="85" t="s">
        <v>9170</v>
      </c>
      <c r="C3408" s="85" t="s">
        <v>9171</v>
      </c>
      <c r="D3408" s="85" t="s">
        <v>3153</v>
      </c>
      <c r="E3408" s="85" t="s">
        <v>7689</v>
      </c>
      <c r="F3408" s="86">
        <v>72</v>
      </c>
      <c r="G3408" s="86">
        <v>1</v>
      </c>
      <c r="H3408" s="86">
        <v>72</v>
      </c>
      <c r="I3408" s="86">
        <v>4602</v>
      </c>
      <c r="J3408" s="85" t="s">
        <v>2935</v>
      </c>
      <c r="K3408" s="85" t="s">
        <v>12543</v>
      </c>
      <c r="L3408" s="85" t="s">
        <v>12417</v>
      </c>
      <c r="M3408" s="85" t="s">
        <v>12662</v>
      </c>
    </row>
    <row r="3409" ht="327.75" spans="1:13">
      <c r="A3409" s="85" t="s">
        <v>12594</v>
      </c>
      <c r="B3409" s="85" t="s">
        <v>12663</v>
      </c>
      <c r="C3409" s="85" t="s">
        <v>12664</v>
      </c>
      <c r="D3409" s="85" t="s">
        <v>3183</v>
      </c>
      <c r="E3409" s="85" t="s">
        <v>9804</v>
      </c>
      <c r="F3409" s="86">
        <v>76</v>
      </c>
      <c r="G3409" s="86">
        <v>2</v>
      </c>
      <c r="H3409" s="86">
        <v>152</v>
      </c>
      <c r="I3409" s="86">
        <v>587</v>
      </c>
      <c r="J3409" s="85" t="s">
        <v>2935</v>
      </c>
      <c r="K3409" s="85" t="s">
        <v>12543</v>
      </c>
      <c r="L3409" s="85" t="s">
        <v>12417</v>
      </c>
      <c r="M3409" s="85" t="s">
        <v>12665</v>
      </c>
    </row>
    <row r="3410" ht="327.75" spans="1:13">
      <c r="A3410" s="85" t="s">
        <v>12666</v>
      </c>
      <c r="B3410" s="85" t="s">
        <v>11019</v>
      </c>
      <c r="C3410" s="85" t="s">
        <v>11020</v>
      </c>
      <c r="D3410" s="85" t="s">
        <v>3438</v>
      </c>
      <c r="E3410" s="85" t="s">
        <v>11021</v>
      </c>
      <c r="F3410" s="86">
        <v>0.57</v>
      </c>
      <c r="G3410" s="86">
        <v>2000</v>
      </c>
      <c r="H3410" s="86">
        <v>1140</v>
      </c>
      <c r="I3410" s="86">
        <v>1140</v>
      </c>
      <c r="J3410" s="85" t="s">
        <v>4391</v>
      </c>
      <c r="K3410" s="85" t="s">
        <v>12543</v>
      </c>
      <c r="L3410" s="85" t="s">
        <v>12417</v>
      </c>
      <c r="M3410" s="85" t="s">
        <v>12667</v>
      </c>
    </row>
    <row r="3411" ht="327.75" spans="1:13">
      <c r="A3411" s="85" t="s">
        <v>12591</v>
      </c>
      <c r="B3411" s="85" t="s">
        <v>12181</v>
      </c>
      <c r="C3411" s="85" t="s">
        <v>12182</v>
      </c>
      <c r="D3411" s="85" t="s">
        <v>12183</v>
      </c>
      <c r="E3411" s="85" t="s">
        <v>2988</v>
      </c>
      <c r="F3411" s="86">
        <v>35</v>
      </c>
      <c r="G3411" s="86">
        <v>2</v>
      </c>
      <c r="H3411" s="86">
        <v>70</v>
      </c>
      <c r="I3411" s="86">
        <v>4620</v>
      </c>
      <c r="J3411" s="85" t="s">
        <v>9135</v>
      </c>
      <c r="K3411" s="85" t="s">
        <v>12543</v>
      </c>
      <c r="L3411" s="85" t="s">
        <v>12417</v>
      </c>
      <c r="M3411" s="85" t="s">
        <v>12668</v>
      </c>
    </row>
    <row r="3412" ht="327.75" spans="1:13">
      <c r="A3412" s="85" t="s">
        <v>12594</v>
      </c>
      <c r="B3412" s="85" t="s">
        <v>12669</v>
      </c>
      <c r="C3412" s="85" t="s">
        <v>12670</v>
      </c>
      <c r="D3412" s="85" t="s">
        <v>7533</v>
      </c>
      <c r="E3412" s="85" t="s">
        <v>12671</v>
      </c>
      <c r="F3412" s="86">
        <v>20</v>
      </c>
      <c r="G3412" s="86">
        <v>5</v>
      </c>
      <c r="H3412" s="86">
        <v>100</v>
      </c>
      <c r="I3412" s="86">
        <v>587</v>
      </c>
      <c r="J3412" s="85" t="s">
        <v>2935</v>
      </c>
      <c r="K3412" s="85" t="s">
        <v>12543</v>
      </c>
      <c r="L3412" s="85" t="s">
        <v>12417</v>
      </c>
      <c r="M3412" s="85" t="s">
        <v>12672</v>
      </c>
    </row>
    <row r="3413" ht="327.75" spans="1:13">
      <c r="A3413" s="85" t="s">
        <v>12640</v>
      </c>
      <c r="B3413" s="85" t="s">
        <v>9606</v>
      </c>
      <c r="C3413" s="85" t="s">
        <v>9607</v>
      </c>
      <c r="D3413" s="85" t="s">
        <v>3082</v>
      </c>
      <c r="E3413" s="85" t="s">
        <v>5127</v>
      </c>
      <c r="F3413" s="86">
        <v>37</v>
      </c>
      <c r="G3413" s="86">
        <v>80</v>
      </c>
      <c r="H3413" s="86">
        <v>2960</v>
      </c>
      <c r="I3413" s="86">
        <v>8110</v>
      </c>
      <c r="J3413" s="85" t="s">
        <v>2935</v>
      </c>
      <c r="K3413" s="85" t="s">
        <v>12543</v>
      </c>
      <c r="L3413" s="85" t="s">
        <v>12417</v>
      </c>
      <c r="M3413" s="85" t="s">
        <v>12673</v>
      </c>
    </row>
    <row r="3414" ht="327.75" spans="1:13">
      <c r="A3414" s="85" t="s">
        <v>12631</v>
      </c>
      <c r="B3414" s="85" t="s">
        <v>11481</v>
      </c>
      <c r="C3414" s="85" t="s">
        <v>11482</v>
      </c>
      <c r="D3414" s="85" t="s">
        <v>4246</v>
      </c>
      <c r="E3414" s="85" t="s">
        <v>6030</v>
      </c>
      <c r="F3414" s="86">
        <v>34.6</v>
      </c>
      <c r="G3414" s="86">
        <v>50</v>
      </c>
      <c r="H3414" s="86">
        <v>1730</v>
      </c>
      <c r="I3414" s="86">
        <v>2276</v>
      </c>
      <c r="J3414" s="85" t="s">
        <v>4391</v>
      </c>
      <c r="K3414" s="85" t="s">
        <v>12543</v>
      </c>
      <c r="L3414" s="85" t="s">
        <v>12417</v>
      </c>
      <c r="M3414" s="85" t="s">
        <v>12674</v>
      </c>
    </row>
    <row r="3415" ht="327.75" spans="1:13">
      <c r="A3415" s="85" t="s">
        <v>12564</v>
      </c>
      <c r="B3415" s="85" t="s">
        <v>12675</v>
      </c>
      <c r="C3415" s="85" t="s">
        <v>12676</v>
      </c>
      <c r="D3415" s="85" t="s">
        <v>3963</v>
      </c>
      <c r="E3415" s="85" t="s">
        <v>12677</v>
      </c>
      <c r="F3415" s="86">
        <v>56</v>
      </c>
      <c r="G3415" s="86">
        <v>2</v>
      </c>
      <c r="H3415" s="86">
        <v>112</v>
      </c>
      <c r="I3415" s="86">
        <v>57602</v>
      </c>
      <c r="J3415" s="85" t="s">
        <v>4391</v>
      </c>
      <c r="K3415" s="85" t="s">
        <v>12543</v>
      </c>
      <c r="L3415" s="85" t="s">
        <v>12417</v>
      </c>
      <c r="M3415" s="85" t="s">
        <v>12678</v>
      </c>
    </row>
    <row r="3416" ht="327.75" spans="1:13">
      <c r="A3416" s="85" t="s">
        <v>12640</v>
      </c>
      <c r="B3416" s="85" t="s">
        <v>9255</v>
      </c>
      <c r="C3416" s="85" t="s">
        <v>9256</v>
      </c>
      <c r="D3416" s="85" t="s">
        <v>4030</v>
      </c>
      <c r="E3416" s="85" t="s">
        <v>9257</v>
      </c>
      <c r="F3416" s="86">
        <v>2</v>
      </c>
      <c r="G3416" s="86">
        <v>100</v>
      </c>
      <c r="H3416" s="86">
        <v>200</v>
      </c>
      <c r="I3416" s="86">
        <v>8110</v>
      </c>
      <c r="J3416" s="85" t="s">
        <v>2935</v>
      </c>
      <c r="K3416" s="85" t="s">
        <v>12543</v>
      </c>
      <c r="L3416" s="85" t="s">
        <v>12417</v>
      </c>
      <c r="M3416" s="85" t="s">
        <v>12679</v>
      </c>
    </row>
    <row r="3417" ht="327.75" spans="1:13">
      <c r="A3417" s="85" t="s">
        <v>12572</v>
      </c>
      <c r="B3417" s="85" t="s">
        <v>12475</v>
      </c>
      <c r="C3417" s="85" t="s">
        <v>12476</v>
      </c>
      <c r="D3417" s="85" t="s">
        <v>6901</v>
      </c>
      <c r="E3417" s="85" t="s">
        <v>5752</v>
      </c>
      <c r="F3417" s="86">
        <v>32.5</v>
      </c>
      <c r="G3417" s="86">
        <v>100</v>
      </c>
      <c r="H3417" s="86">
        <v>3250</v>
      </c>
      <c r="I3417" s="86">
        <v>12401</v>
      </c>
      <c r="J3417" s="85" t="s">
        <v>4391</v>
      </c>
      <c r="K3417" s="85" t="s">
        <v>12543</v>
      </c>
      <c r="L3417" s="85" t="s">
        <v>12417</v>
      </c>
      <c r="M3417" s="85" t="s">
        <v>12680</v>
      </c>
    </row>
    <row r="3418" ht="327.75" spans="1:13">
      <c r="A3418" s="85" t="s">
        <v>12681</v>
      </c>
      <c r="B3418" s="85" t="s">
        <v>12682</v>
      </c>
      <c r="C3418" s="85" t="s">
        <v>12683</v>
      </c>
      <c r="D3418" s="85" t="s">
        <v>3834</v>
      </c>
      <c r="E3418" s="85" t="s">
        <v>9580</v>
      </c>
      <c r="F3418" s="86">
        <v>780</v>
      </c>
      <c r="G3418" s="86">
        <v>1</v>
      </c>
      <c r="H3418" s="86">
        <v>780</v>
      </c>
      <c r="I3418" s="86">
        <v>3784</v>
      </c>
      <c r="J3418" s="85" t="s">
        <v>2935</v>
      </c>
      <c r="K3418" s="85" t="s">
        <v>12684</v>
      </c>
      <c r="L3418" s="85" t="s">
        <v>12417</v>
      </c>
      <c r="M3418" s="85" t="s">
        <v>12685</v>
      </c>
    </row>
    <row r="3419" ht="327.75" spans="1:13">
      <c r="A3419" s="85" t="s">
        <v>12681</v>
      </c>
      <c r="B3419" s="85" t="s">
        <v>12686</v>
      </c>
      <c r="C3419" s="85" t="s">
        <v>12687</v>
      </c>
      <c r="D3419" s="85" t="s">
        <v>3834</v>
      </c>
      <c r="E3419" s="85" t="s">
        <v>2325</v>
      </c>
      <c r="F3419" s="86">
        <v>416</v>
      </c>
      <c r="G3419" s="86">
        <v>4</v>
      </c>
      <c r="H3419" s="86">
        <v>1664</v>
      </c>
      <c r="I3419" s="86">
        <v>3784</v>
      </c>
      <c r="J3419" s="85" t="s">
        <v>2935</v>
      </c>
      <c r="K3419" s="85" t="s">
        <v>12684</v>
      </c>
      <c r="L3419" s="85" t="s">
        <v>12417</v>
      </c>
      <c r="M3419" s="85" t="s">
        <v>12688</v>
      </c>
    </row>
    <row r="3420" ht="327.75" spans="1:13">
      <c r="A3420" s="85" t="s">
        <v>12681</v>
      </c>
      <c r="B3420" s="85" t="s">
        <v>12689</v>
      </c>
      <c r="C3420" s="85" t="s">
        <v>12690</v>
      </c>
      <c r="D3420" s="85" t="s">
        <v>3834</v>
      </c>
      <c r="E3420" s="85" t="s">
        <v>3855</v>
      </c>
      <c r="F3420" s="86">
        <v>800</v>
      </c>
      <c r="G3420" s="86">
        <v>1</v>
      </c>
      <c r="H3420" s="86">
        <v>800</v>
      </c>
      <c r="I3420" s="86">
        <v>3784</v>
      </c>
      <c r="J3420" s="85" t="s">
        <v>2935</v>
      </c>
      <c r="K3420" s="85" t="s">
        <v>12684</v>
      </c>
      <c r="L3420" s="85" t="s">
        <v>12417</v>
      </c>
      <c r="M3420" s="85" t="s">
        <v>12691</v>
      </c>
    </row>
    <row r="3421" ht="327.75" spans="1:13">
      <c r="A3421" s="85" t="s">
        <v>12681</v>
      </c>
      <c r="B3421" s="85" t="s">
        <v>12692</v>
      </c>
      <c r="C3421" s="85" t="s">
        <v>12693</v>
      </c>
      <c r="D3421" s="85" t="s">
        <v>11999</v>
      </c>
      <c r="E3421" s="85" t="s">
        <v>12000</v>
      </c>
      <c r="F3421" s="86">
        <v>135</v>
      </c>
      <c r="G3421" s="86">
        <v>4</v>
      </c>
      <c r="H3421" s="86">
        <v>540</v>
      </c>
      <c r="I3421" s="86">
        <v>3784</v>
      </c>
      <c r="J3421" s="85" t="s">
        <v>2935</v>
      </c>
      <c r="K3421" s="85" t="s">
        <v>12684</v>
      </c>
      <c r="L3421" s="85" t="s">
        <v>12417</v>
      </c>
      <c r="M3421" s="85" t="s">
        <v>12694</v>
      </c>
    </row>
    <row r="3422" ht="327.75" spans="1:13">
      <c r="A3422" s="85" t="s">
        <v>12695</v>
      </c>
      <c r="B3422" s="85" t="s">
        <v>12696</v>
      </c>
      <c r="C3422" s="85" t="s">
        <v>12697</v>
      </c>
      <c r="D3422" s="85" t="s">
        <v>12625</v>
      </c>
      <c r="E3422" s="85" t="s">
        <v>6154</v>
      </c>
      <c r="F3422" s="86">
        <v>56.7</v>
      </c>
      <c r="G3422" s="86">
        <v>2</v>
      </c>
      <c r="H3422" s="86">
        <v>113.4</v>
      </c>
      <c r="I3422" s="86">
        <v>955</v>
      </c>
      <c r="J3422" s="85" t="s">
        <v>4391</v>
      </c>
      <c r="K3422" s="85" t="s">
        <v>12698</v>
      </c>
      <c r="L3422" s="85" t="s">
        <v>12417</v>
      </c>
      <c r="M3422" s="85" t="s">
        <v>12699</v>
      </c>
    </row>
    <row r="3423" ht="327.75" spans="1:13">
      <c r="A3423" s="85" t="s">
        <v>12700</v>
      </c>
      <c r="B3423" s="85" t="s">
        <v>10836</v>
      </c>
      <c r="C3423" s="85" t="s">
        <v>10837</v>
      </c>
      <c r="D3423" s="85" t="s">
        <v>2977</v>
      </c>
      <c r="E3423" s="85" t="s">
        <v>8894</v>
      </c>
      <c r="F3423" s="86">
        <v>517</v>
      </c>
      <c r="G3423" s="86">
        <v>6</v>
      </c>
      <c r="H3423" s="86">
        <v>3102</v>
      </c>
      <c r="I3423" s="86">
        <v>26181</v>
      </c>
      <c r="J3423" s="85" t="s">
        <v>2935</v>
      </c>
      <c r="K3423" s="85" t="s">
        <v>12698</v>
      </c>
      <c r="L3423" s="85" t="s">
        <v>12417</v>
      </c>
      <c r="M3423" s="85" t="s">
        <v>12701</v>
      </c>
    </row>
    <row r="3424" ht="327.75" spans="1:13">
      <c r="A3424" s="85" t="s">
        <v>12700</v>
      </c>
      <c r="B3424" s="85" t="s">
        <v>12702</v>
      </c>
      <c r="C3424" s="85" t="s">
        <v>12703</v>
      </c>
      <c r="D3424" s="85" t="s">
        <v>11999</v>
      </c>
      <c r="E3424" s="85" t="s">
        <v>12000</v>
      </c>
      <c r="F3424" s="86">
        <v>181</v>
      </c>
      <c r="G3424" s="86">
        <v>40</v>
      </c>
      <c r="H3424" s="86">
        <v>7240</v>
      </c>
      <c r="I3424" s="86">
        <v>26181</v>
      </c>
      <c r="J3424" s="85" t="s">
        <v>2935</v>
      </c>
      <c r="K3424" s="85" t="s">
        <v>12698</v>
      </c>
      <c r="L3424" s="85" t="s">
        <v>12417</v>
      </c>
      <c r="M3424" s="85" t="s">
        <v>12704</v>
      </c>
    </row>
    <row r="3425" ht="327.75" spans="1:13">
      <c r="A3425" s="85" t="s">
        <v>12700</v>
      </c>
      <c r="B3425" s="85" t="s">
        <v>12705</v>
      </c>
      <c r="C3425" s="85" t="s">
        <v>12706</v>
      </c>
      <c r="D3425" s="85" t="s">
        <v>3288</v>
      </c>
      <c r="E3425" s="85" t="s">
        <v>11010</v>
      </c>
      <c r="F3425" s="86">
        <v>21</v>
      </c>
      <c r="G3425" s="86">
        <v>3</v>
      </c>
      <c r="H3425" s="86">
        <v>63</v>
      </c>
      <c r="I3425" s="86">
        <v>26181</v>
      </c>
      <c r="J3425" s="85" t="s">
        <v>2935</v>
      </c>
      <c r="K3425" s="85" t="s">
        <v>12698</v>
      </c>
      <c r="L3425" s="85" t="s">
        <v>12417</v>
      </c>
      <c r="M3425" s="85" t="s">
        <v>12707</v>
      </c>
    </row>
    <row r="3426" ht="327.75" spans="1:13">
      <c r="A3426" s="85" t="s">
        <v>12708</v>
      </c>
      <c r="B3426" s="85" t="s">
        <v>9533</v>
      </c>
      <c r="C3426" s="85" t="s">
        <v>9534</v>
      </c>
      <c r="D3426" s="85" t="s">
        <v>2977</v>
      </c>
      <c r="E3426" s="85" t="s">
        <v>8894</v>
      </c>
      <c r="F3426" s="86">
        <v>4</v>
      </c>
      <c r="G3426" s="86">
        <v>300</v>
      </c>
      <c r="H3426" s="86">
        <v>1200</v>
      </c>
      <c r="I3426" s="86">
        <v>5600</v>
      </c>
      <c r="J3426" s="85" t="s">
        <v>2935</v>
      </c>
      <c r="K3426" s="85" t="s">
        <v>12698</v>
      </c>
      <c r="L3426" s="85" t="s">
        <v>12417</v>
      </c>
      <c r="M3426" s="85" t="s">
        <v>12709</v>
      </c>
    </row>
    <row r="3427" ht="327.75" spans="1:13">
      <c r="A3427" s="85" t="s">
        <v>12710</v>
      </c>
      <c r="B3427" s="85" t="s">
        <v>12431</v>
      </c>
      <c r="C3427" s="85" t="s">
        <v>12432</v>
      </c>
      <c r="D3427" s="85" t="s">
        <v>6924</v>
      </c>
      <c r="E3427" s="85" t="s">
        <v>7837</v>
      </c>
      <c r="F3427" s="86">
        <v>12.47</v>
      </c>
      <c r="G3427" s="86">
        <v>50</v>
      </c>
      <c r="H3427" s="86">
        <v>623.5</v>
      </c>
      <c r="I3427" s="86">
        <v>943.5</v>
      </c>
      <c r="J3427" s="85" t="s">
        <v>4391</v>
      </c>
      <c r="K3427" s="85" t="s">
        <v>12698</v>
      </c>
      <c r="L3427" s="85" t="s">
        <v>12417</v>
      </c>
      <c r="M3427" s="85" t="s">
        <v>12711</v>
      </c>
    </row>
    <row r="3428" ht="327.75" spans="1:13">
      <c r="A3428" s="85" t="s">
        <v>12695</v>
      </c>
      <c r="B3428" s="85" t="s">
        <v>10782</v>
      </c>
      <c r="C3428" s="85" t="s">
        <v>10783</v>
      </c>
      <c r="D3428" s="85" t="s">
        <v>6122</v>
      </c>
      <c r="E3428" s="85" t="s">
        <v>6424</v>
      </c>
      <c r="F3428" s="86">
        <v>11.7</v>
      </c>
      <c r="G3428" s="86">
        <v>50</v>
      </c>
      <c r="H3428" s="86">
        <v>585</v>
      </c>
      <c r="I3428" s="86">
        <v>955</v>
      </c>
      <c r="J3428" s="85" t="s">
        <v>4391</v>
      </c>
      <c r="K3428" s="85" t="s">
        <v>12698</v>
      </c>
      <c r="L3428" s="85" t="s">
        <v>12417</v>
      </c>
      <c r="M3428" s="85" t="s">
        <v>12712</v>
      </c>
    </row>
    <row r="3429" ht="327.75" spans="1:13">
      <c r="A3429" s="85" t="s">
        <v>12700</v>
      </c>
      <c r="B3429" s="85" t="s">
        <v>9444</v>
      </c>
      <c r="C3429" s="85" t="s">
        <v>9445</v>
      </c>
      <c r="D3429" s="85" t="s">
        <v>9446</v>
      </c>
      <c r="E3429" s="85" t="s">
        <v>9447</v>
      </c>
      <c r="F3429" s="86">
        <v>34</v>
      </c>
      <c r="G3429" s="86">
        <v>5</v>
      </c>
      <c r="H3429" s="86">
        <v>170</v>
      </c>
      <c r="I3429" s="86">
        <v>26181</v>
      </c>
      <c r="J3429" s="85" t="s">
        <v>2935</v>
      </c>
      <c r="K3429" s="85" t="s">
        <v>12698</v>
      </c>
      <c r="L3429" s="85" t="s">
        <v>12417</v>
      </c>
      <c r="M3429" s="85" t="s">
        <v>12713</v>
      </c>
    </row>
    <row r="3430" ht="327.75" spans="1:13">
      <c r="A3430" s="85" t="s">
        <v>12714</v>
      </c>
      <c r="B3430" s="85" t="s">
        <v>12715</v>
      </c>
      <c r="C3430" s="85" t="s">
        <v>12716</v>
      </c>
      <c r="D3430" s="85" t="s">
        <v>3241</v>
      </c>
      <c r="E3430" s="85" t="s">
        <v>4216</v>
      </c>
      <c r="F3430" s="86">
        <v>21</v>
      </c>
      <c r="G3430" s="86">
        <v>10</v>
      </c>
      <c r="H3430" s="86">
        <v>210</v>
      </c>
      <c r="I3430" s="86">
        <v>1050</v>
      </c>
      <c r="J3430" s="85" t="s">
        <v>2935</v>
      </c>
      <c r="K3430" s="85" t="s">
        <v>12698</v>
      </c>
      <c r="L3430" s="85" t="s">
        <v>12417</v>
      </c>
      <c r="M3430" s="85" t="s">
        <v>12717</v>
      </c>
    </row>
    <row r="3431" ht="327.75" spans="1:13">
      <c r="A3431" s="85" t="s">
        <v>12718</v>
      </c>
      <c r="B3431" s="85" t="s">
        <v>12719</v>
      </c>
      <c r="C3431" s="85" t="s">
        <v>12720</v>
      </c>
      <c r="D3431" s="85" t="s">
        <v>6688</v>
      </c>
      <c r="E3431" s="85" t="s">
        <v>1991</v>
      </c>
      <c r="F3431" s="86">
        <v>7</v>
      </c>
      <c r="G3431" s="86">
        <v>100</v>
      </c>
      <c r="H3431" s="86">
        <v>700</v>
      </c>
      <c r="I3431" s="86">
        <v>3880</v>
      </c>
      <c r="J3431" s="85" t="s">
        <v>2935</v>
      </c>
      <c r="K3431" s="85" t="s">
        <v>12698</v>
      </c>
      <c r="L3431" s="85" t="s">
        <v>12417</v>
      </c>
      <c r="M3431" s="85" t="s">
        <v>12721</v>
      </c>
    </row>
    <row r="3432" ht="327.75" spans="1:13">
      <c r="A3432" s="85" t="s">
        <v>12718</v>
      </c>
      <c r="B3432" s="85" t="s">
        <v>11847</v>
      </c>
      <c r="C3432" s="85" t="s">
        <v>11848</v>
      </c>
      <c r="D3432" s="85" t="s">
        <v>10141</v>
      </c>
      <c r="E3432" s="85" t="s">
        <v>10142</v>
      </c>
      <c r="F3432" s="86">
        <v>1.5</v>
      </c>
      <c r="G3432" s="86">
        <v>200</v>
      </c>
      <c r="H3432" s="86">
        <v>300</v>
      </c>
      <c r="I3432" s="86">
        <v>3880</v>
      </c>
      <c r="J3432" s="85" t="s">
        <v>2935</v>
      </c>
      <c r="K3432" s="85" t="s">
        <v>12698</v>
      </c>
      <c r="L3432" s="85" t="s">
        <v>12417</v>
      </c>
      <c r="M3432" s="85" t="s">
        <v>12722</v>
      </c>
    </row>
    <row r="3433" ht="327.75" spans="1:13">
      <c r="A3433" s="85" t="s">
        <v>12700</v>
      </c>
      <c r="B3433" s="85" t="s">
        <v>12723</v>
      </c>
      <c r="C3433" s="85" t="s">
        <v>12724</v>
      </c>
      <c r="D3433" s="85" t="s">
        <v>5546</v>
      </c>
      <c r="E3433" s="85" t="s">
        <v>9512</v>
      </c>
      <c r="F3433" s="86">
        <v>953</v>
      </c>
      <c r="G3433" s="86">
        <v>1</v>
      </c>
      <c r="H3433" s="86">
        <v>953</v>
      </c>
      <c r="I3433" s="86">
        <v>26181</v>
      </c>
      <c r="J3433" s="85" t="s">
        <v>2935</v>
      </c>
      <c r="K3433" s="85" t="s">
        <v>12698</v>
      </c>
      <c r="L3433" s="85" t="s">
        <v>12417</v>
      </c>
      <c r="M3433" s="85" t="s">
        <v>12725</v>
      </c>
    </row>
    <row r="3434" ht="327.75" spans="1:13">
      <c r="A3434" s="85" t="s">
        <v>12718</v>
      </c>
      <c r="B3434" s="85" t="s">
        <v>10091</v>
      </c>
      <c r="C3434" s="85" t="s">
        <v>10092</v>
      </c>
      <c r="D3434" s="85" t="s">
        <v>3625</v>
      </c>
      <c r="E3434" s="85" t="s">
        <v>10093</v>
      </c>
      <c r="F3434" s="86">
        <v>16</v>
      </c>
      <c r="G3434" s="86">
        <v>5</v>
      </c>
      <c r="H3434" s="86">
        <v>80</v>
      </c>
      <c r="I3434" s="86">
        <v>3880</v>
      </c>
      <c r="J3434" s="85" t="s">
        <v>2935</v>
      </c>
      <c r="K3434" s="85" t="s">
        <v>12698</v>
      </c>
      <c r="L3434" s="85" t="s">
        <v>12417</v>
      </c>
      <c r="M3434" s="85" t="s">
        <v>12726</v>
      </c>
    </row>
    <row r="3435" ht="327.75" spans="1:13">
      <c r="A3435" s="85" t="s">
        <v>12718</v>
      </c>
      <c r="B3435" s="85" t="s">
        <v>12727</v>
      </c>
      <c r="C3435" s="85" t="s">
        <v>12728</v>
      </c>
      <c r="D3435" s="85" t="s">
        <v>4880</v>
      </c>
      <c r="E3435" s="85" t="s">
        <v>12729</v>
      </c>
      <c r="F3435" s="86">
        <v>50</v>
      </c>
      <c r="G3435" s="86">
        <v>30</v>
      </c>
      <c r="H3435" s="86">
        <v>1500</v>
      </c>
      <c r="I3435" s="86">
        <v>3880</v>
      </c>
      <c r="J3435" s="85" t="s">
        <v>2935</v>
      </c>
      <c r="K3435" s="85" t="s">
        <v>12698</v>
      </c>
      <c r="L3435" s="85" t="s">
        <v>12417</v>
      </c>
      <c r="M3435" s="85" t="s">
        <v>12730</v>
      </c>
    </row>
    <row r="3436" ht="327.75" spans="1:13">
      <c r="A3436" s="85" t="s">
        <v>12718</v>
      </c>
      <c r="B3436" s="85" t="s">
        <v>11036</v>
      </c>
      <c r="C3436" s="85" t="s">
        <v>11037</v>
      </c>
      <c r="D3436" s="85" t="s">
        <v>9350</v>
      </c>
      <c r="E3436" s="85" t="s">
        <v>9351</v>
      </c>
      <c r="F3436" s="86">
        <v>65</v>
      </c>
      <c r="G3436" s="86">
        <v>10</v>
      </c>
      <c r="H3436" s="86">
        <v>650</v>
      </c>
      <c r="I3436" s="86">
        <v>3880</v>
      </c>
      <c r="J3436" s="85" t="s">
        <v>2935</v>
      </c>
      <c r="K3436" s="85" t="s">
        <v>12698</v>
      </c>
      <c r="L3436" s="85" t="s">
        <v>12417</v>
      </c>
      <c r="M3436" s="85" t="s">
        <v>12731</v>
      </c>
    </row>
    <row r="3437" ht="327.75" spans="1:13">
      <c r="A3437" s="85" t="s">
        <v>12700</v>
      </c>
      <c r="B3437" s="85" t="s">
        <v>11414</v>
      </c>
      <c r="C3437" s="85" t="s">
        <v>11415</v>
      </c>
      <c r="D3437" s="85" t="s">
        <v>9140</v>
      </c>
      <c r="E3437" s="85" t="s">
        <v>3209</v>
      </c>
      <c r="F3437" s="86">
        <v>10</v>
      </c>
      <c r="G3437" s="86">
        <v>416</v>
      </c>
      <c r="H3437" s="86">
        <v>4160</v>
      </c>
      <c r="I3437" s="86">
        <v>26181</v>
      </c>
      <c r="J3437" s="85" t="s">
        <v>2935</v>
      </c>
      <c r="K3437" s="85" t="s">
        <v>12698</v>
      </c>
      <c r="L3437" s="85" t="s">
        <v>12417</v>
      </c>
      <c r="M3437" s="85" t="s">
        <v>12732</v>
      </c>
    </row>
    <row r="3438" ht="327.75" spans="1:13">
      <c r="A3438" s="85" t="s">
        <v>12718</v>
      </c>
      <c r="B3438" s="85" t="s">
        <v>12733</v>
      </c>
      <c r="C3438" s="85" t="s">
        <v>12734</v>
      </c>
      <c r="D3438" s="85" t="s">
        <v>6481</v>
      </c>
      <c r="E3438" s="85" t="s">
        <v>1928</v>
      </c>
      <c r="F3438" s="86">
        <v>65</v>
      </c>
      <c r="G3438" s="86">
        <v>10</v>
      </c>
      <c r="H3438" s="86">
        <v>650</v>
      </c>
      <c r="I3438" s="86">
        <v>3880</v>
      </c>
      <c r="J3438" s="85" t="s">
        <v>2935</v>
      </c>
      <c r="K3438" s="85" t="s">
        <v>12698</v>
      </c>
      <c r="L3438" s="85" t="s">
        <v>12417</v>
      </c>
      <c r="M3438" s="85" t="s">
        <v>12735</v>
      </c>
    </row>
    <row r="3439" ht="327.75" spans="1:13">
      <c r="A3439" s="85" t="s">
        <v>12700</v>
      </c>
      <c r="B3439" s="85" t="s">
        <v>9515</v>
      </c>
      <c r="C3439" s="85" t="s">
        <v>9516</v>
      </c>
      <c r="D3439" s="85" t="s">
        <v>3617</v>
      </c>
      <c r="E3439" s="85" t="s">
        <v>6448</v>
      </c>
      <c r="F3439" s="86">
        <v>37</v>
      </c>
      <c r="G3439" s="86">
        <v>10</v>
      </c>
      <c r="H3439" s="86">
        <v>370</v>
      </c>
      <c r="I3439" s="86">
        <v>26181</v>
      </c>
      <c r="J3439" s="85" t="s">
        <v>2935</v>
      </c>
      <c r="K3439" s="85" t="s">
        <v>12698</v>
      </c>
      <c r="L3439" s="85" t="s">
        <v>12417</v>
      </c>
      <c r="M3439" s="85" t="s">
        <v>12736</v>
      </c>
    </row>
    <row r="3440" ht="327.75" spans="1:13">
      <c r="A3440" s="85" t="s">
        <v>12700</v>
      </c>
      <c r="B3440" s="85" t="s">
        <v>9423</v>
      </c>
      <c r="C3440" s="85" t="s">
        <v>9424</v>
      </c>
      <c r="D3440" s="85" t="s">
        <v>3014</v>
      </c>
      <c r="E3440" s="85" t="s">
        <v>9425</v>
      </c>
      <c r="F3440" s="86">
        <v>71</v>
      </c>
      <c r="G3440" s="86">
        <v>4</v>
      </c>
      <c r="H3440" s="86">
        <v>284</v>
      </c>
      <c r="I3440" s="86">
        <v>26181</v>
      </c>
      <c r="J3440" s="85" t="s">
        <v>2935</v>
      </c>
      <c r="K3440" s="85" t="s">
        <v>12698</v>
      </c>
      <c r="L3440" s="85" t="s">
        <v>12417</v>
      </c>
      <c r="M3440" s="85" t="s">
        <v>12737</v>
      </c>
    </row>
    <row r="3441" ht="327.75" spans="1:13">
      <c r="A3441" s="85" t="s">
        <v>12700</v>
      </c>
      <c r="B3441" s="85" t="s">
        <v>9748</v>
      </c>
      <c r="C3441" s="85" t="s">
        <v>9749</v>
      </c>
      <c r="D3441" s="85" t="s">
        <v>3046</v>
      </c>
      <c r="E3441" s="85" t="s">
        <v>6506</v>
      </c>
      <c r="F3441" s="86">
        <v>377</v>
      </c>
      <c r="G3441" s="86">
        <v>2</v>
      </c>
      <c r="H3441" s="86">
        <v>754</v>
      </c>
      <c r="I3441" s="86">
        <v>26181</v>
      </c>
      <c r="J3441" s="85" t="s">
        <v>2935</v>
      </c>
      <c r="K3441" s="85" t="s">
        <v>12698</v>
      </c>
      <c r="L3441" s="85" t="s">
        <v>12417</v>
      </c>
      <c r="M3441" s="85" t="s">
        <v>12738</v>
      </c>
    </row>
    <row r="3442" ht="327.75" spans="1:13">
      <c r="A3442" s="85" t="s">
        <v>12708</v>
      </c>
      <c r="B3442" s="85" t="s">
        <v>12546</v>
      </c>
      <c r="C3442" s="85" t="s">
        <v>12547</v>
      </c>
      <c r="D3442" s="85" t="s">
        <v>5909</v>
      </c>
      <c r="E3442" s="85" t="s">
        <v>5910</v>
      </c>
      <c r="F3442" s="86">
        <v>88</v>
      </c>
      <c r="G3442" s="86">
        <v>50</v>
      </c>
      <c r="H3442" s="86">
        <v>4400</v>
      </c>
      <c r="I3442" s="86">
        <v>5600</v>
      </c>
      <c r="J3442" s="85" t="s">
        <v>2935</v>
      </c>
      <c r="K3442" s="85" t="s">
        <v>12698</v>
      </c>
      <c r="L3442" s="85" t="s">
        <v>12417</v>
      </c>
      <c r="M3442" s="85" t="s">
        <v>12739</v>
      </c>
    </row>
    <row r="3443" ht="327.75" spans="1:13">
      <c r="A3443" s="85" t="s">
        <v>12714</v>
      </c>
      <c r="B3443" s="85" t="s">
        <v>12740</v>
      </c>
      <c r="C3443" s="85" t="s">
        <v>12741</v>
      </c>
      <c r="D3443" s="85" t="s">
        <v>3241</v>
      </c>
      <c r="E3443" s="85" t="s">
        <v>12742</v>
      </c>
      <c r="F3443" s="86">
        <v>18</v>
      </c>
      <c r="G3443" s="86">
        <v>20</v>
      </c>
      <c r="H3443" s="86">
        <v>360</v>
      </c>
      <c r="I3443" s="86">
        <v>1050</v>
      </c>
      <c r="J3443" s="85" t="s">
        <v>2935</v>
      </c>
      <c r="K3443" s="85" t="s">
        <v>12698</v>
      </c>
      <c r="L3443" s="85" t="s">
        <v>12417</v>
      </c>
      <c r="M3443" s="85" t="s">
        <v>12743</v>
      </c>
    </row>
    <row r="3444" ht="327.75" spans="1:13">
      <c r="A3444" s="85" t="s">
        <v>12700</v>
      </c>
      <c r="B3444" s="85" t="s">
        <v>12744</v>
      </c>
      <c r="C3444" s="85" t="s">
        <v>12745</v>
      </c>
      <c r="D3444" s="85" t="s">
        <v>12746</v>
      </c>
      <c r="E3444" s="85" t="s">
        <v>12747</v>
      </c>
      <c r="F3444" s="86">
        <v>45</v>
      </c>
      <c r="G3444" s="86">
        <v>8</v>
      </c>
      <c r="H3444" s="86">
        <v>360</v>
      </c>
      <c r="I3444" s="86">
        <v>26181</v>
      </c>
      <c r="J3444" s="85" t="s">
        <v>2935</v>
      </c>
      <c r="K3444" s="85" t="s">
        <v>12698</v>
      </c>
      <c r="L3444" s="85" t="s">
        <v>12417</v>
      </c>
      <c r="M3444" s="85" t="s">
        <v>12748</v>
      </c>
    </row>
    <row r="3445" ht="327.75" spans="1:13">
      <c r="A3445" s="85" t="s">
        <v>12714</v>
      </c>
      <c r="B3445" s="85" t="s">
        <v>10214</v>
      </c>
      <c r="C3445" s="85" t="s">
        <v>10215</v>
      </c>
      <c r="D3445" s="85" t="s">
        <v>3241</v>
      </c>
      <c r="E3445" s="85" t="s">
        <v>3689</v>
      </c>
      <c r="F3445" s="86">
        <v>48</v>
      </c>
      <c r="G3445" s="86">
        <v>10</v>
      </c>
      <c r="H3445" s="86">
        <v>480</v>
      </c>
      <c r="I3445" s="86">
        <v>1050</v>
      </c>
      <c r="J3445" s="85" t="s">
        <v>2935</v>
      </c>
      <c r="K3445" s="85" t="s">
        <v>12698</v>
      </c>
      <c r="L3445" s="85" t="s">
        <v>12417</v>
      </c>
      <c r="M3445" s="85" t="s">
        <v>12749</v>
      </c>
    </row>
    <row r="3446" ht="327.75" spans="1:13">
      <c r="A3446" s="85" t="s">
        <v>12710</v>
      </c>
      <c r="B3446" s="85" t="s">
        <v>12588</v>
      </c>
      <c r="C3446" s="85" t="s">
        <v>12589</v>
      </c>
      <c r="D3446" s="85" t="s">
        <v>4425</v>
      </c>
      <c r="E3446" s="85" t="s">
        <v>4426</v>
      </c>
      <c r="F3446" s="86">
        <v>5.9</v>
      </c>
      <c r="G3446" s="86">
        <v>40</v>
      </c>
      <c r="H3446" s="86">
        <v>236</v>
      </c>
      <c r="I3446" s="86">
        <v>943.5</v>
      </c>
      <c r="J3446" s="85" t="s">
        <v>4391</v>
      </c>
      <c r="K3446" s="85" t="s">
        <v>12698</v>
      </c>
      <c r="L3446" s="85" t="s">
        <v>12417</v>
      </c>
      <c r="M3446" s="85" t="s">
        <v>12750</v>
      </c>
    </row>
    <row r="3447" ht="327.75" spans="1:13">
      <c r="A3447" s="85" t="s">
        <v>12700</v>
      </c>
      <c r="B3447" s="85" t="s">
        <v>12751</v>
      </c>
      <c r="C3447" s="85" t="s">
        <v>12752</v>
      </c>
      <c r="D3447" s="85" t="s">
        <v>12625</v>
      </c>
      <c r="E3447" s="85" t="s">
        <v>6154</v>
      </c>
      <c r="F3447" s="86">
        <v>57</v>
      </c>
      <c r="G3447" s="86">
        <v>1</v>
      </c>
      <c r="H3447" s="86">
        <v>57</v>
      </c>
      <c r="I3447" s="86">
        <v>26181</v>
      </c>
      <c r="J3447" s="85" t="s">
        <v>2935</v>
      </c>
      <c r="K3447" s="85" t="s">
        <v>12698</v>
      </c>
      <c r="L3447" s="85" t="s">
        <v>12417</v>
      </c>
      <c r="M3447" s="85" t="s">
        <v>12753</v>
      </c>
    </row>
    <row r="3448" ht="327.75" spans="1:13">
      <c r="A3448" s="85" t="s">
        <v>12700</v>
      </c>
      <c r="B3448" s="85" t="s">
        <v>12754</v>
      </c>
      <c r="C3448" s="85" t="s">
        <v>12755</v>
      </c>
      <c r="D3448" s="85" t="s">
        <v>12756</v>
      </c>
      <c r="E3448" s="85" t="s">
        <v>12757</v>
      </c>
      <c r="F3448" s="86">
        <v>70</v>
      </c>
      <c r="G3448" s="86">
        <v>28</v>
      </c>
      <c r="H3448" s="86">
        <v>1960</v>
      </c>
      <c r="I3448" s="86">
        <v>26181</v>
      </c>
      <c r="J3448" s="85" t="s">
        <v>2935</v>
      </c>
      <c r="K3448" s="85" t="s">
        <v>12698</v>
      </c>
      <c r="L3448" s="85" t="s">
        <v>12417</v>
      </c>
      <c r="M3448" s="85" t="s">
        <v>12758</v>
      </c>
    </row>
    <row r="3449" ht="327.75" spans="1:13">
      <c r="A3449" s="85" t="s">
        <v>12710</v>
      </c>
      <c r="B3449" s="85" t="s">
        <v>11828</v>
      </c>
      <c r="C3449" s="85" t="s">
        <v>11829</v>
      </c>
      <c r="D3449" s="85" t="s">
        <v>8934</v>
      </c>
      <c r="E3449" s="85" t="s">
        <v>8935</v>
      </c>
      <c r="F3449" s="86">
        <v>42</v>
      </c>
      <c r="G3449" s="86">
        <v>2</v>
      </c>
      <c r="H3449" s="86">
        <v>84</v>
      </c>
      <c r="I3449" s="86">
        <v>943.5</v>
      </c>
      <c r="J3449" s="85" t="s">
        <v>4391</v>
      </c>
      <c r="K3449" s="85" t="s">
        <v>12698</v>
      </c>
      <c r="L3449" s="85" t="s">
        <v>12417</v>
      </c>
      <c r="M3449" s="85" t="s">
        <v>12759</v>
      </c>
    </row>
    <row r="3450" ht="327.75" spans="1:13">
      <c r="A3450" s="85" t="s">
        <v>12695</v>
      </c>
      <c r="B3450" s="85" t="s">
        <v>12269</v>
      </c>
      <c r="C3450" s="85" t="s">
        <v>12270</v>
      </c>
      <c r="D3450" s="85" t="s">
        <v>3068</v>
      </c>
      <c r="E3450" s="85" t="s">
        <v>12271</v>
      </c>
      <c r="F3450" s="86">
        <v>66.5</v>
      </c>
      <c r="G3450" s="86">
        <v>2</v>
      </c>
      <c r="H3450" s="86">
        <v>133</v>
      </c>
      <c r="I3450" s="86">
        <v>955</v>
      </c>
      <c r="J3450" s="85" t="s">
        <v>4391</v>
      </c>
      <c r="K3450" s="85" t="s">
        <v>12698</v>
      </c>
      <c r="L3450" s="85" t="s">
        <v>12417</v>
      </c>
      <c r="M3450" s="85" t="s">
        <v>12760</v>
      </c>
    </row>
    <row r="3451" ht="327.75" spans="1:13">
      <c r="A3451" s="85" t="s">
        <v>12700</v>
      </c>
      <c r="B3451" s="85" t="s">
        <v>11478</v>
      </c>
      <c r="C3451" s="85" t="s">
        <v>11479</v>
      </c>
      <c r="D3451" s="85" t="s">
        <v>6122</v>
      </c>
      <c r="E3451" s="85" t="s">
        <v>8559</v>
      </c>
      <c r="F3451" s="86">
        <v>1</v>
      </c>
      <c r="G3451" s="86">
        <v>50</v>
      </c>
      <c r="H3451" s="86">
        <v>50</v>
      </c>
      <c r="I3451" s="86">
        <v>26181</v>
      </c>
      <c r="J3451" s="85" t="s">
        <v>2935</v>
      </c>
      <c r="K3451" s="85" t="s">
        <v>12698</v>
      </c>
      <c r="L3451" s="85" t="s">
        <v>12417</v>
      </c>
      <c r="M3451" s="85" t="s">
        <v>12761</v>
      </c>
    </row>
    <row r="3452" ht="327.75" spans="1:13">
      <c r="A3452" s="85" t="s">
        <v>12700</v>
      </c>
      <c r="B3452" s="85" t="s">
        <v>12623</v>
      </c>
      <c r="C3452" s="85" t="s">
        <v>12624</v>
      </c>
      <c r="D3452" s="85" t="s">
        <v>12625</v>
      </c>
      <c r="E3452" s="85" t="s">
        <v>12626</v>
      </c>
      <c r="F3452" s="86">
        <v>26</v>
      </c>
      <c r="G3452" s="86">
        <v>100</v>
      </c>
      <c r="H3452" s="86">
        <v>2600</v>
      </c>
      <c r="I3452" s="86">
        <v>26181</v>
      </c>
      <c r="J3452" s="85" t="s">
        <v>2935</v>
      </c>
      <c r="K3452" s="85" t="s">
        <v>12698</v>
      </c>
      <c r="L3452" s="85" t="s">
        <v>12417</v>
      </c>
      <c r="M3452" s="85" t="s">
        <v>12762</v>
      </c>
    </row>
    <row r="3453" ht="327.75" spans="1:13">
      <c r="A3453" s="85" t="s">
        <v>12700</v>
      </c>
      <c r="B3453" s="85" t="s">
        <v>12207</v>
      </c>
      <c r="C3453" s="85" t="s">
        <v>12208</v>
      </c>
      <c r="D3453" s="85" t="s">
        <v>3617</v>
      </c>
      <c r="E3453" s="85" t="s">
        <v>6448</v>
      </c>
      <c r="F3453" s="86">
        <v>33</v>
      </c>
      <c r="G3453" s="86">
        <v>10</v>
      </c>
      <c r="H3453" s="86">
        <v>330</v>
      </c>
      <c r="I3453" s="86">
        <v>26181</v>
      </c>
      <c r="J3453" s="85" t="s">
        <v>2935</v>
      </c>
      <c r="K3453" s="85" t="s">
        <v>12698</v>
      </c>
      <c r="L3453" s="85" t="s">
        <v>12417</v>
      </c>
      <c r="M3453" s="85" t="s">
        <v>12763</v>
      </c>
    </row>
    <row r="3454" ht="327.75" spans="1:13">
      <c r="A3454" s="85" t="s">
        <v>12700</v>
      </c>
      <c r="B3454" s="85" t="s">
        <v>12764</v>
      </c>
      <c r="C3454" s="85" t="s">
        <v>12765</v>
      </c>
      <c r="D3454" s="85" t="s">
        <v>12625</v>
      </c>
      <c r="E3454" s="85" t="s">
        <v>6154</v>
      </c>
      <c r="F3454" s="86">
        <v>57</v>
      </c>
      <c r="G3454" s="86">
        <v>1</v>
      </c>
      <c r="H3454" s="86">
        <v>57</v>
      </c>
      <c r="I3454" s="86">
        <v>26181</v>
      </c>
      <c r="J3454" s="85" t="s">
        <v>2935</v>
      </c>
      <c r="K3454" s="85" t="s">
        <v>12698</v>
      </c>
      <c r="L3454" s="85" t="s">
        <v>12417</v>
      </c>
      <c r="M3454" s="85" t="s">
        <v>12766</v>
      </c>
    </row>
    <row r="3455" ht="327.75" spans="1:13">
      <c r="A3455" s="85" t="s">
        <v>12767</v>
      </c>
      <c r="B3455" s="85" t="s">
        <v>12768</v>
      </c>
      <c r="C3455" s="85" t="s">
        <v>12769</v>
      </c>
      <c r="D3455" s="85" t="s">
        <v>12770</v>
      </c>
      <c r="E3455" s="85" t="s">
        <v>12771</v>
      </c>
      <c r="F3455" s="86">
        <v>2100</v>
      </c>
      <c r="G3455" s="86">
        <v>1</v>
      </c>
      <c r="H3455" s="86">
        <v>2100</v>
      </c>
      <c r="I3455" s="86">
        <v>2668</v>
      </c>
      <c r="J3455" s="85" t="s">
        <v>2935</v>
      </c>
      <c r="K3455" s="85" t="s">
        <v>12698</v>
      </c>
      <c r="L3455" s="85" t="s">
        <v>12417</v>
      </c>
      <c r="M3455" s="85" t="s">
        <v>12772</v>
      </c>
    </row>
    <row r="3456" ht="327.75" spans="1:13">
      <c r="A3456" s="85" t="s">
        <v>12700</v>
      </c>
      <c r="B3456" s="85" t="s">
        <v>12257</v>
      </c>
      <c r="C3456" s="85" t="s">
        <v>12258</v>
      </c>
      <c r="D3456" s="85" t="s">
        <v>3241</v>
      </c>
      <c r="E3456" s="85" t="s">
        <v>5195</v>
      </c>
      <c r="F3456" s="86">
        <v>46</v>
      </c>
      <c r="G3456" s="86">
        <v>1</v>
      </c>
      <c r="H3456" s="86">
        <v>46</v>
      </c>
      <c r="I3456" s="86">
        <v>26181</v>
      </c>
      <c r="J3456" s="85" t="s">
        <v>2935</v>
      </c>
      <c r="K3456" s="85" t="s">
        <v>12698</v>
      </c>
      <c r="L3456" s="85" t="s">
        <v>12417</v>
      </c>
      <c r="M3456" s="85" t="s">
        <v>12773</v>
      </c>
    </row>
    <row r="3457" ht="327.75" spans="1:13">
      <c r="A3457" s="85" t="s">
        <v>12700</v>
      </c>
      <c r="B3457" s="85" t="s">
        <v>12481</v>
      </c>
      <c r="C3457" s="85" t="s">
        <v>12482</v>
      </c>
      <c r="D3457" s="85" t="s">
        <v>7326</v>
      </c>
      <c r="E3457" s="85" t="s">
        <v>7394</v>
      </c>
      <c r="F3457" s="86">
        <v>517</v>
      </c>
      <c r="G3457" s="86">
        <v>1</v>
      </c>
      <c r="H3457" s="86">
        <v>517</v>
      </c>
      <c r="I3457" s="86">
        <v>26181</v>
      </c>
      <c r="J3457" s="85" t="s">
        <v>2935</v>
      </c>
      <c r="K3457" s="85" t="s">
        <v>12698</v>
      </c>
      <c r="L3457" s="85" t="s">
        <v>12417</v>
      </c>
      <c r="M3457" s="85" t="s">
        <v>12774</v>
      </c>
    </row>
    <row r="3458" ht="327.75" spans="1:13">
      <c r="A3458" s="85" t="s">
        <v>12695</v>
      </c>
      <c r="B3458" s="85" t="s">
        <v>10501</v>
      </c>
      <c r="C3458" s="85" t="s">
        <v>12390</v>
      </c>
      <c r="D3458" s="85" t="s">
        <v>3153</v>
      </c>
      <c r="E3458" s="85" t="s">
        <v>10503</v>
      </c>
      <c r="F3458" s="86">
        <v>123.6</v>
      </c>
      <c r="G3458" s="86">
        <v>1</v>
      </c>
      <c r="H3458" s="86">
        <v>123.6</v>
      </c>
      <c r="I3458" s="86">
        <v>955</v>
      </c>
      <c r="J3458" s="85" t="s">
        <v>4391</v>
      </c>
      <c r="K3458" s="85" t="s">
        <v>12698</v>
      </c>
      <c r="L3458" s="85" t="s">
        <v>12417</v>
      </c>
      <c r="M3458" s="85" t="s">
        <v>12775</v>
      </c>
    </row>
    <row r="3459" ht="327.75" spans="1:13">
      <c r="A3459" s="85" t="s">
        <v>12767</v>
      </c>
      <c r="B3459" s="85" t="s">
        <v>12776</v>
      </c>
      <c r="C3459" s="85" t="s">
        <v>12777</v>
      </c>
      <c r="D3459" s="85" t="s">
        <v>5040</v>
      </c>
      <c r="E3459" s="85" t="s">
        <v>12778</v>
      </c>
      <c r="F3459" s="86">
        <v>71</v>
      </c>
      <c r="G3459" s="86">
        <v>8</v>
      </c>
      <c r="H3459" s="86">
        <v>568</v>
      </c>
      <c r="I3459" s="86">
        <v>2668</v>
      </c>
      <c r="J3459" s="85" t="s">
        <v>2935</v>
      </c>
      <c r="K3459" s="85" t="s">
        <v>12698</v>
      </c>
      <c r="L3459" s="85" t="s">
        <v>12417</v>
      </c>
      <c r="M3459" s="85" t="s">
        <v>12779</v>
      </c>
    </row>
    <row r="3460" ht="327.75" spans="1:13">
      <c r="A3460" s="85" t="s">
        <v>12700</v>
      </c>
      <c r="B3460" s="85" t="s">
        <v>12780</v>
      </c>
      <c r="C3460" s="85" t="s">
        <v>12781</v>
      </c>
      <c r="D3460" s="85" t="s">
        <v>8460</v>
      </c>
      <c r="E3460" s="85" t="s">
        <v>10770</v>
      </c>
      <c r="F3460" s="86">
        <v>5</v>
      </c>
      <c r="G3460" s="86">
        <v>100</v>
      </c>
      <c r="H3460" s="86">
        <v>500</v>
      </c>
      <c r="I3460" s="86">
        <v>26181</v>
      </c>
      <c r="J3460" s="85" t="s">
        <v>2935</v>
      </c>
      <c r="K3460" s="85" t="s">
        <v>12698</v>
      </c>
      <c r="L3460" s="85" t="s">
        <v>12417</v>
      </c>
      <c r="M3460" s="85" t="s">
        <v>12782</v>
      </c>
    </row>
    <row r="3461" ht="327.75" spans="1:13">
      <c r="A3461" s="85" t="s">
        <v>12700</v>
      </c>
      <c r="B3461" s="85" t="s">
        <v>9680</v>
      </c>
      <c r="C3461" s="85" t="s">
        <v>9681</v>
      </c>
      <c r="D3461" s="85" t="s">
        <v>3014</v>
      </c>
      <c r="E3461" s="85" t="s">
        <v>9682</v>
      </c>
      <c r="F3461" s="86">
        <v>62</v>
      </c>
      <c r="G3461" s="86">
        <v>3</v>
      </c>
      <c r="H3461" s="86">
        <v>186</v>
      </c>
      <c r="I3461" s="86">
        <v>26181</v>
      </c>
      <c r="J3461" s="85" t="s">
        <v>2935</v>
      </c>
      <c r="K3461" s="85" t="s">
        <v>12698</v>
      </c>
      <c r="L3461" s="85" t="s">
        <v>12417</v>
      </c>
      <c r="M3461" s="85" t="s">
        <v>12783</v>
      </c>
    </row>
    <row r="3462" ht="327.75" spans="1:13">
      <c r="A3462" s="85" t="s">
        <v>12700</v>
      </c>
      <c r="B3462" s="85" t="s">
        <v>8518</v>
      </c>
      <c r="C3462" s="85" t="s">
        <v>8519</v>
      </c>
      <c r="D3462" s="85" t="s">
        <v>3617</v>
      </c>
      <c r="E3462" s="85" t="s">
        <v>6448</v>
      </c>
      <c r="F3462" s="86">
        <v>48</v>
      </c>
      <c r="G3462" s="86">
        <v>10</v>
      </c>
      <c r="H3462" s="86">
        <v>480</v>
      </c>
      <c r="I3462" s="86">
        <v>26181</v>
      </c>
      <c r="J3462" s="85" t="s">
        <v>2935</v>
      </c>
      <c r="K3462" s="85" t="s">
        <v>12698</v>
      </c>
      <c r="L3462" s="85" t="s">
        <v>12417</v>
      </c>
      <c r="M3462" s="85" t="s">
        <v>12784</v>
      </c>
    </row>
    <row r="3463" ht="327.75" spans="1:13">
      <c r="A3463" s="85" t="s">
        <v>12700</v>
      </c>
      <c r="B3463" s="85" t="s">
        <v>12785</v>
      </c>
      <c r="C3463" s="85" t="s">
        <v>12786</v>
      </c>
      <c r="D3463" s="85" t="s">
        <v>12625</v>
      </c>
      <c r="E3463" s="85" t="s">
        <v>6154</v>
      </c>
      <c r="F3463" s="86">
        <v>32</v>
      </c>
      <c r="G3463" s="86">
        <v>2</v>
      </c>
      <c r="H3463" s="86">
        <v>64</v>
      </c>
      <c r="I3463" s="86">
        <v>26181</v>
      </c>
      <c r="J3463" s="85" t="s">
        <v>2935</v>
      </c>
      <c r="K3463" s="85" t="s">
        <v>12698</v>
      </c>
      <c r="L3463" s="85" t="s">
        <v>12417</v>
      </c>
      <c r="M3463" s="85" t="s">
        <v>12787</v>
      </c>
    </row>
    <row r="3464" ht="327.75" spans="1:13">
      <c r="A3464" s="85" t="s">
        <v>12700</v>
      </c>
      <c r="B3464" s="85" t="s">
        <v>12788</v>
      </c>
      <c r="C3464" s="85" t="s">
        <v>12789</v>
      </c>
      <c r="D3464" s="85" t="s">
        <v>3669</v>
      </c>
      <c r="E3464" s="85" t="s">
        <v>12790</v>
      </c>
      <c r="F3464" s="86">
        <v>8</v>
      </c>
      <c r="G3464" s="86">
        <v>180</v>
      </c>
      <c r="H3464" s="86">
        <v>1440</v>
      </c>
      <c r="I3464" s="86">
        <v>26181</v>
      </c>
      <c r="J3464" s="85" t="s">
        <v>2935</v>
      </c>
      <c r="K3464" s="85" t="s">
        <v>12698</v>
      </c>
      <c r="L3464" s="85" t="s">
        <v>12417</v>
      </c>
      <c r="M3464" s="85" t="s">
        <v>12791</v>
      </c>
    </row>
    <row r="3465" ht="327.75" spans="1:13">
      <c r="A3465" s="85" t="s">
        <v>12792</v>
      </c>
      <c r="B3465" s="85" t="s">
        <v>12793</v>
      </c>
      <c r="C3465" s="85" t="s">
        <v>12794</v>
      </c>
      <c r="D3465" s="85" t="s">
        <v>6368</v>
      </c>
      <c r="E3465" s="85" t="s">
        <v>6383</v>
      </c>
      <c r="F3465" s="86">
        <v>1938</v>
      </c>
      <c r="G3465" s="86">
        <v>1</v>
      </c>
      <c r="H3465" s="86">
        <v>1938</v>
      </c>
      <c r="I3465" s="86">
        <v>1938</v>
      </c>
      <c r="J3465" s="85" t="s">
        <v>4391</v>
      </c>
      <c r="K3465" s="85" t="s">
        <v>12698</v>
      </c>
      <c r="L3465" s="85" t="s">
        <v>12417</v>
      </c>
      <c r="M3465" s="85" t="s">
        <v>12795</v>
      </c>
    </row>
    <row r="3466" ht="327.75" spans="1:13">
      <c r="A3466" s="85" t="s">
        <v>12700</v>
      </c>
      <c r="B3466" s="85" t="s">
        <v>12796</v>
      </c>
      <c r="C3466" s="85" t="s">
        <v>12797</v>
      </c>
      <c r="D3466" s="85" t="s">
        <v>5302</v>
      </c>
      <c r="E3466" s="85" t="s">
        <v>12798</v>
      </c>
      <c r="F3466" s="86">
        <v>15</v>
      </c>
      <c r="G3466" s="86">
        <v>10</v>
      </c>
      <c r="H3466" s="86">
        <v>150</v>
      </c>
      <c r="I3466" s="86">
        <v>26181</v>
      </c>
      <c r="J3466" s="85" t="s">
        <v>2935</v>
      </c>
      <c r="K3466" s="85" t="s">
        <v>12698</v>
      </c>
      <c r="L3466" s="85" t="s">
        <v>12417</v>
      </c>
      <c r="M3466" s="85" t="s">
        <v>12799</v>
      </c>
    </row>
    <row r="3467" ht="327.75" spans="1:13">
      <c r="A3467" s="85" t="s">
        <v>12700</v>
      </c>
      <c r="B3467" s="85" t="s">
        <v>9170</v>
      </c>
      <c r="C3467" s="85" t="s">
        <v>9171</v>
      </c>
      <c r="D3467" s="85" t="s">
        <v>3153</v>
      </c>
      <c r="E3467" s="85" t="s">
        <v>7689</v>
      </c>
      <c r="F3467" s="86">
        <v>72</v>
      </c>
      <c r="G3467" s="86">
        <v>4</v>
      </c>
      <c r="H3467" s="86">
        <v>288</v>
      </c>
      <c r="I3467" s="86">
        <v>26181</v>
      </c>
      <c r="J3467" s="85" t="s">
        <v>2935</v>
      </c>
      <c r="K3467" s="85" t="s">
        <v>12698</v>
      </c>
      <c r="L3467" s="85" t="s">
        <v>12417</v>
      </c>
      <c r="M3467" s="85" t="s">
        <v>12800</v>
      </c>
    </row>
    <row r="3468" ht="228" spans="1:13">
      <c r="A3468" s="85" t="s">
        <v>12801</v>
      </c>
      <c r="B3468" s="85" t="s">
        <v>12802</v>
      </c>
      <c r="C3468" s="85" t="s">
        <v>12803</v>
      </c>
      <c r="D3468" s="85" t="s">
        <v>3255</v>
      </c>
      <c r="E3468" s="85" t="s">
        <v>12803</v>
      </c>
      <c r="F3468" s="86">
        <v>21.76</v>
      </c>
      <c r="G3468" s="86">
        <v>1</v>
      </c>
      <c r="H3468" s="86">
        <v>21.76</v>
      </c>
      <c r="I3468" s="86">
        <v>1184.53</v>
      </c>
      <c r="J3468" s="85" t="s">
        <v>2965</v>
      </c>
      <c r="K3468" s="85" t="s">
        <v>12804</v>
      </c>
      <c r="L3468" s="85" t="s">
        <v>10873</v>
      </c>
      <c r="M3468" s="85" t="s">
        <v>12805</v>
      </c>
    </row>
    <row r="3469" ht="228" spans="1:13">
      <c r="A3469" s="85" t="s">
        <v>12801</v>
      </c>
      <c r="B3469" s="85" t="s">
        <v>12806</v>
      </c>
      <c r="C3469" s="85" t="s">
        <v>12807</v>
      </c>
      <c r="D3469" s="85" t="s">
        <v>3406</v>
      </c>
      <c r="E3469" s="85" t="s">
        <v>12807</v>
      </c>
      <c r="F3469" s="86">
        <v>40.85</v>
      </c>
      <c r="G3469" s="86">
        <v>1</v>
      </c>
      <c r="H3469" s="86">
        <v>40.85</v>
      </c>
      <c r="I3469" s="86">
        <v>1184.53</v>
      </c>
      <c r="J3469" s="85" t="s">
        <v>2965</v>
      </c>
      <c r="K3469" s="85" t="s">
        <v>12804</v>
      </c>
      <c r="L3469" s="85" t="s">
        <v>10873</v>
      </c>
      <c r="M3469" s="85" t="s">
        <v>12808</v>
      </c>
    </row>
    <row r="3470" ht="228" spans="1:13">
      <c r="A3470" s="85" t="s">
        <v>12801</v>
      </c>
      <c r="B3470" s="85" t="s">
        <v>12809</v>
      </c>
      <c r="C3470" s="85" t="s">
        <v>12810</v>
      </c>
      <c r="D3470" s="85" t="s">
        <v>3414</v>
      </c>
      <c r="E3470" s="85" t="s">
        <v>12810</v>
      </c>
      <c r="F3470" s="86">
        <v>3.56</v>
      </c>
      <c r="G3470" s="86">
        <v>24</v>
      </c>
      <c r="H3470" s="86">
        <v>85.44</v>
      </c>
      <c r="I3470" s="86">
        <v>1184.53</v>
      </c>
      <c r="J3470" s="85" t="s">
        <v>2965</v>
      </c>
      <c r="K3470" s="85" t="s">
        <v>12804</v>
      </c>
      <c r="L3470" s="85" t="s">
        <v>10873</v>
      </c>
      <c r="M3470" s="85" t="s">
        <v>12811</v>
      </c>
    </row>
    <row r="3471" ht="228" spans="1:13">
      <c r="A3471" s="85" t="s">
        <v>12812</v>
      </c>
      <c r="B3471" s="85" t="s">
        <v>12813</v>
      </c>
      <c r="C3471" s="85" t="s">
        <v>12814</v>
      </c>
      <c r="D3471" s="85" t="s">
        <v>3963</v>
      </c>
      <c r="E3471" s="85" t="s">
        <v>12815</v>
      </c>
      <c r="F3471" s="86">
        <v>5</v>
      </c>
      <c r="G3471" s="86">
        <v>5</v>
      </c>
      <c r="H3471" s="86">
        <v>25</v>
      </c>
      <c r="I3471" s="86">
        <v>75</v>
      </c>
      <c r="J3471" s="85" t="s">
        <v>4391</v>
      </c>
      <c r="K3471" s="85" t="s">
        <v>12804</v>
      </c>
      <c r="L3471" s="85" t="s">
        <v>10873</v>
      </c>
      <c r="M3471" s="85" t="s">
        <v>12816</v>
      </c>
    </row>
    <row r="3472" ht="228" spans="1:13">
      <c r="A3472" s="85" t="s">
        <v>12812</v>
      </c>
      <c r="B3472" s="85" t="s">
        <v>12817</v>
      </c>
      <c r="C3472" s="85" t="s">
        <v>12818</v>
      </c>
      <c r="D3472" s="85" t="s">
        <v>3963</v>
      </c>
      <c r="E3472" s="85" t="s">
        <v>12815</v>
      </c>
      <c r="F3472" s="86">
        <v>5</v>
      </c>
      <c r="G3472" s="86">
        <v>5</v>
      </c>
      <c r="H3472" s="86">
        <v>25</v>
      </c>
      <c r="I3472" s="86">
        <v>75</v>
      </c>
      <c r="J3472" s="85" t="s">
        <v>4391</v>
      </c>
      <c r="K3472" s="85" t="s">
        <v>12804</v>
      </c>
      <c r="L3472" s="85" t="s">
        <v>10873</v>
      </c>
      <c r="M3472" s="85" t="s">
        <v>12819</v>
      </c>
    </row>
    <row r="3473" ht="228" spans="1:13">
      <c r="A3473" s="85" t="s">
        <v>12801</v>
      </c>
      <c r="B3473" s="85" t="s">
        <v>12820</v>
      </c>
      <c r="C3473" s="85" t="s">
        <v>12821</v>
      </c>
      <c r="D3473" s="85" t="s">
        <v>3963</v>
      </c>
      <c r="E3473" s="85" t="s">
        <v>12821</v>
      </c>
      <c r="F3473" s="86">
        <v>5.56</v>
      </c>
      <c r="G3473" s="86">
        <v>10</v>
      </c>
      <c r="H3473" s="86">
        <v>55.6</v>
      </c>
      <c r="I3473" s="86">
        <v>1184.53</v>
      </c>
      <c r="J3473" s="85" t="s">
        <v>2965</v>
      </c>
      <c r="K3473" s="85" t="s">
        <v>12804</v>
      </c>
      <c r="L3473" s="85" t="s">
        <v>10873</v>
      </c>
      <c r="M3473" s="85" t="s">
        <v>12822</v>
      </c>
    </row>
    <row r="3474" ht="228" spans="1:13">
      <c r="A3474" s="85" t="s">
        <v>12801</v>
      </c>
      <c r="B3474" s="85" t="s">
        <v>12823</v>
      </c>
      <c r="C3474" s="85" t="s">
        <v>12824</v>
      </c>
      <c r="D3474" s="85" t="s">
        <v>3963</v>
      </c>
      <c r="E3474" s="85" t="s">
        <v>12824</v>
      </c>
      <c r="F3474" s="86">
        <v>1.54</v>
      </c>
      <c r="G3474" s="86">
        <v>10</v>
      </c>
      <c r="H3474" s="86">
        <v>15.4</v>
      </c>
      <c r="I3474" s="86">
        <v>1184.53</v>
      </c>
      <c r="J3474" s="85" t="s">
        <v>2965</v>
      </c>
      <c r="K3474" s="85" t="s">
        <v>12804</v>
      </c>
      <c r="L3474" s="85" t="s">
        <v>10873</v>
      </c>
      <c r="M3474" s="85" t="s">
        <v>12825</v>
      </c>
    </row>
    <row r="3475" ht="228" spans="1:13">
      <c r="A3475" s="85" t="s">
        <v>12801</v>
      </c>
      <c r="B3475" s="85" t="s">
        <v>12826</v>
      </c>
      <c r="C3475" s="85" t="s">
        <v>12827</v>
      </c>
      <c r="D3475" s="85" t="s">
        <v>12828</v>
      </c>
      <c r="E3475" s="85" t="s">
        <v>12827</v>
      </c>
      <c r="F3475" s="86">
        <v>18.81</v>
      </c>
      <c r="G3475" s="86">
        <v>2</v>
      </c>
      <c r="H3475" s="86">
        <v>37.62</v>
      </c>
      <c r="I3475" s="86">
        <v>1184.53</v>
      </c>
      <c r="J3475" s="85" t="s">
        <v>2965</v>
      </c>
      <c r="K3475" s="85" t="s">
        <v>12804</v>
      </c>
      <c r="L3475" s="85" t="s">
        <v>10873</v>
      </c>
      <c r="M3475" s="85" t="s">
        <v>12829</v>
      </c>
    </row>
    <row r="3476" ht="228" spans="1:13">
      <c r="A3476" s="85" t="s">
        <v>12801</v>
      </c>
      <c r="B3476" s="85" t="s">
        <v>12830</v>
      </c>
      <c r="C3476" s="85" t="s">
        <v>12831</v>
      </c>
      <c r="D3476" s="85" t="s">
        <v>3963</v>
      </c>
      <c r="E3476" s="85" t="s">
        <v>12831</v>
      </c>
      <c r="F3476" s="86">
        <v>2.82</v>
      </c>
      <c r="G3476" s="86">
        <v>10</v>
      </c>
      <c r="H3476" s="86">
        <v>28.2</v>
      </c>
      <c r="I3476" s="86">
        <v>1184.53</v>
      </c>
      <c r="J3476" s="85" t="s">
        <v>2965</v>
      </c>
      <c r="K3476" s="85" t="s">
        <v>12804</v>
      </c>
      <c r="L3476" s="85" t="s">
        <v>10873</v>
      </c>
      <c r="M3476" s="85" t="s">
        <v>12832</v>
      </c>
    </row>
    <row r="3477" ht="228" spans="1:13">
      <c r="A3477" s="85" t="s">
        <v>12801</v>
      </c>
      <c r="B3477" s="85" t="s">
        <v>12833</v>
      </c>
      <c r="C3477" s="85" t="s">
        <v>12834</v>
      </c>
      <c r="D3477" s="85" t="s">
        <v>5546</v>
      </c>
      <c r="E3477" s="85" t="s">
        <v>12834</v>
      </c>
      <c r="F3477" s="86">
        <v>650.75</v>
      </c>
      <c r="G3477" s="86">
        <v>1</v>
      </c>
      <c r="H3477" s="86">
        <v>650.75</v>
      </c>
      <c r="I3477" s="86">
        <v>1184.53</v>
      </c>
      <c r="J3477" s="85" t="s">
        <v>2965</v>
      </c>
      <c r="K3477" s="85" t="s">
        <v>12804</v>
      </c>
      <c r="L3477" s="85" t="s">
        <v>10873</v>
      </c>
      <c r="M3477" s="85" t="s">
        <v>12835</v>
      </c>
    </row>
    <row r="3478" ht="228" spans="1:13">
      <c r="A3478" s="85" t="s">
        <v>12801</v>
      </c>
      <c r="B3478" s="85" t="s">
        <v>12836</v>
      </c>
      <c r="C3478" s="85" t="s">
        <v>12837</v>
      </c>
      <c r="D3478" s="85" t="s">
        <v>3963</v>
      </c>
      <c r="E3478" s="85" t="s">
        <v>12837</v>
      </c>
      <c r="F3478" s="86">
        <v>9.4</v>
      </c>
      <c r="G3478" s="86">
        <v>5</v>
      </c>
      <c r="H3478" s="86">
        <v>47</v>
      </c>
      <c r="I3478" s="86">
        <v>1184.53</v>
      </c>
      <c r="J3478" s="85" t="s">
        <v>2965</v>
      </c>
      <c r="K3478" s="85" t="s">
        <v>12804</v>
      </c>
      <c r="L3478" s="85" t="s">
        <v>10873</v>
      </c>
      <c r="M3478" s="85" t="s">
        <v>12838</v>
      </c>
    </row>
    <row r="3479" ht="228" spans="1:13">
      <c r="A3479" s="85" t="s">
        <v>12801</v>
      </c>
      <c r="B3479" s="85" t="s">
        <v>12839</v>
      </c>
      <c r="C3479" s="85" t="s">
        <v>12840</v>
      </c>
      <c r="D3479" s="85" t="s">
        <v>3255</v>
      </c>
      <c r="E3479" s="85" t="s">
        <v>12840</v>
      </c>
      <c r="F3479" s="86">
        <v>59.76</v>
      </c>
      <c r="G3479" s="86">
        <v>1</v>
      </c>
      <c r="H3479" s="86">
        <v>59.76</v>
      </c>
      <c r="I3479" s="86">
        <v>1184.53</v>
      </c>
      <c r="J3479" s="85" t="s">
        <v>2965</v>
      </c>
      <c r="K3479" s="85" t="s">
        <v>12804</v>
      </c>
      <c r="L3479" s="85" t="s">
        <v>10873</v>
      </c>
      <c r="M3479" s="85" t="s">
        <v>12841</v>
      </c>
    </row>
    <row r="3480" ht="228" spans="1:13">
      <c r="A3480" s="85" t="s">
        <v>12801</v>
      </c>
      <c r="B3480" s="85" t="s">
        <v>12842</v>
      </c>
      <c r="C3480" s="85" t="s">
        <v>12843</v>
      </c>
      <c r="D3480" s="85" t="s">
        <v>3963</v>
      </c>
      <c r="E3480" s="85" t="s">
        <v>12843</v>
      </c>
      <c r="F3480" s="86">
        <v>2.39</v>
      </c>
      <c r="G3480" s="86">
        <v>10</v>
      </c>
      <c r="H3480" s="86">
        <v>23.9</v>
      </c>
      <c r="I3480" s="86">
        <v>1184.53</v>
      </c>
      <c r="J3480" s="85" t="s">
        <v>2965</v>
      </c>
      <c r="K3480" s="85" t="s">
        <v>12804</v>
      </c>
      <c r="L3480" s="85" t="s">
        <v>10873</v>
      </c>
      <c r="M3480" s="85" t="s">
        <v>12844</v>
      </c>
    </row>
    <row r="3481" ht="228" spans="1:13">
      <c r="A3481" s="85" t="s">
        <v>12801</v>
      </c>
      <c r="B3481" s="85" t="s">
        <v>12845</v>
      </c>
      <c r="C3481" s="85" t="s">
        <v>12846</v>
      </c>
      <c r="D3481" s="85" t="s">
        <v>3963</v>
      </c>
      <c r="E3481" s="85" t="s">
        <v>12846</v>
      </c>
      <c r="F3481" s="86">
        <v>4.7</v>
      </c>
      <c r="G3481" s="86">
        <v>10</v>
      </c>
      <c r="H3481" s="86">
        <v>47</v>
      </c>
      <c r="I3481" s="86">
        <v>1184.53</v>
      </c>
      <c r="J3481" s="85" t="s">
        <v>2965</v>
      </c>
      <c r="K3481" s="85" t="s">
        <v>12804</v>
      </c>
      <c r="L3481" s="85" t="s">
        <v>10873</v>
      </c>
      <c r="M3481" s="85" t="s">
        <v>12847</v>
      </c>
    </row>
    <row r="3482" ht="228" spans="1:13">
      <c r="A3482" s="85" t="s">
        <v>12801</v>
      </c>
      <c r="B3482" s="85" t="s">
        <v>12848</v>
      </c>
      <c r="C3482" s="85" t="s">
        <v>12849</v>
      </c>
      <c r="D3482" s="85" t="s">
        <v>3963</v>
      </c>
      <c r="E3482" s="85" t="s">
        <v>12849</v>
      </c>
      <c r="F3482" s="86">
        <v>14.25</v>
      </c>
      <c r="G3482" s="86">
        <v>5</v>
      </c>
      <c r="H3482" s="86">
        <v>71.25</v>
      </c>
      <c r="I3482" s="86">
        <v>1184.53</v>
      </c>
      <c r="J3482" s="85" t="s">
        <v>2965</v>
      </c>
      <c r="K3482" s="85" t="s">
        <v>12804</v>
      </c>
      <c r="L3482" s="85" t="s">
        <v>10873</v>
      </c>
      <c r="M3482" s="85" t="s">
        <v>12850</v>
      </c>
    </row>
    <row r="3483" ht="228" spans="1:13">
      <c r="A3483" s="85" t="s">
        <v>12812</v>
      </c>
      <c r="B3483" s="85" t="s">
        <v>12851</v>
      </c>
      <c r="C3483" s="85" t="s">
        <v>12852</v>
      </c>
      <c r="D3483" s="85" t="s">
        <v>3963</v>
      </c>
      <c r="E3483" s="85" t="s">
        <v>12815</v>
      </c>
      <c r="F3483" s="86">
        <v>5</v>
      </c>
      <c r="G3483" s="86">
        <v>5</v>
      </c>
      <c r="H3483" s="86">
        <v>25</v>
      </c>
      <c r="I3483" s="86">
        <v>75</v>
      </c>
      <c r="J3483" s="85" t="s">
        <v>4391</v>
      </c>
      <c r="K3483" s="85" t="s">
        <v>12804</v>
      </c>
      <c r="L3483" s="85" t="s">
        <v>10873</v>
      </c>
      <c r="M3483" s="85" t="s">
        <v>12853</v>
      </c>
    </row>
    <row r="3484" ht="327.75" spans="1:13">
      <c r="A3484" s="85" t="s">
        <v>12854</v>
      </c>
      <c r="B3484" s="85" t="s">
        <v>12582</v>
      </c>
      <c r="C3484" s="85" t="s">
        <v>12583</v>
      </c>
      <c r="D3484" s="85" t="s">
        <v>3041</v>
      </c>
      <c r="E3484" s="85" t="s">
        <v>3158</v>
      </c>
      <c r="F3484" s="86">
        <v>60</v>
      </c>
      <c r="G3484" s="86">
        <v>1</v>
      </c>
      <c r="H3484" s="86">
        <v>60</v>
      </c>
      <c r="I3484" s="86">
        <v>18857</v>
      </c>
      <c r="J3484" s="85" t="s">
        <v>4370</v>
      </c>
      <c r="K3484" s="85" t="s">
        <v>12855</v>
      </c>
      <c r="L3484" s="85" t="s">
        <v>12417</v>
      </c>
      <c r="M3484" s="85" t="s">
        <v>12856</v>
      </c>
    </row>
    <row r="3485" ht="327.75" spans="1:13">
      <c r="A3485" s="85" t="s">
        <v>12854</v>
      </c>
      <c r="B3485" s="85" t="s">
        <v>4510</v>
      </c>
      <c r="C3485" s="85" t="s">
        <v>4511</v>
      </c>
      <c r="D3485" s="85" t="s">
        <v>3041</v>
      </c>
      <c r="E3485" s="85" t="s">
        <v>3042</v>
      </c>
      <c r="F3485" s="86">
        <v>9.5</v>
      </c>
      <c r="G3485" s="86">
        <v>30</v>
      </c>
      <c r="H3485" s="86">
        <v>285</v>
      </c>
      <c r="I3485" s="86">
        <v>18857</v>
      </c>
      <c r="J3485" s="85" t="s">
        <v>4370</v>
      </c>
      <c r="K3485" s="85" t="s">
        <v>12855</v>
      </c>
      <c r="L3485" s="85" t="s">
        <v>12417</v>
      </c>
      <c r="M3485" s="85" t="s">
        <v>12857</v>
      </c>
    </row>
    <row r="3486" ht="327.75" spans="1:13">
      <c r="A3486" s="85" t="s">
        <v>12854</v>
      </c>
      <c r="B3486" s="85" t="s">
        <v>4942</v>
      </c>
      <c r="C3486" s="85" t="s">
        <v>4943</v>
      </c>
      <c r="D3486" s="85" t="s">
        <v>3041</v>
      </c>
      <c r="E3486" s="85" t="s">
        <v>3042</v>
      </c>
      <c r="F3486" s="86">
        <v>5</v>
      </c>
      <c r="G3486" s="86">
        <v>1620</v>
      </c>
      <c r="H3486" s="86">
        <v>8100</v>
      </c>
      <c r="I3486" s="86">
        <v>18857</v>
      </c>
      <c r="J3486" s="85" t="s">
        <v>4370</v>
      </c>
      <c r="K3486" s="85" t="s">
        <v>12855</v>
      </c>
      <c r="L3486" s="85" t="s">
        <v>12417</v>
      </c>
      <c r="M3486" s="85" t="s">
        <v>12858</v>
      </c>
    </row>
    <row r="3487" ht="327.75" spans="1:13">
      <c r="A3487" s="85" t="s">
        <v>12854</v>
      </c>
      <c r="B3487" s="85" t="s">
        <v>5175</v>
      </c>
      <c r="C3487" s="85" t="s">
        <v>5176</v>
      </c>
      <c r="D3487" s="85" t="s">
        <v>3177</v>
      </c>
      <c r="E3487" s="85" t="s">
        <v>3178</v>
      </c>
      <c r="F3487" s="86">
        <v>20</v>
      </c>
      <c r="G3487" s="86">
        <v>2</v>
      </c>
      <c r="H3487" s="86">
        <v>40</v>
      </c>
      <c r="I3487" s="86">
        <v>18857</v>
      </c>
      <c r="J3487" s="85" t="s">
        <v>4370</v>
      </c>
      <c r="K3487" s="85" t="s">
        <v>12855</v>
      </c>
      <c r="L3487" s="85" t="s">
        <v>12417</v>
      </c>
      <c r="M3487" s="85" t="s">
        <v>12859</v>
      </c>
    </row>
    <row r="3488" ht="327.75" spans="1:13">
      <c r="A3488" s="85" t="s">
        <v>12854</v>
      </c>
      <c r="B3488" s="85" t="s">
        <v>7600</v>
      </c>
      <c r="C3488" s="85" t="s">
        <v>7601</v>
      </c>
      <c r="D3488" s="85" t="s">
        <v>3169</v>
      </c>
      <c r="E3488" s="85" t="s">
        <v>7602</v>
      </c>
      <c r="F3488" s="86">
        <v>15</v>
      </c>
      <c r="G3488" s="86">
        <v>170</v>
      </c>
      <c r="H3488" s="86">
        <v>2550</v>
      </c>
      <c r="I3488" s="86">
        <v>18857</v>
      </c>
      <c r="J3488" s="85" t="s">
        <v>4370</v>
      </c>
      <c r="K3488" s="85" t="s">
        <v>12855</v>
      </c>
      <c r="L3488" s="85" t="s">
        <v>12417</v>
      </c>
      <c r="M3488" s="85" t="s">
        <v>12860</v>
      </c>
    </row>
    <row r="3489" ht="327.75" spans="1:13">
      <c r="A3489" s="85" t="s">
        <v>12854</v>
      </c>
      <c r="B3489" s="85" t="s">
        <v>8487</v>
      </c>
      <c r="C3489" s="85" t="s">
        <v>8488</v>
      </c>
      <c r="D3489" s="85" t="s">
        <v>3024</v>
      </c>
      <c r="E3489" s="85" t="s">
        <v>8489</v>
      </c>
      <c r="F3489" s="86">
        <v>80</v>
      </c>
      <c r="G3489" s="86">
        <v>10</v>
      </c>
      <c r="H3489" s="86">
        <v>800</v>
      </c>
      <c r="I3489" s="86">
        <v>18857</v>
      </c>
      <c r="J3489" s="85" t="s">
        <v>4370</v>
      </c>
      <c r="K3489" s="85" t="s">
        <v>12855</v>
      </c>
      <c r="L3489" s="85" t="s">
        <v>12417</v>
      </c>
      <c r="M3489" s="85" t="s">
        <v>12861</v>
      </c>
    </row>
    <row r="3490" ht="327.75" spans="1:13">
      <c r="A3490" s="85" t="s">
        <v>12854</v>
      </c>
      <c r="B3490" s="85" t="s">
        <v>4864</v>
      </c>
      <c r="C3490" s="85" t="s">
        <v>4865</v>
      </c>
      <c r="D3490" s="85" t="s">
        <v>4866</v>
      </c>
      <c r="E3490" s="85" t="s">
        <v>4867</v>
      </c>
      <c r="F3490" s="86">
        <v>100</v>
      </c>
      <c r="G3490" s="86">
        <v>3</v>
      </c>
      <c r="H3490" s="86">
        <v>300</v>
      </c>
      <c r="I3490" s="86">
        <v>18857</v>
      </c>
      <c r="J3490" s="85" t="s">
        <v>4370</v>
      </c>
      <c r="K3490" s="85" t="s">
        <v>12855</v>
      </c>
      <c r="L3490" s="85" t="s">
        <v>12417</v>
      </c>
      <c r="M3490" s="85" t="s">
        <v>12862</v>
      </c>
    </row>
    <row r="3491" ht="327.75" spans="1:13">
      <c r="A3491" s="85" t="s">
        <v>12863</v>
      </c>
      <c r="B3491" s="85" t="s">
        <v>5685</v>
      </c>
      <c r="C3491" s="85" t="s">
        <v>5686</v>
      </c>
      <c r="D3491" s="85" t="s">
        <v>5687</v>
      </c>
      <c r="E3491" s="85" t="s">
        <v>1971</v>
      </c>
      <c r="F3491" s="86">
        <v>850</v>
      </c>
      <c r="G3491" s="86">
        <v>2</v>
      </c>
      <c r="H3491" s="86">
        <v>1700</v>
      </c>
      <c r="I3491" s="86">
        <v>1700</v>
      </c>
      <c r="J3491" s="85" t="s">
        <v>5688</v>
      </c>
      <c r="K3491" s="85" t="s">
        <v>12855</v>
      </c>
      <c r="L3491" s="85" t="s">
        <v>12417</v>
      </c>
      <c r="M3491" s="85" t="s">
        <v>12864</v>
      </c>
    </row>
    <row r="3492" ht="327.75" spans="1:13">
      <c r="A3492" s="85" t="s">
        <v>12854</v>
      </c>
      <c r="B3492" s="85" t="s">
        <v>6259</v>
      </c>
      <c r="C3492" s="85" t="s">
        <v>6260</v>
      </c>
      <c r="D3492" s="85" t="s">
        <v>6261</v>
      </c>
      <c r="E3492" s="85" t="s">
        <v>6262</v>
      </c>
      <c r="F3492" s="86">
        <v>55</v>
      </c>
      <c r="G3492" s="86">
        <v>2</v>
      </c>
      <c r="H3492" s="86">
        <v>110</v>
      </c>
      <c r="I3492" s="86">
        <v>18857</v>
      </c>
      <c r="J3492" s="85" t="s">
        <v>4370</v>
      </c>
      <c r="K3492" s="85" t="s">
        <v>12855</v>
      </c>
      <c r="L3492" s="85" t="s">
        <v>12417</v>
      </c>
      <c r="M3492" s="85" t="s">
        <v>12865</v>
      </c>
    </row>
    <row r="3493" ht="327.75" spans="1:13">
      <c r="A3493" s="85" t="s">
        <v>12854</v>
      </c>
      <c r="B3493" s="85" t="s">
        <v>8491</v>
      </c>
      <c r="C3493" s="85" t="s">
        <v>8492</v>
      </c>
      <c r="D3493" s="85" t="s">
        <v>3177</v>
      </c>
      <c r="E3493" s="85" t="s">
        <v>6549</v>
      </c>
      <c r="F3493" s="86">
        <v>550</v>
      </c>
      <c r="G3493" s="86">
        <v>2</v>
      </c>
      <c r="H3493" s="86">
        <v>1100</v>
      </c>
      <c r="I3493" s="86">
        <v>18857</v>
      </c>
      <c r="J3493" s="85" t="s">
        <v>4370</v>
      </c>
      <c r="K3493" s="85" t="s">
        <v>12855</v>
      </c>
      <c r="L3493" s="85" t="s">
        <v>12417</v>
      </c>
      <c r="M3493" s="85" t="s">
        <v>12866</v>
      </c>
    </row>
    <row r="3494" ht="327.75" spans="1:13">
      <c r="A3494" s="85" t="s">
        <v>12854</v>
      </c>
      <c r="B3494" s="85" t="s">
        <v>8168</v>
      </c>
      <c r="C3494" s="85" t="s">
        <v>8169</v>
      </c>
      <c r="D3494" s="85" t="s">
        <v>3041</v>
      </c>
      <c r="E3494" s="85" t="s">
        <v>3158</v>
      </c>
      <c r="F3494" s="86">
        <v>108</v>
      </c>
      <c r="G3494" s="86">
        <v>4</v>
      </c>
      <c r="H3494" s="86">
        <v>432</v>
      </c>
      <c r="I3494" s="86">
        <v>18857</v>
      </c>
      <c r="J3494" s="85" t="s">
        <v>4370</v>
      </c>
      <c r="K3494" s="85" t="s">
        <v>12855</v>
      </c>
      <c r="L3494" s="85" t="s">
        <v>12417</v>
      </c>
      <c r="M3494" s="85" t="s">
        <v>12867</v>
      </c>
    </row>
    <row r="3495" ht="327.75" spans="1:13">
      <c r="A3495" s="85" t="s">
        <v>12854</v>
      </c>
      <c r="B3495" s="85" t="s">
        <v>9873</v>
      </c>
      <c r="C3495" s="85" t="s">
        <v>9874</v>
      </c>
      <c r="D3495" s="85" t="s">
        <v>3041</v>
      </c>
      <c r="E3495" s="85" t="s">
        <v>3042</v>
      </c>
      <c r="F3495" s="86">
        <v>18</v>
      </c>
      <c r="G3495" s="86">
        <v>60</v>
      </c>
      <c r="H3495" s="86">
        <v>1080</v>
      </c>
      <c r="I3495" s="86">
        <v>18857</v>
      </c>
      <c r="J3495" s="85" t="s">
        <v>4370</v>
      </c>
      <c r="K3495" s="85" t="s">
        <v>12855</v>
      </c>
      <c r="L3495" s="85" t="s">
        <v>12417</v>
      </c>
      <c r="M3495" s="85" t="s">
        <v>12868</v>
      </c>
    </row>
    <row r="3496" ht="327.75" spans="1:13">
      <c r="A3496" s="85" t="s">
        <v>12854</v>
      </c>
      <c r="B3496" s="85" t="s">
        <v>8883</v>
      </c>
      <c r="C3496" s="85" t="s">
        <v>8884</v>
      </c>
      <c r="D3496" s="85" t="s">
        <v>3041</v>
      </c>
      <c r="E3496" s="85" t="s">
        <v>3158</v>
      </c>
      <c r="F3496" s="86">
        <v>20</v>
      </c>
      <c r="G3496" s="86">
        <v>200</v>
      </c>
      <c r="H3496" s="86">
        <v>4000</v>
      </c>
      <c r="I3496" s="86">
        <v>18857</v>
      </c>
      <c r="J3496" s="85" t="s">
        <v>4370</v>
      </c>
      <c r="K3496" s="85" t="s">
        <v>12855</v>
      </c>
      <c r="L3496" s="85" t="s">
        <v>12417</v>
      </c>
      <c r="M3496" s="85" t="s">
        <v>12869</v>
      </c>
    </row>
    <row r="3497" ht="327.75" spans="1:13">
      <c r="A3497" s="85" t="s">
        <v>12870</v>
      </c>
      <c r="B3497" s="85" t="s">
        <v>12776</v>
      </c>
      <c r="C3497" s="85" t="s">
        <v>12777</v>
      </c>
      <c r="D3497" s="85" t="s">
        <v>5040</v>
      </c>
      <c r="E3497" s="85" t="s">
        <v>12778</v>
      </c>
      <c r="F3497" s="86">
        <v>71</v>
      </c>
      <c r="G3497" s="86">
        <v>42</v>
      </c>
      <c r="H3497" s="86">
        <v>2982</v>
      </c>
      <c r="I3497" s="86">
        <v>42741</v>
      </c>
      <c r="J3497" s="85" t="s">
        <v>2935</v>
      </c>
      <c r="K3497" s="85" t="s">
        <v>12871</v>
      </c>
      <c r="L3497" s="85" t="s">
        <v>12417</v>
      </c>
      <c r="M3497" s="85" t="s">
        <v>12872</v>
      </c>
    </row>
    <row r="3498" ht="327.75" spans="1:13">
      <c r="A3498" s="85" t="s">
        <v>12873</v>
      </c>
      <c r="B3498" s="85" t="s">
        <v>7699</v>
      </c>
      <c r="C3498" s="85" t="s">
        <v>7700</v>
      </c>
      <c r="D3498" s="85" t="s">
        <v>4772</v>
      </c>
      <c r="E3498" s="85" t="s">
        <v>4773</v>
      </c>
      <c r="F3498" s="86">
        <v>101</v>
      </c>
      <c r="G3498" s="86">
        <v>20</v>
      </c>
      <c r="H3498" s="86">
        <v>2020</v>
      </c>
      <c r="I3498" s="86">
        <v>10057</v>
      </c>
      <c r="J3498" s="85" t="s">
        <v>4391</v>
      </c>
      <c r="K3498" s="85" t="s">
        <v>12871</v>
      </c>
      <c r="L3498" s="85" t="s">
        <v>12417</v>
      </c>
      <c r="M3498" s="85" t="s">
        <v>12874</v>
      </c>
    </row>
    <row r="3499" ht="327.75" spans="1:13">
      <c r="A3499" s="85" t="s">
        <v>12875</v>
      </c>
      <c r="B3499" s="85" t="s">
        <v>9545</v>
      </c>
      <c r="C3499" s="85" t="s">
        <v>9546</v>
      </c>
      <c r="D3499" s="85" t="s">
        <v>5574</v>
      </c>
      <c r="E3499" s="85" t="s">
        <v>1787</v>
      </c>
      <c r="F3499" s="86">
        <v>15</v>
      </c>
      <c r="G3499" s="86">
        <v>60</v>
      </c>
      <c r="H3499" s="86">
        <v>900</v>
      </c>
      <c r="I3499" s="86">
        <v>25160</v>
      </c>
      <c r="J3499" s="85" t="s">
        <v>9135</v>
      </c>
      <c r="K3499" s="85" t="s">
        <v>12871</v>
      </c>
      <c r="L3499" s="85" t="s">
        <v>12417</v>
      </c>
      <c r="M3499" s="85" t="s">
        <v>12876</v>
      </c>
    </row>
    <row r="3500" ht="327.75" spans="1:13">
      <c r="A3500" s="85" t="s">
        <v>12877</v>
      </c>
      <c r="B3500" s="85" t="s">
        <v>11667</v>
      </c>
      <c r="C3500" s="85" t="s">
        <v>11668</v>
      </c>
      <c r="D3500" s="85" t="s">
        <v>3747</v>
      </c>
      <c r="E3500" s="85" t="s">
        <v>1827</v>
      </c>
      <c r="F3500" s="86">
        <v>115</v>
      </c>
      <c r="G3500" s="86">
        <v>230</v>
      </c>
      <c r="H3500" s="86">
        <v>26450</v>
      </c>
      <c r="I3500" s="86">
        <v>47255</v>
      </c>
      <c r="J3500" s="85" t="s">
        <v>12217</v>
      </c>
      <c r="K3500" s="85" t="s">
        <v>12871</v>
      </c>
      <c r="L3500" s="85" t="s">
        <v>12417</v>
      </c>
      <c r="M3500" s="85" t="s">
        <v>12878</v>
      </c>
    </row>
    <row r="3501" ht="327.75" spans="1:13">
      <c r="A3501" s="85" t="s">
        <v>12879</v>
      </c>
      <c r="B3501" s="85" t="s">
        <v>12880</v>
      </c>
      <c r="C3501" s="85" t="s">
        <v>12881</v>
      </c>
      <c r="D3501" s="85" t="s">
        <v>3230</v>
      </c>
      <c r="E3501" s="85" t="s">
        <v>12882</v>
      </c>
      <c r="F3501" s="86">
        <v>20.5</v>
      </c>
      <c r="G3501" s="86">
        <v>10</v>
      </c>
      <c r="H3501" s="86">
        <v>205</v>
      </c>
      <c r="I3501" s="86">
        <v>2084</v>
      </c>
      <c r="J3501" s="85" t="s">
        <v>2935</v>
      </c>
      <c r="K3501" s="85" t="s">
        <v>12871</v>
      </c>
      <c r="L3501" s="85" t="s">
        <v>12417</v>
      </c>
      <c r="M3501" s="85" t="s">
        <v>12883</v>
      </c>
    </row>
    <row r="3502" ht="327.75" spans="1:13">
      <c r="A3502" s="85" t="s">
        <v>12884</v>
      </c>
      <c r="B3502" s="85" t="s">
        <v>12885</v>
      </c>
      <c r="C3502" s="85" t="s">
        <v>12886</v>
      </c>
      <c r="D3502" s="85" t="s">
        <v>4220</v>
      </c>
      <c r="E3502" s="85" t="s">
        <v>9346</v>
      </c>
      <c r="F3502" s="86">
        <v>503</v>
      </c>
      <c r="G3502" s="86">
        <v>5</v>
      </c>
      <c r="H3502" s="86">
        <v>2515</v>
      </c>
      <c r="I3502" s="86">
        <v>17698</v>
      </c>
      <c r="J3502" s="85" t="s">
        <v>2935</v>
      </c>
      <c r="K3502" s="85" t="s">
        <v>12871</v>
      </c>
      <c r="L3502" s="85" t="s">
        <v>12417</v>
      </c>
      <c r="M3502" s="85" t="s">
        <v>12887</v>
      </c>
    </row>
    <row r="3503" ht="327.75" spans="1:13">
      <c r="A3503" s="85" t="s">
        <v>12888</v>
      </c>
      <c r="B3503" s="85" t="s">
        <v>9835</v>
      </c>
      <c r="C3503" s="85" t="s">
        <v>9836</v>
      </c>
      <c r="D3503" s="85" t="s">
        <v>8345</v>
      </c>
      <c r="E3503" s="85" t="s">
        <v>8346</v>
      </c>
      <c r="F3503" s="86">
        <v>11.7</v>
      </c>
      <c r="G3503" s="86">
        <v>10</v>
      </c>
      <c r="H3503" s="86">
        <v>117</v>
      </c>
      <c r="I3503" s="86">
        <v>7637</v>
      </c>
      <c r="J3503" s="85" t="s">
        <v>4391</v>
      </c>
      <c r="K3503" s="85" t="s">
        <v>12871</v>
      </c>
      <c r="L3503" s="85" t="s">
        <v>12417</v>
      </c>
      <c r="M3503" s="85" t="s">
        <v>12889</v>
      </c>
    </row>
    <row r="3504" ht="327.75" spans="1:13">
      <c r="A3504" s="85" t="s">
        <v>12873</v>
      </c>
      <c r="B3504" s="85" t="s">
        <v>10149</v>
      </c>
      <c r="C3504" s="85" t="s">
        <v>10150</v>
      </c>
      <c r="D3504" s="85" t="s">
        <v>10151</v>
      </c>
      <c r="E3504" s="85" t="s">
        <v>10152</v>
      </c>
      <c r="F3504" s="86">
        <v>16</v>
      </c>
      <c r="G3504" s="86">
        <v>50</v>
      </c>
      <c r="H3504" s="86">
        <v>800</v>
      </c>
      <c r="I3504" s="86">
        <v>10057</v>
      </c>
      <c r="J3504" s="85" t="s">
        <v>4391</v>
      </c>
      <c r="K3504" s="85" t="s">
        <v>12871</v>
      </c>
      <c r="L3504" s="85" t="s">
        <v>12417</v>
      </c>
      <c r="M3504" s="85" t="s">
        <v>12890</v>
      </c>
    </row>
    <row r="3505" ht="327.75" spans="1:13">
      <c r="A3505" s="85" t="s">
        <v>12884</v>
      </c>
      <c r="B3505" s="85" t="s">
        <v>12891</v>
      </c>
      <c r="C3505" s="85" t="s">
        <v>12892</v>
      </c>
      <c r="D3505" s="85" t="s">
        <v>12893</v>
      </c>
      <c r="E3505" s="85" t="s">
        <v>12894</v>
      </c>
      <c r="F3505" s="86">
        <v>35</v>
      </c>
      <c r="G3505" s="86">
        <v>20</v>
      </c>
      <c r="H3505" s="86">
        <v>700</v>
      </c>
      <c r="I3505" s="86">
        <v>17698</v>
      </c>
      <c r="J3505" s="85" t="s">
        <v>2935</v>
      </c>
      <c r="K3505" s="85" t="s">
        <v>12871</v>
      </c>
      <c r="L3505" s="85" t="s">
        <v>12417</v>
      </c>
      <c r="M3505" s="85" t="s">
        <v>12895</v>
      </c>
    </row>
    <row r="3506" ht="327.75" spans="1:13">
      <c r="A3506" s="85" t="s">
        <v>12896</v>
      </c>
      <c r="B3506" s="85" t="s">
        <v>11832</v>
      </c>
      <c r="C3506" s="85" t="s">
        <v>11833</v>
      </c>
      <c r="D3506" s="85" t="s">
        <v>3471</v>
      </c>
      <c r="E3506" s="85" t="s">
        <v>11025</v>
      </c>
      <c r="F3506" s="86">
        <v>38</v>
      </c>
      <c r="G3506" s="86">
        <v>12</v>
      </c>
      <c r="H3506" s="86">
        <v>456</v>
      </c>
      <c r="I3506" s="86">
        <v>4706</v>
      </c>
      <c r="J3506" s="85" t="s">
        <v>4391</v>
      </c>
      <c r="K3506" s="85" t="s">
        <v>12871</v>
      </c>
      <c r="L3506" s="85" t="s">
        <v>12417</v>
      </c>
      <c r="M3506" s="85" t="s">
        <v>12897</v>
      </c>
    </row>
    <row r="3507" ht="327.75" spans="1:13">
      <c r="A3507" s="85" t="s">
        <v>12873</v>
      </c>
      <c r="B3507" s="85" t="s">
        <v>12898</v>
      </c>
      <c r="C3507" s="85" t="s">
        <v>12899</v>
      </c>
      <c r="D3507" s="85" t="s">
        <v>6465</v>
      </c>
      <c r="E3507" s="85" t="s">
        <v>6466</v>
      </c>
      <c r="F3507" s="86">
        <v>16.5</v>
      </c>
      <c r="G3507" s="86">
        <v>50</v>
      </c>
      <c r="H3507" s="86">
        <v>825</v>
      </c>
      <c r="I3507" s="86">
        <v>10057</v>
      </c>
      <c r="J3507" s="85" t="s">
        <v>4391</v>
      </c>
      <c r="K3507" s="85" t="s">
        <v>12871</v>
      </c>
      <c r="L3507" s="85" t="s">
        <v>12417</v>
      </c>
      <c r="M3507" s="85" t="s">
        <v>12900</v>
      </c>
    </row>
    <row r="3508" ht="327.75" spans="1:13">
      <c r="A3508" s="85" t="s">
        <v>12901</v>
      </c>
      <c r="B3508" s="85" t="s">
        <v>12902</v>
      </c>
      <c r="C3508" s="85" t="s">
        <v>12903</v>
      </c>
      <c r="D3508" s="85" t="s">
        <v>3068</v>
      </c>
      <c r="E3508" s="85" t="s">
        <v>12904</v>
      </c>
      <c r="F3508" s="86">
        <v>9.1</v>
      </c>
      <c r="G3508" s="86">
        <v>70</v>
      </c>
      <c r="H3508" s="86">
        <v>637</v>
      </c>
      <c r="I3508" s="86">
        <v>637</v>
      </c>
      <c r="J3508" s="85" t="s">
        <v>4391</v>
      </c>
      <c r="K3508" s="85" t="s">
        <v>12871</v>
      </c>
      <c r="L3508" s="85" t="s">
        <v>12417</v>
      </c>
      <c r="M3508" s="85" t="s">
        <v>12905</v>
      </c>
    </row>
    <row r="3509" ht="327.75" spans="1:13">
      <c r="A3509" s="85" t="s">
        <v>12875</v>
      </c>
      <c r="B3509" s="85" t="s">
        <v>12906</v>
      </c>
      <c r="C3509" s="85" t="s">
        <v>12907</v>
      </c>
      <c r="D3509" s="85" t="s">
        <v>8345</v>
      </c>
      <c r="E3509" s="85" t="s">
        <v>8346</v>
      </c>
      <c r="F3509" s="86">
        <v>73</v>
      </c>
      <c r="G3509" s="86">
        <v>20</v>
      </c>
      <c r="H3509" s="86">
        <v>1460</v>
      </c>
      <c r="I3509" s="86">
        <v>25160</v>
      </c>
      <c r="J3509" s="85" t="s">
        <v>9135</v>
      </c>
      <c r="K3509" s="85" t="s">
        <v>12871</v>
      </c>
      <c r="L3509" s="85" t="s">
        <v>12417</v>
      </c>
      <c r="M3509" s="85" t="s">
        <v>12908</v>
      </c>
    </row>
    <row r="3510" ht="327.75" spans="1:13">
      <c r="A3510" s="85" t="s">
        <v>12909</v>
      </c>
      <c r="B3510" s="85" t="s">
        <v>12910</v>
      </c>
      <c r="C3510" s="85" t="s">
        <v>12911</v>
      </c>
      <c r="D3510" s="85" t="s">
        <v>3261</v>
      </c>
      <c r="E3510" s="85" t="s">
        <v>3262</v>
      </c>
      <c r="F3510" s="86">
        <v>74</v>
      </c>
      <c r="G3510" s="86">
        <v>200</v>
      </c>
      <c r="H3510" s="86">
        <v>14800</v>
      </c>
      <c r="I3510" s="86">
        <v>16490</v>
      </c>
      <c r="J3510" s="85" t="s">
        <v>2935</v>
      </c>
      <c r="K3510" s="85" t="s">
        <v>12871</v>
      </c>
      <c r="L3510" s="85" t="s">
        <v>12417</v>
      </c>
      <c r="M3510" s="85" t="s">
        <v>12912</v>
      </c>
    </row>
    <row r="3511" ht="327.75" spans="1:13">
      <c r="A3511" s="85" t="s">
        <v>12870</v>
      </c>
      <c r="B3511" s="85" t="s">
        <v>12265</v>
      </c>
      <c r="C3511" s="85" t="s">
        <v>12266</v>
      </c>
      <c r="D3511" s="85" t="s">
        <v>3153</v>
      </c>
      <c r="E3511" s="85" t="s">
        <v>8431</v>
      </c>
      <c r="F3511" s="86">
        <v>1499</v>
      </c>
      <c r="G3511" s="86">
        <v>1</v>
      </c>
      <c r="H3511" s="86">
        <v>1499</v>
      </c>
      <c r="I3511" s="86">
        <v>42741</v>
      </c>
      <c r="J3511" s="85" t="s">
        <v>2935</v>
      </c>
      <c r="K3511" s="85" t="s">
        <v>12871</v>
      </c>
      <c r="L3511" s="85" t="s">
        <v>12417</v>
      </c>
      <c r="M3511" s="85" t="s">
        <v>12913</v>
      </c>
    </row>
    <row r="3512" ht="327.75" spans="1:13">
      <c r="A3512" s="85" t="s">
        <v>12914</v>
      </c>
      <c r="B3512" s="85" t="s">
        <v>11352</v>
      </c>
      <c r="C3512" s="85" t="s">
        <v>11353</v>
      </c>
      <c r="D3512" s="85" t="s">
        <v>4802</v>
      </c>
      <c r="E3512" s="85" t="s">
        <v>4997</v>
      </c>
      <c r="F3512" s="86">
        <v>30</v>
      </c>
      <c r="G3512" s="86">
        <v>30</v>
      </c>
      <c r="H3512" s="86">
        <v>900</v>
      </c>
      <c r="I3512" s="86">
        <v>1886</v>
      </c>
      <c r="J3512" s="85" t="s">
        <v>2935</v>
      </c>
      <c r="K3512" s="85" t="s">
        <v>12871</v>
      </c>
      <c r="L3512" s="85" t="s">
        <v>12417</v>
      </c>
      <c r="M3512" s="85" t="s">
        <v>12915</v>
      </c>
    </row>
    <row r="3513" ht="327.75" spans="1:13">
      <c r="A3513" s="85" t="s">
        <v>12879</v>
      </c>
      <c r="B3513" s="85" t="s">
        <v>7687</v>
      </c>
      <c r="C3513" s="85" t="s">
        <v>7688</v>
      </c>
      <c r="D3513" s="85" t="s">
        <v>3153</v>
      </c>
      <c r="E3513" s="85" t="s">
        <v>7689</v>
      </c>
      <c r="F3513" s="86">
        <v>390</v>
      </c>
      <c r="G3513" s="86">
        <v>2</v>
      </c>
      <c r="H3513" s="86">
        <v>780</v>
      </c>
      <c r="I3513" s="86">
        <v>2084</v>
      </c>
      <c r="J3513" s="85" t="s">
        <v>2935</v>
      </c>
      <c r="K3513" s="85" t="s">
        <v>12871</v>
      </c>
      <c r="L3513" s="85" t="s">
        <v>12417</v>
      </c>
      <c r="M3513" s="85" t="s">
        <v>12916</v>
      </c>
    </row>
    <row r="3514" ht="327.75" spans="1:13">
      <c r="A3514" s="85" t="s">
        <v>12879</v>
      </c>
      <c r="B3514" s="85" t="s">
        <v>11033</v>
      </c>
      <c r="C3514" s="85" t="s">
        <v>11034</v>
      </c>
      <c r="D3514" s="85" t="s">
        <v>3183</v>
      </c>
      <c r="E3514" s="85" t="s">
        <v>6563</v>
      </c>
      <c r="F3514" s="86">
        <v>28</v>
      </c>
      <c r="G3514" s="86">
        <v>15</v>
      </c>
      <c r="H3514" s="86">
        <v>420</v>
      </c>
      <c r="I3514" s="86">
        <v>2084</v>
      </c>
      <c r="J3514" s="85" t="s">
        <v>2935</v>
      </c>
      <c r="K3514" s="85" t="s">
        <v>12871</v>
      </c>
      <c r="L3514" s="85" t="s">
        <v>12417</v>
      </c>
      <c r="M3514" s="85" t="s">
        <v>12917</v>
      </c>
    </row>
    <row r="3515" ht="327.75" spans="1:13">
      <c r="A3515" s="85" t="s">
        <v>12888</v>
      </c>
      <c r="B3515" s="85" t="s">
        <v>12918</v>
      </c>
      <c r="C3515" s="85" t="s">
        <v>12919</v>
      </c>
      <c r="D3515" s="85" t="s">
        <v>10932</v>
      </c>
      <c r="E3515" s="85" t="s">
        <v>12920</v>
      </c>
      <c r="F3515" s="86">
        <v>125</v>
      </c>
      <c r="G3515" s="86">
        <v>4</v>
      </c>
      <c r="H3515" s="86">
        <v>500</v>
      </c>
      <c r="I3515" s="86">
        <v>7637</v>
      </c>
      <c r="J3515" s="85" t="s">
        <v>4391</v>
      </c>
      <c r="K3515" s="85" t="s">
        <v>12871</v>
      </c>
      <c r="L3515" s="85" t="s">
        <v>12417</v>
      </c>
      <c r="M3515" s="85" t="s">
        <v>12921</v>
      </c>
    </row>
    <row r="3516" ht="327.75" spans="1:13">
      <c r="A3516" s="85" t="s">
        <v>12879</v>
      </c>
      <c r="B3516" s="85" t="s">
        <v>10235</v>
      </c>
      <c r="C3516" s="85" t="s">
        <v>10236</v>
      </c>
      <c r="D3516" s="85" t="s">
        <v>6273</v>
      </c>
      <c r="E3516" s="85" t="s">
        <v>10237</v>
      </c>
      <c r="F3516" s="86">
        <v>12</v>
      </c>
      <c r="G3516" s="86">
        <v>3</v>
      </c>
      <c r="H3516" s="86">
        <v>36</v>
      </c>
      <c r="I3516" s="86">
        <v>2084</v>
      </c>
      <c r="J3516" s="85" t="s">
        <v>2935</v>
      </c>
      <c r="K3516" s="85" t="s">
        <v>12871</v>
      </c>
      <c r="L3516" s="85" t="s">
        <v>12417</v>
      </c>
      <c r="M3516" s="85" t="s">
        <v>12922</v>
      </c>
    </row>
    <row r="3517" ht="327.75" spans="1:13">
      <c r="A3517" s="85" t="s">
        <v>12870</v>
      </c>
      <c r="B3517" s="85" t="s">
        <v>12923</v>
      </c>
      <c r="C3517" s="85" t="s">
        <v>12924</v>
      </c>
      <c r="D3517" s="85" t="s">
        <v>8790</v>
      </c>
      <c r="E3517" s="85" t="s">
        <v>8791</v>
      </c>
      <c r="F3517" s="86">
        <v>1250</v>
      </c>
      <c r="G3517" s="86">
        <v>3</v>
      </c>
      <c r="H3517" s="86">
        <v>3750</v>
      </c>
      <c r="I3517" s="86">
        <v>42741</v>
      </c>
      <c r="J3517" s="85" t="s">
        <v>2935</v>
      </c>
      <c r="K3517" s="85" t="s">
        <v>12871</v>
      </c>
      <c r="L3517" s="85" t="s">
        <v>12417</v>
      </c>
      <c r="M3517" s="85" t="s">
        <v>12925</v>
      </c>
    </row>
    <row r="3518" ht="327.75" spans="1:13">
      <c r="A3518" s="85" t="s">
        <v>12873</v>
      </c>
      <c r="B3518" s="85" t="s">
        <v>12926</v>
      </c>
      <c r="C3518" s="85" t="s">
        <v>12927</v>
      </c>
      <c r="D3518" s="85" t="s">
        <v>5552</v>
      </c>
      <c r="E3518" s="85" t="s">
        <v>12928</v>
      </c>
      <c r="F3518" s="86">
        <v>18.5</v>
      </c>
      <c r="G3518" s="86">
        <v>2</v>
      </c>
      <c r="H3518" s="86">
        <v>37</v>
      </c>
      <c r="I3518" s="86">
        <v>10057</v>
      </c>
      <c r="J3518" s="85" t="s">
        <v>4391</v>
      </c>
      <c r="K3518" s="85" t="s">
        <v>12871</v>
      </c>
      <c r="L3518" s="85" t="s">
        <v>12417</v>
      </c>
      <c r="M3518" s="85" t="s">
        <v>12929</v>
      </c>
    </row>
    <row r="3519" ht="327.75" spans="1:13">
      <c r="A3519" s="85" t="s">
        <v>12875</v>
      </c>
      <c r="B3519" s="85" t="s">
        <v>11431</v>
      </c>
      <c r="C3519" s="85" t="s">
        <v>11432</v>
      </c>
      <c r="D3519" s="85" t="s">
        <v>3241</v>
      </c>
      <c r="E3519" s="85" t="s">
        <v>11433</v>
      </c>
      <c r="F3519" s="86">
        <v>9</v>
      </c>
      <c r="G3519" s="86">
        <v>40</v>
      </c>
      <c r="H3519" s="86">
        <v>360</v>
      </c>
      <c r="I3519" s="86">
        <v>25160</v>
      </c>
      <c r="J3519" s="85" t="s">
        <v>9135</v>
      </c>
      <c r="K3519" s="85" t="s">
        <v>12871</v>
      </c>
      <c r="L3519" s="85" t="s">
        <v>12417</v>
      </c>
      <c r="M3519" s="85" t="s">
        <v>12930</v>
      </c>
    </row>
    <row r="3520" ht="327.75" spans="1:13">
      <c r="A3520" s="85" t="s">
        <v>12914</v>
      </c>
      <c r="B3520" s="85" t="s">
        <v>9337</v>
      </c>
      <c r="C3520" s="85" t="s">
        <v>9338</v>
      </c>
      <c r="D3520" s="85" t="s">
        <v>3153</v>
      </c>
      <c r="E3520" s="85" t="s">
        <v>8431</v>
      </c>
      <c r="F3520" s="86">
        <v>370</v>
      </c>
      <c r="G3520" s="86">
        <v>2</v>
      </c>
      <c r="H3520" s="86">
        <v>740</v>
      </c>
      <c r="I3520" s="86">
        <v>1886</v>
      </c>
      <c r="J3520" s="85" t="s">
        <v>2935</v>
      </c>
      <c r="K3520" s="85" t="s">
        <v>12871</v>
      </c>
      <c r="L3520" s="85" t="s">
        <v>12417</v>
      </c>
      <c r="M3520" s="85" t="s">
        <v>12931</v>
      </c>
    </row>
    <row r="3521" ht="327.75" spans="1:13">
      <c r="A3521" s="85" t="s">
        <v>12932</v>
      </c>
      <c r="B3521" s="85" t="s">
        <v>9464</v>
      </c>
      <c r="C3521" s="85" t="s">
        <v>9465</v>
      </c>
      <c r="D3521" s="85" t="s">
        <v>4911</v>
      </c>
      <c r="E3521" s="85" t="s">
        <v>4761</v>
      </c>
      <c r="F3521" s="86">
        <v>10</v>
      </c>
      <c r="G3521" s="86">
        <v>100</v>
      </c>
      <c r="H3521" s="86">
        <v>1000</v>
      </c>
      <c r="I3521" s="86">
        <v>1000</v>
      </c>
      <c r="J3521" s="85" t="s">
        <v>2935</v>
      </c>
      <c r="K3521" s="85" t="s">
        <v>12871</v>
      </c>
      <c r="L3521" s="85" t="s">
        <v>12417</v>
      </c>
      <c r="M3521" s="85" t="s">
        <v>12933</v>
      </c>
    </row>
    <row r="3522" ht="327.75" spans="1:13">
      <c r="A3522" s="85" t="s">
        <v>12877</v>
      </c>
      <c r="B3522" s="85" t="s">
        <v>7924</v>
      </c>
      <c r="C3522" s="85" t="s">
        <v>7925</v>
      </c>
      <c r="D3522" s="85" t="s">
        <v>3548</v>
      </c>
      <c r="E3522" s="85" t="s">
        <v>1835</v>
      </c>
      <c r="F3522" s="86">
        <v>345</v>
      </c>
      <c r="G3522" s="86">
        <v>5</v>
      </c>
      <c r="H3522" s="86">
        <v>1725</v>
      </c>
      <c r="I3522" s="86">
        <v>47255</v>
      </c>
      <c r="J3522" s="85" t="s">
        <v>12217</v>
      </c>
      <c r="K3522" s="85" t="s">
        <v>12871</v>
      </c>
      <c r="L3522" s="85" t="s">
        <v>12417</v>
      </c>
      <c r="M3522" s="85" t="s">
        <v>12934</v>
      </c>
    </row>
    <row r="3523" ht="327.75" spans="1:13">
      <c r="A3523" s="85" t="s">
        <v>12935</v>
      </c>
      <c r="B3523" s="85" t="s">
        <v>8266</v>
      </c>
      <c r="C3523" s="85" t="s">
        <v>11077</v>
      </c>
      <c r="D3523" s="85" t="s">
        <v>3189</v>
      </c>
      <c r="E3523" s="85" t="s">
        <v>6337</v>
      </c>
      <c r="F3523" s="86">
        <v>27</v>
      </c>
      <c r="G3523" s="86">
        <v>360</v>
      </c>
      <c r="H3523" s="86">
        <v>9720</v>
      </c>
      <c r="I3523" s="86">
        <v>9720</v>
      </c>
      <c r="J3523" s="85" t="s">
        <v>8268</v>
      </c>
      <c r="K3523" s="85" t="s">
        <v>12871</v>
      </c>
      <c r="L3523" s="85" t="s">
        <v>12417</v>
      </c>
      <c r="M3523" s="85" t="s">
        <v>12936</v>
      </c>
    </row>
    <row r="3524" ht="327.75" spans="1:13">
      <c r="A3524" s="85" t="s">
        <v>12879</v>
      </c>
      <c r="B3524" s="85" t="s">
        <v>12937</v>
      </c>
      <c r="C3524" s="85" t="s">
        <v>12938</v>
      </c>
      <c r="D3524" s="85" t="s">
        <v>3068</v>
      </c>
      <c r="E3524" s="85" t="s">
        <v>11267</v>
      </c>
      <c r="F3524" s="86">
        <v>35</v>
      </c>
      <c r="G3524" s="86">
        <v>1</v>
      </c>
      <c r="H3524" s="86">
        <v>35</v>
      </c>
      <c r="I3524" s="86">
        <v>2084</v>
      </c>
      <c r="J3524" s="85" t="s">
        <v>2935</v>
      </c>
      <c r="K3524" s="85" t="s">
        <v>12871</v>
      </c>
      <c r="L3524" s="85" t="s">
        <v>12417</v>
      </c>
      <c r="M3524" s="85" t="s">
        <v>12939</v>
      </c>
    </row>
    <row r="3525" ht="327.75" spans="1:13">
      <c r="A3525" s="85" t="s">
        <v>12884</v>
      </c>
      <c r="B3525" s="85" t="s">
        <v>9606</v>
      </c>
      <c r="C3525" s="85" t="s">
        <v>9607</v>
      </c>
      <c r="D3525" s="85" t="s">
        <v>3082</v>
      </c>
      <c r="E3525" s="85" t="s">
        <v>5127</v>
      </c>
      <c r="F3525" s="86">
        <v>37</v>
      </c>
      <c r="G3525" s="86">
        <v>60</v>
      </c>
      <c r="H3525" s="86">
        <v>2220</v>
      </c>
      <c r="I3525" s="86">
        <v>17698</v>
      </c>
      <c r="J3525" s="85" t="s">
        <v>2935</v>
      </c>
      <c r="K3525" s="85" t="s">
        <v>12871</v>
      </c>
      <c r="L3525" s="85" t="s">
        <v>12417</v>
      </c>
      <c r="M3525" s="85" t="s">
        <v>12940</v>
      </c>
    </row>
    <row r="3526" ht="327.75" spans="1:13">
      <c r="A3526" s="85" t="s">
        <v>12896</v>
      </c>
      <c r="B3526" s="85" t="s">
        <v>12941</v>
      </c>
      <c r="C3526" s="85" t="s">
        <v>12942</v>
      </c>
      <c r="D3526" s="85" t="s">
        <v>11104</v>
      </c>
      <c r="E3526" s="85" t="s">
        <v>11105</v>
      </c>
      <c r="F3526" s="86">
        <v>85</v>
      </c>
      <c r="G3526" s="86">
        <v>50</v>
      </c>
      <c r="H3526" s="86">
        <v>4250</v>
      </c>
      <c r="I3526" s="86">
        <v>4706</v>
      </c>
      <c r="J3526" s="85" t="s">
        <v>4391</v>
      </c>
      <c r="K3526" s="85" t="s">
        <v>12871</v>
      </c>
      <c r="L3526" s="85" t="s">
        <v>12417</v>
      </c>
      <c r="M3526" s="85" t="s">
        <v>12943</v>
      </c>
    </row>
    <row r="3527" ht="327.75" spans="1:13">
      <c r="A3527" s="85" t="s">
        <v>12875</v>
      </c>
      <c r="B3527" s="85" t="s">
        <v>11450</v>
      </c>
      <c r="C3527" s="85" t="s">
        <v>11451</v>
      </c>
      <c r="D3527" s="85" t="s">
        <v>2992</v>
      </c>
      <c r="E3527" s="85" t="s">
        <v>1815</v>
      </c>
      <c r="F3527" s="86">
        <v>360</v>
      </c>
      <c r="G3527" s="86">
        <v>10</v>
      </c>
      <c r="H3527" s="86">
        <v>3600</v>
      </c>
      <c r="I3527" s="86">
        <v>25160</v>
      </c>
      <c r="J3527" s="85" t="s">
        <v>9135</v>
      </c>
      <c r="K3527" s="85" t="s">
        <v>12871</v>
      </c>
      <c r="L3527" s="85" t="s">
        <v>12417</v>
      </c>
      <c r="M3527" s="85" t="s">
        <v>12944</v>
      </c>
    </row>
    <row r="3528" ht="327.75" spans="1:13">
      <c r="A3528" s="85" t="s">
        <v>12914</v>
      </c>
      <c r="B3528" s="85" t="s">
        <v>10214</v>
      </c>
      <c r="C3528" s="85" t="s">
        <v>10215</v>
      </c>
      <c r="D3528" s="85" t="s">
        <v>3241</v>
      </c>
      <c r="E3528" s="85" t="s">
        <v>3689</v>
      </c>
      <c r="F3528" s="86">
        <v>48</v>
      </c>
      <c r="G3528" s="86">
        <v>2</v>
      </c>
      <c r="H3528" s="86">
        <v>96</v>
      </c>
      <c r="I3528" s="86">
        <v>1886</v>
      </c>
      <c r="J3528" s="85" t="s">
        <v>2935</v>
      </c>
      <c r="K3528" s="85" t="s">
        <v>12871</v>
      </c>
      <c r="L3528" s="85" t="s">
        <v>12417</v>
      </c>
      <c r="M3528" s="85" t="s">
        <v>12945</v>
      </c>
    </row>
    <row r="3529" ht="327.75" spans="1:13">
      <c r="A3529" s="85" t="s">
        <v>12884</v>
      </c>
      <c r="B3529" s="85" t="s">
        <v>12946</v>
      </c>
      <c r="C3529" s="85" t="s">
        <v>12947</v>
      </c>
      <c r="D3529" s="85" t="s">
        <v>5546</v>
      </c>
      <c r="E3529" s="85" t="s">
        <v>9512</v>
      </c>
      <c r="F3529" s="86">
        <v>517</v>
      </c>
      <c r="G3529" s="86">
        <v>2</v>
      </c>
      <c r="H3529" s="86">
        <v>1034</v>
      </c>
      <c r="I3529" s="86">
        <v>17698</v>
      </c>
      <c r="J3529" s="85" t="s">
        <v>2935</v>
      </c>
      <c r="K3529" s="85" t="s">
        <v>12871</v>
      </c>
      <c r="L3529" s="85" t="s">
        <v>12417</v>
      </c>
      <c r="M3529" s="85" t="s">
        <v>12948</v>
      </c>
    </row>
    <row r="3530" ht="327.75" spans="1:13">
      <c r="A3530" s="85" t="s">
        <v>12884</v>
      </c>
      <c r="B3530" s="85" t="s">
        <v>10958</v>
      </c>
      <c r="C3530" s="85" t="s">
        <v>10959</v>
      </c>
      <c r="D3530" s="85" t="s">
        <v>5766</v>
      </c>
      <c r="E3530" s="85" t="s">
        <v>10960</v>
      </c>
      <c r="F3530" s="86">
        <v>3</v>
      </c>
      <c r="G3530" s="86">
        <v>50</v>
      </c>
      <c r="H3530" s="86">
        <v>150</v>
      </c>
      <c r="I3530" s="86">
        <v>17698</v>
      </c>
      <c r="J3530" s="85" t="s">
        <v>2935</v>
      </c>
      <c r="K3530" s="85" t="s">
        <v>12871</v>
      </c>
      <c r="L3530" s="85" t="s">
        <v>12417</v>
      </c>
      <c r="M3530" s="85" t="s">
        <v>12949</v>
      </c>
    </row>
    <row r="3531" ht="327.75" spans="1:13">
      <c r="A3531" s="85" t="s">
        <v>12879</v>
      </c>
      <c r="B3531" s="85" t="s">
        <v>12663</v>
      </c>
      <c r="C3531" s="85" t="s">
        <v>12664</v>
      </c>
      <c r="D3531" s="85" t="s">
        <v>3183</v>
      </c>
      <c r="E3531" s="85" t="s">
        <v>9804</v>
      </c>
      <c r="F3531" s="86">
        <v>76</v>
      </c>
      <c r="G3531" s="86">
        <v>3</v>
      </c>
      <c r="H3531" s="86">
        <v>228</v>
      </c>
      <c r="I3531" s="86">
        <v>2084</v>
      </c>
      <c r="J3531" s="85" t="s">
        <v>2935</v>
      </c>
      <c r="K3531" s="85" t="s">
        <v>12871</v>
      </c>
      <c r="L3531" s="85" t="s">
        <v>12417</v>
      </c>
      <c r="M3531" s="85" t="s">
        <v>12950</v>
      </c>
    </row>
    <row r="3532" ht="327.75" spans="1:13">
      <c r="A3532" s="85" t="s">
        <v>12909</v>
      </c>
      <c r="B3532" s="85" t="s">
        <v>12150</v>
      </c>
      <c r="C3532" s="85" t="s">
        <v>12151</v>
      </c>
      <c r="D3532" s="85" t="s">
        <v>11161</v>
      </c>
      <c r="E3532" s="85" t="s">
        <v>11162</v>
      </c>
      <c r="F3532" s="86">
        <v>3</v>
      </c>
      <c r="G3532" s="86">
        <v>100</v>
      </c>
      <c r="H3532" s="86">
        <v>300</v>
      </c>
      <c r="I3532" s="86">
        <v>16490</v>
      </c>
      <c r="J3532" s="85" t="s">
        <v>2935</v>
      </c>
      <c r="K3532" s="85" t="s">
        <v>12871</v>
      </c>
      <c r="L3532" s="85" t="s">
        <v>12417</v>
      </c>
      <c r="M3532" s="85" t="s">
        <v>12951</v>
      </c>
    </row>
    <row r="3533" ht="327.75" spans="1:13">
      <c r="A3533" s="85" t="s">
        <v>12884</v>
      </c>
      <c r="B3533" s="85" t="s">
        <v>12952</v>
      </c>
      <c r="C3533" s="85" t="s">
        <v>12953</v>
      </c>
      <c r="D3533" s="85" t="s">
        <v>3414</v>
      </c>
      <c r="E3533" s="85" t="s">
        <v>9503</v>
      </c>
      <c r="F3533" s="86">
        <v>15</v>
      </c>
      <c r="G3533" s="86">
        <v>20</v>
      </c>
      <c r="H3533" s="86">
        <v>300</v>
      </c>
      <c r="I3533" s="86">
        <v>17698</v>
      </c>
      <c r="J3533" s="85" t="s">
        <v>2935</v>
      </c>
      <c r="K3533" s="85" t="s">
        <v>12871</v>
      </c>
      <c r="L3533" s="85" t="s">
        <v>12417</v>
      </c>
      <c r="M3533" s="85" t="s">
        <v>12954</v>
      </c>
    </row>
    <row r="3534" ht="327.75" spans="1:13">
      <c r="A3534" s="85" t="s">
        <v>12909</v>
      </c>
      <c r="B3534" s="85" t="s">
        <v>5349</v>
      </c>
      <c r="C3534" s="85" t="s">
        <v>5350</v>
      </c>
      <c r="D3534" s="85" t="s">
        <v>3189</v>
      </c>
      <c r="E3534" s="85" t="s">
        <v>5351</v>
      </c>
      <c r="F3534" s="86">
        <v>22</v>
      </c>
      <c r="G3534" s="86">
        <v>5</v>
      </c>
      <c r="H3534" s="86">
        <v>110</v>
      </c>
      <c r="I3534" s="86">
        <v>16490</v>
      </c>
      <c r="J3534" s="85" t="s">
        <v>2935</v>
      </c>
      <c r="K3534" s="85" t="s">
        <v>12871</v>
      </c>
      <c r="L3534" s="85" t="s">
        <v>12417</v>
      </c>
      <c r="M3534" s="85" t="s">
        <v>12955</v>
      </c>
    </row>
    <row r="3535" ht="327.75" spans="1:13">
      <c r="A3535" s="85" t="s">
        <v>12870</v>
      </c>
      <c r="B3535" s="85" t="s">
        <v>10049</v>
      </c>
      <c r="C3535" s="85" t="s">
        <v>10050</v>
      </c>
      <c r="D3535" s="85" t="s">
        <v>7140</v>
      </c>
      <c r="E3535" s="85" t="s">
        <v>7141</v>
      </c>
      <c r="F3535" s="86">
        <v>279</v>
      </c>
      <c r="G3535" s="86">
        <v>50</v>
      </c>
      <c r="H3535" s="86">
        <v>13950</v>
      </c>
      <c r="I3535" s="86">
        <v>42741</v>
      </c>
      <c r="J3535" s="85" t="s">
        <v>2935</v>
      </c>
      <c r="K3535" s="85" t="s">
        <v>12871</v>
      </c>
      <c r="L3535" s="85" t="s">
        <v>12417</v>
      </c>
      <c r="M3535" s="85" t="s">
        <v>12956</v>
      </c>
    </row>
    <row r="3536" ht="327.75" spans="1:13">
      <c r="A3536" s="85" t="s">
        <v>12884</v>
      </c>
      <c r="B3536" s="85" t="s">
        <v>9695</v>
      </c>
      <c r="C3536" s="85" t="s">
        <v>9696</v>
      </c>
      <c r="D3536" s="85" t="s">
        <v>5610</v>
      </c>
      <c r="E3536" s="85" t="s">
        <v>5611</v>
      </c>
      <c r="F3536" s="86">
        <v>64</v>
      </c>
      <c r="G3536" s="86">
        <v>40</v>
      </c>
      <c r="H3536" s="86">
        <v>2560</v>
      </c>
      <c r="I3536" s="86">
        <v>17698</v>
      </c>
      <c r="J3536" s="85" t="s">
        <v>2935</v>
      </c>
      <c r="K3536" s="85" t="s">
        <v>12871</v>
      </c>
      <c r="L3536" s="85" t="s">
        <v>12417</v>
      </c>
      <c r="M3536" s="85" t="s">
        <v>12957</v>
      </c>
    </row>
    <row r="3537" ht="327.75" spans="1:13">
      <c r="A3537" s="85" t="s">
        <v>12873</v>
      </c>
      <c r="B3537" s="85" t="s">
        <v>12475</v>
      </c>
      <c r="C3537" s="85" t="s">
        <v>12476</v>
      </c>
      <c r="D3537" s="85" t="s">
        <v>6901</v>
      </c>
      <c r="E3537" s="85" t="s">
        <v>5752</v>
      </c>
      <c r="F3537" s="86">
        <v>32.5</v>
      </c>
      <c r="G3537" s="86">
        <v>150</v>
      </c>
      <c r="H3537" s="86">
        <v>4875</v>
      </c>
      <c r="I3537" s="86">
        <v>10057</v>
      </c>
      <c r="J3537" s="85" t="s">
        <v>4391</v>
      </c>
      <c r="K3537" s="85" t="s">
        <v>12871</v>
      </c>
      <c r="L3537" s="85" t="s">
        <v>12417</v>
      </c>
      <c r="M3537" s="85" t="s">
        <v>12958</v>
      </c>
    </row>
    <row r="3538" ht="327.75" spans="1:13">
      <c r="A3538" s="85" t="s">
        <v>12879</v>
      </c>
      <c r="B3538" s="85" t="s">
        <v>12002</v>
      </c>
      <c r="C3538" s="85" t="s">
        <v>12003</v>
      </c>
      <c r="D3538" s="85" t="s">
        <v>3197</v>
      </c>
      <c r="E3538" s="85" t="s">
        <v>12004</v>
      </c>
      <c r="F3538" s="86">
        <v>1.9</v>
      </c>
      <c r="G3538" s="86">
        <v>200</v>
      </c>
      <c r="H3538" s="86">
        <v>380</v>
      </c>
      <c r="I3538" s="86">
        <v>2084</v>
      </c>
      <c r="J3538" s="85" t="s">
        <v>2935</v>
      </c>
      <c r="K3538" s="85" t="s">
        <v>12871</v>
      </c>
      <c r="L3538" s="85" t="s">
        <v>12417</v>
      </c>
      <c r="M3538" s="85" t="s">
        <v>12959</v>
      </c>
    </row>
    <row r="3539" ht="327.75" spans="1:13">
      <c r="A3539" s="85" t="s">
        <v>12873</v>
      </c>
      <c r="B3539" s="85" t="s">
        <v>11524</v>
      </c>
      <c r="C3539" s="85" t="s">
        <v>11525</v>
      </c>
      <c r="D3539" s="85" t="s">
        <v>5355</v>
      </c>
      <c r="E3539" s="85" t="s">
        <v>10062</v>
      </c>
      <c r="F3539" s="86">
        <v>263</v>
      </c>
      <c r="G3539" s="86">
        <v>5</v>
      </c>
      <c r="H3539" s="86">
        <v>1315</v>
      </c>
      <c r="I3539" s="86">
        <v>10057</v>
      </c>
      <c r="J3539" s="85" t="s">
        <v>4391</v>
      </c>
      <c r="K3539" s="85" t="s">
        <v>12871</v>
      </c>
      <c r="L3539" s="85" t="s">
        <v>12417</v>
      </c>
      <c r="M3539" s="85" t="s">
        <v>12960</v>
      </c>
    </row>
    <row r="3540" ht="327.75" spans="1:13">
      <c r="A3540" s="85" t="s">
        <v>12875</v>
      </c>
      <c r="B3540" s="85" t="s">
        <v>11507</v>
      </c>
      <c r="C3540" s="85" t="s">
        <v>11508</v>
      </c>
      <c r="D3540" s="85" t="s">
        <v>2992</v>
      </c>
      <c r="E3540" s="85" t="s">
        <v>1815</v>
      </c>
      <c r="F3540" s="86">
        <v>392</v>
      </c>
      <c r="G3540" s="86">
        <v>5</v>
      </c>
      <c r="H3540" s="86">
        <v>1960</v>
      </c>
      <c r="I3540" s="86">
        <v>25160</v>
      </c>
      <c r="J3540" s="85" t="s">
        <v>9135</v>
      </c>
      <c r="K3540" s="85" t="s">
        <v>12871</v>
      </c>
      <c r="L3540" s="85" t="s">
        <v>12417</v>
      </c>
      <c r="M3540" s="85" t="s">
        <v>12961</v>
      </c>
    </row>
    <row r="3541" ht="327.75" spans="1:13">
      <c r="A3541" s="85" t="s">
        <v>12884</v>
      </c>
      <c r="B3541" s="85" t="s">
        <v>12962</v>
      </c>
      <c r="C3541" s="85" t="s">
        <v>12963</v>
      </c>
      <c r="D3541" s="85" t="s">
        <v>12964</v>
      </c>
      <c r="E3541" s="85" t="s">
        <v>12965</v>
      </c>
      <c r="F3541" s="86">
        <v>5</v>
      </c>
      <c r="G3541" s="86">
        <v>20</v>
      </c>
      <c r="H3541" s="86">
        <v>100</v>
      </c>
      <c r="I3541" s="86">
        <v>17698</v>
      </c>
      <c r="J3541" s="85" t="s">
        <v>2935</v>
      </c>
      <c r="K3541" s="85" t="s">
        <v>12871</v>
      </c>
      <c r="L3541" s="85" t="s">
        <v>12417</v>
      </c>
      <c r="M3541" s="85" t="s">
        <v>12966</v>
      </c>
    </row>
    <row r="3542" ht="327.75" spans="1:13">
      <c r="A3542" s="85" t="s">
        <v>12967</v>
      </c>
      <c r="B3542" s="85" t="s">
        <v>5429</v>
      </c>
      <c r="C3542" s="85" t="s">
        <v>5430</v>
      </c>
      <c r="D3542" s="85" t="s">
        <v>5431</v>
      </c>
      <c r="E3542" s="85" t="s">
        <v>5432</v>
      </c>
      <c r="F3542" s="86">
        <v>136.5</v>
      </c>
      <c r="G3542" s="86">
        <v>3</v>
      </c>
      <c r="H3542" s="86">
        <v>409.5</v>
      </c>
      <c r="I3542" s="86">
        <v>409.5</v>
      </c>
      <c r="J3542" s="85" t="s">
        <v>4391</v>
      </c>
      <c r="K3542" s="85" t="s">
        <v>12871</v>
      </c>
      <c r="L3542" s="85" t="s">
        <v>12417</v>
      </c>
      <c r="M3542" s="85" t="s">
        <v>12968</v>
      </c>
    </row>
    <row r="3543" ht="327.75" spans="1:13">
      <c r="A3543" s="85" t="s">
        <v>12870</v>
      </c>
      <c r="B3543" s="85" t="s">
        <v>12969</v>
      </c>
      <c r="C3543" s="85" t="s">
        <v>12970</v>
      </c>
      <c r="D3543" s="85" t="s">
        <v>12971</v>
      </c>
      <c r="E3543" s="85" t="s">
        <v>12972</v>
      </c>
      <c r="F3543" s="86">
        <v>32</v>
      </c>
      <c r="G3543" s="86">
        <v>20</v>
      </c>
      <c r="H3543" s="86">
        <v>640</v>
      </c>
      <c r="I3543" s="86">
        <v>42741</v>
      </c>
      <c r="J3543" s="85" t="s">
        <v>2935</v>
      </c>
      <c r="K3543" s="85" t="s">
        <v>12871</v>
      </c>
      <c r="L3543" s="85" t="s">
        <v>12417</v>
      </c>
      <c r="M3543" s="85" t="s">
        <v>12973</v>
      </c>
    </row>
    <row r="3544" ht="327.75" spans="1:13">
      <c r="A3544" s="85" t="s">
        <v>12888</v>
      </c>
      <c r="B3544" s="85" t="s">
        <v>6899</v>
      </c>
      <c r="C3544" s="85" t="s">
        <v>6900</v>
      </c>
      <c r="D3544" s="85" t="s">
        <v>6901</v>
      </c>
      <c r="E3544" s="85" t="s">
        <v>5752</v>
      </c>
      <c r="F3544" s="86">
        <v>35.1</v>
      </c>
      <c r="G3544" s="86">
        <v>200</v>
      </c>
      <c r="H3544" s="86">
        <v>7020</v>
      </c>
      <c r="I3544" s="86">
        <v>7637</v>
      </c>
      <c r="J3544" s="85" t="s">
        <v>4391</v>
      </c>
      <c r="K3544" s="85" t="s">
        <v>12871</v>
      </c>
      <c r="L3544" s="85" t="s">
        <v>12417</v>
      </c>
      <c r="M3544" s="85" t="s">
        <v>12974</v>
      </c>
    </row>
    <row r="3545" ht="327.75" spans="1:13">
      <c r="A3545" s="85" t="s">
        <v>12884</v>
      </c>
      <c r="B3545" s="85" t="s">
        <v>10075</v>
      </c>
      <c r="C3545" s="85" t="s">
        <v>10076</v>
      </c>
      <c r="D3545" s="85" t="s">
        <v>5610</v>
      </c>
      <c r="E3545" s="85" t="s">
        <v>9988</v>
      </c>
      <c r="F3545" s="86">
        <v>5.8</v>
      </c>
      <c r="G3545" s="86">
        <v>80</v>
      </c>
      <c r="H3545" s="86">
        <v>464</v>
      </c>
      <c r="I3545" s="86">
        <v>17698</v>
      </c>
      <c r="J3545" s="85" t="s">
        <v>2935</v>
      </c>
      <c r="K3545" s="85" t="s">
        <v>12871</v>
      </c>
      <c r="L3545" s="85" t="s">
        <v>12417</v>
      </c>
      <c r="M3545" s="85" t="s">
        <v>12975</v>
      </c>
    </row>
    <row r="3546" ht="327.75" spans="1:13">
      <c r="A3546" s="85" t="s">
        <v>12877</v>
      </c>
      <c r="B3546" s="85" t="s">
        <v>5662</v>
      </c>
      <c r="C3546" s="85" t="s">
        <v>11672</v>
      </c>
      <c r="D3546" s="85" t="s">
        <v>4076</v>
      </c>
      <c r="E3546" s="85" t="s">
        <v>1832</v>
      </c>
      <c r="F3546" s="86">
        <v>106</v>
      </c>
      <c r="G3546" s="86">
        <v>180</v>
      </c>
      <c r="H3546" s="86">
        <v>19080</v>
      </c>
      <c r="I3546" s="86">
        <v>47255</v>
      </c>
      <c r="J3546" s="85" t="s">
        <v>12217</v>
      </c>
      <c r="K3546" s="85" t="s">
        <v>12871</v>
      </c>
      <c r="L3546" s="85" t="s">
        <v>12417</v>
      </c>
      <c r="M3546" s="85" t="s">
        <v>12976</v>
      </c>
    </row>
    <row r="3547" ht="327.75" spans="1:13">
      <c r="A3547" s="85" t="s">
        <v>12909</v>
      </c>
      <c r="B3547" s="85" t="s">
        <v>9533</v>
      </c>
      <c r="C3547" s="85" t="s">
        <v>9534</v>
      </c>
      <c r="D3547" s="85" t="s">
        <v>2977</v>
      </c>
      <c r="E3547" s="85" t="s">
        <v>8894</v>
      </c>
      <c r="F3547" s="86">
        <v>4</v>
      </c>
      <c r="G3547" s="86">
        <v>320</v>
      </c>
      <c r="H3547" s="86">
        <v>1280</v>
      </c>
      <c r="I3547" s="86">
        <v>16490</v>
      </c>
      <c r="J3547" s="85" t="s">
        <v>2935</v>
      </c>
      <c r="K3547" s="85" t="s">
        <v>12871</v>
      </c>
      <c r="L3547" s="85" t="s">
        <v>12417</v>
      </c>
      <c r="M3547" s="85" t="s">
        <v>12977</v>
      </c>
    </row>
    <row r="3548" ht="327.75" spans="1:13">
      <c r="A3548" s="85" t="s">
        <v>12884</v>
      </c>
      <c r="B3548" s="85" t="s">
        <v>12978</v>
      </c>
      <c r="C3548" s="85" t="s">
        <v>12979</v>
      </c>
      <c r="D3548" s="85" t="s">
        <v>5941</v>
      </c>
      <c r="E3548" s="85" t="s">
        <v>9693</v>
      </c>
      <c r="F3548" s="86">
        <v>91</v>
      </c>
      <c r="G3548" s="86">
        <v>5</v>
      </c>
      <c r="H3548" s="86">
        <v>455</v>
      </c>
      <c r="I3548" s="86">
        <v>17698</v>
      </c>
      <c r="J3548" s="85" t="s">
        <v>2935</v>
      </c>
      <c r="K3548" s="85" t="s">
        <v>12871</v>
      </c>
      <c r="L3548" s="85" t="s">
        <v>12417</v>
      </c>
      <c r="M3548" s="85" t="s">
        <v>12980</v>
      </c>
    </row>
    <row r="3549" ht="327.75" spans="1:13">
      <c r="A3549" s="85" t="s">
        <v>12981</v>
      </c>
      <c r="B3549" s="85" t="s">
        <v>10965</v>
      </c>
      <c r="C3549" s="85" t="s">
        <v>10966</v>
      </c>
      <c r="D3549" s="85" t="s">
        <v>10967</v>
      </c>
      <c r="E3549" s="85" t="s">
        <v>10968</v>
      </c>
      <c r="F3549" s="86">
        <v>769</v>
      </c>
      <c r="G3549" s="86">
        <v>1</v>
      </c>
      <c r="H3549" s="86">
        <v>769</v>
      </c>
      <c r="I3549" s="86">
        <v>8769</v>
      </c>
      <c r="J3549" s="85" t="s">
        <v>2935</v>
      </c>
      <c r="K3549" s="85" t="s">
        <v>12871</v>
      </c>
      <c r="L3549" s="85" t="s">
        <v>12417</v>
      </c>
      <c r="M3549" s="85" t="s">
        <v>12982</v>
      </c>
    </row>
    <row r="3550" ht="327.75" spans="1:13">
      <c r="A3550" s="85" t="s">
        <v>12983</v>
      </c>
      <c r="B3550" s="85" t="s">
        <v>11019</v>
      </c>
      <c r="C3550" s="85" t="s">
        <v>11020</v>
      </c>
      <c r="D3550" s="85" t="s">
        <v>3438</v>
      </c>
      <c r="E3550" s="85" t="s">
        <v>11021</v>
      </c>
      <c r="F3550" s="86">
        <v>0.57</v>
      </c>
      <c r="G3550" s="86">
        <v>2000</v>
      </c>
      <c r="H3550" s="86">
        <v>1140</v>
      </c>
      <c r="I3550" s="86">
        <v>1140</v>
      </c>
      <c r="J3550" s="85" t="s">
        <v>4391</v>
      </c>
      <c r="K3550" s="85" t="s">
        <v>12871</v>
      </c>
      <c r="L3550" s="85" t="s">
        <v>12417</v>
      </c>
      <c r="M3550" s="85" t="s">
        <v>12984</v>
      </c>
    </row>
    <row r="3551" ht="327.75" spans="1:13">
      <c r="A3551" s="85" t="s">
        <v>12873</v>
      </c>
      <c r="B3551" s="85" t="s">
        <v>12985</v>
      </c>
      <c r="C3551" s="85" t="s">
        <v>12986</v>
      </c>
      <c r="D3551" s="85" t="s">
        <v>4013</v>
      </c>
      <c r="E3551" s="85" t="s">
        <v>2068</v>
      </c>
      <c r="F3551" s="86">
        <v>185</v>
      </c>
      <c r="G3551" s="86">
        <v>1</v>
      </c>
      <c r="H3551" s="86">
        <v>185</v>
      </c>
      <c r="I3551" s="86">
        <v>10057</v>
      </c>
      <c r="J3551" s="85" t="s">
        <v>4391</v>
      </c>
      <c r="K3551" s="85" t="s">
        <v>12871</v>
      </c>
      <c r="L3551" s="85" t="s">
        <v>12417</v>
      </c>
      <c r="M3551" s="85" t="s">
        <v>12987</v>
      </c>
    </row>
    <row r="3552" ht="327.75" spans="1:13">
      <c r="A3552" s="85" t="s">
        <v>12875</v>
      </c>
      <c r="B3552" s="85" t="s">
        <v>11472</v>
      </c>
      <c r="C3552" s="85" t="s">
        <v>11473</v>
      </c>
      <c r="D3552" s="85" t="s">
        <v>2992</v>
      </c>
      <c r="E3552" s="85" t="s">
        <v>1815</v>
      </c>
      <c r="F3552" s="86">
        <v>0.25</v>
      </c>
      <c r="G3552" s="86">
        <v>60000</v>
      </c>
      <c r="H3552" s="86">
        <v>15000</v>
      </c>
      <c r="I3552" s="86">
        <v>25160</v>
      </c>
      <c r="J3552" s="85" t="s">
        <v>9135</v>
      </c>
      <c r="K3552" s="85" t="s">
        <v>12871</v>
      </c>
      <c r="L3552" s="85" t="s">
        <v>12417</v>
      </c>
      <c r="M3552" s="85" t="s">
        <v>12988</v>
      </c>
    </row>
    <row r="3553" ht="327.75" spans="1:13">
      <c r="A3553" s="85" t="s">
        <v>12884</v>
      </c>
      <c r="B3553" s="85" t="s">
        <v>10014</v>
      </c>
      <c r="C3553" s="85" t="s">
        <v>10015</v>
      </c>
      <c r="D3553" s="85" t="s">
        <v>4752</v>
      </c>
      <c r="E3553" s="85" t="s">
        <v>7659</v>
      </c>
      <c r="F3553" s="86">
        <v>480</v>
      </c>
      <c r="G3553" s="86">
        <v>10</v>
      </c>
      <c r="H3553" s="86">
        <v>4800</v>
      </c>
      <c r="I3553" s="86">
        <v>17698</v>
      </c>
      <c r="J3553" s="85" t="s">
        <v>2935</v>
      </c>
      <c r="K3553" s="85" t="s">
        <v>12871</v>
      </c>
      <c r="L3553" s="85" t="s">
        <v>12417</v>
      </c>
      <c r="M3553" s="85" t="s">
        <v>12989</v>
      </c>
    </row>
    <row r="3554" ht="327.75" spans="1:13">
      <c r="A3554" s="85" t="s">
        <v>12914</v>
      </c>
      <c r="B3554" s="85" t="s">
        <v>12636</v>
      </c>
      <c r="C3554" s="85" t="s">
        <v>12637</v>
      </c>
      <c r="D3554" s="85" t="s">
        <v>3625</v>
      </c>
      <c r="E3554" s="85" t="s">
        <v>10093</v>
      </c>
      <c r="F3554" s="86">
        <v>3</v>
      </c>
      <c r="G3554" s="86">
        <v>50</v>
      </c>
      <c r="H3554" s="86">
        <v>150</v>
      </c>
      <c r="I3554" s="86">
        <v>1886</v>
      </c>
      <c r="J3554" s="85" t="s">
        <v>2935</v>
      </c>
      <c r="K3554" s="85" t="s">
        <v>12871</v>
      </c>
      <c r="L3554" s="85" t="s">
        <v>12417</v>
      </c>
      <c r="M3554" s="85" t="s">
        <v>12990</v>
      </c>
    </row>
    <row r="3555" ht="327.75" spans="1:13">
      <c r="A3555" s="85" t="s">
        <v>12870</v>
      </c>
      <c r="B3555" s="85" t="s">
        <v>5460</v>
      </c>
      <c r="C3555" s="85" t="s">
        <v>5461</v>
      </c>
      <c r="D3555" s="85" t="s">
        <v>3680</v>
      </c>
      <c r="E3555" s="85" t="s">
        <v>5462</v>
      </c>
      <c r="F3555" s="86">
        <v>1180</v>
      </c>
      <c r="G3555" s="86">
        <v>12</v>
      </c>
      <c r="H3555" s="86">
        <v>14160</v>
      </c>
      <c r="I3555" s="86">
        <v>42741</v>
      </c>
      <c r="J3555" s="85" t="s">
        <v>2935</v>
      </c>
      <c r="K3555" s="85" t="s">
        <v>12871</v>
      </c>
      <c r="L3555" s="85" t="s">
        <v>12417</v>
      </c>
      <c r="M3555" s="85" t="s">
        <v>12991</v>
      </c>
    </row>
    <row r="3556" ht="327.75" spans="1:13">
      <c r="A3556" s="85" t="s">
        <v>12870</v>
      </c>
      <c r="B3556" s="85" t="s">
        <v>11375</v>
      </c>
      <c r="C3556" s="85" t="s">
        <v>11376</v>
      </c>
      <c r="D3556" s="85" t="s">
        <v>2997</v>
      </c>
      <c r="E3556" s="85" t="s">
        <v>2998</v>
      </c>
      <c r="F3556" s="86">
        <v>18</v>
      </c>
      <c r="G3556" s="86">
        <v>320</v>
      </c>
      <c r="H3556" s="86">
        <v>5760</v>
      </c>
      <c r="I3556" s="86">
        <v>42741</v>
      </c>
      <c r="J3556" s="85" t="s">
        <v>2935</v>
      </c>
      <c r="K3556" s="85" t="s">
        <v>12871</v>
      </c>
      <c r="L3556" s="85" t="s">
        <v>12417</v>
      </c>
      <c r="M3556" s="85" t="s">
        <v>12992</v>
      </c>
    </row>
    <row r="3557" ht="327.75" spans="1:13">
      <c r="A3557" s="85" t="s">
        <v>12884</v>
      </c>
      <c r="B3557" s="85" t="s">
        <v>10029</v>
      </c>
      <c r="C3557" s="85" t="s">
        <v>10030</v>
      </c>
      <c r="D3557" s="85" t="s">
        <v>7009</v>
      </c>
      <c r="E3557" s="85" t="s">
        <v>10031</v>
      </c>
      <c r="F3557" s="86">
        <v>12</v>
      </c>
      <c r="G3557" s="86">
        <v>200</v>
      </c>
      <c r="H3557" s="86">
        <v>2400</v>
      </c>
      <c r="I3557" s="86">
        <v>17698</v>
      </c>
      <c r="J3557" s="85" t="s">
        <v>2935</v>
      </c>
      <c r="K3557" s="85" t="s">
        <v>12871</v>
      </c>
      <c r="L3557" s="85" t="s">
        <v>12417</v>
      </c>
      <c r="M3557" s="85" t="s">
        <v>12993</v>
      </c>
    </row>
    <row r="3558" ht="327.75" spans="1:13">
      <c r="A3558" s="85" t="s">
        <v>12994</v>
      </c>
      <c r="B3558" s="85" t="s">
        <v>11188</v>
      </c>
      <c r="C3558" s="85" t="s">
        <v>12648</v>
      </c>
      <c r="D3558" s="85" t="s">
        <v>3532</v>
      </c>
      <c r="E3558" s="85" t="s">
        <v>3533</v>
      </c>
      <c r="F3558" s="86">
        <v>130</v>
      </c>
      <c r="G3558" s="86">
        <v>40</v>
      </c>
      <c r="H3558" s="86">
        <v>5200</v>
      </c>
      <c r="I3558" s="86">
        <v>5200</v>
      </c>
      <c r="J3558" s="85" t="s">
        <v>12217</v>
      </c>
      <c r="K3558" s="85" t="s">
        <v>12871</v>
      </c>
      <c r="L3558" s="85" t="s">
        <v>12417</v>
      </c>
      <c r="M3558" s="85" t="s">
        <v>12995</v>
      </c>
    </row>
    <row r="3559" ht="327.75" spans="1:13">
      <c r="A3559" s="85" t="s">
        <v>12875</v>
      </c>
      <c r="B3559" s="85" t="s">
        <v>11527</v>
      </c>
      <c r="C3559" s="85" t="s">
        <v>11528</v>
      </c>
      <c r="D3559" s="85" t="s">
        <v>2992</v>
      </c>
      <c r="E3559" s="85" t="s">
        <v>1815</v>
      </c>
      <c r="F3559" s="86">
        <v>0.47</v>
      </c>
      <c r="G3559" s="86">
        <v>4000</v>
      </c>
      <c r="H3559" s="86">
        <v>1880</v>
      </c>
      <c r="I3559" s="86">
        <v>25160</v>
      </c>
      <c r="J3559" s="85" t="s">
        <v>9135</v>
      </c>
      <c r="K3559" s="85" t="s">
        <v>12871</v>
      </c>
      <c r="L3559" s="85" t="s">
        <v>12417</v>
      </c>
      <c r="M3559" s="85" t="s">
        <v>12996</v>
      </c>
    </row>
    <row r="3560" ht="327.75" spans="1:13">
      <c r="A3560" s="85" t="s">
        <v>12997</v>
      </c>
      <c r="B3560" s="85" t="s">
        <v>3788</v>
      </c>
      <c r="C3560" s="85" t="s">
        <v>3789</v>
      </c>
      <c r="D3560" s="85" t="s">
        <v>3189</v>
      </c>
      <c r="E3560" s="85" t="s">
        <v>3790</v>
      </c>
      <c r="F3560" s="86">
        <v>100</v>
      </c>
      <c r="G3560" s="86">
        <v>30</v>
      </c>
      <c r="H3560" s="86">
        <v>3000</v>
      </c>
      <c r="I3560" s="86">
        <v>3000</v>
      </c>
      <c r="J3560" s="85" t="s">
        <v>12634</v>
      </c>
      <c r="K3560" s="85" t="s">
        <v>12871</v>
      </c>
      <c r="L3560" s="85" t="s">
        <v>12417</v>
      </c>
      <c r="M3560" s="85" t="s">
        <v>12998</v>
      </c>
    </row>
    <row r="3561" ht="327.75" spans="1:13">
      <c r="A3561" s="85" t="s">
        <v>12981</v>
      </c>
      <c r="B3561" s="85" t="s">
        <v>12606</v>
      </c>
      <c r="C3561" s="85" t="s">
        <v>12607</v>
      </c>
      <c r="D3561" s="85" t="s">
        <v>2977</v>
      </c>
      <c r="E3561" s="85" t="s">
        <v>8894</v>
      </c>
      <c r="F3561" s="86">
        <v>8</v>
      </c>
      <c r="G3561" s="86">
        <v>1000</v>
      </c>
      <c r="H3561" s="86">
        <v>8000</v>
      </c>
      <c r="I3561" s="86">
        <v>8769</v>
      </c>
      <c r="J3561" s="85" t="s">
        <v>2935</v>
      </c>
      <c r="K3561" s="85" t="s">
        <v>12871</v>
      </c>
      <c r="L3561" s="85" t="s">
        <v>12417</v>
      </c>
      <c r="M3561" s="85" t="s">
        <v>12999</v>
      </c>
    </row>
    <row r="3562" ht="327.75" spans="1:13">
      <c r="A3562" s="85" t="s">
        <v>13000</v>
      </c>
      <c r="B3562" s="85" t="s">
        <v>13001</v>
      </c>
      <c r="C3562" s="85" t="s">
        <v>13002</v>
      </c>
      <c r="D3562" s="85" t="s">
        <v>3907</v>
      </c>
      <c r="E3562" s="85" t="s">
        <v>4186</v>
      </c>
      <c r="F3562" s="86">
        <v>59</v>
      </c>
      <c r="G3562" s="86">
        <v>4</v>
      </c>
      <c r="H3562" s="86">
        <v>236</v>
      </c>
      <c r="I3562" s="86">
        <v>2415.6</v>
      </c>
      <c r="J3562" s="85" t="s">
        <v>7948</v>
      </c>
      <c r="K3562" s="85" t="s">
        <v>13003</v>
      </c>
      <c r="L3562" s="85" t="s">
        <v>12417</v>
      </c>
      <c r="M3562" s="85" t="s">
        <v>13004</v>
      </c>
    </row>
    <row r="3563" ht="327.75" spans="1:13">
      <c r="A3563" s="85" t="s">
        <v>13000</v>
      </c>
      <c r="B3563" s="85" t="s">
        <v>13005</v>
      </c>
      <c r="C3563" s="85" t="s">
        <v>13006</v>
      </c>
      <c r="D3563" s="85" t="s">
        <v>3753</v>
      </c>
      <c r="E3563" s="85" t="s">
        <v>13007</v>
      </c>
      <c r="F3563" s="86">
        <v>20</v>
      </c>
      <c r="G3563" s="86">
        <v>3</v>
      </c>
      <c r="H3563" s="86">
        <v>60</v>
      </c>
      <c r="I3563" s="86">
        <v>2415.6</v>
      </c>
      <c r="J3563" s="85" t="s">
        <v>7948</v>
      </c>
      <c r="K3563" s="85" t="s">
        <v>13003</v>
      </c>
      <c r="L3563" s="85" t="s">
        <v>12417</v>
      </c>
      <c r="M3563" s="85" t="s">
        <v>13008</v>
      </c>
    </row>
    <row r="3564" ht="327.75" spans="1:13">
      <c r="A3564" s="85" t="s">
        <v>13000</v>
      </c>
      <c r="B3564" s="85" t="s">
        <v>13009</v>
      </c>
      <c r="C3564" s="85" t="s">
        <v>13010</v>
      </c>
      <c r="D3564" s="85" t="s">
        <v>3617</v>
      </c>
      <c r="E3564" s="85" t="s">
        <v>3618</v>
      </c>
      <c r="F3564" s="86">
        <v>29.99</v>
      </c>
      <c r="G3564" s="86">
        <v>6</v>
      </c>
      <c r="H3564" s="86">
        <v>179.94</v>
      </c>
      <c r="I3564" s="86">
        <v>2415.6</v>
      </c>
      <c r="J3564" s="85" t="s">
        <v>7948</v>
      </c>
      <c r="K3564" s="85" t="s">
        <v>13003</v>
      </c>
      <c r="L3564" s="85" t="s">
        <v>12417</v>
      </c>
      <c r="M3564" s="85" t="s">
        <v>13011</v>
      </c>
    </row>
    <row r="3565" ht="327.75" spans="1:13">
      <c r="A3565" s="85" t="s">
        <v>13000</v>
      </c>
      <c r="B3565" s="85" t="s">
        <v>13012</v>
      </c>
      <c r="C3565" s="85" t="s">
        <v>13013</v>
      </c>
      <c r="D3565" s="85" t="s">
        <v>3907</v>
      </c>
      <c r="E3565" s="85" t="s">
        <v>13014</v>
      </c>
      <c r="F3565" s="86">
        <v>19.99</v>
      </c>
      <c r="G3565" s="86">
        <v>3</v>
      </c>
      <c r="H3565" s="86">
        <v>59.97</v>
      </c>
      <c r="I3565" s="86">
        <v>2415.6</v>
      </c>
      <c r="J3565" s="85" t="s">
        <v>7948</v>
      </c>
      <c r="K3565" s="85" t="s">
        <v>13003</v>
      </c>
      <c r="L3565" s="85" t="s">
        <v>12417</v>
      </c>
      <c r="M3565" s="85" t="s">
        <v>13015</v>
      </c>
    </row>
    <row r="3566" ht="327.75" spans="1:13">
      <c r="A3566" s="85" t="s">
        <v>13000</v>
      </c>
      <c r="B3566" s="85" t="s">
        <v>13016</v>
      </c>
      <c r="C3566" s="85" t="s">
        <v>13017</v>
      </c>
      <c r="D3566" s="85" t="s">
        <v>3753</v>
      </c>
      <c r="E3566" s="85" t="s">
        <v>13018</v>
      </c>
      <c r="F3566" s="86">
        <v>129</v>
      </c>
      <c r="G3566" s="86">
        <v>2</v>
      </c>
      <c r="H3566" s="86">
        <v>258</v>
      </c>
      <c r="I3566" s="86">
        <v>2415.6</v>
      </c>
      <c r="J3566" s="85" t="s">
        <v>7948</v>
      </c>
      <c r="K3566" s="85" t="s">
        <v>13003</v>
      </c>
      <c r="L3566" s="85" t="s">
        <v>12417</v>
      </c>
      <c r="M3566" s="85" t="s">
        <v>13019</v>
      </c>
    </row>
    <row r="3567" ht="327.75" spans="1:13">
      <c r="A3567" s="85" t="s">
        <v>13000</v>
      </c>
      <c r="B3567" s="85" t="s">
        <v>13020</v>
      </c>
      <c r="C3567" s="85" t="s">
        <v>13021</v>
      </c>
      <c r="D3567" s="85" t="s">
        <v>3907</v>
      </c>
      <c r="E3567" s="85" t="s">
        <v>13022</v>
      </c>
      <c r="F3567" s="86">
        <v>99.99</v>
      </c>
      <c r="G3567" s="86">
        <v>2</v>
      </c>
      <c r="H3567" s="86">
        <v>199.98</v>
      </c>
      <c r="I3567" s="86">
        <v>2415.6</v>
      </c>
      <c r="J3567" s="85" t="s">
        <v>7948</v>
      </c>
      <c r="K3567" s="85" t="s">
        <v>13003</v>
      </c>
      <c r="L3567" s="85" t="s">
        <v>12417</v>
      </c>
      <c r="M3567" s="85" t="s">
        <v>13023</v>
      </c>
    </row>
    <row r="3568" ht="327.75" spans="1:13">
      <c r="A3568" s="85" t="s">
        <v>13000</v>
      </c>
      <c r="B3568" s="85" t="s">
        <v>13024</v>
      </c>
      <c r="C3568" s="85" t="s">
        <v>13025</v>
      </c>
      <c r="D3568" s="85" t="s">
        <v>3753</v>
      </c>
      <c r="E3568" s="85" t="s">
        <v>13026</v>
      </c>
      <c r="F3568" s="86">
        <v>99.99</v>
      </c>
      <c r="G3568" s="86">
        <v>2</v>
      </c>
      <c r="H3568" s="86">
        <v>199.98</v>
      </c>
      <c r="I3568" s="86">
        <v>2415.6</v>
      </c>
      <c r="J3568" s="85" t="s">
        <v>7948</v>
      </c>
      <c r="K3568" s="85" t="s">
        <v>13003</v>
      </c>
      <c r="L3568" s="85" t="s">
        <v>12417</v>
      </c>
      <c r="M3568" s="85" t="s">
        <v>13027</v>
      </c>
    </row>
    <row r="3569" ht="327.75" spans="1:13">
      <c r="A3569" s="85" t="s">
        <v>13000</v>
      </c>
      <c r="B3569" s="85" t="s">
        <v>13028</v>
      </c>
      <c r="C3569" s="85" t="s">
        <v>13029</v>
      </c>
      <c r="D3569" s="85" t="s">
        <v>3907</v>
      </c>
      <c r="E3569" s="85" t="s">
        <v>13014</v>
      </c>
      <c r="F3569" s="86">
        <v>19.9</v>
      </c>
      <c r="G3569" s="86">
        <v>2</v>
      </c>
      <c r="H3569" s="86">
        <v>39.8</v>
      </c>
      <c r="I3569" s="86">
        <v>2415.6</v>
      </c>
      <c r="J3569" s="85" t="s">
        <v>7948</v>
      </c>
      <c r="K3569" s="85" t="s">
        <v>13003</v>
      </c>
      <c r="L3569" s="85" t="s">
        <v>12417</v>
      </c>
      <c r="M3569" s="85" t="s">
        <v>13030</v>
      </c>
    </row>
    <row r="3570" ht="327.75" spans="1:13">
      <c r="A3570" s="85" t="s">
        <v>13000</v>
      </c>
      <c r="B3570" s="85" t="s">
        <v>13031</v>
      </c>
      <c r="C3570" s="85" t="s">
        <v>13032</v>
      </c>
      <c r="D3570" s="85" t="s">
        <v>3907</v>
      </c>
      <c r="E3570" s="85" t="s">
        <v>13014</v>
      </c>
      <c r="F3570" s="86">
        <v>39.9</v>
      </c>
      <c r="G3570" s="86">
        <v>3</v>
      </c>
      <c r="H3570" s="86">
        <v>119.7</v>
      </c>
      <c r="I3570" s="86">
        <v>2415.6</v>
      </c>
      <c r="J3570" s="85" t="s">
        <v>7948</v>
      </c>
      <c r="K3570" s="85" t="s">
        <v>13003</v>
      </c>
      <c r="L3570" s="85" t="s">
        <v>12417</v>
      </c>
      <c r="M3570" s="85" t="s">
        <v>13033</v>
      </c>
    </row>
    <row r="3571" ht="327.75" spans="1:13">
      <c r="A3571" s="85" t="s">
        <v>13000</v>
      </c>
      <c r="B3571" s="85" t="s">
        <v>13034</v>
      </c>
      <c r="C3571" s="85" t="s">
        <v>13035</v>
      </c>
      <c r="D3571" s="85" t="s">
        <v>3907</v>
      </c>
      <c r="E3571" s="85" t="s">
        <v>13014</v>
      </c>
      <c r="F3571" s="86">
        <v>24.99</v>
      </c>
      <c r="G3571" s="86">
        <v>2</v>
      </c>
      <c r="H3571" s="86">
        <v>49.98</v>
      </c>
      <c r="I3571" s="86">
        <v>2415.6</v>
      </c>
      <c r="J3571" s="85" t="s">
        <v>7948</v>
      </c>
      <c r="K3571" s="85" t="s">
        <v>13003</v>
      </c>
      <c r="L3571" s="85" t="s">
        <v>12417</v>
      </c>
      <c r="M3571" s="85" t="s">
        <v>13036</v>
      </c>
    </row>
    <row r="3572" ht="327.75" spans="1:13">
      <c r="A3572" s="85" t="s">
        <v>13000</v>
      </c>
      <c r="B3572" s="85" t="s">
        <v>13037</v>
      </c>
      <c r="C3572" s="85" t="s">
        <v>13038</v>
      </c>
      <c r="D3572" s="85" t="s">
        <v>3907</v>
      </c>
      <c r="E3572" s="85" t="s">
        <v>3908</v>
      </c>
      <c r="F3572" s="86">
        <v>19.99</v>
      </c>
      <c r="G3572" s="86">
        <v>2</v>
      </c>
      <c r="H3572" s="86">
        <v>39.98</v>
      </c>
      <c r="I3572" s="86">
        <v>2415.6</v>
      </c>
      <c r="J3572" s="85" t="s">
        <v>7948</v>
      </c>
      <c r="K3572" s="85" t="s">
        <v>13003</v>
      </c>
      <c r="L3572" s="85" t="s">
        <v>12417</v>
      </c>
      <c r="M3572" s="85" t="s">
        <v>13039</v>
      </c>
    </row>
    <row r="3573" ht="327.75" spans="1:13">
      <c r="A3573" s="85" t="s">
        <v>13000</v>
      </c>
      <c r="B3573" s="85" t="s">
        <v>13040</v>
      </c>
      <c r="C3573" s="85" t="s">
        <v>13041</v>
      </c>
      <c r="D3573" s="85" t="s">
        <v>5449</v>
      </c>
      <c r="E3573" s="85" t="s">
        <v>13042</v>
      </c>
      <c r="F3573" s="86">
        <v>39.98</v>
      </c>
      <c r="G3573" s="86">
        <v>1</v>
      </c>
      <c r="H3573" s="86">
        <v>39.98</v>
      </c>
      <c r="I3573" s="86">
        <v>2415.6</v>
      </c>
      <c r="J3573" s="85" t="s">
        <v>7948</v>
      </c>
      <c r="K3573" s="85" t="s">
        <v>13003</v>
      </c>
      <c r="L3573" s="85" t="s">
        <v>12417</v>
      </c>
      <c r="M3573" s="85" t="s">
        <v>13043</v>
      </c>
    </row>
    <row r="3574" ht="327.75" spans="1:13">
      <c r="A3574" s="85" t="s">
        <v>13000</v>
      </c>
      <c r="B3574" s="85" t="s">
        <v>13044</v>
      </c>
      <c r="C3574" s="85" t="s">
        <v>13045</v>
      </c>
      <c r="D3574" s="85" t="s">
        <v>5449</v>
      </c>
      <c r="E3574" s="85" t="s">
        <v>13046</v>
      </c>
      <c r="F3574" s="86">
        <v>5.63</v>
      </c>
      <c r="G3574" s="86">
        <v>1</v>
      </c>
      <c r="H3574" s="86">
        <v>5.63</v>
      </c>
      <c r="I3574" s="86">
        <v>2415.6</v>
      </c>
      <c r="J3574" s="85" t="s">
        <v>7948</v>
      </c>
      <c r="K3574" s="85" t="s">
        <v>13003</v>
      </c>
      <c r="L3574" s="85" t="s">
        <v>12417</v>
      </c>
      <c r="M3574" s="85" t="s">
        <v>13047</v>
      </c>
    </row>
    <row r="3575" ht="327.75" spans="1:13">
      <c r="A3575" s="85" t="s">
        <v>13000</v>
      </c>
      <c r="B3575" s="85" t="s">
        <v>13048</v>
      </c>
      <c r="C3575" s="85" t="s">
        <v>13049</v>
      </c>
      <c r="D3575" s="85" t="s">
        <v>3086</v>
      </c>
      <c r="E3575" s="85" t="s">
        <v>13050</v>
      </c>
      <c r="F3575" s="86">
        <v>19.99</v>
      </c>
      <c r="G3575" s="86">
        <v>2</v>
      </c>
      <c r="H3575" s="86">
        <v>39.98</v>
      </c>
      <c r="I3575" s="86">
        <v>2415.6</v>
      </c>
      <c r="J3575" s="85" t="s">
        <v>7948</v>
      </c>
      <c r="K3575" s="85" t="s">
        <v>13003</v>
      </c>
      <c r="L3575" s="85" t="s">
        <v>12417</v>
      </c>
      <c r="M3575" s="85" t="s">
        <v>13051</v>
      </c>
    </row>
    <row r="3576" ht="327.75" spans="1:13">
      <c r="A3576" s="85" t="s">
        <v>13000</v>
      </c>
      <c r="B3576" s="85" t="s">
        <v>13052</v>
      </c>
      <c r="C3576" s="85" t="s">
        <v>13053</v>
      </c>
      <c r="D3576" s="85" t="s">
        <v>3753</v>
      </c>
      <c r="E3576" s="85" t="s">
        <v>13026</v>
      </c>
      <c r="F3576" s="86">
        <v>49.99</v>
      </c>
      <c r="G3576" s="86">
        <v>2</v>
      </c>
      <c r="H3576" s="86">
        <v>99.98</v>
      </c>
      <c r="I3576" s="86">
        <v>2415.6</v>
      </c>
      <c r="J3576" s="85" t="s">
        <v>7948</v>
      </c>
      <c r="K3576" s="85" t="s">
        <v>13003</v>
      </c>
      <c r="L3576" s="85" t="s">
        <v>12417</v>
      </c>
      <c r="M3576" s="85" t="s">
        <v>13054</v>
      </c>
    </row>
    <row r="3577" ht="327.75" spans="1:13">
      <c r="A3577" s="85" t="s">
        <v>13000</v>
      </c>
      <c r="B3577" s="85" t="s">
        <v>13055</v>
      </c>
      <c r="C3577" s="85" t="s">
        <v>13056</v>
      </c>
      <c r="D3577" s="85" t="s">
        <v>5449</v>
      </c>
      <c r="E3577" s="85" t="s">
        <v>13057</v>
      </c>
      <c r="F3577" s="86">
        <v>149</v>
      </c>
      <c r="G3577" s="86">
        <v>3</v>
      </c>
      <c r="H3577" s="86">
        <v>447</v>
      </c>
      <c r="I3577" s="86">
        <v>2415.6</v>
      </c>
      <c r="J3577" s="85" t="s">
        <v>7948</v>
      </c>
      <c r="K3577" s="85" t="s">
        <v>13003</v>
      </c>
      <c r="L3577" s="85" t="s">
        <v>12417</v>
      </c>
      <c r="M3577" s="85" t="s">
        <v>13058</v>
      </c>
    </row>
    <row r="3578" ht="327.75" spans="1:13">
      <c r="A3578" s="85" t="s">
        <v>13000</v>
      </c>
      <c r="B3578" s="85" t="s">
        <v>13059</v>
      </c>
      <c r="C3578" s="85" t="s">
        <v>13060</v>
      </c>
      <c r="D3578" s="85" t="s">
        <v>3907</v>
      </c>
      <c r="E3578" s="85" t="s">
        <v>13014</v>
      </c>
      <c r="F3578" s="86">
        <v>9.99</v>
      </c>
      <c r="G3578" s="86">
        <v>4</v>
      </c>
      <c r="H3578" s="86">
        <v>39.96</v>
      </c>
      <c r="I3578" s="86">
        <v>2415.6</v>
      </c>
      <c r="J3578" s="85" t="s">
        <v>7948</v>
      </c>
      <c r="K3578" s="85" t="s">
        <v>13003</v>
      </c>
      <c r="L3578" s="85" t="s">
        <v>12417</v>
      </c>
      <c r="M3578" s="85" t="s">
        <v>13061</v>
      </c>
    </row>
    <row r="3579" ht="327.75" spans="1:13">
      <c r="A3579" s="85" t="s">
        <v>13000</v>
      </c>
      <c r="B3579" s="85" t="s">
        <v>13062</v>
      </c>
      <c r="C3579" s="85" t="s">
        <v>13063</v>
      </c>
      <c r="D3579" s="85" t="s">
        <v>3086</v>
      </c>
      <c r="E3579" s="85" t="s">
        <v>13050</v>
      </c>
      <c r="F3579" s="86">
        <v>29.99</v>
      </c>
      <c r="G3579" s="86">
        <v>4</v>
      </c>
      <c r="H3579" s="86">
        <v>119.96</v>
      </c>
      <c r="I3579" s="86">
        <v>2415.6</v>
      </c>
      <c r="J3579" s="85" t="s">
        <v>7948</v>
      </c>
      <c r="K3579" s="85" t="s">
        <v>13003</v>
      </c>
      <c r="L3579" s="85" t="s">
        <v>12417</v>
      </c>
      <c r="M3579" s="85" t="s">
        <v>13064</v>
      </c>
    </row>
    <row r="3580" ht="327.75" spans="1:13">
      <c r="A3580" s="85" t="s">
        <v>13000</v>
      </c>
      <c r="B3580" s="85" t="s">
        <v>13065</v>
      </c>
      <c r="C3580" s="85" t="s">
        <v>13066</v>
      </c>
      <c r="D3580" s="85" t="s">
        <v>3907</v>
      </c>
      <c r="E3580" s="85" t="s">
        <v>4525</v>
      </c>
      <c r="F3580" s="86">
        <v>59.99</v>
      </c>
      <c r="G3580" s="86">
        <v>2</v>
      </c>
      <c r="H3580" s="86">
        <v>119.98</v>
      </c>
      <c r="I3580" s="86">
        <v>2415.6</v>
      </c>
      <c r="J3580" s="85" t="s">
        <v>7948</v>
      </c>
      <c r="K3580" s="85" t="s">
        <v>13003</v>
      </c>
      <c r="L3580" s="85" t="s">
        <v>12417</v>
      </c>
      <c r="M3580" s="85" t="s">
        <v>13067</v>
      </c>
    </row>
    <row r="3581" ht="327.75" spans="1:13">
      <c r="A3581" s="85" t="s">
        <v>13000</v>
      </c>
      <c r="B3581" s="85" t="s">
        <v>13068</v>
      </c>
      <c r="C3581" s="85" t="s">
        <v>13069</v>
      </c>
      <c r="D3581" s="85" t="s">
        <v>3907</v>
      </c>
      <c r="E3581" s="85" t="s">
        <v>13014</v>
      </c>
      <c r="F3581" s="86">
        <v>29.9</v>
      </c>
      <c r="G3581" s="86">
        <v>2</v>
      </c>
      <c r="H3581" s="86">
        <v>59.8</v>
      </c>
      <c r="I3581" s="86">
        <v>2415.6</v>
      </c>
      <c r="J3581" s="85" t="s">
        <v>7948</v>
      </c>
      <c r="K3581" s="85" t="s">
        <v>13003</v>
      </c>
      <c r="L3581" s="85" t="s">
        <v>12417</v>
      </c>
      <c r="M3581" s="85" t="s">
        <v>13070</v>
      </c>
    </row>
    <row r="3582" ht="327.75" spans="1:13">
      <c r="A3582" s="85" t="s">
        <v>13071</v>
      </c>
      <c r="B3582" s="85" t="s">
        <v>10994</v>
      </c>
      <c r="C3582" s="85" t="s">
        <v>10995</v>
      </c>
      <c r="D3582" s="85" t="s">
        <v>3367</v>
      </c>
      <c r="E3582" s="85" t="s">
        <v>10996</v>
      </c>
      <c r="F3582" s="86">
        <v>4</v>
      </c>
      <c r="G3582" s="86">
        <v>40</v>
      </c>
      <c r="H3582" s="86">
        <v>160</v>
      </c>
      <c r="I3582" s="86">
        <v>5185</v>
      </c>
      <c r="J3582" s="85" t="s">
        <v>4391</v>
      </c>
      <c r="K3582" s="85" t="s">
        <v>13072</v>
      </c>
      <c r="L3582" s="85" t="s">
        <v>12417</v>
      </c>
      <c r="M3582" s="85" t="s">
        <v>13073</v>
      </c>
    </row>
    <row r="3583" ht="327.75" spans="1:13">
      <c r="A3583" s="85" t="s">
        <v>13074</v>
      </c>
      <c r="B3583" s="85" t="s">
        <v>13075</v>
      </c>
      <c r="C3583" s="85" t="s">
        <v>13076</v>
      </c>
      <c r="D3583" s="85" t="s">
        <v>5449</v>
      </c>
      <c r="E3583" s="85" t="s">
        <v>9416</v>
      </c>
      <c r="F3583" s="86">
        <v>180</v>
      </c>
      <c r="G3583" s="86">
        <v>11</v>
      </c>
      <c r="H3583" s="86">
        <v>1980</v>
      </c>
      <c r="I3583" s="86">
        <v>89638.5</v>
      </c>
      <c r="J3583" s="85" t="s">
        <v>2935</v>
      </c>
      <c r="K3583" s="85" t="s">
        <v>13072</v>
      </c>
      <c r="L3583" s="85" t="s">
        <v>12417</v>
      </c>
      <c r="M3583" s="85" t="s">
        <v>13077</v>
      </c>
    </row>
    <row r="3584" ht="327.75" spans="1:13">
      <c r="A3584" s="85" t="s">
        <v>13074</v>
      </c>
      <c r="B3584" s="85" t="s">
        <v>5125</v>
      </c>
      <c r="C3584" s="85" t="s">
        <v>5126</v>
      </c>
      <c r="D3584" s="85" t="s">
        <v>3082</v>
      </c>
      <c r="E3584" s="85" t="s">
        <v>5127</v>
      </c>
      <c r="F3584" s="86">
        <v>72</v>
      </c>
      <c r="G3584" s="86">
        <v>20</v>
      </c>
      <c r="H3584" s="86">
        <v>1440</v>
      </c>
      <c r="I3584" s="86">
        <v>89638.5</v>
      </c>
      <c r="J3584" s="85" t="s">
        <v>2935</v>
      </c>
      <c r="K3584" s="85" t="s">
        <v>13072</v>
      </c>
      <c r="L3584" s="85" t="s">
        <v>12417</v>
      </c>
      <c r="M3584" s="85" t="s">
        <v>13078</v>
      </c>
    </row>
    <row r="3585" ht="327.75" spans="1:13">
      <c r="A3585" s="85" t="s">
        <v>13074</v>
      </c>
      <c r="B3585" s="85" t="s">
        <v>13079</v>
      </c>
      <c r="C3585" s="85" t="s">
        <v>13080</v>
      </c>
      <c r="D3585" s="85" t="s">
        <v>3241</v>
      </c>
      <c r="E3585" s="85" t="s">
        <v>13081</v>
      </c>
      <c r="F3585" s="86">
        <v>110</v>
      </c>
      <c r="G3585" s="86">
        <v>1</v>
      </c>
      <c r="H3585" s="86">
        <v>110</v>
      </c>
      <c r="I3585" s="86">
        <v>89638.5</v>
      </c>
      <c r="J3585" s="85" t="s">
        <v>2935</v>
      </c>
      <c r="K3585" s="85" t="s">
        <v>13072</v>
      </c>
      <c r="L3585" s="85" t="s">
        <v>12417</v>
      </c>
      <c r="M3585" s="85" t="s">
        <v>13082</v>
      </c>
    </row>
    <row r="3586" ht="327.75" spans="1:13">
      <c r="A3586" s="85" t="s">
        <v>13071</v>
      </c>
      <c r="B3586" s="85" t="s">
        <v>9835</v>
      </c>
      <c r="C3586" s="85" t="s">
        <v>9836</v>
      </c>
      <c r="D3586" s="85" t="s">
        <v>8345</v>
      </c>
      <c r="E3586" s="85" t="s">
        <v>8346</v>
      </c>
      <c r="F3586" s="86">
        <v>11.7</v>
      </c>
      <c r="G3586" s="86">
        <v>10</v>
      </c>
      <c r="H3586" s="86">
        <v>117</v>
      </c>
      <c r="I3586" s="86">
        <v>5185</v>
      </c>
      <c r="J3586" s="85" t="s">
        <v>4391</v>
      </c>
      <c r="K3586" s="85" t="s">
        <v>13072</v>
      </c>
      <c r="L3586" s="85" t="s">
        <v>12417</v>
      </c>
      <c r="M3586" s="85" t="s">
        <v>13083</v>
      </c>
    </row>
    <row r="3587" ht="327.75" spans="1:13">
      <c r="A3587" s="85" t="s">
        <v>13074</v>
      </c>
      <c r="B3587" s="85" t="s">
        <v>13084</v>
      </c>
      <c r="C3587" s="85" t="s">
        <v>13085</v>
      </c>
      <c r="D3587" s="85" t="s">
        <v>4013</v>
      </c>
      <c r="E3587" s="85" t="s">
        <v>13086</v>
      </c>
      <c r="F3587" s="86">
        <v>1063</v>
      </c>
      <c r="G3587" s="86">
        <v>1</v>
      </c>
      <c r="H3587" s="86">
        <v>1063</v>
      </c>
      <c r="I3587" s="86">
        <v>89638.5</v>
      </c>
      <c r="J3587" s="85" t="s">
        <v>2935</v>
      </c>
      <c r="K3587" s="85" t="s">
        <v>13072</v>
      </c>
      <c r="L3587" s="85" t="s">
        <v>12417</v>
      </c>
      <c r="M3587" s="85" t="s">
        <v>13087</v>
      </c>
    </row>
    <row r="3588" ht="327.75" spans="1:13">
      <c r="A3588" s="85" t="s">
        <v>13088</v>
      </c>
      <c r="B3588" s="85" t="s">
        <v>11450</v>
      </c>
      <c r="C3588" s="85" t="s">
        <v>11451</v>
      </c>
      <c r="D3588" s="85" t="s">
        <v>2992</v>
      </c>
      <c r="E3588" s="85" t="s">
        <v>1815</v>
      </c>
      <c r="F3588" s="86">
        <v>360</v>
      </c>
      <c r="G3588" s="86">
        <v>13</v>
      </c>
      <c r="H3588" s="86">
        <v>4680</v>
      </c>
      <c r="I3588" s="86">
        <v>23168</v>
      </c>
      <c r="J3588" s="85" t="s">
        <v>9135</v>
      </c>
      <c r="K3588" s="85" t="s">
        <v>13072</v>
      </c>
      <c r="L3588" s="85" t="s">
        <v>12417</v>
      </c>
      <c r="M3588" s="85" t="s">
        <v>13089</v>
      </c>
    </row>
    <row r="3589" ht="327.75" spans="1:13">
      <c r="A3589" s="85" t="s">
        <v>13090</v>
      </c>
      <c r="B3589" s="85" t="s">
        <v>8857</v>
      </c>
      <c r="C3589" s="85" t="s">
        <v>8858</v>
      </c>
      <c r="D3589" s="85" t="s">
        <v>3241</v>
      </c>
      <c r="E3589" s="85" t="s">
        <v>3242</v>
      </c>
      <c r="F3589" s="86">
        <v>12.3</v>
      </c>
      <c r="G3589" s="86">
        <v>2</v>
      </c>
      <c r="H3589" s="86">
        <v>24.6</v>
      </c>
      <c r="I3589" s="86">
        <v>8674.6</v>
      </c>
      <c r="J3589" s="85" t="s">
        <v>4391</v>
      </c>
      <c r="K3589" s="85" t="s">
        <v>13072</v>
      </c>
      <c r="L3589" s="85" t="s">
        <v>12417</v>
      </c>
      <c r="M3589" s="85" t="s">
        <v>13091</v>
      </c>
    </row>
    <row r="3590" ht="327.75" spans="1:13">
      <c r="A3590" s="85" t="s">
        <v>13074</v>
      </c>
      <c r="B3590" s="85" t="s">
        <v>13092</v>
      </c>
      <c r="C3590" s="85" t="s">
        <v>13093</v>
      </c>
      <c r="D3590" s="85" t="s">
        <v>3907</v>
      </c>
      <c r="E3590" s="85" t="s">
        <v>6860</v>
      </c>
      <c r="F3590" s="86">
        <v>65</v>
      </c>
      <c r="G3590" s="86">
        <v>10</v>
      </c>
      <c r="H3590" s="86">
        <v>650</v>
      </c>
      <c r="I3590" s="86">
        <v>89638.5</v>
      </c>
      <c r="J3590" s="85" t="s">
        <v>2935</v>
      </c>
      <c r="K3590" s="85" t="s">
        <v>13072</v>
      </c>
      <c r="L3590" s="85" t="s">
        <v>12417</v>
      </c>
      <c r="M3590" s="85" t="s">
        <v>13094</v>
      </c>
    </row>
    <row r="3591" ht="327.75" spans="1:13">
      <c r="A3591" s="85" t="s">
        <v>13074</v>
      </c>
      <c r="B3591" s="85" t="s">
        <v>13095</v>
      </c>
      <c r="C3591" s="85" t="s">
        <v>13096</v>
      </c>
      <c r="D3591" s="85" t="s">
        <v>3068</v>
      </c>
      <c r="E3591" s="85" t="s">
        <v>13097</v>
      </c>
      <c r="F3591" s="86">
        <v>9.9</v>
      </c>
      <c r="G3591" s="86">
        <v>1000</v>
      </c>
      <c r="H3591" s="86">
        <v>9900</v>
      </c>
      <c r="I3591" s="86">
        <v>89638.5</v>
      </c>
      <c r="J3591" s="85" t="s">
        <v>2935</v>
      </c>
      <c r="K3591" s="85" t="s">
        <v>13072</v>
      </c>
      <c r="L3591" s="85" t="s">
        <v>12417</v>
      </c>
      <c r="M3591" s="85" t="s">
        <v>13098</v>
      </c>
    </row>
    <row r="3592" ht="327.75" spans="1:13">
      <c r="A3592" s="85" t="s">
        <v>13071</v>
      </c>
      <c r="B3592" s="85" t="s">
        <v>13099</v>
      </c>
      <c r="C3592" s="85" t="s">
        <v>13100</v>
      </c>
      <c r="D3592" s="85" t="s">
        <v>3566</v>
      </c>
      <c r="E3592" s="85" t="s">
        <v>3567</v>
      </c>
      <c r="F3592" s="86">
        <v>5.5</v>
      </c>
      <c r="G3592" s="86">
        <v>20</v>
      </c>
      <c r="H3592" s="86">
        <v>110</v>
      </c>
      <c r="I3592" s="86">
        <v>5185</v>
      </c>
      <c r="J3592" s="85" t="s">
        <v>4391</v>
      </c>
      <c r="K3592" s="85" t="s">
        <v>13072</v>
      </c>
      <c r="L3592" s="85" t="s">
        <v>12417</v>
      </c>
      <c r="M3592" s="85" t="s">
        <v>13101</v>
      </c>
    </row>
    <row r="3593" ht="327.75" spans="1:13">
      <c r="A3593" s="85" t="s">
        <v>13088</v>
      </c>
      <c r="B3593" s="85" t="s">
        <v>11507</v>
      </c>
      <c r="C3593" s="85" t="s">
        <v>11508</v>
      </c>
      <c r="D3593" s="85" t="s">
        <v>2992</v>
      </c>
      <c r="E3593" s="85" t="s">
        <v>1815</v>
      </c>
      <c r="F3593" s="86">
        <v>392</v>
      </c>
      <c r="G3593" s="86">
        <v>6</v>
      </c>
      <c r="H3593" s="86">
        <v>2352</v>
      </c>
      <c r="I3593" s="86">
        <v>23168</v>
      </c>
      <c r="J3593" s="85" t="s">
        <v>9135</v>
      </c>
      <c r="K3593" s="85" t="s">
        <v>13072</v>
      </c>
      <c r="L3593" s="85" t="s">
        <v>12417</v>
      </c>
      <c r="M3593" s="85" t="s">
        <v>13102</v>
      </c>
    </row>
    <row r="3594" ht="327.75" spans="1:13">
      <c r="A3594" s="85" t="s">
        <v>13088</v>
      </c>
      <c r="B3594" s="85" t="s">
        <v>12519</v>
      </c>
      <c r="C3594" s="85" t="s">
        <v>12520</v>
      </c>
      <c r="D3594" s="85" t="s">
        <v>3201</v>
      </c>
      <c r="E3594" s="85" t="s">
        <v>5227</v>
      </c>
      <c r="F3594" s="86">
        <v>62</v>
      </c>
      <c r="G3594" s="86">
        <v>40</v>
      </c>
      <c r="H3594" s="86">
        <v>2480</v>
      </c>
      <c r="I3594" s="86">
        <v>23168</v>
      </c>
      <c r="J3594" s="85" t="s">
        <v>9135</v>
      </c>
      <c r="K3594" s="85" t="s">
        <v>13072</v>
      </c>
      <c r="L3594" s="85" t="s">
        <v>12417</v>
      </c>
      <c r="M3594" s="85" t="s">
        <v>13103</v>
      </c>
    </row>
    <row r="3595" ht="327.75" spans="1:13">
      <c r="A3595" s="85" t="s">
        <v>13071</v>
      </c>
      <c r="B3595" s="85" t="s">
        <v>11851</v>
      </c>
      <c r="C3595" s="85" t="s">
        <v>11852</v>
      </c>
      <c r="D3595" s="85" t="s">
        <v>3201</v>
      </c>
      <c r="E3595" s="85" t="s">
        <v>11853</v>
      </c>
      <c r="F3595" s="86">
        <v>32</v>
      </c>
      <c r="G3595" s="86">
        <v>1</v>
      </c>
      <c r="H3595" s="86">
        <v>32</v>
      </c>
      <c r="I3595" s="86">
        <v>5185</v>
      </c>
      <c r="J3595" s="85" t="s">
        <v>4391</v>
      </c>
      <c r="K3595" s="85" t="s">
        <v>13072</v>
      </c>
      <c r="L3595" s="85" t="s">
        <v>12417</v>
      </c>
      <c r="M3595" s="85" t="s">
        <v>13104</v>
      </c>
    </row>
    <row r="3596" ht="327.75" spans="1:13">
      <c r="A3596" s="85" t="s">
        <v>13088</v>
      </c>
      <c r="B3596" s="85" t="s">
        <v>12510</v>
      </c>
      <c r="C3596" s="85" t="s">
        <v>12511</v>
      </c>
      <c r="D3596" s="85" t="s">
        <v>3201</v>
      </c>
      <c r="E3596" s="85" t="s">
        <v>5227</v>
      </c>
      <c r="F3596" s="86">
        <v>62</v>
      </c>
      <c r="G3596" s="86">
        <v>40</v>
      </c>
      <c r="H3596" s="86">
        <v>2480</v>
      </c>
      <c r="I3596" s="86">
        <v>23168</v>
      </c>
      <c r="J3596" s="85" t="s">
        <v>9135</v>
      </c>
      <c r="K3596" s="85" t="s">
        <v>13072</v>
      </c>
      <c r="L3596" s="85" t="s">
        <v>12417</v>
      </c>
      <c r="M3596" s="85" t="s">
        <v>13105</v>
      </c>
    </row>
    <row r="3597" ht="327.75" spans="1:13">
      <c r="A3597" s="85" t="s">
        <v>13090</v>
      </c>
      <c r="B3597" s="85" t="s">
        <v>12475</v>
      </c>
      <c r="C3597" s="85" t="s">
        <v>12476</v>
      </c>
      <c r="D3597" s="85" t="s">
        <v>6901</v>
      </c>
      <c r="E3597" s="85" t="s">
        <v>5752</v>
      </c>
      <c r="F3597" s="86">
        <v>32.5</v>
      </c>
      <c r="G3597" s="86">
        <v>100</v>
      </c>
      <c r="H3597" s="86">
        <v>3250</v>
      </c>
      <c r="I3597" s="86">
        <v>8674.6</v>
      </c>
      <c r="J3597" s="85" t="s">
        <v>4391</v>
      </c>
      <c r="K3597" s="85" t="s">
        <v>13072</v>
      </c>
      <c r="L3597" s="85" t="s">
        <v>12417</v>
      </c>
      <c r="M3597" s="85" t="s">
        <v>13106</v>
      </c>
    </row>
    <row r="3598" ht="327.75" spans="1:13">
      <c r="A3598" s="85" t="s">
        <v>13107</v>
      </c>
      <c r="B3598" s="85" t="s">
        <v>13108</v>
      </c>
      <c r="C3598" s="85" t="s">
        <v>13109</v>
      </c>
      <c r="D3598" s="85" t="s">
        <v>4487</v>
      </c>
      <c r="E3598" s="85" t="s">
        <v>2117</v>
      </c>
      <c r="F3598" s="86">
        <v>248</v>
      </c>
      <c r="G3598" s="86">
        <v>2</v>
      </c>
      <c r="H3598" s="86">
        <v>496</v>
      </c>
      <c r="I3598" s="86">
        <v>496</v>
      </c>
      <c r="J3598" s="85" t="s">
        <v>9135</v>
      </c>
      <c r="K3598" s="85" t="s">
        <v>13072</v>
      </c>
      <c r="L3598" s="85" t="s">
        <v>12417</v>
      </c>
      <c r="M3598" s="85" t="s">
        <v>13110</v>
      </c>
    </row>
    <row r="3599" ht="327.75" spans="1:13">
      <c r="A3599" s="85" t="s">
        <v>13071</v>
      </c>
      <c r="B3599" s="85" t="s">
        <v>6899</v>
      </c>
      <c r="C3599" s="85" t="s">
        <v>6900</v>
      </c>
      <c r="D3599" s="85" t="s">
        <v>6901</v>
      </c>
      <c r="E3599" s="85" t="s">
        <v>5752</v>
      </c>
      <c r="F3599" s="86">
        <v>35.1</v>
      </c>
      <c r="G3599" s="86">
        <v>70</v>
      </c>
      <c r="H3599" s="86">
        <v>2457</v>
      </c>
      <c r="I3599" s="86">
        <v>5185</v>
      </c>
      <c r="J3599" s="85" t="s">
        <v>4391</v>
      </c>
      <c r="K3599" s="85" t="s">
        <v>13072</v>
      </c>
      <c r="L3599" s="85" t="s">
        <v>12417</v>
      </c>
      <c r="M3599" s="85" t="s">
        <v>13111</v>
      </c>
    </row>
    <row r="3600" ht="327.75" spans="1:13">
      <c r="A3600" s="85" t="s">
        <v>13112</v>
      </c>
      <c r="B3600" s="85" t="s">
        <v>9533</v>
      </c>
      <c r="C3600" s="85" t="s">
        <v>9534</v>
      </c>
      <c r="D3600" s="85" t="s">
        <v>2977</v>
      </c>
      <c r="E3600" s="85" t="s">
        <v>8894</v>
      </c>
      <c r="F3600" s="86">
        <v>4</v>
      </c>
      <c r="G3600" s="86">
        <v>20</v>
      </c>
      <c r="H3600" s="86">
        <v>80</v>
      </c>
      <c r="I3600" s="86">
        <v>2006</v>
      </c>
      <c r="J3600" s="85" t="s">
        <v>2935</v>
      </c>
      <c r="K3600" s="85" t="s">
        <v>13072</v>
      </c>
      <c r="L3600" s="85" t="s">
        <v>12417</v>
      </c>
      <c r="M3600" s="85" t="s">
        <v>13113</v>
      </c>
    </row>
    <row r="3601" ht="327.75" spans="1:13">
      <c r="A3601" s="85" t="s">
        <v>13114</v>
      </c>
      <c r="B3601" s="85" t="s">
        <v>7924</v>
      </c>
      <c r="C3601" s="85" t="s">
        <v>7925</v>
      </c>
      <c r="D3601" s="85" t="s">
        <v>3548</v>
      </c>
      <c r="E3601" s="85" t="s">
        <v>1835</v>
      </c>
      <c r="F3601" s="86">
        <v>345</v>
      </c>
      <c r="G3601" s="86">
        <v>5</v>
      </c>
      <c r="H3601" s="86">
        <v>1725</v>
      </c>
      <c r="I3601" s="86">
        <v>68025</v>
      </c>
      <c r="J3601" s="85" t="s">
        <v>12217</v>
      </c>
      <c r="K3601" s="85" t="s">
        <v>13072</v>
      </c>
      <c r="L3601" s="85" t="s">
        <v>12417</v>
      </c>
      <c r="M3601" s="85" t="s">
        <v>13115</v>
      </c>
    </row>
    <row r="3602" ht="327.75" spans="1:13">
      <c r="A3602" s="85" t="s">
        <v>13088</v>
      </c>
      <c r="B3602" s="85" t="s">
        <v>11436</v>
      </c>
      <c r="C3602" s="85" t="s">
        <v>11437</v>
      </c>
      <c r="D3602" s="85" t="s">
        <v>9541</v>
      </c>
      <c r="E3602" s="85" t="s">
        <v>4961</v>
      </c>
      <c r="F3602" s="86">
        <v>2.5</v>
      </c>
      <c r="G3602" s="86">
        <v>200</v>
      </c>
      <c r="H3602" s="86">
        <v>500</v>
      </c>
      <c r="I3602" s="86">
        <v>23168</v>
      </c>
      <c r="J3602" s="85" t="s">
        <v>9135</v>
      </c>
      <c r="K3602" s="85" t="s">
        <v>13072</v>
      </c>
      <c r="L3602" s="85" t="s">
        <v>12417</v>
      </c>
      <c r="M3602" s="85" t="s">
        <v>13116</v>
      </c>
    </row>
    <row r="3603" ht="327.75" spans="1:13">
      <c r="A3603" s="85" t="s">
        <v>13071</v>
      </c>
      <c r="B3603" s="85" t="s">
        <v>4409</v>
      </c>
      <c r="C3603" s="85" t="s">
        <v>4410</v>
      </c>
      <c r="D3603" s="85" t="s">
        <v>3753</v>
      </c>
      <c r="E3603" s="85" t="s">
        <v>4411</v>
      </c>
      <c r="F3603" s="86">
        <v>485</v>
      </c>
      <c r="G3603" s="86">
        <v>1</v>
      </c>
      <c r="H3603" s="86">
        <v>485</v>
      </c>
      <c r="I3603" s="86">
        <v>5185</v>
      </c>
      <c r="J3603" s="85" t="s">
        <v>4391</v>
      </c>
      <c r="K3603" s="85" t="s">
        <v>13072</v>
      </c>
      <c r="L3603" s="85" t="s">
        <v>12417</v>
      </c>
      <c r="M3603" s="85" t="s">
        <v>13117</v>
      </c>
    </row>
    <row r="3604" ht="327.75" spans="1:13">
      <c r="A3604" s="85" t="s">
        <v>13112</v>
      </c>
      <c r="B3604" s="85" t="s">
        <v>11456</v>
      </c>
      <c r="C3604" s="85" t="s">
        <v>11457</v>
      </c>
      <c r="D3604" s="85" t="s">
        <v>3625</v>
      </c>
      <c r="E3604" s="85" t="s">
        <v>11458</v>
      </c>
      <c r="F3604" s="86">
        <v>0.8</v>
      </c>
      <c r="G3604" s="86">
        <v>70</v>
      </c>
      <c r="H3604" s="86">
        <v>56</v>
      </c>
      <c r="I3604" s="86">
        <v>2006</v>
      </c>
      <c r="J3604" s="85" t="s">
        <v>2935</v>
      </c>
      <c r="K3604" s="85" t="s">
        <v>13072</v>
      </c>
      <c r="L3604" s="85" t="s">
        <v>12417</v>
      </c>
      <c r="M3604" s="85" t="s">
        <v>13118</v>
      </c>
    </row>
    <row r="3605" ht="327.75" spans="1:13">
      <c r="A3605" s="85" t="s">
        <v>13112</v>
      </c>
      <c r="B3605" s="85" t="s">
        <v>5349</v>
      </c>
      <c r="C3605" s="85" t="s">
        <v>5350</v>
      </c>
      <c r="D3605" s="85" t="s">
        <v>3189</v>
      </c>
      <c r="E3605" s="85" t="s">
        <v>5351</v>
      </c>
      <c r="F3605" s="86">
        <v>22</v>
      </c>
      <c r="G3605" s="86">
        <v>5</v>
      </c>
      <c r="H3605" s="86">
        <v>110</v>
      </c>
      <c r="I3605" s="86">
        <v>2006</v>
      </c>
      <c r="J3605" s="85" t="s">
        <v>2935</v>
      </c>
      <c r="K3605" s="85" t="s">
        <v>13072</v>
      </c>
      <c r="L3605" s="85" t="s">
        <v>12417</v>
      </c>
      <c r="M3605" s="85" t="s">
        <v>13119</v>
      </c>
    </row>
    <row r="3606" ht="327.75" spans="1:13">
      <c r="A3606" s="85" t="s">
        <v>13120</v>
      </c>
      <c r="B3606" s="85" t="s">
        <v>11019</v>
      </c>
      <c r="C3606" s="85" t="s">
        <v>11020</v>
      </c>
      <c r="D3606" s="85" t="s">
        <v>3438</v>
      </c>
      <c r="E3606" s="85" t="s">
        <v>11021</v>
      </c>
      <c r="F3606" s="86">
        <v>0.57</v>
      </c>
      <c r="G3606" s="86">
        <v>10000</v>
      </c>
      <c r="H3606" s="86">
        <v>5700</v>
      </c>
      <c r="I3606" s="86">
        <v>5700</v>
      </c>
      <c r="J3606" s="85" t="s">
        <v>4391</v>
      </c>
      <c r="K3606" s="85" t="s">
        <v>13072</v>
      </c>
      <c r="L3606" s="85" t="s">
        <v>12417</v>
      </c>
      <c r="M3606" s="85" t="s">
        <v>13121</v>
      </c>
    </row>
    <row r="3607" ht="327.75" spans="1:13">
      <c r="A3607" s="85" t="s">
        <v>13088</v>
      </c>
      <c r="B3607" s="85" t="s">
        <v>11489</v>
      </c>
      <c r="C3607" s="85" t="s">
        <v>11490</v>
      </c>
      <c r="D3607" s="85" t="s">
        <v>3656</v>
      </c>
      <c r="E3607" s="85" t="s">
        <v>8150</v>
      </c>
      <c r="F3607" s="86">
        <v>24</v>
      </c>
      <c r="G3607" s="86">
        <v>20</v>
      </c>
      <c r="H3607" s="86">
        <v>480</v>
      </c>
      <c r="I3607" s="86">
        <v>23168</v>
      </c>
      <c r="J3607" s="85" t="s">
        <v>9135</v>
      </c>
      <c r="K3607" s="85" t="s">
        <v>13072</v>
      </c>
      <c r="L3607" s="85" t="s">
        <v>12417</v>
      </c>
      <c r="M3607" s="85" t="s">
        <v>13122</v>
      </c>
    </row>
    <row r="3608" ht="327.75" spans="1:13">
      <c r="A3608" s="85" t="s">
        <v>13123</v>
      </c>
      <c r="B3608" s="85" t="s">
        <v>13124</v>
      </c>
      <c r="C3608" s="85" t="s">
        <v>13125</v>
      </c>
      <c r="D3608" s="85" t="s">
        <v>6470</v>
      </c>
      <c r="E3608" s="85" t="s">
        <v>13126</v>
      </c>
      <c r="F3608" s="86">
        <v>28</v>
      </c>
      <c r="G3608" s="86">
        <v>10</v>
      </c>
      <c r="H3608" s="86">
        <v>280</v>
      </c>
      <c r="I3608" s="86">
        <v>1020</v>
      </c>
      <c r="J3608" s="85" t="s">
        <v>2935</v>
      </c>
      <c r="K3608" s="85" t="s">
        <v>13072</v>
      </c>
      <c r="L3608" s="85" t="s">
        <v>12417</v>
      </c>
      <c r="M3608" s="85" t="s">
        <v>13127</v>
      </c>
    </row>
    <row r="3609" ht="327.75" spans="1:13">
      <c r="A3609" s="85" t="s">
        <v>13128</v>
      </c>
      <c r="B3609" s="85" t="s">
        <v>8266</v>
      </c>
      <c r="C3609" s="85" t="s">
        <v>11077</v>
      </c>
      <c r="D3609" s="85" t="s">
        <v>3189</v>
      </c>
      <c r="E3609" s="85" t="s">
        <v>6337</v>
      </c>
      <c r="F3609" s="86">
        <v>27</v>
      </c>
      <c r="G3609" s="86">
        <v>100</v>
      </c>
      <c r="H3609" s="86">
        <v>2700</v>
      </c>
      <c r="I3609" s="86">
        <v>2700</v>
      </c>
      <c r="J3609" s="85" t="s">
        <v>8268</v>
      </c>
      <c r="K3609" s="85" t="s">
        <v>13072</v>
      </c>
      <c r="L3609" s="85" t="s">
        <v>12417</v>
      </c>
      <c r="M3609" s="85" t="s">
        <v>13129</v>
      </c>
    </row>
    <row r="3610" ht="327.75" spans="1:13">
      <c r="A3610" s="85" t="s">
        <v>13088</v>
      </c>
      <c r="B3610" s="85" t="s">
        <v>11472</v>
      </c>
      <c r="C3610" s="85" t="s">
        <v>11473</v>
      </c>
      <c r="D3610" s="85" t="s">
        <v>2992</v>
      </c>
      <c r="E3610" s="85" t="s">
        <v>1815</v>
      </c>
      <c r="F3610" s="86">
        <v>0.25</v>
      </c>
      <c r="G3610" s="86">
        <v>20000</v>
      </c>
      <c r="H3610" s="86">
        <v>5000</v>
      </c>
      <c r="I3610" s="86">
        <v>23168</v>
      </c>
      <c r="J3610" s="85" t="s">
        <v>9135</v>
      </c>
      <c r="K3610" s="85" t="s">
        <v>13072</v>
      </c>
      <c r="L3610" s="85" t="s">
        <v>12417</v>
      </c>
      <c r="M3610" s="85" t="s">
        <v>13130</v>
      </c>
    </row>
    <row r="3611" ht="327.75" spans="1:13">
      <c r="A3611" s="85" t="s">
        <v>13088</v>
      </c>
      <c r="B3611" s="85" t="s">
        <v>13131</v>
      </c>
      <c r="C3611" s="85" t="s">
        <v>13132</v>
      </c>
      <c r="D3611" s="85" t="s">
        <v>3543</v>
      </c>
      <c r="E3611" s="85" t="s">
        <v>13133</v>
      </c>
      <c r="F3611" s="86">
        <v>18</v>
      </c>
      <c r="G3611" s="86">
        <v>50</v>
      </c>
      <c r="H3611" s="86">
        <v>900</v>
      </c>
      <c r="I3611" s="86">
        <v>23168</v>
      </c>
      <c r="J3611" s="85" t="s">
        <v>9135</v>
      </c>
      <c r="K3611" s="85" t="s">
        <v>13072</v>
      </c>
      <c r="L3611" s="85" t="s">
        <v>12417</v>
      </c>
      <c r="M3611" s="85" t="s">
        <v>13134</v>
      </c>
    </row>
    <row r="3612" ht="327.75" spans="1:13">
      <c r="A3612" s="85" t="s">
        <v>13071</v>
      </c>
      <c r="B3612" s="85" t="s">
        <v>12918</v>
      </c>
      <c r="C3612" s="85" t="s">
        <v>12919</v>
      </c>
      <c r="D3612" s="85" t="s">
        <v>10932</v>
      </c>
      <c r="E3612" s="85" t="s">
        <v>12920</v>
      </c>
      <c r="F3612" s="86">
        <v>125</v>
      </c>
      <c r="G3612" s="86">
        <v>6</v>
      </c>
      <c r="H3612" s="86">
        <v>750</v>
      </c>
      <c r="I3612" s="86">
        <v>5185</v>
      </c>
      <c r="J3612" s="85" t="s">
        <v>4391</v>
      </c>
      <c r="K3612" s="85" t="s">
        <v>13072</v>
      </c>
      <c r="L3612" s="85" t="s">
        <v>12417</v>
      </c>
      <c r="M3612" s="85" t="s">
        <v>13135</v>
      </c>
    </row>
    <row r="3613" ht="327.75" spans="1:13">
      <c r="A3613" s="85" t="s">
        <v>13136</v>
      </c>
      <c r="B3613" s="85" t="s">
        <v>12002</v>
      </c>
      <c r="C3613" s="85" t="s">
        <v>12003</v>
      </c>
      <c r="D3613" s="85" t="s">
        <v>3197</v>
      </c>
      <c r="E3613" s="85" t="s">
        <v>12004</v>
      </c>
      <c r="F3613" s="86">
        <v>1.9</v>
      </c>
      <c r="G3613" s="86">
        <v>150</v>
      </c>
      <c r="H3613" s="86">
        <v>285</v>
      </c>
      <c r="I3613" s="86">
        <v>3154</v>
      </c>
      <c r="J3613" s="85" t="s">
        <v>2935</v>
      </c>
      <c r="K3613" s="85" t="s">
        <v>13072</v>
      </c>
      <c r="L3613" s="85" t="s">
        <v>12417</v>
      </c>
      <c r="M3613" s="85" t="s">
        <v>13137</v>
      </c>
    </row>
    <row r="3614" ht="327.75" spans="1:13">
      <c r="A3614" s="85" t="s">
        <v>13074</v>
      </c>
      <c r="B3614" s="85" t="s">
        <v>9337</v>
      </c>
      <c r="C3614" s="85" t="s">
        <v>9338</v>
      </c>
      <c r="D3614" s="85" t="s">
        <v>3153</v>
      </c>
      <c r="E3614" s="85" t="s">
        <v>8431</v>
      </c>
      <c r="F3614" s="86">
        <v>370</v>
      </c>
      <c r="G3614" s="86">
        <v>3</v>
      </c>
      <c r="H3614" s="86">
        <v>1110</v>
      </c>
      <c r="I3614" s="86">
        <v>89638.5</v>
      </c>
      <c r="J3614" s="85" t="s">
        <v>2935</v>
      </c>
      <c r="K3614" s="85" t="s">
        <v>13072</v>
      </c>
      <c r="L3614" s="85" t="s">
        <v>12417</v>
      </c>
      <c r="M3614" s="85" t="s">
        <v>13138</v>
      </c>
    </row>
    <row r="3615" ht="327.75" spans="1:13">
      <c r="A3615" s="85" t="s">
        <v>13074</v>
      </c>
      <c r="B3615" s="85" t="s">
        <v>10938</v>
      </c>
      <c r="C3615" s="85" t="s">
        <v>10939</v>
      </c>
      <c r="D3615" s="85" t="s">
        <v>8838</v>
      </c>
      <c r="E3615" s="85" t="s">
        <v>10940</v>
      </c>
      <c r="F3615" s="86">
        <v>7</v>
      </c>
      <c r="G3615" s="86">
        <v>5</v>
      </c>
      <c r="H3615" s="86">
        <v>35</v>
      </c>
      <c r="I3615" s="86">
        <v>89638.5</v>
      </c>
      <c r="J3615" s="85" t="s">
        <v>2935</v>
      </c>
      <c r="K3615" s="85" t="s">
        <v>13072</v>
      </c>
      <c r="L3615" s="85" t="s">
        <v>12417</v>
      </c>
      <c r="M3615" s="85" t="s">
        <v>13139</v>
      </c>
    </row>
    <row r="3616" ht="327.75" spans="1:13">
      <c r="A3616" s="85" t="s">
        <v>13140</v>
      </c>
      <c r="B3616" s="85" t="s">
        <v>9671</v>
      </c>
      <c r="C3616" s="85" t="s">
        <v>9672</v>
      </c>
      <c r="D3616" s="85" t="s">
        <v>9673</v>
      </c>
      <c r="E3616" s="85" t="s">
        <v>9674</v>
      </c>
      <c r="F3616" s="86">
        <v>16.2</v>
      </c>
      <c r="G3616" s="86">
        <v>204</v>
      </c>
      <c r="H3616" s="86">
        <v>3304.8</v>
      </c>
      <c r="I3616" s="86">
        <v>3304.8</v>
      </c>
      <c r="J3616" s="85" t="s">
        <v>4391</v>
      </c>
      <c r="K3616" s="85" t="s">
        <v>13072</v>
      </c>
      <c r="L3616" s="85" t="s">
        <v>12417</v>
      </c>
      <c r="M3616" s="85" t="s">
        <v>13141</v>
      </c>
    </row>
    <row r="3617" ht="327.75" spans="1:13">
      <c r="A3617" s="85" t="s">
        <v>13074</v>
      </c>
      <c r="B3617" s="85" t="s">
        <v>13142</v>
      </c>
      <c r="C3617" s="85" t="s">
        <v>13143</v>
      </c>
      <c r="D3617" s="85" t="s">
        <v>10535</v>
      </c>
      <c r="E3617" s="85" t="s">
        <v>1765</v>
      </c>
      <c r="F3617" s="86">
        <v>540</v>
      </c>
      <c r="G3617" s="86">
        <v>1</v>
      </c>
      <c r="H3617" s="86">
        <v>540</v>
      </c>
      <c r="I3617" s="86">
        <v>89638.5</v>
      </c>
      <c r="J3617" s="85" t="s">
        <v>2935</v>
      </c>
      <c r="K3617" s="85" t="s">
        <v>13072</v>
      </c>
      <c r="L3617" s="85" t="s">
        <v>12417</v>
      </c>
      <c r="M3617" s="85" t="s">
        <v>13144</v>
      </c>
    </row>
    <row r="3618" ht="327.75" spans="1:13">
      <c r="A3618" s="85" t="s">
        <v>13145</v>
      </c>
      <c r="B3618" s="85" t="s">
        <v>3788</v>
      </c>
      <c r="C3618" s="85" t="s">
        <v>3789</v>
      </c>
      <c r="D3618" s="85" t="s">
        <v>3189</v>
      </c>
      <c r="E3618" s="85" t="s">
        <v>3790</v>
      </c>
      <c r="F3618" s="86">
        <v>100</v>
      </c>
      <c r="G3618" s="86">
        <v>40</v>
      </c>
      <c r="H3618" s="86">
        <v>4000</v>
      </c>
      <c r="I3618" s="86">
        <v>4000</v>
      </c>
      <c r="J3618" s="85" t="s">
        <v>12634</v>
      </c>
      <c r="K3618" s="85" t="s">
        <v>13072</v>
      </c>
      <c r="L3618" s="85" t="s">
        <v>12417</v>
      </c>
      <c r="M3618" s="85" t="s">
        <v>13146</v>
      </c>
    </row>
    <row r="3619" ht="327.75" spans="1:13">
      <c r="A3619" s="85" t="s">
        <v>13074</v>
      </c>
      <c r="B3619" s="85" t="s">
        <v>13147</v>
      </c>
      <c r="C3619" s="85" t="s">
        <v>13148</v>
      </c>
      <c r="D3619" s="85" t="s">
        <v>3241</v>
      </c>
      <c r="E3619" s="85" t="s">
        <v>4216</v>
      </c>
      <c r="F3619" s="86">
        <v>80</v>
      </c>
      <c r="G3619" s="86">
        <v>1</v>
      </c>
      <c r="H3619" s="86">
        <v>80</v>
      </c>
      <c r="I3619" s="86">
        <v>89638.5</v>
      </c>
      <c r="J3619" s="85" t="s">
        <v>2935</v>
      </c>
      <c r="K3619" s="85" t="s">
        <v>13072</v>
      </c>
      <c r="L3619" s="85" t="s">
        <v>12417</v>
      </c>
      <c r="M3619" s="85" t="s">
        <v>13149</v>
      </c>
    </row>
    <row r="3620" ht="327.75" spans="1:13">
      <c r="A3620" s="85" t="s">
        <v>13150</v>
      </c>
      <c r="B3620" s="85" t="s">
        <v>12556</v>
      </c>
      <c r="C3620" s="85" t="s">
        <v>12557</v>
      </c>
      <c r="D3620" s="85" t="s">
        <v>3153</v>
      </c>
      <c r="E3620" s="85" t="s">
        <v>10503</v>
      </c>
      <c r="F3620" s="86">
        <v>350</v>
      </c>
      <c r="G3620" s="86">
        <v>2</v>
      </c>
      <c r="H3620" s="86">
        <v>700</v>
      </c>
      <c r="I3620" s="86">
        <v>700</v>
      </c>
      <c r="J3620" s="85" t="s">
        <v>2935</v>
      </c>
      <c r="K3620" s="85" t="s">
        <v>13072</v>
      </c>
      <c r="L3620" s="85" t="s">
        <v>12417</v>
      </c>
      <c r="M3620" s="85" t="s">
        <v>13151</v>
      </c>
    </row>
    <row r="3621" ht="327.75" spans="1:13">
      <c r="A3621" s="85" t="s">
        <v>13112</v>
      </c>
      <c r="B3621" s="85" t="s">
        <v>12546</v>
      </c>
      <c r="C3621" s="85" t="s">
        <v>12547</v>
      </c>
      <c r="D3621" s="85" t="s">
        <v>5909</v>
      </c>
      <c r="E3621" s="85" t="s">
        <v>5910</v>
      </c>
      <c r="F3621" s="86">
        <v>88</v>
      </c>
      <c r="G3621" s="86">
        <v>20</v>
      </c>
      <c r="H3621" s="86">
        <v>1760</v>
      </c>
      <c r="I3621" s="86">
        <v>2006</v>
      </c>
      <c r="J3621" s="85" t="s">
        <v>2935</v>
      </c>
      <c r="K3621" s="85" t="s">
        <v>13072</v>
      </c>
      <c r="L3621" s="85" t="s">
        <v>12417</v>
      </c>
      <c r="M3621" s="85" t="s">
        <v>13152</v>
      </c>
    </row>
    <row r="3622" ht="327.75" spans="1:13">
      <c r="A3622" s="85" t="s">
        <v>13074</v>
      </c>
      <c r="B3622" s="85" t="s">
        <v>13153</v>
      </c>
      <c r="C3622" s="85" t="s">
        <v>13154</v>
      </c>
      <c r="D3622" s="85" t="s">
        <v>3722</v>
      </c>
      <c r="E3622" s="85" t="s">
        <v>3940</v>
      </c>
      <c r="F3622" s="86">
        <v>20</v>
      </c>
      <c r="G3622" s="86">
        <v>5</v>
      </c>
      <c r="H3622" s="86">
        <v>100</v>
      </c>
      <c r="I3622" s="86">
        <v>89638.5</v>
      </c>
      <c r="J3622" s="85" t="s">
        <v>2935</v>
      </c>
      <c r="K3622" s="85" t="s">
        <v>13072</v>
      </c>
      <c r="L3622" s="85" t="s">
        <v>12417</v>
      </c>
      <c r="M3622" s="85" t="s">
        <v>13155</v>
      </c>
    </row>
    <row r="3623" ht="327.75" spans="1:13">
      <c r="A3623" s="85" t="s">
        <v>13088</v>
      </c>
      <c r="B3623" s="85" t="s">
        <v>11527</v>
      </c>
      <c r="C3623" s="85" t="s">
        <v>11528</v>
      </c>
      <c r="D3623" s="85" t="s">
        <v>2992</v>
      </c>
      <c r="E3623" s="85" t="s">
        <v>1815</v>
      </c>
      <c r="F3623" s="86">
        <v>0.47</v>
      </c>
      <c r="G3623" s="86">
        <v>4000</v>
      </c>
      <c r="H3623" s="86">
        <v>1880</v>
      </c>
      <c r="I3623" s="86">
        <v>23168</v>
      </c>
      <c r="J3623" s="85" t="s">
        <v>9135</v>
      </c>
      <c r="K3623" s="85" t="s">
        <v>13072</v>
      </c>
      <c r="L3623" s="85" t="s">
        <v>12417</v>
      </c>
      <c r="M3623" s="85" t="s">
        <v>13156</v>
      </c>
    </row>
    <row r="3624" ht="327.75" spans="1:13">
      <c r="A3624" s="85" t="s">
        <v>13123</v>
      </c>
      <c r="B3624" s="85" t="s">
        <v>9606</v>
      </c>
      <c r="C3624" s="85" t="s">
        <v>9607</v>
      </c>
      <c r="D3624" s="85" t="s">
        <v>3082</v>
      </c>
      <c r="E3624" s="85" t="s">
        <v>5127</v>
      </c>
      <c r="F3624" s="86">
        <v>37</v>
      </c>
      <c r="G3624" s="86">
        <v>20</v>
      </c>
      <c r="H3624" s="86">
        <v>740</v>
      </c>
      <c r="I3624" s="86">
        <v>1020</v>
      </c>
      <c r="J3624" s="85" t="s">
        <v>2935</v>
      </c>
      <c r="K3624" s="85" t="s">
        <v>13072</v>
      </c>
      <c r="L3624" s="85" t="s">
        <v>12417</v>
      </c>
      <c r="M3624" s="85" t="s">
        <v>13157</v>
      </c>
    </row>
    <row r="3625" ht="327.75" spans="1:13">
      <c r="A3625" s="85" t="s">
        <v>13074</v>
      </c>
      <c r="B3625" s="85" t="s">
        <v>12087</v>
      </c>
      <c r="C3625" s="85" t="s">
        <v>12088</v>
      </c>
      <c r="D3625" s="85" t="s">
        <v>3367</v>
      </c>
      <c r="E3625" s="85" t="s">
        <v>11980</v>
      </c>
      <c r="F3625" s="86">
        <v>8.9</v>
      </c>
      <c r="G3625" s="86">
        <v>25</v>
      </c>
      <c r="H3625" s="86">
        <v>222.5</v>
      </c>
      <c r="I3625" s="86">
        <v>89638.5</v>
      </c>
      <c r="J3625" s="85" t="s">
        <v>2935</v>
      </c>
      <c r="K3625" s="85" t="s">
        <v>13072</v>
      </c>
      <c r="L3625" s="85" t="s">
        <v>12417</v>
      </c>
      <c r="M3625" s="85" t="s">
        <v>13158</v>
      </c>
    </row>
    <row r="3626" ht="327.75" spans="1:13">
      <c r="A3626" s="85" t="s">
        <v>13090</v>
      </c>
      <c r="B3626" s="85" t="s">
        <v>11442</v>
      </c>
      <c r="C3626" s="85" t="s">
        <v>11443</v>
      </c>
      <c r="D3626" s="85" t="s">
        <v>11444</v>
      </c>
      <c r="E3626" s="85" t="s">
        <v>11445</v>
      </c>
      <c r="F3626" s="86">
        <v>568</v>
      </c>
      <c r="G3626" s="86">
        <v>5</v>
      </c>
      <c r="H3626" s="86">
        <v>2840</v>
      </c>
      <c r="I3626" s="86">
        <v>8674.6</v>
      </c>
      <c r="J3626" s="85" t="s">
        <v>4391</v>
      </c>
      <c r="K3626" s="85" t="s">
        <v>13072</v>
      </c>
      <c r="L3626" s="85" t="s">
        <v>12417</v>
      </c>
      <c r="M3626" s="85" t="s">
        <v>13159</v>
      </c>
    </row>
    <row r="3627" ht="327.75" spans="1:13">
      <c r="A3627" s="85" t="s">
        <v>13160</v>
      </c>
      <c r="B3627" s="85" t="s">
        <v>13161</v>
      </c>
      <c r="C3627" s="85" t="s">
        <v>13162</v>
      </c>
      <c r="D3627" s="85" t="s">
        <v>3543</v>
      </c>
      <c r="E3627" s="85" t="s">
        <v>11314</v>
      </c>
      <c r="F3627" s="86">
        <v>330</v>
      </c>
      <c r="G3627" s="86">
        <v>54</v>
      </c>
      <c r="H3627" s="86">
        <v>17820</v>
      </c>
      <c r="I3627" s="86">
        <v>17820</v>
      </c>
      <c r="J3627" s="85" t="s">
        <v>13163</v>
      </c>
      <c r="K3627" s="85" t="s">
        <v>13072</v>
      </c>
      <c r="L3627" s="85" t="s">
        <v>12417</v>
      </c>
      <c r="M3627" s="85" t="s">
        <v>13164</v>
      </c>
    </row>
    <row r="3628" ht="327.75" spans="1:13">
      <c r="A3628" s="85" t="s">
        <v>13136</v>
      </c>
      <c r="B3628" s="85" t="s">
        <v>11033</v>
      </c>
      <c r="C3628" s="85" t="s">
        <v>11034</v>
      </c>
      <c r="D3628" s="85" t="s">
        <v>3183</v>
      </c>
      <c r="E3628" s="85" t="s">
        <v>6563</v>
      </c>
      <c r="F3628" s="86">
        <v>28</v>
      </c>
      <c r="G3628" s="86">
        <v>60</v>
      </c>
      <c r="H3628" s="86">
        <v>1680</v>
      </c>
      <c r="I3628" s="86">
        <v>3154</v>
      </c>
      <c r="J3628" s="85" t="s">
        <v>2935</v>
      </c>
      <c r="K3628" s="85" t="s">
        <v>13072</v>
      </c>
      <c r="L3628" s="85" t="s">
        <v>12417</v>
      </c>
      <c r="M3628" s="85" t="s">
        <v>13165</v>
      </c>
    </row>
    <row r="3629" ht="327.75" spans="1:13">
      <c r="A3629" s="85" t="s">
        <v>13088</v>
      </c>
      <c r="B3629" s="85" t="s">
        <v>12532</v>
      </c>
      <c r="C3629" s="85" t="s">
        <v>12533</v>
      </c>
      <c r="D3629" s="85" t="s">
        <v>3201</v>
      </c>
      <c r="E3629" s="85" t="s">
        <v>3217</v>
      </c>
      <c r="F3629" s="86">
        <v>45</v>
      </c>
      <c r="G3629" s="86">
        <v>40</v>
      </c>
      <c r="H3629" s="86">
        <v>1800</v>
      </c>
      <c r="I3629" s="86">
        <v>23168</v>
      </c>
      <c r="J3629" s="85" t="s">
        <v>9135</v>
      </c>
      <c r="K3629" s="85" t="s">
        <v>13072</v>
      </c>
      <c r="L3629" s="85" t="s">
        <v>12417</v>
      </c>
      <c r="M3629" s="85" t="s">
        <v>13166</v>
      </c>
    </row>
    <row r="3630" ht="327.75" spans="1:13">
      <c r="A3630" s="85" t="s">
        <v>13136</v>
      </c>
      <c r="B3630" s="85" t="s">
        <v>13167</v>
      </c>
      <c r="C3630" s="85" t="s">
        <v>13168</v>
      </c>
      <c r="D3630" s="85" t="s">
        <v>6250</v>
      </c>
      <c r="E3630" s="85" t="s">
        <v>13169</v>
      </c>
      <c r="F3630" s="86">
        <v>9.2</v>
      </c>
      <c r="G3630" s="86">
        <v>10</v>
      </c>
      <c r="H3630" s="86">
        <v>92</v>
      </c>
      <c r="I3630" s="86">
        <v>3154</v>
      </c>
      <c r="J3630" s="85" t="s">
        <v>2935</v>
      </c>
      <c r="K3630" s="85" t="s">
        <v>13072</v>
      </c>
      <c r="L3630" s="85" t="s">
        <v>12417</v>
      </c>
      <c r="M3630" s="85" t="s">
        <v>13170</v>
      </c>
    </row>
    <row r="3631" ht="327.75" spans="1:13">
      <c r="A3631" s="85" t="s">
        <v>13088</v>
      </c>
      <c r="B3631" s="85" t="s">
        <v>10526</v>
      </c>
      <c r="C3631" s="85" t="s">
        <v>10527</v>
      </c>
      <c r="D3631" s="85" t="s">
        <v>8767</v>
      </c>
      <c r="E3631" s="85" t="s">
        <v>3050</v>
      </c>
      <c r="F3631" s="86">
        <v>5.8</v>
      </c>
      <c r="G3631" s="86">
        <v>100</v>
      </c>
      <c r="H3631" s="86">
        <v>580</v>
      </c>
      <c r="I3631" s="86">
        <v>23168</v>
      </c>
      <c r="J3631" s="85" t="s">
        <v>9135</v>
      </c>
      <c r="K3631" s="85" t="s">
        <v>13072</v>
      </c>
      <c r="L3631" s="85" t="s">
        <v>12417</v>
      </c>
      <c r="M3631" s="85" t="s">
        <v>13171</v>
      </c>
    </row>
    <row r="3632" ht="327.75" spans="1:13">
      <c r="A3632" s="85" t="s">
        <v>13136</v>
      </c>
      <c r="B3632" s="85" t="s">
        <v>12880</v>
      </c>
      <c r="C3632" s="85" t="s">
        <v>12881</v>
      </c>
      <c r="D3632" s="85" t="s">
        <v>3230</v>
      </c>
      <c r="E3632" s="85" t="s">
        <v>12882</v>
      </c>
      <c r="F3632" s="86">
        <v>20.5</v>
      </c>
      <c r="G3632" s="86">
        <v>50</v>
      </c>
      <c r="H3632" s="86">
        <v>1025</v>
      </c>
      <c r="I3632" s="86">
        <v>3154</v>
      </c>
      <c r="J3632" s="85" t="s">
        <v>2935</v>
      </c>
      <c r="K3632" s="85" t="s">
        <v>13072</v>
      </c>
      <c r="L3632" s="85" t="s">
        <v>12417</v>
      </c>
      <c r="M3632" s="85" t="s">
        <v>13172</v>
      </c>
    </row>
    <row r="3633" ht="327.75" spans="1:13">
      <c r="A3633" s="85" t="s">
        <v>13136</v>
      </c>
      <c r="B3633" s="85" t="s">
        <v>10235</v>
      </c>
      <c r="C3633" s="85" t="s">
        <v>10236</v>
      </c>
      <c r="D3633" s="85" t="s">
        <v>6273</v>
      </c>
      <c r="E3633" s="85" t="s">
        <v>10237</v>
      </c>
      <c r="F3633" s="86">
        <v>12</v>
      </c>
      <c r="G3633" s="86">
        <v>6</v>
      </c>
      <c r="H3633" s="86">
        <v>72</v>
      </c>
      <c r="I3633" s="86">
        <v>3154</v>
      </c>
      <c r="J3633" s="85" t="s">
        <v>2935</v>
      </c>
      <c r="K3633" s="85" t="s">
        <v>13072</v>
      </c>
      <c r="L3633" s="85" t="s">
        <v>12417</v>
      </c>
      <c r="M3633" s="85" t="s">
        <v>13173</v>
      </c>
    </row>
    <row r="3634" ht="327.75" spans="1:13">
      <c r="A3634" s="85" t="s">
        <v>13174</v>
      </c>
      <c r="B3634" s="85" t="s">
        <v>12606</v>
      </c>
      <c r="C3634" s="85" t="s">
        <v>12607</v>
      </c>
      <c r="D3634" s="85" t="s">
        <v>2977</v>
      </c>
      <c r="E3634" s="85" t="s">
        <v>8894</v>
      </c>
      <c r="F3634" s="86">
        <v>8</v>
      </c>
      <c r="G3634" s="86">
        <v>500</v>
      </c>
      <c r="H3634" s="86">
        <v>4000</v>
      </c>
      <c r="I3634" s="86">
        <v>4000</v>
      </c>
      <c r="J3634" s="85" t="s">
        <v>2935</v>
      </c>
      <c r="K3634" s="85" t="s">
        <v>13072</v>
      </c>
      <c r="L3634" s="85" t="s">
        <v>12417</v>
      </c>
      <c r="M3634" s="85" t="s">
        <v>13175</v>
      </c>
    </row>
    <row r="3635" ht="327.75" spans="1:13">
      <c r="A3635" s="85" t="s">
        <v>13114</v>
      </c>
      <c r="B3635" s="85" t="s">
        <v>11667</v>
      </c>
      <c r="C3635" s="85" t="s">
        <v>11668</v>
      </c>
      <c r="D3635" s="85" t="s">
        <v>3747</v>
      </c>
      <c r="E3635" s="85" t="s">
        <v>1827</v>
      </c>
      <c r="F3635" s="86">
        <v>115</v>
      </c>
      <c r="G3635" s="86">
        <v>300</v>
      </c>
      <c r="H3635" s="86">
        <v>34500</v>
      </c>
      <c r="I3635" s="86">
        <v>68025</v>
      </c>
      <c r="J3635" s="85" t="s">
        <v>12217</v>
      </c>
      <c r="K3635" s="85" t="s">
        <v>13072</v>
      </c>
      <c r="L3635" s="85" t="s">
        <v>12417</v>
      </c>
      <c r="M3635" s="85" t="s">
        <v>13176</v>
      </c>
    </row>
    <row r="3636" ht="327.75" spans="1:13">
      <c r="A3636" s="85" t="s">
        <v>13177</v>
      </c>
      <c r="B3636" s="85" t="s">
        <v>13178</v>
      </c>
      <c r="C3636" s="85" t="s">
        <v>13179</v>
      </c>
      <c r="D3636" s="85" t="s">
        <v>3241</v>
      </c>
      <c r="E3636" s="85" t="s">
        <v>13180</v>
      </c>
      <c r="F3636" s="86">
        <v>22.4</v>
      </c>
      <c r="G3636" s="86">
        <v>2</v>
      </c>
      <c r="H3636" s="86">
        <v>44.8</v>
      </c>
      <c r="I3636" s="86">
        <v>44.8</v>
      </c>
      <c r="J3636" s="85" t="s">
        <v>4391</v>
      </c>
      <c r="K3636" s="85" t="s">
        <v>13072</v>
      </c>
      <c r="L3636" s="85" t="s">
        <v>12417</v>
      </c>
      <c r="M3636" s="85" t="s">
        <v>13181</v>
      </c>
    </row>
    <row r="3637" ht="327.75" spans="1:13">
      <c r="A3637" s="85" t="s">
        <v>13114</v>
      </c>
      <c r="B3637" s="85" t="s">
        <v>5662</v>
      </c>
      <c r="C3637" s="85" t="s">
        <v>11672</v>
      </c>
      <c r="D3637" s="85" t="s">
        <v>4076</v>
      </c>
      <c r="E3637" s="85" t="s">
        <v>1832</v>
      </c>
      <c r="F3637" s="86">
        <v>106</v>
      </c>
      <c r="G3637" s="86">
        <v>300</v>
      </c>
      <c r="H3637" s="86">
        <v>31800</v>
      </c>
      <c r="I3637" s="86">
        <v>68025</v>
      </c>
      <c r="J3637" s="85" t="s">
        <v>12217</v>
      </c>
      <c r="K3637" s="85" t="s">
        <v>13072</v>
      </c>
      <c r="L3637" s="85" t="s">
        <v>12417</v>
      </c>
      <c r="M3637" s="85" t="s">
        <v>13182</v>
      </c>
    </row>
    <row r="3638" ht="327.75" spans="1:13">
      <c r="A3638" s="85" t="s">
        <v>13071</v>
      </c>
      <c r="B3638" s="85" t="s">
        <v>13183</v>
      </c>
      <c r="C3638" s="85" t="s">
        <v>13184</v>
      </c>
      <c r="D3638" s="85" t="s">
        <v>13185</v>
      </c>
      <c r="E3638" s="85" t="s">
        <v>13186</v>
      </c>
      <c r="F3638" s="86">
        <v>65</v>
      </c>
      <c r="G3638" s="86">
        <v>12</v>
      </c>
      <c r="H3638" s="86">
        <v>780</v>
      </c>
      <c r="I3638" s="86">
        <v>5185</v>
      </c>
      <c r="J3638" s="85" t="s">
        <v>4391</v>
      </c>
      <c r="K3638" s="85" t="s">
        <v>13072</v>
      </c>
      <c r="L3638" s="85" t="s">
        <v>12417</v>
      </c>
      <c r="M3638" s="85" t="s">
        <v>13187</v>
      </c>
    </row>
    <row r="3639" ht="327.75" spans="1:13">
      <c r="A3639" s="85" t="s">
        <v>13074</v>
      </c>
      <c r="B3639" s="85" t="s">
        <v>12636</v>
      </c>
      <c r="C3639" s="85" t="s">
        <v>12637</v>
      </c>
      <c r="D3639" s="85" t="s">
        <v>3625</v>
      </c>
      <c r="E3639" s="85" t="s">
        <v>10093</v>
      </c>
      <c r="F3639" s="86">
        <v>3</v>
      </c>
      <c r="G3639" s="86">
        <v>100</v>
      </c>
      <c r="H3639" s="86">
        <v>300</v>
      </c>
      <c r="I3639" s="86">
        <v>89638.5</v>
      </c>
      <c r="J3639" s="85" t="s">
        <v>2935</v>
      </c>
      <c r="K3639" s="85" t="s">
        <v>13072</v>
      </c>
      <c r="L3639" s="85" t="s">
        <v>12417</v>
      </c>
      <c r="M3639" s="85" t="s">
        <v>13188</v>
      </c>
    </row>
    <row r="3640" ht="327.75" spans="1:13">
      <c r="A3640" s="85" t="s">
        <v>13090</v>
      </c>
      <c r="B3640" s="85" t="s">
        <v>10149</v>
      </c>
      <c r="C3640" s="85" t="s">
        <v>10150</v>
      </c>
      <c r="D3640" s="85" t="s">
        <v>10151</v>
      </c>
      <c r="E3640" s="85" t="s">
        <v>10152</v>
      </c>
      <c r="F3640" s="86">
        <v>16</v>
      </c>
      <c r="G3640" s="86">
        <v>160</v>
      </c>
      <c r="H3640" s="86">
        <v>2560</v>
      </c>
      <c r="I3640" s="86">
        <v>8674.6</v>
      </c>
      <c r="J3640" s="85" t="s">
        <v>4391</v>
      </c>
      <c r="K3640" s="85" t="s">
        <v>13072</v>
      </c>
      <c r="L3640" s="85" t="s">
        <v>12417</v>
      </c>
      <c r="M3640" s="85" t="s">
        <v>13189</v>
      </c>
    </row>
    <row r="3641" ht="327.75" spans="1:13">
      <c r="A3641" s="85" t="s">
        <v>13074</v>
      </c>
      <c r="B3641" s="85" t="s">
        <v>13190</v>
      </c>
      <c r="C3641" s="85" t="s">
        <v>13191</v>
      </c>
      <c r="D3641" s="85" t="s">
        <v>3684</v>
      </c>
      <c r="E3641" s="85" t="s">
        <v>13192</v>
      </c>
      <c r="F3641" s="86">
        <v>2100</v>
      </c>
      <c r="G3641" s="86">
        <v>1</v>
      </c>
      <c r="H3641" s="86">
        <v>2100</v>
      </c>
      <c r="I3641" s="86">
        <v>89638.5</v>
      </c>
      <c r="J3641" s="85" t="s">
        <v>2935</v>
      </c>
      <c r="K3641" s="85" t="s">
        <v>13072</v>
      </c>
      <c r="L3641" s="85" t="s">
        <v>12417</v>
      </c>
      <c r="M3641" s="85" t="s">
        <v>13193</v>
      </c>
    </row>
    <row r="3642" ht="327.75" spans="1:13">
      <c r="A3642" s="85" t="s">
        <v>13074</v>
      </c>
      <c r="B3642" s="85" t="s">
        <v>9414</v>
      </c>
      <c r="C3642" s="85" t="s">
        <v>9415</v>
      </c>
      <c r="D3642" s="85" t="s">
        <v>5449</v>
      </c>
      <c r="E3642" s="85" t="s">
        <v>9416</v>
      </c>
      <c r="F3642" s="86">
        <v>197</v>
      </c>
      <c r="G3642" s="86">
        <v>350</v>
      </c>
      <c r="H3642" s="86">
        <v>68950</v>
      </c>
      <c r="I3642" s="86">
        <v>89638.5</v>
      </c>
      <c r="J3642" s="85" t="s">
        <v>2935</v>
      </c>
      <c r="K3642" s="85" t="s">
        <v>13072</v>
      </c>
      <c r="L3642" s="85" t="s">
        <v>12417</v>
      </c>
      <c r="M3642" s="85" t="s">
        <v>13194</v>
      </c>
    </row>
    <row r="3643" ht="327.75" spans="1:13">
      <c r="A3643" s="85" t="s">
        <v>13074</v>
      </c>
      <c r="B3643" s="85" t="s">
        <v>13195</v>
      </c>
      <c r="C3643" s="85" t="s">
        <v>13196</v>
      </c>
      <c r="D3643" s="85" t="s">
        <v>3177</v>
      </c>
      <c r="E3643" s="85" t="s">
        <v>13197</v>
      </c>
      <c r="F3643" s="86">
        <v>0.62</v>
      </c>
      <c r="G3643" s="86">
        <v>1000</v>
      </c>
      <c r="H3643" s="86">
        <v>620</v>
      </c>
      <c r="I3643" s="86">
        <v>89638.5</v>
      </c>
      <c r="J3643" s="85" t="s">
        <v>2935</v>
      </c>
      <c r="K3643" s="85" t="s">
        <v>13072</v>
      </c>
      <c r="L3643" s="85" t="s">
        <v>12417</v>
      </c>
      <c r="M3643" s="85" t="s">
        <v>13198</v>
      </c>
    </row>
    <row r="3644" ht="327.75" spans="1:13">
      <c r="A3644" s="85" t="s">
        <v>13088</v>
      </c>
      <c r="B3644" s="85" t="s">
        <v>11431</v>
      </c>
      <c r="C3644" s="85" t="s">
        <v>11432</v>
      </c>
      <c r="D3644" s="85" t="s">
        <v>3241</v>
      </c>
      <c r="E3644" s="85" t="s">
        <v>11433</v>
      </c>
      <c r="F3644" s="86">
        <v>9</v>
      </c>
      <c r="G3644" s="86">
        <v>4</v>
      </c>
      <c r="H3644" s="86">
        <v>36</v>
      </c>
      <c r="I3644" s="86">
        <v>23168</v>
      </c>
      <c r="J3644" s="85" t="s">
        <v>9135</v>
      </c>
      <c r="K3644" s="85" t="s">
        <v>13072</v>
      </c>
      <c r="L3644" s="85" t="s">
        <v>12417</v>
      </c>
      <c r="M3644" s="85" t="s">
        <v>13199</v>
      </c>
    </row>
    <row r="3645" ht="327.75" spans="1:13">
      <c r="A3645" s="85" t="s">
        <v>13071</v>
      </c>
      <c r="B3645" s="85" t="s">
        <v>13200</v>
      </c>
      <c r="C3645" s="85" t="s">
        <v>13201</v>
      </c>
      <c r="D3645" s="85" t="s">
        <v>3068</v>
      </c>
      <c r="E3645" s="85" t="s">
        <v>3069</v>
      </c>
      <c r="F3645" s="86">
        <v>4.9</v>
      </c>
      <c r="G3645" s="86">
        <v>60</v>
      </c>
      <c r="H3645" s="86">
        <v>294</v>
      </c>
      <c r="I3645" s="86">
        <v>5185</v>
      </c>
      <c r="J3645" s="85" t="s">
        <v>4391</v>
      </c>
      <c r="K3645" s="85" t="s">
        <v>13072</v>
      </c>
      <c r="L3645" s="85" t="s">
        <v>12417</v>
      </c>
      <c r="M3645" s="85" t="s">
        <v>13202</v>
      </c>
    </row>
    <row r="3646" ht="327.75" spans="1:13">
      <c r="A3646" s="85" t="s">
        <v>13074</v>
      </c>
      <c r="B3646" s="85" t="s">
        <v>13203</v>
      </c>
      <c r="C3646" s="85" t="s">
        <v>13204</v>
      </c>
      <c r="D3646" s="85" t="s">
        <v>2977</v>
      </c>
      <c r="E3646" s="85" t="s">
        <v>5181</v>
      </c>
      <c r="F3646" s="86">
        <v>13</v>
      </c>
      <c r="G3646" s="86">
        <v>6</v>
      </c>
      <c r="H3646" s="86">
        <v>78</v>
      </c>
      <c r="I3646" s="86">
        <v>89638.5</v>
      </c>
      <c r="J3646" s="85" t="s">
        <v>2935</v>
      </c>
      <c r="K3646" s="85" t="s">
        <v>13072</v>
      </c>
      <c r="L3646" s="85" t="s">
        <v>12417</v>
      </c>
      <c r="M3646" s="85" t="s">
        <v>13205</v>
      </c>
    </row>
    <row r="3647" ht="327.75" spans="1:13">
      <c r="A3647" s="85" t="s">
        <v>13074</v>
      </c>
      <c r="B3647" s="85" t="s">
        <v>12318</v>
      </c>
      <c r="C3647" s="85" t="s">
        <v>12319</v>
      </c>
      <c r="D3647" s="85" t="s">
        <v>3153</v>
      </c>
      <c r="E3647" s="85" t="s">
        <v>12320</v>
      </c>
      <c r="F3647" s="86">
        <v>180</v>
      </c>
      <c r="G3647" s="86">
        <v>2</v>
      </c>
      <c r="H3647" s="86">
        <v>360</v>
      </c>
      <c r="I3647" s="86">
        <v>89638.5</v>
      </c>
      <c r="J3647" s="85" t="s">
        <v>2935</v>
      </c>
      <c r="K3647" s="85" t="s">
        <v>13072</v>
      </c>
      <c r="L3647" s="85" t="s">
        <v>12417</v>
      </c>
      <c r="M3647" s="85" t="s">
        <v>13206</v>
      </c>
    </row>
    <row r="3648" ht="327.75" spans="1:13">
      <c r="A3648" s="85" t="s">
        <v>13207</v>
      </c>
      <c r="B3648" s="85" t="s">
        <v>13208</v>
      </c>
      <c r="C3648" s="85" t="s">
        <v>13209</v>
      </c>
      <c r="D3648" s="85" t="s">
        <v>4692</v>
      </c>
      <c r="E3648" s="85" t="s">
        <v>4693</v>
      </c>
      <c r="F3648" s="86">
        <v>157</v>
      </c>
      <c r="G3648" s="86">
        <v>190</v>
      </c>
      <c r="H3648" s="86">
        <v>29830</v>
      </c>
      <c r="I3648" s="86">
        <v>30385</v>
      </c>
      <c r="J3648" s="85" t="s">
        <v>13210</v>
      </c>
      <c r="K3648" s="85" t="s">
        <v>13211</v>
      </c>
      <c r="L3648" s="85" t="s">
        <v>12417</v>
      </c>
      <c r="M3648" s="85" t="s">
        <v>13212</v>
      </c>
    </row>
    <row r="3649" ht="327.75" spans="1:13">
      <c r="A3649" s="85" t="s">
        <v>13207</v>
      </c>
      <c r="B3649" s="85" t="s">
        <v>13213</v>
      </c>
      <c r="C3649" s="85" t="s">
        <v>13214</v>
      </c>
      <c r="D3649" s="85" t="s">
        <v>4692</v>
      </c>
      <c r="E3649" s="85" t="s">
        <v>4693</v>
      </c>
      <c r="F3649" s="86">
        <v>55.5</v>
      </c>
      <c r="G3649" s="86">
        <v>10</v>
      </c>
      <c r="H3649" s="86">
        <v>555</v>
      </c>
      <c r="I3649" s="86">
        <v>30385</v>
      </c>
      <c r="J3649" s="85" t="s">
        <v>13210</v>
      </c>
      <c r="K3649" s="85" t="s">
        <v>13211</v>
      </c>
      <c r="L3649" s="85" t="s">
        <v>12417</v>
      </c>
      <c r="M3649" s="85" t="s">
        <v>13215</v>
      </c>
    </row>
    <row r="3650" ht="327.75" spans="1:13">
      <c r="A3650" s="85" t="s">
        <v>13216</v>
      </c>
      <c r="B3650" s="85" t="s">
        <v>11496</v>
      </c>
      <c r="C3650" s="85" t="s">
        <v>11497</v>
      </c>
      <c r="D3650" s="85" t="s">
        <v>11498</v>
      </c>
      <c r="E3650" s="85" t="s">
        <v>3094</v>
      </c>
      <c r="F3650" s="86">
        <v>17</v>
      </c>
      <c r="G3650" s="86">
        <v>60</v>
      </c>
      <c r="H3650" s="86">
        <v>1020</v>
      </c>
      <c r="I3650" s="86">
        <v>8120</v>
      </c>
      <c r="J3650" s="85" t="s">
        <v>9135</v>
      </c>
      <c r="K3650" s="85" t="s">
        <v>13211</v>
      </c>
      <c r="L3650" s="85" t="s">
        <v>12417</v>
      </c>
      <c r="M3650" s="85" t="s">
        <v>13217</v>
      </c>
    </row>
    <row r="3651" ht="327.75" spans="1:13">
      <c r="A3651" s="85" t="s">
        <v>13216</v>
      </c>
      <c r="B3651" s="85" t="s">
        <v>11368</v>
      </c>
      <c r="C3651" s="85" t="s">
        <v>11369</v>
      </c>
      <c r="D3651" s="85" t="s">
        <v>11370</v>
      </c>
      <c r="E3651" s="85" t="s">
        <v>11371</v>
      </c>
      <c r="F3651" s="86">
        <v>35</v>
      </c>
      <c r="G3651" s="86">
        <v>80</v>
      </c>
      <c r="H3651" s="86">
        <v>2800</v>
      </c>
      <c r="I3651" s="86">
        <v>8120</v>
      </c>
      <c r="J3651" s="85" t="s">
        <v>9135</v>
      </c>
      <c r="K3651" s="85" t="s">
        <v>13211</v>
      </c>
      <c r="L3651" s="85" t="s">
        <v>12417</v>
      </c>
      <c r="M3651" s="85" t="s">
        <v>13218</v>
      </c>
    </row>
    <row r="3652" ht="327.75" spans="1:13">
      <c r="A3652" s="85" t="s">
        <v>13216</v>
      </c>
      <c r="B3652" s="85" t="s">
        <v>11804</v>
      </c>
      <c r="C3652" s="85" t="s">
        <v>11805</v>
      </c>
      <c r="D3652" s="85" t="s">
        <v>5574</v>
      </c>
      <c r="E3652" s="85" t="s">
        <v>1787</v>
      </c>
      <c r="F3652" s="86">
        <v>72</v>
      </c>
      <c r="G3652" s="86">
        <v>50</v>
      </c>
      <c r="H3652" s="86">
        <v>3600</v>
      </c>
      <c r="I3652" s="86">
        <v>8120</v>
      </c>
      <c r="J3652" s="85" t="s">
        <v>9135</v>
      </c>
      <c r="K3652" s="85" t="s">
        <v>13211</v>
      </c>
      <c r="L3652" s="85" t="s">
        <v>12417</v>
      </c>
      <c r="M3652" s="85" t="s">
        <v>13219</v>
      </c>
    </row>
    <row r="3653" ht="327.75" spans="1:13">
      <c r="A3653" s="85" t="s">
        <v>13216</v>
      </c>
      <c r="B3653" s="85" t="s">
        <v>12238</v>
      </c>
      <c r="C3653" s="85" t="s">
        <v>12239</v>
      </c>
      <c r="D3653" s="85" t="s">
        <v>3538</v>
      </c>
      <c r="E3653" s="85" t="s">
        <v>9572</v>
      </c>
      <c r="F3653" s="86">
        <v>35</v>
      </c>
      <c r="G3653" s="86">
        <v>20</v>
      </c>
      <c r="H3653" s="86">
        <v>700</v>
      </c>
      <c r="I3653" s="86">
        <v>8120</v>
      </c>
      <c r="J3653" s="85" t="s">
        <v>9135</v>
      </c>
      <c r="K3653" s="85" t="s">
        <v>13211</v>
      </c>
      <c r="L3653" s="85" t="s">
        <v>12417</v>
      </c>
      <c r="M3653" s="85" t="s">
        <v>13220</v>
      </c>
    </row>
    <row r="3654" ht="327.75" spans="1:13">
      <c r="A3654" s="85" t="s">
        <v>13221</v>
      </c>
      <c r="B3654" s="85" t="s">
        <v>6850</v>
      </c>
      <c r="C3654" s="85" t="s">
        <v>6851</v>
      </c>
      <c r="D3654" s="85" t="s">
        <v>6852</v>
      </c>
      <c r="E3654" s="85" t="s">
        <v>6853</v>
      </c>
      <c r="F3654" s="86">
        <v>40</v>
      </c>
      <c r="G3654" s="86">
        <v>30</v>
      </c>
      <c r="H3654" s="86">
        <v>1200</v>
      </c>
      <c r="I3654" s="86">
        <v>22170</v>
      </c>
      <c r="J3654" s="85" t="s">
        <v>9135</v>
      </c>
      <c r="K3654" s="85" t="s">
        <v>13222</v>
      </c>
      <c r="L3654" s="85" t="s">
        <v>12417</v>
      </c>
      <c r="M3654" s="85" t="s">
        <v>13223</v>
      </c>
    </row>
    <row r="3655" ht="327.75" spans="1:13">
      <c r="A3655" s="85" t="s">
        <v>13221</v>
      </c>
      <c r="B3655" s="85" t="s">
        <v>11527</v>
      </c>
      <c r="C3655" s="85" t="s">
        <v>11528</v>
      </c>
      <c r="D3655" s="85" t="s">
        <v>2992</v>
      </c>
      <c r="E3655" s="85" t="s">
        <v>1815</v>
      </c>
      <c r="F3655" s="86">
        <v>0.47</v>
      </c>
      <c r="G3655" s="86">
        <v>4000</v>
      </c>
      <c r="H3655" s="86">
        <v>1880</v>
      </c>
      <c r="I3655" s="86">
        <v>22170</v>
      </c>
      <c r="J3655" s="85" t="s">
        <v>9135</v>
      </c>
      <c r="K3655" s="85" t="s">
        <v>13222</v>
      </c>
      <c r="L3655" s="85" t="s">
        <v>12417</v>
      </c>
      <c r="M3655" s="85" t="s">
        <v>13224</v>
      </c>
    </row>
    <row r="3656" ht="327.75" spans="1:13">
      <c r="A3656" s="85" t="s">
        <v>13221</v>
      </c>
      <c r="B3656" s="85" t="s">
        <v>11489</v>
      </c>
      <c r="C3656" s="85" t="s">
        <v>11490</v>
      </c>
      <c r="D3656" s="85" t="s">
        <v>3656</v>
      </c>
      <c r="E3656" s="85" t="s">
        <v>8150</v>
      </c>
      <c r="F3656" s="86">
        <v>24</v>
      </c>
      <c r="G3656" s="86">
        <v>20</v>
      </c>
      <c r="H3656" s="86">
        <v>480</v>
      </c>
      <c r="I3656" s="86">
        <v>22170</v>
      </c>
      <c r="J3656" s="85" t="s">
        <v>9135</v>
      </c>
      <c r="K3656" s="85" t="s">
        <v>13222</v>
      </c>
      <c r="L3656" s="85" t="s">
        <v>12417</v>
      </c>
      <c r="M3656" s="85" t="s">
        <v>13225</v>
      </c>
    </row>
    <row r="3657" ht="327.75" spans="1:13">
      <c r="A3657" s="85" t="s">
        <v>13226</v>
      </c>
      <c r="B3657" s="85" t="s">
        <v>9797</v>
      </c>
      <c r="C3657" s="85" t="s">
        <v>9798</v>
      </c>
      <c r="D3657" s="85" t="s">
        <v>3753</v>
      </c>
      <c r="E3657" s="85" t="s">
        <v>8549</v>
      </c>
      <c r="F3657" s="86">
        <v>13</v>
      </c>
      <c r="G3657" s="86">
        <v>20</v>
      </c>
      <c r="H3657" s="86">
        <v>260</v>
      </c>
      <c r="I3657" s="86">
        <v>960</v>
      </c>
      <c r="J3657" s="85" t="s">
        <v>2935</v>
      </c>
      <c r="K3657" s="85" t="s">
        <v>13222</v>
      </c>
      <c r="L3657" s="85" t="s">
        <v>12417</v>
      </c>
      <c r="M3657" s="85" t="s">
        <v>13227</v>
      </c>
    </row>
    <row r="3658" ht="327.75" spans="1:13">
      <c r="A3658" s="85" t="s">
        <v>13228</v>
      </c>
      <c r="B3658" s="85" t="s">
        <v>12445</v>
      </c>
      <c r="C3658" s="85" t="s">
        <v>12446</v>
      </c>
      <c r="D3658" s="85" t="s">
        <v>3014</v>
      </c>
      <c r="E3658" s="85" t="s">
        <v>8141</v>
      </c>
      <c r="F3658" s="86">
        <v>463</v>
      </c>
      <c r="G3658" s="86">
        <v>1</v>
      </c>
      <c r="H3658" s="86">
        <v>463</v>
      </c>
      <c r="I3658" s="86">
        <v>1083</v>
      </c>
      <c r="J3658" s="85" t="s">
        <v>2935</v>
      </c>
      <c r="K3658" s="85" t="s">
        <v>13222</v>
      </c>
      <c r="L3658" s="85" t="s">
        <v>12417</v>
      </c>
      <c r="M3658" s="85" t="s">
        <v>13229</v>
      </c>
    </row>
    <row r="3659" ht="327.75" spans="1:13">
      <c r="A3659" s="85" t="s">
        <v>13230</v>
      </c>
      <c r="B3659" s="85" t="s">
        <v>12985</v>
      </c>
      <c r="C3659" s="85" t="s">
        <v>12986</v>
      </c>
      <c r="D3659" s="85" t="s">
        <v>4013</v>
      </c>
      <c r="E3659" s="85" t="s">
        <v>2068</v>
      </c>
      <c r="F3659" s="86">
        <v>185</v>
      </c>
      <c r="G3659" s="86">
        <v>1</v>
      </c>
      <c r="H3659" s="86">
        <v>185</v>
      </c>
      <c r="I3659" s="86">
        <v>7087.9</v>
      </c>
      <c r="J3659" s="85" t="s">
        <v>4391</v>
      </c>
      <c r="K3659" s="85" t="s">
        <v>13222</v>
      </c>
      <c r="L3659" s="85" t="s">
        <v>12417</v>
      </c>
      <c r="M3659" s="85" t="s">
        <v>13231</v>
      </c>
    </row>
    <row r="3660" ht="327.75" spans="1:13">
      <c r="A3660" s="85" t="s">
        <v>13232</v>
      </c>
      <c r="B3660" s="85" t="s">
        <v>9671</v>
      </c>
      <c r="C3660" s="85" t="s">
        <v>9672</v>
      </c>
      <c r="D3660" s="85" t="s">
        <v>9673</v>
      </c>
      <c r="E3660" s="85" t="s">
        <v>9674</v>
      </c>
      <c r="F3660" s="86">
        <v>16.2</v>
      </c>
      <c r="G3660" s="86">
        <v>480</v>
      </c>
      <c r="H3660" s="86">
        <v>7776</v>
      </c>
      <c r="I3660" s="86">
        <v>9221.5</v>
      </c>
      <c r="J3660" s="85" t="s">
        <v>4391</v>
      </c>
      <c r="K3660" s="85" t="s">
        <v>13222</v>
      </c>
      <c r="L3660" s="85" t="s">
        <v>12417</v>
      </c>
      <c r="M3660" s="85" t="s">
        <v>13233</v>
      </c>
    </row>
    <row r="3661" ht="327.75" spans="1:13">
      <c r="A3661" s="85" t="s">
        <v>13234</v>
      </c>
      <c r="B3661" s="85" t="s">
        <v>13235</v>
      </c>
      <c r="C3661" s="85" t="s">
        <v>13236</v>
      </c>
      <c r="D3661" s="85" t="s">
        <v>9648</v>
      </c>
      <c r="E3661" s="85" t="s">
        <v>10455</v>
      </c>
      <c r="F3661" s="86">
        <v>1920</v>
      </c>
      <c r="G3661" s="86">
        <v>18</v>
      </c>
      <c r="H3661" s="86">
        <v>34560</v>
      </c>
      <c r="I3661" s="86">
        <v>41460</v>
      </c>
      <c r="J3661" s="85" t="s">
        <v>2935</v>
      </c>
      <c r="K3661" s="85" t="s">
        <v>13222</v>
      </c>
      <c r="L3661" s="85" t="s">
        <v>12417</v>
      </c>
      <c r="M3661" s="85" t="s">
        <v>13237</v>
      </c>
    </row>
    <row r="3662" ht="327.75" spans="1:13">
      <c r="A3662" s="85" t="s">
        <v>13221</v>
      </c>
      <c r="B3662" s="85" t="s">
        <v>11856</v>
      </c>
      <c r="C3662" s="85" t="s">
        <v>11857</v>
      </c>
      <c r="D3662" s="85" t="s">
        <v>5510</v>
      </c>
      <c r="E3662" s="85" t="s">
        <v>1782</v>
      </c>
      <c r="F3662" s="86">
        <v>17</v>
      </c>
      <c r="G3662" s="86">
        <v>50</v>
      </c>
      <c r="H3662" s="86">
        <v>850</v>
      </c>
      <c r="I3662" s="86">
        <v>22170</v>
      </c>
      <c r="J3662" s="85" t="s">
        <v>9135</v>
      </c>
      <c r="K3662" s="85" t="s">
        <v>13222</v>
      </c>
      <c r="L3662" s="85" t="s">
        <v>12417</v>
      </c>
      <c r="M3662" s="85" t="s">
        <v>13238</v>
      </c>
    </row>
    <row r="3663" ht="327.75" spans="1:13">
      <c r="A3663" s="85" t="s">
        <v>13232</v>
      </c>
      <c r="B3663" s="85" t="s">
        <v>13239</v>
      </c>
      <c r="C3663" s="85" t="s">
        <v>13240</v>
      </c>
      <c r="D3663" s="85" t="s">
        <v>12625</v>
      </c>
      <c r="E3663" s="85" t="s">
        <v>6154</v>
      </c>
      <c r="F3663" s="86">
        <v>18</v>
      </c>
      <c r="G3663" s="86">
        <v>1</v>
      </c>
      <c r="H3663" s="86">
        <v>18</v>
      </c>
      <c r="I3663" s="86">
        <v>9221.5</v>
      </c>
      <c r="J3663" s="85" t="s">
        <v>4391</v>
      </c>
      <c r="K3663" s="85" t="s">
        <v>13222</v>
      </c>
      <c r="L3663" s="85" t="s">
        <v>12417</v>
      </c>
      <c r="M3663" s="85" t="s">
        <v>13241</v>
      </c>
    </row>
    <row r="3664" ht="327.75" spans="1:13">
      <c r="A3664" s="85" t="s">
        <v>13221</v>
      </c>
      <c r="B3664" s="85" t="s">
        <v>11862</v>
      </c>
      <c r="C3664" s="85" t="s">
        <v>11863</v>
      </c>
      <c r="D3664" s="85" t="s">
        <v>11864</v>
      </c>
      <c r="E3664" s="85" t="s">
        <v>11865</v>
      </c>
      <c r="F3664" s="86">
        <v>48</v>
      </c>
      <c r="G3664" s="86">
        <v>20</v>
      </c>
      <c r="H3664" s="86">
        <v>960</v>
      </c>
      <c r="I3664" s="86">
        <v>22170</v>
      </c>
      <c r="J3664" s="85" t="s">
        <v>9135</v>
      </c>
      <c r="K3664" s="85" t="s">
        <v>13222</v>
      </c>
      <c r="L3664" s="85" t="s">
        <v>12417</v>
      </c>
      <c r="M3664" s="85" t="s">
        <v>13242</v>
      </c>
    </row>
    <row r="3665" ht="327.75" spans="1:13">
      <c r="A3665" s="85" t="s">
        <v>13243</v>
      </c>
      <c r="B3665" s="85" t="s">
        <v>3788</v>
      </c>
      <c r="C3665" s="85" t="s">
        <v>3789</v>
      </c>
      <c r="D3665" s="85" t="s">
        <v>3189</v>
      </c>
      <c r="E3665" s="85" t="s">
        <v>3790</v>
      </c>
      <c r="F3665" s="86">
        <v>100</v>
      </c>
      <c r="G3665" s="86">
        <v>40</v>
      </c>
      <c r="H3665" s="86">
        <v>4000</v>
      </c>
      <c r="I3665" s="86">
        <v>4000</v>
      </c>
      <c r="J3665" s="85" t="s">
        <v>12634</v>
      </c>
      <c r="K3665" s="85" t="s">
        <v>13222</v>
      </c>
      <c r="L3665" s="85" t="s">
        <v>12417</v>
      </c>
      <c r="M3665" s="85" t="s">
        <v>13244</v>
      </c>
    </row>
    <row r="3666" ht="327.75" spans="1:13">
      <c r="A3666" s="85" t="s">
        <v>13245</v>
      </c>
      <c r="B3666" s="85" t="s">
        <v>12880</v>
      </c>
      <c r="C3666" s="85" t="s">
        <v>12881</v>
      </c>
      <c r="D3666" s="85" t="s">
        <v>3230</v>
      </c>
      <c r="E3666" s="85" t="s">
        <v>12882</v>
      </c>
      <c r="F3666" s="86">
        <v>20.5</v>
      </c>
      <c r="G3666" s="86">
        <v>20</v>
      </c>
      <c r="H3666" s="86">
        <v>410</v>
      </c>
      <c r="I3666" s="86">
        <v>46031</v>
      </c>
      <c r="J3666" s="85" t="s">
        <v>2935</v>
      </c>
      <c r="K3666" s="85" t="s">
        <v>13222</v>
      </c>
      <c r="L3666" s="85" t="s">
        <v>12417</v>
      </c>
      <c r="M3666" s="85" t="s">
        <v>13246</v>
      </c>
    </row>
    <row r="3667" ht="327.75" spans="1:13">
      <c r="A3667" s="85" t="s">
        <v>13245</v>
      </c>
      <c r="B3667" s="85" t="s">
        <v>12002</v>
      </c>
      <c r="C3667" s="85" t="s">
        <v>12003</v>
      </c>
      <c r="D3667" s="85" t="s">
        <v>3197</v>
      </c>
      <c r="E3667" s="85" t="s">
        <v>12004</v>
      </c>
      <c r="F3667" s="86">
        <v>1.9</v>
      </c>
      <c r="G3667" s="86">
        <v>150</v>
      </c>
      <c r="H3667" s="86">
        <v>285</v>
      </c>
      <c r="I3667" s="86">
        <v>46031</v>
      </c>
      <c r="J3667" s="85" t="s">
        <v>2935</v>
      </c>
      <c r="K3667" s="85" t="s">
        <v>13222</v>
      </c>
      <c r="L3667" s="85" t="s">
        <v>12417</v>
      </c>
      <c r="M3667" s="85" t="s">
        <v>13247</v>
      </c>
    </row>
    <row r="3668" ht="327.75" spans="1:13">
      <c r="A3668" s="85" t="s">
        <v>13221</v>
      </c>
      <c r="B3668" s="85" t="s">
        <v>9545</v>
      </c>
      <c r="C3668" s="85" t="s">
        <v>9546</v>
      </c>
      <c r="D3668" s="85" t="s">
        <v>5574</v>
      </c>
      <c r="E3668" s="85" t="s">
        <v>1787</v>
      </c>
      <c r="F3668" s="86">
        <v>15</v>
      </c>
      <c r="G3668" s="86">
        <v>60</v>
      </c>
      <c r="H3668" s="86">
        <v>900</v>
      </c>
      <c r="I3668" s="86">
        <v>22170</v>
      </c>
      <c r="J3668" s="85" t="s">
        <v>9135</v>
      </c>
      <c r="K3668" s="85" t="s">
        <v>13222</v>
      </c>
      <c r="L3668" s="85" t="s">
        <v>12417</v>
      </c>
      <c r="M3668" s="85" t="s">
        <v>13248</v>
      </c>
    </row>
    <row r="3669" ht="327.75" spans="1:13">
      <c r="A3669" s="85" t="s">
        <v>13232</v>
      </c>
      <c r="B3669" s="85" t="s">
        <v>12902</v>
      </c>
      <c r="C3669" s="85" t="s">
        <v>12903</v>
      </c>
      <c r="D3669" s="85" t="s">
        <v>3068</v>
      </c>
      <c r="E3669" s="85" t="s">
        <v>12904</v>
      </c>
      <c r="F3669" s="86">
        <v>9.1</v>
      </c>
      <c r="G3669" s="86">
        <v>10</v>
      </c>
      <c r="H3669" s="86">
        <v>91</v>
      </c>
      <c r="I3669" s="86">
        <v>9221.5</v>
      </c>
      <c r="J3669" s="85" t="s">
        <v>4391</v>
      </c>
      <c r="K3669" s="85" t="s">
        <v>13222</v>
      </c>
      <c r="L3669" s="85" t="s">
        <v>12417</v>
      </c>
      <c r="M3669" s="85" t="s">
        <v>13249</v>
      </c>
    </row>
    <row r="3670" ht="327.75" spans="1:13">
      <c r="A3670" s="85" t="s">
        <v>13221</v>
      </c>
      <c r="B3670" s="85" t="s">
        <v>11450</v>
      </c>
      <c r="C3670" s="85" t="s">
        <v>11451</v>
      </c>
      <c r="D3670" s="85" t="s">
        <v>2992</v>
      </c>
      <c r="E3670" s="85" t="s">
        <v>1815</v>
      </c>
      <c r="F3670" s="86">
        <v>360</v>
      </c>
      <c r="G3670" s="86">
        <v>8</v>
      </c>
      <c r="H3670" s="86">
        <v>2880</v>
      </c>
      <c r="I3670" s="86">
        <v>22170</v>
      </c>
      <c r="J3670" s="85" t="s">
        <v>9135</v>
      </c>
      <c r="K3670" s="85" t="s">
        <v>13222</v>
      </c>
      <c r="L3670" s="85" t="s">
        <v>12417</v>
      </c>
      <c r="M3670" s="85" t="s">
        <v>13250</v>
      </c>
    </row>
    <row r="3671" ht="327.75" spans="1:13">
      <c r="A3671" s="85" t="s">
        <v>13232</v>
      </c>
      <c r="B3671" s="85" t="s">
        <v>13251</v>
      </c>
      <c r="C3671" s="85" t="s">
        <v>13252</v>
      </c>
      <c r="D3671" s="85" t="s">
        <v>13253</v>
      </c>
      <c r="E3671" s="85" t="s">
        <v>13254</v>
      </c>
      <c r="F3671" s="86">
        <v>48</v>
      </c>
      <c r="G3671" s="86">
        <v>1</v>
      </c>
      <c r="H3671" s="86">
        <v>48</v>
      </c>
      <c r="I3671" s="86">
        <v>9221.5</v>
      </c>
      <c r="J3671" s="85" t="s">
        <v>4391</v>
      </c>
      <c r="K3671" s="85" t="s">
        <v>13222</v>
      </c>
      <c r="L3671" s="85" t="s">
        <v>12417</v>
      </c>
      <c r="M3671" s="85" t="s">
        <v>13255</v>
      </c>
    </row>
    <row r="3672" ht="327.75" spans="1:13">
      <c r="A3672" s="85" t="s">
        <v>13221</v>
      </c>
      <c r="B3672" s="85" t="s">
        <v>13256</v>
      </c>
      <c r="C3672" s="85" t="s">
        <v>13257</v>
      </c>
      <c r="D3672" s="85" t="s">
        <v>4953</v>
      </c>
      <c r="E3672" s="85" t="s">
        <v>4954</v>
      </c>
      <c r="F3672" s="86">
        <v>25</v>
      </c>
      <c r="G3672" s="86">
        <v>30</v>
      </c>
      <c r="H3672" s="86">
        <v>750</v>
      </c>
      <c r="I3672" s="86">
        <v>22170</v>
      </c>
      <c r="J3672" s="85" t="s">
        <v>9135</v>
      </c>
      <c r="K3672" s="85" t="s">
        <v>13222</v>
      </c>
      <c r="L3672" s="85" t="s">
        <v>12417</v>
      </c>
      <c r="M3672" s="85" t="s">
        <v>13258</v>
      </c>
    </row>
    <row r="3673" ht="327.75" spans="1:13">
      <c r="A3673" s="85" t="s">
        <v>13221</v>
      </c>
      <c r="B3673" s="85" t="s">
        <v>11507</v>
      </c>
      <c r="C3673" s="85" t="s">
        <v>11508</v>
      </c>
      <c r="D3673" s="85" t="s">
        <v>2992</v>
      </c>
      <c r="E3673" s="85" t="s">
        <v>1815</v>
      </c>
      <c r="F3673" s="86">
        <v>392</v>
      </c>
      <c r="G3673" s="86">
        <v>8</v>
      </c>
      <c r="H3673" s="86">
        <v>3136</v>
      </c>
      <c r="I3673" s="86">
        <v>22170</v>
      </c>
      <c r="J3673" s="85" t="s">
        <v>9135</v>
      </c>
      <c r="K3673" s="85" t="s">
        <v>13222</v>
      </c>
      <c r="L3673" s="85" t="s">
        <v>12417</v>
      </c>
      <c r="M3673" s="85" t="s">
        <v>13259</v>
      </c>
    </row>
    <row r="3674" ht="327.75" spans="1:13">
      <c r="A3674" s="85" t="s">
        <v>13226</v>
      </c>
      <c r="B3674" s="85" t="s">
        <v>12556</v>
      </c>
      <c r="C3674" s="85" t="s">
        <v>12557</v>
      </c>
      <c r="D3674" s="85" t="s">
        <v>3153</v>
      </c>
      <c r="E3674" s="85" t="s">
        <v>10503</v>
      </c>
      <c r="F3674" s="86">
        <v>350</v>
      </c>
      <c r="G3674" s="86">
        <v>2</v>
      </c>
      <c r="H3674" s="86">
        <v>700</v>
      </c>
      <c r="I3674" s="86">
        <v>960</v>
      </c>
      <c r="J3674" s="85" t="s">
        <v>2935</v>
      </c>
      <c r="K3674" s="85" t="s">
        <v>13222</v>
      </c>
      <c r="L3674" s="85" t="s">
        <v>12417</v>
      </c>
      <c r="M3674" s="85" t="s">
        <v>13260</v>
      </c>
    </row>
    <row r="3675" ht="327.75" spans="1:13">
      <c r="A3675" s="85" t="s">
        <v>13221</v>
      </c>
      <c r="B3675" s="85" t="s">
        <v>12227</v>
      </c>
      <c r="C3675" s="85" t="s">
        <v>12228</v>
      </c>
      <c r="D3675" s="85" t="s">
        <v>5431</v>
      </c>
      <c r="E3675" s="85" t="s">
        <v>3010</v>
      </c>
      <c r="F3675" s="86">
        <v>58</v>
      </c>
      <c r="G3675" s="86">
        <v>3</v>
      </c>
      <c r="H3675" s="86">
        <v>174</v>
      </c>
      <c r="I3675" s="86">
        <v>22170</v>
      </c>
      <c r="J3675" s="85" t="s">
        <v>9135</v>
      </c>
      <c r="K3675" s="85" t="s">
        <v>13222</v>
      </c>
      <c r="L3675" s="85" t="s">
        <v>12417</v>
      </c>
      <c r="M3675" s="85" t="s">
        <v>13261</v>
      </c>
    </row>
    <row r="3676" ht="327.75" spans="1:13">
      <c r="A3676" s="85" t="s">
        <v>13234</v>
      </c>
      <c r="B3676" s="85" t="s">
        <v>13262</v>
      </c>
      <c r="C3676" s="85" t="s">
        <v>13263</v>
      </c>
      <c r="D3676" s="85" t="s">
        <v>3046</v>
      </c>
      <c r="E3676" s="85" t="s">
        <v>6506</v>
      </c>
      <c r="F3676" s="86">
        <v>25</v>
      </c>
      <c r="G3676" s="86">
        <v>20</v>
      </c>
      <c r="H3676" s="86">
        <v>500</v>
      </c>
      <c r="I3676" s="86">
        <v>41460</v>
      </c>
      <c r="J3676" s="85" t="s">
        <v>2935</v>
      </c>
      <c r="K3676" s="85" t="s">
        <v>13222</v>
      </c>
      <c r="L3676" s="85" t="s">
        <v>12417</v>
      </c>
      <c r="M3676" s="85" t="s">
        <v>13264</v>
      </c>
    </row>
    <row r="3677" ht="327.75" spans="1:13">
      <c r="A3677" s="85" t="s">
        <v>13245</v>
      </c>
      <c r="B3677" s="85" t="s">
        <v>9495</v>
      </c>
      <c r="C3677" s="85" t="s">
        <v>9496</v>
      </c>
      <c r="D3677" s="85" t="s">
        <v>9497</v>
      </c>
      <c r="E3677" s="85" t="s">
        <v>8413</v>
      </c>
      <c r="F3677" s="86">
        <v>13.5</v>
      </c>
      <c r="G3677" s="86">
        <v>50</v>
      </c>
      <c r="H3677" s="86">
        <v>675</v>
      </c>
      <c r="I3677" s="86">
        <v>46031</v>
      </c>
      <c r="J3677" s="85" t="s">
        <v>2935</v>
      </c>
      <c r="K3677" s="85" t="s">
        <v>13222</v>
      </c>
      <c r="L3677" s="85" t="s">
        <v>12417</v>
      </c>
      <c r="M3677" s="85" t="s">
        <v>13265</v>
      </c>
    </row>
    <row r="3678" ht="327.75" spans="1:13">
      <c r="A3678" s="85" t="s">
        <v>13245</v>
      </c>
      <c r="B3678" s="85" t="s">
        <v>13266</v>
      </c>
      <c r="C3678" s="85" t="s">
        <v>13267</v>
      </c>
      <c r="D3678" s="85" t="s">
        <v>3288</v>
      </c>
      <c r="E3678" s="85" t="s">
        <v>12660</v>
      </c>
      <c r="F3678" s="86">
        <v>129</v>
      </c>
      <c r="G3678" s="86">
        <v>2</v>
      </c>
      <c r="H3678" s="86">
        <v>258</v>
      </c>
      <c r="I3678" s="86">
        <v>46031</v>
      </c>
      <c r="J3678" s="85" t="s">
        <v>2935</v>
      </c>
      <c r="K3678" s="85" t="s">
        <v>13222</v>
      </c>
      <c r="L3678" s="85" t="s">
        <v>12417</v>
      </c>
      <c r="M3678" s="85" t="s">
        <v>13268</v>
      </c>
    </row>
    <row r="3679" ht="327.75" spans="1:13">
      <c r="A3679" s="85" t="s">
        <v>13245</v>
      </c>
      <c r="B3679" s="85" t="s">
        <v>13269</v>
      </c>
      <c r="C3679" s="85" t="s">
        <v>13270</v>
      </c>
      <c r="D3679" s="85" t="s">
        <v>4177</v>
      </c>
      <c r="E3679" s="85" t="s">
        <v>13271</v>
      </c>
      <c r="F3679" s="86">
        <v>189</v>
      </c>
      <c r="G3679" s="86">
        <v>10</v>
      </c>
      <c r="H3679" s="86">
        <v>1890</v>
      </c>
      <c r="I3679" s="86">
        <v>46031</v>
      </c>
      <c r="J3679" s="85" t="s">
        <v>2935</v>
      </c>
      <c r="K3679" s="85" t="s">
        <v>13222</v>
      </c>
      <c r="L3679" s="85" t="s">
        <v>12417</v>
      </c>
      <c r="M3679" s="85" t="s">
        <v>13272</v>
      </c>
    </row>
    <row r="3680" ht="327.75" spans="1:13">
      <c r="A3680" s="85" t="s">
        <v>13245</v>
      </c>
      <c r="B3680" s="85" t="s">
        <v>6401</v>
      </c>
      <c r="C3680" s="85" t="s">
        <v>6402</v>
      </c>
      <c r="D3680" s="85" t="s">
        <v>3985</v>
      </c>
      <c r="E3680" s="85" t="s">
        <v>6403</v>
      </c>
      <c r="F3680" s="86">
        <v>45</v>
      </c>
      <c r="G3680" s="86">
        <v>4</v>
      </c>
      <c r="H3680" s="86">
        <v>180</v>
      </c>
      <c r="I3680" s="86">
        <v>46031</v>
      </c>
      <c r="J3680" s="85" t="s">
        <v>2935</v>
      </c>
      <c r="K3680" s="85" t="s">
        <v>13222</v>
      </c>
      <c r="L3680" s="85" t="s">
        <v>12417</v>
      </c>
      <c r="M3680" s="85" t="s">
        <v>13273</v>
      </c>
    </row>
    <row r="3681" ht="327.75" spans="1:13">
      <c r="A3681" s="85" t="s">
        <v>13232</v>
      </c>
      <c r="B3681" s="85" t="s">
        <v>6802</v>
      </c>
      <c r="C3681" s="85" t="s">
        <v>6803</v>
      </c>
      <c r="D3681" s="85" t="s">
        <v>3189</v>
      </c>
      <c r="E3681" s="85" t="s">
        <v>6804</v>
      </c>
      <c r="F3681" s="86">
        <v>86</v>
      </c>
      <c r="G3681" s="86">
        <v>8</v>
      </c>
      <c r="H3681" s="86">
        <v>688</v>
      </c>
      <c r="I3681" s="86">
        <v>9221.5</v>
      </c>
      <c r="J3681" s="85" t="s">
        <v>4391</v>
      </c>
      <c r="K3681" s="85" t="s">
        <v>13222</v>
      </c>
      <c r="L3681" s="85" t="s">
        <v>12417</v>
      </c>
      <c r="M3681" s="85" t="s">
        <v>13274</v>
      </c>
    </row>
    <row r="3682" ht="327.75" spans="1:13">
      <c r="A3682" s="85" t="s">
        <v>13245</v>
      </c>
      <c r="B3682" s="85" t="s">
        <v>9259</v>
      </c>
      <c r="C3682" s="85" t="s">
        <v>9260</v>
      </c>
      <c r="D3682" s="85" t="s">
        <v>3985</v>
      </c>
      <c r="E3682" s="85" t="s">
        <v>6502</v>
      </c>
      <c r="F3682" s="86">
        <v>35</v>
      </c>
      <c r="G3682" s="86">
        <v>2</v>
      </c>
      <c r="H3682" s="86">
        <v>70</v>
      </c>
      <c r="I3682" s="86">
        <v>46031</v>
      </c>
      <c r="J3682" s="85" t="s">
        <v>2935</v>
      </c>
      <c r="K3682" s="85" t="s">
        <v>13222</v>
      </c>
      <c r="L3682" s="85" t="s">
        <v>12417</v>
      </c>
      <c r="M3682" s="85" t="s">
        <v>13275</v>
      </c>
    </row>
    <row r="3683" ht="327.75" spans="1:13">
      <c r="A3683" s="85" t="s">
        <v>13232</v>
      </c>
      <c r="B3683" s="85" t="s">
        <v>13276</v>
      </c>
      <c r="C3683" s="85" t="s">
        <v>13277</v>
      </c>
      <c r="D3683" s="85" t="s">
        <v>3201</v>
      </c>
      <c r="E3683" s="85" t="s">
        <v>11853</v>
      </c>
      <c r="F3683" s="86">
        <v>7.5</v>
      </c>
      <c r="G3683" s="86">
        <v>5</v>
      </c>
      <c r="H3683" s="86">
        <v>37.5</v>
      </c>
      <c r="I3683" s="86">
        <v>9221.5</v>
      </c>
      <c r="J3683" s="85" t="s">
        <v>4391</v>
      </c>
      <c r="K3683" s="85" t="s">
        <v>13222</v>
      </c>
      <c r="L3683" s="85" t="s">
        <v>12417</v>
      </c>
      <c r="M3683" s="85" t="s">
        <v>13278</v>
      </c>
    </row>
    <row r="3684" ht="327.75" spans="1:13">
      <c r="A3684" s="85" t="s">
        <v>13221</v>
      </c>
      <c r="B3684" s="85" t="s">
        <v>13279</v>
      </c>
      <c r="C3684" s="85" t="s">
        <v>13280</v>
      </c>
      <c r="D3684" s="85" t="s">
        <v>6901</v>
      </c>
      <c r="E3684" s="85" t="s">
        <v>5752</v>
      </c>
      <c r="F3684" s="86">
        <v>11.5</v>
      </c>
      <c r="G3684" s="86">
        <v>280</v>
      </c>
      <c r="H3684" s="86">
        <v>3220</v>
      </c>
      <c r="I3684" s="86">
        <v>22170</v>
      </c>
      <c r="J3684" s="85" t="s">
        <v>9135</v>
      </c>
      <c r="K3684" s="85" t="s">
        <v>13222</v>
      </c>
      <c r="L3684" s="85" t="s">
        <v>12417</v>
      </c>
      <c r="M3684" s="85" t="s">
        <v>13281</v>
      </c>
    </row>
    <row r="3685" ht="327.75" spans="1:13">
      <c r="A3685" s="85" t="s">
        <v>13232</v>
      </c>
      <c r="B3685" s="85" t="s">
        <v>9530</v>
      </c>
      <c r="C3685" s="85" t="s">
        <v>9531</v>
      </c>
      <c r="D3685" s="85" t="s">
        <v>3907</v>
      </c>
      <c r="E3685" s="85" t="s">
        <v>3908</v>
      </c>
      <c r="F3685" s="86">
        <v>7.3</v>
      </c>
      <c r="G3685" s="86">
        <v>50</v>
      </c>
      <c r="H3685" s="86">
        <v>365</v>
      </c>
      <c r="I3685" s="86">
        <v>9221.5</v>
      </c>
      <c r="J3685" s="85" t="s">
        <v>4391</v>
      </c>
      <c r="K3685" s="85" t="s">
        <v>13222</v>
      </c>
      <c r="L3685" s="85" t="s">
        <v>12417</v>
      </c>
      <c r="M3685" s="85" t="s">
        <v>13282</v>
      </c>
    </row>
    <row r="3686" ht="327.75" spans="1:13">
      <c r="A3686" s="85" t="s">
        <v>13221</v>
      </c>
      <c r="B3686" s="85" t="s">
        <v>10526</v>
      </c>
      <c r="C3686" s="85" t="s">
        <v>10527</v>
      </c>
      <c r="D3686" s="85" t="s">
        <v>8767</v>
      </c>
      <c r="E3686" s="85" t="s">
        <v>3050</v>
      </c>
      <c r="F3686" s="86">
        <v>5.8</v>
      </c>
      <c r="G3686" s="86">
        <v>100</v>
      </c>
      <c r="H3686" s="86">
        <v>580</v>
      </c>
      <c r="I3686" s="86">
        <v>22170</v>
      </c>
      <c r="J3686" s="85" t="s">
        <v>9135</v>
      </c>
      <c r="K3686" s="85" t="s">
        <v>13222</v>
      </c>
      <c r="L3686" s="85" t="s">
        <v>12417</v>
      </c>
      <c r="M3686" s="85" t="s">
        <v>13283</v>
      </c>
    </row>
    <row r="3687" ht="327.75" spans="1:13">
      <c r="A3687" s="85" t="s">
        <v>13230</v>
      </c>
      <c r="B3687" s="85" t="s">
        <v>11839</v>
      </c>
      <c r="C3687" s="85" t="s">
        <v>11840</v>
      </c>
      <c r="D3687" s="85" t="s">
        <v>4802</v>
      </c>
      <c r="E3687" s="85" t="s">
        <v>4997</v>
      </c>
      <c r="F3687" s="86">
        <v>18.8</v>
      </c>
      <c r="G3687" s="86">
        <v>3</v>
      </c>
      <c r="H3687" s="86">
        <v>56.4</v>
      </c>
      <c r="I3687" s="86">
        <v>7087.9</v>
      </c>
      <c r="J3687" s="85" t="s">
        <v>4391</v>
      </c>
      <c r="K3687" s="85" t="s">
        <v>13222</v>
      </c>
      <c r="L3687" s="85" t="s">
        <v>12417</v>
      </c>
      <c r="M3687" s="85" t="s">
        <v>13284</v>
      </c>
    </row>
    <row r="3688" ht="327.75" spans="1:13">
      <c r="A3688" s="85" t="s">
        <v>13245</v>
      </c>
      <c r="B3688" s="85" t="s">
        <v>13285</v>
      </c>
      <c r="C3688" s="85" t="s">
        <v>13286</v>
      </c>
      <c r="D3688" s="85" t="s">
        <v>11999</v>
      </c>
      <c r="E3688" s="85" t="s">
        <v>12000</v>
      </c>
      <c r="F3688" s="86">
        <v>3900</v>
      </c>
      <c r="G3688" s="86">
        <v>2</v>
      </c>
      <c r="H3688" s="86">
        <v>7800</v>
      </c>
      <c r="I3688" s="86">
        <v>46031</v>
      </c>
      <c r="J3688" s="85" t="s">
        <v>2935</v>
      </c>
      <c r="K3688" s="85" t="s">
        <v>13222</v>
      </c>
      <c r="L3688" s="85" t="s">
        <v>12417</v>
      </c>
      <c r="M3688" s="85" t="s">
        <v>13287</v>
      </c>
    </row>
    <row r="3689" ht="327.75" spans="1:13">
      <c r="A3689" s="85" t="s">
        <v>13245</v>
      </c>
      <c r="B3689" s="85" t="s">
        <v>11402</v>
      </c>
      <c r="C3689" s="85" t="s">
        <v>11403</v>
      </c>
      <c r="D3689" s="85" t="s">
        <v>3030</v>
      </c>
      <c r="E3689" s="85" t="s">
        <v>1916</v>
      </c>
      <c r="F3689" s="86">
        <v>193</v>
      </c>
      <c r="G3689" s="86">
        <v>158</v>
      </c>
      <c r="H3689" s="86">
        <v>30494</v>
      </c>
      <c r="I3689" s="86">
        <v>46031</v>
      </c>
      <c r="J3689" s="85" t="s">
        <v>2935</v>
      </c>
      <c r="K3689" s="85" t="s">
        <v>13222</v>
      </c>
      <c r="L3689" s="85" t="s">
        <v>12417</v>
      </c>
      <c r="M3689" s="85" t="s">
        <v>13288</v>
      </c>
    </row>
    <row r="3690" ht="327.75" spans="1:13">
      <c r="A3690" s="85" t="s">
        <v>13232</v>
      </c>
      <c r="B3690" s="85" t="s">
        <v>13289</v>
      </c>
      <c r="C3690" s="85" t="s">
        <v>13290</v>
      </c>
      <c r="D3690" s="85" t="s">
        <v>13253</v>
      </c>
      <c r="E3690" s="85" t="s">
        <v>13254</v>
      </c>
      <c r="F3690" s="86">
        <v>78</v>
      </c>
      <c r="G3690" s="86">
        <v>1</v>
      </c>
      <c r="H3690" s="86">
        <v>78</v>
      </c>
      <c r="I3690" s="86">
        <v>9221.5</v>
      </c>
      <c r="J3690" s="85" t="s">
        <v>4391</v>
      </c>
      <c r="K3690" s="85" t="s">
        <v>13222</v>
      </c>
      <c r="L3690" s="85" t="s">
        <v>12417</v>
      </c>
      <c r="M3690" s="85" t="s">
        <v>13291</v>
      </c>
    </row>
    <row r="3691" ht="327.75" spans="1:13">
      <c r="A3691" s="85" t="s">
        <v>13228</v>
      </c>
      <c r="B3691" s="85" t="s">
        <v>9533</v>
      </c>
      <c r="C3691" s="85" t="s">
        <v>9534</v>
      </c>
      <c r="D3691" s="85" t="s">
        <v>2977</v>
      </c>
      <c r="E3691" s="85" t="s">
        <v>8894</v>
      </c>
      <c r="F3691" s="86">
        <v>4</v>
      </c>
      <c r="G3691" s="86">
        <v>100</v>
      </c>
      <c r="H3691" s="86">
        <v>400</v>
      </c>
      <c r="I3691" s="86">
        <v>1083</v>
      </c>
      <c r="J3691" s="85" t="s">
        <v>2935</v>
      </c>
      <c r="K3691" s="85" t="s">
        <v>13222</v>
      </c>
      <c r="L3691" s="85" t="s">
        <v>12417</v>
      </c>
      <c r="M3691" s="85" t="s">
        <v>13292</v>
      </c>
    </row>
    <row r="3692" ht="327.75" spans="1:13">
      <c r="A3692" s="85" t="s">
        <v>13232</v>
      </c>
      <c r="B3692" s="85" t="s">
        <v>13293</v>
      </c>
      <c r="C3692" s="85" t="s">
        <v>13294</v>
      </c>
      <c r="D3692" s="85" t="s">
        <v>13295</v>
      </c>
      <c r="E3692" s="85" t="s">
        <v>13296</v>
      </c>
      <c r="F3692" s="86">
        <v>95</v>
      </c>
      <c r="G3692" s="86">
        <v>1</v>
      </c>
      <c r="H3692" s="86">
        <v>95</v>
      </c>
      <c r="I3692" s="86">
        <v>9221.5</v>
      </c>
      <c r="J3692" s="85" t="s">
        <v>4391</v>
      </c>
      <c r="K3692" s="85" t="s">
        <v>13222</v>
      </c>
      <c r="L3692" s="85" t="s">
        <v>12417</v>
      </c>
      <c r="M3692" s="85" t="s">
        <v>13297</v>
      </c>
    </row>
    <row r="3693" ht="327.75" spans="1:13">
      <c r="A3693" s="85" t="s">
        <v>13232</v>
      </c>
      <c r="B3693" s="85" t="s">
        <v>13298</v>
      </c>
      <c r="C3693" s="85" t="s">
        <v>13299</v>
      </c>
      <c r="D3693" s="85" t="s">
        <v>12625</v>
      </c>
      <c r="E3693" s="85" t="s">
        <v>6154</v>
      </c>
      <c r="F3693" s="86">
        <v>25</v>
      </c>
      <c r="G3693" s="86">
        <v>1</v>
      </c>
      <c r="H3693" s="86">
        <v>25</v>
      </c>
      <c r="I3693" s="86">
        <v>9221.5</v>
      </c>
      <c r="J3693" s="85" t="s">
        <v>4391</v>
      </c>
      <c r="K3693" s="85" t="s">
        <v>13222</v>
      </c>
      <c r="L3693" s="85" t="s">
        <v>12417</v>
      </c>
      <c r="M3693" s="85" t="s">
        <v>13300</v>
      </c>
    </row>
    <row r="3694" ht="327.75" spans="1:13">
      <c r="A3694" s="85" t="s">
        <v>13230</v>
      </c>
      <c r="B3694" s="85" t="s">
        <v>12926</v>
      </c>
      <c r="C3694" s="85" t="s">
        <v>12927</v>
      </c>
      <c r="D3694" s="85" t="s">
        <v>5552</v>
      </c>
      <c r="E3694" s="85" t="s">
        <v>12928</v>
      </c>
      <c r="F3694" s="86">
        <v>18.5</v>
      </c>
      <c r="G3694" s="86">
        <v>10</v>
      </c>
      <c r="H3694" s="86">
        <v>185</v>
      </c>
      <c r="I3694" s="86">
        <v>7087.9</v>
      </c>
      <c r="J3694" s="85" t="s">
        <v>4391</v>
      </c>
      <c r="K3694" s="85" t="s">
        <v>13222</v>
      </c>
      <c r="L3694" s="85" t="s">
        <v>12417</v>
      </c>
      <c r="M3694" s="85" t="s">
        <v>13301</v>
      </c>
    </row>
    <row r="3695" ht="327.75" spans="1:13">
      <c r="A3695" s="85" t="s">
        <v>13245</v>
      </c>
      <c r="B3695" s="85" t="s">
        <v>10622</v>
      </c>
      <c r="C3695" s="85" t="s">
        <v>10623</v>
      </c>
      <c r="D3695" s="85" t="s">
        <v>3189</v>
      </c>
      <c r="E3695" s="85" t="s">
        <v>10624</v>
      </c>
      <c r="F3695" s="86">
        <v>53</v>
      </c>
      <c r="G3695" s="86">
        <v>5</v>
      </c>
      <c r="H3695" s="86">
        <v>265</v>
      </c>
      <c r="I3695" s="86">
        <v>46031</v>
      </c>
      <c r="J3695" s="85" t="s">
        <v>2935</v>
      </c>
      <c r="K3695" s="85" t="s">
        <v>13222</v>
      </c>
      <c r="L3695" s="85" t="s">
        <v>12417</v>
      </c>
      <c r="M3695" s="85" t="s">
        <v>13302</v>
      </c>
    </row>
    <row r="3696" ht="327.75" spans="1:13">
      <c r="A3696" s="85" t="s">
        <v>13245</v>
      </c>
      <c r="B3696" s="85" t="s">
        <v>9441</v>
      </c>
      <c r="C3696" s="85" t="s">
        <v>9442</v>
      </c>
      <c r="D3696" s="85" t="s">
        <v>3014</v>
      </c>
      <c r="E3696" s="85" t="s">
        <v>5150</v>
      </c>
      <c r="F3696" s="86">
        <v>108</v>
      </c>
      <c r="G3696" s="86">
        <v>8</v>
      </c>
      <c r="H3696" s="86">
        <v>864</v>
      </c>
      <c r="I3696" s="86">
        <v>46031</v>
      </c>
      <c r="J3696" s="85" t="s">
        <v>2935</v>
      </c>
      <c r="K3696" s="85" t="s">
        <v>13222</v>
      </c>
      <c r="L3696" s="85" t="s">
        <v>12417</v>
      </c>
      <c r="M3696" s="85" t="s">
        <v>13303</v>
      </c>
    </row>
    <row r="3697" ht="327.75" spans="1:13">
      <c r="A3697" s="85" t="s">
        <v>13245</v>
      </c>
      <c r="B3697" s="85" t="s">
        <v>10235</v>
      </c>
      <c r="C3697" s="85" t="s">
        <v>10236</v>
      </c>
      <c r="D3697" s="85" t="s">
        <v>6273</v>
      </c>
      <c r="E3697" s="85" t="s">
        <v>10237</v>
      </c>
      <c r="F3697" s="86">
        <v>12</v>
      </c>
      <c r="G3697" s="86">
        <v>5</v>
      </c>
      <c r="H3697" s="86">
        <v>60</v>
      </c>
      <c r="I3697" s="86">
        <v>46031</v>
      </c>
      <c r="J3697" s="85" t="s">
        <v>2935</v>
      </c>
      <c r="K3697" s="85" t="s">
        <v>13222</v>
      </c>
      <c r="L3697" s="85" t="s">
        <v>12417</v>
      </c>
      <c r="M3697" s="85" t="s">
        <v>13304</v>
      </c>
    </row>
    <row r="3698" ht="327.75" spans="1:13">
      <c r="A3698" s="85" t="s">
        <v>13230</v>
      </c>
      <c r="B3698" s="85" t="s">
        <v>8857</v>
      </c>
      <c r="C3698" s="85" t="s">
        <v>8858</v>
      </c>
      <c r="D3698" s="85" t="s">
        <v>3241</v>
      </c>
      <c r="E3698" s="85" t="s">
        <v>3242</v>
      </c>
      <c r="F3698" s="86">
        <v>12.3</v>
      </c>
      <c r="G3698" s="86">
        <v>5</v>
      </c>
      <c r="H3698" s="86">
        <v>61.5</v>
      </c>
      <c r="I3698" s="86">
        <v>7087.9</v>
      </c>
      <c r="J3698" s="85" t="s">
        <v>4391</v>
      </c>
      <c r="K3698" s="85" t="s">
        <v>13222</v>
      </c>
      <c r="L3698" s="85" t="s">
        <v>12417</v>
      </c>
      <c r="M3698" s="85" t="s">
        <v>13305</v>
      </c>
    </row>
    <row r="3699" ht="327.75" spans="1:13">
      <c r="A3699" s="85" t="s">
        <v>13234</v>
      </c>
      <c r="B3699" s="85" t="s">
        <v>13306</v>
      </c>
      <c r="C3699" s="85" t="s">
        <v>13307</v>
      </c>
      <c r="D3699" s="85" t="s">
        <v>3046</v>
      </c>
      <c r="E3699" s="85" t="s">
        <v>6506</v>
      </c>
      <c r="F3699" s="86">
        <v>1280</v>
      </c>
      <c r="G3699" s="86">
        <v>5</v>
      </c>
      <c r="H3699" s="86">
        <v>6400</v>
      </c>
      <c r="I3699" s="86">
        <v>41460</v>
      </c>
      <c r="J3699" s="85" t="s">
        <v>2935</v>
      </c>
      <c r="K3699" s="85" t="s">
        <v>13222</v>
      </c>
      <c r="L3699" s="85" t="s">
        <v>12417</v>
      </c>
      <c r="M3699" s="85" t="s">
        <v>13308</v>
      </c>
    </row>
    <row r="3700" ht="327.75" spans="1:13">
      <c r="A3700" s="85" t="s">
        <v>13245</v>
      </c>
      <c r="B3700" s="85" t="s">
        <v>7687</v>
      </c>
      <c r="C3700" s="85" t="s">
        <v>7688</v>
      </c>
      <c r="D3700" s="85" t="s">
        <v>3153</v>
      </c>
      <c r="E3700" s="85" t="s">
        <v>7689</v>
      </c>
      <c r="F3700" s="86">
        <v>390</v>
      </c>
      <c r="G3700" s="86">
        <v>2</v>
      </c>
      <c r="H3700" s="86">
        <v>780</v>
      </c>
      <c r="I3700" s="86">
        <v>46031</v>
      </c>
      <c r="J3700" s="85" t="s">
        <v>2935</v>
      </c>
      <c r="K3700" s="85" t="s">
        <v>13222</v>
      </c>
      <c r="L3700" s="85" t="s">
        <v>12417</v>
      </c>
      <c r="M3700" s="85" t="s">
        <v>13309</v>
      </c>
    </row>
    <row r="3701" ht="327.75" spans="1:13">
      <c r="A3701" s="85" t="s">
        <v>13245</v>
      </c>
      <c r="B3701" s="85" t="s">
        <v>11033</v>
      </c>
      <c r="C3701" s="85" t="s">
        <v>11034</v>
      </c>
      <c r="D3701" s="85" t="s">
        <v>3183</v>
      </c>
      <c r="E3701" s="85" t="s">
        <v>6563</v>
      </c>
      <c r="F3701" s="86">
        <v>28</v>
      </c>
      <c r="G3701" s="86">
        <v>10</v>
      </c>
      <c r="H3701" s="86">
        <v>280</v>
      </c>
      <c r="I3701" s="86">
        <v>46031</v>
      </c>
      <c r="J3701" s="85" t="s">
        <v>2935</v>
      </c>
      <c r="K3701" s="85" t="s">
        <v>13222</v>
      </c>
      <c r="L3701" s="85" t="s">
        <v>12417</v>
      </c>
      <c r="M3701" s="85" t="s">
        <v>13310</v>
      </c>
    </row>
    <row r="3702" ht="327.75" spans="1:13">
      <c r="A3702" s="85" t="s">
        <v>13228</v>
      </c>
      <c r="B3702" s="85" t="s">
        <v>5349</v>
      </c>
      <c r="C3702" s="85" t="s">
        <v>5350</v>
      </c>
      <c r="D3702" s="85" t="s">
        <v>3189</v>
      </c>
      <c r="E3702" s="85" t="s">
        <v>5351</v>
      </c>
      <c r="F3702" s="86">
        <v>22</v>
      </c>
      <c r="G3702" s="86">
        <v>10</v>
      </c>
      <c r="H3702" s="86">
        <v>220</v>
      </c>
      <c r="I3702" s="86">
        <v>1083</v>
      </c>
      <c r="J3702" s="85" t="s">
        <v>2935</v>
      </c>
      <c r="K3702" s="85" t="s">
        <v>13222</v>
      </c>
      <c r="L3702" s="85" t="s">
        <v>12417</v>
      </c>
      <c r="M3702" s="85" t="s">
        <v>13311</v>
      </c>
    </row>
    <row r="3703" ht="327.75" spans="1:13">
      <c r="A3703" s="85" t="s">
        <v>13230</v>
      </c>
      <c r="B3703" s="85" t="s">
        <v>13312</v>
      </c>
      <c r="C3703" s="85" t="s">
        <v>13313</v>
      </c>
      <c r="D3703" s="85" t="s">
        <v>5610</v>
      </c>
      <c r="E3703" s="85" t="s">
        <v>13314</v>
      </c>
      <c r="F3703" s="86">
        <v>82.5</v>
      </c>
      <c r="G3703" s="86">
        <v>80</v>
      </c>
      <c r="H3703" s="86">
        <v>6600</v>
      </c>
      <c r="I3703" s="86">
        <v>7087.9</v>
      </c>
      <c r="J3703" s="85" t="s">
        <v>4391</v>
      </c>
      <c r="K3703" s="85" t="s">
        <v>13222</v>
      </c>
      <c r="L3703" s="85" t="s">
        <v>12417</v>
      </c>
      <c r="M3703" s="85" t="s">
        <v>13315</v>
      </c>
    </row>
    <row r="3704" ht="327.75" spans="1:13">
      <c r="A3704" s="85" t="s">
        <v>13245</v>
      </c>
      <c r="B3704" s="85" t="s">
        <v>13316</v>
      </c>
      <c r="C3704" s="85" t="s">
        <v>13317</v>
      </c>
      <c r="D3704" s="85" t="s">
        <v>3197</v>
      </c>
      <c r="E3704" s="85" t="s">
        <v>6876</v>
      </c>
      <c r="F3704" s="86">
        <v>60</v>
      </c>
      <c r="G3704" s="86">
        <v>20</v>
      </c>
      <c r="H3704" s="86">
        <v>1200</v>
      </c>
      <c r="I3704" s="86">
        <v>46031</v>
      </c>
      <c r="J3704" s="85" t="s">
        <v>2935</v>
      </c>
      <c r="K3704" s="85" t="s">
        <v>13222</v>
      </c>
      <c r="L3704" s="85" t="s">
        <v>12417</v>
      </c>
      <c r="M3704" s="85" t="s">
        <v>13318</v>
      </c>
    </row>
    <row r="3705" ht="327.75" spans="1:13">
      <c r="A3705" s="85" t="s">
        <v>13221</v>
      </c>
      <c r="B3705" s="85" t="s">
        <v>11875</v>
      </c>
      <c r="C3705" s="85" t="s">
        <v>11876</v>
      </c>
      <c r="D3705" s="85" t="s">
        <v>3656</v>
      </c>
      <c r="E3705" s="85" t="s">
        <v>1789</v>
      </c>
      <c r="F3705" s="86">
        <v>8</v>
      </c>
      <c r="G3705" s="86">
        <v>20</v>
      </c>
      <c r="H3705" s="86">
        <v>160</v>
      </c>
      <c r="I3705" s="86">
        <v>22170</v>
      </c>
      <c r="J3705" s="85" t="s">
        <v>9135</v>
      </c>
      <c r="K3705" s="85" t="s">
        <v>13222</v>
      </c>
      <c r="L3705" s="85" t="s">
        <v>12417</v>
      </c>
      <c r="M3705" s="85" t="s">
        <v>13319</v>
      </c>
    </row>
    <row r="3706" ht="327.75" spans="1:13">
      <c r="A3706" s="85" t="s">
        <v>13221</v>
      </c>
      <c r="B3706" s="85" t="s">
        <v>11472</v>
      </c>
      <c r="C3706" s="85" t="s">
        <v>11473</v>
      </c>
      <c r="D3706" s="85" t="s">
        <v>2992</v>
      </c>
      <c r="E3706" s="85" t="s">
        <v>1815</v>
      </c>
      <c r="F3706" s="86">
        <v>0.25</v>
      </c>
      <c r="G3706" s="86">
        <v>20000</v>
      </c>
      <c r="H3706" s="86">
        <v>5000</v>
      </c>
      <c r="I3706" s="86">
        <v>22170</v>
      </c>
      <c r="J3706" s="85" t="s">
        <v>9135</v>
      </c>
      <c r="K3706" s="85" t="s">
        <v>13222</v>
      </c>
      <c r="L3706" s="85" t="s">
        <v>12417</v>
      </c>
      <c r="M3706" s="85" t="s">
        <v>13320</v>
      </c>
    </row>
    <row r="3707" ht="327.75" spans="1:13">
      <c r="A3707" s="85" t="s">
        <v>13245</v>
      </c>
      <c r="B3707" s="85" t="s">
        <v>13321</v>
      </c>
      <c r="C3707" s="85" t="s">
        <v>13322</v>
      </c>
      <c r="D3707" s="85" t="s">
        <v>3183</v>
      </c>
      <c r="E3707" s="85" t="s">
        <v>6563</v>
      </c>
      <c r="F3707" s="86">
        <v>52</v>
      </c>
      <c r="G3707" s="86">
        <v>10</v>
      </c>
      <c r="H3707" s="86">
        <v>520</v>
      </c>
      <c r="I3707" s="86">
        <v>46031</v>
      </c>
      <c r="J3707" s="85" t="s">
        <v>2935</v>
      </c>
      <c r="K3707" s="85" t="s">
        <v>13222</v>
      </c>
      <c r="L3707" s="85" t="s">
        <v>12417</v>
      </c>
      <c r="M3707" s="85" t="s">
        <v>13323</v>
      </c>
    </row>
    <row r="3708" ht="327.75" spans="1:13">
      <c r="A3708" s="85" t="s">
        <v>13324</v>
      </c>
      <c r="B3708" s="85" t="s">
        <v>13325</v>
      </c>
      <c r="C3708" s="85" t="s">
        <v>13326</v>
      </c>
      <c r="D3708" s="85" t="s">
        <v>4802</v>
      </c>
      <c r="E3708" s="85" t="s">
        <v>4997</v>
      </c>
      <c r="F3708" s="86">
        <v>63.5</v>
      </c>
      <c r="G3708" s="86">
        <v>114</v>
      </c>
      <c r="H3708" s="86">
        <v>7239</v>
      </c>
      <c r="I3708" s="86">
        <v>24717</v>
      </c>
      <c r="J3708" s="85" t="s">
        <v>9135</v>
      </c>
      <c r="K3708" s="85" t="s">
        <v>13327</v>
      </c>
      <c r="L3708" s="85" t="s">
        <v>12417</v>
      </c>
      <c r="M3708" s="85" t="s">
        <v>13328</v>
      </c>
    </row>
    <row r="3709" ht="327.75" spans="1:13">
      <c r="A3709" s="85" t="s">
        <v>13329</v>
      </c>
      <c r="B3709" s="85" t="s">
        <v>13330</v>
      </c>
      <c r="C3709" s="85" t="s">
        <v>13331</v>
      </c>
      <c r="D3709" s="85" t="s">
        <v>3041</v>
      </c>
      <c r="E3709" s="85" t="s">
        <v>3158</v>
      </c>
      <c r="F3709" s="86">
        <v>60</v>
      </c>
      <c r="G3709" s="86">
        <v>24</v>
      </c>
      <c r="H3709" s="86">
        <v>1440</v>
      </c>
      <c r="I3709" s="86">
        <v>8040</v>
      </c>
      <c r="J3709" s="85" t="s">
        <v>13332</v>
      </c>
      <c r="K3709" s="85" t="s">
        <v>13327</v>
      </c>
      <c r="L3709" s="85" t="s">
        <v>12417</v>
      </c>
      <c r="M3709" s="85" t="s">
        <v>13333</v>
      </c>
    </row>
    <row r="3710" ht="327.75" spans="1:13">
      <c r="A3710" s="85" t="s">
        <v>13334</v>
      </c>
      <c r="B3710" s="85" t="s">
        <v>9186</v>
      </c>
      <c r="C3710" s="85" t="s">
        <v>9187</v>
      </c>
      <c r="D3710" s="85" t="s">
        <v>4182</v>
      </c>
      <c r="E3710" s="85" t="s">
        <v>9188</v>
      </c>
      <c r="F3710" s="86">
        <v>531</v>
      </c>
      <c r="G3710" s="86">
        <v>2</v>
      </c>
      <c r="H3710" s="86">
        <v>1062</v>
      </c>
      <c r="I3710" s="86">
        <v>23165</v>
      </c>
      <c r="J3710" s="85" t="s">
        <v>2935</v>
      </c>
      <c r="K3710" s="85" t="s">
        <v>13327</v>
      </c>
      <c r="L3710" s="85" t="s">
        <v>12417</v>
      </c>
      <c r="M3710" s="85" t="s">
        <v>13335</v>
      </c>
    </row>
    <row r="3711" ht="327.75" spans="1:13">
      <c r="A3711" s="85" t="s">
        <v>13336</v>
      </c>
      <c r="B3711" s="85" t="s">
        <v>13337</v>
      </c>
      <c r="C3711" s="85" t="s">
        <v>13338</v>
      </c>
      <c r="D3711" s="85" t="s">
        <v>3737</v>
      </c>
      <c r="E3711" s="85" t="s">
        <v>11648</v>
      </c>
      <c r="F3711" s="86">
        <v>1150</v>
      </c>
      <c r="G3711" s="86">
        <v>7</v>
      </c>
      <c r="H3711" s="86">
        <v>8050</v>
      </c>
      <c r="I3711" s="86">
        <v>8050</v>
      </c>
      <c r="J3711" s="85" t="s">
        <v>2935</v>
      </c>
      <c r="K3711" s="85" t="s">
        <v>13327</v>
      </c>
      <c r="L3711" s="85" t="s">
        <v>12417</v>
      </c>
      <c r="M3711" s="85" t="s">
        <v>13339</v>
      </c>
    </row>
    <row r="3712" ht="327.75" spans="1:13">
      <c r="A3712" s="85" t="s">
        <v>13334</v>
      </c>
      <c r="B3712" s="85" t="s">
        <v>12405</v>
      </c>
      <c r="C3712" s="85" t="s">
        <v>12406</v>
      </c>
      <c r="D3712" s="85" t="s">
        <v>3907</v>
      </c>
      <c r="E3712" s="85" t="s">
        <v>1880</v>
      </c>
      <c r="F3712" s="86">
        <v>13</v>
      </c>
      <c r="G3712" s="86">
        <v>20</v>
      </c>
      <c r="H3712" s="86">
        <v>260</v>
      </c>
      <c r="I3712" s="86">
        <v>23165</v>
      </c>
      <c r="J3712" s="85" t="s">
        <v>2935</v>
      </c>
      <c r="K3712" s="85" t="s">
        <v>13327</v>
      </c>
      <c r="L3712" s="85" t="s">
        <v>12417</v>
      </c>
      <c r="M3712" s="85" t="s">
        <v>13340</v>
      </c>
    </row>
    <row r="3713" ht="327.75" spans="1:13">
      <c r="A3713" s="85" t="s">
        <v>13329</v>
      </c>
      <c r="B3713" s="85" t="s">
        <v>13341</v>
      </c>
      <c r="C3713" s="85" t="s">
        <v>13342</v>
      </c>
      <c r="D3713" s="85" t="s">
        <v>4848</v>
      </c>
      <c r="E3713" s="85" t="s">
        <v>4849</v>
      </c>
      <c r="F3713" s="86">
        <v>50</v>
      </c>
      <c r="G3713" s="86">
        <v>48</v>
      </c>
      <c r="H3713" s="86">
        <v>2400</v>
      </c>
      <c r="I3713" s="86">
        <v>8040</v>
      </c>
      <c r="J3713" s="85" t="s">
        <v>13332</v>
      </c>
      <c r="K3713" s="85" t="s">
        <v>13327</v>
      </c>
      <c r="L3713" s="85" t="s">
        <v>12417</v>
      </c>
      <c r="M3713" s="85" t="s">
        <v>13343</v>
      </c>
    </row>
    <row r="3714" ht="327.75" spans="1:13">
      <c r="A3714" s="85" t="s">
        <v>13324</v>
      </c>
      <c r="B3714" s="85" t="s">
        <v>13344</v>
      </c>
      <c r="C3714" s="85" t="s">
        <v>13345</v>
      </c>
      <c r="D3714" s="85" t="s">
        <v>4802</v>
      </c>
      <c r="E3714" s="85" t="s">
        <v>4997</v>
      </c>
      <c r="F3714" s="86">
        <v>35</v>
      </c>
      <c r="G3714" s="86">
        <v>50</v>
      </c>
      <c r="H3714" s="86">
        <v>1750</v>
      </c>
      <c r="I3714" s="86">
        <v>24717</v>
      </c>
      <c r="J3714" s="85" t="s">
        <v>9135</v>
      </c>
      <c r="K3714" s="85" t="s">
        <v>13327</v>
      </c>
      <c r="L3714" s="85" t="s">
        <v>12417</v>
      </c>
      <c r="M3714" s="85" t="s">
        <v>13346</v>
      </c>
    </row>
    <row r="3715" ht="327.75" spans="1:13">
      <c r="A3715" s="85" t="s">
        <v>13329</v>
      </c>
      <c r="B3715" s="85" t="s">
        <v>13347</v>
      </c>
      <c r="C3715" s="85" t="s">
        <v>13348</v>
      </c>
      <c r="D3715" s="85" t="s">
        <v>4848</v>
      </c>
      <c r="E3715" s="85" t="s">
        <v>4849</v>
      </c>
      <c r="F3715" s="86">
        <v>10</v>
      </c>
      <c r="G3715" s="86">
        <v>40</v>
      </c>
      <c r="H3715" s="86">
        <v>400</v>
      </c>
      <c r="I3715" s="86">
        <v>8040</v>
      </c>
      <c r="J3715" s="85" t="s">
        <v>13332</v>
      </c>
      <c r="K3715" s="85" t="s">
        <v>13327</v>
      </c>
      <c r="L3715" s="85" t="s">
        <v>12417</v>
      </c>
      <c r="M3715" s="85" t="s">
        <v>13349</v>
      </c>
    </row>
    <row r="3716" ht="327.75" spans="1:13">
      <c r="A3716" s="85" t="s">
        <v>13329</v>
      </c>
      <c r="B3716" s="85" t="s">
        <v>13350</v>
      </c>
      <c r="C3716" s="85" t="s">
        <v>13351</v>
      </c>
      <c r="D3716" s="85" t="s">
        <v>3041</v>
      </c>
      <c r="E3716" s="85" t="s">
        <v>3158</v>
      </c>
      <c r="F3716" s="86">
        <v>110</v>
      </c>
      <c r="G3716" s="86">
        <v>20</v>
      </c>
      <c r="H3716" s="86">
        <v>2200</v>
      </c>
      <c r="I3716" s="86">
        <v>8040</v>
      </c>
      <c r="J3716" s="85" t="s">
        <v>13332</v>
      </c>
      <c r="K3716" s="85" t="s">
        <v>13327</v>
      </c>
      <c r="L3716" s="85" t="s">
        <v>12417</v>
      </c>
      <c r="M3716" s="85" t="s">
        <v>13352</v>
      </c>
    </row>
    <row r="3717" ht="327.75" spans="1:13">
      <c r="A3717" s="85" t="s">
        <v>13334</v>
      </c>
      <c r="B3717" s="85" t="s">
        <v>13353</v>
      </c>
      <c r="C3717" s="85" t="s">
        <v>13354</v>
      </c>
      <c r="D3717" s="85" t="s">
        <v>13355</v>
      </c>
      <c r="E3717" s="85" t="s">
        <v>13356</v>
      </c>
      <c r="F3717" s="86">
        <v>120</v>
      </c>
      <c r="G3717" s="86">
        <v>4</v>
      </c>
      <c r="H3717" s="86">
        <v>480</v>
      </c>
      <c r="I3717" s="86">
        <v>23165</v>
      </c>
      <c r="J3717" s="85" t="s">
        <v>2935</v>
      </c>
      <c r="K3717" s="85" t="s">
        <v>13327</v>
      </c>
      <c r="L3717" s="85" t="s">
        <v>12417</v>
      </c>
      <c r="M3717" s="85" t="s">
        <v>13357</v>
      </c>
    </row>
    <row r="3718" ht="327.75" spans="1:13">
      <c r="A3718" s="85" t="s">
        <v>13334</v>
      </c>
      <c r="B3718" s="85" t="s">
        <v>6806</v>
      </c>
      <c r="C3718" s="85" t="s">
        <v>6807</v>
      </c>
      <c r="D3718" s="85" t="s">
        <v>3189</v>
      </c>
      <c r="E3718" s="85" t="s">
        <v>6804</v>
      </c>
      <c r="F3718" s="86">
        <v>92</v>
      </c>
      <c r="G3718" s="86">
        <v>2</v>
      </c>
      <c r="H3718" s="86">
        <v>184</v>
      </c>
      <c r="I3718" s="86">
        <v>23165</v>
      </c>
      <c r="J3718" s="85" t="s">
        <v>2935</v>
      </c>
      <c r="K3718" s="85" t="s">
        <v>13327</v>
      </c>
      <c r="L3718" s="85" t="s">
        <v>12417</v>
      </c>
      <c r="M3718" s="85" t="s">
        <v>13358</v>
      </c>
    </row>
    <row r="3719" ht="327.75" spans="1:13">
      <c r="A3719" s="85" t="s">
        <v>13324</v>
      </c>
      <c r="B3719" s="85" t="s">
        <v>12523</v>
      </c>
      <c r="C3719" s="85" t="s">
        <v>12524</v>
      </c>
      <c r="D3719" s="85" t="s">
        <v>4802</v>
      </c>
      <c r="E3719" s="85" t="s">
        <v>4997</v>
      </c>
      <c r="F3719" s="86">
        <v>45.5</v>
      </c>
      <c r="G3719" s="86">
        <v>86</v>
      </c>
      <c r="H3719" s="86">
        <v>3913</v>
      </c>
      <c r="I3719" s="86">
        <v>24717</v>
      </c>
      <c r="J3719" s="85" t="s">
        <v>9135</v>
      </c>
      <c r="K3719" s="85" t="s">
        <v>13327</v>
      </c>
      <c r="L3719" s="85" t="s">
        <v>12417</v>
      </c>
      <c r="M3719" s="85" t="s">
        <v>13359</v>
      </c>
    </row>
    <row r="3720" ht="327.75" spans="1:13">
      <c r="A3720" s="85" t="s">
        <v>13334</v>
      </c>
      <c r="B3720" s="85" t="s">
        <v>8765</v>
      </c>
      <c r="C3720" s="85" t="s">
        <v>8766</v>
      </c>
      <c r="D3720" s="85" t="s">
        <v>8767</v>
      </c>
      <c r="E3720" s="85" t="s">
        <v>8768</v>
      </c>
      <c r="F3720" s="86">
        <v>62</v>
      </c>
      <c r="G3720" s="86">
        <v>10</v>
      </c>
      <c r="H3720" s="86">
        <v>620</v>
      </c>
      <c r="I3720" s="86">
        <v>23165</v>
      </c>
      <c r="J3720" s="85" t="s">
        <v>2935</v>
      </c>
      <c r="K3720" s="85" t="s">
        <v>13327</v>
      </c>
      <c r="L3720" s="85" t="s">
        <v>12417</v>
      </c>
      <c r="M3720" s="85" t="s">
        <v>13360</v>
      </c>
    </row>
    <row r="3721" ht="327.75" spans="1:13">
      <c r="A3721" s="85" t="s">
        <v>13334</v>
      </c>
      <c r="B3721" s="85" t="s">
        <v>13361</v>
      </c>
      <c r="C3721" s="85" t="s">
        <v>13362</v>
      </c>
      <c r="D3721" s="85" t="s">
        <v>13363</v>
      </c>
      <c r="E3721" s="85" t="s">
        <v>13364</v>
      </c>
      <c r="F3721" s="86">
        <v>65</v>
      </c>
      <c r="G3721" s="86">
        <v>3</v>
      </c>
      <c r="H3721" s="86">
        <v>195</v>
      </c>
      <c r="I3721" s="86">
        <v>23165</v>
      </c>
      <c r="J3721" s="85" t="s">
        <v>2935</v>
      </c>
      <c r="K3721" s="85" t="s">
        <v>13327</v>
      </c>
      <c r="L3721" s="85" t="s">
        <v>12417</v>
      </c>
      <c r="M3721" s="85" t="s">
        <v>13365</v>
      </c>
    </row>
    <row r="3722" ht="327.75" spans="1:13">
      <c r="A3722" s="85" t="s">
        <v>13334</v>
      </c>
      <c r="B3722" s="85" t="s">
        <v>9464</v>
      </c>
      <c r="C3722" s="85" t="s">
        <v>9465</v>
      </c>
      <c r="D3722" s="85" t="s">
        <v>4911</v>
      </c>
      <c r="E3722" s="85" t="s">
        <v>4761</v>
      </c>
      <c r="F3722" s="86">
        <v>10</v>
      </c>
      <c r="G3722" s="86">
        <v>100</v>
      </c>
      <c r="H3722" s="86">
        <v>1000</v>
      </c>
      <c r="I3722" s="86">
        <v>23165</v>
      </c>
      <c r="J3722" s="85" t="s">
        <v>2935</v>
      </c>
      <c r="K3722" s="85" t="s">
        <v>13327</v>
      </c>
      <c r="L3722" s="85" t="s">
        <v>12417</v>
      </c>
      <c r="M3722" s="85" t="s">
        <v>13366</v>
      </c>
    </row>
    <row r="3723" ht="327.75" spans="1:13">
      <c r="A3723" s="85" t="s">
        <v>13334</v>
      </c>
      <c r="B3723" s="85" t="s">
        <v>13367</v>
      </c>
      <c r="C3723" s="85" t="s">
        <v>13368</v>
      </c>
      <c r="D3723" s="85" t="s">
        <v>5449</v>
      </c>
      <c r="E3723" s="85" t="s">
        <v>13369</v>
      </c>
      <c r="F3723" s="86">
        <v>40</v>
      </c>
      <c r="G3723" s="86">
        <v>10</v>
      </c>
      <c r="H3723" s="86">
        <v>400</v>
      </c>
      <c r="I3723" s="86">
        <v>23165</v>
      </c>
      <c r="J3723" s="85" t="s">
        <v>2935</v>
      </c>
      <c r="K3723" s="85" t="s">
        <v>13327</v>
      </c>
      <c r="L3723" s="85" t="s">
        <v>12417</v>
      </c>
      <c r="M3723" s="85" t="s">
        <v>13370</v>
      </c>
    </row>
    <row r="3724" ht="327.75" spans="1:13">
      <c r="A3724" s="85" t="s">
        <v>13334</v>
      </c>
      <c r="B3724" s="85" t="s">
        <v>13371</v>
      </c>
      <c r="C3724" s="85" t="s">
        <v>13372</v>
      </c>
      <c r="D3724" s="85" t="s">
        <v>3398</v>
      </c>
      <c r="E3724" s="85" t="s">
        <v>12337</v>
      </c>
      <c r="F3724" s="86">
        <v>300</v>
      </c>
      <c r="G3724" s="86">
        <v>3</v>
      </c>
      <c r="H3724" s="86">
        <v>900</v>
      </c>
      <c r="I3724" s="86">
        <v>23165</v>
      </c>
      <c r="J3724" s="85" t="s">
        <v>2935</v>
      </c>
      <c r="K3724" s="85" t="s">
        <v>13327</v>
      </c>
      <c r="L3724" s="85" t="s">
        <v>12417</v>
      </c>
      <c r="M3724" s="85" t="s">
        <v>13373</v>
      </c>
    </row>
    <row r="3725" ht="327.75" spans="1:13">
      <c r="A3725" s="85" t="s">
        <v>13334</v>
      </c>
      <c r="B3725" s="85" t="s">
        <v>13374</v>
      </c>
      <c r="C3725" s="85" t="s">
        <v>13375</v>
      </c>
      <c r="D3725" s="85" t="s">
        <v>3189</v>
      </c>
      <c r="E3725" s="85" t="s">
        <v>4681</v>
      </c>
      <c r="F3725" s="86">
        <v>39</v>
      </c>
      <c r="G3725" s="86">
        <v>4</v>
      </c>
      <c r="H3725" s="86">
        <v>156</v>
      </c>
      <c r="I3725" s="86">
        <v>23165</v>
      </c>
      <c r="J3725" s="85" t="s">
        <v>2935</v>
      </c>
      <c r="K3725" s="85" t="s">
        <v>13327</v>
      </c>
      <c r="L3725" s="85" t="s">
        <v>12417</v>
      </c>
      <c r="M3725" s="85" t="s">
        <v>13376</v>
      </c>
    </row>
    <row r="3726" ht="327.75" spans="1:13">
      <c r="A3726" s="85" t="s">
        <v>13324</v>
      </c>
      <c r="B3726" s="85" t="s">
        <v>13377</v>
      </c>
      <c r="C3726" s="85" t="s">
        <v>13378</v>
      </c>
      <c r="D3726" s="85" t="s">
        <v>3543</v>
      </c>
      <c r="E3726" s="85" t="s">
        <v>9151</v>
      </c>
      <c r="F3726" s="86">
        <v>25</v>
      </c>
      <c r="G3726" s="86">
        <v>194</v>
      </c>
      <c r="H3726" s="86">
        <v>4850</v>
      </c>
      <c r="I3726" s="86">
        <v>24717</v>
      </c>
      <c r="J3726" s="85" t="s">
        <v>9135</v>
      </c>
      <c r="K3726" s="85" t="s">
        <v>13327</v>
      </c>
      <c r="L3726" s="85" t="s">
        <v>12417</v>
      </c>
      <c r="M3726" s="85" t="s">
        <v>13379</v>
      </c>
    </row>
    <row r="3727" ht="327.75" spans="1:13">
      <c r="A3727" s="85" t="s">
        <v>13324</v>
      </c>
      <c r="B3727" s="85" t="s">
        <v>12181</v>
      </c>
      <c r="C3727" s="85" t="s">
        <v>12182</v>
      </c>
      <c r="D3727" s="85" t="s">
        <v>12183</v>
      </c>
      <c r="E3727" s="85" t="s">
        <v>2988</v>
      </c>
      <c r="F3727" s="86">
        <v>35</v>
      </c>
      <c r="G3727" s="86">
        <v>199</v>
      </c>
      <c r="H3727" s="86">
        <v>6965</v>
      </c>
      <c r="I3727" s="86">
        <v>24717</v>
      </c>
      <c r="J3727" s="85" t="s">
        <v>9135</v>
      </c>
      <c r="K3727" s="85" t="s">
        <v>13327</v>
      </c>
      <c r="L3727" s="85" t="s">
        <v>12417</v>
      </c>
      <c r="M3727" s="85" t="s">
        <v>13380</v>
      </c>
    </row>
    <row r="3728" ht="327.75" spans="1:13">
      <c r="A3728" s="85" t="s">
        <v>13334</v>
      </c>
      <c r="B3728" s="85" t="s">
        <v>13381</v>
      </c>
      <c r="C3728" s="85" t="s">
        <v>13382</v>
      </c>
      <c r="D3728" s="85" t="s">
        <v>11999</v>
      </c>
      <c r="E3728" s="85" t="s">
        <v>12139</v>
      </c>
      <c r="F3728" s="86">
        <v>110</v>
      </c>
      <c r="G3728" s="86">
        <v>10</v>
      </c>
      <c r="H3728" s="86">
        <v>1100</v>
      </c>
      <c r="I3728" s="86">
        <v>23165</v>
      </c>
      <c r="J3728" s="85" t="s">
        <v>2935</v>
      </c>
      <c r="K3728" s="85" t="s">
        <v>13327</v>
      </c>
      <c r="L3728" s="85" t="s">
        <v>12417</v>
      </c>
      <c r="M3728" s="85" t="s">
        <v>13383</v>
      </c>
    </row>
    <row r="3729" ht="327.75" spans="1:13">
      <c r="A3729" s="85" t="s">
        <v>13334</v>
      </c>
      <c r="B3729" s="85" t="s">
        <v>13384</v>
      </c>
      <c r="C3729" s="85" t="s">
        <v>13385</v>
      </c>
      <c r="D3729" s="85" t="s">
        <v>11153</v>
      </c>
      <c r="E3729" s="85" t="s">
        <v>11154</v>
      </c>
      <c r="F3729" s="86">
        <v>23.5</v>
      </c>
      <c r="G3729" s="86">
        <v>500</v>
      </c>
      <c r="H3729" s="86">
        <v>11750</v>
      </c>
      <c r="I3729" s="86">
        <v>23165</v>
      </c>
      <c r="J3729" s="85" t="s">
        <v>2935</v>
      </c>
      <c r="K3729" s="85" t="s">
        <v>13327</v>
      </c>
      <c r="L3729" s="85" t="s">
        <v>12417</v>
      </c>
      <c r="M3729" s="85" t="s">
        <v>13386</v>
      </c>
    </row>
    <row r="3730" ht="327.75" spans="1:13">
      <c r="A3730" s="85" t="s">
        <v>13334</v>
      </c>
      <c r="B3730" s="85" t="s">
        <v>13387</v>
      </c>
      <c r="C3730" s="85" t="s">
        <v>13388</v>
      </c>
      <c r="D3730" s="85" t="s">
        <v>5010</v>
      </c>
      <c r="E3730" s="85" t="s">
        <v>13389</v>
      </c>
      <c r="F3730" s="86">
        <v>3400</v>
      </c>
      <c r="G3730" s="86">
        <v>1</v>
      </c>
      <c r="H3730" s="86">
        <v>3400</v>
      </c>
      <c r="I3730" s="86">
        <v>23165</v>
      </c>
      <c r="J3730" s="85" t="s">
        <v>2935</v>
      </c>
      <c r="K3730" s="85" t="s">
        <v>13327</v>
      </c>
      <c r="L3730" s="85" t="s">
        <v>12417</v>
      </c>
      <c r="M3730" s="85" t="s">
        <v>13390</v>
      </c>
    </row>
    <row r="3731" ht="327.75" spans="1:13">
      <c r="A3731" s="85" t="s">
        <v>13334</v>
      </c>
      <c r="B3731" s="85" t="s">
        <v>13391</v>
      </c>
      <c r="C3731" s="85" t="s">
        <v>13392</v>
      </c>
      <c r="D3731" s="85" t="s">
        <v>11104</v>
      </c>
      <c r="E3731" s="85" t="s">
        <v>13393</v>
      </c>
      <c r="F3731" s="86">
        <v>180</v>
      </c>
      <c r="G3731" s="86">
        <v>3</v>
      </c>
      <c r="H3731" s="86">
        <v>540</v>
      </c>
      <c r="I3731" s="86">
        <v>23165</v>
      </c>
      <c r="J3731" s="85" t="s">
        <v>2935</v>
      </c>
      <c r="K3731" s="85" t="s">
        <v>13327</v>
      </c>
      <c r="L3731" s="85" t="s">
        <v>12417</v>
      </c>
      <c r="M3731" s="85" t="s">
        <v>13394</v>
      </c>
    </row>
    <row r="3732" ht="327.75" spans="1:13">
      <c r="A3732" s="85" t="s">
        <v>13334</v>
      </c>
      <c r="B3732" s="85" t="s">
        <v>10260</v>
      </c>
      <c r="C3732" s="85" t="s">
        <v>10261</v>
      </c>
      <c r="D3732" s="85" t="s">
        <v>3753</v>
      </c>
      <c r="E3732" s="85" t="s">
        <v>5809</v>
      </c>
      <c r="F3732" s="86">
        <v>14</v>
      </c>
      <c r="G3732" s="86">
        <v>5</v>
      </c>
      <c r="H3732" s="86">
        <v>70</v>
      </c>
      <c r="I3732" s="86">
        <v>23165</v>
      </c>
      <c r="J3732" s="85" t="s">
        <v>2935</v>
      </c>
      <c r="K3732" s="85" t="s">
        <v>13327</v>
      </c>
      <c r="L3732" s="85" t="s">
        <v>12417</v>
      </c>
      <c r="M3732" s="85" t="s">
        <v>13395</v>
      </c>
    </row>
    <row r="3733" ht="327.75" spans="1:13">
      <c r="A3733" s="85" t="s">
        <v>13396</v>
      </c>
      <c r="B3733" s="85" t="s">
        <v>3788</v>
      </c>
      <c r="C3733" s="85" t="s">
        <v>3789</v>
      </c>
      <c r="D3733" s="85" t="s">
        <v>3189</v>
      </c>
      <c r="E3733" s="85" t="s">
        <v>3790</v>
      </c>
      <c r="F3733" s="86">
        <v>100</v>
      </c>
      <c r="G3733" s="86">
        <v>20</v>
      </c>
      <c r="H3733" s="86">
        <v>2000</v>
      </c>
      <c r="I3733" s="86">
        <v>2000</v>
      </c>
      <c r="J3733" s="85" t="s">
        <v>12634</v>
      </c>
      <c r="K3733" s="85" t="s">
        <v>13327</v>
      </c>
      <c r="L3733" s="85" t="s">
        <v>12417</v>
      </c>
      <c r="M3733" s="85" t="s">
        <v>13397</v>
      </c>
    </row>
    <row r="3734" ht="327.75" spans="1:13">
      <c r="A3734" s="85" t="s">
        <v>13329</v>
      </c>
      <c r="B3734" s="85" t="s">
        <v>13398</v>
      </c>
      <c r="C3734" s="85" t="s">
        <v>13399</v>
      </c>
      <c r="D3734" s="85" t="s">
        <v>4848</v>
      </c>
      <c r="E3734" s="85" t="s">
        <v>4849</v>
      </c>
      <c r="F3734" s="86">
        <v>20</v>
      </c>
      <c r="G3734" s="86">
        <v>80</v>
      </c>
      <c r="H3734" s="86">
        <v>1600</v>
      </c>
      <c r="I3734" s="86">
        <v>8040</v>
      </c>
      <c r="J3734" s="85" t="s">
        <v>13332</v>
      </c>
      <c r="K3734" s="85" t="s">
        <v>13327</v>
      </c>
      <c r="L3734" s="85" t="s">
        <v>12417</v>
      </c>
      <c r="M3734" s="85" t="s">
        <v>13400</v>
      </c>
    </row>
    <row r="3735" ht="327.75" spans="1:13">
      <c r="A3735" s="85" t="s">
        <v>13334</v>
      </c>
      <c r="B3735" s="85" t="s">
        <v>13401</v>
      </c>
      <c r="C3735" s="85" t="s">
        <v>13402</v>
      </c>
      <c r="D3735" s="85" t="s">
        <v>13403</v>
      </c>
      <c r="E3735" s="85" t="s">
        <v>13404</v>
      </c>
      <c r="F3735" s="86">
        <v>90</v>
      </c>
      <c r="G3735" s="86">
        <v>4</v>
      </c>
      <c r="H3735" s="86">
        <v>360</v>
      </c>
      <c r="I3735" s="86">
        <v>23165</v>
      </c>
      <c r="J3735" s="85" t="s">
        <v>2935</v>
      </c>
      <c r="K3735" s="85" t="s">
        <v>13327</v>
      </c>
      <c r="L3735" s="85" t="s">
        <v>12417</v>
      </c>
      <c r="M3735" s="85" t="s">
        <v>13405</v>
      </c>
    </row>
    <row r="3736" ht="327.75" spans="1:13">
      <c r="A3736" s="85" t="s">
        <v>13334</v>
      </c>
      <c r="B3736" s="85" t="s">
        <v>9015</v>
      </c>
      <c r="C3736" s="85" t="s">
        <v>9016</v>
      </c>
      <c r="D3736" s="85" t="s">
        <v>3189</v>
      </c>
      <c r="E3736" s="85" t="s">
        <v>9017</v>
      </c>
      <c r="F3736" s="86">
        <v>52</v>
      </c>
      <c r="G3736" s="86">
        <v>4</v>
      </c>
      <c r="H3736" s="86">
        <v>208</v>
      </c>
      <c r="I3736" s="86">
        <v>23165</v>
      </c>
      <c r="J3736" s="85" t="s">
        <v>2935</v>
      </c>
      <c r="K3736" s="85" t="s">
        <v>13327</v>
      </c>
      <c r="L3736" s="85" t="s">
        <v>12417</v>
      </c>
      <c r="M3736" s="85" t="s">
        <v>13406</v>
      </c>
    </row>
    <row r="3737" ht="327.75" spans="1:13">
      <c r="A3737" s="85" t="s">
        <v>13334</v>
      </c>
      <c r="B3737" s="85" t="s">
        <v>12400</v>
      </c>
      <c r="C3737" s="85" t="s">
        <v>12401</v>
      </c>
      <c r="D3737" s="85" t="s">
        <v>11999</v>
      </c>
      <c r="E3737" s="85" t="s">
        <v>12139</v>
      </c>
      <c r="F3737" s="86">
        <v>1.6</v>
      </c>
      <c r="G3737" s="86">
        <v>300</v>
      </c>
      <c r="H3737" s="86">
        <v>480</v>
      </c>
      <c r="I3737" s="86">
        <v>23165</v>
      </c>
      <c r="J3737" s="85" t="s">
        <v>2935</v>
      </c>
      <c r="K3737" s="85" t="s">
        <v>13327</v>
      </c>
      <c r="L3737" s="85" t="s">
        <v>12417</v>
      </c>
      <c r="M3737" s="85" t="s">
        <v>13407</v>
      </c>
    </row>
    <row r="3738" ht="327.75" spans="1:13">
      <c r="A3738" s="85" t="s">
        <v>13408</v>
      </c>
      <c r="B3738" s="85" t="s">
        <v>13409</v>
      </c>
      <c r="C3738" s="85" t="s">
        <v>13410</v>
      </c>
      <c r="D3738" s="85" t="s">
        <v>7739</v>
      </c>
      <c r="E3738" s="85" t="s">
        <v>13411</v>
      </c>
      <c r="F3738" s="86">
        <v>3600</v>
      </c>
      <c r="G3738" s="86">
        <v>1</v>
      </c>
      <c r="H3738" s="86">
        <v>3600</v>
      </c>
      <c r="I3738" s="86">
        <v>3600</v>
      </c>
      <c r="J3738" s="85" t="s">
        <v>5083</v>
      </c>
      <c r="K3738" s="85" t="s">
        <v>13412</v>
      </c>
      <c r="L3738" s="85" t="s">
        <v>12417</v>
      </c>
      <c r="M3738" s="85" t="s">
        <v>13413</v>
      </c>
    </row>
    <row r="3739" ht="327.75" spans="1:13">
      <c r="A3739" s="85" t="s">
        <v>13414</v>
      </c>
      <c r="B3739" s="85" t="s">
        <v>11590</v>
      </c>
      <c r="C3739" s="85" t="s">
        <v>11591</v>
      </c>
      <c r="D3739" s="85" t="s">
        <v>7739</v>
      </c>
      <c r="E3739" s="85" t="s">
        <v>10637</v>
      </c>
      <c r="F3739" s="86">
        <v>4650</v>
      </c>
      <c r="G3739" s="86">
        <v>6</v>
      </c>
      <c r="H3739" s="86">
        <v>27900</v>
      </c>
      <c r="I3739" s="86">
        <v>27900</v>
      </c>
      <c r="J3739" s="85" t="s">
        <v>5083</v>
      </c>
      <c r="K3739" s="85" t="s">
        <v>13415</v>
      </c>
      <c r="L3739" s="85" t="s">
        <v>12417</v>
      </c>
      <c r="M3739" s="85" t="s">
        <v>13416</v>
      </c>
    </row>
    <row r="3740" ht="327.75" spans="1:13">
      <c r="A3740" s="85" t="s">
        <v>13417</v>
      </c>
      <c r="B3740" s="85" t="s">
        <v>13418</v>
      </c>
      <c r="C3740" s="85" t="s">
        <v>13419</v>
      </c>
      <c r="D3740" s="85" t="s">
        <v>4076</v>
      </c>
      <c r="E3740" s="85" t="s">
        <v>1832</v>
      </c>
      <c r="F3740" s="86">
        <v>137</v>
      </c>
      <c r="G3740" s="86">
        <v>180</v>
      </c>
      <c r="H3740" s="86">
        <v>24660</v>
      </c>
      <c r="I3740" s="86">
        <v>51254</v>
      </c>
      <c r="J3740" s="85" t="s">
        <v>2938</v>
      </c>
      <c r="K3740" s="85" t="s">
        <v>13420</v>
      </c>
      <c r="L3740" s="85" t="s">
        <v>12417</v>
      </c>
      <c r="M3740" s="85" t="s">
        <v>13421</v>
      </c>
    </row>
    <row r="3741" ht="327.75" spans="1:13">
      <c r="A3741" s="85" t="s">
        <v>13422</v>
      </c>
      <c r="B3741" s="85" t="s">
        <v>13423</v>
      </c>
      <c r="C3741" s="85" t="s">
        <v>13424</v>
      </c>
      <c r="D3741" s="85" t="s">
        <v>11153</v>
      </c>
      <c r="E3741" s="85" t="s">
        <v>11154</v>
      </c>
      <c r="F3741" s="86">
        <v>9</v>
      </c>
      <c r="G3741" s="86">
        <v>1080</v>
      </c>
      <c r="H3741" s="86">
        <v>9720</v>
      </c>
      <c r="I3741" s="86">
        <v>14550</v>
      </c>
      <c r="J3741" s="85" t="s">
        <v>2935</v>
      </c>
      <c r="K3741" s="85" t="s">
        <v>13420</v>
      </c>
      <c r="L3741" s="85" t="s">
        <v>12417</v>
      </c>
      <c r="M3741" s="85" t="s">
        <v>13425</v>
      </c>
    </row>
    <row r="3742" ht="327.75" spans="1:13">
      <c r="A3742" s="85" t="s">
        <v>13417</v>
      </c>
      <c r="B3742" s="85" t="s">
        <v>13426</v>
      </c>
      <c r="C3742" s="85" t="s">
        <v>13427</v>
      </c>
      <c r="D3742" s="85" t="s">
        <v>3548</v>
      </c>
      <c r="E3742" s="85" t="s">
        <v>1835</v>
      </c>
      <c r="F3742" s="86">
        <v>17.35</v>
      </c>
      <c r="G3742" s="86">
        <v>40</v>
      </c>
      <c r="H3742" s="86">
        <v>694</v>
      </c>
      <c r="I3742" s="86">
        <v>51254</v>
      </c>
      <c r="J3742" s="85" t="s">
        <v>2938</v>
      </c>
      <c r="K3742" s="85" t="s">
        <v>13420</v>
      </c>
      <c r="L3742" s="85" t="s">
        <v>12417</v>
      </c>
      <c r="M3742" s="85" t="s">
        <v>13428</v>
      </c>
    </row>
    <row r="3743" ht="327.75" spans="1:13">
      <c r="A3743" s="85" t="s">
        <v>13422</v>
      </c>
      <c r="B3743" s="85" t="s">
        <v>12129</v>
      </c>
      <c r="C3743" s="85" t="s">
        <v>12130</v>
      </c>
      <c r="D3743" s="85" t="s">
        <v>3438</v>
      </c>
      <c r="E3743" s="85" t="s">
        <v>11021</v>
      </c>
      <c r="F3743" s="86">
        <v>410</v>
      </c>
      <c r="G3743" s="86">
        <v>2</v>
      </c>
      <c r="H3743" s="86">
        <v>820</v>
      </c>
      <c r="I3743" s="86">
        <v>14550</v>
      </c>
      <c r="J3743" s="85" t="s">
        <v>2935</v>
      </c>
      <c r="K3743" s="85" t="s">
        <v>13420</v>
      </c>
      <c r="L3743" s="85" t="s">
        <v>12417</v>
      </c>
      <c r="M3743" s="85" t="s">
        <v>13429</v>
      </c>
    </row>
    <row r="3744" ht="327.75" spans="1:13">
      <c r="A3744" s="85" t="s">
        <v>13430</v>
      </c>
      <c r="B3744" s="85" t="s">
        <v>13431</v>
      </c>
      <c r="C3744" s="85" t="s">
        <v>13432</v>
      </c>
      <c r="D3744" s="85" t="s">
        <v>5023</v>
      </c>
      <c r="E3744" s="85" t="s">
        <v>5024</v>
      </c>
      <c r="F3744" s="86">
        <v>10</v>
      </c>
      <c r="G3744" s="86">
        <v>200</v>
      </c>
      <c r="H3744" s="86">
        <v>2000</v>
      </c>
      <c r="I3744" s="86">
        <v>17520</v>
      </c>
      <c r="J3744" s="85" t="s">
        <v>9135</v>
      </c>
      <c r="K3744" s="85" t="s">
        <v>13420</v>
      </c>
      <c r="L3744" s="85" t="s">
        <v>12417</v>
      </c>
      <c r="M3744" s="85" t="s">
        <v>13433</v>
      </c>
    </row>
    <row r="3745" ht="327.75" spans="1:13">
      <c r="A3745" s="85" t="s">
        <v>13417</v>
      </c>
      <c r="B3745" s="85" t="s">
        <v>13434</v>
      </c>
      <c r="C3745" s="85" t="s">
        <v>13435</v>
      </c>
      <c r="D3745" s="85" t="s">
        <v>3747</v>
      </c>
      <c r="E3745" s="85" t="s">
        <v>1827</v>
      </c>
      <c r="F3745" s="86">
        <v>123</v>
      </c>
      <c r="G3745" s="86">
        <v>180</v>
      </c>
      <c r="H3745" s="86">
        <v>22140</v>
      </c>
      <c r="I3745" s="86">
        <v>51254</v>
      </c>
      <c r="J3745" s="85" t="s">
        <v>2938</v>
      </c>
      <c r="K3745" s="85" t="s">
        <v>13420</v>
      </c>
      <c r="L3745" s="85" t="s">
        <v>12417</v>
      </c>
      <c r="M3745" s="85" t="s">
        <v>13436</v>
      </c>
    </row>
    <row r="3746" ht="327.75" spans="1:13">
      <c r="A3746" s="85" t="s">
        <v>13430</v>
      </c>
      <c r="B3746" s="85" t="s">
        <v>11450</v>
      </c>
      <c r="C3746" s="85" t="s">
        <v>11451</v>
      </c>
      <c r="D3746" s="85" t="s">
        <v>2992</v>
      </c>
      <c r="E3746" s="85" t="s">
        <v>1815</v>
      </c>
      <c r="F3746" s="86">
        <v>360</v>
      </c>
      <c r="G3746" s="86">
        <v>5</v>
      </c>
      <c r="H3746" s="86">
        <v>1800</v>
      </c>
      <c r="I3746" s="86">
        <v>17520</v>
      </c>
      <c r="J3746" s="85" t="s">
        <v>9135</v>
      </c>
      <c r="K3746" s="85" t="s">
        <v>13420</v>
      </c>
      <c r="L3746" s="85" t="s">
        <v>12417</v>
      </c>
      <c r="M3746" s="85" t="s">
        <v>13437</v>
      </c>
    </row>
    <row r="3747" ht="327.75" spans="1:13">
      <c r="A3747" s="85" t="s">
        <v>13430</v>
      </c>
      <c r="B3747" s="85" t="s">
        <v>11472</v>
      </c>
      <c r="C3747" s="85" t="s">
        <v>11473</v>
      </c>
      <c r="D3747" s="85" t="s">
        <v>2992</v>
      </c>
      <c r="E3747" s="85" t="s">
        <v>1815</v>
      </c>
      <c r="F3747" s="86">
        <v>0.25</v>
      </c>
      <c r="G3747" s="86">
        <v>32000</v>
      </c>
      <c r="H3747" s="86">
        <v>8000</v>
      </c>
      <c r="I3747" s="86">
        <v>17520</v>
      </c>
      <c r="J3747" s="85" t="s">
        <v>9135</v>
      </c>
      <c r="K3747" s="85" t="s">
        <v>13420</v>
      </c>
      <c r="L3747" s="85" t="s">
        <v>12417</v>
      </c>
      <c r="M3747" s="85" t="s">
        <v>13438</v>
      </c>
    </row>
    <row r="3748" ht="327.75" spans="1:13">
      <c r="A3748" s="85" t="s">
        <v>13430</v>
      </c>
      <c r="B3748" s="85" t="s">
        <v>12532</v>
      </c>
      <c r="C3748" s="85" t="s">
        <v>12533</v>
      </c>
      <c r="D3748" s="85" t="s">
        <v>3201</v>
      </c>
      <c r="E3748" s="85" t="s">
        <v>3217</v>
      </c>
      <c r="F3748" s="86">
        <v>45</v>
      </c>
      <c r="G3748" s="86">
        <v>30</v>
      </c>
      <c r="H3748" s="86">
        <v>1350</v>
      </c>
      <c r="I3748" s="86">
        <v>17520</v>
      </c>
      <c r="J3748" s="85" t="s">
        <v>9135</v>
      </c>
      <c r="K3748" s="85" t="s">
        <v>13420</v>
      </c>
      <c r="L3748" s="85" t="s">
        <v>12417</v>
      </c>
      <c r="M3748" s="85" t="s">
        <v>13439</v>
      </c>
    </row>
    <row r="3749" ht="327.75" spans="1:13">
      <c r="A3749" s="85" t="s">
        <v>13440</v>
      </c>
      <c r="B3749" s="85" t="s">
        <v>13441</v>
      </c>
      <c r="C3749" s="85" t="s">
        <v>13442</v>
      </c>
      <c r="D3749" s="85" t="s">
        <v>4030</v>
      </c>
      <c r="E3749" s="85" t="s">
        <v>13442</v>
      </c>
      <c r="F3749" s="86">
        <v>18.53</v>
      </c>
      <c r="G3749" s="86">
        <v>5</v>
      </c>
      <c r="H3749" s="86">
        <v>92.65</v>
      </c>
      <c r="I3749" s="86">
        <v>131.1</v>
      </c>
      <c r="J3749" s="85" t="s">
        <v>2965</v>
      </c>
      <c r="K3749" s="85" t="s">
        <v>13420</v>
      </c>
      <c r="L3749" s="85" t="s">
        <v>12417</v>
      </c>
      <c r="M3749" s="85" t="s">
        <v>13443</v>
      </c>
    </row>
    <row r="3750" ht="327.75" spans="1:13">
      <c r="A3750" s="85" t="s">
        <v>13430</v>
      </c>
      <c r="B3750" s="85" t="s">
        <v>11785</v>
      </c>
      <c r="C3750" s="85" t="s">
        <v>11786</v>
      </c>
      <c r="D3750" s="85" t="s">
        <v>3753</v>
      </c>
      <c r="E3750" s="85" t="s">
        <v>11787</v>
      </c>
      <c r="F3750" s="86">
        <v>18</v>
      </c>
      <c r="G3750" s="86">
        <v>5</v>
      </c>
      <c r="H3750" s="86">
        <v>90</v>
      </c>
      <c r="I3750" s="86">
        <v>17520</v>
      </c>
      <c r="J3750" s="85" t="s">
        <v>9135</v>
      </c>
      <c r="K3750" s="85" t="s">
        <v>13420</v>
      </c>
      <c r="L3750" s="85" t="s">
        <v>12417</v>
      </c>
      <c r="M3750" s="85" t="s">
        <v>13444</v>
      </c>
    </row>
    <row r="3751" ht="327.75" spans="1:13">
      <c r="A3751" s="85" t="s">
        <v>13417</v>
      </c>
      <c r="B3751" s="85" t="s">
        <v>13445</v>
      </c>
      <c r="C3751" s="85" t="s">
        <v>13446</v>
      </c>
      <c r="D3751" s="85" t="s">
        <v>5240</v>
      </c>
      <c r="E3751" s="85" t="s">
        <v>4081</v>
      </c>
      <c r="F3751" s="86">
        <v>23.5</v>
      </c>
      <c r="G3751" s="86">
        <v>160</v>
      </c>
      <c r="H3751" s="86">
        <v>3760</v>
      </c>
      <c r="I3751" s="86">
        <v>51254</v>
      </c>
      <c r="J3751" s="85" t="s">
        <v>2938</v>
      </c>
      <c r="K3751" s="85" t="s">
        <v>13420</v>
      </c>
      <c r="L3751" s="85" t="s">
        <v>12417</v>
      </c>
      <c r="M3751" s="85" t="s">
        <v>13447</v>
      </c>
    </row>
    <row r="3752" ht="327.75" spans="1:13">
      <c r="A3752" s="85" t="s">
        <v>13440</v>
      </c>
      <c r="B3752" s="85" t="s">
        <v>13448</v>
      </c>
      <c r="C3752" s="85" t="s">
        <v>13449</v>
      </c>
      <c r="D3752" s="85" t="s">
        <v>3394</v>
      </c>
      <c r="E3752" s="85" t="s">
        <v>13449</v>
      </c>
      <c r="F3752" s="86">
        <v>7.69</v>
      </c>
      <c r="G3752" s="86">
        <v>5</v>
      </c>
      <c r="H3752" s="86">
        <v>38.45</v>
      </c>
      <c r="I3752" s="86">
        <v>131.1</v>
      </c>
      <c r="J3752" s="85" t="s">
        <v>2965</v>
      </c>
      <c r="K3752" s="85" t="s">
        <v>13420</v>
      </c>
      <c r="L3752" s="85" t="s">
        <v>12417</v>
      </c>
      <c r="M3752" s="85" t="s">
        <v>13450</v>
      </c>
    </row>
    <row r="3753" ht="327.75" spans="1:13">
      <c r="A3753" s="85" t="s">
        <v>13451</v>
      </c>
      <c r="B3753" s="85" t="s">
        <v>13452</v>
      </c>
      <c r="C3753" s="85" t="s">
        <v>13453</v>
      </c>
      <c r="D3753" s="85" t="s">
        <v>13454</v>
      </c>
      <c r="E3753" s="85" t="s">
        <v>2045</v>
      </c>
      <c r="F3753" s="86">
        <v>338</v>
      </c>
      <c r="G3753" s="86">
        <v>7</v>
      </c>
      <c r="H3753" s="86">
        <v>2366</v>
      </c>
      <c r="I3753" s="86">
        <v>10366</v>
      </c>
      <c r="J3753" s="85" t="s">
        <v>2935</v>
      </c>
      <c r="K3753" s="85" t="s">
        <v>13420</v>
      </c>
      <c r="L3753" s="85" t="s">
        <v>12417</v>
      </c>
      <c r="M3753" s="85" t="s">
        <v>13455</v>
      </c>
    </row>
    <row r="3754" ht="327.75" spans="1:13">
      <c r="A3754" s="85" t="s">
        <v>13451</v>
      </c>
      <c r="B3754" s="85" t="s">
        <v>13456</v>
      </c>
      <c r="C3754" s="85" t="s">
        <v>13457</v>
      </c>
      <c r="D3754" s="85" t="s">
        <v>5111</v>
      </c>
      <c r="E3754" s="85" t="s">
        <v>13458</v>
      </c>
      <c r="F3754" s="86">
        <v>2000</v>
      </c>
      <c r="G3754" s="86">
        <v>4</v>
      </c>
      <c r="H3754" s="86">
        <v>8000</v>
      </c>
      <c r="I3754" s="86">
        <v>10366</v>
      </c>
      <c r="J3754" s="85" t="s">
        <v>2935</v>
      </c>
      <c r="K3754" s="85" t="s">
        <v>13420</v>
      </c>
      <c r="L3754" s="85" t="s">
        <v>12417</v>
      </c>
      <c r="M3754" s="85" t="s">
        <v>13459</v>
      </c>
    </row>
    <row r="3755" ht="327.75" spans="1:13">
      <c r="A3755" s="85" t="s">
        <v>13422</v>
      </c>
      <c r="B3755" s="85" t="s">
        <v>5349</v>
      </c>
      <c r="C3755" s="85" t="s">
        <v>5350</v>
      </c>
      <c r="D3755" s="85" t="s">
        <v>3189</v>
      </c>
      <c r="E3755" s="85" t="s">
        <v>5351</v>
      </c>
      <c r="F3755" s="86">
        <v>22</v>
      </c>
      <c r="G3755" s="86">
        <v>5</v>
      </c>
      <c r="H3755" s="86">
        <v>110</v>
      </c>
      <c r="I3755" s="86">
        <v>14550</v>
      </c>
      <c r="J3755" s="85" t="s">
        <v>2935</v>
      </c>
      <c r="K3755" s="85" t="s">
        <v>13420</v>
      </c>
      <c r="L3755" s="85" t="s">
        <v>12417</v>
      </c>
      <c r="M3755" s="85" t="s">
        <v>13460</v>
      </c>
    </row>
    <row r="3756" ht="327.75" spans="1:13">
      <c r="A3756" s="85" t="s">
        <v>13422</v>
      </c>
      <c r="B3756" s="85" t="s">
        <v>12150</v>
      </c>
      <c r="C3756" s="85" t="s">
        <v>12151</v>
      </c>
      <c r="D3756" s="85" t="s">
        <v>11161</v>
      </c>
      <c r="E3756" s="85" t="s">
        <v>11162</v>
      </c>
      <c r="F3756" s="86">
        <v>3</v>
      </c>
      <c r="G3756" s="86">
        <v>1300</v>
      </c>
      <c r="H3756" s="86">
        <v>3900</v>
      </c>
      <c r="I3756" s="86">
        <v>14550</v>
      </c>
      <c r="J3756" s="85" t="s">
        <v>2935</v>
      </c>
      <c r="K3756" s="85" t="s">
        <v>13420</v>
      </c>
      <c r="L3756" s="85" t="s">
        <v>12417</v>
      </c>
      <c r="M3756" s="85" t="s">
        <v>13461</v>
      </c>
    </row>
    <row r="3757" ht="327.75" spans="1:13">
      <c r="A3757" s="85" t="s">
        <v>13430</v>
      </c>
      <c r="B3757" s="85" t="s">
        <v>11398</v>
      </c>
      <c r="C3757" s="85" t="s">
        <v>11399</v>
      </c>
      <c r="D3757" s="85" t="s">
        <v>9140</v>
      </c>
      <c r="E3757" s="85" t="s">
        <v>3209</v>
      </c>
      <c r="F3757" s="86">
        <v>6.6</v>
      </c>
      <c r="G3757" s="86">
        <v>300</v>
      </c>
      <c r="H3757" s="86">
        <v>1980</v>
      </c>
      <c r="I3757" s="86">
        <v>17520</v>
      </c>
      <c r="J3757" s="85" t="s">
        <v>9135</v>
      </c>
      <c r="K3757" s="85" t="s">
        <v>13420</v>
      </c>
      <c r="L3757" s="85" t="s">
        <v>12417</v>
      </c>
      <c r="M3757" s="85" t="s">
        <v>13462</v>
      </c>
    </row>
    <row r="3758" ht="327.75" spans="1:13">
      <c r="A3758" s="85" t="s">
        <v>13430</v>
      </c>
      <c r="B3758" s="85" t="s">
        <v>13279</v>
      </c>
      <c r="C3758" s="85" t="s">
        <v>13280</v>
      </c>
      <c r="D3758" s="85" t="s">
        <v>6901</v>
      </c>
      <c r="E3758" s="85" t="s">
        <v>5752</v>
      </c>
      <c r="F3758" s="86">
        <v>11.5</v>
      </c>
      <c r="G3758" s="86">
        <v>200</v>
      </c>
      <c r="H3758" s="86">
        <v>2300</v>
      </c>
      <c r="I3758" s="86">
        <v>17520</v>
      </c>
      <c r="J3758" s="85" t="s">
        <v>9135</v>
      </c>
      <c r="K3758" s="85" t="s">
        <v>13420</v>
      </c>
      <c r="L3758" s="85" t="s">
        <v>12417</v>
      </c>
      <c r="M3758" s="85" t="s">
        <v>13463</v>
      </c>
    </row>
    <row r="3759" ht="327.75" spans="1:13">
      <c r="A3759" s="85" t="s">
        <v>13464</v>
      </c>
      <c r="B3759" s="85" t="s">
        <v>13423</v>
      </c>
      <c r="C3759" s="85" t="s">
        <v>13424</v>
      </c>
      <c r="D3759" s="85" t="s">
        <v>11153</v>
      </c>
      <c r="E3759" s="85" t="s">
        <v>11154</v>
      </c>
      <c r="F3759" s="86">
        <v>9</v>
      </c>
      <c r="G3759" s="86">
        <v>100</v>
      </c>
      <c r="H3759" s="86">
        <v>900</v>
      </c>
      <c r="I3759" s="86">
        <v>4665</v>
      </c>
      <c r="J3759" s="85" t="s">
        <v>2935</v>
      </c>
      <c r="K3759" s="85" t="s">
        <v>13465</v>
      </c>
      <c r="L3759" s="85" t="s">
        <v>12417</v>
      </c>
      <c r="M3759" s="85" t="s">
        <v>13466</v>
      </c>
    </row>
    <row r="3760" ht="327.75" spans="1:13">
      <c r="A3760" s="85" t="s">
        <v>13467</v>
      </c>
      <c r="B3760" s="85" t="s">
        <v>13468</v>
      </c>
      <c r="C3760" s="85" t="s">
        <v>13469</v>
      </c>
      <c r="D3760" s="85" t="s">
        <v>5552</v>
      </c>
      <c r="E3760" s="85" t="s">
        <v>13470</v>
      </c>
      <c r="F3760" s="86">
        <v>285</v>
      </c>
      <c r="G3760" s="86">
        <v>1</v>
      </c>
      <c r="H3760" s="86">
        <v>285</v>
      </c>
      <c r="I3760" s="86">
        <v>9202</v>
      </c>
      <c r="J3760" s="85" t="s">
        <v>2935</v>
      </c>
      <c r="K3760" s="85" t="s">
        <v>13465</v>
      </c>
      <c r="L3760" s="85" t="s">
        <v>12417</v>
      </c>
      <c r="M3760" s="85" t="s">
        <v>13471</v>
      </c>
    </row>
    <row r="3761" ht="327.75" spans="1:13">
      <c r="A3761" s="85" t="s">
        <v>13472</v>
      </c>
      <c r="B3761" s="85" t="s">
        <v>4346</v>
      </c>
      <c r="C3761" s="85" t="s">
        <v>4347</v>
      </c>
      <c r="D3761" s="85" t="s">
        <v>4340</v>
      </c>
      <c r="E3761" s="85" t="s">
        <v>4341</v>
      </c>
      <c r="F3761" s="86">
        <v>5</v>
      </c>
      <c r="G3761" s="86">
        <v>200</v>
      </c>
      <c r="H3761" s="86">
        <v>1000</v>
      </c>
      <c r="I3761" s="86">
        <v>15407.5</v>
      </c>
      <c r="J3761" s="85" t="s">
        <v>4391</v>
      </c>
      <c r="K3761" s="85" t="s">
        <v>13465</v>
      </c>
      <c r="L3761" s="85" t="s">
        <v>12417</v>
      </c>
      <c r="M3761" s="85" t="s">
        <v>13473</v>
      </c>
    </row>
    <row r="3762" ht="327.75" spans="1:13">
      <c r="A3762" s="85" t="s">
        <v>13467</v>
      </c>
      <c r="B3762" s="85" t="s">
        <v>9797</v>
      </c>
      <c r="C3762" s="85" t="s">
        <v>9798</v>
      </c>
      <c r="D3762" s="85" t="s">
        <v>3753</v>
      </c>
      <c r="E3762" s="85" t="s">
        <v>8549</v>
      </c>
      <c r="F3762" s="86">
        <v>13</v>
      </c>
      <c r="G3762" s="86">
        <v>20</v>
      </c>
      <c r="H3762" s="86">
        <v>260</v>
      </c>
      <c r="I3762" s="86">
        <v>9202</v>
      </c>
      <c r="J3762" s="85" t="s">
        <v>2935</v>
      </c>
      <c r="K3762" s="85" t="s">
        <v>13465</v>
      </c>
      <c r="L3762" s="85" t="s">
        <v>12417</v>
      </c>
      <c r="M3762" s="85" t="s">
        <v>13474</v>
      </c>
    </row>
    <row r="3763" ht="327.75" spans="1:13">
      <c r="A3763" s="85" t="s">
        <v>13464</v>
      </c>
      <c r="B3763" s="85" t="s">
        <v>12546</v>
      </c>
      <c r="C3763" s="85" t="s">
        <v>12547</v>
      </c>
      <c r="D3763" s="85" t="s">
        <v>5909</v>
      </c>
      <c r="E3763" s="85" t="s">
        <v>5910</v>
      </c>
      <c r="F3763" s="86">
        <v>88</v>
      </c>
      <c r="G3763" s="86">
        <v>30</v>
      </c>
      <c r="H3763" s="86">
        <v>2640</v>
      </c>
      <c r="I3763" s="86">
        <v>4665</v>
      </c>
      <c r="J3763" s="85" t="s">
        <v>2935</v>
      </c>
      <c r="K3763" s="85" t="s">
        <v>13465</v>
      </c>
      <c r="L3763" s="85" t="s">
        <v>12417</v>
      </c>
      <c r="M3763" s="85" t="s">
        <v>13475</v>
      </c>
    </row>
    <row r="3764" ht="327.75" spans="1:13">
      <c r="A3764" s="85" t="s">
        <v>13476</v>
      </c>
      <c r="B3764" s="85" t="s">
        <v>13477</v>
      </c>
      <c r="C3764" s="85" t="s">
        <v>13478</v>
      </c>
      <c r="D3764" s="85" t="s">
        <v>4848</v>
      </c>
      <c r="E3764" s="85" t="s">
        <v>4849</v>
      </c>
      <c r="F3764" s="86">
        <v>3.39</v>
      </c>
      <c r="G3764" s="86">
        <v>100</v>
      </c>
      <c r="H3764" s="86">
        <v>339</v>
      </c>
      <c r="I3764" s="86">
        <v>4604.75</v>
      </c>
      <c r="J3764" s="85" t="s">
        <v>13332</v>
      </c>
      <c r="K3764" s="85" t="s">
        <v>13465</v>
      </c>
      <c r="L3764" s="85" t="s">
        <v>12417</v>
      </c>
      <c r="M3764" s="85" t="s">
        <v>13479</v>
      </c>
    </row>
    <row r="3765" ht="327.75" spans="1:13">
      <c r="A3765" s="85" t="s">
        <v>13476</v>
      </c>
      <c r="B3765" s="85" t="s">
        <v>13480</v>
      </c>
      <c r="C3765" s="85" t="s">
        <v>13481</v>
      </c>
      <c r="D3765" s="85" t="s">
        <v>4848</v>
      </c>
      <c r="E3765" s="85" t="s">
        <v>4849</v>
      </c>
      <c r="F3765" s="86">
        <v>3.39</v>
      </c>
      <c r="G3765" s="86">
        <v>200</v>
      </c>
      <c r="H3765" s="86">
        <v>678</v>
      </c>
      <c r="I3765" s="86">
        <v>4604.75</v>
      </c>
      <c r="J3765" s="85" t="s">
        <v>13332</v>
      </c>
      <c r="K3765" s="85" t="s">
        <v>13465</v>
      </c>
      <c r="L3765" s="85" t="s">
        <v>12417</v>
      </c>
      <c r="M3765" s="85" t="s">
        <v>13482</v>
      </c>
    </row>
    <row r="3766" ht="327.75" spans="1:13">
      <c r="A3766" s="85" t="s">
        <v>13476</v>
      </c>
      <c r="B3766" s="85" t="s">
        <v>13483</v>
      </c>
      <c r="C3766" s="85" t="s">
        <v>13484</v>
      </c>
      <c r="D3766" s="85" t="s">
        <v>3041</v>
      </c>
      <c r="E3766" s="85" t="s">
        <v>3158</v>
      </c>
      <c r="F3766" s="86">
        <v>11.3</v>
      </c>
      <c r="G3766" s="86">
        <v>50</v>
      </c>
      <c r="H3766" s="86">
        <v>565</v>
      </c>
      <c r="I3766" s="86">
        <v>4604.75</v>
      </c>
      <c r="J3766" s="85" t="s">
        <v>13332</v>
      </c>
      <c r="K3766" s="85" t="s">
        <v>13465</v>
      </c>
      <c r="L3766" s="85" t="s">
        <v>12417</v>
      </c>
      <c r="M3766" s="85" t="s">
        <v>13485</v>
      </c>
    </row>
    <row r="3767" ht="327.75" spans="1:13">
      <c r="A3767" s="85" t="s">
        <v>13467</v>
      </c>
      <c r="B3767" s="85" t="s">
        <v>12556</v>
      </c>
      <c r="C3767" s="85" t="s">
        <v>12557</v>
      </c>
      <c r="D3767" s="85" t="s">
        <v>3153</v>
      </c>
      <c r="E3767" s="85" t="s">
        <v>10503</v>
      </c>
      <c r="F3767" s="86">
        <v>350</v>
      </c>
      <c r="G3767" s="86">
        <v>2</v>
      </c>
      <c r="H3767" s="86">
        <v>700</v>
      </c>
      <c r="I3767" s="86">
        <v>9202</v>
      </c>
      <c r="J3767" s="85" t="s">
        <v>2935</v>
      </c>
      <c r="K3767" s="85" t="s">
        <v>13465</v>
      </c>
      <c r="L3767" s="85" t="s">
        <v>12417</v>
      </c>
      <c r="M3767" s="85" t="s">
        <v>13486</v>
      </c>
    </row>
    <row r="3768" ht="327.75" spans="1:13">
      <c r="A3768" s="85" t="s">
        <v>13472</v>
      </c>
      <c r="B3768" s="85" t="s">
        <v>12211</v>
      </c>
      <c r="C3768" s="85" t="s">
        <v>12212</v>
      </c>
      <c r="D3768" s="85" t="s">
        <v>4225</v>
      </c>
      <c r="E3768" s="85" t="s">
        <v>4226</v>
      </c>
      <c r="F3768" s="86">
        <v>43.5</v>
      </c>
      <c r="G3768" s="86">
        <v>5</v>
      </c>
      <c r="H3768" s="86">
        <v>217.5</v>
      </c>
      <c r="I3768" s="86">
        <v>15407.5</v>
      </c>
      <c r="J3768" s="85" t="s">
        <v>4391</v>
      </c>
      <c r="K3768" s="85" t="s">
        <v>13465</v>
      </c>
      <c r="L3768" s="85" t="s">
        <v>12417</v>
      </c>
      <c r="M3768" s="85" t="s">
        <v>13487</v>
      </c>
    </row>
    <row r="3769" ht="327.75" spans="1:13">
      <c r="A3769" s="85" t="s">
        <v>13467</v>
      </c>
      <c r="B3769" s="85" t="s">
        <v>13488</v>
      </c>
      <c r="C3769" s="85" t="s">
        <v>13489</v>
      </c>
      <c r="D3769" s="85" t="s">
        <v>4220</v>
      </c>
      <c r="E3769" s="85" t="s">
        <v>9346</v>
      </c>
      <c r="F3769" s="86">
        <v>40</v>
      </c>
      <c r="G3769" s="86">
        <v>3</v>
      </c>
      <c r="H3769" s="86">
        <v>120</v>
      </c>
      <c r="I3769" s="86">
        <v>9202</v>
      </c>
      <c r="J3769" s="85" t="s">
        <v>2935</v>
      </c>
      <c r="K3769" s="85" t="s">
        <v>13465</v>
      </c>
      <c r="L3769" s="85" t="s">
        <v>12417</v>
      </c>
      <c r="M3769" s="85" t="s">
        <v>13490</v>
      </c>
    </row>
    <row r="3770" ht="327.75" spans="1:13">
      <c r="A3770" s="85" t="s">
        <v>13472</v>
      </c>
      <c r="B3770" s="85" t="s">
        <v>12171</v>
      </c>
      <c r="C3770" s="85" t="s">
        <v>12172</v>
      </c>
      <c r="D3770" s="85" t="s">
        <v>4225</v>
      </c>
      <c r="E3770" s="85" t="s">
        <v>4226</v>
      </c>
      <c r="F3770" s="86">
        <v>55</v>
      </c>
      <c r="G3770" s="86">
        <v>10</v>
      </c>
      <c r="H3770" s="86">
        <v>550</v>
      </c>
      <c r="I3770" s="86">
        <v>15407.5</v>
      </c>
      <c r="J3770" s="85" t="s">
        <v>4391</v>
      </c>
      <c r="K3770" s="85" t="s">
        <v>13465</v>
      </c>
      <c r="L3770" s="85" t="s">
        <v>12417</v>
      </c>
      <c r="M3770" s="85" t="s">
        <v>13491</v>
      </c>
    </row>
    <row r="3771" ht="327.75" spans="1:13">
      <c r="A3771" s="85" t="s">
        <v>13467</v>
      </c>
      <c r="B3771" s="85" t="s">
        <v>13492</v>
      </c>
      <c r="C3771" s="85" t="s">
        <v>13493</v>
      </c>
      <c r="D3771" s="85" t="s">
        <v>11999</v>
      </c>
      <c r="E3771" s="85" t="s">
        <v>12000</v>
      </c>
      <c r="F3771" s="86">
        <v>150</v>
      </c>
      <c r="G3771" s="86">
        <v>1</v>
      </c>
      <c r="H3771" s="86">
        <v>150</v>
      </c>
      <c r="I3771" s="86">
        <v>9202</v>
      </c>
      <c r="J3771" s="85" t="s">
        <v>2935</v>
      </c>
      <c r="K3771" s="85" t="s">
        <v>13465</v>
      </c>
      <c r="L3771" s="85" t="s">
        <v>12417</v>
      </c>
      <c r="M3771" s="85" t="s">
        <v>13494</v>
      </c>
    </row>
    <row r="3772" ht="327.75" spans="1:13">
      <c r="A3772" s="85" t="s">
        <v>13467</v>
      </c>
      <c r="B3772" s="85" t="s">
        <v>13452</v>
      </c>
      <c r="C3772" s="85" t="s">
        <v>13453</v>
      </c>
      <c r="D3772" s="85" t="s">
        <v>13454</v>
      </c>
      <c r="E3772" s="85" t="s">
        <v>2045</v>
      </c>
      <c r="F3772" s="86">
        <v>338</v>
      </c>
      <c r="G3772" s="86">
        <v>6</v>
      </c>
      <c r="H3772" s="86">
        <v>2028</v>
      </c>
      <c r="I3772" s="86">
        <v>9202</v>
      </c>
      <c r="J3772" s="85" t="s">
        <v>2935</v>
      </c>
      <c r="K3772" s="85" t="s">
        <v>13465</v>
      </c>
      <c r="L3772" s="85" t="s">
        <v>12417</v>
      </c>
      <c r="M3772" s="85" t="s">
        <v>13495</v>
      </c>
    </row>
    <row r="3773" ht="327.75" spans="1:13">
      <c r="A3773" s="85" t="s">
        <v>13467</v>
      </c>
      <c r="B3773" s="85" t="s">
        <v>12559</v>
      </c>
      <c r="C3773" s="85" t="s">
        <v>12560</v>
      </c>
      <c r="D3773" s="85" t="s">
        <v>12561</v>
      </c>
      <c r="E3773" s="85" t="s">
        <v>12562</v>
      </c>
      <c r="F3773" s="86">
        <v>5</v>
      </c>
      <c r="G3773" s="86">
        <v>10</v>
      </c>
      <c r="H3773" s="86">
        <v>50</v>
      </c>
      <c r="I3773" s="86">
        <v>9202</v>
      </c>
      <c r="J3773" s="85" t="s">
        <v>2935</v>
      </c>
      <c r="K3773" s="85" t="s">
        <v>13465</v>
      </c>
      <c r="L3773" s="85" t="s">
        <v>12417</v>
      </c>
      <c r="M3773" s="85" t="s">
        <v>13496</v>
      </c>
    </row>
    <row r="3774" ht="327.75" spans="1:13">
      <c r="A3774" s="85" t="s">
        <v>13467</v>
      </c>
      <c r="B3774" s="85" t="s">
        <v>13497</v>
      </c>
      <c r="C3774" s="85" t="s">
        <v>13498</v>
      </c>
      <c r="D3774" s="85" t="s">
        <v>3068</v>
      </c>
      <c r="E3774" s="85" t="s">
        <v>6555</v>
      </c>
      <c r="F3774" s="86">
        <v>18</v>
      </c>
      <c r="G3774" s="86">
        <v>100</v>
      </c>
      <c r="H3774" s="86">
        <v>1800</v>
      </c>
      <c r="I3774" s="86">
        <v>9202</v>
      </c>
      <c r="J3774" s="85" t="s">
        <v>2935</v>
      </c>
      <c r="K3774" s="85" t="s">
        <v>13465</v>
      </c>
      <c r="L3774" s="85" t="s">
        <v>12417</v>
      </c>
      <c r="M3774" s="85" t="s">
        <v>13499</v>
      </c>
    </row>
    <row r="3775" ht="327.75" spans="1:13">
      <c r="A3775" s="85" t="s">
        <v>13467</v>
      </c>
      <c r="B3775" s="85" t="s">
        <v>8554</v>
      </c>
      <c r="C3775" s="85" t="s">
        <v>8555</v>
      </c>
      <c r="D3775" s="85" t="s">
        <v>3189</v>
      </c>
      <c r="E3775" s="85" t="s">
        <v>3190</v>
      </c>
      <c r="F3775" s="86">
        <v>75</v>
      </c>
      <c r="G3775" s="86">
        <v>5</v>
      </c>
      <c r="H3775" s="86">
        <v>375</v>
      </c>
      <c r="I3775" s="86">
        <v>9202</v>
      </c>
      <c r="J3775" s="85" t="s">
        <v>2935</v>
      </c>
      <c r="K3775" s="85" t="s">
        <v>13465</v>
      </c>
      <c r="L3775" s="85" t="s">
        <v>12417</v>
      </c>
      <c r="M3775" s="85" t="s">
        <v>13500</v>
      </c>
    </row>
    <row r="3776" ht="327.75" spans="1:13">
      <c r="A3776" s="85" t="s">
        <v>13472</v>
      </c>
      <c r="B3776" s="85" t="s">
        <v>9433</v>
      </c>
      <c r="C3776" s="85" t="s">
        <v>9434</v>
      </c>
      <c r="D3776" s="85" t="s">
        <v>7100</v>
      </c>
      <c r="E3776" s="85" t="s">
        <v>9435</v>
      </c>
      <c r="F3776" s="86">
        <v>220</v>
      </c>
      <c r="G3776" s="86">
        <v>2</v>
      </c>
      <c r="H3776" s="86">
        <v>440</v>
      </c>
      <c r="I3776" s="86">
        <v>15407.5</v>
      </c>
      <c r="J3776" s="85" t="s">
        <v>4391</v>
      </c>
      <c r="K3776" s="85" t="s">
        <v>13465</v>
      </c>
      <c r="L3776" s="85" t="s">
        <v>12417</v>
      </c>
      <c r="M3776" s="85" t="s">
        <v>13501</v>
      </c>
    </row>
    <row r="3777" ht="327.75" spans="1:13">
      <c r="A3777" s="85" t="s">
        <v>13467</v>
      </c>
      <c r="B3777" s="85" t="s">
        <v>13502</v>
      </c>
      <c r="C3777" s="85" t="s">
        <v>13503</v>
      </c>
      <c r="D3777" s="85" t="s">
        <v>5302</v>
      </c>
      <c r="E3777" s="85" t="s">
        <v>7563</v>
      </c>
      <c r="F3777" s="86">
        <v>110</v>
      </c>
      <c r="G3777" s="86">
        <v>10</v>
      </c>
      <c r="H3777" s="86">
        <v>1100</v>
      </c>
      <c r="I3777" s="86">
        <v>9202</v>
      </c>
      <c r="J3777" s="85" t="s">
        <v>2935</v>
      </c>
      <c r="K3777" s="85" t="s">
        <v>13465</v>
      </c>
      <c r="L3777" s="85" t="s">
        <v>12417</v>
      </c>
      <c r="M3777" s="85" t="s">
        <v>13504</v>
      </c>
    </row>
    <row r="3778" ht="327.75" spans="1:13">
      <c r="A3778" s="85" t="s">
        <v>13467</v>
      </c>
      <c r="B3778" s="85" t="s">
        <v>13505</v>
      </c>
      <c r="C3778" s="85" t="s">
        <v>13506</v>
      </c>
      <c r="D3778" s="85" t="s">
        <v>3406</v>
      </c>
      <c r="E3778" s="85" t="s">
        <v>13507</v>
      </c>
      <c r="F3778" s="86">
        <v>428</v>
      </c>
      <c r="G3778" s="86">
        <v>1</v>
      </c>
      <c r="H3778" s="86">
        <v>428</v>
      </c>
      <c r="I3778" s="86">
        <v>9202</v>
      </c>
      <c r="J3778" s="85" t="s">
        <v>2935</v>
      </c>
      <c r="K3778" s="85" t="s">
        <v>13465</v>
      </c>
      <c r="L3778" s="85" t="s">
        <v>12417</v>
      </c>
      <c r="M3778" s="85" t="s">
        <v>13508</v>
      </c>
    </row>
    <row r="3779" ht="327.75" spans="1:13">
      <c r="A3779" s="85" t="s">
        <v>13476</v>
      </c>
      <c r="B3779" s="85" t="s">
        <v>13509</v>
      </c>
      <c r="C3779" s="85" t="s">
        <v>13510</v>
      </c>
      <c r="D3779" s="85" t="s">
        <v>4848</v>
      </c>
      <c r="E3779" s="85" t="s">
        <v>4849</v>
      </c>
      <c r="F3779" s="86">
        <v>28.25</v>
      </c>
      <c r="G3779" s="86">
        <v>3</v>
      </c>
      <c r="H3779" s="86">
        <v>84.75</v>
      </c>
      <c r="I3779" s="86">
        <v>4604.75</v>
      </c>
      <c r="J3779" s="85" t="s">
        <v>13332</v>
      </c>
      <c r="K3779" s="85" t="s">
        <v>13465</v>
      </c>
      <c r="L3779" s="85" t="s">
        <v>12417</v>
      </c>
      <c r="M3779" s="85" t="s">
        <v>13511</v>
      </c>
    </row>
    <row r="3780" ht="327.75" spans="1:13">
      <c r="A3780" s="85" t="s">
        <v>13512</v>
      </c>
      <c r="B3780" s="85" t="s">
        <v>12475</v>
      </c>
      <c r="C3780" s="85" t="s">
        <v>12476</v>
      </c>
      <c r="D3780" s="85" t="s">
        <v>6901</v>
      </c>
      <c r="E3780" s="85" t="s">
        <v>5752</v>
      </c>
      <c r="F3780" s="86">
        <v>32.5</v>
      </c>
      <c r="G3780" s="86">
        <v>300</v>
      </c>
      <c r="H3780" s="86">
        <v>9750</v>
      </c>
      <c r="I3780" s="86">
        <v>9750</v>
      </c>
      <c r="J3780" s="85" t="s">
        <v>4391</v>
      </c>
      <c r="K3780" s="85" t="s">
        <v>13465</v>
      </c>
      <c r="L3780" s="85" t="s">
        <v>12417</v>
      </c>
      <c r="M3780" s="85" t="s">
        <v>13513</v>
      </c>
    </row>
    <row r="3781" ht="327.75" spans="1:13">
      <c r="A3781" s="85" t="s">
        <v>13464</v>
      </c>
      <c r="B3781" s="85" t="s">
        <v>13514</v>
      </c>
      <c r="C3781" s="85" t="s">
        <v>13515</v>
      </c>
      <c r="D3781" s="85" t="s">
        <v>11153</v>
      </c>
      <c r="E3781" s="85" t="s">
        <v>11154</v>
      </c>
      <c r="F3781" s="86">
        <v>17.5</v>
      </c>
      <c r="G3781" s="86">
        <v>30</v>
      </c>
      <c r="H3781" s="86">
        <v>525</v>
      </c>
      <c r="I3781" s="86">
        <v>4665</v>
      </c>
      <c r="J3781" s="85" t="s">
        <v>2935</v>
      </c>
      <c r="K3781" s="85" t="s">
        <v>13465</v>
      </c>
      <c r="L3781" s="85" t="s">
        <v>12417</v>
      </c>
      <c r="M3781" s="85" t="s">
        <v>13516</v>
      </c>
    </row>
    <row r="3782" ht="327.75" spans="1:13">
      <c r="A3782" s="85" t="s">
        <v>13467</v>
      </c>
      <c r="B3782" s="85" t="s">
        <v>13517</v>
      </c>
      <c r="C3782" s="85" t="s">
        <v>13518</v>
      </c>
      <c r="D3782" s="85" t="s">
        <v>3907</v>
      </c>
      <c r="E3782" s="85" t="s">
        <v>13519</v>
      </c>
      <c r="F3782" s="86">
        <v>98</v>
      </c>
      <c r="G3782" s="86">
        <v>2</v>
      </c>
      <c r="H3782" s="86">
        <v>196</v>
      </c>
      <c r="I3782" s="86">
        <v>9202</v>
      </c>
      <c r="J3782" s="85" t="s">
        <v>2935</v>
      </c>
      <c r="K3782" s="85" t="s">
        <v>13465</v>
      </c>
      <c r="L3782" s="85" t="s">
        <v>12417</v>
      </c>
      <c r="M3782" s="85" t="s">
        <v>13520</v>
      </c>
    </row>
    <row r="3783" ht="327.75" spans="1:13">
      <c r="A3783" s="85" t="s">
        <v>13464</v>
      </c>
      <c r="B3783" s="85" t="s">
        <v>12150</v>
      </c>
      <c r="C3783" s="85" t="s">
        <v>12151</v>
      </c>
      <c r="D3783" s="85" t="s">
        <v>11161</v>
      </c>
      <c r="E3783" s="85" t="s">
        <v>11162</v>
      </c>
      <c r="F3783" s="86">
        <v>3</v>
      </c>
      <c r="G3783" s="86">
        <v>200</v>
      </c>
      <c r="H3783" s="86">
        <v>600</v>
      </c>
      <c r="I3783" s="86">
        <v>4665</v>
      </c>
      <c r="J3783" s="85" t="s">
        <v>2935</v>
      </c>
      <c r="K3783" s="85" t="s">
        <v>13465</v>
      </c>
      <c r="L3783" s="85" t="s">
        <v>12417</v>
      </c>
      <c r="M3783" s="85" t="s">
        <v>13521</v>
      </c>
    </row>
    <row r="3784" ht="327.75" spans="1:13">
      <c r="A3784" s="85" t="s">
        <v>13476</v>
      </c>
      <c r="B3784" s="85" t="s">
        <v>13522</v>
      </c>
      <c r="C3784" s="85" t="s">
        <v>13523</v>
      </c>
      <c r="D3784" s="85" t="s">
        <v>3041</v>
      </c>
      <c r="E3784" s="85" t="s">
        <v>3158</v>
      </c>
      <c r="F3784" s="86">
        <v>14.69</v>
      </c>
      <c r="G3784" s="86">
        <v>200</v>
      </c>
      <c r="H3784" s="86">
        <v>2938</v>
      </c>
      <c r="I3784" s="86">
        <v>4604.75</v>
      </c>
      <c r="J3784" s="85" t="s">
        <v>13332</v>
      </c>
      <c r="K3784" s="85" t="s">
        <v>13465</v>
      </c>
      <c r="L3784" s="85" t="s">
        <v>12417</v>
      </c>
      <c r="M3784" s="85" t="s">
        <v>13524</v>
      </c>
    </row>
    <row r="3785" ht="327.75" spans="1:13">
      <c r="A3785" s="85" t="s">
        <v>13472</v>
      </c>
      <c r="B3785" s="85" t="s">
        <v>13525</v>
      </c>
      <c r="C3785" s="85" t="s">
        <v>13526</v>
      </c>
      <c r="D3785" s="85" t="s">
        <v>9140</v>
      </c>
      <c r="E3785" s="85" t="s">
        <v>3209</v>
      </c>
      <c r="F3785" s="86">
        <v>5</v>
      </c>
      <c r="G3785" s="86">
        <v>1500</v>
      </c>
      <c r="H3785" s="86">
        <v>7500</v>
      </c>
      <c r="I3785" s="86">
        <v>15407.5</v>
      </c>
      <c r="J3785" s="85" t="s">
        <v>4391</v>
      </c>
      <c r="K3785" s="85" t="s">
        <v>13465</v>
      </c>
      <c r="L3785" s="85" t="s">
        <v>12417</v>
      </c>
      <c r="M3785" s="85" t="s">
        <v>13527</v>
      </c>
    </row>
    <row r="3786" ht="327.75" spans="1:13">
      <c r="A3786" s="85" t="s">
        <v>13472</v>
      </c>
      <c r="B3786" s="85" t="s">
        <v>11019</v>
      </c>
      <c r="C3786" s="85" t="s">
        <v>11020</v>
      </c>
      <c r="D3786" s="85" t="s">
        <v>3438</v>
      </c>
      <c r="E3786" s="85" t="s">
        <v>11021</v>
      </c>
      <c r="F3786" s="86">
        <v>0.57</v>
      </c>
      <c r="G3786" s="86">
        <v>10000</v>
      </c>
      <c r="H3786" s="86">
        <v>5700</v>
      </c>
      <c r="I3786" s="86">
        <v>15407.5</v>
      </c>
      <c r="J3786" s="85" t="s">
        <v>4391</v>
      </c>
      <c r="K3786" s="85" t="s">
        <v>13465</v>
      </c>
      <c r="L3786" s="85" t="s">
        <v>12417</v>
      </c>
      <c r="M3786" s="85" t="s">
        <v>13528</v>
      </c>
    </row>
    <row r="3787" ht="327.75" spans="1:13">
      <c r="A3787" s="85" t="s">
        <v>13467</v>
      </c>
      <c r="B3787" s="85" t="s">
        <v>8925</v>
      </c>
      <c r="C3787" s="85" t="s">
        <v>8926</v>
      </c>
      <c r="D3787" s="85" t="s">
        <v>5846</v>
      </c>
      <c r="E3787" s="85" t="s">
        <v>8351</v>
      </c>
      <c r="F3787" s="86">
        <v>57</v>
      </c>
      <c r="G3787" s="86">
        <v>30</v>
      </c>
      <c r="H3787" s="86">
        <v>1710</v>
      </c>
      <c r="I3787" s="86">
        <v>9202</v>
      </c>
      <c r="J3787" s="85" t="s">
        <v>2935</v>
      </c>
      <c r="K3787" s="85" t="s">
        <v>13465</v>
      </c>
      <c r="L3787" s="85" t="s">
        <v>12417</v>
      </c>
      <c r="M3787" s="85" t="s">
        <v>13529</v>
      </c>
    </row>
    <row r="3788" ht="327.75" spans="1:13">
      <c r="A3788" s="85" t="s">
        <v>13530</v>
      </c>
      <c r="B3788" s="85" t="s">
        <v>13531</v>
      </c>
      <c r="C3788" s="85" t="s">
        <v>13532</v>
      </c>
      <c r="D3788" s="85" t="s">
        <v>13533</v>
      </c>
      <c r="E3788" s="85" t="s">
        <v>13534</v>
      </c>
      <c r="F3788" s="86">
        <v>5.5</v>
      </c>
      <c r="G3788" s="86">
        <v>10</v>
      </c>
      <c r="H3788" s="86">
        <v>55</v>
      </c>
      <c r="I3788" s="86">
        <v>67678.5</v>
      </c>
      <c r="J3788" s="85" t="s">
        <v>4391</v>
      </c>
      <c r="K3788" s="85" t="s">
        <v>13535</v>
      </c>
      <c r="L3788" s="85" t="s">
        <v>12417</v>
      </c>
      <c r="M3788" s="85" t="s">
        <v>13536</v>
      </c>
    </row>
    <row r="3789" ht="327.75" spans="1:13">
      <c r="A3789" s="85" t="s">
        <v>13537</v>
      </c>
      <c r="B3789" s="85" t="s">
        <v>10376</v>
      </c>
      <c r="C3789" s="85" t="s">
        <v>10377</v>
      </c>
      <c r="D3789" s="85" t="s">
        <v>9355</v>
      </c>
      <c r="E3789" s="85" t="s">
        <v>1951</v>
      </c>
      <c r="F3789" s="86">
        <v>49</v>
      </c>
      <c r="G3789" s="86">
        <v>604</v>
      </c>
      <c r="H3789" s="86">
        <v>29596</v>
      </c>
      <c r="I3789" s="86">
        <v>30806</v>
      </c>
      <c r="J3789" s="85" t="s">
        <v>2935</v>
      </c>
      <c r="K3789" s="85" t="s">
        <v>13535</v>
      </c>
      <c r="L3789" s="85" t="s">
        <v>12417</v>
      </c>
      <c r="M3789" s="85" t="s">
        <v>13538</v>
      </c>
    </row>
    <row r="3790" ht="327.75" spans="1:13">
      <c r="A3790" s="85" t="s">
        <v>13530</v>
      </c>
      <c r="B3790" s="85" t="s">
        <v>13539</v>
      </c>
      <c r="C3790" s="85" t="s">
        <v>13540</v>
      </c>
      <c r="D3790" s="85" t="s">
        <v>9673</v>
      </c>
      <c r="E3790" s="85" t="s">
        <v>9674</v>
      </c>
      <c r="F3790" s="86">
        <v>825</v>
      </c>
      <c r="G3790" s="86">
        <v>15</v>
      </c>
      <c r="H3790" s="86">
        <v>12375</v>
      </c>
      <c r="I3790" s="86">
        <v>67678.5</v>
      </c>
      <c r="J3790" s="85" t="s">
        <v>4391</v>
      </c>
      <c r="K3790" s="85" t="s">
        <v>13535</v>
      </c>
      <c r="L3790" s="85" t="s">
        <v>12417</v>
      </c>
      <c r="M3790" s="85" t="s">
        <v>13541</v>
      </c>
    </row>
    <row r="3791" ht="327.75" spans="1:13">
      <c r="A3791" s="85" t="s">
        <v>13530</v>
      </c>
      <c r="B3791" s="85" t="s">
        <v>11839</v>
      </c>
      <c r="C3791" s="85" t="s">
        <v>11840</v>
      </c>
      <c r="D3791" s="85" t="s">
        <v>4802</v>
      </c>
      <c r="E3791" s="85" t="s">
        <v>4997</v>
      </c>
      <c r="F3791" s="86">
        <v>18.8</v>
      </c>
      <c r="G3791" s="86">
        <v>20</v>
      </c>
      <c r="H3791" s="86">
        <v>376</v>
      </c>
      <c r="I3791" s="86">
        <v>67678.5</v>
      </c>
      <c r="J3791" s="85" t="s">
        <v>4391</v>
      </c>
      <c r="K3791" s="85" t="s">
        <v>13535</v>
      </c>
      <c r="L3791" s="85" t="s">
        <v>12417</v>
      </c>
      <c r="M3791" s="85" t="s">
        <v>13542</v>
      </c>
    </row>
    <row r="3792" ht="327.75" spans="1:13">
      <c r="A3792" s="85" t="s">
        <v>13530</v>
      </c>
      <c r="B3792" s="85" t="s">
        <v>10883</v>
      </c>
      <c r="C3792" s="85" t="s">
        <v>10884</v>
      </c>
      <c r="D3792" s="85" t="s">
        <v>3148</v>
      </c>
      <c r="E3792" s="85" t="s">
        <v>4242</v>
      </c>
      <c r="F3792" s="86">
        <v>12</v>
      </c>
      <c r="G3792" s="86">
        <v>50</v>
      </c>
      <c r="H3792" s="86">
        <v>600</v>
      </c>
      <c r="I3792" s="86">
        <v>67678.5</v>
      </c>
      <c r="J3792" s="85" t="s">
        <v>4391</v>
      </c>
      <c r="K3792" s="85" t="s">
        <v>13535</v>
      </c>
      <c r="L3792" s="85" t="s">
        <v>12417</v>
      </c>
      <c r="M3792" s="85" t="s">
        <v>13543</v>
      </c>
    </row>
    <row r="3793" ht="327.75" spans="1:13">
      <c r="A3793" s="85" t="s">
        <v>13530</v>
      </c>
      <c r="B3793" s="85" t="s">
        <v>10453</v>
      </c>
      <c r="C3793" s="85" t="s">
        <v>10454</v>
      </c>
      <c r="D3793" s="85" t="s">
        <v>9648</v>
      </c>
      <c r="E3793" s="85" t="s">
        <v>10455</v>
      </c>
      <c r="F3793" s="86">
        <v>1958</v>
      </c>
      <c r="G3793" s="86">
        <v>20</v>
      </c>
      <c r="H3793" s="86">
        <v>39160</v>
      </c>
      <c r="I3793" s="86">
        <v>67678.5</v>
      </c>
      <c r="J3793" s="85" t="s">
        <v>4391</v>
      </c>
      <c r="K3793" s="85" t="s">
        <v>13535</v>
      </c>
      <c r="L3793" s="85" t="s">
        <v>12417</v>
      </c>
      <c r="M3793" s="85" t="s">
        <v>13544</v>
      </c>
    </row>
    <row r="3794" ht="327.75" spans="1:13">
      <c r="A3794" s="85" t="s">
        <v>13530</v>
      </c>
      <c r="B3794" s="85" t="s">
        <v>9210</v>
      </c>
      <c r="C3794" s="85" t="s">
        <v>9211</v>
      </c>
      <c r="D3794" s="85" t="s">
        <v>3189</v>
      </c>
      <c r="E3794" s="85" t="s">
        <v>9212</v>
      </c>
      <c r="F3794" s="86">
        <v>185</v>
      </c>
      <c r="G3794" s="86">
        <v>10</v>
      </c>
      <c r="H3794" s="86">
        <v>1850</v>
      </c>
      <c r="I3794" s="86">
        <v>67678.5</v>
      </c>
      <c r="J3794" s="85" t="s">
        <v>4391</v>
      </c>
      <c r="K3794" s="85" t="s">
        <v>13535</v>
      </c>
      <c r="L3794" s="85" t="s">
        <v>12417</v>
      </c>
      <c r="M3794" s="85" t="s">
        <v>13545</v>
      </c>
    </row>
    <row r="3795" ht="327.75" spans="1:13">
      <c r="A3795" s="85" t="s">
        <v>13530</v>
      </c>
      <c r="B3795" s="85" t="s">
        <v>11469</v>
      </c>
      <c r="C3795" s="85" t="s">
        <v>11470</v>
      </c>
      <c r="D3795" s="85" t="s">
        <v>4340</v>
      </c>
      <c r="E3795" s="85" t="s">
        <v>9666</v>
      </c>
      <c r="F3795" s="86">
        <v>49</v>
      </c>
      <c r="G3795" s="86">
        <v>80</v>
      </c>
      <c r="H3795" s="86">
        <v>3920</v>
      </c>
      <c r="I3795" s="86">
        <v>67678.5</v>
      </c>
      <c r="J3795" s="85" t="s">
        <v>4391</v>
      </c>
      <c r="K3795" s="85" t="s">
        <v>13535</v>
      </c>
      <c r="L3795" s="85" t="s">
        <v>12417</v>
      </c>
      <c r="M3795" s="85" t="s">
        <v>13546</v>
      </c>
    </row>
    <row r="3796" ht="327.75" spans="1:13">
      <c r="A3796" s="85" t="s">
        <v>13530</v>
      </c>
      <c r="B3796" s="85" t="s">
        <v>13547</v>
      </c>
      <c r="C3796" s="85" t="s">
        <v>13548</v>
      </c>
      <c r="D3796" s="85" t="s">
        <v>3189</v>
      </c>
      <c r="E3796" s="85" t="s">
        <v>3190</v>
      </c>
      <c r="F3796" s="86">
        <v>20</v>
      </c>
      <c r="G3796" s="86">
        <v>10</v>
      </c>
      <c r="H3796" s="86">
        <v>200</v>
      </c>
      <c r="I3796" s="86">
        <v>67678.5</v>
      </c>
      <c r="J3796" s="85" t="s">
        <v>4391</v>
      </c>
      <c r="K3796" s="85" t="s">
        <v>13535</v>
      </c>
      <c r="L3796" s="85" t="s">
        <v>12417</v>
      </c>
      <c r="M3796" s="85" t="s">
        <v>13549</v>
      </c>
    </row>
    <row r="3797" ht="327.75" spans="1:13">
      <c r="A3797" s="85" t="s">
        <v>13530</v>
      </c>
      <c r="B3797" s="85" t="s">
        <v>12985</v>
      </c>
      <c r="C3797" s="85" t="s">
        <v>12986</v>
      </c>
      <c r="D3797" s="85" t="s">
        <v>4013</v>
      </c>
      <c r="E3797" s="85" t="s">
        <v>2068</v>
      </c>
      <c r="F3797" s="86">
        <v>185</v>
      </c>
      <c r="G3797" s="86">
        <v>1</v>
      </c>
      <c r="H3797" s="86">
        <v>185</v>
      </c>
      <c r="I3797" s="86">
        <v>67678.5</v>
      </c>
      <c r="J3797" s="85" t="s">
        <v>4391</v>
      </c>
      <c r="K3797" s="85" t="s">
        <v>13535</v>
      </c>
      <c r="L3797" s="85" t="s">
        <v>12417</v>
      </c>
      <c r="M3797" s="85" t="s">
        <v>13550</v>
      </c>
    </row>
    <row r="3798" ht="327.75" spans="1:13">
      <c r="A3798" s="85" t="s">
        <v>13537</v>
      </c>
      <c r="B3798" s="85" t="s">
        <v>13551</v>
      </c>
      <c r="C3798" s="85" t="s">
        <v>13552</v>
      </c>
      <c r="D3798" s="85" t="s">
        <v>3241</v>
      </c>
      <c r="E3798" s="85" t="s">
        <v>5956</v>
      </c>
      <c r="F3798" s="86">
        <v>38</v>
      </c>
      <c r="G3798" s="86">
        <v>10</v>
      </c>
      <c r="H3798" s="86">
        <v>380</v>
      </c>
      <c r="I3798" s="86">
        <v>30806</v>
      </c>
      <c r="J3798" s="85" t="s">
        <v>2935</v>
      </c>
      <c r="K3798" s="85" t="s">
        <v>13535</v>
      </c>
      <c r="L3798" s="85" t="s">
        <v>12417</v>
      </c>
      <c r="M3798" s="85" t="s">
        <v>13553</v>
      </c>
    </row>
    <row r="3799" ht="327.75" spans="1:13">
      <c r="A3799" s="85" t="s">
        <v>13530</v>
      </c>
      <c r="B3799" s="85" t="s">
        <v>13554</v>
      </c>
      <c r="C3799" s="85" t="s">
        <v>13555</v>
      </c>
      <c r="D3799" s="85" t="s">
        <v>3003</v>
      </c>
      <c r="E3799" s="85" t="s">
        <v>13556</v>
      </c>
      <c r="F3799" s="86">
        <v>25</v>
      </c>
      <c r="G3799" s="86">
        <v>20</v>
      </c>
      <c r="H3799" s="86">
        <v>500</v>
      </c>
      <c r="I3799" s="86">
        <v>67678.5</v>
      </c>
      <c r="J3799" s="85" t="s">
        <v>4391</v>
      </c>
      <c r="K3799" s="85" t="s">
        <v>13535</v>
      </c>
      <c r="L3799" s="85" t="s">
        <v>12417</v>
      </c>
      <c r="M3799" s="85" t="s">
        <v>13557</v>
      </c>
    </row>
    <row r="3800" ht="327.75" spans="1:13">
      <c r="A3800" s="85" t="s">
        <v>13530</v>
      </c>
      <c r="B3800" s="85" t="s">
        <v>10899</v>
      </c>
      <c r="C3800" s="85" t="s">
        <v>10900</v>
      </c>
      <c r="D3800" s="85" t="s">
        <v>3680</v>
      </c>
      <c r="E3800" s="85" t="s">
        <v>5462</v>
      </c>
      <c r="F3800" s="86">
        <v>3</v>
      </c>
      <c r="G3800" s="86">
        <v>50</v>
      </c>
      <c r="H3800" s="86">
        <v>150</v>
      </c>
      <c r="I3800" s="86">
        <v>67678.5</v>
      </c>
      <c r="J3800" s="85" t="s">
        <v>4391</v>
      </c>
      <c r="K3800" s="85" t="s">
        <v>13535</v>
      </c>
      <c r="L3800" s="85" t="s">
        <v>12417</v>
      </c>
      <c r="M3800" s="85" t="s">
        <v>13558</v>
      </c>
    </row>
    <row r="3801" ht="327.75" spans="1:13">
      <c r="A3801" s="85" t="s">
        <v>13530</v>
      </c>
      <c r="B3801" s="85" t="s">
        <v>12588</v>
      </c>
      <c r="C3801" s="85" t="s">
        <v>12589</v>
      </c>
      <c r="D3801" s="85" t="s">
        <v>4425</v>
      </c>
      <c r="E3801" s="85" t="s">
        <v>4426</v>
      </c>
      <c r="F3801" s="86">
        <v>5.9</v>
      </c>
      <c r="G3801" s="86">
        <v>100</v>
      </c>
      <c r="H3801" s="86">
        <v>590</v>
      </c>
      <c r="I3801" s="86">
        <v>67678.5</v>
      </c>
      <c r="J3801" s="85" t="s">
        <v>4391</v>
      </c>
      <c r="K3801" s="85" t="s">
        <v>13535</v>
      </c>
      <c r="L3801" s="85" t="s">
        <v>12417</v>
      </c>
      <c r="M3801" s="85" t="s">
        <v>13559</v>
      </c>
    </row>
    <row r="3802" ht="327.75" spans="1:13">
      <c r="A3802" s="85" t="s">
        <v>13530</v>
      </c>
      <c r="B3802" s="85" t="s">
        <v>8857</v>
      </c>
      <c r="C3802" s="85" t="s">
        <v>8858</v>
      </c>
      <c r="D3802" s="85" t="s">
        <v>3241</v>
      </c>
      <c r="E3802" s="85" t="s">
        <v>3242</v>
      </c>
      <c r="F3802" s="86">
        <v>12.3</v>
      </c>
      <c r="G3802" s="86">
        <v>5</v>
      </c>
      <c r="H3802" s="86">
        <v>61.5</v>
      </c>
      <c r="I3802" s="86">
        <v>67678.5</v>
      </c>
      <c r="J3802" s="85" t="s">
        <v>4391</v>
      </c>
      <c r="K3802" s="85" t="s">
        <v>13535</v>
      </c>
      <c r="L3802" s="85" t="s">
        <v>12417</v>
      </c>
      <c r="M3802" s="85" t="s">
        <v>13560</v>
      </c>
    </row>
    <row r="3803" ht="327.75" spans="1:13">
      <c r="A3803" s="85" t="s">
        <v>13530</v>
      </c>
      <c r="B3803" s="85" t="s">
        <v>12189</v>
      </c>
      <c r="C3803" s="85" t="s">
        <v>12190</v>
      </c>
      <c r="D3803" s="85" t="s">
        <v>3014</v>
      </c>
      <c r="E3803" s="85" t="s">
        <v>12191</v>
      </c>
      <c r="F3803" s="86">
        <v>74</v>
      </c>
      <c r="G3803" s="86">
        <v>5</v>
      </c>
      <c r="H3803" s="86">
        <v>370</v>
      </c>
      <c r="I3803" s="86">
        <v>67678.5</v>
      </c>
      <c r="J3803" s="85" t="s">
        <v>4391</v>
      </c>
      <c r="K3803" s="85" t="s">
        <v>13535</v>
      </c>
      <c r="L3803" s="85" t="s">
        <v>12417</v>
      </c>
      <c r="M3803" s="85" t="s">
        <v>13561</v>
      </c>
    </row>
    <row r="3804" ht="327.75" spans="1:13">
      <c r="A3804" s="85" t="s">
        <v>13537</v>
      </c>
      <c r="B3804" s="85" t="s">
        <v>13562</v>
      </c>
      <c r="C3804" s="85" t="s">
        <v>13563</v>
      </c>
      <c r="D3804" s="85" t="s">
        <v>3959</v>
      </c>
      <c r="E3804" s="85" t="s">
        <v>6829</v>
      </c>
      <c r="F3804" s="86">
        <v>18</v>
      </c>
      <c r="G3804" s="86">
        <v>40</v>
      </c>
      <c r="H3804" s="86">
        <v>720</v>
      </c>
      <c r="I3804" s="86">
        <v>30806</v>
      </c>
      <c r="J3804" s="85" t="s">
        <v>2935</v>
      </c>
      <c r="K3804" s="85" t="s">
        <v>13535</v>
      </c>
      <c r="L3804" s="85" t="s">
        <v>12417</v>
      </c>
      <c r="M3804" s="85" t="s">
        <v>13564</v>
      </c>
    </row>
    <row r="3805" ht="327.75" spans="1:13">
      <c r="A3805" s="85" t="s">
        <v>13530</v>
      </c>
      <c r="B3805" s="85" t="s">
        <v>9518</v>
      </c>
      <c r="C3805" s="85" t="s">
        <v>9519</v>
      </c>
      <c r="D3805" s="85" t="s">
        <v>9520</v>
      </c>
      <c r="E3805" s="85" t="s">
        <v>9521</v>
      </c>
      <c r="F3805" s="86">
        <v>19</v>
      </c>
      <c r="G3805" s="86">
        <v>10</v>
      </c>
      <c r="H3805" s="86">
        <v>190</v>
      </c>
      <c r="I3805" s="86">
        <v>67678.5</v>
      </c>
      <c r="J3805" s="85" t="s">
        <v>4391</v>
      </c>
      <c r="K3805" s="85" t="s">
        <v>13535</v>
      </c>
      <c r="L3805" s="85" t="s">
        <v>12417</v>
      </c>
      <c r="M3805" s="85" t="s">
        <v>13565</v>
      </c>
    </row>
    <row r="3806" ht="327.75" spans="1:13">
      <c r="A3806" s="85" t="s">
        <v>13530</v>
      </c>
      <c r="B3806" s="85" t="s">
        <v>13312</v>
      </c>
      <c r="C3806" s="85" t="s">
        <v>13313</v>
      </c>
      <c r="D3806" s="85" t="s">
        <v>5610</v>
      </c>
      <c r="E3806" s="85" t="s">
        <v>13314</v>
      </c>
      <c r="F3806" s="86">
        <v>82.5</v>
      </c>
      <c r="G3806" s="86">
        <v>40</v>
      </c>
      <c r="H3806" s="86">
        <v>3300</v>
      </c>
      <c r="I3806" s="86">
        <v>67678.5</v>
      </c>
      <c r="J3806" s="85" t="s">
        <v>4391</v>
      </c>
      <c r="K3806" s="85" t="s">
        <v>13535</v>
      </c>
      <c r="L3806" s="85" t="s">
        <v>12417</v>
      </c>
      <c r="M3806" s="85" t="s">
        <v>13566</v>
      </c>
    </row>
    <row r="3807" ht="327.75" spans="1:13">
      <c r="A3807" s="85" t="s">
        <v>13530</v>
      </c>
      <c r="B3807" s="85" t="s">
        <v>13567</v>
      </c>
      <c r="C3807" s="85" t="s">
        <v>13568</v>
      </c>
      <c r="D3807" s="85" t="s">
        <v>3148</v>
      </c>
      <c r="E3807" s="85" t="s">
        <v>4242</v>
      </c>
      <c r="F3807" s="86">
        <v>13.5</v>
      </c>
      <c r="G3807" s="86">
        <v>20</v>
      </c>
      <c r="H3807" s="86">
        <v>270</v>
      </c>
      <c r="I3807" s="86">
        <v>67678.5</v>
      </c>
      <c r="J3807" s="85" t="s">
        <v>4391</v>
      </c>
      <c r="K3807" s="85" t="s">
        <v>13535</v>
      </c>
      <c r="L3807" s="85" t="s">
        <v>12417</v>
      </c>
      <c r="M3807" s="85" t="s">
        <v>13569</v>
      </c>
    </row>
    <row r="3808" ht="327.75" spans="1:13">
      <c r="A3808" s="85" t="s">
        <v>13530</v>
      </c>
      <c r="B3808" s="85" t="s">
        <v>11460</v>
      </c>
      <c r="C3808" s="85" t="s">
        <v>11461</v>
      </c>
      <c r="D3808" s="85" t="s">
        <v>5744</v>
      </c>
      <c r="E3808" s="85" t="s">
        <v>5745</v>
      </c>
      <c r="F3808" s="86">
        <v>72.6</v>
      </c>
      <c r="G3808" s="86">
        <v>10</v>
      </c>
      <c r="H3808" s="86">
        <v>726</v>
      </c>
      <c r="I3808" s="86">
        <v>67678.5</v>
      </c>
      <c r="J3808" s="85" t="s">
        <v>4391</v>
      </c>
      <c r="K3808" s="85" t="s">
        <v>13535</v>
      </c>
      <c r="L3808" s="85" t="s">
        <v>12417</v>
      </c>
      <c r="M3808" s="85" t="s">
        <v>13570</v>
      </c>
    </row>
    <row r="3809" ht="327.75" spans="1:13">
      <c r="A3809" s="85" t="s">
        <v>13530</v>
      </c>
      <c r="B3809" s="85" t="s">
        <v>10876</v>
      </c>
      <c r="C3809" s="85" t="s">
        <v>10877</v>
      </c>
      <c r="D3809" s="85" t="s">
        <v>10878</v>
      </c>
      <c r="E3809" s="85" t="s">
        <v>10879</v>
      </c>
      <c r="F3809" s="86">
        <v>5</v>
      </c>
      <c r="G3809" s="86">
        <v>50</v>
      </c>
      <c r="H3809" s="86">
        <v>250</v>
      </c>
      <c r="I3809" s="86">
        <v>67678.5</v>
      </c>
      <c r="J3809" s="85" t="s">
        <v>4391</v>
      </c>
      <c r="K3809" s="85" t="s">
        <v>13535</v>
      </c>
      <c r="L3809" s="85" t="s">
        <v>12417</v>
      </c>
      <c r="M3809" s="85" t="s">
        <v>13571</v>
      </c>
    </row>
    <row r="3810" ht="327.75" spans="1:13">
      <c r="A3810" s="85" t="s">
        <v>13530</v>
      </c>
      <c r="B3810" s="85" t="s">
        <v>13572</v>
      </c>
      <c r="C3810" s="85" t="s">
        <v>13573</v>
      </c>
      <c r="D3810" s="85" t="s">
        <v>2969</v>
      </c>
      <c r="E3810" s="85" t="s">
        <v>10926</v>
      </c>
      <c r="F3810" s="86">
        <v>6</v>
      </c>
      <c r="G3810" s="86">
        <v>50</v>
      </c>
      <c r="H3810" s="86">
        <v>300</v>
      </c>
      <c r="I3810" s="86">
        <v>67678.5</v>
      </c>
      <c r="J3810" s="85" t="s">
        <v>4391</v>
      </c>
      <c r="K3810" s="85" t="s">
        <v>13535</v>
      </c>
      <c r="L3810" s="85" t="s">
        <v>12417</v>
      </c>
      <c r="M3810" s="85" t="s">
        <v>13574</v>
      </c>
    </row>
    <row r="3811" ht="327.75" spans="1:13">
      <c r="A3811" s="85" t="s">
        <v>13537</v>
      </c>
      <c r="B3811" s="85" t="s">
        <v>5349</v>
      </c>
      <c r="C3811" s="85" t="s">
        <v>5350</v>
      </c>
      <c r="D3811" s="85" t="s">
        <v>3189</v>
      </c>
      <c r="E3811" s="85" t="s">
        <v>5351</v>
      </c>
      <c r="F3811" s="86">
        <v>22</v>
      </c>
      <c r="G3811" s="86">
        <v>5</v>
      </c>
      <c r="H3811" s="86">
        <v>110</v>
      </c>
      <c r="I3811" s="86">
        <v>30806</v>
      </c>
      <c r="J3811" s="85" t="s">
        <v>2935</v>
      </c>
      <c r="K3811" s="85" t="s">
        <v>13535</v>
      </c>
      <c r="L3811" s="85" t="s">
        <v>12417</v>
      </c>
      <c r="M3811" s="85" t="s">
        <v>13575</v>
      </c>
    </row>
    <row r="3812" ht="327.75" spans="1:13">
      <c r="A3812" s="85" t="s">
        <v>13530</v>
      </c>
      <c r="B3812" s="85" t="s">
        <v>10765</v>
      </c>
      <c r="C3812" s="85" t="s">
        <v>10766</v>
      </c>
      <c r="D3812" s="85" t="s">
        <v>3959</v>
      </c>
      <c r="E3812" s="85" t="s">
        <v>6829</v>
      </c>
      <c r="F3812" s="86">
        <v>225</v>
      </c>
      <c r="G3812" s="86">
        <v>10</v>
      </c>
      <c r="H3812" s="86">
        <v>2250</v>
      </c>
      <c r="I3812" s="86">
        <v>67678.5</v>
      </c>
      <c r="J3812" s="85" t="s">
        <v>4391</v>
      </c>
      <c r="K3812" s="85" t="s">
        <v>13535</v>
      </c>
      <c r="L3812" s="85" t="s">
        <v>12417</v>
      </c>
      <c r="M3812" s="85" t="s">
        <v>13576</v>
      </c>
    </row>
    <row r="3813" ht="327.75" spans="1:13">
      <c r="A3813" s="85" t="s">
        <v>13577</v>
      </c>
      <c r="B3813" s="85" t="s">
        <v>11844</v>
      </c>
      <c r="C3813" s="85" t="s">
        <v>11845</v>
      </c>
      <c r="D3813" s="85" t="s">
        <v>6852</v>
      </c>
      <c r="E3813" s="85" t="s">
        <v>6853</v>
      </c>
      <c r="F3813" s="86">
        <v>30</v>
      </c>
      <c r="G3813" s="86">
        <v>30</v>
      </c>
      <c r="H3813" s="86">
        <v>900</v>
      </c>
      <c r="I3813" s="86">
        <v>63544</v>
      </c>
      <c r="J3813" s="85" t="s">
        <v>9135</v>
      </c>
      <c r="K3813" s="85" t="s">
        <v>13578</v>
      </c>
      <c r="L3813" s="85" t="s">
        <v>12417</v>
      </c>
      <c r="M3813" s="85" t="s">
        <v>13579</v>
      </c>
    </row>
    <row r="3814" ht="327.75" spans="1:13">
      <c r="A3814" s="85" t="s">
        <v>13577</v>
      </c>
      <c r="B3814" s="85" t="s">
        <v>11507</v>
      </c>
      <c r="C3814" s="85" t="s">
        <v>11508</v>
      </c>
      <c r="D3814" s="85" t="s">
        <v>2992</v>
      </c>
      <c r="E3814" s="85" t="s">
        <v>1815</v>
      </c>
      <c r="F3814" s="86">
        <v>392</v>
      </c>
      <c r="G3814" s="86">
        <v>15</v>
      </c>
      <c r="H3814" s="86">
        <v>5880</v>
      </c>
      <c r="I3814" s="86">
        <v>63544</v>
      </c>
      <c r="J3814" s="85" t="s">
        <v>9135</v>
      </c>
      <c r="K3814" s="85" t="s">
        <v>13578</v>
      </c>
      <c r="L3814" s="85" t="s">
        <v>12417</v>
      </c>
      <c r="M3814" s="85" t="s">
        <v>13580</v>
      </c>
    </row>
    <row r="3815" ht="327.75" spans="1:13">
      <c r="A3815" s="85" t="s">
        <v>13581</v>
      </c>
      <c r="B3815" s="85" t="s">
        <v>4537</v>
      </c>
      <c r="C3815" s="85" t="s">
        <v>10044</v>
      </c>
      <c r="D3815" s="85" t="s">
        <v>2997</v>
      </c>
      <c r="E3815" s="85" t="s">
        <v>2998</v>
      </c>
      <c r="F3815" s="86">
        <v>19</v>
      </c>
      <c r="G3815" s="86">
        <v>300</v>
      </c>
      <c r="H3815" s="86">
        <v>5700</v>
      </c>
      <c r="I3815" s="86">
        <v>7957</v>
      </c>
      <c r="J3815" s="85" t="s">
        <v>2999</v>
      </c>
      <c r="K3815" s="85" t="s">
        <v>13578</v>
      </c>
      <c r="L3815" s="85" t="s">
        <v>12417</v>
      </c>
      <c r="M3815" s="85" t="s">
        <v>13582</v>
      </c>
    </row>
    <row r="3816" ht="327.75" spans="1:13">
      <c r="A3816" s="85" t="s">
        <v>13577</v>
      </c>
      <c r="B3816" s="85" t="s">
        <v>11436</v>
      </c>
      <c r="C3816" s="85" t="s">
        <v>11437</v>
      </c>
      <c r="D3816" s="85" t="s">
        <v>9541</v>
      </c>
      <c r="E3816" s="85" t="s">
        <v>4961</v>
      </c>
      <c r="F3816" s="86">
        <v>2.5</v>
      </c>
      <c r="G3816" s="86">
        <v>200</v>
      </c>
      <c r="H3816" s="86">
        <v>500</v>
      </c>
      <c r="I3816" s="86">
        <v>63544</v>
      </c>
      <c r="J3816" s="85" t="s">
        <v>9135</v>
      </c>
      <c r="K3816" s="85" t="s">
        <v>13578</v>
      </c>
      <c r="L3816" s="85" t="s">
        <v>12417</v>
      </c>
      <c r="M3816" s="85" t="s">
        <v>13583</v>
      </c>
    </row>
    <row r="3817" ht="327.75" spans="1:13">
      <c r="A3817" s="85" t="s">
        <v>13584</v>
      </c>
      <c r="B3817" s="85" t="s">
        <v>13585</v>
      </c>
      <c r="C3817" s="85" t="s">
        <v>13586</v>
      </c>
      <c r="D3817" s="85" t="s">
        <v>4601</v>
      </c>
      <c r="E3817" s="85" t="s">
        <v>13586</v>
      </c>
      <c r="F3817" s="86">
        <v>593.75</v>
      </c>
      <c r="G3817" s="86">
        <v>7</v>
      </c>
      <c r="H3817" s="86">
        <v>4156.25</v>
      </c>
      <c r="I3817" s="86">
        <v>6478.05</v>
      </c>
      <c r="J3817" s="85" t="s">
        <v>2965</v>
      </c>
      <c r="K3817" s="85" t="s">
        <v>13578</v>
      </c>
      <c r="L3817" s="85" t="s">
        <v>12417</v>
      </c>
      <c r="M3817" s="85" t="s">
        <v>13587</v>
      </c>
    </row>
    <row r="3818" ht="327.75" spans="1:13">
      <c r="A3818" s="85" t="s">
        <v>13577</v>
      </c>
      <c r="B3818" s="85" t="s">
        <v>11450</v>
      </c>
      <c r="C3818" s="85" t="s">
        <v>11451</v>
      </c>
      <c r="D3818" s="85" t="s">
        <v>2992</v>
      </c>
      <c r="E3818" s="85" t="s">
        <v>1815</v>
      </c>
      <c r="F3818" s="86">
        <v>360</v>
      </c>
      <c r="G3818" s="86">
        <v>28</v>
      </c>
      <c r="H3818" s="86">
        <v>10080</v>
      </c>
      <c r="I3818" s="86">
        <v>63544</v>
      </c>
      <c r="J3818" s="85" t="s">
        <v>9135</v>
      </c>
      <c r="K3818" s="85" t="s">
        <v>13578</v>
      </c>
      <c r="L3818" s="85" t="s">
        <v>12417</v>
      </c>
      <c r="M3818" s="85" t="s">
        <v>13588</v>
      </c>
    </row>
    <row r="3819" ht="327.75" spans="1:13">
      <c r="A3819" s="85" t="s">
        <v>13584</v>
      </c>
      <c r="B3819" s="85" t="s">
        <v>13589</v>
      </c>
      <c r="C3819" s="85" t="s">
        <v>13590</v>
      </c>
      <c r="D3819" s="85" t="s">
        <v>5973</v>
      </c>
      <c r="E3819" s="85" t="s">
        <v>13590</v>
      </c>
      <c r="F3819" s="86">
        <v>44.65</v>
      </c>
      <c r="G3819" s="86">
        <v>15</v>
      </c>
      <c r="H3819" s="86">
        <v>669.75</v>
      </c>
      <c r="I3819" s="86">
        <v>6478.05</v>
      </c>
      <c r="J3819" s="85" t="s">
        <v>2965</v>
      </c>
      <c r="K3819" s="85" t="s">
        <v>13578</v>
      </c>
      <c r="L3819" s="85" t="s">
        <v>12417</v>
      </c>
      <c r="M3819" s="85" t="s">
        <v>13591</v>
      </c>
    </row>
    <row r="3820" ht="327.75" spans="1:13">
      <c r="A3820" s="85" t="s">
        <v>13577</v>
      </c>
      <c r="B3820" s="85" t="s">
        <v>13279</v>
      </c>
      <c r="C3820" s="85" t="s">
        <v>13280</v>
      </c>
      <c r="D3820" s="85" t="s">
        <v>6901</v>
      </c>
      <c r="E3820" s="85" t="s">
        <v>5752</v>
      </c>
      <c r="F3820" s="86">
        <v>11.5</v>
      </c>
      <c r="G3820" s="86">
        <v>980</v>
      </c>
      <c r="H3820" s="86">
        <v>11270</v>
      </c>
      <c r="I3820" s="86">
        <v>63544</v>
      </c>
      <c r="J3820" s="85" t="s">
        <v>9135</v>
      </c>
      <c r="K3820" s="85" t="s">
        <v>13578</v>
      </c>
      <c r="L3820" s="85" t="s">
        <v>12417</v>
      </c>
      <c r="M3820" s="85" t="s">
        <v>13592</v>
      </c>
    </row>
    <row r="3821" ht="327.75" spans="1:13">
      <c r="A3821" s="85" t="s">
        <v>13593</v>
      </c>
      <c r="B3821" s="85" t="s">
        <v>13445</v>
      </c>
      <c r="C3821" s="85" t="s">
        <v>13446</v>
      </c>
      <c r="D3821" s="85" t="s">
        <v>5240</v>
      </c>
      <c r="E3821" s="85" t="s">
        <v>4081</v>
      </c>
      <c r="F3821" s="86">
        <v>23.5</v>
      </c>
      <c r="G3821" s="86">
        <v>160</v>
      </c>
      <c r="H3821" s="86">
        <v>3760</v>
      </c>
      <c r="I3821" s="86">
        <v>58932</v>
      </c>
      <c r="J3821" s="85" t="s">
        <v>2938</v>
      </c>
      <c r="K3821" s="85" t="s">
        <v>13578</v>
      </c>
      <c r="L3821" s="85" t="s">
        <v>12417</v>
      </c>
      <c r="M3821" s="85" t="s">
        <v>13594</v>
      </c>
    </row>
    <row r="3822" ht="327.75" spans="1:13">
      <c r="A3822" s="85" t="s">
        <v>13577</v>
      </c>
      <c r="B3822" s="85" t="s">
        <v>11527</v>
      </c>
      <c r="C3822" s="85" t="s">
        <v>11528</v>
      </c>
      <c r="D3822" s="85" t="s">
        <v>2992</v>
      </c>
      <c r="E3822" s="85" t="s">
        <v>1815</v>
      </c>
      <c r="F3822" s="86">
        <v>0.47</v>
      </c>
      <c r="G3822" s="86">
        <v>15000</v>
      </c>
      <c r="H3822" s="86">
        <v>7050</v>
      </c>
      <c r="I3822" s="86">
        <v>63544</v>
      </c>
      <c r="J3822" s="85" t="s">
        <v>9135</v>
      </c>
      <c r="K3822" s="85" t="s">
        <v>13578</v>
      </c>
      <c r="L3822" s="85" t="s">
        <v>12417</v>
      </c>
      <c r="M3822" s="85" t="s">
        <v>13595</v>
      </c>
    </row>
    <row r="3823" ht="327.75" spans="1:13">
      <c r="A3823" s="85" t="s">
        <v>13593</v>
      </c>
      <c r="B3823" s="85" t="s">
        <v>13426</v>
      </c>
      <c r="C3823" s="85" t="s">
        <v>13427</v>
      </c>
      <c r="D3823" s="85" t="s">
        <v>3548</v>
      </c>
      <c r="E3823" s="85" t="s">
        <v>1835</v>
      </c>
      <c r="F3823" s="86">
        <v>17.35</v>
      </c>
      <c r="G3823" s="86">
        <v>120</v>
      </c>
      <c r="H3823" s="86">
        <v>2082</v>
      </c>
      <c r="I3823" s="86">
        <v>58932</v>
      </c>
      <c r="J3823" s="85" t="s">
        <v>2938</v>
      </c>
      <c r="K3823" s="85" t="s">
        <v>13578</v>
      </c>
      <c r="L3823" s="85" t="s">
        <v>12417</v>
      </c>
      <c r="M3823" s="85" t="s">
        <v>13596</v>
      </c>
    </row>
    <row r="3824" ht="327.75" spans="1:13">
      <c r="A3824" s="85" t="s">
        <v>13577</v>
      </c>
      <c r="B3824" s="85" t="s">
        <v>11489</v>
      </c>
      <c r="C3824" s="85" t="s">
        <v>11490</v>
      </c>
      <c r="D3824" s="85" t="s">
        <v>3656</v>
      </c>
      <c r="E3824" s="85" t="s">
        <v>8150</v>
      </c>
      <c r="F3824" s="86">
        <v>24</v>
      </c>
      <c r="G3824" s="86">
        <v>20</v>
      </c>
      <c r="H3824" s="86">
        <v>480</v>
      </c>
      <c r="I3824" s="86">
        <v>63544</v>
      </c>
      <c r="J3824" s="85" t="s">
        <v>9135</v>
      </c>
      <c r="K3824" s="85" t="s">
        <v>13578</v>
      </c>
      <c r="L3824" s="85" t="s">
        <v>12417</v>
      </c>
      <c r="M3824" s="85" t="s">
        <v>13597</v>
      </c>
    </row>
    <row r="3825" ht="327.75" spans="1:13">
      <c r="A3825" s="85" t="s">
        <v>13584</v>
      </c>
      <c r="B3825" s="85" t="s">
        <v>13598</v>
      </c>
      <c r="C3825" s="85" t="s">
        <v>13599</v>
      </c>
      <c r="D3825" s="85" t="s">
        <v>13600</v>
      </c>
      <c r="E3825" s="85" t="s">
        <v>13599</v>
      </c>
      <c r="F3825" s="86">
        <v>617.5</v>
      </c>
      <c r="G3825" s="86">
        <v>2</v>
      </c>
      <c r="H3825" s="86">
        <v>1235</v>
      </c>
      <c r="I3825" s="86">
        <v>6478.05</v>
      </c>
      <c r="J3825" s="85" t="s">
        <v>2965</v>
      </c>
      <c r="K3825" s="85" t="s">
        <v>13578</v>
      </c>
      <c r="L3825" s="85" t="s">
        <v>12417</v>
      </c>
      <c r="M3825" s="85" t="s">
        <v>13601</v>
      </c>
    </row>
    <row r="3826" ht="327.75" spans="1:13">
      <c r="A3826" s="85" t="s">
        <v>13577</v>
      </c>
      <c r="B3826" s="85" t="s">
        <v>10526</v>
      </c>
      <c r="C3826" s="85" t="s">
        <v>10527</v>
      </c>
      <c r="D3826" s="85" t="s">
        <v>8767</v>
      </c>
      <c r="E3826" s="85" t="s">
        <v>3050</v>
      </c>
      <c r="F3826" s="86">
        <v>5.8</v>
      </c>
      <c r="G3826" s="86">
        <v>200</v>
      </c>
      <c r="H3826" s="86">
        <v>1160</v>
      </c>
      <c r="I3826" s="86">
        <v>63544</v>
      </c>
      <c r="J3826" s="85" t="s">
        <v>9135</v>
      </c>
      <c r="K3826" s="85" t="s">
        <v>13578</v>
      </c>
      <c r="L3826" s="85" t="s">
        <v>12417</v>
      </c>
      <c r="M3826" s="85" t="s">
        <v>13602</v>
      </c>
    </row>
    <row r="3827" ht="327.75" spans="1:13">
      <c r="A3827" s="85" t="s">
        <v>13577</v>
      </c>
      <c r="B3827" s="85" t="s">
        <v>11472</v>
      </c>
      <c r="C3827" s="85" t="s">
        <v>11473</v>
      </c>
      <c r="D3827" s="85" t="s">
        <v>2992</v>
      </c>
      <c r="E3827" s="85" t="s">
        <v>1815</v>
      </c>
      <c r="F3827" s="86">
        <v>0.25</v>
      </c>
      <c r="G3827" s="86">
        <v>100000</v>
      </c>
      <c r="H3827" s="86">
        <v>25000</v>
      </c>
      <c r="I3827" s="86">
        <v>63544</v>
      </c>
      <c r="J3827" s="85" t="s">
        <v>9135</v>
      </c>
      <c r="K3827" s="85" t="s">
        <v>13578</v>
      </c>
      <c r="L3827" s="85" t="s">
        <v>12417</v>
      </c>
      <c r="M3827" s="85" t="s">
        <v>13603</v>
      </c>
    </row>
    <row r="3828" ht="327.75" spans="1:13">
      <c r="A3828" s="85" t="s">
        <v>13577</v>
      </c>
      <c r="B3828" s="85" t="s">
        <v>11785</v>
      </c>
      <c r="C3828" s="85" t="s">
        <v>11786</v>
      </c>
      <c r="D3828" s="85" t="s">
        <v>3753</v>
      </c>
      <c r="E3828" s="85" t="s">
        <v>11787</v>
      </c>
      <c r="F3828" s="86">
        <v>83</v>
      </c>
      <c r="G3828" s="86">
        <v>3</v>
      </c>
      <c r="H3828" s="86">
        <v>249</v>
      </c>
      <c r="I3828" s="86">
        <v>63544</v>
      </c>
      <c r="J3828" s="85" t="s">
        <v>9135</v>
      </c>
      <c r="K3828" s="85" t="s">
        <v>13578</v>
      </c>
      <c r="L3828" s="85" t="s">
        <v>12417</v>
      </c>
      <c r="M3828" s="85" t="s">
        <v>13604</v>
      </c>
    </row>
    <row r="3829" ht="327.75" spans="1:13">
      <c r="A3829" s="85" t="s">
        <v>13593</v>
      </c>
      <c r="B3829" s="85" t="s">
        <v>13418</v>
      </c>
      <c r="C3829" s="85" t="s">
        <v>13419</v>
      </c>
      <c r="D3829" s="85" t="s">
        <v>4076</v>
      </c>
      <c r="E3829" s="85" t="s">
        <v>1832</v>
      </c>
      <c r="F3829" s="86">
        <v>137</v>
      </c>
      <c r="G3829" s="86">
        <v>190</v>
      </c>
      <c r="H3829" s="86">
        <v>26030</v>
      </c>
      <c r="I3829" s="86">
        <v>58932</v>
      </c>
      <c r="J3829" s="85" t="s">
        <v>2938</v>
      </c>
      <c r="K3829" s="85" t="s">
        <v>13578</v>
      </c>
      <c r="L3829" s="85" t="s">
        <v>12417</v>
      </c>
      <c r="M3829" s="85" t="s">
        <v>13605</v>
      </c>
    </row>
    <row r="3830" ht="327.75" spans="1:13">
      <c r="A3830" s="85" t="s">
        <v>13581</v>
      </c>
      <c r="B3830" s="85" t="s">
        <v>8609</v>
      </c>
      <c r="C3830" s="85" t="s">
        <v>13606</v>
      </c>
      <c r="D3830" s="85" t="s">
        <v>6924</v>
      </c>
      <c r="E3830" s="85" t="s">
        <v>7837</v>
      </c>
      <c r="F3830" s="86">
        <v>6.65</v>
      </c>
      <c r="G3830" s="86">
        <v>100</v>
      </c>
      <c r="H3830" s="86">
        <v>665</v>
      </c>
      <c r="I3830" s="86">
        <v>7957</v>
      </c>
      <c r="J3830" s="85" t="s">
        <v>2999</v>
      </c>
      <c r="K3830" s="85" t="s">
        <v>13578</v>
      </c>
      <c r="L3830" s="85" t="s">
        <v>12417</v>
      </c>
      <c r="M3830" s="85" t="s">
        <v>13607</v>
      </c>
    </row>
    <row r="3831" ht="327.75" spans="1:13">
      <c r="A3831" s="85" t="s">
        <v>13577</v>
      </c>
      <c r="B3831" s="85" t="s">
        <v>13431</v>
      </c>
      <c r="C3831" s="85" t="s">
        <v>13432</v>
      </c>
      <c r="D3831" s="85" t="s">
        <v>5023</v>
      </c>
      <c r="E3831" s="85" t="s">
        <v>5024</v>
      </c>
      <c r="F3831" s="86">
        <v>10</v>
      </c>
      <c r="G3831" s="86">
        <v>80</v>
      </c>
      <c r="H3831" s="86">
        <v>800</v>
      </c>
      <c r="I3831" s="86">
        <v>63544</v>
      </c>
      <c r="J3831" s="85" t="s">
        <v>9135</v>
      </c>
      <c r="K3831" s="85" t="s">
        <v>13578</v>
      </c>
      <c r="L3831" s="85" t="s">
        <v>12417</v>
      </c>
      <c r="M3831" s="85" t="s">
        <v>13608</v>
      </c>
    </row>
    <row r="3832" ht="327.75" spans="1:13">
      <c r="A3832" s="85" t="s">
        <v>13593</v>
      </c>
      <c r="B3832" s="85" t="s">
        <v>13434</v>
      </c>
      <c r="C3832" s="85" t="s">
        <v>13435</v>
      </c>
      <c r="D3832" s="85" t="s">
        <v>3747</v>
      </c>
      <c r="E3832" s="85" t="s">
        <v>1827</v>
      </c>
      <c r="F3832" s="86">
        <v>123</v>
      </c>
      <c r="G3832" s="86">
        <v>220</v>
      </c>
      <c r="H3832" s="86">
        <v>27060</v>
      </c>
      <c r="I3832" s="86">
        <v>58932</v>
      </c>
      <c r="J3832" s="85" t="s">
        <v>2938</v>
      </c>
      <c r="K3832" s="85" t="s">
        <v>13578</v>
      </c>
      <c r="L3832" s="85" t="s">
        <v>12417</v>
      </c>
      <c r="M3832" s="85" t="s">
        <v>13609</v>
      </c>
    </row>
    <row r="3833" ht="327.75" spans="1:13">
      <c r="A3833" s="85" t="s">
        <v>13577</v>
      </c>
      <c r="B3833" s="85" t="s">
        <v>13610</v>
      </c>
      <c r="C3833" s="85" t="s">
        <v>13611</v>
      </c>
      <c r="D3833" s="85" t="s">
        <v>11057</v>
      </c>
      <c r="E3833" s="85" t="s">
        <v>11058</v>
      </c>
      <c r="F3833" s="86">
        <v>35</v>
      </c>
      <c r="G3833" s="86">
        <v>5</v>
      </c>
      <c r="H3833" s="86">
        <v>175</v>
      </c>
      <c r="I3833" s="86">
        <v>63544</v>
      </c>
      <c r="J3833" s="85" t="s">
        <v>9135</v>
      </c>
      <c r="K3833" s="85" t="s">
        <v>13578</v>
      </c>
      <c r="L3833" s="85" t="s">
        <v>12417</v>
      </c>
      <c r="M3833" s="85" t="s">
        <v>13612</v>
      </c>
    </row>
    <row r="3834" ht="327.75" spans="1:13">
      <c r="A3834" s="85" t="s">
        <v>13584</v>
      </c>
      <c r="B3834" s="85" t="s">
        <v>13613</v>
      </c>
      <c r="C3834" s="85" t="s">
        <v>13614</v>
      </c>
      <c r="D3834" s="85" t="s">
        <v>2973</v>
      </c>
      <c r="E3834" s="85" t="s">
        <v>13614</v>
      </c>
      <c r="F3834" s="86">
        <v>217.55</v>
      </c>
      <c r="G3834" s="86">
        <v>1</v>
      </c>
      <c r="H3834" s="86">
        <v>217.55</v>
      </c>
      <c r="I3834" s="86">
        <v>6478.05</v>
      </c>
      <c r="J3834" s="85" t="s">
        <v>2965</v>
      </c>
      <c r="K3834" s="85" t="s">
        <v>13578</v>
      </c>
      <c r="L3834" s="85" t="s">
        <v>12417</v>
      </c>
      <c r="M3834" s="85" t="s">
        <v>13615</v>
      </c>
    </row>
    <row r="3835" ht="327.75" spans="1:13">
      <c r="A3835" s="85" t="s">
        <v>13581</v>
      </c>
      <c r="B3835" s="85" t="s">
        <v>13616</v>
      </c>
      <c r="C3835" s="85" t="s">
        <v>13617</v>
      </c>
      <c r="D3835" s="85" t="s">
        <v>3617</v>
      </c>
      <c r="E3835" s="85" t="s">
        <v>3618</v>
      </c>
      <c r="F3835" s="86">
        <v>15.92</v>
      </c>
      <c r="G3835" s="86">
        <v>100</v>
      </c>
      <c r="H3835" s="86">
        <v>1592</v>
      </c>
      <c r="I3835" s="86">
        <v>7957</v>
      </c>
      <c r="J3835" s="85" t="s">
        <v>2999</v>
      </c>
      <c r="K3835" s="85" t="s">
        <v>13578</v>
      </c>
      <c r="L3835" s="85" t="s">
        <v>12417</v>
      </c>
      <c r="M3835" s="85" t="s">
        <v>13618</v>
      </c>
    </row>
    <row r="3836" ht="327.75" spans="1:13">
      <c r="A3836" s="85" t="s">
        <v>13584</v>
      </c>
      <c r="B3836" s="85" t="s">
        <v>13619</v>
      </c>
      <c r="C3836" s="85" t="s">
        <v>13620</v>
      </c>
      <c r="D3836" s="85" t="s">
        <v>5574</v>
      </c>
      <c r="E3836" s="85" t="s">
        <v>13620</v>
      </c>
      <c r="F3836" s="86">
        <v>13.3</v>
      </c>
      <c r="G3836" s="86">
        <v>15</v>
      </c>
      <c r="H3836" s="86">
        <v>199.5</v>
      </c>
      <c r="I3836" s="86">
        <v>6478.05</v>
      </c>
      <c r="J3836" s="85" t="s">
        <v>2965</v>
      </c>
      <c r="K3836" s="85" t="s">
        <v>13578</v>
      </c>
      <c r="L3836" s="85" t="s">
        <v>12417</v>
      </c>
      <c r="M3836" s="85" t="s">
        <v>13621</v>
      </c>
    </row>
    <row r="3837" ht="327.75" spans="1:13">
      <c r="A3837" s="85" t="s">
        <v>13622</v>
      </c>
      <c r="B3837" s="85" t="s">
        <v>13623</v>
      </c>
      <c r="C3837" s="85" t="s">
        <v>13624</v>
      </c>
      <c r="D3837" s="85" t="s">
        <v>13625</v>
      </c>
      <c r="E3837" s="85" t="s">
        <v>13624</v>
      </c>
      <c r="F3837" s="86">
        <v>6</v>
      </c>
      <c r="G3837" s="86">
        <v>100</v>
      </c>
      <c r="H3837" s="86">
        <v>600</v>
      </c>
      <c r="I3837" s="86">
        <v>600</v>
      </c>
      <c r="J3837" s="85" t="s">
        <v>9954</v>
      </c>
      <c r="K3837" s="85" t="s">
        <v>13626</v>
      </c>
      <c r="L3837" s="85" t="s">
        <v>12417</v>
      </c>
      <c r="M3837" s="85" t="s">
        <v>13627</v>
      </c>
    </row>
    <row r="3838" ht="228" spans="1:13">
      <c r="A3838" s="85" t="s">
        <v>13628</v>
      </c>
      <c r="B3838" s="85" t="s">
        <v>13629</v>
      </c>
      <c r="C3838" s="85" t="s">
        <v>13630</v>
      </c>
      <c r="D3838" s="85" t="s">
        <v>12113</v>
      </c>
      <c r="E3838" s="85" t="s">
        <v>13630</v>
      </c>
      <c r="F3838" s="86">
        <v>354.26</v>
      </c>
      <c r="G3838" s="86">
        <v>1</v>
      </c>
      <c r="H3838" s="86">
        <v>354.26</v>
      </c>
      <c r="I3838" s="86">
        <v>354.26</v>
      </c>
      <c r="J3838" s="85" t="s">
        <v>2965</v>
      </c>
      <c r="K3838" s="85" t="s">
        <v>13631</v>
      </c>
      <c r="L3838" s="85" t="s">
        <v>10873</v>
      </c>
      <c r="M3838" s="85" t="s">
        <v>13632</v>
      </c>
    </row>
    <row r="3839" ht="228" spans="1:13">
      <c r="A3839" s="85" t="s">
        <v>13633</v>
      </c>
      <c r="B3839" s="85" t="s">
        <v>13634</v>
      </c>
      <c r="C3839" s="85" t="s">
        <v>13635</v>
      </c>
      <c r="D3839" s="85" t="s">
        <v>3068</v>
      </c>
      <c r="E3839" s="85" t="s">
        <v>13635</v>
      </c>
      <c r="F3839" s="86">
        <v>3.7</v>
      </c>
      <c r="G3839" s="86">
        <v>213</v>
      </c>
      <c r="H3839" s="86">
        <v>788.1</v>
      </c>
      <c r="I3839" s="86">
        <v>2268.33</v>
      </c>
      <c r="J3839" s="85" t="s">
        <v>9954</v>
      </c>
      <c r="K3839" s="85" t="s">
        <v>13636</v>
      </c>
      <c r="L3839" s="85" t="s">
        <v>10873</v>
      </c>
      <c r="M3839" s="85" t="s">
        <v>13637</v>
      </c>
    </row>
    <row r="3840" ht="228" spans="1:13">
      <c r="A3840" s="85" t="s">
        <v>13633</v>
      </c>
      <c r="B3840" s="85" t="s">
        <v>13638</v>
      </c>
      <c r="C3840" s="85" t="s">
        <v>13639</v>
      </c>
      <c r="D3840" s="85" t="s">
        <v>3367</v>
      </c>
      <c r="E3840" s="85" t="s">
        <v>13639</v>
      </c>
      <c r="F3840" s="86">
        <v>2.55</v>
      </c>
      <c r="G3840" s="86">
        <v>10</v>
      </c>
      <c r="H3840" s="86">
        <v>25.5</v>
      </c>
      <c r="I3840" s="86">
        <v>2268.33</v>
      </c>
      <c r="J3840" s="85" t="s">
        <v>9954</v>
      </c>
      <c r="K3840" s="85" t="s">
        <v>13636</v>
      </c>
      <c r="L3840" s="85" t="s">
        <v>10873</v>
      </c>
      <c r="M3840" s="85" t="s">
        <v>13640</v>
      </c>
    </row>
    <row r="3841" ht="228" spans="1:13">
      <c r="A3841" s="85" t="s">
        <v>13633</v>
      </c>
      <c r="B3841" s="85" t="s">
        <v>13641</v>
      </c>
      <c r="C3841" s="85" t="s">
        <v>13642</v>
      </c>
      <c r="D3841" s="85" t="s">
        <v>3230</v>
      </c>
      <c r="E3841" s="85" t="s">
        <v>13642</v>
      </c>
      <c r="F3841" s="86">
        <v>6.55</v>
      </c>
      <c r="G3841" s="86">
        <v>20</v>
      </c>
      <c r="H3841" s="86">
        <v>131</v>
      </c>
      <c r="I3841" s="86">
        <v>2268.33</v>
      </c>
      <c r="J3841" s="85" t="s">
        <v>9954</v>
      </c>
      <c r="K3841" s="85" t="s">
        <v>13636</v>
      </c>
      <c r="L3841" s="85" t="s">
        <v>10873</v>
      </c>
      <c r="M3841" s="85" t="s">
        <v>13643</v>
      </c>
    </row>
    <row r="3842" ht="228" spans="1:13">
      <c r="A3842" s="85" t="s">
        <v>13644</v>
      </c>
      <c r="B3842" s="85" t="s">
        <v>13645</v>
      </c>
      <c r="C3842" s="85" t="s">
        <v>13646</v>
      </c>
      <c r="D3842" s="85" t="s">
        <v>4030</v>
      </c>
      <c r="E3842" s="85" t="s">
        <v>13646</v>
      </c>
      <c r="F3842" s="86">
        <v>10.45</v>
      </c>
      <c r="G3842" s="86">
        <v>20</v>
      </c>
      <c r="H3842" s="86">
        <v>209</v>
      </c>
      <c r="I3842" s="86">
        <v>234.99</v>
      </c>
      <c r="J3842" s="85" t="s">
        <v>2965</v>
      </c>
      <c r="K3842" s="85" t="s">
        <v>13636</v>
      </c>
      <c r="L3842" s="85" t="s">
        <v>10873</v>
      </c>
      <c r="M3842" s="85" t="s">
        <v>13647</v>
      </c>
    </row>
    <row r="3843" ht="228" spans="1:13">
      <c r="A3843" s="85" t="s">
        <v>13633</v>
      </c>
      <c r="B3843" s="85" t="s">
        <v>13648</v>
      </c>
      <c r="C3843" s="85" t="s">
        <v>13649</v>
      </c>
      <c r="D3843" s="85" t="s">
        <v>6236</v>
      </c>
      <c r="E3843" s="85" t="s">
        <v>13649</v>
      </c>
      <c r="F3843" s="86">
        <v>13.5</v>
      </c>
      <c r="G3843" s="86">
        <v>4</v>
      </c>
      <c r="H3843" s="86">
        <v>54</v>
      </c>
      <c r="I3843" s="86">
        <v>2268.33</v>
      </c>
      <c r="J3843" s="85" t="s">
        <v>9954</v>
      </c>
      <c r="K3843" s="85" t="s">
        <v>13636</v>
      </c>
      <c r="L3843" s="85" t="s">
        <v>10873</v>
      </c>
      <c r="M3843" s="85" t="s">
        <v>13650</v>
      </c>
    </row>
    <row r="3844" ht="228" spans="1:13">
      <c r="A3844" s="85" t="s">
        <v>13633</v>
      </c>
      <c r="B3844" s="85" t="s">
        <v>13651</v>
      </c>
      <c r="C3844" s="85" t="s">
        <v>13652</v>
      </c>
      <c r="D3844" s="85" t="s">
        <v>7533</v>
      </c>
      <c r="E3844" s="85" t="s">
        <v>13652</v>
      </c>
      <c r="F3844" s="86">
        <v>12.29</v>
      </c>
      <c r="G3844" s="86">
        <v>3</v>
      </c>
      <c r="H3844" s="86">
        <v>36.87</v>
      </c>
      <c r="I3844" s="86">
        <v>2268.33</v>
      </c>
      <c r="J3844" s="85" t="s">
        <v>9954</v>
      </c>
      <c r="K3844" s="85" t="s">
        <v>13636</v>
      </c>
      <c r="L3844" s="85" t="s">
        <v>10873</v>
      </c>
      <c r="M3844" s="85" t="s">
        <v>13653</v>
      </c>
    </row>
    <row r="3845" ht="228" spans="1:13">
      <c r="A3845" s="85" t="s">
        <v>13633</v>
      </c>
      <c r="B3845" s="85" t="s">
        <v>13654</v>
      </c>
      <c r="C3845" s="85" t="s">
        <v>13655</v>
      </c>
      <c r="D3845" s="85" t="s">
        <v>3183</v>
      </c>
      <c r="E3845" s="85" t="s">
        <v>13655</v>
      </c>
      <c r="F3845" s="86">
        <v>36.11</v>
      </c>
      <c r="G3845" s="86">
        <v>2</v>
      </c>
      <c r="H3845" s="86">
        <v>72.22</v>
      </c>
      <c r="I3845" s="86">
        <v>2268.33</v>
      </c>
      <c r="J3845" s="85" t="s">
        <v>9954</v>
      </c>
      <c r="K3845" s="85" t="s">
        <v>13636</v>
      </c>
      <c r="L3845" s="85" t="s">
        <v>10873</v>
      </c>
      <c r="M3845" s="85" t="s">
        <v>13656</v>
      </c>
    </row>
    <row r="3846" ht="228" spans="1:13">
      <c r="A3846" s="85" t="s">
        <v>13633</v>
      </c>
      <c r="B3846" s="85" t="s">
        <v>13657</v>
      </c>
      <c r="C3846" s="85" t="s">
        <v>13658</v>
      </c>
      <c r="D3846" s="85" t="s">
        <v>3367</v>
      </c>
      <c r="E3846" s="85" t="s">
        <v>13658</v>
      </c>
      <c r="F3846" s="86">
        <v>1.76</v>
      </c>
      <c r="G3846" s="86">
        <v>10</v>
      </c>
      <c r="H3846" s="86">
        <v>17.6</v>
      </c>
      <c r="I3846" s="86">
        <v>2268.33</v>
      </c>
      <c r="J3846" s="85" t="s">
        <v>9954</v>
      </c>
      <c r="K3846" s="85" t="s">
        <v>13636</v>
      </c>
      <c r="L3846" s="85" t="s">
        <v>10873</v>
      </c>
      <c r="M3846" s="85" t="s">
        <v>13659</v>
      </c>
    </row>
    <row r="3847" ht="228" spans="1:13">
      <c r="A3847" s="85" t="s">
        <v>13633</v>
      </c>
      <c r="B3847" s="85" t="s">
        <v>13660</v>
      </c>
      <c r="C3847" s="85" t="s">
        <v>13661</v>
      </c>
      <c r="D3847" s="85" t="s">
        <v>3367</v>
      </c>
      <c r="E3847" s="85" t="s">
        <v>13661</v>
      </c>
      <c r="F3847" s="86">
        <v>0.74</v>
      </c>
      <c r="G3847" s="86">
        <v>10</v>
      </c>
      <c r="H3847" s="86">
        <v>7.4</v>
      </c>
      <c r="I3847" s="86">
        <v>2268.33</v>
      </c>
      <c r="J3847" s="85" t="s">
        <v>9954</v>
      </c>
      <c r="K3847" s="85" t="s">
        <v>13636</v>
      </c>
      <c r="L3847" s="85" t="s">
        <v>10873</v>
      </c>
      <c r="M3847" s="85" t="s">
        <v>13662</v>
      </c>
    </row>
    <row r="3848" ht="228" spans="1:13">
      <c r="A3848" s="85" t="s">
        <v>13633</v>
      </c>
      <c r="B3848" s="85" t="s">
        <v>13663</v>
      </c>
      <c r="C3848" s="85" t="s">
        <v>13664</v>
      </c>
      <c r="D3848" s="85" t="s">
        <v>7533</v>
      </c>
      <c r="E3848" s="85" t="s">
        <v>13664</v>
      </c>
      <c r="F3848" s="86">
        <v>5.32</v>
      </c>
      <c r="G3848" s="86">
        <v>8</v>
      </c>
      <c r="H3848" s="86">
        <v>42.56</v>
      </c>
      <c r="I3848" s="86">
        <v>2268.33</v>
      </c>
      <c r="J3848" s="85" t="s">
        <v>9954</v>
      </c>
      <c r="K3848" s="85" t="s">
        <v>13636</v>
      </c>
      <c r="L3848" s="85" t="s">
        <v>10873</v>
      </c>
      <c r="M3848" s="85" t="s">
        <v>13665</v>
      </c>
    </row>
    <row r="3849" ht="228" spans="1:13">
      <c r="A3849" s="85" t="s">
        <v>13633</v>
      </c>
      <c r="B3849" s="85" t="s">
        <v>13666</v>
      </c>
      <c r="C3849" s="85" t="s">
        <v>13667</v>
      </c>
      <c r="D3849" s="85" t="s">
        <v>3367</v>
      </c>
      <c r="E3849" s="85" t="s">
        <v>13667</v>
      </c>
      <c r="F3849" s="86">
        <v>0.77</v>
      </c>
      <c r="G3849" s="86">
        <v>5</v>
      </c>
      <c r="H3849" s="86">
        <v>3.85</v>
      </c>
      <c r="I3849" s="86">
        <v>2268.33</v>
      </c>
      <c r="J3849" s="85" t="s">
        <v>9954</v>
      </c>
      <c r="K3849" s="85" t="s">
        <v>13636</v>
      </c>
      <c r="L3849" s="85" t="s">
        <v>10873</v>
      </c>
      <c r="M3849" s="85" t="s">
        <v>13668</v>
      </c>
    </row>
    <row r="3850" ht="228" spans="1:13">
      <c r="A3850" s="85" t="s">
        <v>13633</v>
      </c>
      <c r="B3850" s="85" t="s">
        <v>13669</v>
      </c>
      <c r="C3850" s="85" t="s">
        <v>13670</v>
      </c>
      <c r="D3850" s="85" t="s">
        <v>3068</v>
      </c>
      <c r="E3850" s="85" t="s">
        <v>13670</v>
      </c>
      <c r="F3850" s="86">
        <v>9.38</v>
      </c>
      <c r="G3850" s="86">
        <v>5</v>
      </c>
      <c r="H3850" s="86">
        <v>46.9</v>
      </c>
      <c r="I3850" s="86">
        <v>2268.33</v>
      </c>
      <c r="J3850" s="85" t="s">
        <v>9954</v>
      </c>
      <c r="K3850" s="85" t="s">
        <v>13636</v>
      </c>
      <c r="L3850" s="85" t="s">
        <v>10873</v>
      </c>
      <c r="M3850" s="85" t="s">
        <v>13671</v>
      </c>
    </row>
    <row r="3851" ht="228" spans="1:13">
      <c r="A3851" s="85" t="s">
        <v>13633</v>
      </c>
      <c r="B3851" s="85" t="s">
        <v>13672</v>
      </c>
      <c r="C3851" s="85" t="s">
        <v>13673</v>
      </c>
      <c r="D3851" s="85" t="s">
        <v>3367</v>
      </c>
      <c r="E3851" s="85" t="s">
        <v>13673</v>
      </c>
      <c r="F3851" s="86">
        <v>1.95</v>
      </c>
      <c r="G3851" s="86">
        <v>1</v>
      </c>
      <c r="H3851" s="86">
        <v>1.95</v>
      </c>
      <c r="I3851" s="86">
        <v>2268.33</v>
      </c>
      <c r="J3851" s="85" t="s">
        <v>9954</v>
      </c>
      <c r="K3851" s="85" t="s">
        <v>13636</v>
      </c>
      <c r="L3851" s="85" t="s">
        <v>10873</v>
      </c>
      <c r="M3851" s="85" t="s">
        <v>13674</v>
      </c>
    </row>
    <row r="3852" ht="228" spans="1:13">
      <c r="A3852" s="85" t="s">
        <v>13633</v>
      </c>
      <c r="B3852" s="85" t="s">
        <v>13675</v>
      </c>
      <c r="C3852" s="85" t="s">
        <v>13676</v>
      </c>
      <c r="D3852" s="85" t="s">
        <v>3197</v>
      </c>
      <c r="E3852" s="85" t="s">
        <v>13676</v>
      </c>
      <c r="F3852" s="86">
        <v>0.86</v>
      </c>
      <c r="G3852" s="86">
        <v>30</v>
      </c>
      <c r="H3852" s="86">
        <v>25.8</v>
      </c>
      <c r="I3852" s="86">
        <v>2268.33</v>
      </c>
      <c r="J3852" s="85" t="s">
        <v>9954</v>
      </c>
      <c r="K3852" s="85" t="s">
        <v>13636</v>
      </c>
      <c r="L3852" s="85" t="s">
        <v>10873</v>
      </c>
      <c r="M3852" s="85" t="s">
        <v>13677</v>
      </c>
    </row>
    <row r="3853" ht="228" spans="1:13">
      <c r="A3853" s="85" t="s">
        <v>13633</v>
      </c>
      <c r="B3853" s="85" t="s">
        <v>13678</v>
      </c>
      <c r="C3853" s="85" t="s">
        <v>13679</v>
      </c>
      <c r="D3853" s="85" t="s">
        <v>3068</v>
      </c>
      <c r="E3853" s="85" t="s">
        <v>13679</v>
      </c>
      <c r="F3853" s="86">
        <v>4.8</v>
      </c>
      <c r="G3853" s="86">
        <v>13</v>
      </c>
      <c r="H3853" s="86">
        <v>62.4</v>
      </c>
      <c r="I3853" s="86">
        <v>2268.33</v>
      </c>
      <c r="J3853" s="85" t="s">
        <v>9954</v>
      </c>
      <c r="K3853" s="85" t="s">
        <v>13636</v>
      </c>
      <c r="L3853" s="85" t="s">
        <v>10873</v>
      </c>
      <c r="M3853" s="85" t="s">
        <v>13680</v>
      </c>
    </row>
    <row r="3854" ht="228" spans="1:13">
      <c r="A3854" s="85" t="s">
        <v>13633</v>
      </c>
      <c r="B3854" s="85" t="s">
        <v>13681</v>
      </c>
      <c r="C3854" s="85" t="s">
        <v>13682</v>
      </c>
      <c r="D3854" s="85" t="s">
        <v>3068</v>
      </c>
      <c r="E3854" s="85" t="s">
        <v>13682</v>
      </c>
      <c r="F3854" s="86">
        <v>15.1</v>
      </c>
      <c r="G3854" s="86">
        <v>2</v>
      </c>
      <c r="H3854" s="86">
        <v>30.2</v>
      </c>
      <c r="I3854" s="86">
        <v>2268.33</v>
      </c>
      <c r="J3854" s="85" t="s">
        <v>9954</v>
      </c>
      <c r="K3854" s="85" t="s">
        <v>13636</v>
      </c>
      <c r="L3854" s="85" t="s">
        <v>10873</v>
      </c>
      <c r="M3854" s="85" t="s">
        <v>13683</v>
      </c>
    </row>
    <row r="3855" ht="228" spans="1:13">
      <c r="A3855" s="85" t="s">
        <v>13633</v>
      </c>
      <c r="B3855" s="85" t="s">
        <v>13684</v>
      </c>
      <c r="C3855" s="85" t="s">
        <v>13685</v>
      </c>
      <c r="D3855" s="85" t="s">
        <v>3197</v>
      </c>
      <c r="E3855" s="85" t="s">
        <v>13685</v>
      </c>
      <c r="F3855" s="86">
        <v>0.39</v>
      </c>
      <c r="G3855" s="86">
        <v>200</v>
      </c>
      <c r="H3855" s="86">
        <v>78</v>
      </c>
      <c r="I3855" s="86">
        <v>2268.33</v>
      </c>
      <c r="J3855" s="85" t="s">
        <v>9954</v>
      </c>
      <c r="K3855" s="85" t="s">
        <v>13636</v>
      </c>
      <c r="L3855" s="85" t="s">
        <v>10873</v>
      </c>
      <c r="M3855" s="85" t="s">
        <v>13686</v>
      </c>
    </row>
    <row r="3856" ht="228" spans="1:13">
      <c r="A3856" s="85" t="s">
        <v>13633</v>
      </c>
      <c r="B3856" s="85" t="s">
        <v>13687</v>
      </c>
      <c r="C3856" s="85" t="s">
        <v>13688</v>
      </c>
      <c r="D3856" s="85" t="s">
        <v>10121</v>
      </c>
      <c r="E3856" s="85" t="s">
        <v>13688</v>
      </c>
      <c r="F3856" s="86">
        <v>0.95</v>
      </c>
      <c r="G3856" s="86">
        <v>10</v>
      </c>
      <c r="H3856" s="86">
        <v>9.5</v>
      </c>
      <c r="I3856" s="86">
        <v>2268.33</v>
      </c>
      <c r="J3856" s="85" t="s">
        <v>9954</v>
      </c>
      <c r="K3856" s="85" t="s">
        <v>13636</v>
      </c>
      <c r="L3856" s="85" t="s">
        <v>10873</v>
      </c>
      <c r="M3856" s="85" t="s">
        <v>13689</v>
      </c>
    </row>
    <row r="3857" ht="228" spans="1:13">
      <c r="A3857" s="85" t="s">
        <v>13633</v>
      </c>
      <c r="B3857" s="85" t="s">
        <v>13690</v>
      </c>
      <c r="C3857" s="85" t="s">
        <v>13691</v>
      </c>
      <c r="D3857" s="85" t="s">
        <v>3068</v>
      </c>
      <c r="E3857" s="85" t="s">
        <v>13691</v>
      </c>
      <c r="F3857" s="86">
        <v>7.8</v>
      </c>
      <c r="G3857" s="86">
        <v>5</v>
      </c>
      <c r="H3857" s="86">
        <v>39</v>
      </c>
      <c r="I3857" s="86">
        <v>2268.33</v>
      </c>
      <c r="J3857" s="85" t="s">
        <v>9954</v>
      </c>
      <c r="K3857" s="85" t="s">
        <v>13636</v>
      </c>
      <c r="L3857" s="85" t="s">
        <v>10873</v>
      </c>
      <c r="M3857" s="85" t="s">
        <v>13692</v>
      </c>
    </row>
    <row r="3858" ht="228" spans="1:13">
      <c r="A3858" s="85" t="s">
        <v>13633</v>
      </c>
      <c r="B3858" s="85" t="s">
        <v>13693</v>
      </c>
      <c r="C3858" s="85" t="s">
        <v>13694</v>
      </c>
      <c r="D3858" s="85" t="s">
        <v>7533</v>
      </c>
      <c r="E3858" s="85" t="s">
        <v>13694</v>
      </c>
      <c r="F3858" s="86">
        <v>11.2</v>
      </c>
      <c r="G3858" s="86">
        <v>7</v>
      </c>
      <c r="H3858" s="86">
        <v>78.4</v>
      </c>
      <c r="I3858" s="86">
        <v>2268.33</v>
      </c>
      <c r="J3858" s="85" t="s">
        <v>9954</v>
      </c>
      <c r="K3858" s="85" t="s">
        <v>13636</v>
      </c>
      <c r="L3858" s="85" t="s">
        <v>10873</v>
      </c>
      <c r="M3858" s="85" t="s">
        <v>13695</v>
      </c>
    </row>
    <row r="3859" ht="228" spans="1:13">
      <c r="A3859" s="85" t="s">
        <v>13633</v>
      </c>
      <c r="B3859" s="85" t="s">
        <v>13696</v>
      </c>
      <c r="C3859" s="85" t="s">
        <v>13697</v>
      </c>
      <c r="D3859" s="85" t="s">
        <v>3733</v>
      </c>
      <c r="E3859" s="85" t="s">
        <v>13697</v>
      </c>
      <c r="F3859" s="86">
        <v>1.29</v>
      </c>
      <c r="G3859" s="86">
        <v>20</v>
      </c>
      <c r="H3859" s="86">
        <v>25.8</v>
      </c>
      <c r="I3859" s="86">
        <v>2268.33</v>
      </c>
      <c r="J3859" s="85" t="s">
        <v>9954</v>
      </c>
      <c r="K3859" s="85" t="s">
        <v>13636</v>
      </c>
      <c r="L3859" s="85" t="s">
        <v>10873</v>
      </c>
      <c r="M3859" s="85" t="s">
        <v>13698</v>
      </c>
    </row>
    <row r="3860" ht="228" spans="1:13">
      <c r="A3860" s="85" t="s">
        <v>13633</v>
      </c>
      <c r="B3860" s="85" t="s">
        <v>13699</v>
      </c>
      <c r="C3860" s="85" t="s">
        <v>13700</v>
      </c>
      <c r="D3860" s="85" t="s">
        <v>3367</v>
      </c>
      <c r="E3860" s="85" t="s">
        <v>13700</v>
      </c>
      <c r="F3860" s="86">
        <v>7.8</v>
      </c>
      <c r="G3860" s="86">
        <v>12</v>
      </c>
      <c r="H3860" s="86">
        <v>93.6</v>
      </c>
      <c r="I3860" s="86">
        <v>2268.33</v>
      </c>
      <c r="J3860" s="85" t="s">
        <v>9954</v>
      </c>
      <c r="K3860" s="85" t="s">
        <v>13636</v>
      </c>
      <c r="L3860" s="85" t="s">
        <v>10873</v>
      </c>
      <c r="M3860" s="85" t="s">
        <v>13701</v>
      </c>
    </row>
    <row r="3861" ht="228" spans="1:13">
      <c r="A3861" s="85" t="s">
        <v>13644</v>
      </c>
      <c r="B3861" s="85" t="s">
        <v>6271</v>
      </c>
      <c r="C3861" s="85" t="s">
        <v>6272</v>
      </c>
      <c r="D3861" s="85" t="s">
        <v>6273</v>
      </c>
      <c r="E3861" s="85" t="s">
        <v>6272</v>
      </c>
      <c r="F3861" s="86">
        <v>3.51</v>
      </c>
      <c r="G3861" s="86">
        <v>7</v>
      </c>
      <c r="H3861" s="86">
        <v>24.57</v>
      </c>
      <c r="I3861" s="86">
        <v>234.99</v>
      </c>
      <c r="J3861" s="85" t="s">
        <v>2965</v>
      </c>
      <c r="K3861" s="85" t="s">
        <v>13636</v>
      </c>
      <c r="L3861" s="85" t="s">
        <v>10873</v>
      </c>
      <c r="M3861" s="85" t="s">
        <v>13702</v>
      </c>
    </row>
    <row r="3862" ht="228" spans="1:13">
      <c r="A3862" s="85" t="s">
        <v>13633</v>
      </c>
      <c r="B3862" s="85" t="s">
        <v>13703</v>
      </c>
      <c r="C3862" s="85" t="s">
        <v>13704</v>
      </c>
      <c r="D3862" s="85" t="s">
        <v>3183</v>
      </c>
      <c r="E3862" s="85" t="s">
        <v>13704</v>
      </c>
      <c r="F3862" s="86">
        <v>21.22</v>
      </c>
      <c r="G3862" s="86">
        <v>20</v>
      </c>
      <c r="H3862" s="86">
        <v>424.4</v>
      </c>
      <c r="I3862" s="86">
        <v>2268.33</v>
      </c>
      <c r="J3862" s="85" t="s">
        <v>9954</v>
      </c>
      <c r="K3862" s="85" t="s">
        <v>13636</v>
      </c>
      <c r="L3862" s="85" t="s">
        <v>10873</v>
      </c>
      <c r="M3862" s="85" t="s">
        <v>13705</v>
      </c>
    </row>
    <row r="3863" ht="228" spans="1:13">
      <c r="A3863" s="85" t="s">
        <v>13633</v>
      </c>
      <c r="B3863" s="85" t="s">
        <v>13706</v>
      </c>
      <c r="C3863" s="85" t="s">
        <v>13707</v>
      </c>
      <c r="D3863" s="85" t="s">
        <v>3367</v>
      </c>
      <c r="E3863" s="85" t="s">
        <v>13707</v>
      </c>
      <c r="F3863" s="86">
        <v>19.1</v>
      </c>
      <c r="G3863" s="86">
        <v>1</v>
      </c>
      <c r="H3863" s="86">
        <v>19.1</v>
      </c>
      <c r="I3863" s="86">
        <v>2268.33</v>
      </c>
      <c r="J3863" s="85" t="s">
        <v>9954</v>
      </c>
      <c r="K3863" s="85" t="s">
        <v>13636</v>
      </c>
      <c r="L3863" s="85" t="s">
        <v>10873</v>
      </c>
      <c r="M3863" s="85" t="s">
        <v>13708</v>
      </c>
    </row>
    <row r="3864" ht="228" spans="1:13">
      <c r="A3864" s="85" t="s">
        <v>13633</v>
      </c>
      <c r="B3864" s="85" t="s">
        <v>13709</v>
      </c>
      <c r="C3864" s="85" t="s">
        <v>13710</v>
      </c>
      <c r="D3864" s="85" t="s">
        <v>3068</v>
      </c>
      <c r="E3864" s="85" t="s">
        <v>13710</v>
      </c>
      <c r="F3864" s="86">
        <v>1.1</v>
      </c>
      <c r="G3864" s="86">
        <v>10</v>
      </c>
      <c r="H3864" s="86">
        <v>11</v>
      </c>
      <c r="I3864" s="86">
        <v>2268.33</v>
      </c>
      <c r="J3864" s="85" t="s">
        <v>9954</v>
      </c>
      <c r="K3864" s="85" t="s">
        <v>13636</v>
      </c>
      <c r="L3864" s="85" t="s">
        <v>10873</v>
      </c>
      <c r="M3864" s="85" t="s">
        <v>13711</v>
      </c>
    </row>
    <row r="3865" ht="228" spans="1:13">
      <c r="A3865" s="85" t="s">
        <v>13633</v>
      </c>
      <c r="B3865" s="85" t="s">
        <v>13712</v>
      </c>
      <c r="C3865" s="85" t="s">
        <v>13713</v>
      </c>
      <c r="D3865" s="85" t="s">
        <v>7533</v>
      </c>
      <c r="E3865" s="85" t="s">
        <v>13713</v>
      </c>
      <c r="F3865" s="86">
        <v>7.73</v>
      </c>
      <c r="G3865" s="86">
        <v>15</v>
      </c>
      <c r="H3865" s="86">
        <v>115.95</v>
      </c>
      <c r="I3865" s="86">
        <v>2268.33</v>
      </c>
      <c r="J3865" s="85" t="s">
        <v>9954</v>
      </c>
      <c r="K3865" s="85" t="s">
        <v>13636</v>
      </c>
      <c r="L3865" s="85" t="s">
        <v>10873</v>
      </c>
      <c r="M3865" s="85" t="s">
        <v>13714</v>
      </c>
    </row>
    <row r="3866" ht="228" spans="1:13">
      <c r="A3866" s="85" t="s">
        <v>13633</v>
      </c>
      <c r="B3866" s="85" t="s">
        <v>13715</v>
      </c>
      <c r="C3866" s="85" t="s">
        <v>13716</v>
      </c>
      <c r="D3866" s="85" t="s">
        <v>3367</v>
      </c>
      <c r="E3866" s="85" t="s">
        <v>13716</v>
      </c>
      <c r="F3866" s="86">
        <v>3.69</v>
      </c>
      <c r="G3866" s="86">
        <v>5</v>
      </c>
      <c r="H3866" s="86">
        <v>18.45</v>
      </c>
      <c r="I3866" s="86">
        <v>2268.33</v>
      </c>
      <c r="J3866" s="85" t="s">
        <v>9954</v>
      </c>
      <c r="K3866" s="85" t="s">
        <v>13636</v>
      </c>
      <c r="L3866" s="85" t="s">
        <v>10873</v>
      </c>
      <c r="M3866" s="85" t="s">
        <v>13717</v>
      </c>
    </row>
    <row r="3867" ht="228" spans="1:13">
      <c r="A3867" s="85" t="s">
        <v>13633</v>
      </c>
      <c r="B3867" s="85" t="s">
        <v>13718</v>
      </c>
      <c r="C3867" s="85" t="s">
        <v>13719</v>
      </c>
      <c r="D3867" s="85" t="s">
        <v>3367</v>
      </c>
      <c r="E3867" s="85" t="s">
        <v>13719</v>
      </c>
      <c r="F3867" s="86">
        <v>1.95</v>
      </c>
      <c r="G3867" s="86">
        <v>1</v>
      </c>
      <c r="H3867" s="86">
        <v>1.95</v>
      </c>
      <c r="I3867" s="86">
        <v>2268.33</v>
      </c>
      <c r="J3867" s="85" t="s">
        <v>9954</v>
      </c>
      <c r="K3867" s="85" t="s">
        <v>13636</v>
      </c>
      <c r="L3867" s="85" t="s">
        <v>10873</v>
      </c>
      <c r="M3867" s="85" t="s">
        <v>13720</v>
      </c>
    </row>
    <row r="3868" ht="228" spans="1:13">
      <c r="A3868" s="85" t="s">
        <v>13633</v>
      </c>
      <c r="B3868" s="85" t="s">
        <v>13721</v>
      </c>
      <c r="C3868" s="85" t="s">
        <v>13722</v>
      </c>
      <c r="D3868" s="85" t="s">
        <v>7523</v>
      </c>
      <c r="E3868" s="85" t="s">
        <v>13722</v>
      </c>
      <c r="F3868" s="86">
        <v>6.83</v>
      </c>
      <c r="G3868" s="86">
        <v>1</v>
      </c>
      <c r="H3868" s="86">
        <v>6.83</v>
      </c>
      <c r="I3868" s="86">
        <v>2268.33</v>
      </c>
      <c r="J3868" s="85" t="s">
        <v>9954</v>
      </c>
      <c r="K3868" s="85" t="s">
        <v>13636</v>
      </c>
      <c r="L3868" s="85" t="s">
        <v>10873</v>
      </c>
      <c r="M3868" s="85" t="s">
        <v>13723</v>
      </c>
    </row>
    <row r="3869" ht="228" spans="1:13">
      <c r="A3869" s="85" t="s">
        <v>13644</v>
      </c>
      <c r="B3869" s="85" t="s">
        <v>13724</v>
      </c>
      <c r="C3869" s="85" t="s">
        <v>13725</v>
      </c>
      <c r="D3869" s="85" t="s">
        <v>3367</v>
      </c>
      <c r="E3869" s="85" t="s">
        <v>13725</v>
      </c>
      <c r="F3869" s="86">
        <v>1.42</v>
      </c>
      <c r="G3869" s="86">
        <v>1</v>
      </c>
      <c r="H3869" s="86">
        <v>1.42</v>
      </c>
      <c r="I3869" s="86">
        <v>234.99</v>
      </c>
      <c r="J3869" s="85" t="s">
        <v>2965</v>
      </c>
      <c r="K3869" s="85" t="s">
        <v>13636</v>
      </c>
      <c r="L3869" s="85" t="s">
        <v>10873</v>
      </c>
      <c r="M3869" s="85" t="s">
        <v>13726</v>
      </c>
    </row>
    <row r="3870" ht="327.75" spans="1:13">
      <c r="A3870" s="85" t="s">
        <v>13727</v>
      </c>
      <c r="B3870" s="85" t="s">
        <v>12910</v>
      </c>
      <c r="C3870" s="85" t="s">
        <v>12911</v>
      </c>
      <c r="D3870" s="85" t="s">
        <v>3261</v>
      </c>
      <c r="E3870" s="85" t="s">
        <v>3262</v>
      </c>
      <c r="F3870" s="86">
        <v>74</v>
      </c>
      <c r="G3870" s="86">
        <v>300</v>
      </c>
      <c r="H3870" s="86">
        <v>22200</v>
      </c>
      <c r="I3870" s="86">
        <v>22244</v>
      </c>
      <c r="J3870" s="85" t="s">
        <v>2935</v>
      </c>
      <c r="K3870" s="85" t="s">
        <v>13728</v>
      </c>
      <c r="L3870" s="85" t="s">
        <v>12417</v>
      </c>
      <c r="M3870" s="85" t="s">
        <v>13729</v>
      </c>
    </row>
    <row r="3871" ht="327.75" spans="1:13">
      <c r="A3871" s="85" t="s">
        <v>13727</v>
      </c>
      <c r="B3871" s="85" t="s">
        <v>5349</v>
      </c>
      <c r="C3871" s="85" t="s">
        <v>5350</v>
      </c>
      <c r="D3871" s="85" t="s">
        <v>3189</v>
      </c>
      <c r="E3871" s="85" t="s">
        <v>5351</v>
      </c>
      <c r="F3871" s="86">
        <v>22</v>
      </c>
      <c r="G3871" s="86">
        <v>2</v>
      </c>
      <c r="H3871" s="86">
        <v>44</v>
      </c>
      <c r="I3871" s="86">
        <v>22244</v>
      </c>
      <c r="J3871" s="85" t="s">
        <v>2935</v>
      </c>
      <c r="K3871" s="85" t="s">
        <v>13728</v>
      </c>
      <c r="L3871" s="85" t="s">
        <v>12417</v>
      </c>
      <c r="M3871" s="85" t="s">
        <v>13730</v>
      </c>
    </row>
    <row r="3872" ht="327.75" spans="1:13">
      <c r="A3872" s="85" t="s">
        <v>13731</v>
      </c>
      <c r="B3872" s="85" t="s">
        <v>13732</v>
      </c>
      <c r="C3872" s="85" t="s">
        <v>13733</v>
      </c>
      <c r="D3872" s="85" t="s">
        <v>2992</v>
      </c>
      <c r="E3872" s="85" t="s">
        <v>13733</v>
      </c>
      <c r="F3872" s="86">
        <v>65.55</v>
      </c>
      <c r="G3872" s="86">
        <v>70</v>
      </c>
      <c r="H3872" s="86">
        <v>4588.5</v>
      </c>
      <c r="I3872" s="86">
        <v>23303.5</v>
      </c>
      <c r="J3872" s="85" t="s">
        <v>2965</v>
      </c>
      <c r="K3872" s="85" t="s">
        <v>13734</v>
      </c>
      <c r="L3872" s="85" t="s">
        <v>12417</v>
      </c>
      <c r="M3872" s="85" t="s">
        <v>13735</v>
      </c>
    </row>
    <row r="3873" ht="327.75" spans="1:13">
      <c r="A3873" s="85" t="s">
        <v>13736</v>
      </c>
      <c r="B3873" s="85" t="s">
        <v>13312</v>
      </c>
      <c r="C3873" s="85" t="s">
        <v>13313</v>
      </c>
      <c r="D3873" s="85" t="s">
        <v>5610</v>
      </c>
      <c r="E3873" s="85" t="s">
        <v>13314</v>
      </c>
      <c r="F3873" s="86">
        <v>82.5</v>
      </c>
      <c r="G3873" s="86">
        <v>60</v>
      </c>
      <c r="H3873" s="86">
        <v>4950</v>
      </c>
      <c r="I3873" s="86">
        <v>13596.2</v>
      </c>
      <c r="J3873" s="85" t="s">
        <v>4391</v>
      </c>
      <c r="K3873" s="85" t="s">
        <v>13734</v>
      </c>
      <c r="L3873" s="85" t="s">
        <v>12417</v>
      </c>
      <c r="M3873" s="85" t="s">
        <v>13737</v>
      </c>
    </row>
    <row r="3874" ht="327.75" spans="1:13">
      <c r="A3874" s="85" t="s">
        <v>13736</v>
      </c>
      <c r="B3874" s="85" t="s">
        <v>7699</v>
      </c>
      <c r="C3874" s="85" t="s">
        <v>7700</v>
      </c>
      <c r="D3874" s="85" t="s">
        <v>4772</v>
      </c>
      <c r="E3874" s="85" t="s">
        <v>4773</v>
      </c>
      <c r="F3874" s="86">
        <v>101</v>
      </c>
      <c r="G3874" s="86">
        <v>5</v>
      </c>
      <c r="H3874" s="86">
        <v>505</v>
      </c>
      <c r="I3874" s="86">
        <v>13596.2</v>
      </c>
      <c r="J3874" s="85" t="s">
        <v>4391</v>
      </c>
      <c r="K3874" s="85" t="s">
        <v>13734</v>
      </c>
      <c r="L3874" s="85" t="s">
        <v>12417</v>
      </c>
      <c r="M3874" s="85" t="s">
        <v>13738</v>
      </c>
    </row>
    <row r="3875" ht="327.75" spans="1:13">
      <c r="A3875" s="85" t="s">
        <v>13739</v>
      </c>
      <c r="B3875" s="85" t="s">
        <v>13675</v>
      </c>
      <c r="C3875" s="85" t="s">
        <v>13676</v>
      </c>
      <c r="D3875" s="85" t="s">
        <v>3197</v>
      </c>
      <c r="E3875" s="85" t="s">
        <v>13676</v>
      </c>
      <c r="F3875" s="86">
        <v>0.86</v>
      </c>
      <c r="G3875" s="86">
        <v>500</v>
      </c>
      <c r="H3875" s="86">
        <v>430</v>
      </c>
      <c r="I3875" s="86">
        <v>1792.9</v>
      </c>
      <c r="J3875" s="85" t="s">
        <v>9954</v>
      </c>
      <c r="K3875" s="85" t="s">
        <v>13734</v>
      </c>
      <c r="L3875" s="85" t="s">
        <v>12417</v>
      </c>
      <c r="M3875" s="85" t="s">
        <v>13740</v>
      </c>
    </row>
    <row r="3876" ht="327.75" spans="1:13">
      <c r="A3876" s="85" t="s">
        <v>13741</v>
      </c>
      <c r="B3876" s="85" t="s">
        <v>13742</v>
      </c>
      <c r="C3876" s="85" t="s">
        <v>13743</v>
      </c>
      <c r="D3876" s="85" t="s">
        <v>3617</v>
      </c>
      <c r="E3876" s="85" t="s">
        <v>3618</v>
      </c>
      <c r="F3876" s="86">
        <v>18.7</v>
      </c>
      <c r="G3876" s="86">
        <v>20</v>
      </c>
      <c r="H3876" s="86">
        <v>374</v>
      </c>
      <c r="I3876" s="86">
        <v>374</v>
      </c>
      <c r="J3876" s="85" t="s">
        <v>2999</v>
      </c>
      <c r="K3876" s="85" t="s">
        <v>13734</v>
      </c>
      <c r="L3876" s="85" t="s">
        <v>12417</v>
      </c>
      <c r="M3876" s="85" t="s">
        <v>13744</v>
      </c>
    </row>
    <row r="3877" ht="327.75" spans="1:13">
      <c r="A3877" s="85" t="s">
        <v>13731</v>
      </c>
      <c r="B3877" s="85" t="s">
        <v>13745</v>
      </c>
      <c r="C3877" s="85" t="s">
        <v>13746</v>
      </c>
      <c r="D3877" s="85" t="s">
        <v>2992</v>
      </c>
      <c r="E3877" s="85" t="s">
        <v>13746</v>
      </c>
      <c r="F3877" s="86">
        <v>23.75</v>
      </c>
      <c r="G3877" s="86">
        <v>100</v>
      </c>
      <c r="H3877" s="86">
        <v>2375</v>
      </c>
      <c r="I3877" s="86">
        <v>23303.5</v>
      </c>
      <c r="J3877" s="85" t="s">
        <v>2965</v>
      </c>
      <c r="K3877" s="85" t="s">
        <v>13734</v>
      </c>
      <c r="L3877" s="85" t="s">
        <v>12417</v>
      </c>
      <c r="M3877" s="85" t="s">
        <v>13747</v>
      </c>
    </row>
    <row r="3878" ht="327.75" spans="1:13">
      <c r="A3878" s="85" t="s">
        <v>13736</v>
      </c>
      <c r="B3878" s="85" t="s">
        <v>13748</v>
      </c>
      <c r="C3878" s="85" t="s">
        <v>13749</v>
      </c>
      <c r="D3878" s="85" t="s">
        <v>6824</v>
      </c>
      <c r="E3878" s="85" t="s">
        <v>6825</v>
      </c>
      <c r="F3878" s="86">
        <v>231.04</v>
      </c>
      <c r="G3878" s="86">
        <v>30</v>
      </c>
      <c r="H3878" s="86">
        <v>6931.2</v>
      </c>
      <c r="I3878" s="86">
        <v>13596.2</v>
      </c>
      <c r="J3878" s="85" t="s">
        <v>4391</v>
      </c>
      <c r="K3878" s="85" t="s">
        <v>13734</v>
      </c>
      <c r="L3878" s="85" t="s">
        <v>12417</v>
      </c>
      <c r="M3878" s="85" t="s">
        <v>13750</v>
      </c>
    </row>
    <row r="3879" ht="327.75" spans="1:13">
      <c r="A3879" s="85" t="s">
        <v>13739</v>
      </c>
      <c r="B3879" s="85" t="s">
        <v>13751</v>
      </c>
      <c r="C3879" s="85" t="s">
        <v>13752</v>
      </c>
      <c r="D3879" s="85" t="s">
        <v>3068</v>
      </c>
      <c r="E3879" s="85" t="s">
        <v>13752</v>
      </c>
      <c r="F3879" s="86">
        <v>21.42</v>
      </c>
      <c r="G3879" s="86">
        <v>5</v>
      </c>
      <c r="H3879" s="86">
        <v>107.1</v>
      </c>
      <c r="I3879" s="86">
        <v>1792.9</v>
      </c>
      <c r="J3879" s="85" t="s">
        <v>9954</v>
      </c>
      <c r="K3879" s="85" t="s">
        <v>13734</v>
      </c>
      <c r="L3879" s="85" t="s">
        <v>12417</v>
      </c>
      <c r="M3879" s="85" t="s">
        <v>13753</v>
      </c>
    </row>
    <row r="3880" ht="327.75" spans="1:13">
      <c r="A3880" s="85" t="s">
        <v>13739</v>
      </c>
      <c r="B3880" s="85" t="s">
        <v>13754</v>
      </c>
      <c r="C3880" s="85" t="s">
        <v>13755</v>
      </c>
      <c r="D3880" s="85" t="s">
        <v>3068</v>
      </c>
      <c r="E3880" s="85" t="s">
        <v>13755</v>
      </c>
      <c r="F3880" s="86">
        <v>2.2</v>
      </c>
      <c r="G3880" s="86">
        <v>40</v>
      </c>
      <c r="H3880" s="86">
        <v>88</v>
      </c>
      <c r="I3880" s="86">
        <v>1792.9</v>
      </c>
      <c r="J3880" s="85" t="s">
        <v>9954</v>
      </c>
      <c r="K3880" s="85" t="s">
        <v>13734</v>
      </c>
      <c r="L3880" s="85" t="s">
        <v>12417</v>
      </c>
      <c r="M3880" s="85" t="s">
        <v>13756</v>
      </c>
    </row>
    <row r="3881" ht="327.75" spans="1:13">
      <c r="A3881" s="85" t="s">
        <v>13739</v>
      </c>
      <c r="B3881" s="85" t="s">
        <v>13703</v>
      </c>
      <c r="C3881" s="85" t="s">
        <v>13704</v>
      </c>
      <c r="D3881" s="85" t="s">
        <v>3183</v>
      </c>
      <c r="E3881" s="85" t="s">
        <v>13704</v>
      </c>
      <c r="F3881" s="86">
        <v>21.22</v>
      </c>
      <c r="G3881" s="86">
        <v>40</v>
      </c>
      <c r="H3881" s="86">
        <v>848.8</v>
      </c>
      <c r="I3881" s="86">
        <v>1792.9</v>
      </c>
      <c r="J3881" s="85" t="s">
        <v>9954</v>
      </c>
      <c r="K3881" s="85" t="s">
        <v>13734</v>
      </c>
      <c r="L3881" s="85" t="s">
        <v>12417</v>
      </c>
      <c r="M3881" s="85" t="s">
        <v>13757</v>
      </c>
    </row>
    <row r="3882" ht="327.75" spans="1:13">
      <c r="A3882" s="85" t="s">
        <v>13736</v>
      </c>
      <c r="B3882" s="85" t="s">
        <v>13758</v>
      </c>
      <c r="C3882" s="85" t="s">
        <v>13759</v>
      </c>
      <c r="D3882" s="85" t="s">
        <v>3584</v>
      </c>
      <c r="E3882" s="85" t="s">
        <v>3585</v>
      </c>
      <c r="F3882" s="86">
        <v>320</v>
      </c>
      <c r="G3882" s="86">
        <v>3</v>
      </c>
      <c r="H3882" s="86">
        <v>960</v>
      </c>
      <c r="I3882" s="86">
        <v>13596.2</v>
      </c>
      <c r="J3882" s="85" t="s">
        <v>4391</v>
      </c>
      <c r="K3882" s="85" t="s">
        <v>13734</v>
      </c>
      <c r="L3882" s="85" t="s">
        <v>12417</v>
      </c>
      <c r="M3882" s="85" t="s">
        <v>13760</v>
      </c>
    </row>
    <row r="3883" ht="327.75" spans="1:13">
      <c r="A3883" s="85" t="s">
        <v>13736</v>
      </c>
      <c r="B3883" s="85" t="s">
        <v>13761</v>
      </c>
      <c r="C3883" s="85" t="s">
        <v>13762</v>
      </c>
      <c r="D3883" s="85" t="s">
        <v>5766</v>
      </c>
      <c r="E3883" s="85" t="s">
        <v>10960</v>
      </c>
      <c r="F3883" s="86">
        <v>5</v>
      </c>
      <c r="G3883" s="86">
        <v>50</v>
      </c>
      <c r="H3883" s="86">
        <v>250</v>
      </c>
      <c r="I3883" s="86">
        <v>13596.2</v>
      </c>
      <c r="J3883" s="85" t="s">
        <v>4391</v>
      </c>
      <c r="K3883" s="85" t="s">
        <v>13734</v>
      </c>
      <c r="L3883" s="85" t="s">
        <v>12417</v>
      </c>
      <c r="M3883" s="85" t="s">
        <v>13763</v>
      </c>
    </row>
    <row r="3884" ht="327.75" spans="1:13">
      <c r="A3884" s="85" t="s">
        <v>13764</v>
      </c>
      <c r="B3884" s="85" t="s">
        <v>13418</v>
      </c>
      <c r="C3884" s="85" t="s">
        <v>13419</v>
      </c>
      <c r="D3884" s="85" t="s">
        <v>4076</v>
      </c>
      <c r="E3884" s="85" t="s">
        <v>1832</v>
      </c>
      <c r="F3884" s="86">
        <v>137</v>
      </c>
      <c r="G3884" s="86">
        <v>180</v>
      </c>
      <c r="H3884" s="86">
        <v>24660</v>
      </c>
      <c r="I3884" s="86">
        <v>55102</v>
      </c>
      <c r="J3884" s="85" t="s">
        <v>2938</v>
      </c>
      <c r="K3884" s="85" t="s">
        <v>13734</v>
      </c>
      <c r="L3884" s="85" t="s">
        <v>12417</v>
      </c>
      <c r="M3884" s="85" t="s">
        <v>13765</v>
      </c>
    </row>
    <row r="3885" ht="327.75" spans="1:13">
      <c r="A3885" s="85" t="s">
        <v>13764</v>
      </c>
      <c r="B3885" s="85" t="s">
        <v>13445</v>
      </c>
      <c r="C3885" s="85" t="s">
        <v>13446</v>
      </c>
      <c r="D3885" s="85" t="s">
        <v>5240</v>
      </c>
      <c r="E3885" s="85" t="s">
        <v>4081</v>
      </c>
      <c r="F3885" s="86">
        <v>23.5</v>
      </c>
      <c r="G3885" s="86">
        <v>160</v>
      </c>
      <c r="H3885" s="86">
        <v>3760</v>
      </c>
      <c r="I3885" s="86">
        <v>55102</v>
      </c>
      <c r="J3885" s="85" t="s">
        <v>2938</v>
      </c>
      <c r="K3885" s="85" t="s">
        <v>13734</v>
      </c>
      <c r="L3885" s="85" t="s">
        <v>12417</v>
      </c>
      <c r="M3885" s="85" t="s">
        <v>13766</v>
      </c>
    </row>
    <row r="3886" ht="327.75" spans="1:13">
      <c r="A3886" s="85" t="s">
        <v>13731</v>
      </c>
      <c r="B3886" s="85" t="s">
        <v>13767</v>
      </c>
      <c r="C3886" s="85" t="s">
        <v>13768</v>
      </c>
      <c r="D3886" s="85" t="s">
        <v>2992</v>
      </c>
      <c r="E3886" s="85" t="s">
        <v>13768</v>
      </c>
      <c r="F3886" s="86">
        <v>17.1</v>
      </c>
      <c r="G3886" s="86">
        <v>200</v>
      </c>
      <c r="H3886" s="86">
        <v>3420</v>
      </c>
      <c r="I3886" s="86">
        <v>23303.5</v>
      </c>
      <c r="J3886" s="85" t="s">
        <v>2965</v>
      </c>
      <c r="K3886" s="85" t="s">
        <v>13734</v>
      </c>
      <c r="L3886" s="85" t="s">
        <v>12417</v>
      </c>
      <c r="M3886" s="85" t="s">
        <v>13769</v>
      </c>
    </row>
    <row r="3887" ht="327.75" spans="1:13">
      <c r="A3887" s="85" t="s">
        <v>13739</v>
      </c>
      <c r="B3887" s="85" t="s">
        <v>13770</v>
      </c>
      <c r="C3887" s="85" t="s">
        <v>13771</v>
      </c>
      <c r="D3887" s="85" t="s">
        <v>3367</v>
      </c>
      <c r="E3887" s="85" t="s">
        <v>13771</v>
      </c>
      <c r="F3887" s="86">
        <v>2.2</v>
      </c>
      <c r="G3887" s="86">
        <v>5</v>
      </c>
      <c r="H3887" s="86">
        <v>11</v>
      </c>
      <c r="I3887" s="86">
        <v>1792.9</v>
      </c>
      <c r="J3887" s="85" t="s">
        <v>9954</v>
      </c>
      <c r="K3887" s="85" t="s">
        <v>13734</v>
      </c>
      <c r="L3887" s="85" t="s">
        <v>12417</v>
      </c>
      <c r="M3887" s="85" t="s">
        <v>13772</v>
      </c>
    </row>
    <row r="3888" ht="327.75" spans="1:13">
      <c r="A3888" s="85" t="s">
        <v>13764</v>
      </c>
      <c r="B3888" s="85" t="s">
        <v>13434</v>
      </c>
      <c r="C3888" s="85" t="s">
        <v>13435</v>
      </c>
      <c r="D3888" s="85" t="s">
        <v>3747</v>
      </c>
      <c r="E3888" s="85" t="s">
        <v>1827</v>
      </c>
      <c r="F3888" s="86">
        <v>123</v>
      </c>
      <c r="G3888" s="86">
        <v>200</v>
      </c>
      <c r="H3888" s="86">
        <v>24600</v>
      </c>
      <c r="I3888" s="86">
        <v>55102</v>
      </c>
      <c r="J3888" s="85" t="s">
        <v>2938</v>
      </c>
      <c r="K3888" s="85" t="s">
        <v>13734</v>
      </c>
      <c r="L3888" s="85" t="s">
        <v>12417</v>
      </c>
      <c r="M3888" s="85" t="s">
        <v>13773</v>
      </c>
    </row>
    <row r="3889" ht="327.75" spans="1:13">
      <c r="A3889" s="85" t="s">
        <v>13731</v>
      </c>
      <c r="B3889" s="85" t="s">
        <v>13774</v>
      </c>
      <c r="C3889" s="85" t="s">
        <v>13775</v>
      </c>
      <c r="D3889" s="85" t="s">
        <v>2992</v>
      </c>
      <c r="E3889" s="85" t="s">
        <v>13775</v>
      </c>
      <c r="F3889" s="86">
        <v>6.46</v>
      </c>
      <c r="G3889" s="86">
        <v>2000</v>
      </c>
      <c r="H3889" s="86">
        <v>12920</v>
      </c>
      <c r="I3889" s="86">
        <v>23303.5</v>
      </c>
      <c r="J3889" s="85" t="s">
        <v>2965</v>
      </c>
      <c r="K3889" s="85" t="s">
        <v>13734</v>
      </c>
      <c r="L3889" s="85" t="s">
        <v>12417</v>
      </c>
      <c r="M3889" s="85" t="s">
        <v>13776</v>
      </c>
    </row>
    <row r="3890" ht="327.75" spans="1:13">
      <c r="A3890" s="85" t="s">
        <v>13739</v>
      </c>
      <c r="B3890" s="85" t="s">
        <v>11220</v>
      </c>
      <c r="C3890" s="85" t="s">
        <v>11221</v>
      </c>
      <c r="D3890" s="85" t="s">
        <v>3183</v>
      </c>
      <c r="E3890" s="85" t="s">
        <v>11221</v>
      </c>
      <c r="F3890" s="86">
        <v>61.6</v>
      </c>
      <c r="G3890" s="86">
        <v>5</v>
      </c>
      <c r="H3890" s="86">
        <v>308</v>
      </c>
      <c r="I3890" s="86">
        <v>1792.9</v>
      </c>
      <c r="J3890" s="85" t="s">
        <v>9954</v>
      </c>
      <c r="K3890" s="85" t="s">
        <v>13734</v>
      </c>
      <c r="L3890" s="85" t="s">
        <v>12417</v>
      </c>
      <c r="M3890" s="85" t="s">
        <v>13777</v>
      </c>
    </row>
    <row r="3891" ht="327.75" spans="1:13">
      <c r="A3891" s="85" t="s">
        <v>13764</v>
      </c>
      <c r="B3891" s="85" t="s">
        <v>13426</v>
      </c>
      <c r="C3891" s="85" t="s">
        <v>13427</v>
      </c>
      <c r="D3891" s="85" t="s">
        <v>3548</v>
      </c>
      <c r="E3891" s="85" t="s">
        <v>1835</v>
      </c>
      <c r="F3891" s="86">
        <v>17.35</v>
      </c>
      <c r="G3891" s="86">
        <v>120</v>
      </c>
      <c r="H3891" s="86">
        <v>2082</v>
      </c>
      <c r="I3891" s="86">
        <v>55102</v>
      </c>
      <c r="J3891" s="85" t="s">
        <v>2938</v>
      </c>
      <c r="K3891" s="85" t="s">
        <v>13734</v>
      </c>
      <c r="L3891" s="85" t="s">
        <v>12417</v>
      </c>
      <c r="M3891" s="85" t="s">
        <v>13778</v>
      </c>
    </row>
    <row r="3892" ht="327.75" spans="1:13">
      <c r="A3892" s="85" t="s">
        <v>13779</v>
      </c>
      <c r="B3892" s="85" t="s">
        <v>13426</v>
      </c>
      <c r="C3892" s="85" t="s">
        <v>13427</v>
      </c>
      <c r="D3892" s="85" t="s">
        <v>3548</v>
      </c>
      <c r="E3892" s="85" t="s">
        <v>1835</v>
      </c>
      <c r="F3892" s="86">
        <v>17.35</v>
      </c>
      <c r="G3892" s="86">
        <v>120</v>
      </c>
      <c r="H3892" s="86">
        <v>2082</v>
      </c>
      <c r="I3892" s="86">
        <v>52362</v>
      </c>
      <c r="J3892" s="85" t="s">
        <v>2938</v>
      </c>
      <c r="K3892" s="85" t="s">
        <v>13780</v>
      </c>
      <c r="L3892" s="85" t="s">
        <v>12417</v>
      </c>
      <c r="M3892" s="85" t="s">
        <v>13781</v>
      </c>
    </row>
    <row r="3893" ht="327.75" spans="1:13">
      <c r="A3893" s="85" t="s">
        <v>13782</v>
      </c>
      <c r="B3893" s="85" t="s">
        <v>4537</v>
      </c>
      <c r="C3893" s="85" t="s">
        <v>10044</v>
      </c>
      <c r="D3893" s="85" t="s">
        <v>2997</v>
      </c>
      <c r="E3893" s="85" t="s">
        <v>2998</v>
      </c>
      <c r="F3893" s="86">
        <v>19</v>
      </c>
      <c r="G3893" s="86">
        <v>240</v>
      </c>
      <c r="H3893" s="86">
        <v>4560</v>
      </c>
      <c r="I3893" s="86">
        <v>4560</v>
      </c>
      <c r="J3893" s="85" t="s">
        <v>2999</v>
      </c>
      <c r="K3893" s="85" t="s">
        <v>13780</v>
      </c>
      <c r="L3893" s="85" t="s">
        <v>12417</v>
      </c>
      <c r="M3893" s="85" t="s">
        <v>13783</v>
      </c>
    </row>
    <row r="3894" ht="327.75" spans="1:13">
      <c r="A3894" s="85" t="s">
        <v>13779</v>
      </c>
      <c r="B3894" s="85" t="s">
        <v>13445</v>
      </c>
      <c r="C3894" s="85" t="s">
        <v>13446</v>
      </c>
      <c r="D3894" s="85" t="s">
        <v>5240</v>
      </c>
      <c r="E3894" s="85" t="s">
        <v>4081</v>
      </c>
      <c r="F3894" s="86">
        <v>23.5</v>
      </c>
      <c r="G3894" s="86">
        <v>160</v>
      </c>
      <c r="H3894" s="86">
        <v>3760</v>
      </c>
      <c r="I3894" s="86">
        <v>52362</v>
      </c>
      <c r="J3894" s="85" t="s">
        <v>2938</v>
      </c>
      <c r="K3894" s="85" t="s">
        <v>13780</v>
      </c>
      <c r="L3894" s="85" t="s">
        <v>12417</v>
      </c>
      <c r="M3894" s="85" t="s">
        <v>13784</v>
      </c>
    </row>
    <row r="3895" ht="327.75" spans="1:13">
      <c r="A3895" s="85" t="s">
        <v>13779</v>
      </c>
      <c r="B3895" s="85" t="s">
        <v>13418</v>
      </c>
      <c r="C3895" s="85" t="s">
        <v>13419</v>
      </c>
      <c r="D3895" s="85" t="s">
        <v>4076</v>
      </c>
      <c r="E3895" s="85" t="s">
        <v>1832</v>
      </c>
      <c r="F3895" s="86">
        <v>137</v>
      </c>
      <c r="G3895" s="86">
        <v>160</v>
      </c>
      <c r="H3895" s="86">
        <v>21920</v>
      </c>
      <c r="I3895" s="86">
        <v>52362</v>
      </c>
      <c r="J3895" s="85" t="s">
        <v>2938</v>
      </c>
      <c r="K3895" s="85" t="s">
        <v>13780</v>
      </c>
      <c r="L3895" s="85" t="s">
        <v>12417</v>
      </c>
      <c r="M3895" s="85" t="s">
        <v>13785</v>
      </c>
    </row>
    <row r="3896" ht="327.75" spans="1:13">
      <c r="A3896" s="85" t="s">
        <v>13779</v>
      </c>
      <c r="B3896" s="85" t="s">
        <v>13434</v>
      </c>
      <c r="C3896" s="85" t="s">
        <v>13435</v>
      </c>
      <c r="D3896" s="85" t="s">
        <v>3747</v>
      </c>
      <c r="E3896" s="85" t="s">
        <v>1827</v>
      </c>
      <c r="F3896" s="86">
        <v>123</v>
      </c>
      <c r="G3896" s="86">
        <v>200</v>
      </c>
      <c r="H3896" s="86">
        <v>24600</v>
      </c>
      <c r="I3896" s="86">
        <v>52362</v>
      </c>
      <c r="J3896" s="85" t="s">
        <v>2938</v>
      </c>
      <c r="K3896" s="85" t="s">
        <v>13780</v>
      </c>
      <c r="L3896" s="85" t="s">
        <v>12417</v>
      </c>
      <c r="M3896" s="85" t="s">
        <v>13786</v>
      </c>
    </row>
    <row r="3897" ht="327.75" spans="1:13">
      <c r="A3897" s="85" t="s">
        <v>13787</v>
      </c>
      <c r="B3897" s="85" t="s">
        <v>13788</v>
      </c>
      <c r="C3897" s="85" t="s">
        <v>13789</v>
      </c>
      <c r="D3897" s="85" t="s">
        <v>9959</v>
      </c>
      <c r="E3897" s="85" t="s">
        <v>13789</v>
      </c>
      <c r="F3897" s="86">
        <v>55.34</v>
      </c>
      <c r="G3897" s="86">
        <v>5</v>
      </c>
      <c r="H3897" s="86">
        <v>276.7</v>
      </c>
      <c r="I3897" s="86">
        <v>418.7</v>
      </c>
      <c r="J3897" s="85" t="s">
        <v>9954</v>
      </c>
      <c r="K3897" s="85" t="s">
        <v>13790</v>
      </c>
      <c r="L3897" s="85" t="s">
        <v>12417</v>
      </c>
      <c r="M3897" s="85" t="s">
        <v>13791</v>
      </c>
    </row>
    <row r="3898" ht="327.75" spans="1:13">
      <c r="A3898" s="85" t="s">
        <v>13787</v>
      </c>
      <c r="B3898" s="85" t="s">
        <v>13792</v>
      </c>
      <c r="C3898" s="85" t="s">
        <v>13793</v>
      </c>
      <c r="D3898" s="85" t="s">
        <v>9959</v>
      </c>
      <c r="E3898" s="85" t="s">
        <v>13793</v>
      </c>
      <c r="F3898" s="86">
        <v>28.4</v>
      </c>
      <c r="G3898" s="86">
        <v>5</v>
      </c>
      <c r="H3898" s="86">
        <v>142</v>
      </c>
      <c r="I3898" s="86">
        <v>418.7</v>
      </c>
      <c r="J3898" s="85" t="s">
        <v>9954</v>
      </c>
      <c r="K3898" s="85" t="s">
        <v>13790</v>
      </c>
      <c r="L3898" s="85" t="s">
        <v>12417</v>
      </c>
      <c r="M3898" s="85" t="s">
        <v>13794</v>
      </c>
    </row>
    <row r="3899" ht="327.75" spans="1:13">
      <c r="A3899" s="85" t="s">
        <v>13795</v>
      </c>
      <c r="B3899" s="85" t="s">
        <v>11493</v>
      </c>
      <c r="C3899" s="85" t="s">
        <v>11494</v>
      </c>
      <c r="D3899" s="85" t="s">
        <v>4929</v>
      </c>
      <c r="E3899" s="85" t="s">
        <v>4930</v>
      </c>
      <c r="F3899" s="86">
        <v>25</v>
      </c>
      <c r="G3899" s="86">
        <v>3</v>
      </c>
      <c r="H3899" s="86">
        <v>75</v>
      </c>
      <c r="I3899" s="86">
        <v>5493.36</v>
      </c>
      <c r="J3899" s="85" t="s">
        <v>4391</v>
      </c>
      <c r="K3899" s="85" t="s">
        <v>13796</v>
      </c>
      <c r="L3899" s="85" t="s">
        <v>12417</v>
      </c>
      <c r="M3899" s="85" t="s">
        <v>13797</v>
      </c>
    </row>
    <row r="3900" ht="327.75" spans="1:13">
      <c r="A3900" s="85" t="s">
        <v>13795</v>
      </c>
      <c r="B3900" s="85" t="s">
        <v>13798</v>
      </c>
      <c r="C3900" s="85" t="s">
        <v>13799</v>
      </c>
      <c r="D3900" s="85" t="s">
        <v>9520</v>
      </c>
      <c r="E3900" s="85" t="s">
        <v>9521</v>
      </c>
      <c r="F3900" s="86">
        <v>15</v>
      </c>
      <c r="G3900" s="86">
        <v>4</v>
      </c>
      <c r="H3900" s="86">
        <v>60</v>
      </c>
      <c r="I3900" s="86">
        <v>5493.36</v>
      </c>
      <c r="J3900" s="85" t="s">
        <v>4391</v>
      </c>
      <c r="K3900" s="85" t="s">
        <v>13796</v>
      </c>
      <c r="L3900" s="85" t="s">
        <v>12417</v>
      </c>
      <c r="M3900" s="85" t="s">
        <v>13800</v>
      </c>
    </row>
    <row r="3901" ht="327.75" spans="1:13">
      <c r="A3901" s="85" t="s">
        <v>13795</v>
      </c>
      <c r="B3901" s="85" t="s">
        <v>13801</v>
      </c>
      <c r="C3901" s="85" t="s">
        <v>13802</v>
      </c>
      <c r="D3901" s="85" t="s">
        <v>3394</v>
      </c>
      <c r="E3901" s="85" t="s">
        <v>8867</v>
      </c>
      <c r="F3901" s="86">
        <v>33</v>
      </c>
      <c r="G3901" s="86">
        <v>5</v>
      </c>
      <c r="H3901" s="86">
        <v>165</v>
      </c>
      <c r="I3901" s="86">
        <v>5493.36</v>
      </c>
      <c r="J3901" s="85" t="s">
        <v>4391</v>
      </c>
      <c r="K3901" s="85" t="s">
        <v>13796</v>
      </c>
      <c r="L3901" s="85" t="s">
        <v>12417</v>
      </c>
      <c r="M3901" s="85" t="s">
        <v>13803</v>
      </c>
    </row>
    <row r="3902" ht="327.75" spans="1:13">
      <c r="A3902" s="85" t="s">
        <v>13795</v>
      </c>
      <c r="B3902" s="85" t="s">
        <v>13804</v>
      </c>
      <c r="C3902" s="85" t="s">
        <v>13805</v>
      </c>
      <c r="D3902" s="85" t="s">
        <v>3148</v>
      </c>
      <c r="E3902" s="85" t="s">
        <v>4242</v>
      </c>
      <c r="F3902" s="86">
        <v>28</v>
      </c>
      <c r="G3902" s="86">
        <v>10</v>
      </c>
      <c r="H3902" s="86">
        <v>280</v>
      </c>
      <c r="I3902" s="86">
        <v>5493.36</v>
      </c>
      <c r="J3902" s="85" t="s">
        <v>4391</v>
      </c>
      <c r="K3902" s="85" t="s">
        <v>13796</v>
      </c>
      <c r="L3902" s="85" t="s">
        <v>12417</v>
      </c>
      <c r="M3902" s="85" t="s">
        <v>13806</v>
      </c>
    </row>
    <row r="3903" ht="327.75" spans="1:13">
      <c r="A3903" s="85" t="s">
        <v>13795</v>
      </c>
      <c r="B3903" s="85" t="s">
        <v>13748</v>
      </c>
      <c r="C3903" s="85" t="s">
        <v>13749</v>
      </c>
      <c r="D3903" s="85" t="s">
        <v>6824</v>
      </c>
      <c r="E3903" s="85" t="s">
        <v>6825</v>
      </c>
      <c r="F3903" s="86">
        <v>231.04</v>
      </c>
      <c r="G3903" s="86">
        <v>9</v>
      </c>
      <c r="H3903" s="86">
        <v>2079.36</v>
      </c>
      <c r="I3903" s="86">
        <v>5493.36</v>
      </c>
      <c r="J3903" s="85" t="s">
        <v>4391</v>
      </c>
      <c r="K3903" s="85" t="s">
        <v>13796</v>
      </c>
      <c r="L3903" s="85" t="s">
        <v>12417</v>
      </c>
      <c r="M3903" s="85" t="s">
        <v>13807</v>
      </c>
    </row>
    <row r="3904" ht="327.75" spans="1:13">
      <c r="A3904" s="85" t="s">
        <v>13795</v>
      </c>
      <c r="B3904" s="85" t="s">
        <v>10078</v>
      </c>
      <c r="C3904" s="85" t="s">
        <v>10079</v>
      </c>
      <c r="D3904" s="85" t="s">
        <v>4898</v>
      </c>
      <c r="E3904" s="85" t="s">
        <v>9456</v>
      </c>
      <c r="F3904" s="86">
        <v>1</v>
      </c>
      <c r="G3904" s="86">
        <v>100</v>
      </c>
      <c r="H3904" s="86">
        <v>100</v>
      </c>
      <c r="I3904" s="86">
        <v>5493.36</v>
      </c>
      <c r="J3904" s="85" t="s">
        <v>4391</v>
      </c>
      <c r="K3904" s="85" t="s">
        <v>13796</v>
      </c>
      <c r="L3904" s="85" t="s">
        <v>12417</v>
      </c>
      <c r="M3904" s="85" t="s">
        <v>13808</v>
      </c>
    </row>
    <row r="3905" ht="327.75" spans="1:13">
      <c r="A3905" s="85" t="s">
        <v>13795</v>
      </c>
      <c r="B3905" s="85" t="s">
        <v>6809</v>
      </c>
      <c r="C3905" s="85" t="s">
        <v>6810</v>
      </c>
      <c r="D3905" s="85" t="s">
        <v>6811</v>
      </c>
      <c r="E3905" s="85" t="s">
        <v>6812</v>
      </c>
      <c r="F3905" s="86">
        <v>38.75</v>
      </c>
      <c r="G3905" s="86">
        <v>30</v>
      </c>
      <c r="H3905" s="86">
        <v>1162.5</v>
      </c>
      <c r="I3905" s="86">
        <v>5493.36</v>
      </c>
      <c r="J3905" s="85" t="s">
        <v>4391</v>
      </c>
      <c r="K3905" s="85" t="s">
        <v>13796</v>
      </c>
      <c r="L3905" s="85" t="s">
        <v>12417</v>
      </c>
      <c r="M3905" s="85" t="s">
        <v>13809</v>
      </c>
    </row>
    <row r="3906" ht="327.75" spans="1:13">
      <c r="A3906" s="85" t="s">
        <v>13795</v>
      </c>
      <c r="B3906" s="85" t="s">
        <v>10149</v>
      </c>
      <c r="C3906" s="85" t="s">
        <v>10150</v>
      </c>
      <c r="D3906" s="85" t="s">
        <v>10151</v>
      </c>
      <c r="E3906" s="85" t="s">
        <v>10152</v>
      </c>
      <c r="F3906" s="86">
        <v>16</v>
      </c>
      <c r="G3906" s="86">
        <v>24</v>
      </c>
      <c r="H3906" s="86">
        <v>384</v>
      </c>
      <c r="I3906" s="86">
        <v>5493.36</v>
      </c>
      <c r="J3906" s="85" t="s">
        <v>4391</v>
      </c>
      <c r="K3906" s="85" t="s">
        <v>13796</v>
      </c>
      <c r="L3906" s="85" t="s">
        <v>12417</v>
      </c>
      <c r="M3906" s="85" t="s">
        <v>13810</v>
      </c>
    </row>
    <row r="3907" ht="327.75" spans="1:13">
      <c r="A3907" s="85" t="s">
        <v>13795</v>
      </c>
      <c r="B3907" s="85" t="s">
        <v>12470</v>
      </c>
      <c r="C3907" s="85" t="s">
        <v>12471</v>
      </c>
      <c r="D3907" s="85" t="s">
        <v>4220</v>
      </c>
      <c r="E3907" s="85" t="s">
        <v>9346</v>
      </c>
      <c r="F3907" s="86">
        <v>1187.5</v>
      </c>
      <c r="G3907" s="86">
        <v>1</v>
      </c>
      <c r="H3907" s="86">
        <v>1187.5</v>
      </c>
      <c r="I3907" s="86">
        <v>5493.36</v>
      </c>
      <c r="J3907" s="85" t="s">
        <v>4391</v>
      </c>
      <c r="K3907" s="85" t="s">
        <v>13796</v>
      </c>
      <c r="L3907" s="85" t="s">
        <v>12417</v>
      </c>
      <c r="M3907" s="85" t="s">
        <v>13811</v>
      </c>
    </row>
    <row r="3908" ht="327.75" spans="1:13">
      <c r="A3908" s="85" t="s">
        <v>13812</v>
      </c>
      <c r="B3908" s="85" t="s">
        <v>13813</v>
      </c>
      <c r="C3908" s="85" t="s">
        <v>13814</v>
      </c>
      <c r="D3908" s="85" t="s">
        <v>3543</v>
      </c>
      <c r="E3908" s="85" t="s">
        <v>9151</v>
      </c>
      <c r="F3908" s="86">
        <v>18.6</v>
      </c>
      <c r="G3908" s="86">
        <v>100</v>
      </c>
      <c r="H3908" s="86">
        <v>1860</v>
      </c>
      <c r="I3908" s="86">
        <v>20390.5</v>
      </c>
      <c r="J3908" s="85" t="s">
        <v>4391</v>
      </c>
      <c r="K3908" s="85" t="s">
        <v>13815</v>
      </c>
      <c r="L3908" s="85" t="s">
        <v>12417</v>
      </c>
      <c r="M3908" s="85" t="s">
        <v>13816</v>
      </c>
    </row>
    <row r="3909" ht="327.75" spans="1:13">
      <c r="A3909" s="85" t="s">
        <v>13817</v>
      </c>
      <c r="B3909" s="85" t="s">
        <v>13818</v>
      </c>
      <c r="C3909" s="85" t="s">
        <v>13819</v>
      </c>
      <c r="D3909" s="85" t="s">
        <v>3625</v>
      </c>
      <c r="E3909" s="85" t="s">
        <v>11458</v>
      </c>
      <c r="F3909" s="86">
        <v>0.5</v>
      </c>
      <c r="G3909" s="86">
        <v>40</v>
      </c>
      <c r="H3909" s="86">
        <v>20</v>
      </c>
      <c r="I3909" s="86">
        <v>14384</v>
      </c>
      <c r="J3909" s="85" t="s">
        <v>2935</v>
      </c>
      <c r="K3909" s="85" t="s">
        <v>13815</v>
      </c>
      <c r="L3909" s="85" t="s">
        <v>12417</v>
      </c>
      <c r="M3909" s="85" t="s">
        <v>13820</v>
      </c>
    </row>
    <row r="3910" ht="327.75" spans="1:13">
      <c r="A3910" s="85" t="s">
        <v>13817</v>
      </c>
      <c r="B3910" s="85" t="s">
        <v>13821</v>
      </c>
      <c r="C3910" s="85" t="s">
        <v>13822</v>
      </c>
      <c r="D3910" s="85" t="s">
        <v>3625</v>
      </c>
      <c r="E3910" s="85" t="s">
        <v>11458</v>
      </c>
      <c r="F3910" s="86">
        <v>0.8</v>
      </c>
      <c r="G3910" s="86">
        <v>40</v>
      </c>
      <c r="H3910" s="86">
        <v>32</v>
      </c>
      <c r="I3910" s="86">
        <v>14384</v>
      </c>
      <c r="J3910" s="85" t="s">
        <v>2935</v>
      </c>
      <c r="K3910" s="85" t="s">
        <v>13815</v>
      </c>
      <c r="L3910" s="85" t="s">
        <v>12417</v>
      </c>
      <c r="M3910" s="85" t="s">
        <v>13823</v>
      </c>
    </row>
    <row r="3911" ht="327.75" spans="1:13">
      <c r="A3911" s="85" t="s">
        <v>13812</v>
      </c>
      <c r="B3911" s="85" t="s">
        <v>13824</v>
      </c>
      <c r="C3911" s="85" t="s">
        <v>13825</v>
      </c>
      <c r="D3911" s="85" t="s">
        <v>3189</v>
      </c>
      <c r="E3911" s="85" t="s">
        <v>9212</v>
      </c>
      <c r="F3911" s="86">
        <v>185</v>
      </c>
      <c r="G3911" s="86">
        <v>8</v>
      </c>
      <c r="H3911" s="86">
        <v>1480</v>
      </c>
      <c r="I3911" s="86">
        <v>20390.5</v>
      </c>
      <c r="J3911" s="85" t="s">
        <v>4391</v>
      </c>
      <c r="K3911" s="85" t="s">
        <v>13815</v>
      </c>
      <c r="L3911" s="85" t="s">
        <v>12417</v>
      </c>
      <c r="M3911" s="85" t="s">
        <v>13826</v>
      </c>
    </row>
    <row r="3912" ht="327.75" spans="1:13">
      <c r="A3912" s="85" t="s">
        <v>13827</v>
      </c>
      <c r="B3912" s="85" t="s">
        <v>13828</v>
      </c>
      <c r="C3912" s="85" t="s">
        <v>13829</v>
      </c>
      <c r="D3912" s="85" t="s">
        <v>4802</v>
      </c>
      <c r="E3912" s="85" t="s">
        <v>13829</v>
      </c>
      <c r="F3912" s="86">
        <v>15</v>
      </c>
      <c r="G3912" s="86">
        <v>1</v>
      </c>
      <c r="H3912" s="86">
        <v>15</v>
      </c>
      <c r="I3912" s="86">
        <v>1201.8</v>
      </c>
      <c r="J3912" s="85" t="s">
        <v>13830</v>
      </c>
      <c r="K3912" s="85" t="s">
        <v>13815</v>
      </c>
      <c r="L3912" s="85" t="s">
        <v>12417</v>
      </c>
      <c r="M3912" s="85" t="s">
        <v>13831</v>
      </c>
    </row>
    <row r="3913" ht="327.75" spans="1:13">
      <c r="A3913" s="85" t="s">
        <v>13812</v>
      </c>
      <c r="B3913" s="85" t="s">
        <v>3931</v>
      </c>
      <c r="C3913" s="85" t="s">
        <v>3932</v>
      </c>
      <c r="D3913" s="85" t="s">
        <v>3189</v>
      </c>
      <c r="E3913" s="85" t="s">
        <v>3933</v>
      </c>
      <c r="F3913" s="86">
        <v>29.3</v>
      </c>
      <c r="G3913" s="86">
        <v>5</v>
      </c>
      <c r="H3913" s="86">
        <v>146.5</v>
      </c>
      <c r="I3913" s="86">
        <v>20390.5</v>
      </c>
      <c r="J3913" s="85" t="s">
        <v>4391</v>
      </c>
      <c r="K3913" s="85" t="s">
        <v>13815</v>
      </c>
      <c r="L3913" s="85" t="s">
        <v>12417</v>
      </c>
      <c r="M3913" s="85" t="s">
        <v>13832</v>
      </c>
    </row>
    <row r="3914" ht="327.75" spans="1:13">
      <c r="A3914" s="85" t="s">
        <v>13817</v>
      </c>
      <c r="B3914" s="85" t="s">
        <v>13833</v>
      </c>
      <c r="C3914" s="85" t="s">
        <v>13834</v>
      </c>
      <c r="D3914" s="85" t="s">
        <v>5978</v>
      </c>
      <c r="E3914" s="85" t="s">
        <v>13835</v>
      </c>
      <c r="F3914" s="86">
        <v>36</v>
      </c>
      <c r="G3914" s="86">
        <v>1</v>
      </c>
      <c r="H3914" s="86">
        <v>36</v>
      </c>
      <c r="I3914" s="86">
        <v>14384</v>
      </c>
      <c r="J3914" s="85" t="s">
        <v>2935</v>
      </c>
      <c r="K3914" s="85" t="s">
        <v>13815</v>
      </c>
      <c r="L3914" s="85" t="s">
        <v>12417</v>
      </c>
      <c r="M3914" s="85" t="s">
        <v>13836</v>
      </c>
    </row>
    <row r="3915" ht="327.75" spans="1:13">
      <c r="A3915" s="85" t="s">
        <v>13812</v>
      </c>
      <c r="B3915" s="85" t="s">
        <v>13837</v>
      </c>
      <c r="C3915" s="85" t="s">
        <v>13838</v>
      </c>
      <c r="D3915" s="85" t="s">
        <v>9673</v>
      </c>
      <c r="E3915" s="85" t="s">
        <v>9674</v>
      </c>
      <c r="F3915" s="86">
        <v>825</v>
      </c>
      <c r="G3915" s="86">
        <v>8</v>
      </c>
      <c r="H3915" s="86">
        <v>6600</v>
      </c>
      <c r="I3915" s="86">
        <v>20390.5</v>
      </c>
      <c r="J3915" s="85" t="s">
        <v>4391</v>
      </c>
      <c r="K3915" s="85" t="s">
        <v>13815</v>
      </c>
      <c r="L3915" s="85" t="s">
        <v>12417</v>
      </c>
      <c r="M3915" s="85" t="s">
        <v>13839</v>
      </c>
    </row>
    <row r="3916" ht="327.75" spans="1:13">
      <c r="A3916" s="85" t="s">
        <v>13827</v>
      </c>
      <c r="B3916" s="85" t="s">
        <v>13840</v>
      </c>
      <c r="C3916" s="85" t="s">
        <v>13841</v>
      </c>
      <c r="D3916" s="85" t="s">
        <v>3288</v>
      </c>
      <c r="E3916" s="85" t="s">
        <v>13841</v>
      </c>
      <c r="F3916" s="86">
        <v>39</v>
      </c>
      <c r="G3916" s="86">
        <v>1</v>
      </c>
      <c r="H3916" s="86">
        <v>39</v>
      </c>
      <c r="I3916" s="86">
        <v>1201.8</v>
      </c>
      <c r="J3916" s="85" t="s">
        <v>13830</v>
      </c>
      <c r="K3916" s="85" t="s">
        <v>13815</v>
      </c>
      <c r="L3916" s="85" t="s">
        <v>12417</v>
      </c>
      <c r="M3916" s="85" t="s">
        <v>13842</v>
      </c>
    </row>
    <row r="3917" ht="327.75" spans="1:13">
      <c r="A3917" s="85" t="s">
        <v>13817</v>
      </c>
      <c r="B3917" s="85" t="s">
        <v>13843</v>
      </c>
      <c r="C3917" s="85" t="s">
        <v>13844</v>
      </c>
      <c r="D3917" s="85" t="s">
        <v>8361</v>
      </c>
      <c r="E3917" s="85" t="s">
        <v>8362</v>
      </c>
      <c r="F3917" s="86">
        <v>26</v>
      </c>
      <c r="G3917" s="86">
        <v>6</v>
      </c>
      <c r="H3917" s="86">
        <v>156</v>
      </c>
      <c r="I3917" s="86">
        <v>14384</v>
      </c>
      <c r="J3917" s="85" t="s">
        <v>2935</v>
      </c>
      <c r="K3917" s="85" t="s">
        <v>13815</v>
      </c>
      <c r="L3917" s="85" t="s">
        <v>12417</v>
      </c>
      <c r="M3917" s="85" t="s">
        <v>13845</v>
      </c>
    </row>
    <row r="3918" ht="327.75" spans="1:13">
      <c r="A3918" s="85" t="s">
        <v>13812</v>
      </c>
      <c r="B3918" s="85" t="s">
        <v>13846</v>
      </c>
      <c r="C3918" s="85" t="s">
        <v>13847</v>
      </c>
      <c r="D3918" s="85" t="s">
        <v>13848</v>
      </c>
      <c r="E3918" s="85" t="s">
        <v>13849</v>
      </c>
      <c r="F3918" s="86">
        <v>0.94</v>
      </c>
      <c r="G3918" s="86">
        <v>2000</v>
      </c>
      <c r="H3918" s="86">
        <v>1880</v>
      </c>
      <c r="I3918" s="86">
        <v>20390.5</v>
      </c>
      <c r="J3918" s="85" t="s">
        <v>4391</v>
      </c>
      <c r="K3918" s="85" t="s">
        <v>13815</v>
      </c>
      <c r="L3918" s="85" t="s">
        <v>12417</v>
      </c>
      <c r="M3918" s="85" t="s">
        <v>13850</v>
      </c>
    </row>
    <row r="3919" ht="327.75" spans="1:13">
      <c r="A3919" s="85" t="s">
        <v>13827</v>
      </c>
      <c r="B3919" s="85" t="s">
        <v>13851</v>
      </c>
      <c r="C3919" s="85" t="s">
        <v>13852</v>
      </c>
      <c r="D3919" s="85" t="s">
        <v>3189</v>
      </c>
      <c r="E3919" s="85" t="s">
        <v>13852</v>
      </c>
      <c r="F3919" s="86">
        <v>9.36</v>
      </c>
      <c r="G3919" s="86">
        <v>5</v>
      </c>
      <c r="H3919" s="86">
        <v>46.8</v>
      </c>
      <c r="I3919" s="86">
        <v>1201.8</v>
      </c>
      <c r="J3919" s="85" t="s">
        <v>13830</v>
      </c>
      <c r="K3919" s="85" t="s">
        <v>13815</v>
      </c>
      <c r="L3919" s="85" t="s">
        <v>12417</v>
      </c>
      <c r="M3919" s="85" t="s">
        <v>13853</v>
      </c>
    </row>
    <row r="3920" ht="327.75" spans="1:13">
      <c r="A3920" s="85" t="s">
        <v>13812</v>
      </c>
      <c r="B3920" s="85" t="s">
        <v>10543</v>
      </c>
      <c r="C3920" s="85" t="s">
        <v>10544</v>
      </c>
      <c r="D3920" s="85" t="s">
        <v>4802</v>
      </c>
      <c r="E3920" s="85" t="s">
        <v>4997</v>
      </c>
      <c r="F3920" s="86">
        <v>130</v>
      </c>
      <c r="G3920" s="86">
        <v>50</v>
      </c>
      <c r="H3920" s="86">
        <v>6500</v>
      </c>
      <c r="I3920" s="86">
        <v>20390.5</v>
      </c>
      <c r="J3920" s="85" t="s">
        <v>4391</v>
      </c>
      <c r="K3920" s="85" t="s">
        <v>13815</v>
      </c>
      <c r="L3920" s="85" t="s">
        <v>12417</v>
      </c>
      <c r="M3920" s="85" t="s">
        <v>13854</v>
      </c>
    </row>
    <row r="3921" ht="327.75" spans="1:13">
      <c r="A3921" s="85" t="s">
        <v>13827</v>
      </c>
      <c r="B3921" s="85" t="s">
        <v>13855</v>
      </c>
      <c r="C3921" s="85" t="s">
        <v>13856</v>
      </c>
      <c r="D3921" s="85" t="s">
        <v>8298</v>
      </c>
      <c r="E3921" s="85" t="s">
        <v>13856</v>
      </c>
      <c r="F3921" s="86">
        <v>14.3</v>
      </c>
      <c r="G3921" s="86">
        <v>60</v>
      </c>
      <c r="H3921" s="86">
        <v>858</v>
      </c>
      <c r="I3921" s="86">
        <v>1201.8</v>
      </c>
      <c r="J3921" s="85" t="s">
        <v>13830</v>
      </c>
      <c r="K3921" s="85" t="s">
        <v>13815</v>
      </c>
      <c r="L3921" s="85" t="s">
        <v>12417</v>
      </c>
      <c r="M3921" s="85" t="s">
        <v>13857</v>
      </c>
    </row>
    <row r="3922" ht="327.75" spans="1:13">
      <c r="A3922" s="85" t="s">
        <v>13817</v>
      </c>
      <c r="B3922" s="85" t="s">
        <v>13858</v>
      </c>
      <c r="C3922" s="85" t="s">
        <v>13859</v>
      </c>
      <c r="D3922" s="85" t="s">
        <v>3241</v>
      </c>
      <c r="E3922" s="85" t="s">
        <v>5956</v>
      </c>
      <c r="F3922" s="86">
        <v>38</v>
      </c>
      <c r="G3922" s="86">
        <v>1</v>
      </c>
      <c r="H3922" s="86">
        <v>38</v>
      </c>
      <c r="I3922" s="86">
        <v>14384</v>
      </c>
      <c r="J3922" s="85" t="s">
        <v>2935</v>
      </c>
      <c r="K3922" s="85" t="s">
        <v>13815</v>
      </c>
      <c r="L3922" s="85" t="s">
        <v>12417</v>
      </c>
      <c r="M3922" s="85" t="s">
        <v>13860</v>
      </c>
    </row>
    <row r="3923" ht="327.75" spans="1:13">
      <c r="A3923" s="85" t="s">
        <v>13817</v>
      </c>
      <c r="B3923" s="85" t="s">
        <v>13861</v>
      </c>
      <c r="C3923" s="85" t="s">
        <v>13862</v>
      </c>
      <c r="D3923" s="85" t="s">
        <v>2977</v>
      </c>
      <c r="E3923" s="85" t="s">
        <v>8894</v>
      </c>
      <c r="F3923" s="86">
        <v>8</v>
      </c>
      <c r="G3923" s="86">
        <v>10</v>
      </c>
      <c r="H3923" s="86">
        <v>80</v>
      </c>
      <c r="I3923" s="86">
        <v>14384</v>
      </c>
      <c r="J3923" s="85" t="s">
        <v>2935</v>
      </c>
      <c r="K3923" s="85" t="s">
        <v>13815</v>
      </c>
      <c r="L3923" s="85" t="s">
        <v>12417</v>
      </c>
      <c r="M3923" s="85" t="s">
        <v>13863</v>
      </c>
    </row>
    <row r="3924" ht="327.75" spans="1:13">
      <c r="A3924" s="85" t="s">
        <v>13827</v>
      </c>
      <c r="B3924" s="85" t="s">
        <v>8315</v>
      </c>
      <c r="C3924" s="85" t="s">
        <v>8316</v>
      </c>
      <c r="D3924" s="85" t="s">
        <v>3201</v>
      </c>
      <c r="E3924" s="85" t="s">
        <v>8316</v>
      </c>
      <c r="F3924" s="86">
        <v>7</v>
      </c>
      <c r="G3924" s="86">
        <v>1</v>
      </c>
      <c r="H3924" s="86">
        <v>7</v>
      </c>
      <c r="I3924" s="86">
        <v>1201.8</v>
      </c>
      <c r="J3924" s="85" t="s">
        <v>13830</v>
      </c>
      <c r="K3924" s="85" t="s">
        <v>13815</v>
      </c>
      <c r="L3924" s="85" t="s">
        <v>12417</v>
      </c>
      <c r="M3924" s="85" t="s">
        <v>13864</v>
      </c>
    </row>
    <row r="3925" ht="327.75" spans="1:13">
      <c r="A3925" s="85" t="s">
        <v>13812</v>
      </c>
      <c r="B3925" s="85" t="s">
        <v>10822</v>
      </c>
      <c r="C3925" s="85" t="s">
        <v>10823</v>
      </c>
      <c r="D3925" s="85" t="s">
        <v>3014</v>
      </c>
      <c r="E3925" s="85" t="s">
        <v>6940</v>
      </c>
      <c r="F3925" s="86">
        <v>36</v>
      </c>
      <c r="G3925" s="86">
        <v>5</v>
      </c>
      <c r="H3925" s="86">
        <v>180</v>
      </c>
      <c r="I3925" s="86">
        <v>20390.5</v>
      </c>
      <c r="J3925" s="85" t="s">
        <v>4391</v>
      </c>
      <c r="K3925" s="85" t="s">
        <v>13815</v>
      </c>
      <c r="L3925" s="85" t="s">
        <v>12417</v>
      </c>
      <c r="M3925" s="85" t="s">
        <v>13865</v>
      </c>
    </row>
    <row r="3926" ht="327.75" spans="1:13">
      <c r="A3926" s="85" t="s">
        <v>13817</v>
      </c>
      <c r="B3926" s="85" t="s">
        <v>9353</v>
      </c>
      <c r="C3926" s="85" t="s">
        <v>9354</v>
      </c>
      <c r="D3926" s="85" t="s">
        <v>9355</v>
      </c>
      <c r="E3926" s="85" t="s">
        <v>1951</v>
      </c>
      <c r="F3926" s="86">
        <v>49</v>
      </c>
      <c r="G3926" s="86">
        <v>266</v>
      </c>
      <c r="H3926" s="86">
        <v>13034</v>
      </c>
      <c r="I3926" s="86">
        <v>14384</v>
      </c>
      <c r="J3926" s="85" t="s">
        <v>2935</v>
      </c>
      <c r="K3926" s="85" t="s">
        <v>13815</v>
      </c>
      <c r="L3926" s="85" t="s">
        <v>12417</v>
      </c>
      <c r="M3926" s="85" t="s">
        <v>13866</v>
      </c>
    </row>
    <row r="3927" ht="327.75" spans="1:13">
      <c r="A3927" s="85" t="s">
        <v>13817</v>
      </c>
      <c r="B3927" s="85" t="s">
        <v>13867</v>
      </c>
      <c r="C3927" s="85" t="s">
        <v>13868</v>
      </c>
      <c r="D3927" s="85" t="s">
        <v>3241</v>
      </c>
      <c r="E3927" s="85" t="s">
        <v>5195</v>
      </c>
      <c r="F3927" s="86">
        <v>88</v>
      </c>
      <c r="G3927" s="86">
        <v>1</v>
      </c>
      <c r="H3927" s="86">
        <v>88</v>
      </c>
      <c r="I3927" s="86">
        <v>14384</v>
      </c>
      <c r="J3927" s="85" t="s">
        <v>2935</v>
      </c>
      <c r="K3927" s="85" t="s">
        <v>13815</v>
      </c>
      <c r="L3927" s="85" t="s">
        <v>12417</v>
      </c>
      <c r="M3927" s="85" t="s">
        <v>13869</v>
      </c>
    </row>
    <row r="3928" ht="327.75" spans="1:13">
      <c r="A3928" s="85" t="s">
        <v>13812</v>
      </c>
      <c r="B3928" s="85" t="s">
        <v>13870</v>
      </c>
      <c r="C3928" s="85" t="s">
        <v>13871</v>
      </c>
      <c r="D3928" s="85" t="s">
        <v>3241</v>
      </c>
      <c r="E3928" s="85" t="s">
        <v>10212</v>
      </c>
      <c r="F3928" s="86">
        <v>15</v>
      </c>
      <c r="G3928" s="86">
        <v>1</v>
      </c>
      <c r="H3928" s="86">
        <v>15</v>
      </c>
      <c r="I3928" s="86">
        <v>20390.5</v>
      </c>
      <c r="J3928" s="85" t="s">
        <v>4391</v>
      </c>
      <c r="K3928" s="85" t="s">
        <v>13815</v>
      </c>
      <c r="L3928" s="85" t="s">
        <v>12417</v>
      </c>
      <c r="M3928" s="85" t="s">
        <v>13872</v>
      </c>
    </row>
    <row r="3929" ht="327.75" spans="1:13">
      <c r="A3929" s="85" t="s">
        <v>13812</v>
      </c>
      <c r="B3929" s="85" t="s">
        <v>13873</v>
      </c>
      <c r="C3929" s="85" t="s">
        <v>13874</v>
      </c>
      <c r="D3929" s="85" t="s">
        <v>3288</v>
      </c>
      <c r="E3929" s="85" t="s">
        <v>10991</v>
      </c>
      <c r="F3929" s="86">
        <v>29</v>
      </c>
      <c r="G3929" s="86">
        <v>1</v>
      </c>
      <c r="H3929" s="86">
        <v>29</v>
      </c>
      <c r="I3929" s="86">
        <v>20390.5</v>
      </c>
      <c r="J3929" s="85" t="s">
        <v>4391</v>
      </c>
      <c r="K3929" s="85" t="s">
        <v>13815</v>
      </c>
      <c r="L3929" s="85" t="s">
        <v>12417</v>
      </c>
      <c r="M3929" s="85" t="s">
        <v>13875</v>
      </c>
    </row>
    <row r="3930" ht="327.75" spans="1:13">
      <c r="A3930" s="85" t="s">
        <v>13827</v>
      </c>
      <c r="B3930" s="85" t="s">
        <v>13876</v>
      </c>
      <c r="C3930" s="85" t="s">
        <v>13877</v>
      </c>
      <c r="D3930" s="85" t="s">
        <v>3201</v>
      </c>
      <c r="E3930" s="85" t="s">
        <v>13877</v>
      </c>
      <c r="F3930" s="86">
        <v>17</v>
      </c>
      <c r="G3930" s="86">
        <v>1</v>
      </c>
      <c r="H3930" s="86">
        <v>17</v>
      </c>
      <c r="I3930" s="86">
        <v>1201.8</v>
      </c>
      <c r="J3930" s="85" t="s">
        <v>13830</v>
      </c>
      <c r="K3930" s="85" t="s">
        <v>13815</v>
      </c>
      <c r="L3930" s="85" t="s">
        <v>12417</v>
      </c>
      <c r="M3930" s="85" t="s">
        <v>13878</v>
      </c>
    </row>
    <row r="3931" ht="327.75" spans="1:13">
      <c r="A3931" s="85" t="s">
        <v>13827</v>
      </c>
      <c r="B3931" s="85" t="s">
        <v>13879</v>
      </c>
      <c r="C3931" s="85" t="s">
        <v>13880</v>
      </c>
      <c r="D3931" s="85" t="s">
        <v>2977</v>
      </c>
      <c r="E3931" s="85" t="s">
        <v>13880</v>
      </c>
      <c r="F3931" s="86">
        <v>7.3</v>
      </c>
      <c r="G3931" s="86">
        <v>30</v>
      </c>
      <c r="H3931" s="86">
        <v>219</v>
      </c>
      <c r="I3931" s="86">
        <v>1201.8</v>
      </c>
      <c r="J3931" s="85" t="s">
        <v>13830</v>
      </c>
      <c r="K3931" s="85" t="s">
        <v>13815</v>
      </c>
      <c r="L3931" s="85" t="s">
        <v>12417</v>
      </c>
      <c r="M3931" s="85" t="s">
        <v>13881</v>
      </c>
    </row>
    <row r="3932" ht="327.75" spans="1:13">
      <c r="A3932" s="85" t="s">
        <v>13812</v>
      </c>
      <c r="B3932" s="85" t="s">
        <v>13882</v>
      </c>
      <c r="C3932" s="85" t="s">
        <v>13883</v>
      </c>
      <c r="D3932" s="85" t="s">
        <v>2977</v>
      </c>
      <c r="E3932" s="85" t="s">
        <v>8894</v>
      </c>
      <c r="F3932" s="86">
        <v>85</v>
      </c>
      <c r="G3932" s="86">
        <v>20</v>
      </c>
      <c r="H3932" s="86">
        <v>1700</v>
      </c>
      <c r="I3932" s="86">
        <v>20390.5</v>
      </c>
      <c r="J3932" s="85" t="s">
        <v>4391</v>
      </c>
      <c r="K3932" s="85" t="s">
        <v>13815</v>
      </c>
      <c r="L3932" s="85" t="s">
        <v>12417</v>
      </c>
      <c r="M3932" s="85" t="s">
        <v>13884</v>
      </c>
    </row>
    <row r="3933" ht="327.75" spans="1:13">
      <c r="A3933" s="85" t="s">
        <v>13817</v>
      </c>
      <c r="B3933" s="85" t="s">
        <v>13885</v>
      </c>
      <c r="C3933" s="85" t="s">
        <v>13886</v>
      </c>
      <c r="D3933" s="85" t="s">
        <v>3959</v>
      </c>
      <c r="E3933" s="85" t="s">
        <v>6829</v>
      </c>
      <c r="F3933" s="86">
        <v>18</v>
      </c>
      <c r="G3933" s="86">
        <v>50</v>
      </c>
      <c r="H3933" s="86">
        <v>900</v>
      </c>
      <c r="I3933" s="86">
        <v>14384</v>
      </c>
      <c r="J3933" s="85" t="s">
        <v>2935</v>
      </c>
      <c r="K3933" s="85" t="s">
        <v>13815</v>
      </c>
      <c r="L3933" s="85" t="s">
        <v>12417</v>
      </c>
      <c r="M3933" s="85" t="s">
        <v>13887</v>
      </c>
    </row>
    <row r="3934" ht="327.75" spans="1:13">
      <c r="A3934" s="85" t="s">
        <v>13888</v>
      </c>
      <c r="B3934" s="85" t="s">
        <v>13889</v>
      </c>
      <c r="C3934" s="85" t="s">
        <v>13890</v>
      </c>
      <c r="D3934" s="85" t="s">
        <v>4425</v>
      </c>
      <c r="E3934" s="85" t="s">
        <v>5732</v>
      </c>
      <c r="F3934" s="86">
        <v>23</v>
      </c>
      <c r="G3934" s="86">
        <v>90</v>
      </c>
      <c r="H3934" s="86">
        <v>2070</v>
      </c>
      <c r="I3934" s="86">
        <v>6390</v>
      </c>
      <c r="J3934" s="85" t="s">
        <v>13332</v>
      </c>
      <c r="K3934" s="85" t="s">
        <v>13891</v>
      </c>
      <c r="L3934" s="85" t="s">
        <v>12417</v>
      </c>
      <c r="M3934" s="85" t="s">
        <v>13892</v>
      </c>
    </row>
    <row r="3935" ht="327.75" spans="1:13">
      <c r="A3935" s="85" t="s">
        <v>13888</v>
      </c>
      <c r="B3935" s="85" t="s">
        <v>13893</v>
      </c>
      <c r="C3935" s="85" t="s">
        <v>13894</v>
      </c>
      <c r="D3935" s="85" t="s">
        <v>4425</v>
      </c>
      <c r="E3935" s="85" t="s">
        <v>5732</v>
      </c>
      <c r="F3935" s="86">
        <v>3</v>
      </c>
      <c r="G3935" s="86">
        <v>50</v>
      </c>
      <c r="H3935" s="86">
        <v>150</v>
      </c>
      <c r="I3935" s="86">
        <v>6390</v>
      </c>
      <c r="J3935" s="85" t="s">
        <v>13332</v>
      </c>
      <c r="K3935" s="85" t="s">
        <v>13891</v>
      </c>
      <c r="L3935" s="85" t="s">
        <v>12417</v>
      </c>
      <c r="M3935" s="85" t="s">
        <v>13895</v>
      </c>
    </row>
    <row r="3936" ht="327.75" spans="1:13">
      <c r="A3936" s="85" t="s">
        <v>13888</v>
      </c>
      <c r="B3936" s="85" t="s">
        <v>13896</v>
      </c>
      <c r="C3936" s="85" t="s">
        <v>13897</v>
      </c>
      <c r="D3936" s="85" t="s">
        <v>6416</v>
      </c>
      <c r="E3936" s="85" t="s">
        <v>6417</v>
      </c>
      <c r="F3936" s="86">
        <v>200</v>
      </c>
      <c r="G3936" s="86">
        <v>20</v>
      </c>
      <c r="H3936" s="86">
        <v>4000</v>
      </c>
      <c r="I3936" s="86">
        <v>6390</v>
      </c>
      <c r="J3936" s="85" t="s">
        <v>13332</v>
      </c>
      <c r="K3936" s="85" t="s">
        <v>13891</v>
      </c>
      <c r="L3936" s="85" t="s">
        <v>12417</v>
      </c>
      <c r="M3936" s="85" t="s">
        <v>13898</v>
      </c>
    </row>
    <row r="3937" ht="327.75" spans="1:13">
      <c r="A3937" s="85" t="s">
        <v>13888</v>
      </c>
      <c r="B3937" s="85" t="s">
        <v>13899</v>
      </c>
      <c r="C3937" s="85" t="s">
        <v>13900</v>
      </c>
      <c r="D3937" s="85" t="s">
        <v>3230</v>
      </c>
      <c r="E3937" s="85" t="s">
        <v>13901</v>
      </c>
      <c r="F3937" s="86">
        <v>5</v>
      </c>
      <c r="G3937" s="86">
        <v>34</v>
      </c>
      <c r="H3937" s="86">
        <v>170</v>
      </c>
      <c r="I3937" s="86">
        <v>6390</v>
      </c>
      <c r="J3937" s="85" t="s">
        <v>13332</v>
      </c>
      <c r="K3937" s="85" t="s">
        <v>13891</v>
      </c>
      <c r="L3937" s="85" t="s">
        <v>12417</v>
      </c>
      <c r="M3937" s="85" t="s">
        <v>13902</v>
      </c>
    </row>
    <row r="3938" ht="327.75" spans="1:13">
      <c r="A3938" s="85" t="s">
        <v>13903</v>
      </c>
      <c r="B3938" s="85" t="s">
        <v>13792</v>
      </c>
      <c r="C3938" s="85" t="s">
        <v>13793</v>
      </c>
      <c r="D3938" s="85" t="s">
        <v>9959</v>
      </c>
      <c r="E3938" s="85" t="s">
        <v>13793</v>
      </c>
      <c r="F3938" s="86">
        <v>28.4</v>
      </c>
      <c r="G3938" s="86">
        <v>1</v>
      </c>
      <c r="H3938" s="86">
        <v>28.4</v>
      </c>
      <c r="I3938" s="86">
        <v>2167.4</v>
      </c>
      <c r="J3938" s="85" t="s">
        <v>9954</v>
      </c>
      <c r="K3938" s="85" t="s">
        <v>13904</v>
      </c>
      <c r="L3938" s="85" t="s">
        <v>12417</v>
      </c>
      <c r="M3938" s="85" t="s">
        <v>13905</v>
      </c>
    </row>
    <row r="3939" ht="327.75" spans="1:13">
      <c r="A3939" s="85" t="s">
        <v>13903</v>
      </c>
      <c r="B3939" s="85" t="s">
        <v>8311</v>
      </c>
      <c r="C3939" s="85" t="s">
        <v>8312</v>
      </c>
      <c r="D3939" s="85" t="s">
        <v>3197</v>
      </c>
      <c r="E3939" s="85" t="s">
        <v>8312</v>
      </c>
      <c r="F3939" s="86">
        <v>1.91</v>
      </c>
      <c r="G3939" s="86">
        <v>120</v>
      </c>
      <c r="H3939" s="86">
        <v>229.2</v>
      </c>
      <c r="I3939" s="86">
        <v>2167.4</v>
      </c>
      <c r="J3939" s="85" t="s">
        <v>9954</v>
      </c>
      <c r="K3939" s="85" t="s">
        <v>13904</v>
      </c>
      <c r="L3939" s="85" t="s">
        <v>12417</v>
      </c>
      <c r="M3939" s="85" t="s">
        <v>13906</v>
      </c>
    </row>
    <row r="3940" ht="327.75" spans="1:13">
      <c r="A3940" s="85" t="s">
        <v>13903</v>
      </c>
      <c r="B3940" s="85" t="s">
        <v>13703</v>
      </c>
      <c r="C3940" s="85" t="s">
        <v>13704</v>
      </c>
      <c r="D3940" s="85" t="s">
        <v>3183</v>
      </c>
      <c r="E3940" s="85" t="s">
        <v>13704</v>
      </c>
      <c r="F3940" s="86">
        <v>21.22</v>
      </c>
      <c r="G3940" s="86">
        <v>90</v>
      </c>
      <c r="H3940" s="86">
        <v>1909.8</v>
      </c>
      <c r="I3940" s="86">
        <v>2167.4</v>
      </c>
      <c r="J3940" s="85" t="s">
        <v>9954</v>
      </c>
      <c r="K3940" s="85" t="s">
        <v>13904</v>
      </c>
      <c r="L3940" s="85" t="s">
        <v>12417</v>
      </c>
      <c r="M3940" s="85" t="s">
        <v>13907</v>
      </c>
    </row>
    <row r="3941" ht="327.75" spans="1:13">
      <c r="A3941" s="85" t="s">
        <v>13908</v>
      </c>
      <c r="B3941" s="85" t="s">
        <v>13909</v>
      </c>
      <c r="C3941" s="85" t="s">
        <v>13910</v>
      </c>
      <c r="D3941" s="85" t="s">
        <v>11153</v>
      </c>
      <c r="E3941" s="85" t="s">
        <v>13910</v>
      </c>
      <c r="F3941" s="86">
        <v>31.26</v>
      </c>
      <c r="G3941" s="86">
        <v>100</v>
      </c>
      <c r="H3941" s="86">
        <v>3126</v>
      </c>
      <c r="I3941" s="86">
        <v>11955.8</v>
      </c>
      <c r="J3941" s="85" t="s">
        <v>2965</v>
      </c>
      <c r="K3941" s="85" t="s">
        <v>13911</v>
      </c>
      <c r="L3941" s="85" t="s">
        <v>12417</v>
      </c>
      <c r="M3941" s="85" t="s">
        <v>13912</v>
      </c>
    </row>
    <row r="3942" ht="327.75" spans="1:13">
      <c r="A3942" s="85" t="s">
        <v>13908</v>
      </c>
      <c r="B3942" s="85" t="s">
        <v>13913</v>
      </c>
      <c r="C3942" s="85" t="s">
        <v>13914</v>
      </c>
      <c r="D3942" s="85" t="s">
        <v>3438</v>
      </c>
      <c r="E3942" s="85" t="s">
        <v>13914</v>
      </c>
      <c r="F3942" s="86">
        <v>22.8</v>
      </c>
      <c r="G3942" s="86">
        <v>300</v>
      </c>
      <c r="H3942" s="86">
        <v>6840</v>
      </c>
      <c r="I3942" s="86">
        <v>11955.8</v>
      </c>
      <c r="J3942" s="85" t="s">
        <v>2965</v>
      </c>
      <c r="K3942" s="85" t="s">
        <v>13911</v>
      </c>
      <c r="L3942" s="85" t="s">
        <v>12417</v>
      </c>
      <c r="M3942" s="85" t="s">
        <v>13915</v>
      </c>
    </row>
    <row r="3943" ht="327.75" spans="1:13">
      <c r="A3943" s="85" t="s">
        <v>13908</v>
      </c>
      <c r="B3943" s="85" t="s">
        <v>13916</v>
      </c>
      <c r="C3943" s="85" t="s">
        <v>13917</v>
      </c>
      <c r="D3943" s="85" t="s">
        <v>4390</v>
      </c>
      <c r="E3943" s="85" t="s">
        <v>13917</v>
      </c>
      <c r="F3943" s="86">
        <v>118.68</v>
      </c>
      <c r="G3943" s="86">
        <v>10</v>
      </c>
      <c r="H3943" s="86">
        <v>1186.8</v>
      </c>
      <c r="I3943" s="86">
        <v>11955.8</v>
      </c>
      <c r="J3943" s="85" t="s">
        <v>2965</v>
      </c>
      <c r="K3943" s="85" t="s">
        <v>13911</v>
      </c>
      <c r="L3943" s="85" t="s">
        <v>12417</v>
      </c>
      <c r="M3943" s="85" t="s">
        <v>13918</v>
      </c>
    </row>
    <row r="3944" ht="327.75" spans="1:13">
      <c r="A3944" s="85" t="s">
        <v>13908</v>
      </c>
      <c r="B3944" s="85" t="s">
        <v>13919</v>
      </c>
      <c r="C3944" s="85" t="s">
        <v>13920</v>
      </c>
      <c r="D3944" s="85" t="s">
        <v>3325</v>
      </c>
      <c r="E3944" s="85" t="s">
        <v>13920</v>
      </c>
      <c r="F3944" s="86">
        <v>16.06</v>
      </c>
      <c r="G3944" s="86">
        <v>50</v>
      </c>
      <c r="H3944" s="86">
        <v>803</v>
      </c>
      <c r="I3944" s="86">
        <v>11955.8</v>
      </c>
      <c r="J3944" s="85" t="s">
        <v>2965</v>
      </c>
      <c r="K3944" s="85" t="s">
        <v>13911</v>
      </c>
      <c r="L3944" s="85" t="s">
        <v>12417</v>
      </c>
      <c r="M3944" s="85" t="s">
        <v>13921</v>
      </c>
    </row>
    <row r="3945" ht="327.75" spans="1:13">
      <c r="A3945" s="85" t="s">
        <v>13922</v>
      </c>
      <c r="B3945" s="85" t="s">
        <v>13923</v>
      </c>
      <c r="C3945" s="85" t="s">
        <v>13924</v>
      </c>
      <c r="D3945" s="85" t="s">
        <v>13925</v>
      </c>
      <c r="E3945" s="85" t="s">
        <v>13926</v>
      </c>
      <c r="F3945" s="86">
        <v>86.7</v>
      </c>
      <c r="G3945" s="86">
        <v>80</v>
      </c>
      <c r="H3945" s="86">
        <v>6936</v>
      </c>
      <c r="I3945" s="86">
        <v>53850.4</v>
      </c>
      <c r="J3945" s="85" t="s">
        <v>13163</v>
      </c>
      <c r="K3945" s="85" t="s">
        <v>13927</v>
      </c>
      <c r="L3945" s="85" t="s">
        <v>12417</v>
      </c>
      <c r="M3945" s="85" t="s">
        <v>13928</v>
      </c>
    </row>
    <row r="3946" ht="327.75" spans="1:13">
      <c r="A3946" s="85" t="s">
        <v>13922</v>
      </c>
      <c r="B3946" s="85" t="s">
        <v>13929</v>
      </c>
      <c r="C3946" s="85" t="s">
        <v>13930</v>
      </c>
      <c r="D3946" s="85" t="s">
        <v>13931</v>
      </c>
      <c r="E3946" s="85" t="s">
        <v>13932</v>
      </c>
      <c r="F3946" s="86">
        <v>627.34</v>
      </c>
      <c r="G3946" s="86">
        <v>20</v>
      </c>
      <c r="H3946" s="86">
        <v>12546.8</v>
      </c>
      <c r="I3946" s="86">
        <v>53850.4</v>
      </c>
      <c r="J3946" s="85" t="s">
        <v>13163</v>
      </c>
      <c r="K3946" s="85" t="s">
        <v>13927</v>
      </c>
      <c r="L3946" s="85" t="s">
        <v>12417</v>
      </c>
      <c r="M3946" s="85" t="s">
        <v>13933</v>
      </c>
    </row>
    <row r="3947" ht="327.75" spans="1:13">
      <c r="A3947" s="85" t="s">
        <v>13922</v>
      </c>
      <c r="B3947" s="85" t="s">
        <v>13934</v>
      </c>
      <c r="C3947" s="85" t="s">
        <v>13935</v>
      </c>
      <c r="D3947" s="85" t="s">
        <v>13931</v>
      </c>
      <c r="E3947" s="85" t="s">
        <v>13936</v>
      </c>
      <c r="F3947" s="86">
        <v>656.57</v>
      </c>
      <c r="G3947" s="86">
        <v>40</v>
      </c>
      <c r="H3947" s="86">
        <v>26262.8</v>
      </c>
      <c r="I3947" s="86">
        <v>53850.4</v>
      </c>
      <c r="J3947" s="85" t="s">
        <v>13163</v>
      </c>
      <c r="K3947" s="85" t="s">
        <v>13927</v>
      </c>
      <c r="L3947" s="85" t="s">
        <v>12417</v>
      </c>
      <c r="M3947" s="85" t="s">
        <v>13937</v>
      </c>
    </row>
    <row r="3948" ht="327.75" spans="1:13">
      <c r="A3948" s="85" t="s">
        <v>13922</v>
      </c>
      <c r="B3948" s="85" t="s">
        <v>13938</v>
      </c>
      <c r="C3948" s="85" t="s">
        <v>13939</v>
      </c>
      <c r="D3948" s="85" t="s">
        <v>13925</v>
      </c>
      <c r="E3948" s="85" t="s">
        <v>13940</v>
      </c>
      <c r="F3948" s="86">
        <v>101.31</v>
      </c>
      <c r="G3948" s="86">
        <v>80</v>
      </c>
      <c r="H3948" s="86">
        <v>8104.8</v>
      </c>
      <c r="I3948" s="86">
        <v>53850.4</v>
      </c>
      <c r="J3948" s="85" t="s">
        <v>13163</v>
      </c>
      <c r="K3948" s="85" t="s">
        <v>13927</v>
      </c>
      <c r="L3948" s="85" t="s">
        <v>12417</v>
      </c>
      <c r="M3948" s="85" t="s">
        <v>13941</v>
      </c>
    </row>
    <row r="3949" ht="327.75" spans="1:13">
      <c r="A3949" s="85" t="s">
        <v>13942</v>
      </c>
      <c r="B3949" s="85" t="s">
        <v>9214</v>
      </c>
      <c r="C3949" s="85" t="s">
        <v>9215</v>
      </c>
      <c r="D3949" s="85" t="s">
        <v>3907</v>
      </c>
      <c r="E3949" s="85" t="s">
        <v>6860</v>
      </c>
      <c r="F3949" s="86">
        <v>185</v>
      </c>
      <c r="G3949" s="86">
        <v>10</v>
      </c>
      <c r="H3949" s="86">
        <v>1850</v>
      </c>
      <c r="I3949" s="86">
        <v>1850</v>
      </c>
      <c r="J3949" s="85" t="s">
        <v>4391</v>
      </c>
      <c r="K3949" s="85" t="s">
        <v>13943</v>
      </c>
      <c r="L3949" s="85" t="s">
        <v>12417</v>
      </c>
      <c r="M3949" s="85" t="s">
        <v>13944</v>
      </c>
    </row>
    <row r="3950" ht="327.75" spans="1:13">
      <c r="A3950" s="85" t="s">
        <v>13945</v>
      </c>
      <c r="B3950" s="85" t="s">
        <v>13946</v>
      </c>
      <c r="C3950" s="85" t="s">
        <v>13947</v>
      </c>
      <c r="D3950" s="85" t="s">
        <v>3367</v>
      </c>
      <c r="E3950" s="85" t="s">
        <v>13947</v>
      </c>
      <c r="F3950" s="86">
        <v>30.38</v>
      </c>
      <c r="G3950" s="86">
        <v>3</v>
      </c>
      <c r="H3950" s="86">
        <v>91.14</v>
      </c>
      <c r="I3950" s="86">
        <v>23810.52</v>
      </c>
      <c r="J3950" s="85" t="s">
        <v>13830</v>
      </c>
      <c r="K3950" s="85" t="s">
        <v>13948</v>
      </c>
      <c r="L3950" s="85" t="s">
        <v>12417</v>
      </c>
      <c r="M3950" s="85" t="s">
        <v>13949</v>
      </c>
    </row>
    <row r="3951" ht="327.75" spans="1:13">
      <c r="A3951" s="85" t="s">
        <v>13945</v>
      </c>
      <c r="B3951" s="85" t="s">
        <v>13950</v>
      </c>
      <c r="C3951" s="85" t="s">
        <v>13951</v>
      </c>
      <c r="D3951" s="85" t="s">
        <v>8298</v>
      </c>
      <c r="E3951" s="85" t="s">
        <v>13951</v>
      </c>
      <c r="F3951" s="86">
        <v>43.76</v>
      </c>
      <c r="G3951" s="86">
        <v>3</v>
      </c>
      <c r="H3951" s="86">
        <v>131.28</v>
      </c>
      <c r="I3951" s="86">
        <v>23810.52</v>
      </c>
      <c r="J3951" s="85" t="s">
        <v>13830</v>
      </c>
      <c r="K3951" s="85" t="s">
        <v>13948</v>
      </c>
      <c r="L3951" s="85" t="s">
        <v>12417</v>
      </c>
      <c r="M3951" s="85" t="s">
        <v>13952</v>
      </c>
    </row>
    <row r="3952" ht="327.75" spans="1:13">
      <c r="A3952" s="85" t="s">
        <v>13945</v>
      </c>
      <c r="B3952" s="85" t="s">
        <v>13953</v>
      </c>
      <c r="C3952" s="85" t="s">
        <v>13954</v>
      </c>
      <c r="D3952" s="85" t="s">
        <v>13955</v>
      </c>
      <c r="E3952" s="85" t="s">
        <v>13954</v>
      </c>
      <c r="F3952" s="86">
        <v>300</v>
      </c>
      <c r="G3952" s="86">
        <v>5</v>
      </c>
      <c r="H3952" s="86">
        <v>1500</v>
      </c>
      <c r="I3952" s="86">
        <v>23810.52</v>
      </c>
      <c r="J3952" s="85" t="s">
        <v>13830</v>
      </c>
      <c r="K3952" s="85" t="s">
        <v>13948</v>
      </c>
      <c r="L3952" s="85" t="s">
        <v>12417</v>
      </c>
      <c r="M3952" s="85" t="s">
        <v>13956</v>
      </c>
    </row>
    <row r="3953" ht="327.75" spans="1:13">
      <c r="A3953" s="85" t="s">
        <v>13945</v>
      </c>
      <c r="B3953" s="85" t="s">
        <v>13957</v>
      </c>
      <c r="C3953" s="85" t="s">
        <v>13958</v>
      </c>
      <c r="D3953" s="85" t="s">
        <v>4911</v>
      </c>
      <c r="E3953" s="85" t="s">
        <v>13958</v>
      </c>
      <c r="F3953" s="86">
        <v>16.28</v>
      </c>
      <c r="G3953" s="86">
        <v>60</v>
      </c>
      <c r="H3953" s="86">
        <v>976.8</v>
      </c>
      <c r="I3953" s="86">
        <v>23810.52</v>
      </c>
      <c r="J3953" s="85" t="s">
        <v>13830</v>
      </c>
      <c r="K3953" s="85" t="s">
        <v>13948</v>
      </c>
      <c r="L3953" s="85" t="s">
        <v>12417</v>
      </c>
      <c r="M3953" s="85" t="s">
        <v>13959</v>
      </c>
    </row>
    <row r="3954" ht="327.75" spans="1:13">
      <c r="A3954" s="85" t="s">
        <v>13945</v>
      </c>
      <c r="B3954" s="85" t="s">
        <v>13960</v>
      </c>
      <c r="C3954" s="85" t="s">
        <v>13961</v>
      </c>
      <c r="D3954" s="85" t="s">
        <v>3201</v>
      </c>
      <c r="E3954" s="85" t="s">
        <v>13961</v>
      </c>
      <c r="F3954" s="86">
        <v>17</v>
      </c>
      <c r="G3954" s="86">
        <v>5</v>
      </c>
      <c r="H3954" s="86">
        <v>85</v>
      </c>
      <c r="I3954" s="86">
        <v>23810.52</v>
      </c>
      <c r="J3954" s="85" t="s">
        <v>13830</v>
      </c>
      <c r="K3954" s="85" t="s">
        <v>13948</v>
      </c>
      <c r="L3954" s="85" t="s">
        <v>12417</v>
      </c>
      <c r="M3954" s="85" t="s">
        <v>13962</v>
      </c>
    </row>
    <row r="3955" ht="327.75" spans="1:13">
      <c r="A3955" s="85" t="s">
        <v>13945</v>
      </c>
      <c r="B3955" s="85" t="s">
        <v>13963</v>
      </c>
      <c r="C3955" s="85" t="s">
        <v>13964</v>
      </c>
      <c r="D3955" s="85" t="s">
        <v>3189</v>
      </c>
      <c r="E3955" s="85" t="s">
        <v>13964</v>
      </c>
      <c r="F3955" s="86">
        <v>19.71</v>
      </c>
      <c r="G3955" s="86">
        <v>20</v>
      </c>
      <c r="H3955" s="86">
        <v>394.2</v>
      </c>
      <c r="I3955" s="86">
        <v>23810.52</v>
      </c>
      <c r="J3955" s="85" t="s">
        <v>13830</v>
      </c>
      <c r="K3955" s="85" t="s">
        <v>13948</v>
      </c>
      <c r="L3955" s="85" t="s">
        <v>12417</v>
      </c>
      <c r="M3955" s="85" t="s">
        <v>13965</v>
      </c>
    </row>
    <row r="3956" ht="327.75" spans="1:13">
      <c r="A3956" s="85" t="s">
        <v>13945</v>
      </c>
      <c r="B3956" s="85" t="s">
        <v>13966</v>
      </c>
      <c r="C3956" s="85" t="s">
        <v>13967</v>
      </c>
      <c r="D3956" s="85" t="s">
        <v>3153</v>
      </c>
      <c r="E3956" s="85" t="s">
        <v>13967</v>
      </c>
      <c r="F3956" s="86">
        <v>483</v>
      </c>
      <c r="G3956" s="86">
        <v>1</v>
      </c>
      <c r="H3956" s="86">
        <v>483</v>
      </c>
      <c r="I3956" s="86">
        <v>23810.52</v>
      </c>
      <c r="J3956" s="85" t="s">
        <v>13830</v>
      </c>
      <c r="K3956" s="85" t="s">
        <v>13948</v>
      </c>
      <c r="L3956" s="85" t="s">
        <v>12417</v>
      </c>
      <c r="M3956" s="85" t="s">
        <v>13968</v>
      </c>
    </row>
    <row r="3957" ht="327.75" spans="1:13">
      <c r="A3957" s="85" t="s">
        <v>13945</v>
      </c>
      <c r="B3957" s="85" t="s">
        <v>13969</v>
      </c>
      <c r="C3957" s="85" t="s">
        <v>13970</v>
      </c>
      <c r="D3957" s="85" t="s">
        <v>3367</v>
      </c>
      <c r="E3957" s="85" t="s">
        <v>13970</v>
      </c>
      <c r="F3957" s="86">
        <v>13.8</v>
      </c>
      <c r="G3957" s="86">
        <v>2</v>
      </c>
      <c r="H3957" s="86">
        <v>27.6</v>
      </c>
      <c r="I3957" s="86">
        <v>23810.52</v>
      </c>
      <c r="J3957" s="85" t="s">
        <v>13830</v>
      </c>
      <c r="K3957" s="85" t="s">
        <v>13948</v>
      </c>
      <c r="L3957" s="85" t="s">
        <v>12417</v>
      </c>
      <c r="M3957" s="85" t="s">
        <v>13971</v>
      </c>
    </row>
    <row r="3958" ht="327.75" spans="1:13">
      <c r="A3958" s="85" t="s">
        <v>13945</v>
      </c>
      <c r="B3958" s="85" t="s">
        <v>13972</v>
      </c>
      <c r="C3958" s="85" t="s">
        <v>13973</v>
      </c>
      <c r="D3958" s="85" t="s">
        <v>5302</v>
      </c>
      <c r="E3958" s="85" t="s">
        <v>13973</v>
      </c>
      <c r="F3958" s="86">
        <v>1800</v>
      </c>
      <c r="G3958" s="86">
        <v>9</v>
      </c>
      <c r="H3958" s="86">
        <v>16200</v>
      </c>
      <c r="I3958" s="86">
        <v>23810.52</v>
      </c>
      <c r="J3958" s="85" t="s">
        <v>13830</v>
      </c>
      <c r="K3958" s="85" t="s">
        <v>13948</v>
      </c>
      <c r="L3958" s="85" t="s">
        <v>12417</v>
      </c>
      <c r="M3958" s="85" t="s">
        <v>13974</v>
      </c>
    </row>
    <row r="3959" ht="327.75" spans="1:13">
      <c r="A3959" s="85" t="s">
        <v>13945</v>
      </c>
      <c r="B3959" s="85" t="s">
        <v>13975</v>
      </c>
      <c r="C3959" s="85" t="s">
        <v>13976</v>
      </c>
      <c r="D3959" s="85" t="s">
        <v>3014</v>
      </c>
      <c r="E3959" s="85" t="s">
        <v>13976</v>
      </c>
      <c r="F3959" s="86">
        <v>79</v>
      </c>
      <c r="G3959" s="86">
        <v>2</v>
      </c>
      <c r="H3959" s="86">
        <v>158</v>
      </c>
      <c r="I3959" s="86">
        <v>23810.52</v>
      </c>
      <c r="J3959" s="85" t="s">
        <v>13830</v>
      </c>
      <c r="K3959" s="85" t="s">
        <v>13948</v>
      </c>
      <c r="L3959" s="85" t="s">
        <v>12417</v>
      </c>
      <c r="M3959" s="85" t="s">
        <v>13977</v>
      </c>
    </row>
    <row r="3960" ht="327.75" spans="1:13">
      <c r="A3960" s="85" t="s">
        <v>13945</v>
      </c>
      <c r="B3960" s="85" t="s">
        <v>13978</v>
      </c>
      <c r="C3960" s="85" t="s">
        <v>13979</v>
      </c>
      <c r="D3960" s="85" t="s">
        <v>3189</v>
      </c>
      <c r="E3960" s="85" t="s">
        <v>13979</v>
      </c>
      <c r="F3960" s="86">
        <v>173</v>
      </c>
      <c r="G3960" s="86">
        <v>3</v>
      </c>
      <c r="H3960" s="86">
        <v>519</v>
      </c>
      <c r="I3960" s="86">
        <v>23810.52</v>
      </c>
      <c r="J3960" s="85" t="s">
        <v>13830</v>
      </c>
      <c r="K3960" s="85" t="s">
        <v>13948</v>
      </c>
      <c r="L3960" s="85" t="s">
        <v>12417</v>
      </c>
      <c r="M3960" s="85" t="s">
        <v>13980</v>
      </c>
    </row>
    <row r="3961" ht="327.75" spans="1:13">
      <c r="A3961" s="85" t="s">
        <v>13945</v>
      </c>
      <c r="B3961" s="85" t="s">
        <v>13981</v>
      </c>
      <c r="C3961" s="85" t="s">
        <v>13982</v>
      </c>
      <c r="D3961" s="85" t="s">
        <v>3153</v>
      </c>
      <c r="E3961" s="85" t="s">
        <v>13982</v>
      </c>
      <c r="F3961" s="86">
        <v>156</v>
      </c>
      <c r="G3961" s="86">
        <v>5</v>
      </c>
      <c r="H3961" s="86">
        <v>780</v>
      </c>
      <c r="I3961" s="86">
        <v>23810.52</v>
      </c>
      <c r="J3961" s="85" t="s">
        <v>13830</v>
      </c>
      <c r="K3961" s="85" t="s">
        <v>13948</v>
      </c>
      <c r="L3961" s="85" t="s">
        <v>12417</v>
      </c>
      <c r="M3961" s="85" t="s">
        <v>13983</v>
      </c>
    </row>
    <row r="3962" ht="327.75" spans="1:13">
      <c r="A3962" s="85" t="s">
        <v>13945</v>
      </c>
      <c r="B3962" s="85" t="s">
        <v>13984</v>
      </c>
      <c r="C3962" s="85" t="s">
        <v>13985</v>
      </c>
      <c r="D3962" s="85" t="s">
        <v>3963</v>
      </c>
      <c r="E3962" s="85" t="s">
        <v>13985</v>
      </c>
      <c r="F3962" s="86">
        <v>133</v>
      </c>
      <c r="G3962" s="86">
        <v>2</v>
      </c>
      <c r="H3962" s="86">
        <v>266</v>
      </c>
      <c r="I3962" s="86">
        <v>23810.52</v>
      </c>
      <c r="J3962" s="85" t="s">
        <v>13830</v>
      </c>
      <c r="K3962" s="85" t="s">
        <v>13948</v>
      </c>
      <c r="L3962" s="85" t="s">
        <v>12417</v>
      </c>
      <c r="M3962" s="85" t="s">
        <v>13986</v>
      </c>
    </row>
    <row r="3963" ht="327.75" spans="1:13">
      <c r="A3963" s="85" t="s">
        <v>13945</v>
      </c>
      <c r="B3963" s="85" t="s">
        <v>9357</v>
      </c>
      <c r="C3963" s="85" t="s">
        <v>9358</v>
      </c>
      <c r="D3963" s="85" t="s">
        <v>3230</v>
      </c>
      <c r="E3963" s="85" t="s">
        <v>9358</v>
      </c>
      <c r="F3963" s="86">
        <v>22.9</v>
      </c>
      <c r="G3963" s="86">
        <v>35</v>
      </c>
      <c r="H3963" s="86">
        <v>801.5</v>
      </c>
      <c r="I3963" s="86">
        <v>23810.52</v>
      </c>
      <c r="J3963" s="85" t="s">
        <v>13830</v>
      </c>
      <c r="K3963" s="85" t="s">
        <v>13948</v>
      </c>
      <c r="L3963" s="85" t="s">
        <v>12417</v>
      </c>
      <c r="M3963" s="85" t="s">
        <v>13987</v>
      </c>
    </row>
    <row r="3964" ht="327.75" spans="1:13">
      <c r="A3964" s="85" t="s">
        <v>13945</v>
      </c>
      <c r="B3964" s="85" t="s">
        <v>13988</v>
      </c>
      <c r="C3964" s="85" t="s">
        <v>13989</v>
      </c>
      <c r="D3964" s="85" t="s">
        <v>3543</v>
      </c>
      <c r="E3964" s="85" t="s">
        <v>13989</v>
      </c>
      <c r="F3964" s="86">
        <v>15.74</v>
      </c>
      <c r="G3964" s="86">
        <v>80</v>
      </c>
      <c r="H3964" s="86">
        <v>1259.2</v>
      </c>
      <c r="I3964" s="86">
        <v>23810.52</v>
      </c>
      <c r="J3964" s="85" t="s">
        <v>13830</v>
      </c>
      <c r="K3964" s="85" t="s">
        <v>13948</v>
      </c>
      <c r="L3964" s="85" t="s">
        <v>12417</v>
      </c>
      <c r="M3964" s="85" t="s">
        <v>13990</v>
      </c>
    </row>
    <row r="3965" ht="327.75" spans="1:13">
      <c r="A3965" s="85" t="s">
        <v>13945</v>
      </c>
      <c r="B3965" s="85" t="s">
        <v>13991</v>
      </c>
      <c r="C3965" s="85" t="s">
        <v>13992</v>
      </c>
      <c r="D3965" s="85" t="s">
        <v>10493</v>
      </c>
      <c r="E3965" s="85" t="s">
        <v>13992</v>
      </c>
      <c r="F3965" s="86">
        <v>18.2</v>
      </c>
      <c r="G3965" s="86">
        <v>5</v>
      </c>
      <c r="H3965" s="86">
        <v>91</v>
      </c>
      <c r="I3965" s="86">
        <v>23810.52</v>
      </c>
      <c r="J3965" s="85" t="s">
        <v>13830</v>
      </c>
      <c r="K3965" s="85" t="s">
        <v>13948</v>
      </c>
      <c r="L3965" s="85" t="s">
        <v>12417</v>
      </c>
      <c r="M3965" s="85" t="s">
        <v>13993</v>
      </c>
    </row>
    <row r="3966" ht="327.75" spans="1:13">
      <c r="A3966" s="85" t="s">
        <v>13945</v>
      </c>
      <c r="B3966" s="85" t="s">
        <v>13851</v>
      </c>
      <c r="C3966" s="85" t="s">
        <v>13852</v>
      </c>
      <c r="D3966" s="85" t="s">
        <v>3189</v>
      </c>
      <c r="E3966" s="85" t="s">
        <v>13852</v>
      </c>
      <c r="F3966" s="86">
        <v>9.36</v>
      </c>
      <c r="G3966" s="86">
        <v>5</v>
      </c>
      <c r="H3966" s="86">
        <v>46.8</v>
      </c>
      <c r="I3966" s="86">
        <v>23810.52</v>
      </c>
      <c r="J3966" s="85" t="s">
        <v>13830</v>
      </c>
      <c r="K3966" s="85" t="s">
        <v>13948</v>
      </c>
      <c r="L3966" s="85" t="s">
        <v>12417</v>
      </c>
      <c r="M3966" s="85" t="s">
        <v>13994</v>
      </c>
    </row>
    <row r="3967" ht="327.75" spans="1:13">
      <c r="A3967" s="85" t="s">
        <v>13995</v>
      </c>
      <c r="B3967" s="85" t="s">
        <v>4537</v>
      </c>
      <c r="C3967" s="85" t="s">
        <v>10044</v>
      </c>
      <c r="D3967" s="85" t="s">
        <v>2997</v>
      </c>
      <c r="E3967" s="85" t="s">
        <v>2998</v>
      </c>
      <c r="F3967" s="86">
        <v>19.19</v>
      </c>
      <c r="G3967" s="86">
        <v>200</v>
      </c>
      <c r="H3967" s="86">
        <v>3838</v>
      </c>
      <c r="I3967" s="86">
        <v>4249.4</v>
      </c>
      <c r="J3967" s="85" t="s">
        <v>2999</v>
      </c>
      <c r="K3967" s="85" t="s">
        <v>13996</v>
      </c>
      <c r="L3967" s="85" t="s">
        <v>12417</v>
      </c>
      <c r="M3967" s="85" t="s">
        <v>13997</v>
      </c>
    </row>
    <row r="3968" ht="327.75" spans="1:13">
      <c r="A3968" s="85" t="s">
        <v>13995</v>
      </c>
      <c r="B3968" s="85" t="s">
        <v>13998</v>
      </c>
      <c r="C3968" s="85" t="s">
        <v>13999</v>
      </c>
      <c r="D3968" s="85" t="s">
        <v>3617</v>
      </c>
      <c r="E3968" s="85" t="s">
        <v>3618</v>
      </c>
      <c r="F3968" s="86">
        <v>20.57</v>
      </c>
      <c r="G3968" s="86">
        <v>20</v>
      </c>
      <c r="H3968" s="86">
        <v>411.4</v>
      </c>
      <c r="I3968" s="86">
        <v>4249.4</v>
      </c>
      <c r="J3968" s="85" t="s">
        <v>2999</v>
      </c>
      <c r="K3968" s="85" t="s">
        <v>13996</v>
      </c>
      <c r="L3968" s="85" t="s">
        <v>12417</v>
      </c>
      <c r="M3968" s="85" t="s">
        <v>14000</v>
      </c>
    </row>
    <row r="3969" ht="327.75" spans="1:13">
      <c r="A3969" s="85" t="s">
        <v>14001</v>
      </c>
      <c r="B3969" s="85" t="s">
        <v>13703</v>
      </c>
      <c r="C3969" s="85" t="s">
        <v>13704</v>
      </c>
      <c r="D3969" s="85" t="s">
        <v>3183</v>
      </c>
      <c r="E3969" s="85" t="s">
        <v>13704</v>
      </c>
      <c r="F3969" s="86">
        <v>21.22</v>
      </c>
      <c r="G3969" s="86">
        <v>120</v>
      </c>
      <c r="H3969" s="86">
        <v>2546.4</v>
      </c>
      <c r="I3969" s="86">
        <v>3165.3</v>
      </c>
      <c r="J3969" s="85" t="s">
        <v>9954</v>
      </c>
      <c r="K3969" s="85" t="s">
        <v>14002</v>
      </c>
      <c r="L3969" s="85" t="s">
        <v>12417</v>
      </c>
      <c r="M3969" s="85" t="s">
        <v>14003</v>
      </c>
    </row>
    <row r="3970" ht="327.75" spans="1:13">
      <c r="A3970" s="85" t="s">
        <v>14001</v>
      </c>
      <c r="B3970" s="85" t="s">
        <v>14004</v>
      </c>
      <c r="C3970" s="85" t="s">
        <v>14005</v>
      </c>
      <c r="D3970" s="85" t="s">
        <v>3068</v>
      </c>
      <c r="E3970" s="85" t="s">
        <v>14005</v>
      </c>
      <c r="F3970" s="86">
        <v>1.16</v>
      </c>
      <c r="G3970" s="86">
        <v>50</v>
      </c>
      <c r="H3970" s="86">
        <v>58</v>
      </c>
      <c r="I3970" s="86">
        <v>3165.3</v>
      </c>
      <c r="J3970" s="85" t="s">
        <v>9954</v>
      </c>
      <c r="K3970" s="85" t="s">
        <v>14002</v>
      </c>
      <c r="L3970" s="85" t="s">
        <v>12417</v>
      </c>
      <c r="M3970" s="85" t="s">
        <v>14006</v>
      </c>
    </row>
    <row r="3971" ht="327.75" spans="1:13">
      <c r="A3971" s="85" t="s">
        <v>14001</v>
      </c>
      <c r="B3971" s="85" t="s">
        <v>13792</v>
      </c>
      <c r="C3971" s="85" t="s">
        <v>13793</v>
      </c>
      <c r="D3971" s="85" t="s">
        <v>9959</v>
      </c>
      <c r="E3971" s="85" t="s">
        <v>13793</v>
      </c>
      <c r="F3971" s="86">
        <v>28.4</v>
      </c>
      <c r="G3971" s="86">
        <v>2</v>
      </c>
      <c r="H3971" s="86">
        <v>56.8</v>
      </c>
      <c r="I3971" s="86">
        <v>3165.3</v>
      </c>
      <c r="J3971" s="85" t="s">
        <v>9954</v>
      </c>
      <c r="K3971" s="85" t="s">
        <v>14002</v>
      </c>
      <c r="L3971" s="85" t="s">
        <v>12417</v>
      </c>
      <c r="M3971" s="85" t="s">
        <v>14007</v>
      </c>
    </row>
    <row r="3972" ht="327.75" spans="1:13">
      <c r="A3972" s="85" t="s">
        <v>14001</v>
      </c>
      <c r="B3972" s="85" t="s">
        <v>8311</v>
      </c>
      <c r="C3972" s="85" t="s">
        <v>8312</v>
      </c>
      <c r="D3972" s="85" t="s">
        <v>3197</v>
      </c>
      <c r="E3972" s="85" t="s">
        <v>8312</v>
      </c>
      <c r="F3972" s="86">
        <v>1.91</v>
      </c>
      <c r="G3972" s="86">
        <v>250</v>
      </c>
      <c r="H3972" s="86">
        <v>477.5</v>
      </c>
      <c r="I3972" s="86">
        <v>3165.3</v>
      </c>
      <c r="J3972" s="85" t="s">
        <v>9954</v>
      </c>
      <c r="K3972" s="85" t="s">
        <v>14002</v>
      </c>
      <c r="L3972" s="85" t="s">
        <v>12417</v>
      </c>
      <c r="M3972" s="85" t="s">
        <v>14008</v>
      </c>
    </row>
    <row r="3973" ht="327.75" spans="1:13">
      <c r="A3973" s="85" t="s">
        <v>14001</v>
      </c>
      <c r="B3973" s="85" t="s">
        <v>13663</v>
      </c>
      <c r="C3973" s="85" t="s">
        <v>13664</v>
      </c>
      <c r="D3973" s="85" t="s">
        <v>7533</v>
      </c>
      <c r="E3973" s="85" t="s">
        <v>13664</v>
      </c>
      <c r="F3973" s="86">
        <v>5.32</v>
      </c>
      <c r="G3973" s="86">
        <v>5</v>
      </c>
      <c r="H3973" s="86">
        <v>26.6</v>
      </c>
      <c r="I3973" s="86">
        <v>3165.3</v>
      </c>
      <c r="J3973" s="85" t="s">
        <v>9954</v>
      </c>
      <c r="K3973" s="85" t="s">
        <v>14002</v>
      </c>
      <c r="L3973" s="85" t="s">
        <v>12417</v>
      </c>
      <c r="M3973" s="85" t="s">
        <v>14009</v>
      </c>
    </row>
  </sheetData>
  <mergeCells count="3">
    <mergeCell ref="A1:M1"/>
    <mergeCell ref="A2:M2"/>
    <mergeCell ref="A3:M3"/>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146"/>
  <sheetViews>
    <sheetView zoomScale="70" zoomScaleNormal="70" workbookViewId="0">
      <selection activeCell="E4" sqref="E4"/>
    </sheetView>
  </sheetViews>
  <sheetFormatPr defaultColWidth="9" defaultRowHeight="13.5"/>
  <cols>
    <col min="1" max="16384" width="9" style="74"/>
  </cols>
  <sheetData>
    <row r="1" s="74" customFormat="1" spans="1:65">
      <c r="A1" s="74" t="s">
        <v>14010</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t="s">
        <v>14011</v>
      </c>
    </row>
    <row r="2" s="74" customFormat="1" ht="45" customHeight="1" spans="1:1">
      <c r="A2" s="75" t="s">
        <v>14012</v>
      </c>
    </row>
    <row r="3" s="74" customFormat="1" spans="1:68">
      <c r="A3" s="74" t="s">
        <v>14013</v>
      </c>
      <c r="B3" s="74" t="s">
        <v>14014</v>
      </c>
      <c r="C3" s="74" t="s">
        <v>14015</v>
      </c>
      <c r="D3" s="74" t="s">
        <v>14016</v>
      </c>
      <c r="E3" s="74" t="s">
        <v>14017</v>
      </c>
      <c r="F3" s="74" t="s">
        <v>14018</v>
      </c>
      <c r="G3" s="74" t="s">
        <v>14019</v>
      </c>
      <c r="H3" s="74" t="s">
        <v>14020</v>
      </c>
      <c r="I3" s="74" t="s">
        <v>14021</v>
      </c>
      <c r="J3" s="74" t="s">
        <v>14022</v>
      </c>
      <c r="K3" s="74" t="s">
        <v>14023</v>
      </c>
      <c r="L3" s="74" t="s">
        <v>14024</v>
      </c>
      <c r="M3" s="74" t="s">
        <v>14025</v>
      </c>
      <c r="N3" s="74" t="s">
        <v>14026</v>
      </c>
      <c r="O3" s="74" t="s">
        <v>14027</v>
      </c>
      <c r="P3" s="74" t="s">
        <v>14028</v>
      </c>
      <c r="Q3" s="74" t="s">
        <v>14029</v>
      </c>
      <c r="R3" s="74" t="s">
        <v>14030</v>
      </c>
      <c r="S3" s="74" t="s">
        <v>14031</v>
      </c>
      <c r="T3" s="74" t="s">
        <v>14032</v>
      </c>
      <c r="U3" s="74" t="s">
        <v>14033</v>
      </c>
      <c r="V3" s="74" t="s">
        <v>14034</v>
      </c>
      <c r="W3" s="74" t="s">
        <v>14035</v>
      </c>
      <c r="X3" s="74" t="s">
        <v>14036</v>
      </c>
      <c r="Y3" s="74" t="s">
        <v>14037</v>
      </c>
      <c r="Z3" s="74" t="s">
        <v>14038</v>
      </c>
      <c r="AA3" s="74" t="s">
        <v>14039</v>
      </c>
      <c r="AB3" s="74" t="s">
        <v>14040</v>
      </c>
      <c r="AC3" s="74" t="s">
        <v>14041</v>
      </c>
      <c r="AD3" s="74" t="s">
        <v>14042</v>
      </c>
      <c r="AE3" s="74" t="s">
        <v>14043</v>
      </c>
      <c r="AF3" s="74" t="s">
        <v>14044</v>
      </c>
      <c r="AG3" s="74" t="s">
        <v>14045</v>
      </c>
      <c r="AH3" s="74" t="s">
        <v>14046</v>
      </c>
      <c r="AI3" s="74" t="s">
        <v>14047</v>
      </c>
      <c r="AJ3" s="74" t="s">
        <v>14048</v>
      </c>
      <c r="AK3" s="74" t="s">
        <v>14049</v>
      </c>
      <c r="AL3" s="74" t="s">
        <v>14050</v>
      </c>
      <c r="AM3" s="74" t="s">
        <v>14051</v>
      </c>
      <c r="AN3" s="74" t="s">
        <v>14052</v>
      </c>
      <c r="AO3" s="74" t="s">
        <v>14053</v>
      </c>
      <c r="AP3" s="74" t="s">
        <v>14054</v>
      </c>
      <c r="AQ3" s="74" t="s">
        <v>14055</v>
      </c>
      <c r="AR3" s="74" t="s">
        <v>14056</v>
      </c>
      <c r="AS3" s="74" t="s">
        <v>14057</v>
      </c>
      <c r="AT3" s="74" t="s">
        <v>14058</v>
      </c>
      <c r="AU3" s="74" t="s">
        <v>14059</v>
      </c>
      <c r="AV3" s="74" t="s">
        <v>14060</v>
      </c>
      <c r="AW3" s="74" t="s">
        <v>14061</v>
      </c>
      <c r="AX3" s="74" t="s">
        <v>14062</v>
      </c>
      <c r="AY3" s="74" t="s">
        <v>14063</v>
      </c>
      <c r="AZ3" s="74" t="s">
        <v>14064</v>
      </c>
      <c r="BA3" s="74" t="s">
        <v>14065</v>
      </c>
      <c r="BB3" s="74" t="s">
        <v>14066</v>
      </c>
      <c r="BC3" s="74" t="s">
        <v>14067</v>
      </c>
      <c r="BD3" s="74" t="s">
        <v>14068</v>
      </c>
      <c r="BE3" s="74" t="s">
        <v>14069</v>
      </c>
      <c r="BF3" s="74" t="s">
        <v>14070</v>
      </c>
      <c r="BG3" s="74" t="s">
        <v>14071</v>
      </c>
      <c r="BH3" s="74" t="s">
        <v>14072</v>
      </c>
      <c r="BI3" s="74" t="s">
        <v>14073</v>
      </c>
      <c r="BJ3" s="74" t="s">
        <v>14074</v>
      </c>
      <c r="BK3" s="74" t="s">
        <v>14075</v>
      </c>
      <c r="BL3" s="74" t="s">
        <v>14076</v>
      </c>
      <c r="BM3" s="74" t="s">
        <v>14077</v>
      </c>
      <c r="BN3" s="74" t="s">
        <v>14078</v>
      </c>
      <c r="BO3" s="74" t="s">
        <v>14079</v>
      </c>
      <c r="BP3" s="74" t="s">
        <v>14080</v>
      </c>
    </row>
    <row r="4" s="74" customFormat="1" ht="15" spans="1:68">
      <c r="A4" s="76" t="s">
        <v>14081</v>
      </c>
      <c r="B4" s="77" t="s">
        <v>14082</v>
      </c>
      <c r="C4" s="77" t="s">
        <v>14083</v>
      </c>
      <c r="D4" s="77" t="s">
        <v>14084</v>
      </c>
      <c r="E4" s="77" t="s">
        <v>14085</v>
      </c>
      <c r="F4" s="77" t="s">
        <v>14086</v>
      </c>
      <c r="G4" s="77" t="s">
        <v>14087</v>
      </c>
      <c r="H4" s="76" t="s">
        <v>14088</v>
      </c>
      <c r="I4" s="76" t="s">
        <v>14089</v>
      </c>
      <c r="J4" s="76" t="s">
        <v>14090</v>
      </c>
      <c r="K4" s="76" t="s">
        <v>14091</v>
      </c>
      <c r="L4" s="76" t="s">
        <v>14092</v>
      </c>
      <c r="M4" s="76" t="s">
        <v>14093</v>
      </c>
      <c r="N4" s="76" t="s">
        <v>14094</v>
      </c>
      <c r="O4" s="76" t="s">
        <v>14095</v>
      </c>
      <c r="P4" s="76" t="s">
        <v>14096</v>
      </c>
      <c r="Q4" s="76" t="s">
        <v>14097</v>
      </c>
      <c r="R4" s="76" t="s">
        <v>14098</v>
      </c>
      <c r="S4" s="76" t="s">
        <v>14099</v>
      </c>
      <c r="T4" s="76" t="s">
        <v>14100</v>
      </c>
      <c r="U4" s="76" t="s">
        <v>14101</v>
      </c>
      <c r="V4" s="76" t="s">
        <v>14102</v>
      </c>
      <c r="W4" s="76" t="s">
        <v>14103</v>
      </c>
      <c r="X4" s="76" t="s">
        <v>14104</v>
      </c>
      <c r="Y4" s="76" t="s">
        <v>14105</v>
      </c>
      <c r="Z4" s="76" t="s">
        <v>14106</v>
      </c>
      <c r="AA4" s="76" t="s">
        <v>14107</v>
      </c>
      <c r="AB4" s="76" t="s">
        <v>14108</v>
      </c>
      <c r="AC4" s="76" t="s">
        <v>2803</v>
      </c>
      <c r="AD4" s="76" t="s">
        <v>14109</v>
      </c>
      <c r="AE4" s="76" t="s">
        <v>14110</v>
      </c>
      <c r="AF4" s="76" t="s">
        <v>14111</v>
      </c>
      <c r="AG4" s="76" t="s">
        <v>715</v>
      </c>
      <c r="AH4" s="76" t="s">
        <v>14112</v>
      </c>
      <c r="AI4" s="76" t="s">
        <v>14113</v>
      </c>
      <c r="AJ4" s="76" t="s">
        <v>14114</v>
      </c>
      <c r="AK4" s="76" t="s">
        <v>14115</v>
      </c>
      <c r="AL4" s="76" t="s">
        <v>14116</v>
      </c>
      <c r="AM4" s="76" t="s">
        <v>14117</v>
      </c>
      <c r="AN4" s="76" t="s">
        <v>14118</v>
      </c>
      <c r="AO4" s="76" t="s">
        <v>14119</v>
      </c>
      <c r="AP4" s="76" t="s">
        <v>14120</v>
      </c>
      <c r="AQ4" s="76" t="s">
        <v>14121</v>
      </c>
      <c r="AR4" s="76" t="s">
        <v>14122</v>
      </c>
      <c r="AS4" s="77" t="s">
        <v>14123</v>
      </c>
      <c r="AT4" s="76" t="s">
        <v>14124</v>
      </c>
      <c r="AU4" s="76" t="s">
        <v>14125</v>
      </c>
      <c r="AV4" s="76" t="s">
        <v>14126</v>
      </c>
      <c r="AW4" s="76" t="s">
        <v>14127</v>
      </c>
      <c r="AX4" s="76" t="s">
        <v>14128</v>
      </c>
      <c r="AY4" s="76" t="s">
        <v>14129</v>
      </c>
      <c r="AZ4" s="76" t="s">
        <v>14130</v>
      </c>
      <c r="BA4" s="76" t="s">
        <v>14131</v>
      </c>
      <c r="BB4" s="76" t="s">
        <v>14132</v>
      </c>
      <c r="BC4" s="76" t="s">
        <v>14133</v>
      </c>
      <c r="BD4" s="76" t="s">
        <v>14134</v>
      </c>
      <c r="BE4" s="76" t="s">
        <v>14135</v>
      </c>
      <c r="BF4" s="76" t="s">
        <v>14136</v>
      </c>
      <c r="BG4" s="76" t="s">
        <v>14137</v>
      </c>
      <c r="BH4" s="76" t="s">
        <v>14138</v>
      </c>
      <c r="BI4" s="76" t="s">
        <v>14139</v>
      </c>
      <c r="BJ4" s="76" t="s">
        <v>14140</v>
      </c>
      <c r="BK4" s="76" t="s">
        <v>14141</v>
      </c>
      <c r="BL4" s="76" t="s">
        <v>14142</v>
      </c>
      <c r="BM4" s="76" t="s">
        <v>14081</v>
      </c>
      <c r="BN4" s="76" t="s">
        <v>14143</v>
      </c>
      <c r="BO4" s="76" t="s">
        <v>14144</v>
      </c>
      <c r="BP4" s="76" t="s">
        <v>14145</v>
      </c>
    </row>
    <row r="5" s="74" customFormat="1" ht="123.95" customHeight="1" spans="1:68">
      <c r="A5" s="78" t="s">
        <v>14146</v>
      </c>
      <c r="B5" s="78" t="s">
        <v>2842</v>
      </c>
      <c r="C5" s="78" t="s">
        <v>14147</v>
      </c>
      <c r="D5" s="78" t="s">
        <v>14148</v>
      </c>
      <c r="E5" s="79" t="s">
        <v>14149</v>
      </c>
      <c r="F5" s="78" t="s">
        <v>14150</v>
      </c>
      <c r="G5" s="78" t="s">
        <v>14151</v>
      </c>
      <c r="H5" s="74"/>
      <c r="I5" s="74"/>
      <c r="J5" s="78" t="s">
        <v>14152</v>
      </c>
      <c r="K5" s="78" t="s">
        <v>14153</v>
      </c>
      <c r="L5" s="78" t="s">
        <v>14154</v>
      </c>
      <c r="M5" s="78" t="s">
        <v>14155</v>
      </c>
      <c r="N5" s="74"/>
      <c r="O5" s="74"/>
      <c r="P5" s="80">
        <v>4700</v>
      </c>
      <c r="Q5" s="78" t="s">
        <v>14156</v>
      </c>
      <c r="R5" s="74"/>
      <c r="S5" s="74"/>
      <c r="T5" s="78" t="s">
        <v>14157</v>
      </c>
      <c r="U5" s="74"/>
      <c r="V5" s="78" t="s">
        <v>14158</v>
      </c>
      <c r="W5" s="78" t="s">
        <v>2391</v>
      </c>
      <c r="X5" s="78" t="s">
        <v>2395</v>
      </c>
      <c r="Y5" s="78" t="s">
        <v>2397</v>
      </c>
      <c r="Z5" s="78" t="s">
        <v>2842</v>
      </c>
      <c r="AA5" s="78" t="s">
        <v>14156</v>
      </c>
      <c r="AB5" s="78" t="s">
        <v>14156</v>
      </c>
      <c r="AC5" s="79" t="s">
        <v>14159</v>
      </c>
      <c r="AD5" s="79" t="s">
        <v>14159</v>
      </c>
      <c r="AE5" s="78" t="s">
        <v>14160</v>
      </c>
      <c r="AF5" s="78" t="s">
        <v>14161</v>
      </c>
      <c r="AG5" s="78" t="s">
        <v>14162</v>
      </c>
      <c r="AH5" s="74"/>
      <c r="AI5" s="74"/>
      <c r="AJ5" s="74"/>
      <c r="AK5" s="74"/>
      <c r="AL5" s="74"/>
      <c r="AM5" s="78" t="s">
        <v>14163</v>
      </c>
      <c r="AN5" s="78" t="s">
        <v>14164</v>
      </c>
      <c r="AO5" s="78" t="s">
        <v>14165</v>
      </c>
      <c r="AP5" s="78" t="s">
        <v>14166</v>
      </c>
      <c r="AQ5" s="78" t="s">
        <v>14167</v>
      </c>
      <c r="AR5" s="78" t="s">
        <v>14168</v>
      </c>
      <c r="AS5" s="78" t="s">
        <v>14169</v>
      </c>
      <c r="AT5" s="78" t="s">
        <v>2918</v>
      </c>
      <c r="AU5" s="78" t="s">
        <v>14170</v>
      </c>
      <c r="AV5" s="78" t="s">
        <v>787</v>
      </c>
      <c r="AW5" s="78" t="s">
        <v>787</v>
      </c>
      <c r="AX5" s="78" t="s">
        <v>14171</v>
      </c>
      <c r="AY5" s="78" t="s">
        <v>14172</v>
      </c>
      <c r="AZ5" s="78" t="s">
        <v>14173</v>
      </c>
      <c r="BA5" s="78" t="s">
        <v>14170</v>
      </c>
      <c r="BB5" s="74"/>
      <c r="BC5" s="78" t="s">
        <v>14174</v>
      </c>
      <c r="BD5" s="78" t="s">
        <v>14163</v>
      </c>
      <c r="BE5" s="78" t="s">
        <v>14164</v>
      </c>
      <c r="BF5" s="81" t="s">
        <v>14175</v>
      </c>
      <c r="BG5" s="81" t="s">
        <v>14176</v>
      </c>
      <c r="BH5" s="81" t="s">
        <v>14177</v>
      </c>
      <c r="BI5" s="78" t="s">
        <v>14178</v>
      </c>
      <c r="BJ5" s="78" t="s">
        <v>14179</v>
      </c>
      <c r="BK5" s="78" t="s">
        <v>14180</v>
      </c>
      <c r="BL5" s="78" t="s">
        <v>14181</v>
      </c>
      <c r="BM5" s="78" t="s">
        <v>14182</v>
      </c>
      <c r="BN5" s="78" t="s">
        <v>14183</v>
      </c>
      <c r="BO5" s="78" t="s">
        <v>14184</v>
      </c>
      <c r="BP5" s="78" t="s">
        <v>14184</v>
      </c>
    </row>
    <row r="6" s="74" customFormat="1" ht="75.95" customHeight="1" spans="65:68">
      <c r="BM6" s="78" t="s">
        <v>14185</v>
      </c>
      <c r="BN6" s="78" t="s">
        <v>14186</v>
      </c>
      <c r="BO6" s="78" t="s">
        <v>2920</v>
      </c>
      <c r="BP6" s="78" t="s">
        <v>2920</v>
      </c>
    </row>
    <row r="7" s="74" customFormat="1" ht="78.6" customHeight="1" spans="1:68">
      <c r="A7" s="78" t="s">
        <v>14187</v>
      </c>
      <c r="B7" s="78" t="s">
        <v>14188</v>
      </c>
      <c r="C7" s="78" t="s">
        <v>14189</v>
      </c>
      <c r="D7" s="78" t="s">
        <v>14148</v>
      </c>
      <c r="E7" s="79" t="s">
        <v>14190</v>
      </c>
      <c r="F7" s="78" t="s">
        <v>14150</v>
      </c>
      <c r="G7" s="78" t="s">
        <v>14151</v>
      </c>
      <c r="H7" s="74"/>
      <c r="I7" s="74"/>
      <c r="J7" s="78" t="s">
        <v>14152</v>
      </c>
      <c r="K7" s="78" t="s">
        <v>14153</v>
      </c>
      <c r="L7" s="78" t="s">
        <v>14154</v>
      </c>
      <c r="M7" s="78" t="s">
        <v>14155</v>
      </c>
      <c r="N7" s="74"/>
      <c r="O7" s="74"/>
      <c r="P7" s="80">
        <v>4700</v>
      </c>
      <c r="Q7" s="78" t="s">
        <v>14156</v>
      </c>
      <c r="R7" s="74"/>
      <c r="S7" s="74"/>
      <c r="T7" s="78" t="s">
        <v>14157</v>
      </c>
      <c r="U7" s="74"/>
      <c r="V7" s="78" t="s">
        <v>14158</v>
      </c>
      <c r="W7" s="78" t="s">
        <v>2391</v>
      </c>
      <c r="X7" s="78" t="s">
        <v>2395</v>
      </c>
      <c r="Y7" s="78" t="s">
        <v>2397</v>
      </c>
      <c r="Z7" s="78" t="s">
        <v>14188</v>
      </c>
      <c r="AA7" s="78" t="s">
        <v>14156</v>
      </c>
      <c r="AB7" s="78" t="s">
        <v>14156</v>
      </c>
      <c r="AC7" s="79" t="s">
        <v>14191</v>
      </c>
      <c r="AD7" s="79" t="s">
        <v>14191</v>
      </c>
      <c r="AE7" s="78" t="s">
        <v>14160</v>
      </c>
      <c r="AF7" s="78" t="s">
        <v>14161</v>
      </c>
      <c r="AG7" s="78" t="s">
        <v>14162</v>
      </c>
      <c r="AH7" s="74"/>
      <c r="AI7" s="74"/>
      <c r="AJ7" s="74"/>
      <c r="AK7" s="74"/>
      <c r="AL7" s="74"/>
      <c r="AM7" s="78" t="s">
        <v>14163</v>
      </c>
      <c r="AN7" s="78" t="s">
        <v>14164</v>
      </c>
      <c r="AO7" s="78" t="s">
        <v>14192</v>
      </c>
      <c r="AP7" s="78" t="s">
        <v>14166</v>
      </c>
      <c r="AQ7" s="78" t="s">
        <v>14193</v>
      </c>
      <c r="AR7" s="78" t="s">
        <v>14194</v>
      </c>
      <c r="AS7" s="78" t="s">
        <v>14169</v>
      </c>
      <c r="AT7" s="78" t="s">
        <v>2918</v>
      </c>
      <c r="AU7" s="78" t="s">
        <v>14170</v>
      </c>
      <c r="AV7" s="78" t="s">
        <v>787</v>
      </c>
      <c r="AW7" s="78" t="s">
        <v>787</v>
      </c>
      <c r="AX7" s="78" t="s">
        <v>14195</v>
      </c>
      <c r="AY7" s="78" t="s">
        <v>14196</v>
      </c>
      <c r="AZ7" s="78" t="s">
        <v>14173</v>
      </c>
      <c r="BA7" s="78" t="s">
        <v>14170</v>
      </c>
      <c r="BB7" s="74"/>
      <c r="BC7" s="78" t="s">
        <v>14174</v>
      </c>
      <c r="BD7" s="78" t="s">
        <v>14163</v>
      </c>
      <c r="BE7" s="78" t="s">
        <v>14164</v>
      </c>
      <c r="BF7" s="74"/>
      <c r="BG7" s="81" t="s">
        <v>14197</v>
      </c>
      <c r="BH7" s="81" t="s">
        <v>14198</v>
      </c>
      <c r="BI7" s="74"/>
      <c r="BJ7" s="74"/>
      <c r="BK7" s="78" t="s">
        <v>14199</v>
      </c>
      <c r="BL7" s="78" t="s">
        <v>14181</v>
      </c>
      <c r="BM7" s="78" t="s">
        <v>14200</v>
      </c>
      <c r="BN7" s="78" t="s">
        <v>14183</v>
      </c>
      <c r="BO7" s="78" t="s">
        <v>14184</v>
      </c>
      <c r="BP7" s="78" t="s">
        <v>14184</v>
      </c>
    </row>
    <row r="8" s="74" customFormat="1" ht="40.5" spans="65:68">
      <c r="BM8" s="78" t="s">
        <v>14201</v>
      </c>
      <c r="BN8" s="78" t="s">
        <v>14186</v>
      </c>
      <c r="BO8" s="78" t="s">
        <v>2920</v>
      </c>
      <c r="BP8" s="78" t="s">
        <v>2920</v>
      </c>
    </row>
    <row r="9" s="74" customFormat="1" ht="241.5" customHeight="1" spans="1:68">
      <c r="A9" s="78" t="s">
        <v>14202</v>
      </c>
      <c r="B9" s="78" t="s">
        <v>2843</v>
      </c>
      <c r="C9" s="78" t="s">
        <v>14203</v>
      </c>
      <c r="D9" s="78" t="s">
        <v>14204</v>
      </c>
      <c r="E9" s="79" t="s">
        <v>14149</v>
      </c>
      <c r="F9" s="78" t="s">
        <v>14150</v>
      </c>
      <c r="G9" s="78" t="s">
        <v>14151</v>
      </c>
      <c r="H9" s="74"/>
      <c r="I9" s="74"/>
      <c r="J9" s="78" t="s">
        <v>14152</v>
      </c>
      <c r="K9" s="78" t="s">
        <v>14153</v>
      </c>
      <c r="L9" s="78" t="s">
        <v>14154</v>
      </c>
      <c r="M9" s="78" t="s">
        <v>14155</v>
      </c>
      <c r="N9" s="74"/>
      <c r="O9" s="74"/>
      <c r="P9" s="80">
        <v>16673.8</v>
      </c>
      <c r="Q9" s="78" t="s">
        <v>14156</v>
      </c>
      <c r="R9" s="74"/>
      <c r="S9" s="74"/>
      <c r="T9" s="78" t="s">
        <v>14157</v>
      </c>
      <c r="U9" s="74"/>
      <c r="V9" s="78" t="s">
        <v>14158</v>
      </c>
      <c r="W9" s="78" t="s">
        <v>2391</v>
      </c>
      <c r="X9" s="78" t="s">
        <v>2395</v>
      </c>
      <c r="Y9" s="78" t="s">
        <v>2397</v>
      </c>
      <c r="Z9" s="78" t="s">
        <v>2843</v>
      </c>
      <c r="AA9" s="78" t="s">
        <v>14156</v>
      </c>
      <c r="AB9" s="78" t="s">
        <v>14156</v>
      </c>
      <c r="AC9" s="79" t="s">
        <v>14159</v>
      </c>
      <c r="AD9" s="79" t="s">
        <v>14159</v>
      </c>
      <c r="AE9" s="78" t="s">
        <v>14160</v>
      </c>
      <c r="AF9" s="78" t="s">
        <v>14161</v>
      </c>
      <c r="AG9" s="78" t="s">
        <v>14162</v>
      </c>
      <c r="AH9" s="74"/>
      <c r="AI9" s="74"/>
      <c r="AJ9" s="74"/>
      <c r="AK9" s="74"/>
      <c r="AL9" s="74"/>
      <c r="AM9" s="78" t="s">
        <v>14163</v>
      </c>
      <c r="AN9" s="78" t="s">
        <v>14164</v>
      </c>
      <c r="AO9" s="78" t="s">
        <v>14165</v>
      </c>
      <c r="AP9" s="78" t="s">
        <v>14166</v>
      </c>
      <c r="AQ9" s="78" t="s">
        <v>14193</v>
      </c>
      <c r="AR9" s="78" t="s">
        <v>14194</v>
      </c>
      <c r="AS9" s="78" t="s">
        <v>14205</v>
      </c>
      <c r="AT9" s="78" t="s">
        <v>3124</v>
      </c>
      <c r="AU9" s="78" t="s">
        <v>14206</v>
      </c>
      <c r="AV9" s="78" t="s">
        <v>787</v>
      </c>
      <c r="AW9" s="78" t="s">
        <v>787</v>
      </c>
      <c r="AX9" s="78" t="s">
        <v>14207</v>
      </c>
      <c r="AY9" s="78" t="s">
        <v>14208</v>
      </c>
      <c r="AZ9" s="78" t="s">
        <v>14173</v>
      </c>
      <c r="BA9" s="78" t="s">
        <v>14206</v>
      </c>
      <c r="BB9" s="74"/>
      <c r="BC9" s="78" t="s">
        <v>14209</v>
      </c>
      <c r="BD9" s="78" t="s">
        <v>14163</v>
      </c>
      <c r="BE9" s="78" t="s">
        <v>14164</v>
      </c>
      <c r="BF9" s="74"/>
      <c r="BG9" s="81" t="s">
        <v>14210</v>
      </c>
      <c r="BH9" s="81" t="s">
        <v>14211</v>
      </c>
      <c r="BI9" s="74"/>
      <c r="BJ9" s="74"/>
      <c r="BK9" s="78" t="s">
        <v>14212</v>
      </c>
      <c r="BL9" s="78" t="s">
        <v>14213</v>
      </c>
      <c r="BM9" s="78" t="s">
        <v>14214</v>
      </c>
      <c r="BN9" s="78" t="s">
        <v>14183</v>
      </c>
      <c r="BO9" s="78" t="s">
        <v>14184</v>
      </c>
      <c r="BP9" s="78" t="s">
        <v>14184</v>
      </c>
    </row>
    <row r="10" s="74" customFormat="1" ht="225.95" customHeight="1" spans="65:68">
      <c r="BM10" s="78" t="s">
        <v>14215</v>
      </c>
      <c r="BN10" s="78" t="s">
        <v>14216</v>
      </c>
      <c r="BO10" s="78" t="s">
        <v>2904</v>
      </c>
      <c r="BP10" s="78" t="s">
        <v>2904</v>
      </c>
    </row>
    <row r="11" s="74" customFormat="1" ht="409.5" spans="1:68">
      <c r="A11" s="78" t="s">
        <v>14217</v>
      </c>
      <c r="B11" s="78" t="s">
        <v>2844</v>
      </c>
      <c r="C11" s="78" t="s">
        <v>14147</v>
      </c>
      <c r="D11" s="78" t="s">
        <v>14218</v>
      </c>
      <c r="E11" s="79" t="s">
        <v>14219</v>
      </c>
      <c r="F11" s="78" t="s">
        <v>14150</v>
      </c>
      <c r="G11" s="78" t="s">
        <v>14151</v>
      </c>
      <c r="H11" s="74"/>
      <c r="I11" s="74"/>
      <c r="J11" s="78" t="s">
        <v>14152</v>
      </c>
      <c r="K11" s="78" t="s">
        <v>14153</v>
      </c>
      <c r="L11" s="78" t="s">
        <v>14154</v>
      </c>
      <c r="M11" s="78" t="s">
        <v>14155</v>
      </c>
      <c r="N11" s="74"/>
      <c r="O11" s="74"/>
      <c r="P11" s="80">
        <v>9998.7</v>
      </c>
      <c r="Q11" s="78" t="s">
        <v>14156</v>
      </c>
      <c r="R11" s="74"/>
      <c r="S11" s="74"/>
      <c r="T11" s="78" t="s">
        <v>14157</v>
      </c>
      <c r="U11" s="74"/>
      <c r="V11" s="78" t="s">
        <v>14158</v>
      </c>
      <c r="W11" s="78" t="s">
        <v>2391</v>
      </c>
      <c r="X11" s="78" t="s">
        <v>2395</v>
      </c>
      <c r="Y11" s="78" t="s">
        <v>2397</v>
      </c>
      <c r="Z11" s="78" t="s">
        <v>2844</v>
      </c>
      <c r="AA11" s="78" t="s">
        <v>14156</v>
      </c>
      <c r="AB11" s="78" t="s">
        <v>14156</v>
      </c>
      <c r="AC11" s="79" t="s">
        <v>14220</v>
      </c>
      <c r="AD11" s="79" t="s">
        <v>14220</v>
      </c>
      <c r="AE11" s="78" t="s">
        <v>14160</v>
      </c>
      <c r="AF11" s="78" t="s">
        <v>14161</v>
      </c>
      <c r="AG11" s="78" t="s">
        <v>14162</v>
      </c>
      <c r="AH11" s="74"/>
      <c r="AI11" s="74"/>
      <c r="AJ11" s="74"/>
      <c r="AK11" s="74"/>
      <c r="AL11" s="74"/>
      <c r="AM11" s="78" t="s">
        <v>14163</v>
      </c>
      <c r="AN11" s="78" t="s">
        <v>14164</v>
      </c>
      <c r="AO11" s="78" t="s">
        <v>14165</v>
      </c>
      <c r="AP11" s="78" t="s">
        <v>14166</v>
      </c>
      <c r="AQ11" s="78" t="s">
        <v>14167</v>
      </c>
      <c r="AR11" s="78" t="s">
        <v>14168</v>
      </c>
      <c r="AS11" s="78" t="s">
        <v>14205</v>
      </c>
      <c r="AT11" s="78" t="s">
        <v>3124</v>
      </c>
      <c r="AU11" s="78" t="s">
        <v>14206</v>
      </c>
      <c r="AV11" s="78" t="s">
        <v>787</v>
      </c>
      <c r="AW11" s="78" t="s">
        <v>787</v>
      </c>
      <c r="AX11" s="78" t="s">
        <v>14221</v>
      </c>
      <c r="AY11" s="78" t="s">
        <v>14222</v>
      </c>
      <c r="AZ11" s="78" t="s">
        <v>14173</v>
      </c>
      <c r="BA11" s="78" t="s">
        <v>14206</v>
      </c>
      <c r="BB11" s="74"/>
      <c r="BC11" s="78" t="s">
        <v>14223</v>
      </c>
      <c r="BD11" s="78" t="s">
        <v>14163</v>
      </c>
      <c r="BE11" s="78" t="s">
        <v>14164</v>
      </c>
      <c r="BF11" s="81" t="s">
        <v>14224</v>
      </c>
      <c r="BG11" s="81" t="s">
        <v>14225</v>
      </c>
      <c r="BH11" s="81" t="s">
        <v>14226</v>
      </c>
      <c r="BI11" s="78" t="s">
        <v>14178</v>
      </c>
      <c r="BJ11" s="78" t="s">
        <v>14179</v>
      </c>
      <c r="BK11" s="78" t="s">
        <v>14227</v>
      </c>
      <c r="BL11" s="78" t="s">
        <v>14213</v>
      </c>
      <c r="BM11" s="78" t="s">
        <v>14228</v>
      </c>
      <c r="BN11" s="78" t="s">
        <v>14183</v>
      </c>
      <c r="BO11" s="78" t="s">
        <v>14184</v>
      </c>
      <c r="BP11" s="78" t="s">
        <v>14184</v>
      </c>
    </row>
    <row r="12" s="74" customFormat="1" ht="54" spans="65:68">
      <c r="BM12" s="78" t="s">
        <v>14229</v>
      </c>
      <c r="BN12" s="78" t="s">
        <v>14230</v>
      </c>
      <c r="BO12" s="78" t="s">
        <v>2924</v>
      </c>
      <c r="BP12" s="78" t="s">
        <v>2924</v>
      </c>
    </row>
    <row r="13" s="74" customFormat="1" ht="409.5" spans="1:68">
      <c r="A13" s="78" t="s">
        <v>14231</v>
      </c>
      <c r="B13" s="78" t="s">
        <v>2873</v>
      </c>
      <c r="C13" s="78" t="s">
        <v>14147</v>
      </c>
      <c r="D13" s="78" t="s">
        <v>14232</v>
      </c>
      <c r="E13" s="79" t="s">
        <v>14233</v>
      </c>
      <c r="F13" s="78" t="s">
        <v>14150</v>
      </c>
      <c r="G13" s="78" t="s">
        <v>14151</v>
      </c>
      <c r="H13" s="74"/>
      <c r="I13" s="74"/>
      <c r="J13" s="78" t="s">
        <v>14152</v>
      </c>
      <c r="K13" s="78" t="s">
        <v>14153</v>
      </c>
      <c r="L13" s="78" t="s">
        <v>14154</v>
      </c>
      <c r="M13" s="78" t="s">
        <v>14155</v>
      </c>
      <c r="N13" s="74"/>
      <c r="O13" s="74"/>
      <c r="P13" s="80">
        <v>13250</v>
      </c>
      <c r="Q13" s="78" t="s">
        <v>14156</v>
      </c>
      <c r="R13" s="74"/>
      <c r="S13" s="74"/>
      <c r="T13" s="78" t="s">
        <v>14157</v>
      </c>
      <c r="U13" s="74"/>
      <c r="V13" s="78" t="s">
        <v>14158</v>
      </c>
      <c r="W13" s="78" t="s">
        <v>2391</v>
      </c>
      <c r="X13" s="78" t="s">
        <v>2395</v>
      </c>
      <c r="Y13" s="78" t="s">
        <v>2397</v>
      </c>
      <c r="Z13" s="78" t="s">
        <v>2873</v>
      </c>
      <c r="AA13" s="78" t="s">
        <v>14156</v>
      </c>
      <c r="AB13" s="78" t="s">
        <v>14156</v>
      </c>
      <c r="AC13" s="79" t="s">
        <v>14220</v>
      </c>
      <c r="AD13" s="79" t="s">
        <v>14220</v>
      </c>
      <c r="AE13" s="78" t="s">
        <v>14160</v>
      </c>
      <c r="AF13" s="78" t="s">
        <v>14161</v>
      </c>
      <c r="AG13" s="78" t="s">
        <v>14162</v>
      </c>
      <c r="AH13" s="74"/>
      <c r="AI13" s="74"/>
      <c r="AJ13" s="74"/>
      <c r="AK13" s="74"/>
      <c r="AL13" s="74"/>
      <c r="AM13" s="78" t="s">
        <v>14234</v>
      </c>
      <c r="AN13" s="78" t="s">
        <v>14235</v>
      </c>
      <c r="AO13" s="78" t="s">
        <v>14165</v>
      </c>
      <c r="AP13" s="78" t="s">
        <v>14166</v>
      </c>
      <c r="AQ13" s="78" t="s">
        <v>14167</v>
      </c>
      <c r="AR13" s="78" t="s">
        <v>14168</v>
      </c>
      <c r="AS13" s="78" t="s">
        <v>14236</v>
      </c>
      <c r="AT13" s="78" t="s">
        <v>3510</v>
      </c>
      <c r="AU13" s="78" t="s">
        <v>14206</v>
      </c>
      <c r="AV13" s="78" t="s">
        <v>787</v>
      </c>
      <c r="AW13" s="78" t="s">
        <v>787</v>
      </c>
      <c r="AX13" s="78" t="s">
        <v>14237</v>
      </c>
      <c r="AY13" s="78" t="s">
        <v>14238</v>
      </c>
      <c r="AZ13" s="78" t="s">
        <v>14173</v>
      </c>
      <c r="BA13" s="78" t="s">
        <v>14206</v>
      </c>
      <c r="BB13" s="74"/>
      <c r="BC13" s="78" t="s">
        <v>14239</v>
      </c>
      <c r="BD13" s="78" t="s">
        <v>14163</v>
      </c>
      <c r="BE13" s="78" t="s">
        <v>14164</v>
      </c>
      <c r="BF13" s="81" t="s">
        <v>14240</v>
      </c>
      <c r="BG13" s="81" t="s">
        <v>14241</v>
      </c>
      <c r="BH13" s="81" t="s">
        <v>14242</v>
      </c>
      <c r="BI13" s="78" t="s">
        <v>14178</v>
      </c>
      <c r="BJ13" s="78" t="s">
        <v>14179</v>
      </c>
      <c r="BK13" s="78" t="s">
        <v>14243</v>
      </c>
      <c r="BL13" s="78" t="s">
        <v>14213</v>
      </c>
      <c r="BM13" s="78" t="s">
        <v>14244</v>
      </c>
      <c r="BN13" s="78" t="s">
        <v>14183</v>
      </c>
      <c r="BO13" s="78" t="s">
        <v>14184</v>
      </c>
      <c r="BP13" s="78" t="s">
        <v>14184</v>
      </c>
    </row>
    <row r="14" s="74" customFormat="1" ht="54" spans="65:68">
      <c r="BM14" s="78" t="s">
        <v>14245</v>
      </c>
      <c r="BN14" s="78" t="s">
        <v>14246</v>
      </c>
      <c r="BO14" s="78" t="s">
        <v>3516</v>
      </c>
      <c r="BP14" s="78" t="s">
        <v>3516</v>
      </c>
    </row>
    <row r="15" s="74" customFormat="1" ht="409.5" spans="1:68">
      <c r="A15" s="78" t="s">
        <v>14247</v>
      </c>
      <c r="B15" s="78" t="s">
        <v>14248</v>
      </c>
      <c r="C15" s="78" t="s">
        <v>14249</v>
      </c>
      <c r="D15" s="78" t="s">
        <v>14250</v>
      </c>
      <c r="E15" s="79" t="s">
        <v>14251</v>
      </c>
      <c r="F15" s="78" t="s">
        <v>14150</v>
      </c>
      <c r="G15" s="78" t="s">
        <v>14151</v>
      </c>
      <c r="H15" s="74"/>
      <c r="I15" s="74"/>
      <c r="J15" s="78" t="s">
        <v>14152</v>
      </c>
      <c r="K15" s="78" t="s">
        <v>14153</v>
      </c>
      <c r="L15" s="78" t="s">
        <v>14154</v>
      </c>
      <c r="M15" s="78" t="s">
        <v>14155</v>
      </c>
      <c r="N15" s="74"/>
      <c r="O15" s="74"/>
      <c r="P15" s="80">
        <v>5793.94</v>
      </c>
      <c r="Q15" s="78" t="s">
        <v>14156</v>
      </c>
      <c r="R15" s="74"/>
      <c r="S15" s="74"/>
      <c r="T15" s="78" t="s">
        <v>14157</v>
      </c>
      <c r="U15" s="74"/>
      <c r="V15" s="78" t="s">
        <v>14158</v>
      </c>
      <c r="W15" s="78" t="s">
        <v>2391</v>
      </c>
      <c r="X15" s="78" t="s">
        <v>2395</v>
      </c>
      <c r="Y15" s="78" t="s">
        <v>2397</v>
      </c>
      <c r="Z15" s="78" t="s">
        <v>14248</v>
      </c>
      <c r="AA15" s="78" t="s">
        <v>14156</v>
      </c>
      <c r="AB15" s="78" t="s">
        <v>14156</v>
      </c>
      <c r="AC15" s="79" t="s">
        <v>14220</v>
      </c>
      <c r="AD15" s="79" t="s">
        <v>14220</v>
      </c>
      <c r="AE15" s="78" t="s">
        <v>14252</v>
      </c>
      <c r="AF15" s="78" t="s">
        <v>14253</v>
      </c>
      <c r="AG15" s="78" t="s">
        <v>14162</v>
      </c>
      <c r="AH15" s="74"/>
      <c r="AI15" s="74"/>
      <c r="AJ15" s="74"/>
      <c r="AK15" s="74"/>
      <c r="AL15" s="74"/>
      <c r="AM15" s="78" t="s">
        <v>14163</v>
      </c>
      <c r="AN15" s="78" t="s">
        <v>14164</v>
      </c>
      <c r="AO15" s="78" t="s">
        <v>14192</v>
      </c>
      <c r="AP15" s="78" t="s">
        <v>14166</v>
      </c>
      <c r="AQ15" s="78" t="s">
        <v>14193</v>
      </c>
      <c r="AR15" s="78" t="s">
        <v>14194</v>
      </c>
      <c r="AS15" s="78" t="s">
        <v>14254</v>
      </c>
      <c r="AT15" s="78" t="s">
        <v>14255</v>
      </c>
      <c r="AU15" s="78" t="s">
        <v>14256</v>
      </c>
      <c r="AV15" s="78" t="s">
        <v>787</v>
      </c>
      <c r="AW15" s="78" t="s">
        <v>787</v>
      </c>
      <c r="AX15" s="78" t="s">
        <v>14257</v>
      </c>
      <c r="AY15" s="78" t="s">
        <v>14258</v>
      </c>
      <c r="AZ15" s="78" t="s">
        <v>14173</v>
      </c>
      <c r="BA15" s="78" t="s">
        <v>14256</v>
      </c>
      <c r="BB15" s="74"/>
      <c r="BC15" s="78" t="s">
        <v>14259</v>
      </c>
      <c r="BD15" s="78" t="s">
        <v>14178</v>
      </c>
      <c r="BE15" s="78" t="s">
        <v>14179</v>
      </c>
      <c r="BF15" s="74"/>
      <c r="BG15" s="81" t="s">
        <v>14260</v>
      </c>
      <c r="BH15" s="81" t="s">
        <v>14261</v>
      </c>
      <c r="BI15" s="74"/>
      <c r="BJ15" s="74"/>
      <c r="BK15" s="78" t="s">
        <v>14262</v>
      </c>
      <c r="BL15" s="78" t="s">
        <v>14263</v>
      </c>
      <c r="BM15" s="78" t="s">
        <v>14264</v>
      </c>
      <c r="BN15" s="78" t="s">
        <v>14183</v>
      </c>
      <c r="BO15" s="78" t="s">
        <v>14184</v>
      </c>
      <c r="BP15" s="78" t="s">
        <v>14184</v>
      </c>
    </row>
    <row r="16" s="74" customFormat="1" ht="206.1" customHeight="1" spans="65:68">
      <c r="BM16" s="78" t="s">
        <v>14265</v>
      </c>
      <c r="BN16" s="78" t="s">
        <v>14266</v>
      </c>
      <c r="BO16" s="78" t="s">
        <v>2935</v>
      </c>
      <c r="BP16" s="78" t="s">
        <v>2935</v>
      </c>
    </row>
    <row r="17" s="74" customFormat="1" ht="185.45" customHeight="1" spans="1:68">
      <c r="A17" s="78" t="s">
        <v>14267</v>
      </c>
      <c r="B17" s="78" t="s">
        <v>14268</v>
      </c>
      <c r="C17" s="78" t="s">
        <v>14249</v>
      </c>
      <c r="D17" s="78" t="s">
        <v>14269</v>
      </c>
      <c r="E17" s="79" t="s">
        <v>14219</v>
      </c>
      <c r="F17" s="78" t="s">
        <v>14150</v>
      </c>
      <c r="G17" s="78" t="s">
        <v>14151</v>
      </c>
      <c r="H17" s="74"/>
      <c r="I17" s="74"/>
      <c r="J17" s="78" t="s">
        <v>14152</v>
      </c>
      <c r="K17" s="78" t="s">
        <v>14153</v>
      </c>
      <c r="L17" s="78" t="s">
        <v>14154</v>
      </c>
      <c r="M17" s="78" t="s">
        <v>14155</v>
      </c>
      <c r="N17" s="74"/>
      <c r="O17" s="74"/>
      <c r="P17" s="80">
        <v>14250</v>
      </c>
      <c r="Q17" s="78" t="s">
        <v>14156</v>
      </c>
      <c r="R17" s="74"/>
      <c r="S17" s="74"/>
      <c r="T17" s="78" t="s">
        <v>14157</v>
      </c>
      <c r="U17" s="74"/>
      <c r="V17" s="78" t="s">
        <v>14158</v>
      </c>
      <c r="W17" s="78" t="s">
        <v>2391</v>
      </c>
      <c r="X17" s="78" t="s">
        <v>2395</v>
      </c>
      <c r="Y17" s="78" t="s">
        <v>2397</v>
      </c>
      <c r="Z17" s="78" t="s">
        <v>14268</v>
      </c>
      <c r="AA17" s="78" t="s">
        <v>14156</v>
      </c>
      <c r="AB17" s="78" t="s">
        <v>14156</v>
      </c>
      <c r="AC17" s="79" t="s">
        <v>14220</v>
      </c>
      <c r="AD17" s="79" t="s">
        <v>14220</v>
      </c>
      <c r="AE17" s="78" t="s">
        <v>14252</v>
      </c>
      <c r="AF17" s="78" t="s">
        <v>14253</v>
      </c>
      <c r="AG17" s="78" t="s">
        <v>14162</v>
      </c>
      <c r="AH17" s="74"/>
      <c r="AI17" s="74"/>
      <c r="AJ17" s="74"/>
      <c r="AK17" s="74"/>
      <c r="AL17" s="74"/>
      <c r="AM17" s="78" t="s">
        <v>14163</v>
      </c>
      <c r="AN17" s="78" t="s">
        <v>14164</v>
      </c>
      <c r="AO17" s="78" t="s">
        <v>14192</v>
      </c>
      <c r="AP17" s="78" t="s">
        <v>14166</v>
      </c>
      <c r="AQ17" s="78" t="s">
        <v>14193</v>
      </c>
      <c r="AR17" s="78" t="s">
        <v>14194</v>
      </c>
      <c r="AS17" s="78" t="s">
        <v>14254</v>
      </c>
      <c r="AT17" s="78" t="s">
        <v>14255</v>
      </c>
      <c r="AU17" s="78" t="s">
        <v>14256</v>
      </c>
      <c r="AV17" s="78" t="s">
        <v>787</v>
      </c>
      <c r="AW17" s="78" t="s">
        <v>787</v>
      </c>
      <c r="AX17" s="78" t="s">
        <v>14270</v>
      </c>
      <c r="AY17" s="78" t="s">
        <v>14271</v>
      </c>
      <c r="AZ17" s="78" t="s">
        <v>14173</v>
      </c>
      <c r="BA17" s="78" t="s">
        <v>14256</v>
      </c>
      <c r="BB17" s="74"/>
      <c r="BC17" s="78" t="s">
        <v>14272</v>
      </c>
      <c r="BD17" s="78" t="s">
        <v>14178</v>
      </c>
      <c r="BE17" s="78" t="s">
        <v>14179</v>
      </c>
      <c r="BF17" s="74"/>
      <c r="BG17" s="81" t="s">
        <v>14273</v>
      </c>
      <c r="BH17" s="81" t="s">
        <v>14274</v>
      </c>
      <c r="BI17" s="74"/>
      <c r="BJ17" s="74"/>
      <c r="BK17" s="78" t="s">
        <v>14275</v>
      </c>
      <c r="BL17" s="78" t="s">
        <v>14263</v>
      </c>
      <c r="BM17" s="78" t="s">
        <v>14276</v>
      </c>
      <c r="BN17" s="78" t="s">
        <v>14183</v>
      </c>
      <c r="BO17" s="78" t="s">
        <v>14184</v>
      </c>
      <c r="BP17" s="78" t="s">
        <v>14184</v>
      </c>
    </row>
    <row r="18" s="74" customFormat="1" ht="210.95" customHeight="1" spans="65:68">
      <c r="BM18" s="78" t="s">
        <v>14277</v>
      </c>
      <c r="BN18" s="78" t="s">
        <v>14278</v>
      </c>
      <c r="BO18" s="78" t="s">
        <v>2941</v>
      </c>
      <c r="BP18" s="78" t="s">
        <v>2941</v>
      </c>
    </row>
    <row r="19" s="74" customFormat="1" ht="175.5" spans="1:68">
      <c r="A19" s="78" t="s">
        <v>14279</v>
      </c>
      <c r="B19" s="78" t="s">
        <v>14280</v>
      </c>
      <c r="C19" s="78" t="s">
        <v>14249</v>
      </c>
      <c r="D19" s="78" t="s">
        <v>14281</v>
      </c>
      <c r="E19" s="79" t="s">
        <v>14219</v>
      </c>
      <c r="F19" s="78" t="s">
        <v>14150</v>
      </c>
      <c r="G19" s="78" t="s">
        <v>14151</v>
      </c>
      <c r="H19" s="74"/>
      <c r="I19" s="74"/>
      <c r="J19" s="78" t="s">
        <v>14152</v>
      </c>
      <c r="K19" s="78" t="s">
        <v>14153</v>
      </c>
      <c r="L19" s="78" t="s">
        <v>14154</v>
      </c>
      <c r="M19" s="78" t="s">
        <v>14155</v>
      </c>
      <c r="N19" s="74"/>
      <c r="O19" s="74"/>
      <c r="P19" s="80">
        <v>19200</v>
      </c>
      <c r="Q19" s="78" t="s">
        <v>14156</v>
      </c>
      <c r="R19" s="74"/>
      <c r="S19" s="74"/>
      <c r="T19" s="78" t="s">
        <v>14157</v>
      </c>
      <c r="U19" s="74"/>
      <c r="V19" s="78" t="s">
        <v>14158</v>
      </c>
      <c r="W19" s="78" t="s">
        <v>2391</v>
      </c>
      <c r="X19" s="78" t="s">
        <v>2395</v>
      </c>
      <c r="Y19" s="78" t="s">
        <v>2397</v>
      </c>
      <c r="Z19" s="78" t="s">
        <v>14280</v>
      </c>
      <c r="AA19" s="78" t="s">
        <v>14156</v>
      </c>
      <c r="AB19" s="78" t="s">
        <v>14156</v>
      </c>
      <c r="AC19" s="79" t="s">
        <v>14220</v>
      </c>
      <c r="AD19" s="79" t="s">
        <v>14220</v>
      </c>
      <c r="AE19" s="78" t="s">
        <v>14252</v>
      </c>
      <c r="AF19" s="78" t="s">
        <v>14253</v>
      </c>
      <c r="AG19" s="78" t="s">
        <v>14162</v>
      </c>
      <c r="AH19" s="74"/>
      <c r="AI19" s="74"/>
      <c r="AJ19" s="74"/>
      <c r="AK19" s="74"/>
      <c r="AL19" s="74"/>
      <c r="AM19" s="78" t="s">
        <v>14163</v>
      </c>
      <c r="AN19" s="78" t="s">
        <v>14164</v>
      </c>
      <c r="AO19" s="78" t="s">
        <v>14192</v>
      </c>
      <c r="AP19" s="78" t="s">
        <v>14166</v>
      </c>
      <c r="AQ19" s="78" t="s">
        <v>14193</v>
      </c>
      <c r="AR19" s="78" t="s">
        <v>14194</v>
      </c>
      <c r="AS19" s="78" t="s">
        <v>14254</v>
      </c>
      <c r="AT19" s="78" t="s">
        <v>14255</v>
      </c>
      <c r="AU19" s="78" t="s">
        <v>14256</v>
      </c>
      <c r="AV19" s="78" t="s">
        <v>787</v>
      </c>
      <c r="AW19" s="78" t="s">
        <v>787</v>
      </c>
      <c r="AX19" s="78" t="s">
        <v>14282</v>
      </c>
      <c r="AY19" s="78" t="s">
        <v>14283</v>
      </c>
      <c r="AZ19" s="78" t="s">
        <v>14173</v>
      </c>
      <c r="BA19" s="78" t="s">
        <v>14256</v>
      </c>
      <c r="BB19" s="74"/>
      <c r="BC19" s="78" t="s">
        <v>14284</v>
      </c>
      <c r="BD19" s="78" t="s">
        <v>14178</v>
      </c>
      <c r="BE19" s="78" t="s">
        <v>14179</v>
      </c>
      <c r="BF19" s="74"/>
      <c r="BG19" s="81" t="s">
        <v>14285</v>
      </c>
      <c r="BH19" s="81" t="s">
        <v>14286</v>
      </c>
      <c r="BI19" s="74"/>
      <c r="BJ19" s="74"/>
      <c r="BK19" s="78" t="s">
        <v>14287</v>
      </c>
      <c r="BL19" s="78" t="s">
        <v>14263</v>
      </c>
      <c r="BM19" s="78" t="s">
        <v>14288</v>
      </c>
      <c r="BN19" s="78" t="s">
        <v>14183</v>
      </c>
      <c r="BO19" s="78" t="s">
        <v>14184</v>
      </c>
      <c r="BP19" s="78" t="s">
        <v>14184</v>
      </c>
    </row>
    <row r="20" s="74" customFormat="1" ht="96.6" customHeight="1" spans="65:68">
      <c r="BM20" s="78" t="s">
        <v>14289</v>
      </c>
      <c r="BN20" s="78" t="s">
        <v>14290</v>
      </c>
      <c r="BO20" s="78" t="s">
        <v>2945</v>
      </c>
      <c r="BP20" s="78" t="s">
        <v>2945</v>
      </c>
    </row>
    <row r="21" s="74" customFormat="1" ht="409.5" spans="1:68">
      <c r="A21" s="78" t="s">
        <v>14291</v>
      </c>
      <c r="B21" s="78" t="s">
        <v>14292</v>
      </c>
      <c r="C21" s="78" t="s">
        <v>14189</v>
      </c>
      <c r="D21" s="78" t="s">
        <v>14232</v>
      </c>
      <c r="E21" s="79" t="s">
        <v>14233</v>
      </c>
      <c r="F21" s="78" t="s">
        <v>14150</v>
      </c>
      <c r="G21" s="78" t="s">
        <v>14151</v>
      </c>
      <c r="H21" s="74"/>
      <c r="I21" s="74"/>
      <c r="J21" s="78" t="s">
        <v>14152</v>
      </c>
      <c r="K21" s="78" t="s">
        <v>14153</v>
      </c>
      <c r="L21" s="78" t="s">
        <v>14154</v>
      </c>
      <c r="M21" s="78" t="s">
        <v>14155</v>
      </c>
      <c r="N21" s="74"/>
      <c r="O21" s="74"/>
      <c r="P21" s="80">
        <v>13250</v>
      </c>
      <c r="Q21" s="78" t="s">
        <v>14156</v>
      </c>
      <c r="R21" s="74"/>
      <c r="S21" s="74"/>
      <c r="T21" s="78" t="s">
        <v>14157</v>
      </c>
      <c r="U21" s="74"/>
      <c r="V21" s="78" t="s">
        <v>14158</v>
      </c>
      <c r="W21" s="78" t="s">
        <v>2391</v>
      </c>
      <c r="X21" s="78" t="s">
        <v>2395</v>
      </c>
      <c r="Y21" s="78" t="s">
        <v>2397</v>
      </c>
      <c r="Z21" s="78" t="s">
        <v>14292</v>
      </c>
      <c r="AA21" s="78" t="s">
        <v>14156</v>
      </c>
      <c r="AB21" s="78" t="s">
        <v>14156</v>
      </c>
      <c r="AC21" s="79" t="s">
        <v>14220</v>
      </c>
      <c r="AD21" s="79" t="s">
        <v>14220</v>
      </c>
      <c r="AE21" s="78" t="s">
        <v>14160</v>
      </c>
      <c r="AF21" s="78" t="s">
        <v>14161</v>
      </c>
      <c r="AG21" s="78" t="s">
        <v>14162</v>
      </c>
      <c r="AH21" s="74"/>
      <c r="AI21" s="74"/>
      <c r="AJ21" s="74"/>
      <c r="AK21" s="74"/>
      <c r="AL21" s="74"/>
      <c r="AM21" s="78" t="s">
        <v>14234</v>
      </c>
      <c r="AN21" s="78" t="s">
        <v>14235</v>
      </c>
      <c r="AO21" s="78" t="s">
        <v>14192</v>
      </c>
      <c r="AP21" s="78" t="s">
        <v>14166</v>
      </c>
      <c r="AQ21" s="78" t="s">
        <v>14193</v>
      </c>
      <c r="AR21" s="78" t="s">
        <v>14194</v>
      </c>
      <c r="AS21" s="78" t="s">
        <v>14236</v>
      </c>
      <c r="AT21" s="78" t="s">
        <v>3510</v>
      </c>
      <c r="AU21" s="78" t="s">
        <v>14206</v>
      </c>
      <c r="AV21" s="78" t="s">
        <v>787</v>
      </c>
      <c r="AW21" s="78" t="s">
        <v>787</v>
      </c>
      <c r="AX21" s="78" t="s">
        <v>14293</v>
      </c>
      <c r="AY21" s="78" t="s">
        <v>14294</v>
      </c>
      <c r="AZ21" s="78" t="s">
        <v>14173</v>
      </c>
      <c r="BA21" s="78" t="s">
        <v>14206</v>
      </c>
      <c r="BB21" s="74"/>
      <c r="BC21" s="78" t="s">
        <v>14239</v>
      </c>
      <c r="BD21" s="78" t="s">
        <v>14234</v>
      </c>
      <c r="BE21" s="78" t="s">
        <v>14235</v>
      </c>
      <c r="BF21" s="74"/>
      <c r="BG21" s="81" t="s">
        <v>14295</v>
      </c>
      <c r="BH21" s="81" t="s">
        <v>14296</v>
      </c>
      <c r="BI21" s="74"/>
      <c r="BJ21" s="74"/>
      <c r="BK21" s="78" t="s">
        <v>14297</v>
      </c>
      <c r="BL21" s="78" t="s">
        <v>14213</v>
      </c>
      <c r="BM21" s="78" t="s">
        <v>14298</v>
      </c>
      <c r="BN21" s="78" t="s">
        <v>14183</v>
      </c>
      <c r="BO21" s="78" t="s">
        <v>14184</v>
      </c>
      <c r="BP21" s="78" t="s">
        <v>14184</v>
      </c>
    </row>
    <row r="22" s="74" customFormat="1" ht="54" spans="65:68">
      <c r="BM22" s="78" t="s">
        <v>14299</v>
      </c>
      <c r="BN22" s="78" t="s">
        <v>14246</v>
      </c>
      <c r="BO22" s="78" t="s">
        <v>3516</v>
      </c>
      <c r="BP22" s="78" t="s">
        <v>3516</v>
      </c>
    </row>
    <row r="23" s="74" customFormat="1" ht="409.5" spans="1:68">
      <c r="A23" s="78" t="s">
        <v>14300</v>
      </c>
      <c r="B23" s="78" t="s">
        <v>14301</v>
      </c>
      <c r="C23" s="78" t="s">
        <v>14189</v>
      </c>
      <c r="D23" s="78" t="s">
        <v>14232</v>
      </c>
      <c r="E23" s="79" t="s">
        <v>14233</v>
      </c>
      <c r="F23" s="78" t="s">
        <v>14150</v>
      </c>
      <c r="G23" s="78" t="s">
        <v>14151</v>
      </c>
      <c r="H23" s="74"/>
      <c r="I23" s="74"/>
      <c r="J23" s="78" t="s">
        <v>14152</v>
      </c>
      <c r="K23" s="78" t="s">
        <v>14153</v>
      </c>
      <c r="L23" s="78" t="s">
        <v>14154</v>
      </c>
      <c r="M23" s="78" t="s">
        <v>14155</v>
      </c>
      <c r="N23" s="74"/>
      <c r="O23" s="74"/>
      <c r="P23" s="80">
        <v>13250</v>
      </c>
      <c r="Q23" s="78" t="s">
        <v>14156</v>
      </c>
      <c r="R23" s="74"/>
      <c r="S23" s="74"/>
      <c r="T23" s="78" t="s">
        <v>14157</v>
      </c>
      <c r="U23" s="74"/>
      <c r="V23" s="78" t="s">
        <v>14158</v>
      </c>
      <c r="W23" s="78" t="s">
        <v>2391</v>
      </c>
      <c r="X23" s="78" t="s">
        <v>2395</v>
      </c>
      <c r="Y23" s="78" t="s">
        <v>2397</v>
      </c>
      <c r="Z23" s="78" t="s">
        <v>14301</v>
      </c>
      <c r="AA23" s="78" t="s">
        <v>14156</v>
      </c>
      <c r="AB23" s="78" t="s">
        <v>14156</v>
      </c>
      <c r="AC23" s="79" t="s">
        <v>14220</v>
      </c>
      <c r="AD23" s="79" t="s">
        <v>14220</v>
      </c>
      <c r="AE23" s="78" t="s">
        <v>14160</v>
      </c>
      <c r="AF23" s="78" t="s">
        <v>14161</v>
      </c>
      <c r="AG23" s="78" t="s">
        <v>14162</v>
      </c>
      <c r="AH23" s="74"/>
      <c r="AI23" s="74"/>
      <c r="AJ23" s="74"/>
      <c r="AK23" s="74"/>
      <c r="AL23" s="74"/>
      <c r="AM23" s="78" t="s">
        <v>14234</v>
      </c>
      <c r="AN23" s="78" t="s">
        <v>14235</v>
      </c>
      <c r="AO23" s="78" t="s">
        <v>14192</v>
      </c>
      <c r="AP23" s="78" t="s">
        <v>14166</v>
      </c>
      <c r="AQ23" s="78" t="s">
        <v>14193</v>
      </c>
      <c r="AR23" s="78" t="s">
        <v>14194</v>
      </c>
      <c r="AS23" s="78" t="s">
        <v>14236</v>
      </c>
      <c r="AT23" s="78" t="s">
        <v>3510</v>
      </c>
      <c r="AU23" s="78" t="s">
        <v>14206</v>
      </c>
      <c r="AV23" s="78" t="s">
        <v>787</v>
      </c>
      <c r="AW23" s="78" t="s">
        <v>787</v>
      </c>
      <c r="AX23" s="78" t="s">
        <v>14302</v>
      </c>
      <c r="AY23" s="78" t="s">
        <v>14303</v>
      </c>
      <c r="AZ23" s="78" t="s">
        <v>14173</v>
      </c>
      <c r="BA23" s="78" t="s">
        <v>14206</v>
      </c>
      <c r="BB23" s="74"/>
      <c r="BC23" s="78" t="s">
        <v>14239</v>
      </c>
      <c r="BD23" s="78" t="s">
        <v>14234</v>
      </c>
      <c r="BE23" s="78" t="s">
        <v>14235</v>
      </c>
      <c r="BF23" s="74"/>
      <c r="BG23" s="81" t="s">
        <v>14304</v>
      </c>
      <c r="BH23" s="81" t="s">
        <v>14305</v>
      </c>
      <c r="BI23" s="74"/>
      <c r="BJ23" s="74"/>
      <c r="BK23" s="78" t="s">
        <v>14306</v>
      </c>
      <c r="BL23" s="78" t="s">
        <v>14213</v>
      </c>
      <c r="BM23" s="78" t="s">
        <v>14307</v>
      </c>
      <c r="BN23" s="78" t="s">
        <v>14183</v>
      </c>
      <c r="BO23" s="78" t="s">
        <v>14184</v>
      </c>
      <c r="BP23" s="78" t="s">
        <v>14184</v>
      </c>
    </row>
    <row r="24" s="74" customFormat="1" ht="176.1" customHeight="1" spans="65:68">
      <c r="BM24" s="78" t="s">
        <v>14308</v>
      </c>
      <c r="BN24" s="78" t="s">
        <v>14246</v>
      </c>
      <c r="BO24" s="78" t="s">
        <v>3516</v>
      </c>
      <c r="BP24" s="78" t="s">
        <v>3516</v>
      </c>
    </row>
    <row r="25" s="74" customFormat="1" ht="409.5" spans="1:68">
      <c r="A25" s="78" t="s">
        <v>14309</v>
      </c>
      <c r="B25" s="78" t="s">
        <v>14310</v>
      </c>
      <c r="C25" s="78" t="s">
        <v>14189</v>
      </c>
      <c r="D25" s="78" t="s">
        <v>14232</v>
      </c>
      <c r="E25" s="79" t="s">
        <v>14311</v>
      </c>
      <c r="F25" s="78" t="s">
        <v>14150</v>
      </c>
      <c r="G25" s="78" t="s">
        <v>14151</v>
      </c>
      <c r="H25" s="74"/>
      <c r="I25" s="74"/>
      <c r="J25" s="78" t="s">
        <v>14152</v>
      </c>
      <c r="K25" s="78" t="s">
        <v>14153</v>
      </c>
      <c r="L25" s="78" t="s">
        <v>14154</v>
      </c>
      <c r="M25" s="78" t="s">
        <v>14155</v>
      </c>
      <c r="N25" s="74"/>
      <c r="O25" s="74"/>
      <c r="P25" s="80">
        <v>13250</v>
      </c>
      <c r="Q25" s="78" t="s">
        <v>14156</v>
      </c>
      <c r="R25" s="74"/>
      <c r="S25" s="74"/>
      <c r="T25" s="78" t="s">
        <v>14157</v>
      </c>
      <c r="U25" s="74"/>
      <c r="V25" s="78" t="s">
        <v>14158</v>
      </c>
      <c r="W25" s="78" t="s">
        <v>2391</v>
      </c>
      <c r="X25" s="78" t="s">
        <v>2395</v>
      </c>
      <c r="Y25" s="78" t="s">
        <v>2397</v>
      </c>
      <c r="Z25" s="78" t="s">
        <v>14310</v>
      </c>
      <c r="AA25" s="78" t="s">
        <v>14156</v>
      </c>
      <c r="AB25" s="78" t="s">
        <v>14156</v>
      </c>
      <c r="AC25" s="79" t="s">
        <v>14312</v>
      </c>
      <c r="AD25" s="79" t="s">
        <v>14312</v>
      </c>
      <c r="AE25" s="78" t="s">
        <v>14160</v>
      </c>
      <c r="AF25" s="78" t="s">
        <v>14161</v>
      </c>
      <c r="AG25" s="78" t="s">
        <v>14162</v>
      </c>
      <c r="AH25" s="74"/>
      <c r="AI25" s="74"/>
      <c r="AJ25" s="74"/>
      <c r="AK25" s="74"/>
      <c r="AL25" s="74"/>
      <c r="AM25" s="78" t="s">
        <v>14234</v>
      </c>
      <c r="AN25" s="78" t="s">
        <v>14235</v>
      </c>
      <c r="AO25" s="78" t="s">
        <v>14192</v>
      </c>
      <c r="AP25" s="78" t="s">
        <v>14166</v>
      </c>
      <c r="AQ25" s="78" t="s">
        <v>14193</v>
      </c>
      <c r="AR25" s="78" t="s">
        <v>14194</v>
      </c>
      <c r="AS25" s="78" t="s">
        <v>14236</v>
      </c>
      <c r="AT25" s="78" t="s">
        <v>3510</v>
      </c>
      <c r="AU25" s="78" t="s">
        <v>14206</v>
      </c>
      <c r="AV25" s="78" t="s">
        <v>787</v>
      </c>
      <c r="AW25" s="78" t="s">
        <v>787</v>
      </c>
      <c r="AX25" s="78" t="s">
        <v>14313</v>
      </c>
      <c r="AY25" s="78" t="s">
        <v>14314</v>
      </c>
      <c r="AZ25" s="78" t="s">
        <v>14173</v>
      </c>
      <c r="BA25" s="78" t="s">
        <v>14206</v>
      </c>
      <c r="BB25" s="74"/>
      <c r="BC25" s="78" t="s">
        <v>14239</v>
      </c>
      <c r="BD25" s="78" t="s">
        <v>14234</v>
      </c>
      <c r="BE25" s="78" t="s">
        <v>14235</v>
      </c>
      <c r="BF25" s="74"/>
      <c r="BG25" s="81" t="s">
        <v>14315</v>
      </c>
      <c r="BH25" s="81" t="s">
        <v>14316</v>
      </c>
      <c r="BI25" s="74"/>
      <c r="BJ25" s="74"/>
      <c r="BK25" s="78" t="s">
        <v>14317</v>
      </c>
      <c r="BL25" s="78" t="s">
        <v>14213</v>
      </c>
      <c r="BM25" s="78" t="s">
        <v>14318</v>
      </c>
      <c r="BN25" s="78" t="s">
        <v>14183</v>
      </c>
      <c r="BO25" s="78" t="s">
        <v>14184</v>
      </c>
      <c r="BP25" s="78" t="s">
        <v>14184</v>
      </c>
    </row>
    <row r="26" s="74" customFormat="1" ht="54" spans="65:68">
      <c r="BM26" s="78" t="s">
        <v>14319</v>
      </c>
      <c r="BN26" s="78" t="s">
        <v>14246</v>
      </c>
      <c r="BO26" s="78" t="s">
        <v>3516</v>
      </c>
      <c r="BP26" s="78" t="s">
        <v>3516</v>
      </c>
    </row>
    <row r="27" s="74" customFormat="1" ht="409.5" spans="1:68">
      <c r="A27" s="78" t="s">
        <v>14320</v>
      </c>
      <c r="B27" s="78" t="s">
        <v>14321</v>
      </c>
      <c r="C27" s="78" t="s">
        <v>14189</v>
      </c>
      <c r="D27" s="78" t="s">
        <v>14232</v>
      </c>
      <c r="E27" s="79" t="s">
        <v>14311</v>
      </c>
      <c r="F27" s="78" t="s">
        <v>14150</v>
      </c>
      <c r="G27" s="78" t="s">
        <v>14151</v>
      </c>
      <c r="H27" s="74"/>
      <c r="I27" s="74"/>
      <c r="J27" s="78" t="s">
        <v>14152</v>
      </c>
      <c r="K27" s="78" t="s">
        <v>14153</v>
      </c>
      <c r="L27" s="78" t="s">
        <v>14154</v>
      </c>
      <c r="M27" s="78" t="s">
        <v>14155</v>
      </c>
      <c r="N27" s="74"/>
      <c r="O27" s="74"/>
      <c r="P27" s="80">
        <v>13250</v>
      </c>
      <c r="Q27" s="78" t="s">
        <v>14156</v>
      </c>
      <c r="R27" s="74"/>
      <c r="S27" s="74"/>
      <c r="T27" s="78" t="s">
        <v>14157</v>
      </c>
      <c r="U27" s="74"/>
      <c r="V27" s="78" t="s">
        <v>14158</v>
      </c>
      <c r="W27" s="78" t="s">
        <v>2391</v>
      </c>
      <c r="X27" s="78" t="s">
        <v>2395</v>
      </c>
      <c r="Y27" s="78" t="s">
        <v>2397</v>
      </c>
      <c r="Z27" s="78" t="s">
        <v>14321</v>
      </c>
      <c r="AA27" s="78" t="s">
        <v>14156</v>
      </c>
      <c r="AB27" s="78" t="s">
        <v>14156</v>
      </c>
      <c r="AC27" s="79" t="s">
        <v>14312</v>
      </c>
      <c r="AD27" s="79" t="s">
        <v>14312</v>
      </c>
      <c r="AE27" s="78" t="s">
        <v>14160</v>
      </c>
      <c r="AF27" s="78" t="s">
        <v>14161</v>
      </c>
      <c r="AG27" s="78" t="s">
        <v>14162</v>
      </c>
      <c r="AH27" s="74"/>
      <c r="AI27" s="74"/>
      <c r="AJ27" s="74"/>
      <c r="AK27" s="74"/>
      <c r="AL27" s="74"/>
      <c r="AM27" s="78" t="s">
        <v>14234</v>
      </c>
      <c r="AN27" s="78" t="s">
        <v>14235</v>
      </c>
      <c r="AO27" s="78" t="s">
        <v>14192</v>
      </c>
      <c r="AP27" s="78" t="s">
        <v>14166</v>
      </c>
      <c r="AQ27" s="78" t="s">
        <v>14193</v>
      </c>
      <c r="AR27" s="78" t="s">
        <v>14194</v>
      </c>
      <c r="AS27" s="78" t="s">
        <v>14236</v>
      </c>
      <c r="AT27" s="78" t="s">
        <v>3510</v>
      </c>
      <c r="AU27" s="78" t="s">
        <v>14206</v>
      </c>
      <c r="AV27" s="78" t="s">
        <v>787</v>
      </c>
      <c r="AW27" s="78" t="s">
        <v>787</v>
      </c>
      <c r="AX27" s="78" t="s">
        <v>14322</v>
      </c>
      <c r="AY27" s="78" t="s">
        <v>14323</v>
      </c>
      <c r="AZ27" s="78" t="s">
        <v>14173</v>
      </c>
      <c r="BA27" s="78" t="s">
        <v>14206</v>
      </c>
      <c r="BB27" s="74"/>
      <c r="BC27" s="78" t="s">
        <v>14239</v>
      </c>
      <c r="BD27" s="78" t="s">
        <v>14234</v>
      </c>
      <c r="BE27" s="78" t="s">
        <v>14235</v>
      </c>
      <c r="BF27" s="74"/>
      <c r="BG27" s="81" t="s">
        <v>14324</v>
      </c>
      <c r="BH27" s="81" t="s">
        <v>14325</v>
      </c>
      <c r="BI27" s="74"/>
      <c r="BJ27" s="74"/>
      <c r="BK27" s="78" t="s">
        <v>14326</v>
      </c>
      <c r="BL27" s="78" t="s">
        <v>14213</v>
      </c>
      <c r="BM27" s="78" t="s">
        <v>14327</v>
      </c>
      <c r="BN27" s="78" t="s">
        <v>14183</v>
      </c>
      <c r="BO27" s="78" t="s">
        <v>14184</v>
      </c>
      <c r="BP27" s="78" t="s">
        <v>14184</v>
      </c>
    </row>
    <row r="28" s="74" customFormat="1" ht="54" spans="65:68">
      <c r="BM28" s="78" t="s">
        <v>14328</v>
      </c>
      <c r="BN28" s="78" t="s">
        <v>14246</v>
      </c>
      <c r="BO28" s="78" t="s">
        <v>3516</v>
      </c>
      <c r="BP28" s="78" t="s">
        <v>3516</v>
      </c>
    </row>
    <row r="29" s="74" customFormat="1" ht="409.5" spans="1:68">
      <c r="A29" s="78" t="s">
        <v>14329</v>
      </c>
      <c r="B29" s="78" t="s">
        <v>2874</v>
      </c>
      <c r="C29" s="78" t="s">
        <v>14189</v>
      </c>
      <c r="D29" s="78" t="s">
        <v>14156</v>
      </c>
      <c r="E29" s="79" t="s">
        <v>14330</v>
      </c>
      <c r="F29" s="78" t="s">
        <v>14150</v>
      </c>
      <c r="G29" s="78" t="s">
        <v>14151</v>
      </c>
      <c r="H29" s="74"/>
      <c r="I29" s="74"/>
      <c r="J29" s="78" t="s">
        <v>14152</v>
      </c>
      <c r="K29" s="78" t="s">
        <v>14153</v>
      </c>
      <c r="L29" s="78" t="s">
        <v>14154</v>
      </c>
      <c r="M29" s="78" t="s">
        <v>14155</v>
      </c>
      <c r="N29" s="74"/>
      <c r="O29" s="74"/>
      <c r="P29" s="80">
        <v>11956.8</v>
      </c>
      <c r="Q29" s="78" t="s">
        <v>14156</v>
      </c>
      <c r="R29" s="74"/>
      <c r="S29" s="74"/>
      <c r="T29" s="78" t="s">
        <v>14157</v>
      </c>
      <c r="U29" s="74"/>
      <c r="V29" s="78" t="s">
        <v>14158</v>
      </c>
      <c r="W29" s="78" t="s">
        <v>2391</v>
      </c>
      <c r="X29" s="78" t="s">
        <v>2395</v>
      </c>
      <c r="Y29" s="78" t="s">
        <v>2397</v>
      </c>
      <c r="Z29" s="78" t="s">
        <v>2874</v>
      </c>
      <c r="AA29" s="78" t="s">
        <v>14156</v>
      </c>
      <c r="AB29" s="78" t="s">
        <v>14156</v>
      </c>
      <c r="AC29" s="74"/>
      <c r="AD29" s="79" t="s">
        <v>14331</v>
      </c>
      <c r="AE29" s="78" t="s">
        <v>14160</v>
      </c>
      <c r="AF29" s="78" t="s">
        <v>14161</v>
      </c>
      <c r="AG29" s="78" t="s">
        <v>14162</v>
      </c>
      <c r="AH29" s="74"/>
      <c r="AI29" s="74"/>
      <c r="AJ29" s="74"/>
      <c r="AK29" s="74"/>
      <c r="AL29" s="74"/>
      <c r="AM29" s="78" t="s">
        <v>14234</v>
      </c>
      <c r="AN29" s="78" t="s">
        <v>14235</v>
      </c>
      <c r="AO29" s="78" t="s">
        <v>14165</v>
      </c>
      <c r="AP29" s="78" t="s">
        <v>14166</v>
      </c>
      <c r="AQ29" s="78" t="s">
        <v>14193</v>
      </c>
      <c r="AR29" s="78" t="s">
        <v>14194</v>
      </c>
      <c r="AS29" s="78" t="s">
        <v>14236</v>
      </c>
      <c r="AT29" s="78" t="s">
        <v>3510</v>
      </c>
      <c r="AU29" s="78" t="s">
        <v>14206</v>
      </c>
      <c r="AV29" s="78" t="s">
        <v>787</v>
      </c>
      <c r="AW29" s="78" t="s">
        <v>787</v>
      </c>
      <c r="AX29" s="78" t="s">
        <v>14156</v>
      </c>
      <c r="AY29" s="78" t="s">
        <v>14156</v>
      </c>
      <c r="AZ29" s="78" t="s">
        <v>14173</v>
      </c>
      <c r="BA29" s="78" t="s">
        <v>14206</v>
      </c>
      <c r="BB29" s="74"/>
      <c r="BC29" s="78" t="s">
        <v>14332</v>
      </c>
      <c r="BD29" s="78" t="s">
        <v>14234</v>
      </c>
      <c r="BE29" s="78" t="s">
        <v>14235</v>
      </c>
      <c r="BF29" s="74"/>
      <c r="BG29" s="81" t="s">
        <v>14333</v>
      </c>
      <c r="BH29" s="81" t="s">
        <v>14334</v>
      </c>
      <c r="BI29" s="74"/>
      <c r="BJ29" s="74"/>
      <c r="BK29" s="78" t="s">
        <v>14335</v>
      </c>
      <c r="BL29" s="78" t="s">
        <v>14213</v>
      </c>
      <c r="BM29" s="78" t="s">
        <v>14336</v>
      </c>
      <c r="BN29" s="78" t="s">
        <v>14183</v>
      </c>
      <c r="BO29" s="78" t="s">
        <v>14184</v>
      </c>
      <c r="BP29" s="78" t="s">
        <v>14184</v>
      </c>
    </row>
    <row r="30" s="74" customFormat="1" ht="67.5" spans="65:68">
      <c r="BM30" s="78" t="s">
        <v>14337</v>
      </c>
      <c r="BN30" s="78" t="s">
        <v>14338</v>
      </c>
      <c r="BO30" s="78" t="s">
        <v>7353</v>
      </c>
      <c r="BP30" s="78" t="s">
        <v>7353</v>
      </c>
    </row>
    <row r="31" s="74" customFormat="1" ht="163.5" customHeight="1" spans="1:68">
      <c r="A31" s="78" t="s">
        <v>14339</v>
      </c>
      <c r="B31" s="78" t="s">
        <v>14340</v>
      </c>
      <c r="C31" s="78" t="s">
        <v>14189</v>
      </c>
      <c r="D31" s="78" t="s">
        <v>14232</v>
      </c>
      <c r="E31" s="79" t="s">
        <v>14341</v>
      </c>
      <c r="F31" s="78" t="s">
        <v>14150</v>
      </c>
      <c r="G31" s="78" t="s">
        <v>14151</v>
      </c>
      <c r="H31" s="74"/>
      <c r="I31" s="74"/>
      <c r="J31" s="78" t="s">
        <v>14152</v>
      </c>
      <c r="K31" s="78" t="s">
        <v>14153</v>
      </c>
      <c r="L31" s="78" t="s">
        <v>14154</v>
      </c>
      <c r="M31" s="78" t="s">
        <v>14155</v>
      </c>
      <c r="N31" s="74"/>
      <c r="O31" s="74"/>
      <c r="P31" s="80">
        <v>11956.8</v>
      </c>
      <c r="Q31" s="78" t="s">
        <v>14156</v>
      </c>
      <c r="R31" s="74"/>
      <c r="S31" s="74"/>
      <c r="T31" s="78" t="s">
        <v>14157</v>
      </c>
      <c r="U31" s="74"/>
      <c r="V31" s="78" t="s">
        <v>14158</v>
      </c>
      <c r="W31" s="78" t="s">
        <v>2391</v>
      </c>
      <c r="X31" s="78" t="s">
        <v>2395</v>
      </c>
      <c r="Y31" s="78" t="s">
        <v>2397</v>
      </c>
      <c r="Z31" s="78" t="s">
        <v>14340</v>
      </c>
      <c r="AA31" s="78" t="s">
        <v>14156</v>
      </c>
      <c r="AB31" s="78" t="s">
        <v>14156</v>
      </c>
      <c r="AC31" s="79" t="s">
        <v>14312</v>
      </c>
      <c r="AD31" s="79" t="s">
        <v>14312</v>
      </c>
      <c r="AE31" s="78" t="s">
        <v>14160</v>
      </c>
      <c r="AF31" s="78" t="s">
        <v>14161</v>
      </c>
      <c r="AG31" s="78" t="s">
        <v>14162</v>
      </c>
      <c r="AH31" s="74"/>
      <c r="AI31" s="74"/>
      <c r="AJ31" s="74"/>
      <c r="AK31" s="74"/>
      <c r="AL31" s="74"/>
      <c r="AM31" s="78" t="s">
        <v>14234</v>
      </c>
      <c r="AN31" s="78" t="s">
        <v>14235</v>
      </c>
      <c r="AO31" s="78" t="s">
        <v>14192</v>
      </c>
      <c r="AP31" s="78" t="s">
        <v>14166</v>
      </c>
      <c r="AQ31" s="78" t="s">
        <v>14193</v>
      </c>
      <c r="AR31" s="78" t="s">
        <v>14194</v>
      </c>
      <c r="AS31" s="78" t="s">
        <v>14236</v>
      </c>
      <c r="AT31" s="78" t="s">
        <v>3510</v>
      </c>
      <c r="AU31" s="78" t="s">
        <v>14206</v>
      </c>
      <c r="AV31" s="78" t="s">
        <v>787</v>
      </c>
      <c r="AW31" s="78" t="s">
        <v>787</v>
      </c>
      <c r="AX31" s="78" t="s">
        <v>14342</v>
      </c>
      <c r="AY31" s="78" t="s">
        <v>14343</v>
      </c>
      <c r="AZ31" s="78" t="s">
        <v>14173</v>
      </c>
      <c r="BA31" s="78" t="s">
        <v>14206</v>
      </c>
      <c r="BB31" s="74"/>
      <c r="BC31" s="78" t="s">
        <v>14332</v>
      </c>
      <c r="BD31" s="78" t="s">
        <v>14234</v>
      </c>
      <c r="BE31" s="78" t="s">
        <v>14235</v>
      </c>
      <c r="BF31" s="74"/>
      <c r="BG31" s="81" t="s">
        <v>14344</v>
      </c>
      <c r="BH31" s="81" t="s">
        <v>14345</v>
      </c>
      <c r="BI31" s="74"/>
      <c r="BJ31" s="74"/>
      <c r="BK31" s="78" t="s">
        <v>14346</v>
      </c>
      <c r="BL31" s="78" t="s">
        <v>14213</v>
      </c>
      <c r="BM31" s="78" t="s">
        <v>14347</v>
      </c>
      <c r="BN31" s="78" t="s">
        <v>14183</v>
      </c>
      <c r="BO31" s="78" t="s">
        <v>14184</v>
      </c>
      <c r="BP31" s="78" t="s">
        <v>14184</v>
      </c>
    </row>
    <row r="32" s="74" customFormat="1" ht="117.95" customHeight="1" spans="65:68">
      <c r="BM32" s="78" t="s">
        <v>14348</v>
      </c>
      <c r="BN32" s="78" t="s">
        <v>14338</v>
      </c>
      <c r="BO32" s="78" t="s">
        <v>7353</v>
      </c>
      <c r="BP32" s="78" t="s">
        <v>7353</v>
      </c>
    </row>
    <row r="33" s="74" customFormat="1" ht="409.5" spans="1:68">
      <c r="A33" s="78" t="s">
        <v>14349</v>
      </c>
      <c r="B33" s="78" t="s">
        <v>2820</v>
      </c>
      <c r="C33" s="78" t="s">
        <v>14147</v>
      </c>
      <c r="D33" s="78" t="s">
        <v>14350</v>
      </c>
      <c r="E33" s="79" t="s">
        <v>14330</v>
      </c>
      <c r="F33" s="78" t="s">
        <v>14150</v>
      </c>
      <c r="G33" s="78" t="s">
        <v>14151</v>
      </c>
      <c r="H33" s="74"/>
      <c r="I33" s="74"/>
      <c r="J33" s="78" t="s">
        <v>14152</v>
      </c>
      <c r="K33" s="78" t="s">
        <v>14153</v>
      </c>
      <c r="L33" s="78" t="s">
        <v>14154</v>
      </c>
      <c r="M33" s="78" t="s">
        <v>14155</v>
      </c>
      <c r="N33" s="74"/>
      <c r="O33" s="74"/>
      <c r="P33" s="80">
        <v>49400</v>
      </c>
      <c r="Q33" s="78" t="s">
        <v>14156</v>
      </c>
      <c r="R33" s="74"/>
      <c r="S33" s="74"/>
      <c r="T33" s="78" t="s">
        <v>14157</v>
      </c>
      <c r="U33" s="74"/>
      <c r="V33" s="78" t="s">
        <v>14158</v>
      </c>
      <c r="W33" s="78" t="s">
        <v>2391</v>
      </c>
      <c r="X33" s="78" t="s">
        <v>2395</v>
      </c>
      <c r="Y33" s="78" t="s">
        <v>2397</v>
      </c>
      <c r="Z33" s="78" t="s">
        <v>2820</v>
      </c>
      <c r="AA33" s="78" t="s">
        <v>14156</v>
      </c>
      <c r="AB33" s="78" t="s">
        <v>14156</v>
      </c>
      <c r="AC33" s="79" t="s">
        <v>14351</v>
      </c>
      <c r="AD33" s="79" t="s">
        <v>14351</v>
      </c>
      <c r="AE33" s="78" t="s">
        <v>14160</v>
      </c>
      <c r="AF33" s="78" t="s">
        <v>14161</v>
      </c>
      <c r="AG33" s="78" t="s">
        <v>14162</v>
      </c>
      <c r="AH33" s="74"/>
      <c r="AI33" s="74"/>
      <c r="AJ33" s="74"/>
      <c r="AK33" s="74"/>
      <c r="AL33" s="74"/>
      <c r="AM33" s="78" t="s">
        <v>14163</v>
      </c>
      <c r="AN33" s="78" t="s">
        <v>14164</v>
      </c>
      <c r="AO33" s="78" t="s">
        <v>14165</v>
      </c>
      <c r="AP33" s="78" t="s">
        <v>14166</v>
      </c>
      <c r="AQ33" s="78" t="s">
        <v>14167</v>
      </c>
      <c r="AR33" s="78" t="s">
        <v>14168</v>
      </c>
      <c r="AS33" s="78" t="s">
        <v>14352</v>
      </c>
      <c r="AT33" s="78" t="s">
        <v>14353</v>
      </c>
      <c r="AU33" s="78" t="s">
        <v>14206</v>
      </c>
      <c r="AV33" s="78" t="s">
        <v>787</v>
      </c>
      <c r="AW33" s="78" t="s">
        <v>787</v>
      </c>
      <c r="AX33" s="78" t="s">
        <v>14354</v>
      </c>
      <c r="AY33" s="78" t="s">
        <v>14355</v>
      </c>
      <c r="AZ33" s="78" t="s">
        <v>14173</v>
      </c>
      <c r="BA33" s="78" t="s">
        <v>14206</v>
      </c>
      <c r="BB33" s="74"/>
      <c r="BC33" s="78" t="s">
        <v>14356</v>
      </c>
      <c r="BD33" s="78" t="s">
        <v>14163</v>
      </c>
      <c r="BE33" s="78" t="s">
        <v>14164</v>
      </c>
      <c r="BF33" s="81" t="s">
        <v>14357</v>
      </c>
      <c r="BG33" s="81" t="s">
        <v>14358</v>
      </c>
      <c r="BH33" s="81" t="s">
        <v>14359</v>
      </c>
      <c r="BI33" s="78" t="s">
        <v>14178</v>
      </c>
      <c r="BJ33" s="78" t="s">
        <v>14179</v>
      </c>
      <c r="BK33" s="78" t="s">
        <v>14360</v>
      </c>
      <c r="BL33" s="78" t="s">
        <v>14213</v>
      </c>
      <c r="BM33" s="78" t="s">
        <v>14361</v>
      </c>
      <c r="BN33" s="78" t="s">
        <v>14183</v>
      </c>
      <c r="BO33" s="78" t="s">
        <v>14184</v>
      </c>
      <c r="BP33" s="78" t="s">
        <v>14184</v>
      </c>
    </row>
    <row r="34" s="74" customFormat="1" ht="54" spans="65:68">
      <c r="BM34" s="78" t="s">
        <v>14362</v>
      </c>
      <c r="BN34" s="78" t="s">
        <v>14363</v>
      </c>
      <c r="BO34" s="78" t="s">
        <v>3119</v>
      </c>
      <c r="BP34" s="78" t="s">
        <v>3119</v>
      </c>
    </row>
    <row r="35" s="74" customFormat="1" ht="409.5" spans="1:68">
      <c r="A35" s="78" t="s">
        <v>14364</v>
      </c>
      <c r="B35" s="78" t="s">
        <v>2851</v>
      </c>
      <c r="C35" s="78" t="s">
        <v>14147</v>
      </c>
      <c r="D35" s="78" t="s">
        <v>14365</v>
      </c>
      <c r="E35" s="79" t="s">
        <v>14366</v>
      </c>
      <c r="F35" s="78" t="s">
        <v>14150</v>
      </c>
      <c r="G35" s="78" t="s">
        <v>14151</v>
      </c>
      <c r="H35" s="74"/>
      <c r="I35" s="74"/>
      <c r="J35" s="78" t="s">
        <v>14152</v>
      </c>
      <c r="K35" s="78" t="s">
        <v>14153</v>
      </c>
      <c r="L35" s="78" t="s">
        <v>14154</v>
      </c>
      <c r="M35" s="78" t="s">
        <v>14155</v>
      </c>
      <c r="N35" s="74"/>
      <c r="O35" s="74"/>
      <c r="P35" s="80">
        <v>69199</v>
      </c>
      <c r="Q35" s="78" t="s">
        <v>14156</v>
      </c>
      <c r="R35" s="74"/>
      <c r="S35" s="74"/>
      <c r="T35" s="78" t="s">
        <v>14157</v>
      </c>
      <c r="U35" s="74"/>
      <c r="V35" s="78" t="s">
        <v>14158</v>
      </c>
      <c r="W35" s="78" t="s">
        <v>2391</v>
      </c>
      <c r="X35" s="78" t="s">
        <v>2395</v>
      </c>
      <c r="Y35" s="78" t="s">
        <v>2397</v>
      </c>
      <c r="Z35" s="78" t="s">
        <v>2851</v>
      </c>
      <c r="AA35" s="78" t="s">
        <v>14156</v>
      </c>
      <c r="AB35" s="78" t="s">
        <v>14156</v>
      </c>
      <c r="AC35" s="79" t="s">
        <v>14367</v>
      </c>
      <c r="AD35" s="79" t="s">
        <v>14367</v>
      </c>
      <c r="AE35" s="78" t="s">
        <v>14160</v>
      </c>
      <c r="AF35" s="78" t="s">
        <v>14161</v>
      </c>
      <c r="AG35" s="78" t="s">
        <v>14162</v>
      </c>
      <c r="AH35" s="74"/>
      <c r="AI35" s="74"/>
      <c r="AJ35" s="74"/>
      <c r="AK35" s="74"/>
      <c r="AL35" s="74"/>
      <c r="AM35" s="78" t="s">
        <v>14163</v>
      </c>
      <c r="AN35" s="78" t="s">
        <v>14164</v>
      </c>
      <c r="AO35" s="78" t="s">
        <v>14165</v>
      </c>
      <c r="AP35" s="78" t="s">
        <v>14166</v>
      </c>
      <c r="AQ35" s="78" t="s">
        <v>14167</v>
      </c>
      <c r="AR35" s="78" t="s">
        <v>14168</v>
      </c>
      <c r="AS35" s="78" t="s">
        <v>14368</v>
      </c>
      <c r="AT35" s="78" t="s">
        <v>4656</v>
      </c>
      <c r="AU35" s="78" t="s">
        <v>14369</v>
      </c>
      <c r="AV35" s="78" t="s">
        <v>787</v>
      </c>
      <c r="AW35" s="78" t="s">
        <v>787</v>
      </c>
      <c r="AX35" s="78" t="s">
        <v>14370</v>
      </c>
      <c r="AY35" s="78" t="s">
        <v>14371</v>
      </c>
      <c r="AZ35" s="78" t="s">
        <v>14173</v>
      </c>
      <c r="BA35" s="78" t="s">
        <v>14369</v>
      </c>
      <c r="BB35" s="74"/>
      <c r="BC35" s="78" t="s">
        <v>14372</v>
      </c>
      <c r="BD35" s="78" t="s">
        <v>14163</v>
      </c>
      <c r="BE35" s="78" t="s">
        <v>14164</v>
      </c>
      <c r="BF35" s="81" t="s">
        <v>14373</v>
      </c>
      <c r="BG35" s="81" t="s">
        <v>14374</v>
      </c>
      <c r="BH35" s="81" t="s">
        <v>14375</v>
      </c>
      <c r="BI35" s="78" t="s">
        <v>14178</v>
      </c>
      <c r="BJ35" s="78" t="s">
        <v>14179</v>
      </c>
      <c r="BK35" s="78" t="s">
        <v>14376</v>
      </c>
      <c r="BL35" s="78" t="s">
        <v>14377</v>
      </c>
      <c r="BM35" s="78" t="s">
        <v>14378</v>
      </c>
      <c r="BN35" s="78" t="s">
        <v>14183</v>
      </c>
      <c r="BO35" s="78" t="s">
        <v>14184</v>
      </c>
      <c r="BP35" s="78" t="s">
        <v>14184</v>
      </c>
    </row>
    <row r="36" s="74" customFormat="1" ht="54" spans="65:68">
      <c r="BM36" s="78" t="s">
        <v>14379</v>
      </c>
      <c r="BN36" s="78" t="s">
        <v>14380</v>
      </c>
      <c r="BO36" s="78" t="s">
        <v>3126</v>
      </c>
      <c r="BP36" s="78" t="s">
        <v>3126</v>
      </c>
    </row>
    <row r="37" s="74" customFormat="1" ht="310.5" spans="1:68">
      <c r="A37" s="78" t="s">
        <v>14381</v>
      </c>
      <c r="B37" s="78" t="s">
        <v>2853</v>
      </c>
      <c r="C37" s="78" t="s">
        <v>14147</v>
      </c>
      <c r="D37" s="78" t="s">
        <v>14382</v>
      </c>
      <c r="E37" s="79" t="s">
        <v>14251</v>
      </c>
      <c r="F37" s="78" t="s">
        <v>14150</v>
      </c>
      <c r="G37" s="78" t="s">
        <v>14151</v>
      </c>
      <c r="H37" s="74"/>
      <c r="I37" s="74"/>
      <c r="J37" s="78" t="s">
        <v>14152</v>
      </c>
      <c r="K37" s="78" t="s">
        <v>14153</v>
      </c>
      <c r="L37" s="78" t="s">
        <v>14154</v>
      </c>
      <c r="M37" s="78" t="s">
        <v>14155</v>
      </c>
      <c r="N37" s="74"/>
      <c r="O37" s="74"/>
      <c r="P37" s="80">
        <v>10782.5</v>
      </c>
      <c r="Q37" s="78" t="s">
        <v>14156</v>
      </c>
      <c r="R37" s="74"/>
      <c r="S37" s="74"/>
      <c r="T37" s="78" t="s">
        <v>14157</v>
      </c>
      <c r="U37" s="74"/>
      <c r="V37" s="78" t="s">
        <v>14158</v>
      </c>
      <c r="W37" s="78" t="s">
        <v>2391</v>
      </c>
      <c r="X37" s="78" t="s">
        <v>2395</v>
      </c>
      <c r="Y37" s="78" t="s">
        <v>2397</v>
      </c>
      <c r="Z37" s="78" t="s">
        <v>2853</v>
      </c>
      <c r="AA37" s="78" t="s">
        <v>14156</v>
      </c>
      <c r="AB37" s="78" t="s">
        <v>14156</v>
      </c>
      <c r="AC37" s="79" t="s">
        <v>14383</v>
      </c>
      <c r="AD37" s="79" t="s">
        <v>14383</v>
      </c>
      <c r="AE37" s="78" t="s">
        <v>14252</v>
      </c>
      <c r="AF37" s="78" t="s">
        <v>14253</v>
      </c>
      <c r="AG37" s="78" t="s">
        <v>14162</v>
      </c>
      <c r="AH37" s="74"/>
      <c r="AI37" s="74"/>
      <c r="AJ37" s="74"/>
      <c r="AK37" s="74"/>
      <c r="AL37" s="74"/>
      <c r="AM37" s="78" t="s">
        <v>14163</v>
      </c>
      <c r="AN37" s="78" t="s">
        <v>14164</v>
      </c>
      <c r="AO37" s="78" t="s">
        <v>14165</v>
      </c>
      <c r="AP37" s="78" t="s">
        <v>14166</v>
      </c>
      <c r="AQ37" s="78" t="s">
        <v>14193</v>
      </c>
      <c r="AR37" s="78" t="s">
        <v>14194</v>
      </c>
      <c r="AS37" s="78" t="s">
        <v>14254</v>
      </c>
      <c r="AT37" s="78" t="s">
        <v>14255</v>
      </c>
      <c r="AU37" s="78" t="s">
        <v>14256</v>
      </c>
      <c r="AV37" s="78" t="s">
        <v>787</v>
      </c>
      <c r="AW37" s="78" t="s">
        <v>787</v>
      </c>
      <c r="AX37" s="78" t="s">
        <v>14384</v>
      </c>
      <c r="AY37" s="78" t="s">
        <v>14385</v>
      </c>
      <c r="AZ37" s="78" t="s">
        <v>14173</v>
      </c>
      <c r="BA37" s="78" t="s">
        <v>14256</v>
      </c>
      <c r="BB37" s="74"/>
      <c r="BC37" s="78" t="s">
        <v>14386</v>
      </c>
      <c r="BD37" s="78" t="s">
        <v>14178</v>
      </c>
      <c r="BE37" s="78" t="s">
        <v>14179</v>
      </c>
      <c r="BF37" s="81" t="s">
        <v>14387</v>
      </c>
      <c r="BG37" s="81" t="s">
        <v>14388</v>
      </c>
      <c r="BH37" s="81" t="s">
        <v>14389</v>
      </c>
      <c r="BI37" s="78" t="s">
        <v>14178</v>
      </c>
      <c r="BJ37" s="78" t="s">
        <v>14179</v>
      </c>
      <c r="BK37" s="78" t="s">
        <v>14390</v>
      </c>
      <c r="BL37" s="78" t="s">
        <v>14263</v>
      </c>
      <c r="BM37" s="78" t="s">
        <v>14391</v>
      </c>
      <c r="BN37" s="78" t="s">
        <v>14183</v>
      </c>
      <c r="BO37" s="78" t="s">
        <v>14184</v>
      </c>
      <c r="BP37" s="78" t="s">
        <v>14184</v>
      </c>
    </row>
    <row r="38" s="74" customFormat="1" ht="54" spans="65:68">
      <c r="BM38" s="78" t="s">
        <v>14392</v>
      </c>
      <c r="BN38" s="78" t="s">
        <v>14266</v>
      </c>
      <c r="BO38" s="78" t="s">
        <v>2935</v>
      </c>
      <c r="BP38" s="78" t="s">
        <v>2935</v>
      </c>
    </row>
    <row r="39" s="74" customFormat="1" ht="409.5" spans="1:68">
      <c r="A39" s="78" t="s">
        <v>14393</v>
      </c>
      <c r="B39" s="78" t="s">
        <v>2876</v>
      </c>
      <c r="C39" s="78" t="s">
        <v>14147</v>
      </c>
      <c r="D39" s="78" t="s">
        <v>14394</v>
      </c>
      <c r="E39" s="79" t="s">
        <v>14251</v>
      </c>
      <c r="F39" s="78" t="s">
        <v>14150</v>
      </c>
      <c r="G39" s="78" t="s">
        <v>14151</v>
      </c>
      <c r="H39" s="74"/>
      <c r="I39" s="74"/>
      <c r="J39" s="78" t="s">
        <v>14152</v>
      </c>
      <c r="K39" s="78" t="s">
        <v>14153</v>
      </c>
      <c r="L39" s="78" t="s">
        <v>14154</v>
      </c>
      <c r="M39" s="78" t="s">
        <v>14155</v>
      </c>
      <c r="N39" s="74"/>
      <c r="O39" s="74"/>
      <c r="P39" s="80">
        <v>250000</v>
      </c>
      <c r="Q39" s="78" t="s">
        <v>14156</v>
      </c>
      <c r="R39" s="74"/>
      <c r="S39" s="74"/>
      <c r="T39" s="78" t="s">
        <v>14157</v>
      </c>
      <c r="U39" s="74"/>
      <c r="V39" s="78" t="s">
        <v>14158</v>
      </c>
      <c r="W39" s="78" t="s">
        <v>2391</v>
      </c>
      <c r="X39" s="78" t="s">
        <v>2395</v>
      </c>
      <c r="Y39" s="78" t="s">
        <v>2397</v>
      </c>
      <c r="Z39" s="78" t="s">
        <v>2876</v>
      </c>
      <c r="AA39" s="78" t="s">
        <v>14156</v>
      </c>
      <c r="AB39" s="78" t="s">
        <v>14156</v>
      </c>
      <c r="AC39" s="79" t="s">
        <v>14395</v>
      </c>
      <c r="AD39" s="79" t="s">
        <v>14395</v>
      </c>
      <c r="AE39" s="78" t="s">
        <v>14160</v>
      </c>
      <c r="AF39" s="78" t="s">
        <v>14161</v>
      </c>
      <c r="AG39" s="78" t="s">
        <v>14162</v>
      </c>
      <c r="AH39" s="74"/>
      <c r="AI39" s="74"/>
      <c r="AJ39" s="74"/>
      <c r="AK39" s="74"/>
      <c r="AL39" s="74"/>
      <c r="AM39" s="78" t="s">
        <v>14163</v>
      </c>
      <c r="AN39" s="78" t="s">
        <v>14164</v>
      </c>
      <c r="AO39" s="78" t="s">
        <v>14165</v>
      </c>
      <c r="AP39" s="78" t="s">
        <v>14166</v>
      </c>
      <c r="AQ39" s="78" t="s">
        <v>14167</v>
      </c>
      <c r="AR39" s="78" t="s">
        <v>14168</v>
      </c>
      <c r="AS39" s="78" t="s">
        <v>14205</v>
      </c>
      <c r="AT39" s="78" t="s">
        <v>3124</v>
      </c>
      <c r="AU39" s="78" t="s">
        <v>14206</v>
      </c>
      <c r="AV39" s="78" t="s">
        <v>787</v>
      </c>
      <c r="AW39" s="78" t="s">
        <v>787</v>
      </c>
      <c r="AX39" s="78" t="s">
        <v>14396</v>
      </c>
      <c r="AY39" s="78" t="s">
        <v>14397</v>
      </c>
      <c r="AZ39" s="78" t="s">
        <v>14173</v>
      </c>
      <c r="BA39" s="78" t="s">
        <v>14206</v>
      </c>
      <c r="BB39" s="74"/>
      <c r="BC39" s="78" t="s">
        <v>14398</v>
      </c>
      <c r="BD39" s="78" t="s">
        <v>14163</v>
      </c>
      <c r="BE39" s="78" t="s">
        <v>14164</v>
      </c>
      <c r="BF39" s="81" t="s">
        <v>14399</v>
      </c>
      <c r="BG39" s="81" t="s">
        <v>14400</v>
      </c>
      <c r="BH39" s="81" t="s">
        <v>14401</v>
      </c>
      <c r="BI39" s="78" t="s">
        <v>14178</v>
      </c>
      <c r="BJ39" s="78" t="s">
        <v>14179</v>
      </c>
      <c r="BK39" s="78" t="s">
        <v>14402</v>
      </c>
      <c r="BL39" s="78" t="s">
        <v>14213</v>
      </c>
      <c r="BM39" s="78" t="s">
        <v>14403</v>
      </c>
      <c r="BN39" s="78" t="s">
        <v>14183</v>
      </c>
      <c r="BO39" s="78" t="s">
        <v>14184</v>
      </c>
      <c r="BP39" s="78" t="s">
        <v>14184</v>
      </c>
    </row>
    <row r="40" s="74" customFormat="1" ht="67.5" spans="65:68">
      <c r="BM40" s="78" t="s">
        <v>14404</v>
      </c>
      <c r="BN40" s="78" t="s">
        <v>14405</v>
      </c>
      <c r="BO40" s="78" t="s">
        <v>3524</v>
      </c>
      <c r="BP40" s="78" t="s">
        <v>3524</v>
      </c>
    </row>
    <row r="41" s="74" customFormat="1" ht="409.5" spans="1:68">
      <c r="A41" s="78" t="s">
        <v>14406</v>
      </c>
      <c r="B41" s="78" t="s">
        <v>14407</v>
      </c>
      <c r="C41" s="78" t="s">
        <v>14147</v>
      </c>
      <c r="D41" s="78" t="s">
        <v>14408</v>
      </c>
      <c r="E41" s="79" t="s">
        <v>14251</v>
      </c>
      <c r="F41" s="78" t="s">
        <v>14150</v>
      </c>
      <c r="G41" s="78" t="s">
        <v>14151</v>
      </c>
      <c r="H41" s="74"/>
      <c r="I41" s="74"/>
      <c r="J41" s="78" t="s">
        <v>14152</v>
      </c>
      <c r="K41" s="78" t="s">
        <v>14153</v>
      </c>
      <c r="L41" s="78" t="s">
        <v>14154</v>
      </c>
      <c r="M41" s="78" t="s">
        <v>14155</v>
      </c>
      <c r="N41" s="74"/>
      <c r="O41" s="74"/>
      <c r="P41" s="80">
        <v>250000</v>
      </c>
      <c r="Q41" s="78" t="s">
        <v>14156</v>
      </c>
      <c r="R41" s="74"/>
      <c r="S41" s="74"/>
      <c r="T41" s="78" t="s">
        <v>14157</v>
      </c>
      <c r="U41" s="74"/>
      <c r="V41" s="78" t="s">
        <v>14158</v>
      </c>
      <c r="W41" s="78" t="s">
        <v>2391</v>
      </c>
      <c r="X41" s="78" t="s">
        <v>2395</v>
      </c>
      <c r="Y41" s="78" t="s">
        <v>2397</v>
      </c>
      <c r="Z41" s="78" t="s">
        <v>14407</v>
      </c>
      <c r="AA41" s="78" t="s">
        <v>14156</v>
      </c>
      <c r="AB41" s="78" t="s">
        <v>14156</v>
      </c>
      <c r="AC41" s="79" t="s">
        <v>14395</v>
      </c>
      <c r="AD41" s="79" t="s">
        <v>14395</v>
      </c>
      <c r="AE41" s="78" t="s">
        <v>14160</v>
      </c>
      <c r="AF41" s="78" t="s">
        <v>14161</v>
      </c>
      <c r="AG41" s="78" t="s">
        <v>14162</v>
      </c>
      <c r="AH41" s="74"/>
      <c r="AI41" s="74"/>
      <c r="AJ41" s="74"/>
      <c r="AK41" s="74"/>
      <c r="AL41" s="74"/>
      <c r="AM41" s="78" t="s">
        <v>14163</v>
      </c>
      <c r="AN41" s="78" t="s">
        <v>14164</v>
      </c>
      <c r="AO41" s="78" t="s">
        <v>14409</v>
      </c>
      <c r="AP41" s="78" t="s">
        <v>14410</v>
      </c>
      <c r="AQ41" s="78" t="s">
        <v>14167</v>
      </c>
      <c r="AR41" s="78" t="s">
        <v>14168</v>
      </c>
      <c r="AS41" s="78" t="s">
        <v>14205</v>
      </c>
      <c r="AT41" s="78" t="s">
        <v>3124</v>
      </c>
      <c r="AU41" s="78" t="s">
        <v>14206</v>
      </c>
      <c r="AV41" s="78" t="s">
        <v>787</v>
      </c>
      <c r="AW41" s="78" t="s">
        <v>787</v>
      </c>
      <c r="AX41" s="78" t="s">
        <v>14411</v>
      </c>
      <c r="AY41" s="78" t="s">
        <v>14412</v>
      </c>
      <c r="AZ41" s="78" t="s">
        <v>14173</v>
      </c>
      <c r="BA41" s="78" t="s">
        <v>14206</v>
      </c>
      <c r="BB41" s="74"/>
      <c r="BC41" s="78" t="s">
        <v>14413</v>
      </c>
      <c r="BD41" s="78" t="s">
        <v>14178</v>
      </c>
      <c r="BE41" s="78" t="s">
        <v>14179</v>
      </c>
      <c r="BF41" s="81" t="s">
        <v>14414</v>
      </c>
      <c r="BG41" s="81" t="s">
        <v>14415</v>
      </c>
      <c r="BH41" s="81" t="s">
        <v>14416</v>
      </c>
      <c r="BI41" s="78" t="s">
        <v>14178</v>
      </c>
      <c r="BJ41" s="78" t="s">
        <v>14179</v>
      </c>
      <c r="BK41" s="78" t="s">
        <v>14417</v>
      </c>
      <c r="BL41" s="78" t="s">
        <v>14213</v>
      </c>
      <c r="BM41" s="78" t="s">
        <v>14418</v>
      </c>
      <c r="BN41" s="78" t="s">
        <v>14183</v>
      </c>
      <c r="BO41" s="78" t="s">
        <v>14184</v>
      </c>
      <c r="BP41" s="78" t="s">
        <v>14184</v>
      </c>
    </row>
    <row r="42" s="74" customFormat="1" ht="54" spans="65:68">
      <c r="BM42" s="78" t="s">
        <v>14419</v>
      </c>
      <c r="BN42" s="78" t="s">
        <v>14420</v>
      </c>
      <c r="BO42" s="78" t="s">
        <v>3520</v>
      </c>
      <c r="BP42" s="78" t="s">
        <v>3520</v>
      </c>
    </row>
    <row r="43" s="74" customFormat="1" ht="409.5" spans="1:68">
      <c r="A43" s="78" t="s">
        <v>14421</v>
      </c>
      <c r="B43" s="78" t="s">
        <v>14422</v>
      </c>
      <c r="C43" s="78" t="s">
        <v>14189</v>
      </c>
      <c r="D43" s="78" t="s">
        <v>14394</v>
      </c>
      <c r="E43" s="79" t="s">
        <v>14251</v>
      </c>
      <c r="F43" s="78" t="s">
        <v>14150</v>
      </c>
      <c r="G43" s="78" t="s">
        <v>14151</v>
      </c>
      <c r="H43" s="74"/>
      <c r="I43" s="74"/>
      <c r="J43" s="78" t="s">
        <v>14152</v>
      </c>
      <c r="K43" s="78" t="s">
        <v>14153</v>
      </c>
      <c r="L43" s="78" t="s">
        <v>14154</v>
      </c>
      <c r="M43" s="78" t="s">
        <v>14155</v>
      </c>
      <c r="N43" s="74"/>
      <c r="O43" s="74"/>
      <c r="P43" s="80">
        <v>250000</v>
      </c>
      <c r="Q43" s="78" t="s">
        <v>14156</v>
      </c>
      <c r="R43" s="74"/>
      <c r="S43" s="74"/>
      <c r="T43" s="78" t="s">
        <v>14157</v>
      </c>
      <c r="U43" s="74"/>
      <c r="V43" s="78" t="s">
        <v>14158</v>
      </c>
      <c r="W43" s="78" t="s">
        <v>2391</v>
      </c>
      <c r="X43" s="78" t="s">
        <v>2395</v>
      </c>
      <c r="Y43" s="78" t="s">
        <v>2397</v>
      </c>
      <c r="Z43" s="78" t="s">
        <v>14422</v>
      </c>
      <c r="AA43" s="78" t="s">
        <v>14156</v>
      </c>
      <c r="AB43" s="78" t="s">
        <v>14156</v>
      </c>
      <c r="AC43" s="79" t="s">
        <v>14395</v>
      </c>
      <c r="AD43" s="79" t="s">
        <v>14395</v>
      </c>
      <c r="AE43" s="78" t="s">
        <v>14160</v>
      </c>
      <c r="AF43" s="78" t="s">
        <v>14161</v>
      </c>
      <c r="AG43" s="78" t="s">
        <v>14162</v>
      </c>
      <c r="AH43" s="74"/>
      <c r="AI43" s="74"/>
      <c r="AJ43" s="74"/>
      <c r="AK43" s="74"/>
      <c r="AL43" s="74"/>
      <c r="AM43" s="78" t="s">
        <v>14163</v>
      </c>
      <c r="AN43" s="78" t="s">
        <v>14164</v>
      </c>
      <c r="AO43" s="78" t="s">
        <v>14192</v>
      </c>
      <c r="AP43" s="78" t="s">
        <v>14166</v>
      </c>
      <c r="AQ43" s="78" t="s">
        <v>14193</v>
      </c>
      <c r="AR43" s="78" t="s">
        <v>14194</v>
      </c>
      <c r="AS43" s="78" t="s">
        <v>14205</v>
      </c>
      <c r="AT43" s="78" t="s">
        <v>3124</v>
      </c>
      <c r="AU43" s="78" t="s">
        <v>14206</v>
      </c>
      <c r="AV43" s="78" t="s">
        <v>787</v>
      </c>
      <c r="AW43" s="78" t="s">
        <v>787</v>
      </c>
      <c r="AX43" s="78" t="s">
        <v>14423</v>
      </c>
      <c r="AY43" s="78" t="s">
        <v>14424</v>
      </c>
      <c r="AZ43" s="78" t="s">
        <v>14173</v>
      </c>
      <c r="BA43" s="78" t="s">
        <v>14206</v>
      </c>
      <c r="BB43" s="74"/>
      <c r="BC43" s="78" t="s">
        <v>14398</v>
      </c>
      <c r="BD43" s="78" t="s">
        <v>14163</v>
      </c>
      <c r="BE43" s="78" t="s">
        <v>14164</v>
      </c>
      <c r="BF43" s="74"/>
      <c r="BG43" s="81" t="s">
        <v>14425</v>
      </c>
      <c r="BH43" s="81" t="s">
        <v>14426</v>
      </c>
      <c r="BI43" s="74"/>
      <c r="BJ43" s="74"/>
      <c r="BK43" s="78" t="s">
        <v>14427</v>
      </c>
      <c r="BL43" s="78" t="s">
        <v>14213</v>
      </c>
      <c r="BM43" s="78" t="s">
        <v>14428</v>
      </c>
      <c r="BN43" s="78" t="s">
        <v>14183</v>
      </c>
      <c r="BO43" s="78" t="s">
        <v>14184</v>
      </c>
      <c r="BP43" s="78" t="s">
        <v>14184</v>
      </c>
    </row>
    <row r="44" s="74" customFormat="1" ht="67.5" spans="65:68">
      <c r="BM44" s="78" t="s">
        <v>14429</v>
      </c>
      <c r="BN44" s="78" t="s">
        <v>14405</v>
      </c>
      <c r="BO44" s="78" t="s">
        <v>3524</v>
      </c>
      <c r="BP44" s="78" t="s">
        <v>3524</v>
      </c>
    </row>
    <row r="45" s="74" customFormat="1" ht="409.5" spans="1:68">
      <c r="A45" s="78" t="s">
        <v>14430</v>
      </c>
      <c r="B45" s="78" t="s">
        <v>2854</v>
      </c>
      <c r="C45" s="78" t="s">
        <v>14147</v>
      </c>
      <c r="D45" s="78" t="s">
        <v>14431</v>
      </c>
      <c r="E45" s="79" t="s">
        <v>14251</v>
      </c>
      <c r="F45" s="78" t="s">
        <v>14150</v>
      </c>
      <c r="G45" s="78" t="s">
        <v>14151</v>
      </c>
      <c r="H45" s="74"/>
      <c r="I45" s="74"/>
      <c r="J45" s="78" t="s">
        <v>14152</v>
      </c>
      <c r="K45" s="78" t="s">
        <v>14153</v>
      </c>
      <c r="L45" s="78" t="s">
        <v>14154</v>
      </c>
      <c r="M45" s="78" t="s">
        <v>14155</v>
      </c>
      <c r="N45" s="74"/>
      <c r="O45" s="74"/>
      <c r="P45" s="80">
        <v>14545.3</v>
      </c>
      <c r="Q45" s="78" t="s">
        <v>14156</v>
      </c>
      <c r="R45" s="74"/>
      <c r="S45" s="74"/>
      <c r="T45" s="78" t="s">
        <v>14157</v>
      </c>
      <c r="U45" s="74"/>
      <c r="V45" s="78" t="s">
        <v>14158</v>
      </c>
      <c r="W45" s="78" t="s">
        <v>2391</v>
      </c>
      <c r="X45" s="78" t="s">
        <v>2395</v>
      </c>
      <c r="Y45" s="78" t="s">
        <v>2397</v>
      </c>
      <c r="Z45" s="78" t="s">
        <v>2854</v>
      </c>
      <c r="AA45" s="78" t="s">
        <v>14156</v>
      </c>
      <c r="AB45" s="78" t="s">
        <v>14156</v>
      </c>
      <c r="AC45" s="79" t="s">
        <v>14395</v>
      </c>
      <c r="AD45" s="79" t="s">
        <v>14395</v>
      </c>
      <c r="AE45" s="78" t="s">
        <v>14252</v>
      </c>
      <c r="AF45" s="78" t="s">
        <v>14253</v>
      </c>
      <c r="AG45" s="78" t="s">
        <v>14162</v>
      </c>
      <c r="AH45" s="74"/>
      <c r="AI45" s="74"/>
      <c r="AJ45" s="74"/>
      <c r="AK45" s="74"/>
      <c r="AL45" s="74"/>
      <c r="AM45" s="78" t="s">
        <v>14163</v>
      </c>
      <c r="AN45" s="78" t="s">
        <v>14164</v>
      </c>
      <c r="AO45" s="78" t="s">
        <v>14165</v>
      </c>
      <c r="AP45" s="78" t="s">
        <v>14166</v>
      </c>
      <c r="AQ45" s="78" t="s">
        <v>14193</v>
      </c>
      <c r="AR45" s="78" t="s">
        <v>14194</v>
      </c>
      <c r="AS45" s="78" t="s">
        <v>14254</v>
      </c>
      <c r="AT45" s="78" t="s">
        <v>14255</v>
      </c>
      <c r="AU45" s="78" t="s">
        <v>14256</v>
      </c>
      <c r="AV45" s="78" t="s">
        <v>787</v>
      </c>
      <c r="AW45" s="78" t="s">
        <v>787</v>
      </c>
      <c r="AX45" s="78" t="s">
        <v>14432</v>
      </c>
      <c r="AY45" s="78" t="s">
        <v>14433</v>
      </c>
      <c r="AZ45" s="78" t="s">
        <v>14173</v>
      </c>
      <c r="BA45" s="78" t="s">
        <v>14256</v>
      </c>
      <c r="BB45" s="74"/>
      <c r="BC45" s="78" t="s">
        <v>14434</v>
      </c>
      <c r="BD45" s="78" t="s">
        <v>14178</v>
      </c>
      <c r="BE45" s="78" t="s">
        <v>14179</v>
      </c>
      <c r="BF45" s="81" t="s">
        <v>14435</v>
      </c>
      <c r="BG45" s="81" t="s">
        <v>14436</v>
      </c>
      <c r="BH45" s="81" t="s">
        <v>14437</v>
      </c>
      <c r="BI45" s="78" t="s">
        <v>14178</v>
      </c>
      <c r="BJ45" s="78" t="s">
        <v>14179</v>
      </c>
      <c r="BK45" s="78" t="s">
        <v>14438</v>
      </c>
      <c r="BL45" s="78" t="s">
        <v>14263</v>
      </c>
      <c r="BM45" s="78" t="s">
        <v>14439</v>
      </c>
      <c r="BN45" s="78" t="s">
        <v>14183</v>
      </c>
      <c r="BO45" s="78" t="s">
        <v>14184</v>
      </c>
      <c r="BP45" s="78" t="s">
        <v>14184</v>
      </c>
    </row>
    <row r="46" s="74" customFormat="1" ht="54" spans="65:68">
      <c r="BM46" s="78" t="s">
        <v>14440</v>
      </c>
      <c r="BN46" s="78" t="s">
        <v>14266</v>
      </c>
      <c r="BO46" s="78" t="s">
        <v>2935</v>
      </c>
      <c r="BP46" s="78" t="s">
        <v>2935</v>
      </c>
    </row>
    <row r="47" s="74" customFormat="1" ht="405" spans="1:68">
      <c r="A47" s="78" t="s">
        <v>14441</v>
      </c>
      <c r="B47" s="78" t="s">
        <v>2855</v>
      </c>
      <c r="C47" s="78" t="s">
        <v>14147</v>
      </c>
      <c r="D47" s="78" t="s">
        <v>14442</v>
      </c>
      <c r="E47" s="79" t="s">
        <v>14443</v>
      </c>
      <c r="F47" s="78" t="s">
        <v>14150</v>
      </c>
      <c r="G47" s="78" t="s">
        <v>14151</v>
      </c>
      <c r="H47" s="74"/>
      <c r="I47" s="74"/>
      <c r="J47" s="78" t="s">
        <v>14152</v>
      </c>
      <c r="K47" s="78" t="s">
        <v>14153</v>
      </c>
      <c r="L47" s="78" t="s">
        <v>14154</v>
      </c>
      <c r="M47" s="78" t="s">
        <v>14155</v>
      </c>
      <c r="N47" s="74"/>
      <c r="O47" s="74"/>
      <c r="P47" s="80">
        <v>30391.23</v>
      </c>
      <c r="Q47" s="78" t="s">
        <v>14156</v>
      </c>
      <c r="R47" s="74"/>
      <c r="S47" s="74"/>
      <c r="T47" s="78" t="s">
        <v>14157</v>
      </c>
      <c r="U47" s="74"/>
      <c r="V47" s="78" t="s">
        <v>14158</v>
      </c>
      <c r="W47" s="78" t="s">
        <v>2391</v>
      </c>
      <c r="X47" s="78" t="s">
        <v>2395</v>
      </c>
      <c r="Y47" s="78" t="s">
        <v>2397</v>
      </c>
      <c r="Z47" s="78" t="s">
        <v>2855</v>
      </c>
      <c r="AA47" s="78" t="s">
        <v>14156</v>
      </c>
      <c r="AB47" s="78" t="s">
        <v>14156</v>
      </c>
      <c r="AC47" s="79" t="s">
        <v>14444</v>
      </c>
      <c r="AD47" s="79" t="s">
        <v>14444</v>
      </c>
      <c r="AE47" s="78" t="s">
        <v>14252</v>
      </c>
      <c r="AF47" s="78" t="s">
        <v>14253</v>
      </c>
      <c r="AG47" s="78" t="s">
        <v>14162</v>
      </c>
      <c r="AH47" s="74"/>
      <c r="AI47" s="74"/>
      <c r="AJ47" s="74"/>
      <c r="AK47" s="74"/>
      <c r="AL47" s="74"/>
      <c r="AM47" s="78" t="s">
        <v>14163</v>
      </c>
      <c r="AN47" s="78" t="s">
        <v>14164</v>
      </c>
      <c r="AO47" s="78" t="s">
        <v>14165</v>
      </c>
      <c r="AP47" s="78" t="s">
        <v>14166</v>
      </c>
      <c r="AQ47" s="78" t="s">
        <v>14193</v>
      </c>
      <c r="AR47" s="78" t="s">
        <v>14194</v>
      </c>
      <c r="AS47" s="78" t="s">
        <v>14254</v>
      </c>
      <c r="AT47" s="78" t="s">
        <v>14255</v>
      </c>
      <c r="AU47" s="78" t="s">
        <v>14256</v>
      </c>
      <c r="AV47" s="78" t="s">
        <v>787</v>
      </c>
      <c r="AW47" s="78" t="s">
        <v>787</v>
      </c>
      <c r="AX47" s="78" t="s">
        <v>14445</v>
      </c>
      <c r="AY47" s="78" t="s">
        <v>14446</v>
      </c>
      <c r="AZ47" s="78" t="s">
        <v>14173</v>
      </c>
      <c r="BA47" s="78" t="s">
        <v>14256</v>
      </c>
      <c r="BB47" s="74"/>
      <c r="BC47" s="78" t="s">
        <v>14447</v>
      </c>
      <c r="BD47" s="78" t="s">
        <v>14178</v>
      </c>
      <c r="BE47" s="78" t="s">
        <v>14179</v>
      </c>
      <c r="BF47" s="81" t="s">
        <v>14448</v>
      </c>
      <c r="BG47" s="81" t="s">
        <v>14449</v>
      </c>
      <c r="BH47" s="81" t="s">
        <v>14450</v>
      </c>
      <c r="BI47" s="78" t="s">
        <v>14178</v>
      </c>
      <c r="BJ47" s="78" t="s">
        <v>14179</v>
      </c>
      <c r="BK47" s="78" t="s">
        <v>14451</v>
      </c>
      <c r="BL47" s="78" t="s">
        <v>14263</v>
      </c>
      <c r="BM47" s="78" t="s">
        <v>14452</v>
      </c>
      <c r="BN47" s="78" t="s">
        <v>14183</v>
      </c>
      <c r="BO47" s="78" t="s">
        <v>14184</v>
      </c>
      <c r="BP47" s="78" t="s">
        <v>14184</v>
      </c>
    </row>
    <row r="48" s="74" customFormat="1" ht="54" spans="65:68">
      <c r="BM48" s="78" t="s">
        <v>14453</v>
      </c>
      <c r="BN48" s="78" t="s">
        <v>14454</v>
      </c>
      <c r="BO48" s="78" t="s">
        <v>2928</v>
      </c>
      <c r="BP48" s="78" t="s">
        <v>2928</v>
      </c>
    </row>
    <row r="49" s="74" customFormat="1" ht="409.5" spans="1:68">
      <c r="A49" s="78" t="s">
        <v>14455</v>
      </c>
      <c r="B49" s="78" t="s">
        <v>2875</v>
      </c>
      <c r="C49" s="78" t="s">
        <v>14147</v>
      </c>
      <c r="D49" s="78" t="s">
        <v>14456</v>
      </c>
      <c r="E49" s="79" t="s">
        <v>14443</v>
      </c>
      <c r="F49" s="78" t="s">
        <v>14150</v>
      </c>
      <c r="G49" s="78" t="s">
        <v>14151</v>
      </c>
      <c r="H49" s="74"/>
      <c r="I49" s="74"/>
      <c r="J49" s="78" t="s">
        <v>14152</v>
      </c>
      <c r="K49" s="78" t="s">
        <v>14153</v>
      </c>
      <c r="L49" s="78" t="s">
        <v>14154</v>
      </c>
      <c r="M49" s="78" t="s">
        <v>14155</v>
      </c>
      <c r="N49" s="74"/>
      <c r="O49" s="74"/>
      <c r="P49" s="80">
        <v>4980</v>
      </c>
      <c r="Q49" s="78" t="s">
        <v>14156</v>
      </c>
      <c r="R49" s="74"/>
      <c r="S49" s="74"/>
      <c r="T49" s="78" t="s">
        <v>14157</v>
      </c>
      <c r="U49" s="74"/>
      <c r="V49" s="78" t="s">
        <v>14158</v>
      </c>
      <c r="W49" s="78" t="s">
        <v>2391</v>
      </c>
      <c r="X49" s="78" t="s">
        <v>2395</v>
      </c>
      <c r="Y49" s="78" t="s">
        <v>2397</v>
      </c>
      <c r="Z49" s="78" t="s">
        <v>2875</v>
      </c>
      <c r="AA49" s="78" t="s">
        <v>14156</v>
      </c>
      <c r="AB49" s="78" t="s">
        <v>14156</v>
      </c>
      <c r="AC49" s="79" t="s">
        <v>14457</v>
      </c>
      <c r="AD49" s="79" t="s">
        <v>14457</v>
      </c>
      <c r="AE49" s="78" t="s">
        <v>14160</v>
      </c>
      <c r="AF49" s="78" t="s">
        <v>14161</v>
      </c>
      <c r="AG49" s="78" t="s">
        <v>14162</v>
      </c>
      <c r="AH49" s="74"/>
      <c r="AI49" s="74"/>
      <c r="AJ49" s="74"/>
      <c r="AK49" s="74"/>
      <c r="AL49" s="74"/>
      <c r="AM49" s="78" t="s">
        <v>14163</v>
      </c>
      <c r="AN49" s="78" t="s">
        <v>14164</v>
      </c>
      <c r="AO49" s="78" t="s">
        <v>14165</v>
      </c>
      <c r="AP49" s="78" t="s">
        <v>14166</v>
      </c>
      <c r="AQ49" s="78" t="s">
        <v>14167</v>
      </c>
      <c r="AR49" s="78" t="s">
        <v>14168</v>
      </c>
      <c r="AS49" s="78" t="s">
        <v>14205</v>
      </c>
      <c r="AT49" s="78" t="s">
        <v>3124</v>
      </c>
      <c r="AU49" s="78" t="s">
        <v>14206</v>
      </c>
      <c r="AV49" s="78" t="s">
        <v>787</v>
      </c>
      <c r="AW49" s="78" t="s">
        <v>787</v>
      </c>
      <c r="AX49" s="78" t="s">
        <v>14458</v>
      </c>
      <c r="AY49" s="78" t="s">
        <v>14459</v>
      </c>
      <c r="AZ49" s="78" t="s">
        <v>14173</v>
      </c>
      <c r="BA49" s="78" t="s">
        <v>14206</v>
      </c>
      <c r="BB49" s="74"/>
      <c r="BC49" s="78" t="s">
        <v>14460</v>
      </c>
      <c r="BD49" s="78" t="s">
        <v>14163</v>
      </c>
      <c r="BE49" s="78" t="s">
        <v>14164</v>
      </c>
      <c r="BF49" s="81" t="s">
        <v>14461</v>
      </c>
      <c r="BG49" s="81" t="s">
        <v>14462</v>
      </c>
      <c r="BH49" s="81" t="s">
        <v>14463</v>
      </c>
      <c r="BI49" s="78" t="s">
        <v>14178</v>
      </c>
      <c r="BJ49" s="78" t="s">
        <v>14179</v>
      </c>
      <c r="BK49" s="78" t="s">
        <v>14464</v>
      </c>
      <c r="BL49" s="78" t="s">
        <v>14213</v>
      </c>
      <c r="BM49" s="78" t="s">
        <v>14465</v>
      </c>
      <c r="BN49" s="78" t="s">
        <v>14183</v>
      </c>
      <c r="BO49" s="78" t="s">
        <v>14184</v>
      </c>
      <c r="BP49" s="78" t="s">
        <v>14184</v>
      </c>
    </row>
    <row r="50" s="74" customFormat="1" ht="40.5" spans="65:68">
      <c r="BM50" s="78" t="s">
        <v>14466</v>
      </c>
      <c r="BN50" s="78" t="s">
        <v>14467</v>
      </c>
      <c r="BO50" s="78" t="s">
        <v>3512</v>
      </c>
      <c r="BP50" s="78" t="s">
        <v>3512</v>
      </c>
    </row>
    <row r="51" s="74" customFormat="1" ht="409.5" spans="1:68">
      <c r="A51" s="78" t="s">
        <v>14468</v>
      </c>
      <c r="B51" s="78" t="s">
        <v>2822</v>
      </c>
      <c r="C51" s="78" t="s">
        <v>14189</v>
      </c>
      <c r="D51" s="78" t="s">
        <v>14156</v>
      </c>
      <c r="E51" s="79" t="s">
        <v>14443</v>
      </c>
      <c r="F51" s="78" t="s">
        <v>14150</v>
      </c>
      <c r="G51" s="78" t="s">
        <v>14151</v>
      </c>
      <c r="H51" s="74"/>
      <c r="I51" s="74"/>
      <c r="J51" s="78" t="s">
        <v>14152</v>
      </c>
      <c r="K51" s="78" t="s">
        <v>14153</v>
      </c>
      <c r="L51" s="78" t="s">
        <v>14154</v>
      </c>
      <c r="M51" s="78" t="s">
        <v>14155</v>
      </c>
      <c r="N51" s="74"/>
      <c r="O51" s="74"/>
      <c r="P51" s="80">
        <v>12000</v>
      </c>
      <c r="Q51" s="78" t="s">
        <v>14156</v>
      </c>
      <c r="R51" s="74"/>
      <c r="S51" s="74"/>
      <c r="T51" s="78" t="s">
        <v>14157</v>
      </c>
      <c r="U51" s="74"/>
      <c r="V51" s="78" t="s">
        <v>14469</v>
      </c>
      <c r="W51" s="78" t="s">
        <v>14470</v>
      </c>
      <c r="X51" s="78" t="s">
        <v>2395</v>
      </c>
      <c r="Y51" s="78" t="s">
        <v>2397</v>
      </c>
      <c r="Z51" s="78" t="s">
        <v>2822</v>
      </c>
      <c r="AA51" s="78" t="s">
        <v>14156</v>
      </c>
      <c r="AB51" s="78" t="s">
        <v>14156</v>
      </c>
      <c r="AC51" s="74"/>
      <c r="AD51" s="79" t="s">
        <v>14471</v>
      </c>
      <c r="AE51" s="78" t="s">
        <v>14252</v>
      </c>
      <c r="AF51" s="78" t="s">
        <v>14253</v>
      </c>
      <c r="AG51" s="78" t="s">
        <v>14162</v>
      </c>
      <c r="AH51" s="74"/>
      <c r="AI51" s="74"/>
      <c r="AJ51" s="74"/>
      <c r="AK51" s="74"/>
      <c r="AL51" s="74"/>
      <c r="AM51" s="78" t="s">
        <v>14163</v>
      </c>
      <c r="AN51" s="78" t="s">
        <v>14164</v>
      </c>
      <c r="AO51" s="78" t="s">
        <v>14165</v>
      </c>
      <c r="AP51" s="78" t="s">
        <v>14166</v>
      </c>
      <c r="AQ51" s="78" t="s">
        <v>14193</v>
      </c>
      <c r="AR51" s="78" t="s">
        <v>14194</v>
      </c>
      <c r="AS51" s="78" t="s">
        <v>14472</v>
      </c>
      <c r="AT51" s="78" t="s">
        <v>14473</v>
      </c>
      <c r="AU51" s="78" t="s">
        <v>14206</v>
      </c>
      <c r="AV51" s="78" t="s">
        <v>787</v>
      </c>
      <c r="AW51" s="78" t="s">
        <v>787</v>
      </c>
      <c r="AX51" s="78" t="s">
        <v>14156</v>
      </c>
      <c r="AY51" s="78" t="s">
        <v>14156</v>
      </c>
      <c r="AZ51" s="78" t="s">
        <v>14173</v>
      </c>
      <c r="BA51" s="78" t="s">
        <v>14206</v>
      </c>
      <c r="BB51" s="74"/>
      <c r="BC51" s="78" t="s">
        <v>14474</v>
      </c>
      <c r="BD51" s="78" t="s">
        <v>14163</v>
      </c>
      <c r="BE51" s="78" t="s">
        <v>14164</v>
      </c>
      <c r="BF51" s="74"/>
      <c r="BG51" s="81" t="s">
        <v>14475</v>
      </c>
      <c r="BH51" s="81" t="s">
        <v>14476</v>
      </c>
      <c r="BI51" s="74"/>
      <c r="BJ51" s="74"/>
      <c r="BK51" s="78" t="s">
        <v>14477</v>
      </c>
      <c r="BL51" s="78" t="s">
        <v>14213</v>
      </c>
      <c r="BM51" s="78" t="s">
        <v>14478</v>
      </c>
      <c r="BN51" s="78" t="s">
        <v>14183</v>
      </c>
      <c r="BO51" s="78" t="s">
        <v>14184</v>
      </c>
      <c r="BP51" s="78" t="s">
        <v>14184</v>
      </c>
    </row>
    <row r="52" s="74" customFormat="1" ht="67.5" spans="65:68">
      <c r="BM52" s="78" t="s">
        <v>14479</v>
      </c>
      <c r="BN52" s="78" t="s">
        <v>14480</v>
      </c>
      <c r="BO52" s="78" t="s">
        <v>14481</v>
      </c>
      <c r="BP52" s="78" t="s">
        <v>14481</v>
      </c>
    </row>
    <row r="53" s="74" customFormat="1" ht="409.5" spans="1:68">
      <c r="A53" s="78" t="s">
        <v>14482</v>
      </c>
      <c r="B53" s="78" t="s">
        <v>2845</v>
      </c>
      <c r="C53" s="78" t="s">
        <v>14147</v>
      </c>
      <c r="D53" s="78" t="s">
        <v>14483</v>
      </c>
      <c r="E53" s="79" t="s">
        <v>14443</v>
      </c>
      <c r="F53" s="78" t="s">
        <v>14150</v>
      </c>
      <c r="G53" s="78" t="s">
        <v>14151</v>
      </c>
      <c r="H53" s="74"/>
      <c r="I53" s="74"/>
      <c r="J53" s="78" t="s">
        <v>14152</v>
      </c>
      <c r="K53" s="78" t="s">
        <v>14153</v>
      </c>
      <c r="L53" s="78" t="s">
        <v>14154</v>
      </c>
      <c r="M53" s="78" t="s">
        <v>14155</v>
      </c>
      <c r="N53" s="74"/>
      <c r="O53" s="74"/>
      <c r="P53" s="80">
        <v>6780</v>
      </c>
      <c r="Q53" s="78" t="s">
        <v>14156</v>
      </c>
      <c r="R53" s="74"/>
      <c r="S53" s="74"/>
      <c r="T53" s="78" t="s">
        <v>14157</v>
      </c>
      <c r="U53" s="74"/>
      <c r="V53" s="78" t="s">
        <v>14158</v>
      </c>
      <c r="W53" s="78" t="s">
        <v>2391</v>
      </c>
      <c r="X53" s="78" t="s">
        <v>2395</v>
      </c>
      <c r="Y53" s="78" t="s">
        <v>2397</v>
      </c>
      <c r="Z53" s="78" t="s">
        <v>2845</v>
      </c>
      <c r="AA53" s="78" t="s">
        <v>14156</v>
      </c>
      <c r="AB53" s="78" t="s">
        <v>14156</v>
      </c>
      <c r="AC53" s="79" t="s">
        <v>14484</v>
      </c>
      <c r="AD53" s="79" t="s">
        <v>14484</v>
      </c>
      <c r="AE53" s="78" t="s">
        <v>14252</v>
      </c>
      <c r="AF53" s="78" t="s">
        <v>14253</v>
      </c>
      <c r="AG53" s="78" t="s">
        <v>14162</v>
      </c>
      <c r="AH53" s="74"/>
      <c r="AI53" s="74"/>
      <c r="AJ53" s="74"/>
      <c r="AK53" s="74"/>
      <c r="AL53" s="74"/>
      <c r="AM53" s="78" t="s">
        <v>14163</v>
      </c>
      <c r="AN53" s="78" t="s">
        <v>14164</v>
      </c>
      <c r="AO53" s="78" t="s">
        <v>14409</v>
      </c>
      <c r="AP53" s="78" t="s">
        <v>14410</v>
      </c>
      <c r="AQ53" s="78" t="s">
        <v>14167</v>
      </c>
      <c r="AR53" s="78" t="s">
        <v>14168</v>
      </c>
      <c r="AS53" s="78" t="s">
        <v>14254</v>
      </c>
      <c r="AT53" s="78" t="s">
        <v>14255</v>
      </c>
      <c r="AU53" s="78" t="s">
        <v>14256</v>
      </c>
      <c r="AV53" s="78" t="s">
        <v>787</v>
      </c>
      <c r="AW53" s="78" t="s">
        <v>787</v>
      </c>
      <c r="AX53" s="78" t="s">
        <v>14485</v>
      </c>
      <c r="AY53" s="78" t="s">
        <v>14486</v>
      </c>
      <c r="AZ53" s="78" t="s">
        <v>14173</v>
      </c>
      <c r="BA53" s="78" t="s">
        <v>14256</v>
      </c>
      <c r="BB53" s="74"/>
      <c r="BC53" s="78" t="s">
        <v>14487</v>
      </c>
      <c r="BD53" s="78" t="s">
        <v>14163</v>
      </c>
      <c r="BE53" s="78" t="s">
        <v>14164</v>
      </c>
      <c r="BF53" s="81" t="s">
        <v>14488</v>
      </c>
      <c r="BG53" s="81" t="s">
        <v>14489</v>
      </c>
      <c r="BH53" s="81" t="s">
        <v>14490</v>
      </c>
      <c r="BI53" s="78" t="s">
        <v>14178</v>
      </c>
      <c r="BJ53" s="78" t="s">
        <v>14179</v>
      </c>
      <c r="BK53" s="78" t="s">
        <v>14491</v>
      </c>
      <c r="BL53" s="78" t="s">
        <v>14263</v>
      </c>
      <c r="BM53" s="78" t="s">
        <v>14492</v>
      </c>
      <c r="BN53" s="78" t="s">
        <v>14183</v>
      </c>
      <c r="BO53" s="78" t="s">
        <v>14184</v>
      </c>
      <c r="BP53" s="78" t="s">
        <v>14184</v>
      </c>
    </row>
    <row r="54" s="74" customFormat="1" ht="54" spans="65:68">
      <c r="BM54" s="78" t="s">
        <v>14493</v>
      </c>
      <c r="BN54" s="78" t="s">
        <v>14494</v>
      </c>
      <c r="BO54" s="78" t="s">
        <v>3805</v>
      </c>
      <c r="BP54" s="78" t="s">
        <v>3805</v>
      </c>
    </row>
    <row r="55" s="74" customFormat="1" ht="409.5" spans="1:68">
      <c r="A55" s="78" t="s">
        <v>14495</v>
      </c>
      <c r="B55" s="78" t="s">
        <v>2836</v>
      </c>
      <c r="C55" s="78" t="s">
        <v>14147</v>
      </c>
      <c r="D55" s="78" t="s">
        <v>14496</v>
      </c>
      <c r="E55" s="79" t="s">
        <v>14497</v>
      </c>
      <c r="F55" s="78" t="s">
        <v>14150</v>
      </c>
      <c r="G55" s="78" t="s">
        <v>14151</v>
      </c>
      <c r="H55" s="74"/>
      <c r="I55" s="74"/>
      <c r="J55" s="78" t="s">
        <v>14152</v>
      </c>
      <c r="K55" s="78" t="s">
        <v>14153</v>
      </c>
      <c r="L55" s="78" t="s">
        <v>14154</v>
      </c>
      <c r="M55" s="78" t="s">
        <v>14155</v>
      </c>
      <c r="N55" s="74"/>
      <c r="O55" s="74"/>
      <c r="P55" s="80">
        <v>64749.08</v>
      </c>
      <c r="Q55" s="78" t="s">
        <v>14156</v>
      </c>
      <c r="R55" s="74"/>
      <c r="S55" s="74"/>
      <c r="T55" s="78" t="s">
        <v>14157</v>
      </c>
      <c r="U55" s="74"/>
      <c r="V55" s="78" t="s">
        <v>14158</v>
      </c>
      <c r="W55" s="78" t="s">
        <v>2391</v>
      </c>
      <c r="X55" s="78" t="s">
        <v>2395</v>
      </c>
      <c r="Y55" s="78" t="s">
        <v>2397</v>
      </c>
      <c r="Z55" s="78" t="s">
        <v>2836</v>
      </c>
      <c r="AA55" s="78" t="s">
        <v>14156</v>
      </c>
      <c r="AB55" s="78" t="s">
        <v>14156</v>
      </c>
      <c r="AC55" s="79" t="s">
        <v>14498</v>
      </c>
      <c r="AD55" s="79" t="s">
        <v>14498</v>
      </c>
      <c r="AE55" s="78" t="s">
        <v>14160</v>
      </c>
      <c r="AF55" s="78" t="s">
        <v>14161</v>
      </c>
      <c r="AG55" s="78" t="s">
        <v>14162</v>
      </c>
      <c r="AH55" s="74"/>
      <c r="AI55" s="74"/>
      <c r="AJ55" s="74"/>
      <c r="AK55" s="74"/>
      <c r="AL55" s="74"/>
      <c r="AM55" s="78" t="s">
        <v>14163</v>
      </c>
      <c r="AN55" s="78" t="s">
        <v>14164</v>
      </c>
      <c r="AO55" s="78" t="s">
        <v>14165</v>
      </c>
      <c r="AP55" s="78" t="s">
        <v>14166</v>
      </c>
      <c r="AQ55" s="78" t="s">
        <v>14167</v>
      </c>
      <c r="AR55" s="78" t="s">
        <v>14168</v>
      </c>
      <c r="AS55" s="78" t="s">
        <v>14499</v>
      </c>
      <c r="AT55" s="78" t="s">
        <v>5098</v>
      </c>
      <c r="AU55" s="78" t="s">
        <v>14206</v>
      </c>
      <c r="AV55" s="78" t="s">
        <v>787</v>
      </c>
      <c r="AW55" s="78" t="s">
        <v>787</v>
      </c>
      <c r="AX55" s="78" t="s">
        <v>14500</v>
      </c>
      <c r="AY55" s="78" t="s">
        <v>14501</v>
      </c>
      <c r="AZ55" s="78" t="s">
        <v>14173</v>
      </c>
      <c r="BA55" s="78" t="s">
        <v>14206</v>
      </c>
      <c r="BB55" s="74"/>
      <c r="BC55" s="78" t="s">
        <v>14502</v>
      </c>
      <c r="BD55" s="78" t="s">
        <v>14163</v>
      </c>
      <c r="BE55" s="78" t="s">
        <v>14164</v>
      </c>
      <c r="BF55" s="81" t="s">
        <v>14503</v>
      </c>
      <c r="BG55" s="81" t="s">
        <v>14504</v>
      </c>
      <c r="BH55" s="81" t="s">
        <v>14505</v>
      </c>
      <c r="BI55" s="78" t="s">
        <v>14178</v>
      </c>
      <c r="BJ55" s="78" t="s">
        <v>14179</v>
      </c>
      <c r="BK55" s="78" t="s">
        <v>14506</v>
      </c>
      <c r="BL55" s="78" t="s">
        <v>14213</v>
      </c>
      <c r="BM55" s="78" t="s">
        <v>14507</v>
      </c>
      <c r="BN55" s="78" t="s">
        <v>14183</v>
      </c>
      <c r="BO55" s="78" t="s">
        <v>14184</v>
      </c>
      <c r="BP55" s="78" t="s">
        <v>14184</v>
      </c>
    </row>
    <row r="56" s="74" customFormat="1" ht="54" spans="65:68">
      <c r="BM56" s="78" t="s">
        <v>14508</v>
      </c>
      <c r="BN56" s="78" t="s">
        <v>14230</v>
      </c>
      <c r="BO56" s="78" t="s">
        <v>2924</v>
      </c>
      <c r="BP56" s="78" t="s">
        <v>2924</v>
      </c>
    </row>
    <row r="57" s="74" customFormat="1" ht="409.5" spans="1:68">
      <c r="A57" s="78" t="s">
        <v>14509</v>
      </c>
      <c r="B57" s="78" t="s">
        <v>2856</v>
      </c>
      <c r="C57" s="78" t="s">
        <v>14147</v>
      </c>
      <c r="D57" s="78" t="s">
        <v>14510</v>
      </c>
      <c r="E57" s="79" t="s">
        <v>14443</v>
      </c>
      <c r="F57" s="78" t="s">
        <v>14150</v>
      </c>
      <c r="G57" s="78" t="s">
        <v>14151</v>
      </c>
      <c r="H57" s="74"/>
      <c r="I57" s="74"/>
      <c r="J57" s="78" t="s">
        <v>14152</v>
      </c>
      <c r="K57" s="78" t="s">
        <v>14153</v>
      </c>
      <c r="L57" s="78" t="s">
        <v>14154</v>
      </c>
      <c r="M57" s="78" t="s">
        <v>14155</v>
      </c>
      <c r="N57" s="74"/>
      <c r="O57" s="74"/>
      <c r="P57" s="80">
        <v>96818</v>
      </c>
      <c r="Q57" s="78" t="s">
        <v>14156</v>
      </c>
      <c r="R57" s="74"/>
      <c r="S57" s="74"/>
      <c r="T57" s="78" t="s">
        <v>14157</v>
      </c>
      <c r="U57" s="74"/>
      <c r="V57" s="78" t="s">
        <v>14158</v>
      </c>
      <c r="W57" s="78" t="s">
        <v>2391</v>
      </c>
      <c r="X57" s="78" t="s">
        <v>2395</v>
      </c>
      <c r="Y57" s="78" t="s">
        <v>2397</v>
      </c>
      <c r="Z57" s="78" t="s">
        <v>2856</v>
      </c>
      <c r="AA57" s="78" t="s">
        <v>14156</v>
      </c>
      <c r="AB57" s="78" t="s">
        <v>14156</v>
      </c>
      <c r="AC57" s="79" t="s">
        <v>14498</v>
      </c>
      <c r="AD57" s="79" t="s">
        <v>14498</v>
      </c>
      <c r="AE57" s="78" t="s">
        <v>14160</v>
      </c>
      <c r="AF57" s="78" t="s">
        <v>14161</v>
      </c>
      <c r="AG57" s="78" t="s">
        <v>14162</v>
      </c>
      <c r="AH57" s="74"/>
      <c r="AI57" s="74"/>
      <c r="AJ57" s="74"/>
      <c r="AK57" s="74"/>
      <c r="AL57" s="74"/>
      <c r="AM57" s="78" t="s">
        <v>14163</v>
      </c>
      <c r="AN57" s="78" t="s">
        <v>14164</v>
      </c>
      <c r="AO57" s="78" t="s">
        <v>14165</v>
      </c>
      <c r="AP57" s="78" t="s">
        <v>14166</v>
      </c>
      <c r="AQ57" s="78" t="s">
        <v>14167</v>
      </c>
      <c r="AR57" s="78" t="s">
        <v>14168</v>
      </c>
      <c r="AS57" s="78" t="s">
        <v>14205</v>
      </c>
      <c r="AT57" s="78" t="s">
        <v>3124</v>
      </c>
      <c r="AU57" s="78" t="s">
        <v>14206</v>
      </c>
      <c r="AV57" s="78" t="s">
        <v>787</v>
      </c>
      <c r="AW57" s="78" t="s">
        <v>787</v>
      </c>
      <c r="AX57" s="78" t="s">
        <v>14511</v>
      </c>
      <c r="AY57" s="78" t="s">
        <v>14512</v>
      </c>
      <c r="AZ57" s="78" t="s">
        <v>14173</v>
      </c>
      <c r="BA57" s="78" t="s">
        <v>14206</v>
      </c>
      <c r="BB57" s="74"/>
      <c r="BC57" s="78" t="s">
        <v>14513</v>
      </c>
      <c r="BD57" s="78" t="s">
        <v>14163</v>
      </c>
      <c r="BE57" s="78" t="s">
        <v>14164</v>
      </c>
      <c r="BF57" s="81" t="s">
        <v>14514</v>
      </c>
      <c r="BG57" s="81" t="s">
        <v>14515</v>
      </c>
      <c r="BH57" s="81" t="s">
        <v>14516</v>
      </c>
      <c r="BI57" s="78" t="s">
        <v>14178</v>
      </c>
      <c r="BJ57" s="78" t="s">
        <v>14179</v>
      </c>
      <c r="BK57" s="78" t="s">
        <v>14517</v>
      </c>
      <c r="BL57" s="78" t="s">
        <v>14213</v>
      </c>
      <c r="BM57" s="78" t="s">
        <v>14518</v>
      </c>
      <c r="BN57" s="78" t="s">
        <v>14183</v>
      </c>
      <c r="BO57" s="78" t="s">
        <v>14184</v>
      </c>
      <c r="BP57" s="78" t="s">
        <v>14184</v>
      </c>
    </row>
    <row r="58" s="74" customFormat="1" ht="54" spans="65:68">
      <c r="BM58" s="78" t="s">
        <v>14519</v>
      </c>
      <c r="BN58" s="78" t="s">
        <v>14520</v>
      </c>
      <c r="BO58" s="78" t="s">
        <v>3816</v>
      </c>
      <c r="BP58" s="78" t="s">
        <v>3816</v>
      </c>
    </row>
    <row r="59" s="74" customFormat="1" ht="409.5" spans="1:68">
      <c r="A59" s="78" t="s">
        <v>14521</v>
      </c>
      <c r="B59" s="78" t="s">
        <v>2869</v>
      </c>
      <c r="C59" s="78" t="s">
        <v>14147</v>
      </c>
      <c r="D59" s="78" t="s">
        <v>14522</v>
      </c>
      <c r="E59" s="79" t="s">
        <v>14443</v>
      </c>
      <c r="F59" s="78" t="s">
        <v>14150</v>
      </c>
      <c r="G59" s="78" t="s">
        <v>14151</v>
      </c>
      <c r="H59" s="74"/>
      <c r="I59" s="74"/>
      <c r="J59" s="78" t="s">
        <v>14152</v>
      </c>
      <c r="K59" s="78" t="s">
        <v>14153</v>
      </c>
      <c r="L59" s="78" t="s">
        <v>14154</v>
      </c>
      <c r="M59" s="78" t="s">
        <v>14155</v>
      </c>
      <c r="N59" s="74"/>
      <c r="O59" s="74"/>
      <c r="P59" s="80">
        <v>9736.4</v>
      </c>
      <c r="Q59" s="78" t="s">
        <v>14156</v>
      </c>
      <c r="R59" s="74"/>
      <c r="S59" s="74"/>
      <c r="T59" s="78" t="s">
        <v>14157</v>
      </c>
      <c r="U59" s="74"/>
      <c r="V59" s="78" t="s">
        <v>14158</v>
      </c>
      <c r="W59" s="78" t="s">
        <v>2391</v>
      </c>
      <c r="X59" s="78" t="s">
        <v>2395</v>
      </c>
      <c r="Y59" s="78" t="s">
        <v>2397</v>
      </c>
      <c r="Z59" s="78" t="s">
        <v>2869</v>
      </c>
      <c r="AA59" s="78" t="s">
        <v>14156</v>
      </c>
      <c r="AB59" s="78" t="s">
        <v>14156</v>
      </c>
      <c r="AC59" s="79" t="s">
        <v>14523</v>
      </c>
      <c r="AD59" s="79" t="s">
        <v>14523</v>
      </c>
      <c r="AE59" s="78" t="s">
        <v>14160</v>
      </c>
      <c r="AF59" s="78" t="s">
        <v>14161</v>
      </c>
      <c r="AG59" s="78" t="s">
        <v>14162</v>
      </c>
      <c r="AH59" s="74"/>
      <c r="AI59" s="74"/>
      <c r="AJ59" s="74"/>
      <c r="AK59" s="74"/>
      <c r="AL59" s="74"/>
      <c r="AM59" s="78" t="s">
        <v>14163</v>
      </c>
      <c r="AN59" s="78" t="s">
        <v>14164</v>
      </c>
      <c r="AO59" s="78" t="s">
        <v>14165</v>
      </c>
      <c r="AP59" s="78" t="s">
        <v>14166</v>
      </c>
      <c r="AQ59" s="78" t="s">
        <v>14167</v>
      </c>
      <c r="AR59" s="78" t="s">
        <v>14168</v>
      </c>
      <c r="AS59" s="78" t="s">
        <v>14236</v>
      </c>
      <c r="AT59" s="78" t="s">
        <v>3510</v>
      </c>
      <c r="AU59" s="78" t="s">
        <v>14206</v>
      </c>
      <c r="AV59" s="78" t="s">
        <v>787</v>
      </c>
      <c r="AW59" s="78" t="s">
        <v>787</v>
      </c>
      <c r="AX59" s="78" t="s">
        <v>14524</v>
      </c>
      <c r="AY59" s="78" t="s">
        <v>14525</v>
      </c>
      <c r="AZ59" s="78" t="s">
        <v>14173</v>
      </c>
      <c r="BA59" s="78" t="s">
        <v>14206</v>
      </c>
      <c r="BB59" s="74"/>
      <c r="BC59" s="78" t="s">
        <v>14526</v>
      </c>
      <c r="BD59" s="78" t="s">
        <v>14163</v>
      </c>
      <c r="BE59" s="78" t="s">
        <v>14164</v>
      </c>
      <c r="BF59" s="81" t="s">
        <v>14527</v>
      </c>
      <c r="BG59" s="81" t="s">
        <v>14528</v>
      </c>
      <c r="BH59" s="81" t="s">
        <v>14529</v>
      </c>
      <c r="BI59" s="78" t="s">
        <v>14178</v>
      </c>
      <c r="BJ59" s="78" t="s">
        <v>14179</v>
      </c>
      <c r="BK59" s="78" t="s">
        <v>14530</v>
      </c>
      <c r="BL59" s="78" t="s">
        <v>14213</v>
      </c>
      <c r="BM59" s="78" t="s">
        <v>14531</v>
      </c>
      <c r="BN59" s="78" t="s">
        <v>14183</v>
      </c>
      <c r="BO59" s="78" t="s">
        <v>14184</v>
      </c>
      <c r="BP59" s="78" t="s">
        <v>14184</v>
      </c>
    </row>
    <row r="60" s="74" customFormat="1" ht="54" spans="65:68">
      <c r="BM60" s="78" t="s">
        <v>14532</v>
      </c>
      <c r="BN60" s="78" t="s">
        <v>14533</v>
      </c>
      <c r="BO60" s="78" t="s">
        <v>3951</v>
      </c>
      <c r="BP60" s="78" t="s">
        <v>3951</v>
      </c>
    </row>
    <row r="61" s="74" customFormat="1" ht="409.5" spans="1:68">
      <c r="A61" s="78" t="s">
        <v>14534</v>
      </c>
      <c r="B61" s="78" t="s">
        <v>2870</v>
      </c>
      <c r="C61" s="78" t="s">
        <v>14147</v>
      </c>
      <c r="D61" s="78" t="s">
        <v>14535</v>
      </c>
      <c r="E61" s="79" t="s">
        <v>14443</v>
      </c>
      <c r="F61" s="78" t="s">
        <v>14150</v>
      </c>
      <c r="G61" s="78" t="s">
        <v>14151</v>
      </c>
      <c r="H61" s="74"/>
      <c r="I61" s="74"/>
      <c r="J61" s="78" t="s">
        <v>14152</v>
      </c>
      <c r="K61" s="78" t="s">
        <v>14153</v>
      </c>
      <c r="L61" s="78" t="s">
        <v>14154</v>
      </c>
      <c r="M61" s="78" t="s">
        <v>14155</v>
      </c>
      <c r="N61" s="74"/>
      <c r="O61" s="74"/>
      <c r="P61" s="80">
        <v>77079</v>
      </c>
      <c r="Q61" s="78" t="s">
        <v>14156</v>
      </c>
      <c r="R61" s="74"/>
      <c r="S61" s="74"/>
      <c r="T61" s="78" t="s">
        <v>14157</v>
      </c>
      <c r="U61" s="74"/>
      <c r="V61" s="78" t="s">
        <v>14158</v>
      </c>
      <c r="W61" s="78" t="s">
        <v>2391</v>
      </c>
      <c r="X61" s="78" t="s">
        <v>2395</v>
      </c>
      <c r="Y61" s="78" t="s">
        <v>2397</v>
      </c>
      <c r="Z61" s="78" t="s">
        <v>2870</v>
      </c>
      <c r="AA61" s="78" t="s">
        <v>14156</v>
      </c>
      <c r="AB61" s="78" t="s">
        <v>14156</v>
      </c>
      <c r="AC61" s="79" t="s">
        <v>14523</v>
      </c>
      <c r="AD61" s="79" t="s">
        <v>14523</v>
      </c>
      <c r="AE61" s="78" t="s">
        <v>14160</v>
      </c>
      <c r="AF61" s="78" t="s">
        <v>14161</v>
      </c>
      <c r="AG61" s="78" t="s">
        <v>14162</v>
      </c>
      <c r="AH61" s="74"/>
      <c r="AI61" s="74"/>
      <c r="AJ61" s="74"/>
      <c r="AK61" s="74"/>
      <c r="AL61" s="74"/>
      <c r="AM61" s="78" t="s">
        <v>14163</v>
      </c>
      <c r="AN61" s="78" t="s">
        <v>14164</v>
      </c>
      <c r="AO61" s="78" t="s">
        <v>14165</v>
      </c>
      <c r="AP61" s="78" t="s">
        <v>14166</v>
      </c>
      <c r="AQ61" s="78" t="s">
        <v>14167</v>
      </c>
      <c r="AR61" s="78" t="s">
        <v>14168</v>
      </c>
      <c r="AS61" s="78" t="s">
        <v>14205</v>
      </c>
      <c r="AT61" s="78" t="s">
        <v>3124</v>
      </c>
      <c r="AU61" s="78" t="s">
        <v>14206</v>
      </c>
      <c r="AV61" s="78" t="s">
        <v>787</v>
      </c>
      <c r="AW61" s="78" t="s">
        <v>787</v>
      </c>
      <c r="AX61" s="78" t="s">
        <v>14536</v>
      </c>
      <c r="AY61" s="78" t="s">
        <v>14537</v>
      </c>
      <c r="AZ61" s="78" t="s">
        <v>14173</v>
      </c>
      <c r="BA61" s="78" t="s">
        <v>14206</v>
      </c>
      <c r="BB61" s="74"/>
      <c r="BC61" s="78" t="s">
        <v>14538</v>
      </c>
      <c r="BD61" s="78" t="s">
        <v>14163</v>
      </c>
      <c r="BE61" s="78" t="s">
        <v>14164</v>
      </c>
      <c r="BF61" s="81" t="s">
        <v>14539</v>
      </c>
      <c r="BG61" s="81" t="s">
        <v>14540</v>
      </c>
      <c r="BH61" s="81" t="s">
        <v>14541</v>
      </c>
      <c r="BI61" s="78" t="s">
        <v>14178</v>
      </c>
      <c r="BJ61" s="78" t="s">
        <v>14179</v>
      </c>
      <c r="BK61" s="78" t="s">
        <v>14542</v>
      </c>
      <c r="BL61" s="78" t="s">
        <v>14213</v>
      </c>
      <c r="BM61" s="78" t="s">
        <v>14543</v>
      </c>
      <c r="BN61" s="78" t="s">
        <v>14183</v>
      </c>
      <c r="BO61" s="78" t="s">
        <v>14184</v>
      </c>
      <c r="BP61" s="78" t="s">
        <v>14184</v>
      </c>
    </row>
    <row r="62" s="74" customFormat="1" ht="40.5" spans="65:68">
      <c r="BM62" s="78" t="s">
        <v>14544</v>
      </c>
      <c r="BN62" s="78" t="s">
        <v>14545</v>
      </c>
      <c r="BO62" s="78" t="s">
        <v>4138</v>
      </c>
      <c r="BP62" s="78" t="s">
        <v>4138</v>
      </c>
    </row>
    <row r="63" s="74" customFormat="1" ht="409.5" spans="1:68">
      <c r="A63" s="78" t="s">
        <v>14546</v>
      </c>
      <c r="B63" s="78" t="s">
        <v>14547</v>
      </c>
      <c r="C63" s="78" t="s">
        <v>14189</v>
      </c>
      <c r="D63" s="78" t="s">
        <v>14522</v>
      </c>
      <c r="E63" s="79" t="s">
        <v>14443</v>
      </c>
      <c r="F63" s="78" t="s">
        <v>14150</v>
      </c>
      <c r="G63" s="78" t="s">
        <v>14151</v>
      </c>
      <c r="H63" s="74"/>
      <c r="I63" s="74"/>
      <c r="J63" s="78" t="s">
        <v>14152</v>
      </c>
      <c r="K63" s="78" t="s">
        <v>14153</v>
      </c>
      <c r="L63" s="78" t="s">
        <v>14154</v>
      </c>
      <c r="M63" s="78" t="s">
        <v>14155</v>
      </c>
      <c r="N63" s="74"/>
      <c r="O63" s="74"/>
      <c r="P63" s="80">
        <v>9736.4</v>
      </c>
      <c r="Q63" s="78" t="s">
        <v>14156</v>
      </c>
      <c r="R63" s="74"/>
      <c r="S63" s="74"/>
      <c r="T63" s="78" t="s">
        <v>14157</v>
      </c>
      <c r="U63" s="74"/>
      <c r="V63" s="78" t="s">
        <v>14158</v>
      </c>
      <c r="W63" s="78" t="s">
        <v>2391</v>
      </c>
      <c r="X63" s="78" t="s">
        <v>2395</v>
      </c>
      <c r="Y63" s="78" t="s">
        <v>2397</v>
      </c>
      <c r="Z63" s="78" t="s">
        <v>14547</v>
      </c>
      <c r="AA63" s="78" t="s">
        <v>14156</v>
      </c>
      <c r="AB63" s="78" t="s">
        <v>14156</v>
      </c>
      <c r="AC63" s="79" t="s">
        <v>14548</v>
      </c>
      <c r="AD63" s="79" t="s">
        <v>14548</v>
      </c>
      <c r="AE63" s="78" t="s">
        <v>14160</v>
      </c>
      <c r="AF63" s="78" t="s">
        <v>14161</v>
      </c>
      <c r="AG63" s="78" t="s">
        <v>14162</v>
      </c>
      <c r="AH63" s="74"/>
      <c r="AI63" s="74"/>
      <c r="AJ63" s="74"/>
      <c r="AK63" s="74"/>
      <c r="AL63" s="74"/>
      <c r="AM63" s="78" t="s">
        <v>14163</v>
      </c>
      <c r="AN63" s="78" t="s">
        <v>14164</v>
      </c>
      <c r="AO63" s="78" t="s">
        <v>14192</v>
      </c>
      <c r="AP63" s="78" t="s">
        <v>14166</v>
      </c>
      <c r="AQ63" s="78" t="s">
        <v>14193</v>
      </c>
      <c r="AR63" s="78" t="s">
        <v>14194</v>
      </c>
      <c r="AS63" s="78" t="s">
        <v>14236</v>
      </c>
      <c r="AT63" s="78" t="s">
        <v>3510</v>
      </c>
      <c r="AU63" s="78" t="s">
        <v>14206</v>
      </c>
      <c r="AV63" s="78" t="s">
        <v>787</v>
      </c>
      <c r="AW63" s="78" t="s">
        <v>787</v>
      </c>
      <c r="AX63" s="78" t="s">
        <v>14549</v>
      </c>
      <c r="AY63" s="78" t="s">
        <v>14550</v>
      </c>
      <c r="AZ63" s="78" t="s">
        <v>14173</v>
      </c>
      <c r="BA63" s="78" t="s">
        <v>14206</v>
      </c>
      <c r="BB63" s="74"/>
      <c r="BC63" s="78" t="s">
        <v>14526</v>
      </c>
      <c r="BD63" s="78" t="s">
        <v>14551</v>
      </c>
      <c r="BE63" s="78" t="s">
        <v>14552</v>
      </c>
      <c r="BF63" s="74"/>
      <c r="BG63" s="81" t="s">
        <v>14553</v>
      </c>
      <c r="BH63" s="81" t="s">
        <v>14554</v>
      </c>
      <c r="BI63" s="74"/>
      <c r="BJ63" s="74"/>
      <c r="BK63" s="78" t="s">
        <v>14555</v>
      </c>
      <c r="BL63" s="78" t="s">
        <v>14213</v>
      </c>
      <c r="BM63" s="78" t="s">
        <v>14556</v>
      </c>
      <c r="BN63" s="78" t="s">
        <v>14183</v>
      </c>
      <c r="BO63" s="78" t="s">
        <v>14184</v>
      </c>
      <c r="BP63" s="78" t="s">
        <v>14184</v>
      </c>
    </row>
    <row r="64" s="74" customFormat="1" ht="54" spans="65:68">
      <c r="BM64" s="78" t="s">
        <v>14557</v>
      </c>
      <c r="BN64" s="78" t="s">
        <v>14533</v>
      </c>
      <c r="BO64" s="78" t="s">
        <v>3951</v>
      </c>
      <c r="BP64" s="78" t="s">
        <v>3951</v>
      </c>
    </row>
    <row r="65" s="74" customFormat="1" ht="409.5" spans="1:68">
      <c r="A65" s="78" t="s">
        <v>14558</v>
      </c>
      <c r="B65" s="78" t="s">
        <v>2871</v>
      </c>
      <c r="C65" s="78" t="s">
        <v>14147</v>
      </c>
      <c r="D65" s="78" t="s">
        <v>14559</v>
      </c>
      <c r="E65" s="79" t="s">
        <v>14560</v>
      </c>
      <c r="F65" s="78" t="s">
        <v>14150</v>
      </c>
      <c r="G65" s="78" t="s">
        <v>14151</v>
      </c>
      <c r="H65" s="74"/>
      <c r="I65" s="74"/>
      <c r="J65" s="78" t="s">
        <v>14152</v>
      </c>
      <c r="K65" s="78" t="s">
        <v>14153</v>
      </c>
      <c r="L65" s="78" t="s">
        <v>14154</v>
      </c>
      <c r="M65" s="78" t="s">
        <v>14155</v>
      </c>
      <c r="N65" s="74"/>
      <c r="O65" s="74"/>
      <c r="P65" s="80">
        <v>88949.87</v>
      </c>
      <c r="Q65" s="78" t="s">
        <v>14156</v>
      </c>
      <c r="R65" s="74"/>
      <c r="S65" s="74"/>
      <c r="T65" s="78" t="s">
        <v>14157</v>
      </c>
      <c r="U65" s="74"/>
      <c r="V65" s="78" t="s">
        <v>14158</v>
      </c>
      <c r="W65" s="78" t="s">
        <v>2391</v>
      </c>
      <c r="X65" s="78" t="s">
        <v>2395</v>
      </c>
      <c r="Y65" s="78" t="s">
        <v>2397</v>
      </c>
      <c r="Z65" s="78" t="s">
        <v>2871</v>
      </c>
      <c r="AA65" s="78" t="s">
        <v>14156</v>
      </c>
      <c r="AB65" s="78" t="s">
        <v>14156</v>
      </c>
      <c r="AC65" s="79" t="s">
        <v>14523</v>
      </c>
      <c r="AD65" s="79" t="s">
        <v>14523</v>
      </c>
      <c r="AE65" s="78" t="s">
        <v>14160</v>
      </c>
      <c r="AF65" s="78" t="s">
        <v>14161</v>
      </c>
      <c r="AG65" s="78" t="s">
        <v>14162</v>
      </c>
      <c r="AH65" s="74"/>
      <c r="AI65" s="74"/>
      <c r="AJ65" s="74"/>
      <c r="AK65" s="74"/>
      <c r="AL65" s="74"/>
      <c r="AM65" s="78" t="s">
        <v>14163</v>
      </c>
      <c r="AN65" s="78" t="s">
        <v>14164</v>
      </c>
      <c r="AO65" s="78" t="s">
        <v>14165</v>
      </c>
      <c r="AP65" s="78" t="s">
        <v>14166</v>
      </c>
      <c r="AQ65" s="78" t="s">
        <v>14167</v>
      </c>
      <c r="AR65" s="78" t="s">
        <v>14168</v>
      </c>
      <c r="AS65" s="78" t="s">
        <v>14205</v>
      </c>
      <c r="AT65" s="78" t="s">
        <v>3124</v>
      </c>
      <c r="AU65" s="78" t="s">
        <v>14206</v>
      </c>
      <c r="AV65" s="78" t="s">
        <v>787</v>
      </c>
      <c r="AW65" s="78" t="s">
        <v>787</v>
      </c>
      <c r="AX65" s="78" t="s">
        <v>14561</v>
      </c>
      <c r="AY65" s="78" t="s">
        <v>14562</v>
      </c>
      <c r="AZ65" s="78" t="s">
        <v>14173</v>
      </c>
      <c r="BA65" s="78" t="s">
        <v>14206</v>
      </c>
      <c r="BB65" s="74"/>
      <c r="BC65" s="78" t="s">
        <v>14563</v>
      </c>
      <c r="BD65" s="78" t="s">
        <v>14163</v>
      </c>
      <c r="BE65" s="78" t="s">
        <v>14164</v>
      </c>
      <c r="BF65" s="81" t="s">
        <v>14564</v>
      </c>
      <c r="BG65" s="81" t="s">
        <v>14565</v>
      </c>
      <c r="BH65" s="81" t="s">
        <v>14566</v>
      </c>
      <c r="BI65" s="78" t="s">
        <v>14178</v>
      </c>
      <c r="BJ65" s="78" t="s">
        <v>14179</v>
      </c>
      <c r="BK65" s="78" t="s">
        <v>14567</v>
      </c>
      <c r="BL65" s="78" t="s">
        <v>14213</v>
      </c>
      <c r="BM65" s="78" t="s">
        <v>14568</v>
      </c>
      <c r="BN65" s="78" t="s">
        <v>14183</v>
      </c>
      <c r="BO65" s="78" t="s">
        <v>14184</v>
      </c>
      <c r="BP65" s="78" t="s">
        <v>14184</v>
      </c>
    </row>
    <row r="66" s="74" customFormat="1" ht="54" spans="65:68">
      <c r="BM66" s="78" t="s">
        <v>14569</v>
      </c>
      <c r="BN66" s="78" t="s">
        <v>14570</v>
      </c>
      <c r="BO66" s="78" t="s">
        <v>3307</v>
      </c>
      <c r="BP66" s="78" t="s">
        <v>3307</v>
      </c>
    </row>
    <row r="67" s="74" customFormat="1" ht="409.5" spans="1:68">
      <c r="A67" s="78" t="s">
        <v>14571</v>
      </c>
      <c r="B67" s="78" t="s">
        <v>2872</v>
      </c>
      <c r="C67" s="78" t="s">
        <v>14147</v>
      </c>
      <c r="D67" s="78" t="s">
        <v>14572</v>
      </c>
      <c r="E67" s="79" t="s">
        <v>14573</v>
      </c>
      <c r="F67" s="78" t="s">
        <v>14150</v>
      </c>
      <c r="G67" s="78" t="s">
        <v>14151</v>
      </c>
      <c r="H67" s="74"/>
      <c r="I67" s="74"/>
      <c r="J67" s="78" t="s">
        <v>14152</v>
      </c>
      <c r="K67" s="78" t="s">
        <v>14153</v>
      </c>
      <c r="L67" s="78" t="s">
        <v>14154</v>
      </c>
      <c r="M67" s="78" t="s">
        <v>14155</v>
      </c>
      <c r="N67" s="74"/>
      <c r="O67" s="74"/>
      <c r="P67" s="80">
        <v>119800</v>
      </c>
      <c r="Q67" s="78" t="s">
        <v>14156</v>
      </c>
      <c r="R67" s="74"/>
      <c r="S67" s="74"/>
      <c r="T67" s="78" t="s">
        <v>14157</v>
      </c>
      <c r="U67" s="74"/>
      <c r="V67" s="78" t="s">
        <v>14158</v>
      </c>
      <c r="W67" s="78" t="s">
        <v>2391</v>
      </c>
      <c r="X67" s="78" t="s">
        <v>2395</v>
      </c>
      <c r="Y67" s="78" t="s">
        <v>2397</v>
      </c>
      <c r="Z67" s="78" t="s">
        <v>2872</v>
      </c>
      <c r="AA67" s="78" t="s">
        <v>14156</v>
      </c>
      <c r="AB67" s="78" t="s">
        <v>14156</v>
      </c>
      <c r="AC67" s="79" t="s">
        <v>14523</v>
      </c>
      <c r="AD67" s="79" t="s">
        <v>14523</v>
      </c>
      <c r="AE67" s="78" t="s">
        <v>14160</v>
      </c>
      <c r="AF67" s="78" t="s">
        <v>14161</v>
      </c>
      <c r="AG67" s="78" t="s">
        <v>14162</v>
      </c>
      <c r="AH67" s="74"/>
      <c r="AI67" s="74"/>
      <c r="AJ67" s="74"/>
      <c r="AK67" s="74"/>
      <c r="AL67" s="74"/>
      <c r="AM67" s="78" t="s">
        <v>14163</v>
      </c>
      <c r="AN67" s="78" t="s">
        <v>14164</v>
      </c>
      <c r="AO67" s="78" t="s">
        <v>14165</v>
      </c>
      <c r="AP67" s="78" t="s">
        <v>14410</v>
      </c>
      <c r="AQ67" s="78" t="s">
        <v>14167</v>
      </c>
      <c r="AR67" s="78" t="s">
        <v>14168</v>
      </c>
      <c r="AS67" s="78" t="s">
        <v>14169</v>
      </c>
      <c r="AT67" s="78" t="s">
        <v>2918</v>
      </c>
      <c r="AU67" s="78" t="s">
        <v>14170</v>
      </c>
      <c r="AV67" s="78" t="s">
        <v>787</v>
      </c>
      <c r="AW67" s="78" t="s">
        <v>787</v>
      </c>
      <c r="AX67" s="78" t="s">
        <v>14574</v>
      </c>
      <c r="AY67" s="78" t="s">
        <v>14575</v>
      </c>
      <c r="AZ67" s="78" t="s">
        <v>14173</v>
      </c>
      <c r="BA67" s="78" t="s">
        <v>14170</v>
      </c>
      <c r="BB67" s="74"/>
      <c r="BC67" s="78" t="s">
        <v>14576</v>
      </c>
      <c r="BD67" s="78" t="s">
        <v>14551</v>
      </c>
      <c r="BE67" s="78" t="s">
        <v>14552</v>
      </c>
      <c r="BF67" s="81" t="s">
        <v>14577</v>
      </c>
      <c r="BG67" s="81" t="s">
        <v>14578</v>
      </c>
      <c r="BH67" s="81" t="s">
        <v>14579</v>
      </c>
      <c r="BI67" s="78" t="s">
        <v>14178</v>
      </c>
      <c r="BJ67" s="78" t="s">
        <v>14179</v>
      </c>
      <c r="BK67" s="78" t="s">
        <v>14580</v>
      </c>
      <c r="BL67" s="78" t="s">
        <v>14181</v>
      </c>
      <c r="BM67" s="78" t="s">
        <v>14581</v>
      </c>
      <c r="BN67" s="78" t="s">
        <v>14183</v>
      </c>
      <c r="BO67" s="78" t="s">
        <v>14184</v>
      </c>
      <c r="BP67" s="78" t="s">
        <v>14184</v>
      </c>
    </row>
    <row r="68" s="74" customFormat="1" ht="40.5" spans="65:68">
      <c r="BM68" s="78" t="s">
        <v>14582</v>
      </c>
      <c r="BN68" s="78" t="s">
        <v>14583</v>
      </c>
      <c r="BO68" s="78" t="s">
        <v>3947</v>
      </c>
      <c r="BP68" s="78" t="s">
        <v>3947</v>
      </c>
    </row>
    <row r="69" s="74" customFormat="1" ht="409.5" spans="1:68">
      <c r="A69" s="78" t="s">
        <v>14584</v>
      </c>
      <c r="B69" s="78" t="s">
        <v>14585</v>
      </c>
      <c r="C69" s="78" t="s">
        <v>14189</v>
      </c>
      <c r="D69" s="78" t="s">
        <v>14559</v>
      </c>
      <c r="E69" s="79" t="s">
        <v>14560</v>
      </c>
      <c r="F69" s="78" t="s">
        <v>14150</v>
      </c>
      <c r="G69" s="78" t="s">
        <v>14151</v>
      </c>
      <c r="H69" s="74"/>
      <c r="I69" s="74"/>
      <c r="J69" s="78" t="s">
        <v>14152</v>
      </c>
      <c r="K69" s="78" t="s">
        <v>14153</v>
      </c>
      <c r="L69" s="78" t="s">
        <v>14154</v>
      </c>
      <c r="M69" s="78" t="s">
        <v>14155</v>
      </c>
      <c r="N69" s="74"/>
      <c r="O69" s="74"/>
      <c r="P69" s="80">
        <v>88949.87</v>
      </c>
      <c r="Q69" s="78" t="s">
        <v>14156</v>
      </c>
      <c r="R69" s="74"/>
      <c r="S69" s="74"/>
      <c r="T69" s="78" t="s">
        <v>14157</v>
      </c>
      <c r="U69" s="74"/>
      <c r="V69" s="78" t="s">
        <v>14158</v>
      </c>
      <c r="W69" s="78" t="s">
        <v>2391</v>
      </c>
      <c r="X69" s="78" t="s">
        <v>2395</v>
      </c>
      <c r="Y69" s="78" t="s">
        <v>2397</v>
      </c>
      <c r="Z69" s="78" t="s">
        <v>14585</v>
      </c>
      <c r="AA69" s="78" t="s">
        <v>14156</v>
      </c>
      <c r="AB69" s="78" t="s">
        <v>14156</v>
      </c>
      <c r="AC69" s="79" t="s">
        <v>14523</v>
      </c>
      <c r="AD69" s="79" t="s">
        <v>14523</v>
      </c>
      <c r="AE69" s="78" t="s">
        <v>14160</v>
      </c>
      <c r="AF69" s="78" t="s">
        <v>14161</v>
      </c>
      <c r="AG69" s="78" t="s">
        <v>14162</v>
      </c>
      <c r="AH69" s="74"/>
      <c r="AI69" s="74"/>
      <c r="AJ69" s="74"/>
      <c r="AK69" s="74"/>
      <c r="AL69" s="74"/>
      <c r="AM69" s="78" t="s">
        <v>14163</v>
      </c>
      <c r="AN69" s="78" t="s">
        <v>14164</v>
      </c>
      <c r="AO69" s="78" t="s">
        <v>14192</v>
      </c>
      <c r="AP69" s="78" t="s">
        <v>14166</v>
      </c>
      <c r="AQ69" s="78" t="s">
        <v>14193</v>
      </c>
      <c r="AR69" s="78" t="s">
        <v>14194</v>
      </c>
      <c r="AS69" s="78" t="s">
        <v>14205</v>
      </c>
      <c r="AT69" s="78" t="s">
        <v>3124</v>
      </c>
      <c r="AU69" s="78" t="s">
        <v>14206</v>
      </c>
      <c r="AV69" s="78" t="s">
        <v>787</v>
      </c>
      <c r="AW69" s="78" t="s">
        <v>787</v>
      </c>
      <c r="AX69" s="78" t="s">
        <v>14586</v>
      </c>
      <c r="AY69" s="78" t="s">
        <v>14587</v>
      </c>
      <c r="AZ69" s="78" t="s">
        <v>14173</v>
      </c>
      <c r="BA69" s="78" t="s">
        <v>14206</v>
      </c>
      <c r="BB69" s="74"/>
      <c r="BC69" s="78" t="s">
        <v>14563</v>
      </c>
      <c r="BD69" s="78" t="s">
        <v>14551</v>
      </c>
      <c r="BE69" s="78" t="s">
        <v>14552</v>
      </c>
      <c r="BF69" s="74"/>
      <c r="BG69" s="81" t="s">
        <v>14588</v>
      </c>
      <c r="BH69" s="81" t="s">
        <v>14589</v>
      </c>
      <c r="BI69" s="74"/>
      <c r="BJ69" s="74"/>
      <c r="BK69" s="78" t="s">
        <v>14590</v>
      </c>
      <c r="BL69" s="78" t="s">
        <v>14213</v>
      </c>
      <c r="BM69" s="78" t="s">
        <v>14591</v>
      </c>
      <c r="BN69" s="78" t="s">
        <v>14183</v>
      </c>
      <c r="BO69" s="78" t="s">
        <v>14184</v>
      </c>
      <c r="BP69" s="78" t="s">
        <v>14184</v>
      </c>
    </row>
    <row r="70" s="74" customFormat="1" ht="54" spans="65:68">
      <c r="BM70" s="78" t="s">
        <v>14592</v>
      </c>
      <c r="BN70" s="78" t="s">
        <v>14570</v>
      </c>
      <c r="BO70" s="78" t="s">
        <v>3307</v>
      </c>
      <c r="BP70" s="78" t="s">
        <v>3307</v>
      </c>
    </row>
    <row r="71" s="74" customFormat="1" ht="409.5" spans="1:68">
      <c r="A71" s="78" t="s">
        <v>14593</v>
      </c>
      <c r="B71" s="78" t="s">
        <v>14594</v>
      </c>
      <c r="C71" s="78" t="s">
        <v>14189</v>
      </c>
      <c r="D71" s="78" t="s">
        <v>14559</v>
      </c>
      <c r="E71" s="79" t="s">
        <v>14443</v>
      </c>
      <c r="F71" s="78" t="s">
        <v>14150</v>
      </c>
      <c r="G71" s="78" t="s">
        <v>14151</v>
      </c>
      <c r="H71" s="74"/>
      <c r="I71" s="74"/>
      <c r="J71" s="78" t="s">
        <v>14152</v>
      </c>
      <c r="K71" s="78" t="s">
        <v>14153</v>
      </c>
      <c r="L71" s="78" t="s">
        <v>14154</v>
      </c>
      <c r="M71" s="78" t="s">
        <v>14155</v>
      </c>
      <c r="N71" s="74"/>
      <c r="O71" s="74"/>
      <c r="P71" s="80">
        <v>88949.87</v>
      </c>
      <c r="Q71" s="78" t="s">
        <v>14156</v>
      </c>
      <c r="R71" s="74"/>
      <c r="S71" s="74"/>
      <c r="T71" s="78" t="s">
        <v>14157</v>
      </c>
      <c r="U71" s="74"/>
      <c r="V71" s="78" t="s">
        <v>14158</v>
      </c>
      <c r="W71" s="78" t="s">
        <v>2391</v>
      </c>
      <c r="X71" s="78" t="s">
        <v>2395</v>
      </c>
      <c r="Y71" s="78" t="s">
        <v>2397</v>
      </c>
      <c r="Z71" s="78" t="s">
        <v>14594</v>
      </c>
      <c r="AA71" s="78" t="s">
        <v>14156</v>
      </c>
      <c r="AB71" s="78" t="s">
        <v>14156</v>
      </c>
      <c r="AC71" s="79" t="s">
        <v>14595</v>
      </c>
      <c r="AD71" s="79" t="s">
        <v>14595</v>
      </c>
      <c r="AE71" s="78" t="s">
        <v>14160</v>
      </c>
      <c r="AF71" s="78" t="s">
        <v>14161</v>
      </c>
      <c r="AG71" s="78" t="s">
        <v>14162</v>
      </c>
      <c r="AH71" s="74"/>
      <c r="AI71" s="74"/>
      <c r="AJ71" s="74"/>
      <c r="AK71" s="74"/>
      <c r="AL71" s="74"/>
      <c r="AM71" s="78" t="s">
        <v>14163</v>
      </c>
      <c r="AN71" s="78" t="s">
        <v>14164</v>
      </c>
      <c r="AO71" s="78" t="s">
        <v>14192</v>
      </c>
      <c r="AP71" s="78" t="s">
        <v>14166</v>
      </c>
      <c r="AQ71" s="78" t="s">
        <v>14193</v>
      </c>
      <c r="AR71" s="78" t="s">
        <v>14194</v>
      </c>
      <c r="AS71" s="78" t="s">
        <v>14205</v>
      </c>
      <c r="AT71" s="78" t="s">
        <v>3124</v>
      </c>
      <c r="AU71" s="78" t="s">
        <v>14206</v>
      </c>
      <c r="AV71" s="78" t="s">
        <v>787</v>
      </c>
      <c r="AW71" s="78" t="s">
        <v>787</v>
      </c>
      <c r="AX71" s="78" t="s">
        <v>14596</v>
      </c>
      <c r="AY71" s="78" t="s">
        <v>14597</v>
      </c>
      <c r="AZ71" s="78" t="s">
        <v>14173</v>
      </c>
      <c r="BA71" s="78" t="s">
        <v>14206</v>
      </c>
      <c r="BB71" s="74"/>
      <c r="BC71" s="78" t="s">
        <v>14563</v>
      </c>
      <c r="BD71" s="78" t="s">
        <v>14551</v>
      </c>
      <c r="BE71" s="78" t="s">
        <v>14552</v>
      </c>
      <c r="BF71" s="74"/>
      <c r="BG71" s="81" t="s">
        <v>14598</v>
      </c>
      <c r="BH71" s="81" t="s">
        <v>14599</v>
      </c>
      <c r="BI71" s="74"/>
      <c r="BJ71" s="74"/>
      <c r="BK71" s="78" t="s">
        <v>14600</v>
      </c>
      <c r="BL71" s="78" t="s">
        <v>14213</v>
      </c>
      <c r="BM71" s="78" t="s">
        <v>14601</v>
      </c>
      <c r="BN71" s="78" t="s">
        <v>14183</v>
      </c>
      <c r="BO71" s="78" t="s">
        <v>14184</v>
      </c>
      <c r="BP71" s="78" t="s">
        <v>14184</v>
      </c>
    </row>
    <row r="72" s="74" customFormat="1" ht="54" spans="65:68">
      <c r="BM72" s="78" t="s">
        <v>14602</v>
      </c>
      <c r="BN72" s="78" t="s">
        <v>14570</v>
      </c>
      <c r="BO72" s="78" t="s">
        <v>3307</v>
      </c>
      <c r="BP72" s="78" t="s">
        <v>3307</v>
      </c>
    </row>
    <row r="73" s="74" customFormat="1" ht="409.5" spans="1:68">
      <c r="A73" s="78" t="s">
        <v>14603</v>
      </c>
      <c r="B73" s="78" t="s">
        <v>2865</v>
      </c>
      <c r="C73" s="78" t="s">
        <v>14147</v>
      </c>
      <c r="D73" s="78" t="s">
        <v>14604</v>
      </c>
      <c r="E73" s="79" t="s">
        <v>14443</v>
      </c>
      <c r="F73" s="78" t="s">
        <v>14150</v>
      </c>
      <c r="G73" s="78" t="s">
        <v>14151</v>
      </c>
      <c r="H73" s="74"/>
      <c r="I73" s="74"/>
      <c r="J73" s="78" t="s">
        <v>14152</v>
      </c>
      <c r="K73" s="78" t="s">
        <v>14153</v>
      </c>
      <c r="L73" s="78" t="s">
        <v>14154</v>
      </c>
      <c r="M73" s="78" t="s">
        <v>14155</v>
      </c>
      <c r="N73" s="74"/>
      <c r="O73" s="74"/>
      <c r="P73" s="80">
        <v>8906.83</v>
      </c>
      <c r="Q73" s="78" t="s">
        <v>14156</v>
      </c>
      <c r="R73" s="74"/>
      <c r="S73" s="74"/>
      <c r="T73" s="78" t="s">
        <v>14157</v>
      </c>
      <c r="U73" s="74"/>
      <c r="V73" s="78" t="s">
        <v>14158</v>
      </c>
      <c r="W73" s="78" t="s">
        <v>2391</v>
      </c>
      <c r="X73" s="78" t="s">
        <v>2395</v>
      </c>
      <c r="Y73" s="78" t="s">
        <v>2397</v>
      </c>
      <c r="Z73" s="78" t="s">
        <v>2865</v>
      </c>
      <c r="AA73" s="78" t="s">
        <v>14156</v>
      </c>
      <c r="AB73" s="78" t="s">
        <v>14156</v>
      </c>
      <c r="AC73" s="79" t="s">
        <v>14605</v>
      </c>
      <c r="AD73" s="79" t="s">
        <v>14605</v>
      </c>
      <c r="AE73" s="78" t="s">
        <v>14252</v>
      </c>
      <c r="AF73" s="78" t="s">
        <v>14253</v>
      </c>
      <c r="AG73" s="78" t="s">
        <v>14162</v>
      </c>
      <c r="AH73" s="74"/>
      <c r="AI73" s="74"/>
      <c r="AJ73" s="74"/>
      <c r="AK73" s="74"/>
      <c r="AL73" s="74"/>
      <c r="AM73" s="78" t="s">
        <v>14163</v>
      </c>
      <c r="AN73" s="78" t="s">
        <v>14164</v>
      </c>
      <c r="AO73" s="78" t="s">
        <v>14165</v>
      </c>
      <c r="AP73" s="78" t="s">
        <v>14166</v>
      </c>
      <c r="AQ73" s="78" t="s">
        <v>14167</v>
      </c>
      <c r="AR73" s="78" t="s">
        <v>14168</v>
      </c>
      <c r="AS73" s="78" t="s">
        <v>14236</v>
      </c>
      <c r="AT73" s="78" t="s">
        <v>3510</v>
      </c>
      <c r="AU73" s="78" t="s">
        <v>14206</v>
      </c>
      <c r="AV73" s="78" t="s">
        <v>787</v>
      </c>
      <c r="AW73" s="78" t="s">
        <v>787</v>
      </c>
      <c r="AX73" s="78" t="s">
        <v>14606</v>
      </c>
      <c r="AY73" s="78" t="s">
        <v>14607</v>
      </c>
      <c r="AZ73" s="78" t="s">
        <v>14173</v>
      </c>
      <c r="BA73" s="78" t="s">
        <v>14206</v>
      </c>
      <c r="BB73" s="74"/>
      <c r="BC73" s="78" t="s">
        <v>14608</v>
      </c>
      <c r="BD73" s="78" t="s">
        <v>14163</v>
      </c>
      <c r="BE73" s="78" t="s">
        <v>14164</v>
      </c>
      <c r="BF73" s="81" t="s">
        <v>14609</v>
      </c>
      <c r="BG73" s="81" t="s">
        <v>14610</v>
      </c>
      <c r="BH73" s="81" t="s">
        <v>14611</v>
      </c>
      <c r="BI73" s="78" t="s">
        <v>14178</v>
      </c>
      <c r="BJ73" s="78" t="s">
        <v>14179</v>
      </c>
      <c r="BK73" s="78" t="s">
        <v>14612</v>
      </c>
      <c r="BL73" s="78" t="s">
        <v>14213</v>
      </c>
      <c r="BM73" s="78" t="s">
        <v>14613</v>
      </c>
      <c r="BN73" s="78" t="s">
        <v>14183</v>
      </c>
      <c r="BO73" s="78" t="s">
        <v>14184</v>
      </c>
      <c r="BP73" s="78" t="s">
        <v>14184</v>
      </c>
    </row>
    <row r="74" s="74" customFormat="1" ht="67.5" spans="65:68">
      <c r="BM74" s="78" t="s">
        <v>14614</v>
      </c>
      <c r="BN74" s="78" t="s">
        <v>14615</v>
      </c>
      <c r="BO74" s="78" t="s">
        <v>7463</v>
      </c>
      <c r="BP74" s="78" t="s">
        <v>7463</v>
      </c>
    </row>
    <row r="75" s="74" customFormat="1" ht="409.5" spans="1:68">
      <c r="A75" s="78" t="s">
        <v>14616</v>
      </c>
      <c r="B75" s="78" t="s">
        <v>14617</v>
      </c>
      <c r="C75" s="78" t="s">
        <v>14189</v>
      </c>
      <c r="D75" s="78" t="s">
        <v>14604</v>
      </c>
      <c r="E75" s="79" t="s">
        <v>14443</v>
      </c>
      <c r="F75" s="78" t="s">
        <v>14150</v>
      </c>
      <c r="G75" s="78" t="s">
        <v>14151</v>
      </c>
      <c r="H75" s="74"/>
      <c r="I75" s="74"/>
      <c r="J75" s="78" t="s">
        <v>14152</v>
      </c>
      <c r="K75" s="78" t="s">
        <v>14153</v>
      </c>
      <c r="L75" s="78" t="s">
        <v>14154</v>
      </c>
      <c r="M75" s="78" t="s">
        <v>14155</v>
      </c>
      <c r="N75" s="74"/>
      <c r="O75" s="74"/>
      <c r="P75" s="80">
        <v>8906.83</v>
      </c>
      <c r="Q75" s="78" t="s">
        <v>14156</v>
      </c>
      <c r="R75" s="74"/>
      <c r="S75" s="74"/>
      <c r="T75" s="78" t="s">
        <v>14157</v>
      </c>
      <c r="U75" s="74"/>
      <c r="V75" s="78" t="s">
        <v>14158</v>
      </c>
      <c r="W75" s="78" t="s">
        <v>2391</v>
      </c>
      <c r="X75" s="78" t="s">
        <v>2395</v>
      </c>
      <c r="Y75" s="78" t="s">
        <v>2397</v>
      </c>
      <c r="Z75" s="78" t="s">
        <v>14617</v>
      </c>
      <c r="AA75" s="78" t="s">
        <v>14156</v>
      </c>
      <c r="AB75" s="78" t="s">
        <v>14156</v>
      </c>
      <c r="AC75" s="79" t="s">
        <v>14605</v>
      </c>
      <c r="AD75" s="79" t="s">
        <v>14605</v>
      </c>
      <c r="AE75" s="78" t="s">
        <v>14252</v>
      </c>
      <c r="AF75" s="78" t="s">
        <v>14253</v>
      </c>
      <c r="AG75" s="78" t="s">
        <v>14162</v>
      </c>
      <c r="AH75" s="74"/>
      <c r="AI75" s="74"/>
      <c r="AJ75" s="74"/>
      <c r="AK75" s="74"/>
      <c r="AL75" s="74"/>
      <c r="AM75" s="78" t="s">
        <v>14163</v>
      </c>
      <c r="AN75" s="78" t="s">
        <v>14164</v>
      </c>
      <c r="AO75" s="78" t="s">
        <v>14192</v>
      </c>
      <c r="AP75" s="78" t="s">
        <v>14166</v>
      </c>
      <c r="AQ75" s="78" t="s">
        <v>14193</v>
      </c>
      <c r="AR75" s="78" t="s">
        <v>14194</v>
      </c>
      <c r="AS75" s="78" t="s">
        <v>14236</v>
      </c>
      <c r="AT75" s="78" t="s">
        <v>3510</v>
      </c>
      <c r="AU75" s="78" t="s">
        <v>14206</v>
      </c>
      <c r="AV75" s="78" t="s">
        <v>787</v>
      </c>
      <c r="AW75" s="78" t="s">
        <v>787</v>
      </c>
      <c r="AX75" s="78" t="s">
        <v>14618</v>
      </c>
      <c r="AY75" s="78" t="s">
        <v>14619</v>
      </c>
      <c r="AZ75" s="78" t="s">
        <v>14173</v>
      </c>
      <c r="BA75" s="78" t="s">
        <v>14206</v>
      </c>
      <c r="BB75" s="74"/>
      <c r="BC75" s="78" t="s">
        <v>14608</v>
      </c>
      <c r="BD75" s="78" t="s">
        <v>14551</v>
      </c>
      <c r="BE75" s="78" t="s">
        <v>14552</v>
      </c>
      <c r="BF75" s="74"/>
      <c r="BG75" s="81" t="s">
        <v>14620</v>
      </c>
      <c r="BH75" s="81" t="s">
        <v>14621</v>
      </c>
      <c r="BI75" s="74"/>
      <c r="BJ75" s="74"/>
      <c r="BK75" s="78" t="s">
        <v>14622</v>
      </c>
      <c r="BL75" s="78" t="s">
        <v>14213</v>
      </c>
      <c r="BM75" s="78" t="s">
        <v>14623</v>
      </c>
      <c r="BN75" s="78" t="s">
        <v>14183</v>
      </c>
      <c r="BO75" s="78" t="s">
        <v>14184</v>
      </c>
      <c r="BP75" s="78" t="s">
        <v>14184</v>
      </c>
    </row>
    <row r="76" s="74" customFormat="1" ht="67.5" spans="65:68">
      <c r="BM76" s="78" t="s">
        <v>14624</v>
      </c>
      <c r="BN76" s="78" t="s">
        <v>14615</v>
      </c>
      <c r="BO76" s="78" t="s">
        <v>7463</v>
      </c>
      <c r="BP76" s="78" t="s">
        <v>7463</v>
      </c>
    </row>
    <row r="77" s="74" customFormat="1" ht="409.5" spans="1:68">
      <c r="A77" s="78" t="s">
        <v>14625</v>
      </c>
      <c r="B77" s="78" t="s">
        <v>2837</v>
      </c>
      <c r="C77" s="78" t="s">
        <v>14147</v>
      </c>
      <c r="D77" s="78" t="s">
        <v>14626</v>
      </c>
      <c r="E77" s="79" t="s">
        <v>14627</v>
      </c>
      <c r="F77" s="78" t="s">
        <v>14150</v>
      </c>
      <c r="G77" s="78" t="s">
        <v>14151</v>
      </c>
      <c r="H77" s="74"/>
      <c r="I77" s="74"/>
      <c r="J77" s="78" t="s">
        <v>14152</v>
      </c>
      <c r="K77" s="78" t="s">
        <v>14153</v>
      </c>
      <c r="L77" s="78" t="s">
        <v>14154</v>
      </c>
      <c r="M77" s="78" t="s">
        <v>14155</v>
      </c>
      <c r="N77" s="74"/>
      <c r="O77" s="74"/>
      <c r="P77" s="80">
        <v>184000</v>
      </c>
      <c r="Q77" s="78" t="s">
        <v>14156</v>
      </c>
      <c r="R77" s="80">
        <v>184000</v>
      </c>
      <c r="S77" s="74"/>
      <c r="T77" s="78" t="s">
        <v>14157</v>
      </c>
      <c r="U77" s="74"/>
      <c r="V77" s="78" t="s">
        <v>14158</v>
      </c>
      <c r="W77" s="78" t="s">
        <v>2391</v>
      </c>
      <c r="X77" s="78" t="s">
        <v>2395</v>
      </c>
      <c r="Y77" s="78" t="s">
        <v>2397</v>
      </c>
      <c r="Z77" s="78" t="s">
        <v>2837</v>
      </c>
      <c r="AA77" s="78" t="s">
        <v>14156</v>
      </c>
      <c r="AB77" s="78" t="s">
        <v>14156</v>
      </c>
      <c r="AC77" s="79" t="s">
        <v>14548</v>
      </c>
      <c r="AD77" s="79" t="s">
        <v>14548</v>
      </c>
      <c r="AE77" s="78" t="s">
        <v>14160</v>
      </c>
      <c r="AF77" s="78" t="s">
        <v>14161</v>
      </c>
      <c r="AG77" s="78" t="s">
        <v>14628</v>
      </c>
      <c r="AH77" s="74"/>
      <c r="AI77" s="74"/>
      <c r="AJ77" s="74"/>
      <c r="AK77" s="74"/>
      <c r="AL77" s="74"/>
      <c r="AM77" s="78" t="s">
        <v>14163</v>
      </c>
      <c r="AN77" s="78" t="s">
        <v>14164</v>
      </c>
      <c r="AO77" s="78" t="s">
        <v>14629</v>
      </c>
      <c r="AP77" s="78" t="s">
        <v>14410</v>
      </c>
      <c r="AQ77" s="78" t="s">
        <v>14167</v>
      </c>
      <c r="AR77" s="78" t="s">
        <v>14168</v>
      </c>
      <c r="AS77" s="78" t="s">
        <v>14630</v>
      </c>
      <c r="AT77" s="78" t="s">
        <v>3795</v>
      </c>
      <c r="AU77" s="78" t="s">
        <v>14631</v>
      </c>
      <c r="AV77" s="78" t="s">
        <v>787</v>
      </c>
      <c r="AW77" s="78" t="s">
        <v>787</v>
      </c>
      <c r="AX77" s="78" t="s">
        <v>14632</v>
      </c>
      <c r="AY77" s="78" t="s">
        <v>14633</v>
      </c>
      <c r="AZ77" s="78" t="s">
        <v>14173</v>
      </c>
      <c r="BA77" s="78" t="s">
        <v>14631</v>
      </c>
      <c r="BB77" s="74"/>
      <c r="BC77" s="78" t="s">
        <v>14634</v>
      </c>
      <c r="BD77" s="78" t="s">
        <v>14551</v>
      </c>
      <c r="BE77" s="78" t="s">
        <v>14552</v>
      </c>
      <c r="BF77" s="81" t="s">
        <v>14635</v>
      </c>
      <c r="BG77" s="81" t="s">
        <v>14636</v>
      </c>
      <c r="BH77" s="81" t="s">
        <v>14637</v>
      </c>
      <c r="BI77" s="78" t="s">
        <v>14178</v>
      </c>
      <c r="BJ77" s="78" t="s">
        <v>14179</v>
      </c>
      <c r="BK77" s="78" t="s">
        <v>14638</v>
      </c>
      <c r="BL77" s="78" t="s">
        <v>14639</v>
      </c>
      <c r="BM77" s="78" t="s">
        <v>14640</v>
      </c>
      <c r="BN77" s="78" t="s">
        <v>14183</v>
      </c>
      <c r="BO77" s="78" t="s">
        <v>14184</v>
      </c>
      <c r="BP77" s="78" t="s">
        <v>14184</v>
      </c>
    </row>
    <row r="78" s="74" customFormat="1" ht="54" spans="65:68">
      <c r="BM78" s="78" t="s">
        <v>14641</v>
      </c>
      <c r="BN78" s="78" t="s">
        <v>14642</v>
      </c>
      <c r="BO78" s="78" t="s">
        <v>3797</v>
      </c>
      <c r="BP78" s="78" t="s">
        <v>3797</v>
      </c>
    </row>
    <row r="79" s="74" customFormat="1" ht="409.5" spans="1:68">
      <c r="A79" s="78" t="s">
        <v>14643</v>
      </c>
      <c r="B79" s="78" t="s">
        <v>2821</v>
      </c>
      <c r="C79" s="78" t="s">
        <v>14147</v>
      </c>
      <c r="D79" s="78" t="s">
        <v>14644</v>
      </c>
      <c r="E79" s="79" t="s">
        <v>14645</v>
      </c>
      <c r="F79" s="78" t="s">
        <v>14150</v>
      </c>
      <c r="G79" s="78" t="s">
        <v>14151</v>
      </c>
      <c r="H79" s="74"/>
      <c r="I79" s="74"/>
      <c r="J79" s="78" t="s">
        <v>14152</v>
      </c>
      <c r="K79" s="78" t="s">
        <v>14153</v>
      </c>
      <c r="L79" s="78" t="s">
        <v>14154</v>
      </c>
      <c r="M79" s="78" t="s">
        <v>14155</v>
      </c>
      <c r="N79" s="74"/>
      <c r="O79" s="74"/>
      <c r="P79" s="80">
        <v>14000</v>
      </c>
      <c r="Q79" s="78" t="s">
        <v>14156</v>
      </c>
      <c r="R79" s="74"/>
      <c r="S79" s="74"/>
      <c r="T79" s="78" t="s">
        <v>14157</v>
      </c>
      <c r="U79" s="74"/>
      <c r="V79" s="78" t="s">
        <v>14158</v>
      </c>
      <c r="W79" s="78" t="s">
        <v>2391</v>
      </c>
      <c r="X79" s="78" t="s">
        <v>2395</v>
      </c>
      <c r="Y79" s="78" t="s">
        <v>2397</v>
      </c>
      <c r="Z79" s="78" t="s">
        <v>2821</v>
      </c>
      <c r="AA79" s="78" t="s">
        <v>14156</v>
      </c>
      <c r="AB79" s="78" t="s">
        <v>14156</v>
      </c>
      <c r="AC79" s="79" t="s">
        <v>14595</v>
      </c>
      <c r="AD79" s="79" t="s">
        <v>14595</v>
      </c>
      <c r="AE79" s="78" t="s">
        <v>14160</v>
      </c>
      <c r="AF79" s="78" t="s">
        <v>14161</v>
      </c>
      <c r="AG79" s="78" t="s">
        <v>14162</v>
      </c>
      <c r="AH79" s="74"/>
      <c r="AI79" s="74"/>
      <c r="AJ79" s="74"/>
      <c r="AK79" s="74"/>
      <c r="AL79" s="74"/>
      <c r="AM79" s="78" t="s">
        <v>14163</v>
      </c>
      <c r="AN79" s="78" t="s">
        <v>14164</v>
      </c>
      <c r="AO79" s="78" t="s">
        <v>14165</v>
      </c>
      <c r="AP79" s="78" t="s">
        <v>14166</v>
      </c>
      <c r="AQ79" s="78" t="s">
        <v>14167</v>
      </c>
      <c r="AR79" s="78" t="s">
        <v>14168</v>
      </c>
      <c r="AS79" s="78" t="s">
        <v>14352</v>
      </c>
      <c r="AT79" s="78" t="s">
        <v>14353</v>
      </c>
      <c r="AU79" s="78" t="s">
        <v>14206</v>
      </c>
      <c r="AV79" s="78" t="s">
        <v>787</v>
      </c>
      <c r="AW79" s="78" t="s">
        <v>787</v>
      </c>
      <c r="AX79" s="78" t="s">
        <v>14646</v>
      </c>
      <c r="AY79" s="78" t="s">
        <v>14647</v>
      </c>
      <c r="AZ79" s="78" t="s">
        <v>14173</v>
      </c>
      <c r="BA79" s="78" t="s">
        <v>14206</v>
      </c>
      <c r="BB79" s="74"/>
      <c r="BC79" s="78" t="s">
        <v>14648</v>
      </c>
      <c r="BD79" s="78" t="s">
        <v>14163</v>
      </c>
      <c r="BE79" s="78" t="s">
        <v>14164</v>
      </c>
      <c r="BF79" s="81" t="s">
        <v>14649</v>
      </c>
      <c r="BG79" s="81" t="s">
        <v>14650</v>
      </c>
      <c r="BH79" s="81" t="s">
        <v>14651</v>
      </c>
      <c r="BI79" s="78" t="s">
        <v>14178</v>
      </c>
      <c r="BJ79" s="78" t="s">
        <v>14179</v>
      </c>
      <c r="BK79" s="78" t="s">
        <v>14652</v>
      </c>
      <c r="BL79" s="78" t="s">
        <v>14213</v>
      </c>
      <c r="BM79" s="78" t="s">
        <v>14653</v>
      </c>
      <c r="BN79" s="78" t="s">
        <v>14183</v>
      </c>
      <c r="BO79" s="78" t="s">
        <v>14184</v>
      </c>
      <c r="BP79" s="78" t="s">
        <v>14184</v>
      </c>
    </row>
    <row r="80" s="74" customFormat="1" ht="54" spans="65:68">
      <c r="BM80" s="78" t="s">
        <v>14654</v>
      </c>
      <c r="BN80" s="78" t="s">
        <v>14655</v>
      </c>
      <c r="BO80" s="78" t="s">
        <v>4084</v>
      </c>
      <c r="BP80" s="78" t="s">
        <v>4084</v>
      </c>
    </row>
    <row r="81" s="74" customFormat="1" ht="409.5" spans="1:68">
      <c r="A81" s="78" t="s">
        <v>14656</v>
      </c>
      <c r="B81" s="78" t="s">
        <v>2866</v>
      </c>
      <c r="C81" s="78" t="s">
        <v>14147</v>
      </c>
      <c r="D81" s="78" t="s">
        <v>14657</v>
      </c>
      <c r="E81" s="79" t="s">
        <v>14443</v>
      </c>
      <c r="F81" s="78" t="s">
        <v>14150</v>
      </c>
      <c r="G81" s="78" t="s">
        <v>14151</v>
      </c>
      <c r="H81" s="74"/>
      <c r="I81" s="74"/>
      <c r="J81" s="78" t="s">
        <v>14152</v>
      </c>
      <c r="K81" s="78" t="s">
        <v>14153</v>
      </c>
      <c r="L81" s="78" t="s">
        <v>14154</v>
      </c>
      <c r="M81" s="78" t="s">
        <v>14155</v>
      </c>
      <c r="N81" s="74"/>
      <c r="O81" s="74"/>
      <c r="P81" s="80">
        <v>12560.07</v>
      </c>
      <c r="Q81" s="78" t="s">
        <v>14156</v>
      </c>
      <c r="R81" s="74"/>
      <c r="S81" s="74"/>
      <c r="T81" s="78" t="s">
        <v>14157</v>
      </c>
      <c r="U81" s="74"/>
      <c r="V81" s="78" t="s">
        <v>14158</v>
      </c>
      <c r="W81" s="78" t="s">
        <v>2391</v>
      </c>
      <c r="X81" s="78" t="s">
        <v>2395</v>
      </c>
      <c r="Y81" s="78" t="s">
        <v>2397</v>
      </c>
      <c r="Z81" s="78" t="s">
        <v>2866</v>
      </c>
      <c r="AA81" s="78" t="s">
        <v>14156</v>
      </c>
      <c r="AB81" s="78" t="s">
        <v>14156</v>
      </c>
      <c r="AC81" s="79" t="s">
        <v>14548</v>
      </c>
      <c r="AD81" s="79" t="s">
        <v>14548</v>
      </c>
      <c r="AE81" s="78" t="s">
        <v>14160</v>
      </c>
      <c r="AF81" s="78" t="s">
        <v>14161</v>
      </c>
      <c r="AG81" s="78" t="s">
        <v>14628</v>
      </c>
      <c r="AH81" s="74"/>
      <c r="AI81" s="74"/>
      <c r="AJ81" s="74"/>
      <c r="AK81" s="74"/>
      <c r="AL81" s="74"/>
      <c r="AM81" s="78" t="s">
        <v>14163</v>
      </c>
      <c r="AN81" s="78" t="s">
        <v>14164</v>
      </c>
      <c r="AO81" s="78" t="s">
        <v>14629</v>
      </c>
      <c r="AP81" s="78" t="s">
        <v>14410</v>
      </c>
      <c r="AQ81" s="78" t="s">
        <v>14167</v>
      </c>
      <c r="AR81" s="78" t="s">
        <v>14168</v>
      </c>
      <c r="AS81" s="78" t="s">
        <v>14205</v>
      </c>
      <c r="AT81" s="78" t="s">
        <v>3124</v>
      </c>
      <c r="AU81" s="78" t="s">
        <v>14206</v>
      </c>
      <c r="AV81" s="78" t="s">
        <v>787</v>
      </c>
      <c r="AW81" s="78" t="s">
        <v>787</v>
      </c>
      <c r="AX81" s="78" t="s">
        <v>14658</v>
      </c>
      <c r="AY81" s="78" t="s">
        <v>14659</v>
      </c>
      <c r="AZ81" s="78" t="s">
        <v>14173</v>
      </c>
      <c r="BA81" s="78" t="s">
        <v>14206</v>
      </c>
      <c r="BB81" s="74"/>
      <c r="BC81" s="78" t="s">
        <v>14660</v>
      </c>
      <c r="BD81" s="78" t="s">
        <v>14551</v>
      </c>
      <c r="BE81" s="78" t="s">
        <v>14552</v>
      </c>
      <c r="BF81" s="81" t="s">
        <v>14661</v>
      </c>
      <c r="BG81" s="81" t="s">
        <v>14662</v>
      </c>
      <c r="BH81" s="81" t="s">
        <v>14663</v>
      </c>
      <c r="BI81" s="78" t="s">
        <v>14178</v>
      </c>
      <c r="BJ81" s="78" t="s">
        <v>14179</v>
      </c>
      <c r="BK81" s="78" t="s">
        <v>14664</v>
      </c>
      <c r="BL81" s="78" t="s">
        <v>14213</v>
      </c>
      <c r="BM81" s="78" t="s">
        <v>14665</v>
      </c>
      <c r="BN81" s="78" t="s">
        <v>14183</v>
      </c>
      <c r="BO81" s="78" t="s">
        <v>14184</v>
      </c>
      <c r="BP81" s="78" t="s">
        <v>14184</v>
      </c>
    </row>
    <row r="82" s="74" customFormat="1" ht="67.5" spans="65:68">
      <c r="BM82" s="78" t="s">
        <v>14666</v>
      </c>
      <c r="BN82" s="78" t="s">
        <v>14667</v>
      </c>
      <c r="BO82" s="78" t="s">
        <v>3812</v>
      </c>
      <c r="BP82" s="78" t="s">
        <v>3812</v>
      </c>
    </row>
    <row r="83" s="74" customFormat="1" ht="409.5" spans="1:68">
      <c r="A83" s="78" t="s">
        <v>14668</v>
      </c>
      <c r="B83" s="78" t="s">
        <v>14669</v>
      </c>
      <c r="C83" s="78" t="s">
        <v>14189</v>
      </c>
      <c r="D83" s="78" t="s">
        <v>14522</v>
      </c>
      <c r="E83" s="79" t="s">
        <v>14443</v>
      </c>
      <c r="F83" s="78" t="s">
        <v>14150</v>
      </c>
      <c r="G83" s="78" t="s">
        <v>14151</v>
      </c>
      <c r="H83" s="74"/>
      <c r="I83" s="74"/>
      <c r="J83" s="78" t="s">
        <v>14152</v>
      </c>
      <c r="K83" s="78" t="s">
        <v>14153</v>
      </c>
      <c r="L83" s="78" t="s">
        <v>14154</v>
      </c>
      <c r="M83" s="78" t="s">
        <v>14155</v>
      </c>
      <c r="N83" s="74"/>
      <c r="O83" s="74"/>
      <c r="P83" s="80">
        <v>9736.4</v>
      </c>
      <c r="Q83" s="78" t="s">
        <v>14156</v>
      </c>
      <c r="R83" s="74"/>
      <c r="S83" s="74"/>
      <c r="T83" s="78" t="s">
        <v>14157</v>
      </c>
      <c r="U83" s="74"/>
      <c r="V83" s="78" t="s">
        <v>14158</v>
      </c>
      <c r="W83" s="78" t="s">
        <v>2391</v>
      </c>
      <c r="X83" s="78" t="s">
        <v>2395</v>
      </c>
      <c r="Y83" s="78" t="s">
        <v>2397</v>
      </c>
      <c r="Z83" s="78" t="s">
        <v>14669</v>
      </c>
      <c r="AA83" s="78" t="s">
        <v>14156</v>
      </c>
      <c r="AB83" s="78" t="s">
        <v>14156</v>
      </c>
      <c r="AC83" s="79" t="s">
        <v>14670</v>
      </c>
      <c r="AD83" s="79" t="s">
        <v>14670</v>
      </c>
      <c r="AE83" s="78" t="s">
        <v>14160</v>
      </c>
      <c r="AF83" s="78" t="s">
        <v>14161</v>
      </c>
      <c r="AG83" s="78" t="s">
        <v>14162</v>
      </c>
      <c r="AH83" s="74"/>
      <c r="AI83" s="74"/>
      <c r="AJ83" s="74"/>
      <c r="AK83" s="74"/>
      <c r="AL83" s="74"/>
      <c r="AM83" s="78" t="s">
        <v>14163</v>
      </c>
      <c r="AN83" s="78" t="s">
        <v>14164</v>
      </c>
      <c r="AO83" s="78" t="s">
        <v>14192</v>
      </c>
      <c r="AP83" s="78" t="s">
        <v>14166</v>
      </c>
      <c r="AQ83" s="78" t="s">
        <v>14193</v>
      </c>
      <c r="AR83" s="78" t="s">
        <v>14194</v>
      </c>
      <c r="AS83" s="78" t="s">
        <v>14236</v>
      </c>
      <c r="AT83" s="78" t="s">
        <v>3510</v>
      </c>
      <c r="AU83" s="78" t="s">
        <v>14206</v>
      </c>
      <c r="AV83" s="78" t="s">
        <v>787</v>
      </c>
      <c r="AW83" s="78" t="s">
        <v>787</v>
      </c>
      <c r="AX83" s="78" t="s">
        <v>14671</v>
      </c>
      <c r="AY83" s="78" t="s">
        <v>14672</v>
      </c>
      <c r="AZ83" s="78" t="s">
        <v>14173</v>
      </c>
      <c r="BA83" s="78" t="s">
        <v>14206</v>
      </c>
      <c r="BB83" s="74"/>
      <c r="BC83" s="78" t="s">
        <v>14526</v>
      </c>
      <c r="BD83" s="78" t="s">
        <v>14551</v>
      </c>
      <c r="BE83" s="78" t="s">
        <v>14552</v>
      </c>
      <c r="BF83" s="74"/>
      <c r="BG83" s="81" t="s">
        <v>14673</v>
      </c>
      <c r="BH83" s="81" t="s">
        <v>14674</v>
      </c>
      <c r="BI83" s="74"/>
      <c r="BJ83" s="74"/>
      <c r="BK83" s="78" t="s">
        <v>14675</v>
      </c>
      <c r="BL83" s="78" t="s">
        <v>14213</v>
      </c>
      <c r="BM83" s="78" t="s">
        <v>14676</v>
      </c>
      <c r="BN83" s="78" t="s">
        <v>14183</v>
      </c>
      <c r="BO83" s="78" t="s">
        <v>14184</v>
      </c>
      <c r="BP83" s="78" t="s">
        <v>14184</v>
      </c>
    </row>
    <row r="84" s="74" customFormat="1" ht="54" spans="65:68">
      <c r="BM84" s="78" t="s">
        <v>14677</v>
      </c>
      <c r="BN84" s="78" t="s">
        <v>14533</v>
      </c>
      <c r="BO84" s="78" t="s">
        <v>3951</v>
      </c>
      <c r="BP84" s="78" t="s">
        <v>3951</v>
      </c>
    </row>
    <row r="85" s="74" customFormat="1" ht="409.5" spans="1:68">
      <c r="A85" s="78" t="s">
        <v>14678</v>
      </c>
      <c r="B85" s="78" t="s">
        <v>14679</v>
      </c>
      <c r="C85" s="78" t="s">
        <v>14189</v>
      </c>
      <c r="D85" s="78" t="s">
        <v>14680</v>
      </c>
      <c r="E85" s="79" t="s">
        <v>14443</v>
      </c>
      <c r="F85" s="78" t="s">
        <v>14150</v>
      </c>
      <c r="G85" s="78" t="s">
        <v>14151</v>
      </c>
      <c r="H85" s="74"/>
      <c r="I85" s="74"/>
      <c r="J85" s="78" t="s">
        <v>14152</v>
      </c>
      <c r="K85" s="78" t="s">
        <v>14153</v>
      </c>
      <c r="L85" s="78" t="s">
        <v>14154</v>
      </c>
      <c r="M85" s="78" t="s">
        <v>14155</v>
      </c>
      <c r="N85" s="74"/>
      <c r="O85" s="74"/>
      <c r="P85" s="80">
        <v>9736.4</v>
      </c>
      <c r="Q85" s="78" t="s">
        <v>14156</v>
      </c>
      <c r="R85" s="74"/>
      <c r="S85" s="74"/>
      <c r="T85" s="78" t="s">
        <v>14157</v>
      </c>
      <c r="U85" s="74"/>
      <c r="V85" s="78" t="s">
        <v>14158</v>
      </c>
      <c r="W85" s="78" t="s">
        <v>2391</v>
      </c>
      <c r="X85" s="78" t="s">
        <v>2395</v>
      </c>
      <c r="Y85" s="78" t="s">
        <v>2397</v>
      </c>
      <c r="Z85" s="78" t="s">
        <v>14679</v>
      </c>
      <c r="AA85" s="78" t="s">
        <v>14156</v>
      </c>
      <c r="AB85" s="78" t="s">
        <v>14156</v>
      </c>
      <c r="AC85" s="79" t="s">
        <v>14670</v>
      </c>
      <c r="AD85" s="79" t="s">
        <v>14670</v>
      </c>
      <c r="AE85" s="78" t="s">
        <v>14160</v>
      </c>
      <c r="AF85" s="78" t="s">
        <v>14161</v>
      </c>
      <c r="AG85" s="78" t="s">
        <v>14162</v>
      </c>
      <c r="AH85" s="74"/>
      <c r="AI85" s="74"/>
      <c r="AJ85" s="74"/>
      <c r="AK85" s="74"/>
      <c r="AL85" s="74"/>
      <c r="AM85" s="78" t="s">
        <v>14163</v>
      </c>
      <c r="AN85" s="78" t="s">
        <v>14164</v>
      </c>
      <c r="AO85" s="78" t="s">
        <v>14192</v>
      </c>
      <c r="AP85" s="78" t="s">
        <v>14166</v>
      </c>
      <c r="AQ85" s="78" t="s">
        <v>14193</v>
      </c>
      <c r="AR85" s="78" t="s">
        <v>14194</v>
      </c>
      <c r="AS85" s="78" t="s">
        <v>14236</v>
      </c>
      <c r="AT85" s="78" t="s">
        <v>3510</v>
      </c>
      <c r="AU85" s="78" t="s">
        <v>14206</v>
      </c>
      <c r="AV85" s="78" t="s">
        <v>787</v>
      </c>
      <c r="AW85" s="78" t="s">
        <v>787</v>
      </c>
      <c r="AX85" s="78" t="s">
        <v>14681</v>
      </c>
      <c r="AY85" s="78" t="s">
        <v>14682</v>
      </c>
      <c r="AZ85" s="78" t="s">
        <v>14173</v>
      </c>
      <c r="BA85" s="78" t="s">
        <v>14206</v>
      </c>
      <c r="BB85" s="74"/>
      <c r="BC85" s="78" t="s">
        <v>14526</v>
      </c>
      <c r="BD85" s="78" t="s">
        <v>14551</v>
      </c>
      <c r="BE85" s="78" t="s">
        <v>14552</v>
      </c>
      <c r="BF85" s="74"/>
      <c r="BG85" s="81" t="s">
        <v>14683</v>
      </c>
      <c r="BH85" s="81" t="s">
        <v>14684</v>
      </c>
      <c r="BI85" s="74"/>
      <c r="BJ85" s="74"/>
      <c r="BK85" s="78" t="s">
        <v>14685</v>
      </c>
      <c r="BL85" s="78" t="s">
        <v>14213</v>
      </c>
      <c r="BM85" s="78" t="s">
        <v>14686</v>
      </c>
      <c r="BN85" s="78" t="s">
        <v>14183</v>
      </c>
      <c r="BO85" s="78" t="s">
        <v>14184</v>
      </c>
      <c r="BP85" s="78" t="s">
        <v>14184</v>
      </c>
    </row>
    <row r="86" s="74" customFormat="1" ht="54" spans="65:68">
      <c r="BM86" s="78" t="s">
        <v>14687</v>
      </c>
      <c r="BN86" s="78" t="s">
        <v>14533</v>
      </c>
      <c r="BO86" s="78" t="s">
        <v>3951</v>
      </c>
      <c r="BP86" s="78" t="s">
        <v>3951</v>
      </c>
    </row>
    <row r="87" s="74" customFormat="1" ht="409.5" spans="1:68">
      <c r="A87" s="78" t="s">
        <v>14688</v>
      </c>
      <c r="B87" s="78" t="s">
        <v>2828</v>
      </c>
      <c r="C87" s="78" t="s">
        <v>14147</v>
      </c>
      <c r="D87" s="78" t="s">
        <v>14689</v>
      </c>
      <c r="E87" s="79" t="s">
        <v>14443</v>
      </c>
      <c r="F87" s="78" t="s">
        <v>14150</v>
      </c>
      <c r="G87" s="78" t="s">
        <v>14151</v>
      </c>
      <c r="H87" s="74"/>
      <c r="I87" s="74"/>
      <c r="J87" s="78" t="s">
        <v>14152</v>
      </c>
      <c r="K87" s="78" t="s">
        <v>14153</v>
      </c>
      <c r="L87" s="78" t="s">
        <v>14154</v>
      </c>
      <c r="M87" s="78" t="s">
        <v>14155</v>
      </c>
      <c r="N87" s="74"/>
      <c r="O87" s="74"/>
      <c r="P87" s="80">
        <v>90000</v>
      </c>
      <c r="Q87" s="78" t="s">
        <v>14156</v>
      </c>
      <c r="R87" s="80">
        <v>90000</v>
      </c>
      <c r="S87" s="74"/>
      <c r="T87" s="78" t="s">
        <v>14157</v>
      </c>
      <c r="U87" s="74"/>
      <c r="V87" s="78" t="s">
        <v>14158</v>
      </c>
      <c r="W87" s="78" t="s">
        <v>2391</v>
      </c>
      <c r="X87" s="78" t="s">
        <v>2395</v>
      </c>
      <c r="Y87" s="78" t="s">
        <v>2397</v>
      </c>
      <c r="Z87" s="78" t="s">
        <v>2828</v>
      </c>
      <c r="AA87" s="78" t="s">
        <v>14156</v>
      </c>
      <c r="AB87" s="78" t="s">
        <v>14156</v>
      </c>
      <c r="AC87" s="79" t="s">
        <v>14548</v>
      </c>
      <c r="AD87" s="79" t="s">
        <v>14548</v>
      </c>
      <c r="AE87" s="78" t="s">
        <v>14252</v>
      </c>
      <c r="AF87" s="78" t="s">
        <v>14253</v>
      </c>
      <c r="AG87" s="78" t="s">
        <v>14628</v>
      </c>
      <c r="AH87" s="74"/>
      <c r="AI87" s="74"/>
      <c r="AJ87" s="74"/>
      <c r="AK87" s="74"/>
      <c r="AL87" s="74"/>
      <c r="AM87" s="78" t="s">
        <v>14690</v>
      </c>
      <c r="AN87" s="78" t="s">
        <v>14691</v>
      </c>
      <c r="AO87" s="78" t="s">
        <v>14629</v>
      </c>
      <c r="AP87" s="78" t="s">
        <v>14410</v>
      </c>
      <c r="AQ87" s="78" t="s">
        <v>14167</v>
      </c>
      <c r="AR87" s="78" t="s">
        <v>14168</v>
      </c>
      <c r="AS87" s="78" t="s">
        <v>14692</v>
      </c>
      <c r="AT87" s="78" t="s">
        <v>4167</v>
      </c>
      <c r="AU87" s="78" t="s">
        <v>14631</v>
      </c>
      <c r="AV87" s="78" t="s">
        <v>787</v>
      </c>
      <c r="AW87" s="78" t="s">
        <v>787</v>
      </c>
      <c r="AX87" s="78" t="s">
        <v>14693</v>
      </c>
      <c r="AY87" s="78" t="s">
        <v>14694</v>
      </c>
      <c r="AZ87" s="78" t="s">
        <v>14173</v>
      </c>
      <c r="BA87" s="78" t="s">
        <v>14631</v>
      </c>
      <c r="BB87" s="74"/>
      <c r="BC87" s="78" t="s">
        <v>14695</v>
      </c>
      <c r="BD87" s="78" t="s">
        <v>14551</v>
      </c>
      <c r="BE87" s="78" t="s">
        <v>14552</v>
      </c>
      <c r="BF87" s="81" t="s">
        <v>14696</v>
      </c>
      <c r="BG87" s="81" t="s">
        <v>14697</v>
      </c>
      <c r="BH87" s="81" t="s">
        <v>14698</v>
      </c>
      <c r="BI87" s="78" t="s">
        <v>14178</v>
      </c>
      <c r="BJ87" s="78" t="s">
        <v>14179</v>
      </c>
      <c r="BK87" s="78" t="s">
        <v>14699</v>
      </c>
      <c r="BL87" s="78" t="s">
        <v>14639</v>
      </c>
      <c r="BM87" s="78" t="s">
        <v>14700</v>
      </c>
      <c r="BN87" s="78" t="s">
        <v>14183</v>
      </c>
      <c r="BO87" s="78" t="s">
        <v>14184</v>
      </c>
      <c r="BP87" s="78" t="s">
        <v>14184</v>
      </c>
    </row>
    <row r="88" s="74" customFormat="1" ht="54" spans="65:68">
      <c r="BM88" s="78" t="s">
        <v>14701</v>
      </c>
      <c r="BN88" s="78" t="s">
        <v>14702</v>
      </c>
      <c r="BO88" s="78" t="s">
        <v>4169</v>
      </c>
      <c r="BP88" s="78" t="s">
        <v>4169</v>
      </c>
    </row>
    <row r="89" s="74" customFormat="1" ht="409.5" spans="1:68">
      <c r="A89" s="78" t="s">
        <v>14703</v>
      </c>
      <c r="B89" s="78" t="s">
        <v>2823</v>
      </c>
      <c r="C89" s="78" t="s">
        <v>14147</v>
      </c>
      <c r="D89" s="78" t="s">
        <v>14704</v>
      </c>
      <c r="E89" s="79" t="s">
        <v>14705</v>
      </c>
      <c r="F89" s="78" t="s">
        <v>14150</v>
      </c>
      <c r="G89" s="78" t="s">
        <v>14151</v>
      </c>
      <c r="H89" s="74"/>
      <c r="I89" s="74"/>
      <c r="J89" s="78" t="s">
        <v>14152</v>
      </c>
      <c r="K89" s="78" t="s">
        <v>14153</v>
      </c>
      <c r="L89" s="78" t="s">
        <v>14154</v>
      </c>
      <c r="M89" s="78" t="s">
        <v>14155</v>
      </c>
      <c r="N89" s="74"/>
      <c r="O89" s="74"/>
      <c r="P89" s="80">
        <v>144000</v>
      </c>
      <c r="Q89" s="78" t="s">
        <v>14156</v>
      </c>
      <c r="R89" s="74"/>
      <c r="S89" s="74"/>
      <c r="T89" s="78" t="s">
        <v>14157</v>
      </c>
      <c r="U89" s="74"/>
      <c r="V89" s="78" t="s">
        <v>14158</v>
      </c>
      <c r="W89" s="78" t="s">
        <v>2391</v>
      </c>
      <c r="X89" s="78" t="s">
        <v>2395</v>
      </c>
      <c r="Y89" s="78" t="s">
        <v>2397</v>
      </c>
      <c r="Z89" s="78" t="s">
        <v>2823</v>
      </c>
      <c r="AA89" s="78" t="s">
        <v>14156</v>
      </c>
      <c r="AB89" s="78" t="s">
        <v>14156</v>
      </c>
      <c r="AC89" s="79" t="s">
        <v>14548</v>
      </c>
      <c r="AD89" s="79" t="s">
        <v>14548</v>
      </c>
      <c r="AE89" s="78" t="s">
        <v>14160</v>
      </c>
      <c r="AF89" s="78" t="s">
        <v>14161</v>
      </c>
      <c r="AG89" s="78" t="s">
        <v>14706</v>
      </c>
      <c r="AH89" s="74"/>
      <c r="AI89" s="74"/>
      <c r="AJ89" s="74"/>
      <c r="AK89" s="74"/>
      <c r="AL89" s="74"/>
      <c r="AM89" s="78" t="s">
        <v>14163</v>
      </c>
      <c r="AN89" s="78" t="s">
        <v>14164</v>
      </c>
      <c r="AO89" s="78" t="s">
        <v>14629</v>
      </c>
      <c r="AP89" s="78" t="s">
        <v>14410</v>
      </c>
      <c r="AQ89" s="78" t="s">
        <v>14167</v>
      </c>
      <c r="AR89" s="78" t="s">
        <v>14168</v>
      </c>
      <c r="AS89" s="78" t="s">
        <v>14472</v>
      </c>
      <c r="AT89" s="78" t="s">
        <v>14473</v>
      </c>
      <c r="AU89" s="78" t="s">
        <v>14206</v>
      </c>
      <c r="AV89" s="78" t="s">
        <v>787</v>
      </c>
      <c r="AW89" s="78" t="s">
        <v>787</v>
      </c>
      <c r="AX89" s="78" t="s">
        <v>14707</v>
      </c>
      <c r="AY89" s="78" t="s">
        <v>14708</v>
      </c>
      <c r="AZ89" s="78" t="s">
        <v>14173</v>
      </c>
      <c r="BA89" s="78" t="s">
        <v>14206</v>
      </c>
      <c r="BB89" s="74"/>
      <c r="BC89" s="78" t="s">
        <v>14709</v>
      </c>
      <c r="BD89" s="78" t="s">
        <v>14163</v>
      </c>
      <c r="BE89" s="78" t="s">
        <v>14164</v>
      </c>
      <c r="BF89" s="81" t="s">
        <v>14710</v>
      </c>
      <c r="BG89" s="81" t="s">
        <v>14711</v>
      </c>
      <c r="BH89" s="81" t="s">
        <v>14712</v>
      </c>
      <c r="BI89" s="78" t="s">
        <v>14178</v>
      </c>
      <c r="BJ89" s="78" t="s">
        <v>14179</v>
      </c>
      <c r="BK89" s="78" t="s">
        <v>14713</v>
      </c>
      <c r="BL89" s="78" t="s">
        <v>14213</v>
      </c>
      <c r="BM89" s="78" t="s">
        <v>14714</v>
      </c>
      <c r="BN89" s="78" t="s">
        <v>14183</v>
      </c>
      <c r="BO89" s="78" t="s">
        <v>14184</v>
      </c>
      <c r="BP89" s="78" t="s">
        <v>14184</v>
      </c>
    </row>
    <row r="90" s="74" customFormat="1" ht="54" spans="65:68">
      <c r="BM90" s="78" t="s">
        <v>14715</v>
      </c>
      <c r="BN90" s="78" t="s">
        <v>14716</v>
      </c>
      <c r="BO90" s="78" t="s">
        <v>4058</v>
      </c>
      <c r="BP90" s="78" t="s">
        <v>4058</v>
      </c>
    </row>
    <row r="91" s="74" customFormat="1" ht="409.5" spans="1:68">
      <c r="A91" s="78" t="s">
        <v>14717</v>
      </c>
      <c r="B91" s="78" t="s">
        <v>14718</v>
      </c>
      <c r="C91" s="78" t="s">
        <v>14189</v>
      </c>
      <c r="D91" s="78" t="s">
        <v>14689</v>
      </c>
      <c r="E91" s="79" t="s">
        <v>14443</v>
      </c>
      <c r="F91" s="78" t="s">
        <v>14150</v>
      </c>
      <c r="G91" s="78" t="s">
        <v>14151</v>
      </c>
      <c r="H91" s="74"/>
      <c r="I91" s="74"/>
      <c r="J91" s="78" t="s">
        <v>14152</v>
      </c>
      <c r="K91" s="78" t="s">
        <v>14153</v>
      </c>
      <c r="L91" s="78" t="s">
        <v>14154</v>
      </c>
      <c r="M91" s="78" t="s">
        <v>14155</v>
      </c>
      <c r="N91" s="74"/>
      <c r="O91" s="74"/>
      <c r="P91" s="80">
        <v>90000</v>
      </c>
      <c r="Q91" s="78" t="s">
        <v>14156</v>
      </c>
      <c r="R91" s="80">
        <v>90000</v>
      </c>
      <c r="S91" s="74"/>
      <c r="T91" s="78" t="s">
        <v>14157</v>
      </c>
      <c r="U91" s="74"/>
      <c r="V91" s="78" t="s">
        <v>14158</v>
      </c>
      <c r="W91" s="78" t="s">
        <v>2391</v>
      </c>
      <c r="X91" s="78" t="s">
        <v>2395</v>
      </c>
      <c r="Y91" s="78" t="s">
        <v>2397</v>
      </c>
      <c r="Z91" s="78" t="s">
        <v>14718</v>
      </c>
      <c r="AA91" s="78" t="s">
        <v>14156</v>
      </c>
      <c r="AB91" s="78" t="s">
        <v>14156</v>
      </c>
      <c r="AC91" s="79" t="s">
        <v>14719</v>
      </c>
      <c r="AD91" s="79" t="s">
        <v>14719</v>
      </c>
      <c r="AE91" s="78" t="s">
        <v>14252</v>
      </c>
      <c r="AF91" s="78" t="s">
        <v>14253</v>
      </c>
      <c r="AG91" s="78" t="s">
        <v>14162</v>
      </c>
      <c r="AH91" s="74"/>
      <c r="AI91" s="74"/>
      <c r="AJ91" s="74"/>
      <c r="AK91" s="74"/>
      <c r="AL91" s="74"/>
      <c r="AM91" s="78" t="s">
        <v>14690</v>
      </c>
      <c r="AN91" s="78" t="s">
        <v>14691</v>
      </c>
      <c r="AO91" s="78" t="s">
        <v>14192</v>
      </c>
      <c r="AP91" s="78" t="s">
        <v>14166</v>
      </c>
      <c r="AQ91" s="78" t="s">
        <v>14193</v>
      </c>
      <c r="AR91" s="78" t="s">
        <v>14194</v>
      </c>
      <c r="AS91" s="78" t="s">
        <v>14692</v>
      </c>
      <c r="AT91" s="78" t="s">
        <v>4167</v>
      </c>
      <c r="AU91" s="78" t="s">
        <v>14631</v>
      </c>
      <c r="AV91" s="78" t="s">
        <v>787</v>
      </c>
      <c r="AW91" s="78" t="s">
        <v>787</v>
      </c>
      <c r="AX91" s="78" t="s">
        <v>14720</v>
      </c>
      <c r="AY91" s="78" t="s">
        <v>14721</v>
      </c>
      <c r="AZ91" s="78" t="s">
        <v>14173</v>
      </c>
      <c r="BA91" s="78" t="s">
        <v>14631</v>
      </c>
      <c r="BB91" s="74"/>
      <c r="BC91" s="78" t="s">
        <v>14695</v>
      </c>
      <c r="BD91" s="78" t="s">
        <v>14551</v>
      </c>
      <c r="BE91" s="78" t="s">
        <v>14552</v>
      </c>
      <c r="BF91" s="74"/>
      <c r="BG91" s="81" t="s">
        <v>14722</v>
      </c>
      <c r="BH91" s="81" t="s">
        <v>14723</v>
      </c>
      <c r="BI91" s="74"/>
      <c r="BJ91" s="74"/>
      <c r="BK91" s="78" t="s">
        <v>14724</v>
      </c>
      <c r="BL91" s="78" t="s">
        <v>14639</v>
      </c>
      <c r="BM91" s="78" t="s">
        <v>14725</v>
      </c>
      <c r="BN91" s="78" t="s">
        <v>14183</v>
      </c>
      <c r="BO91" s="78" t="s">
        <v>14184</v>
      </c>
      <c r="BP91" s="78" t="s">
        <v>14184</v>
      </c>
    </row>
    <row r="92" s="74" customFormat="1" ht="54" spans="65:68">
      <c r="BM92" s="78" t="s">
        <v>14726</v>
      </c>
      <c r="BN92" s="78" t="s">
        <v>14702</v>
      </c>
      <c r="BO92" s="78" t="s">
        <v>4169</v>
      </c>
      <c r="BP92" s="78" t="s">
        <v>4169</v>
      </c>
    </row>
    <row r="93" s="74" customFormat="1" ht="409.5" spans="1:68">
      <c r="A93" s="78" t="s">
        <v>14727</v>
      </c>
      <c r="B93" s="78" t="s">
        <v>2816</v>
      </c>
      <c r="C93" s="78" t="s">
        <v>14147</v>
      </c>
      <c r="D93" s="78" t="s">
        <v>14728</v>
      </c>
      <c r="E93" s="79" t="s">
        <v>14443</v>
      </c>
      <c r="F93" s="78" t="s">
        <v>14150</v>
      </c>
      <c r="G93" s="78" t="s">
        <v>14151</v>
      </c>
      <c r="H93" s="74"/>
      <c r="I93" s="74"/>
      <c r="J93" s="78" t="s">
        <v>14152</v>
      </c>
      <c r="K93" s="78" t="s">
        <v>14153</v>
      </c>
      <c r="L93" s="78" t="s">
        <v>14154</v>
      </c>
      <c r="M93" s="78" t="s">
        <v>14155</v>
      </c>
      <c r="N93" s="74"/>
      <c r="O93" s="74"/>
      <c r="P93" s="80">
        <v>4874657.04</v>
      </c>
      <c r="Q93" s="78" t="s">
        <v>14156</v>
      </c>
      <c r="R93" s="80">
        <v>4874657.04</v>
      </c>
      <c r="S93" s="74"/>
      <c r="T93" s="78" t="s">
        <v>14157</v>
      </c>
      <c r="U93" s="74"/>
      <c r="V93" s="78" t="s">
        <v>14158</v>
      </c>
      <c r="W93" s="78" t="s">
        <v>2391</v>
      </c>
      <c r="X93" s="78" t="s">
        <v>2395</v>
      </c>
      <c r="Y93" s="78" t="s">
        <v>2397</v>
      </c>
      <c r="Z93" s="78" t="s">
        <v>2816</v>
      </c>
      <c r="AA93" s="78" t="s">
        <v>14156</v>
      </c>
      <c r="AB93" s="78" t="s">
        <v>14156</v>
      </c>
      <c r="AC93" s="79" t="s">
        <v>14548</v>
      </c>
      <c r="AD93" s="79" t="s">
        <v>14548</v>
      </c>
      <c r="AE93" s="78" t="s">
        <v>14252</v>
      </c>
      <c r="AF93" s="78" t="s">
        <v>14253</v>
      </c>
      <c r="AG93" s="78" t="s">
        <v>14628</v>
      </c>
      <c r="AH93" s="74"/>
      <c r="AI93" s="74"/>
      <c r="AJ93" s="74"/>
      <c r="AK93" s="74"/>
      <c r="AL93" s="74"/>
      <c r="AM93" s="78" t="s">
        <v>14690</v>
      </c>
      <c r="AN93" s="78" t="s">
        <v>14691</v>
      </c>
      <c r="AO93" s="78" t="s">
        <v>14409</v>
      </c>
      <c r="AP93" s="78" t="s">
        <v>14410</v>
      </c>
      <c r="AQ93" s="78" t="s">
        <v>14167</v>
      </c>
      <c r="AR93" s="78" t="s">
        <v>14168</v>
      </c>
      <c r="AS93" s="78" t="s">
        <v>14729</v>
      </c>
      <c r="AT93" s="78" t="s">
        <v>4143</v>
      </c>
      <c r="AU93" s="78" t="s">
        <v>14631</v>
      </c>
      <c r="AV93" s="78" t="s">
        <v>787</v>
      </c>
      <c r="AW93" s="78" t="s">
        <v>787</v>
      </c>
      <c r="AX93" s="78" t="s">
        <v>14730</v>
      </c>
      <c r="AY93" s="78" t="s">
        <v>14731</v>
      </c>
      <c r="AZ93" s="78" t="s">
        <v>14173</v>
      </c>
      <c r="BA93" s="78" t="s">
        <v>14631</v>
      </c>
      <c r="BB93" s="74"/>
      <c r="BC93" s="78" t="s">
        <v>14732</v>
      </c>
      <c r="BD93" s="78" t="s">
        <v>14178</v>
      </c>
      <c r="BE93" s="78" t="s">
        <v>14179</v>
      </c>
      <c r="BF93" s="81" t="s">
        <v>14733</v>
      </c>
      <c r="BG93" s="81" t="s">
        <v>14734</v>
      </c>
      <c r="BH93" s="81" t="s">
        <v>14735</v>
      </c>
      <c r="BI93" s="78" t="s">
        <v>14178</v>
      </c>
      <c r="BJ93" s="78" t="s">
        <v>14179</v>
      </c>
      <c r="BK93" s="78" t="s">
        <v>14736</v>
      </c>
      <c r="BL93" s="78" t="s">
        <v>14639</v>
      </c>
      <c r="BM93" s="78" t="s">
        <v>14737</v>
      </c>
      <c r="BN93" s="78" t="s">
        <v>14183</v>
      </c>
      <c r="BO93" s="78" t="s">
        <v>14184</v>
      </c>
      <c r="BP93" s="78" t="s">
        <v>14184</v>
      </c>
    </row>
    <row r="94" s="74" customFormat="1" ht="40.5" spans="65:68">
      <c r="BM94" s="78" t="s">
        <v>14738</v>
      </c>
      <c r="BN94" s="78" t="s">
        <v>14739</v>
      </c>
      <c r="BO94" s="78" t="s">
        <v>3898</v>
      </c>
      <c r="BP94" s="78" t="s">
        <v>3898</v>
      </c>
    </row>
    <row r="95" s="74" customFormat="1" ht="409.5" spans="1:68">
      <c r="A95" s="78" t="s">
        <v>14740</v>
      </c>
      <c r="B95" s="78" t="s">
        <v>2833</v>
      </c>
      <c r="C95" s="78" t="s">
        <v>14147</v>
      </c>
      <c r="D95" s="78" t="s">
        <v>14741</v>
      </c>
      <c r="E95" s="79" t="s">
        <v>14443</v>
      </c>
      <c r="F95" s="78" t="s">
        <v>14150</v>
      </c>
      <c r="G95" s="78" t="s">
        <v>14151</v>
      </c>
      <c r="H95" s="74"/>
      <c r="I95" s="74"/>
      <c r="J95" s="78" t="s">
        <v>14152</v>
      </c>
      <c r="K95" s="78" t="s">
        <v>14153</v>
      </c>
      <c r="L95" s="78" t="s">
        <v>14154</v>
      </c>
      <c r="M95" s="78" t="s">
        <v>14155</v>
      </c>
      <c r="N95" s="74"/>
      <c r="O95" s="74"/>
      <c r="P95" s="80">
        <v>433400.64</v>
      </c>
      <c r="Q95" s="78" t="s">
        <v>14156</v>
      </c>
      <c r="R95" s="80">
        <v>433400.64</v>
      </c>
      <c r="S95" s="74"/>
      <c r="T95" s="78" t="s">
        <v>14157</v>
      </c>
      <c r="U95" s="74"/>
      <c r="V95" s="78" t="s">
        <v>14158</v>
      </c>
      <c r="W95" s="78" t="s">
        <v>2391</v>
      </c>
      <c r="X95" s="78" t="s">
        <v>2395</v>
      </c>
      <c r="Y95" s="78" t="s">
        <v>2397</v>
      </c>
      <c r="Z95" s="78" t="s">
        <v>2833</v>
      </c>
      <c r="AA95" s="78" t="s">
        <v>14156</v>
      </c>
      <c r="AB95" s="78" t="s">
        <v>14156</v>
      </c>
      <c r="AC95" s="79" t="s">
        <v>14719</v>
      </c>
      <c r="AD95" s="79" t="s">
        <v>14719</v>
      </c>
      <c r="AE95" s="78" t="s">
        <v>14160</v>
      </c>
      <c r="AF95" s="78" t="s">
        <v>14161</v>
      </c>
      <c r="AG95" s="78" t="s">
        <v>14162</v>
      </c>
      <c r="AH95" s="74"/>
      <c r="AI95" s="74"/>
      <c r="AJ95" s="74"/>
      <c r="AK95" s="74"/>
      <c r="AL95" s="74"/>
      <c r="AM95" s="78" t="s">
        <v>14690</v>
      </c>
      <c r="AN95" s="78" t="s">
        <v>14691</v>
      </c>
      <c r="AO95" s="78" t="s">
        <v>14165</v>
      </c>
      <c r="AP95" s="78" t="s">
        <v>14410</v>
      </c>
      <c r="AQ95" s="78" t="s">
        <v>14167</v>
      </c>
      <c r="AR95" s="78" t="s">
        <v>14168</v>
      </c>
      <c r="AS95" s="78" t="s">
        <v>14742</v>
      </c>
      <c r="AT95" s="78" t="s">
        <v>1308</v>
      </c>
      <c r="AU95" s="78" t="s">
        <v>14631</v>
      </c>
      <c r="AV95" s="78" t="s">
        <v>787</v>
      </c>
      <c r="AW95" s="78" t="s">
        <v>787</v>
      </c>
      <c r="AX95" s="78" t="s">
        <v>14743</v>
      </c>
      <c r="AY95" s="78" t="s">
        <v>14744</v>
      </c>
      <c r="AZ95" s="78" t="s">
        <v>14173</v>
      </c>
      <c r="BA95" s="78" t="s">
        <v>14631</v>
      </c>
      <c r="BB95" s="74"/>
      <c r="BC95" s="78" t="s">
        <v>14745</v>
      </c>
      <c r="BD95" s="78" t="s">
        <v>14551</v>
      </c>
      <c r="BE95" s="78" t="s">
        <v>14552</v>
      </c>
      <c r="BF95" s="81" t="s">
        <v>14746</v>
      </c>
      <c r="BG95" s="81" t="s">
        <v>14747</v>
      </c>
      <c r="BH95" s="81" t="s">
        <v>14748</v>
      </c>
      <c r="BI95" s="78" t="s">
        <v>14178</v>
      </c>
      <c r="BJ95" s="78" t="s">
        <v>14179</v>
      </c>
      <c r="BK95" s="78" t="s">
        <v>14749</v>
      </c>
      <c r="BL95" s="78" t="s">
        <v>14639</v>
      </c>
      <c r="BM95" s="78" t="s">
        <v>14750</v>
      </c>
      <c r="BN95" s="78" t="s">
        <v>14183</v>
      </c>
      <c r="BO95" s="78" t="s">
        <v>14184</v>
      </c>
      <c r="BP95" s="78" t="s">
        <v>14184</v>
      </c>
    </row>
    <row r="96" s="74" customFormat="1" ht="40.5" spans="65:68">
      <c r="BM96" s="78" t="s">
        <v>14751</v>
      </c>
      <c r="BN96" s="78" t="s">
        <v>14739</v>
      </c>
      <c r="BO96" s="78" t="s">
        <v>3898</v>
      </c>
      <c r="BP96" s="78" t="s">
        <v>3898</v>
      </c>
    </row>
    <row r="97" s="74" customFormat="1" ht="409.5" spans="1:68">
      <c r="A97" s="78" t="s">
        <v>14752</v>
      </c>
      <c r="B97" s="78" t="s">
        <v>2867</v>
      </c>
      <c r="C97" s="78" t="s">
        <v>14147</v>
      </c>
      <c r="D97" s="78" t="s">
        <v>14753</v>
      </c>
      <c r="E97" s="79" t="s">
        <v>14443</v>
      </c>
      <c r="F97" s="78" t="s">
        <v>14150</v>
      </c>
      <c r="G97" s="78" t="s">
        <v>14151</v>
      </c>
      <c r="H97" s="74"/>
      <c r="I97" s="74"/>
      <c r="J97" s="78" t="s">
        <v>14152</v>
      </c>
      <c r="K97" s="78" t="s">
        <v>14153</v>
      </c>
      <c r="L97" s="78" t="s">
        <v>14154</v>
      </c>
      <c r="M97" s="78" t="s">
        <v>14155</v>
      </c>
      <c r="N97" s="74"/>
      <c r="O97" s="74"/>
      <c r="P97" s="80">
        <v>198610</v>
      </c>
      <c r="Q97" s="78" t="s">
        <v>14156</v>
      </c>
      <c r="R97" s="74"/>
      <c r="S97" s="74"/>
      <c r="T97" s="78" t="s">
        <v>14157</v>
      </c>
      <c r="U97" s="74"/>
      <c r="V97" s="78" t="s">
        <v>14158</v>
      </c>
      <c r="W97" s="78" t="s">
        <v>2391</v>
      </c>
      <c r="X97" s="78" t="s">
        <v>2395</v>
      </c>
      <c r="Y97" s="78" t="s">
        <v>2397</v>
      </c>
      <c r="Z97" s="78" t="s">
        <v>2867</v>
      </c>
      <c r="AA97" s="78" t="s">
        <v>14156</v>
      </c>
      <c r="AB97" s="78" t="s">
        <v>14156</v>
      </c>
      <c r="AC97" s="79" t="s">
        <v>14754</v>
      </c>
      <c r="AD97" s="79" t="s">
        <v>14754</v>
      </c>
      <c r="AE97" s="78" t="s">
        <v>14160</v>
      </c>
      <c r="AF97" s="78" t="s">
        <v>14161</v>
      </c>
      <c r="AG97" s="78" t="s">
        <v>14162</v>
      </c>
      <c r="AH97" s="74"/>
      <c r="AI97" s="74"/>
      <c r="AJ97" s="74"/>
      <c r="AK97" s="74"/>
      <c r="AL97" s="74"/>
      <c r="AM97" s="78" t="s">
        <v>14163</v>
      </c>
      <c r="AN97" s="78" t="s">
        <v>14164</v>
      </c>
      <c r="AO97" s="78" t="s">
        <v>14165</v>
      </c>
      <c r="AP97" s="78" t="s">
        <v>14410</v>
      </c>
      <c r="AQ97" s="78" t="s">
        <v>14167</v>
      </c>
      <c r="AR97" s="78" t="s">
        <v>14168</v>
      </c>
      <c r="AS97" s="78" t="s">
        <v>14169</v>
      </c>
      <c r="AT97" s="78" t="s">
        <v>2918</v>
      </c>
      <c r="AU97" s="78" t="s">
        <v>14170</v>
      </c>
      <c r="AV97" s="78" t="s">
        <v>787</v>
      </c>
      <c r="AW97" s="78" t="s">
        <v>787</v>
      </c>
      <c r="AX97" s="78" t="s">
        <v>14755</v>
      </c>
      <c r="AY97" s="78" t="s">
        <v>14756</v>
      </c>
      <c r="AZ97" s="78" t="s">
        <v>14173</v>
      </c>
      <c r="BA97" s="78" t="s">
        <v>14170</v>
      </c>
      <c r="BB97" s="74"/>
      <c r="BC97" s="78" t="s">
        <v>14757</v>
      </c>
      <c r="BD97" s="78" t="s">
        <v>14551</v>
      </c>
      <c r="BE97" s="78" t="s">
        <v>14552</v>
      </c>
      <c r="BF97" s="81" t="s">
        <v>14758</v>
      </c>
      <c r="BG97" s="81" t="s">
        <v>14759</v>
      </c>
      <c r="BH97" s="81" t="s">
        <v>14760</v>
      </c>
      <c r="BI97" s="78" t="s">
        <v>14178</v>
      </c>
      <c r="BJ97" s="78" t="s">
        <v>14179</v>
      </c>
      <c r="BK97" s="78" t="s">
        <v>14761</v>
      </c>
      <c r="BL97" s="78" t="s">
        <v>14181</v>
      </c>
      <c r="BM97" s="78" t="s">
        <v>14762</v>
      </c>
      <c r="BN97" s="78" t="s">
        <v>14183</v>
      </c>
      <c r="BO97" s="78" t="s">
        <v>14184</v>
      </c>
      <c r="BP97" s="78" t="s">
        <v>14184</v>
      </c>
    </row>
    <row r="98" s="74" customFormat="1" ht="40.5" spans="65:68">
      <c r="BM98" s="78" t="s">
        <v>14763</v>
      </c>
      <c r="BN98" s="78" t="s">
        <v>14764</v>
      </c>
      <c r="BO98" s="78" t="s">
        <v>4043</v>
      </c>
      <c r="BP98" s="78" t="s">
        <v>4043</v>
      </c>
    </row>
    <row r="99" s="74" customFormat="1" ht="409.5" spans="1:68">
      <c r="A99" s="78" t="s">
        <v>14765</v>
      </c>
      <c r="B99" s="78" t="s">
        <v>2868</v>
      </c>
      <c r="C99" s="78" t="s">
        <v>14147</v>
      </c>
      <c r="D99" s="78" t="s">
        <v>14766</v>
      </c>
      <c r="E99" s="79" t="s">
        <v>14443</v>
      </c>
      <c r="F99" s="78" t="s">
        <v>14150</v>
      </c>
      <c r="G99" s="78" t="s">
        <v>14151</v>
      </c>
      <c r="H99" s="74"/>
      <c r="I99" s="74"/>
      <c r="J99" s="78" t="s">
        <v>14152</v>
      </c>
      <c r="K99" s="78" t="s">
        <v>14153</v>
      </c>
      <c r="L99" s="78" t="s">
        <v>14154</v>
      </c>
      <c r="M99" s="78" t="s">
        <v>14155</v>
      </c>
      <c r="N99" s="74"/>
      <c r="O99" s="74"/>
      <c r="P99" s="80">
        <v>848046.51</v>
      </c>
      <c r="Q99" s="78" t="s">
        <v>14156</v>
      </c>
      <c r="R99" s="74"/>
      <c r="S99" s="74"/>
      <c r="T99" s="78" t="s">
        <v>14157</v>
      </c>
      <c r="U99" s="74"/>
      <c r="V99" s="78" t="s">
        <v>14158</v>
      </c>
      <c r="W99" s="78" t="s">
        <v>2391</v>
      </c>
      <c r="X99" s="78" t="s">
        <v>2395</v>
      </c>
      <c r="Y99" s="78" t="s">
        <v>2397</v>
      </c>
      <c r="Z99" s="78" t="s">
        <v>2868</v>
      </c>
      <c r="AA99" s="78" t="s">
        <v>14156</v>
      </c>
      <c r="AB99" s="78" t="s">
        <v>14156</v>
      </c>
      <c r="AC99" s="79" t="s">
        <v>14754</v>
      </c>
      <c r="AD99" s="79" t="s">
        <v>14754</v>
      </c>
      <c r="AE99" s="78" t="s">
        <v>14160</v>
      </c>
      <c r="AF99" s="78" t="s">
        <v>14161</v>
      </c>
      <c r="AG99" s="78" t="s">
        <v>14162</v>
      </c>
      <c r="AH99" s="74"/>
      <c r="AI99" s="74"/>
      <c r="AJ99" s="74"/>
      <c r="AK99" s="74"/>
      <c r="AL99" s="74"/>
      <c r="AM99" s="78" t="s">
        <v>14163</v>
      </c>
      <c r="AN99" s="78" t="s">
        <v>14164</v>
      </c>
      <c r="AO99" s="78" t="s">
        <v>14165</v>
      </c>
      <c r="AP99" s="78" t="s">
        <v>14410</v>
      </c>
      <c r="AQ99" s="78" t="s">
        <v>14167</v>
      </c>
      <c r="AR99" s="78" t="s">
        <v>14168</v>
      </c>
      <c r="AS99" s="78" t="s">
        <v>14205</v>
      </c>
      <c r="AT99" s="78" t="s">
        <v>3124</v>
      </c>
      <c r="AU99" s="78" t="s">
        <v>14206</v>
      </c>
      <c r="AV99" s="78" t="s">
        <v>787</v>
      </c>
      <c r="AW99" s="78" t="s">
        <v>787</v>
      </c>
      <c r="AX99" s="78" t="s">
        <v>14767</v>
      </c>
      <c r="AY99" s="78" t="s">
        <v>14768</v>
      </c>
      <c r="AZ99" s="78" t="s">
        <v>14173</v>
      </c>
      <c r="BA99" s="78" t="s">
        <v>14206</v>
      </c>
      <c r="BB99" s="74"/>
      <c r="BC99" s="78" t="s">
        <v>14769</v>
      </c>
      <c r="BD99" s="78" t="s">
        <v>14551</v>
      </c>
      <c r="BE99" s="78" t="s">
        <v>14552</v>
      </c>
      <c r="BF99" s="81" t="s">
        <v>14770</v>
      </c>
      <c r="BG99" s="81" t="s">
        <v>14771</v>
      </c>
      <c r="BH99" s="81" t="s">
        <v>14772</v>
      </c>
      <c r="BI99" s="78" t="s">
        <v>14178</v>
      </c>
      <c r="BJ99" s="78" t="s">
        <v>14179</v>
      </c>
      <c r="BK99" s="78" t="s">
        <v>14773</v>
      </c>
      <c r="BL99" s="78" t="s">
        <v>14213</v>
      </c>
      <c r="BM99" s="78" t="s">
        <v>14774</v>
      </c>
      <c r="BN99" s="78" t="s">
        <v>14183</v>
      </c>
      <c r="BO99" s="78" t="s">
        <v>14184</v>
      </c>
      <c r="BP99" s="78" t="s">
        <v>14184</v>
      </c>
    </row>
    <row r="100" s="74" customFormat="1" ht="67.5" spans="65:68">
      <c r="BM100" s="78" t="s">
        <v>14775</v>
      </c>
      <c r="BN100" s="78" t="s">
        <v>14776</v>
      </c>
      <c r="BO100" s="78" t="s">
        <v>4054</v>
      </c>
      <c r="BP100" s="78" t="s">
        <v>4054</v>
      </c>
    </row>
    <row r="101" s="74" customFormat="1" ht="409.5" spans="1:68">
      <c r="A101" s="78" t="s">
        <v>14777</v>
      </c>
      <c r="B101" s="78" t="s">
        <v>2824</v>
      </c>
      <c r="C101" s="78" t="s">
        <v>14147</v>
      </c>
      <c r="D101" s="78" t="s">
        <v>14778</v>
      </c>
      <c r="E101" s="79" t="s">
        <v>14443</v>
      </c>
      <c r="F101" s="78" t="s">
        <v>14150</v>
      </c>
      <c r="G101" s="78" t="s">
        <v>14151</v>
      </c>
      <c r="H101" s="74"/>
      <c r="I101" s="74"/>
      <c r="J101" s="78" t="s">
        <v>14152</v>
      </c>
      <c r="K101" s="78" t="s">
        <v>14153</v>
      </c>
      <c r="L101" s="78" t="s">
        <v>14154</v>
      </c>
      <c r="M101" s="78" t="s">
        <v>14155</v>
      </c>
      <c r="N101" s="74"/>
      <c r="O101" s="74"/>
      <c r="P101" s="80">
        <v>42000</v>
      </c>
      <c r="Q101" s="78" t="s">
        <v>14156</v>
      </c>
      <c r="R101" s="74"/>
      <c r="S101" s="74"/>
      <c r="T101" s="78" t="s">
        <v>14157</v>
      </c>
      <c r="U101" s="74"/>
      <c r="V101" s="78" t="s">
        <v>14158</v>
      </c>
      <c r="W101" s="78" t="s">
        <v>2391</v>
      </c>
      <c r="X101" s="78" t="s">
        <v>2395</v>
      </c>
      <c r="Y101" s="78" t="s">
        <v>2397</v>
      </c>
      <c r="Z101" s="78" t="s">
        <v>2824</v>
      </c>
      <c r="AA101" s="78" t="s">
        <v>14156</v>
      </c>
      <c r="AB101" s="78" t="s">
        <v>14156</v>
      </c>
      <c r="AC101" s="79" t="s">
        <v>14754</v>
      </c>
      <c r="AD101" s="79" t="s">
        <v>14754</v>
      </c>
      <c r="AE101" s="78" t="s">
        <v>14160</v>
      </c>
      <c r="AF101" s="78" t="s">
        <v>14161</v>
      </c>
      <c r="AG101" s="78" t="s">
        <v>14162</v>
      </c>
      <c r="AH101" s="74"/>
      <c r="AI101" s="74"/>
      <c r="AJ101" s="74"/>
      <c r="AK101" s="74"/>
      <c r="AL101" s="74"/>
      <c r="AM101" s="78" t="s">
        <v>14163</v>
      </c>
      <c r="AN101" s="78" t="s">
        <v>14164</v>
      </c>
      <c r="AO101" s="78" t="s">
        <v>14165</v>
      </c>
      <c r="AP101" s="78" t="s">
        <v>14410</v>
      </c>
      <c r="AQ101" s="78" t="s">
        <v>14167</v>
      </c>
      <c r="AR101" s="78" t="s">
        <v>14168</v>
      </c>
      <c r="AS101" s="78" t="s">
        <v>14472</v>
      </c>
      <c r="AT101" s="78" t="s">
        <v>14473</v>
      </c>
      <c r="AU101" s="78" t="s">
        <v>14206</v>
      </c>
      <c r="AV101" s="78" t="s">
        <v>787</v>
      </c>
      <c r="AW101" s="78" t="s">
        <v>787</v>
      </c>
      <c r="AX101" s="78" t="s">
        <v>14779</v>
      </c>
      <c r="AY101" s="78" t="s">
        <v>14780</v>
      </c>
      <c r="AZ101" s="78" t="s">
        <v>14173</v>
      </c>
      <c r="BA101" s="78" t="s">
        <v>14206</v>
      </c>
      <c r="BB101" s="74"/>
      <c r="BC101" s="78" t="s">
        <v>14781</v>
      </c>
      <c r="BD101" s="78" t="s">
        <v>14551</v>
      </c>
      <c r="BE101" s="78" t="s">
        <v>14552</v>
      </c>
      <c r="BF101" s="81" t="s">
        <v>14782</v>
      </c>
      <c r="BG101" s="81" t="s">
        <v>14783</v>
      </c>
      <c r="BH101" s="81" t="s">
        <v>14784</v>
      </c>
      <c r="BI101" s="78" t="s">
        <v>14178</v>
      </c>
      <c r="BJ101" s="78" t="s">
        <v>14179</v>
      </c>
      <c r="BK101" s="78" t="s">
        <v>14785</v>
      </c>
      <c r="BL101" s="78" t="s">
        <v>14213</v>
      </c>
      <c r="BM101" s="78" t="s">
        <v>14786</v>
      </c>
      <c r="BN101" s="78" t="s">
        <v>14183</v>
      </c>
      <c r="BO101" s="78" t="s">
        <v>14184</v>
      </c>
      <c r="BP101" s="78" t="s">
        <v>14184</v>
      </c>
    </row>
    <row r="102" s="74" customFormat="1" ht="40.5" spans="65:68">
      <c r="BM102" s="78" t="s">
        <v>14787</v>
      </c>
      <c r="BN102" s="78" t="s">
        <v>14788</v>
      </c>
      <c r="BO102" s="78" t="s">
        <v>4050</v>
      </c>
      <c r="BP102" s="78" t="s">
        <v>4050</v>
      </c>
    </row>
    <row r="103" s="74" customFormat="1" ht="409.5" spans="1:68">
      <c r="A103" s="78" t="s">
        <v>14789</v>
      </c>
      <c r="B103" s="78" t="s">
        <v>14790</v>
      </c>
      <c r="C103" s="78" t="s">
        <v>14189</v>
      </c>
      <c r="D103" s="78" t="s">
        <v>14704</v>
      </c>
      <c r="E103" s="79" t="s">
        <v>14705</v>
      </c>
      <c r="F103" s="78" t="s">
        <v>14150</v>
      </c>
      <c r="G103" s="78" t="s">
        <v>14151</v>
      </c>
      <c r="H103" s="74"/>
      <c r="I103" s="74"/>
      <c r="J103" s="78" t="s">
        <v>14152</v>
      </c>
      <c r="K103" s="78" t="s">
        <v>14153</v>
      </c>
      <c r="L103" s="78" t="s">
        <v>14154</v>
      </c>
      <c r="M103" s="78" t="s">
        <v>14155</v>
      </c>
      <c r="N103" s="74"/>
      <c r="O103" s="74"/>
      <c r="P103" s="80">
        <v>144000</v>
      </c>
      <c r="Q103" s="78" t="s">
        <v>14156</v>
      </c>
      <c r="R103" s="74"/>
      <c r="S103" s="74"/>
      <c r="T103" s="78" t="s">
        <v>14157</v>
      </c>
      <c r="U103" s="74"/>
      <c r="V103" s="78" t="s">
        <v>14158</v>
      </c>
      <c r="W103" s="78" t="s">
        <v>2391</v>
      </c>
      <c r="X103" s="78" t="s">
        <v>2395</v>
      </c>
      <c r="Y103" s="78" t="s">
        <v>2397</v>
      </c>
      <c r="Z103" s="78" t="s">
        <v>14790</v>
      </c>
      <c r="AA103" s="78" t="s">
        <v>14156</v>
      </c>
      <c r="AB103" s="78" t="s">
        <v>14156</v>
      </c>
      <c r="AC103" s="79" t="s">
        <v>14754</v>
      </c>
      <c r="AD103" s="79" t="s">
        <v>14754</v>
      </c>
      <c r="AE103" s="78" t="s">
        <v>14160</v>
      </c>
      <c r="AF103" s="78" t="s">
        <v>14161</v>
      </c>
      <c r="AG103" s="78" t="s">
        <v>14162</v>
      </c>
      <c r="AH103" s="74"/>
      <c r="AI103" s="74"/>
      <c r="AJ103" s="74"/>
      <c r="AK103" s="74"/>
      <c r="AL103" s="74"/>
      <c r="AM103" s="78" t="s">
        <v>14163</v>
      </c>
      <c r="AN103" s="78" t="s">
        <v>14164</v>
      </c>
      <c r="AO103" s="78" t="s">
        <v>14192</v>
      </c>
      <c r="AP103" s="78" t="s">
        <v>14166</v>
      </c>
      <c r="AQ103" s="78" t="s">
        <v>14193</v>
      </c>
      <c r="AR103" s="78" t="s">
        <v>14194</v>
      </c>
      <c r="AS103" s="78" t="s">
        <v>14472</v>
      </c>
      <c r="AT103" s="78" t="s">
        <v>14473</v>
      </c>
      <c r="AU103" s="78" t="s">
        <v>14206</v>
      </c>
      <c r="AV103" s="78" t="s">
        <v>787</v>
      </c>
      <c r="AW103" s="78" t="s">
        <v>787</v>
      </c>
      <c r="AX103" s="78" t="s">
        <v>14791</v>
      </c>
      <c r="AY103" s="78" t="s">
        <v>14792</v>
      </c>
      <c r="AZ103" s="78" t="s">
        <v>14173</v>
      </c>
      <c r="BA103" s="78" t="s">
        <v>14206</v>
      </c>
      <c r="BB103" s="74"/>
      <c r="BC103" s="78" t="s">
        <v>14709</v>
      </c>
      <c r="BD103" s="78" t="s">
        <v>14551</v>
      </c>
      <c r="BE103" s="78" t="s">
        <v>14552</v>
      </c>
      <c r="BF103" s="74"/>
      <c r="BG103" s="81" t="s">
        <v>14793</v>
      </c>
      <c r="BH103" s="81" t="s">
        <v>14794</v>
      </c>
      <c r="BI103" s="74"/>
      <c r="BJ103" s="74"/>
      <c r="BK103" s="78" t="s">
        <v>14795</v>
      </c>
      <c r="BL103" s="78" t="s">
        <v>14213</v>
      </c>
      <c r="BM103" s="78" t="s">
        <v>14796</v>
      </c>
      <c r="BN103" s="78" t="s">
        <v>14183</v>
      </c>
      <c r="BO103" s="78" t="s">
        <v>14184</v>
      </c>
      <c r="BP103" s="78" t="s">
        <v>14184</v>
      </c>
    </row>
    <row r="104" s="74" customFormat="1" ht="54" spans="65:68">
      <c r="BM104" s="78" t="s">
        <v>14797</v>
      </c>
      <c r="BN104" s="78" t="s">
        <v>14716</v>
      </c>
      <c r="BO104" s="78" t="s">
        <v>4058</v>
      </c>
      <c r="BP104" s="78" t="s">
        <v>4058</v>
      </c>
    </row>
    <row r="105" s="74" customFormat="1" ht="409.5" spans="1:68">
      <c r="A105" s="78" t="s">
        <v>14798</v>
      </c>
      <c r="B105" s="78" t="s">
        <v>2830</v>
      </c>
      <c r="C105" s="78" t="s">
        <v>14147</v>
      </c>
      <c r="D105" s="78" t="s">
        <v>14799</v>
      </c>
      <c r="E105" s="79" t="s">
        <v>14443</v>
      </c>
      <c r="F105" s="78" t="s">
        <v>14150</v>
      </c>
      <c r="G105" s="78" t="s">
        <v>14151</v>
      </c>
      <c r="H105" s="74"/>
      <c r="I105" s="74"/>
      <c r="J105" s="78" t="s">
        <v>14152</v>
      </c>
      <c r="K105" s="78" t="s">
        <v>14153</v>
      </c>
      <c r="L105" s="78" t="s">
        <v>14154</v>
      </c>
      <c r="M105" s="78" t="s">
        <v>14155</v>
      </c>
      <c r="N105" s="74"/>
      <c r="O105" s="74"/>
      <c r="P105" s="80">
        <v>91000</v>
      </c>
      <c r="Q105" s="78" t="s">
        <v>14156</v>
      </c>
      <c r="R105" s="80">
        <v>91000</v>
      </c>
      <c r="S105" s="74"/>
      <c r="T105" s="78" t="s">
        <v>14157</v>
      </c>
      <c r="U105" s="74"/>
      <c r="V105" s="78" t="s">
        <v>14158</v>
      </c>
      <c r="W105" s="78" t="s">
        <v>2391</v>
      </c>
      <c r="X105" s="78" t="s">
        <v>2395</v>
      </c>
      <c r="Y105" s="78" t="s">
        <v>2397</v>
      </c>
      <c r="Z105" s="78" t="s">
        <v>2830</v>
      </c>
      <c r="AA105" s="78" t="s">
        <v>14156</v>
      </c>
      <c r="AB105" s="78" t="s">
        <v>14156</v>
      </c>
      <c r="AC105" s="79" t="s">
        <v>14754</v>
      </c>
      <c r="AD105" s="79" t="s">
        <v>14754</v>
      </c>
      <c r="AE105" s="78" t="s">
        <v>14160</v>
      </c>
      <c r="AF105" s="78" t="s">
        <v>14161</v>
      </c>
      <c r="AG105" s="78" t="s">
        <v>14162</v>
      </c>
      <c r="AH105" s="74"/>
      <c r="AI105" s="74"/>
      <c r="AJ105" s="74"/>
      <c r="AK105" s="74"/>
      <c r="AL105" s="74"/>
      <c r="AM105" s="78" t="s">
        <v>14690</v>
      </c>
      <c r="AN105" s="78" t="s">
        <v>14691</v>
      </c>
      <c r="AO105" s="78" t="s">
        <v>14165</v>
      </c>
      <c r="AP105" s="78" t="s">
        <v>14410</v>
      </c>
      <c r="AQ105" s="78" t="s">
        <v>14167</v>
      </c>
      <c r="AR105" s="78" t="s">
        <v>14168</v>
      </c>
      <c r="AS105" s="78" t="s">
        <v>14800</v>
      </c>
      <c r="AT105" s="78" t="s">
        <v>14801</v>
      </c>
      <c r="AU105" s="78" t="s">
        <v>14631</v>
      </c>
      <c r="AV105" s="78" t="s">
        <v>787</v>
      </c>
      <c r="AW105" s="78" t="s">
        <v>787</v>
      </c>
      <c r="AX105" s="78" t="s">
        <v>14802</v>
      </c>
      <c r="AY105" s="78" t="s">
        <v>14803</v>
      </c>
      <c r="AZ105" s="78" t="s">
        <v>14173</v>
      </c>
      <c r="BA105" s="78" t="s">
        <v>14631</v>
      </c>
      <c r="BB105" s="74"/>
      <c r="BC105" s="78" t="s">
        <v>14804</v>
      </c>
      <c r="BD105" s="78" t="s">
        <v>14551</v>
      </c>
      <c r="BE105" s="78" t="s">
        <v>14552</v>
      </c>
      <c r="BF105" s="81" t="s">
        <v>14805</v>
      </c>
      <c r="BG105" s="81" t="s">
        <v>14806</v>
      </c>
      <c r="BH105" s="81" t="s">
        <v>14807</v>
      </c>
      <c r="BI105" s="78" t="s">
        <v>14178</v>
      </c>
      <c r="BJ105" s="78" t="s">
        <v>14179</v>
      </c>
      <c r="BK105" s="78" t="s">
        <v>14808</v>
      </c>
      <c r="BL105" s="78" t="s">
        <v>14639</v>
      </c>
      <c r="BM105" s="78" t="s">
        <v>14809</v>
      </c>
      <c r="BN105" s="78" t="s">
        <v>14183</v>
      </c>
      <c r="BO105" s="78" t="s">
        <v>14184</v>
      </c>
      <c r="BP105" s="78" t="s">
        <v>14184</v>
      </c>
    </row>
    <row r="106" s="74" customFormat="1" ht="40.5" spans="65:68">
      <c r="BM106" s="78" t="s">
        <v>14810</v>
      </c>
      <c r="BN106" s="78" t="s">
        <v>14739</v>
      </c>
      <c r="BO106" s="78" t="s">
        <v>3898</v>
      </c>
      <c r="BP106" s="78" t="s">
        <v>3898</v>
      </c>
    </row>
    <row r="107" s="74" customFormat="1" ht="409.5" spans="1:68">
      <c r="A107" s="78" t="s">
        <v>14811</v>
      </c>
      <c r="B107" s="78" t="s">
        <v>2831</v>
      </c>
      <c r="C107" s="78" t="s">
        <v>14147</v>
      </c>
      <c r="D107" s="78" t="s">
        <v>14812</v>
      </c>
      <c r="E107" s="79" t="s">
        <v>14443</v>
      </c>
      <c r="F107" s="78" t="s">
        <v>14150</v>
      </c>
      <c r="G107" s="78" t="s">
        <v>14151</v>
      </c>
      <c r="H107" s="74"/>
      <c r="I107" s="74"/>
      <c r="J107" s="78" t="s">
        <v>14152</v>
      </c>
      <c r="K107" s="78" t="s">
        <v>14153</v>
      </c>
      <c r="L107" s="78" t="s">
        <v>14154</v>
      </c>
      <c r="M107" s="78" t="s">
        <v>14155</v>
      </c>
      <c r="N107" s="74"/>
      <c r="O107" s="74"/>
      <c r="P107" s="80">
        <v>49048</v>
      </c>
      <c r="Q107" s="78" t="s">
        <v>14156</v>
      </c>
      <c r="R107" s="80">
        <v>49048</v>
      </c>
      <c r="S107" s="74"/>
      <c r="T107" s="78" t="s">
        <v>14157</v>
      </c>
      <c r="U107" s="74"/>
      <c r="V107" s="78" t="s">
        <v>14158</v>
      </c>
      <c r="W107" s="78" t="s">
        <v>2391</v>
      </c>
      <c r="X107" s="78" t="s">
        <v>2395</v>
      </c>
      <c r="Y107" s="78" t="s">
        <v>2397</v>
      </c>
      <c r="Z107" s="78" t="s">
        <v>2831</v>
      </c>
      <c r="AA107" s="78" t="s">
        <v>14156</v>
      </c>
      <c r="AB107" s="78" t="s">
        <v>14156</v>
      </c>
      <c r="AC107" s="79" t="s">
        <v>14813</v>
      </c>
      <c r="AD107" s="79" t="s">
        <v>14813</v>
      </c>
      <c r="AE107" s="78" t="s">
        <v>14160</v>
      </c>
      <c r="AF107" s="78" t="s">
        <v>14161</v>
      </c>
      <c r="AG107" s="78" t="s">
        <v>14162</v>
      </c>
      <c r="AH107" s="74"/>
      <c r="AI107" s="74"/>
      <c r="AJ107" s="74"/>
      <c r="AK107" s="74"/>
      <c r="AL107" s="74"/>
      <c r="AM107" s="78" t="s">
        <v>14690</v>
      </c>
      <c r="AN107" s="78" t="s">
        <v>14691</v>
      </c>
      <c r="AO107" s="78" t="s">
        <v>14165</v>
      </c>
      <c r="AP107" s="78" t="s">
        <v>14410</v>
      </c>
      <c r="AQ107" s="78" t="s">
        <v>14167</v>
      </c>
      <c r="AR107" s="78" t="s">
        <v>14168</v>
      </c>
      <c r="AS107" s="78" t="s">
        <v>14814</v>
      </c>
      <c r="AT107" s="78" t="s">
        <v>11245</v>
      </c>
      <c r="AU107" s="78" t="s">
        <v>14631</v>
      </c>
      <c r="AV107" s="78" t="s">
        <v>787</v>
      </c>
      <c r="AW107" s="78" t="s">
        <v>787</v>
      </c>
      <c r="AX107" s="78" t="s">
        <v>14815</v>
      </c>
      <c r="AY107" s="78" t="s">
        <v>14816</v>
      </c>
      <c r="AZ107" s="78" t="s">
        <v>14173</v>
      </c>
      <c r="BA107" s="78" t="s">
        <v>14631</v>
      </c>
      <c r="BB107" s="74"/>
      <c r="BC107" s="78" t="s">
        <v>14817</v>
      </c>
      <c r="BD107" s="78" t="s">
        <v>14551</v>
      </c>
      <c r="BE107" s="78" t="s">
        <v>14552</v>
      </c>
      <c r="BF107" s="81" t="s">
        <v>14818</v>
      </c>
      <c r="BG107" s="81" t="s">
        <v>14819</v>
      </c>
      <c r="BH107" s="81" t="s">
        <v>14820</v>
      </c>
      <c r="BI107" s="78" t="s">
        <v>14178</v>
      </c>
      <c r="BJ107" s="78" t="s">
        <v>14179</v>
      </c>
      <c r="BK107" s="78" t="s">
        <v>14821</v>
      </c>
      <c r="BL107" s="78" t="s">
        <v>14639</v>
      </c>
      <c r="BM107" s="78" t="s">
        <v>14822</v>
      </c>
      <c r="BN107" s="78" t="s">
        <v>14183</v>
      </c>
      <c r="BO107" s="78" t="s">
        <v>14184</v>
      </c>
      <c r="BP107" s="78" t="s">
        <v>14184</v>
      </c>
    </row>
    <row r="108" s="74" customFormat="1" ht="54" spans="65:68">
      <c r="BM108" s="78" t="s">
        <v>14823</v>
      </c>
      <c r="BN108" s="78" t="s">
        <v>14824</v>
      </c>
      <c r="BO108" s="78" t="s">
        <v>4065</v>
      </c>
      <c r="BP108" s="78" t="s">
        <v>4065</v>
      </c>
    </row>
    <row r="109" s="74" customFormat="1" ht="409.5" spans="1:68">
      <c r="A109" s="78" t="s">
        <v>14825</v>
      </c>
      <c r="B109" s="78" t="s">
        <v>2827</v>
      </c>
      <c r="C109" s="78" t="s">
        <v>14147</v>
      </c>
      <c r="D109" s="78" t="s">
        <v>14826</v>
      </c>
      <c r="E109" s="79" t="s">
        <v>14443</v>
      </c>
      <c r="F109" s="78" t="s">
        <v>14150</v>
      </c>
      <c r="G109" s="78" t="s">
        <v>14151</v>
      </c>
      <c r="H109" s="74"/>
      <c r="I109" s="74"/>
      <c r="J109" s="78" t="s">
        <v>14152</v>
      </c>
      <c r="K109" s="78" t="s">
        <v>14153</v>
      </c>
      <c r="L109" s="78" t="s">
        <v>14154</v>
      </c>
      <c r="M109" s="78" t="s">
        <v>14155</v>
      </c>
      <c r="N109" s="74"/>
      <c r="O109" s="74"/>
      <c r="P109" s="80">
        <v>94800</v>
      </c>
      <c r="Q109" s="78" t="s">
        <v>14156</v>
      </c>
      <c r="R109" s="74"/>
      <c r="S109" s="74"/>
      <c r="T109" s="78" t="s">
        <v>14157</v>
      </c>
      <c r="U109" s="74"/>
      <c r="V109" s="78" t="s">
        <v>14158</v>
      </c>
      <c r="W109" s="78" t="s">
        <v>2391</v>
      </c>
      <c r="X109" s="78" t="s">
        <v>2395</v>
      </c>
      <c r="Y109" s="78" t="s">
        <v>2397</v>
      </c>
      <c r="Z109" s="78" t="s">
        <v>2827</v>
      </c>
      <c r="AA109" s="78" t="s">
        <v>14156</v>
      </c>
      <c r="AB109" s="78" t="s">
        <v>14156</v>
      </c>
      <c r="AC109" s="79" t="s">
        <v>14754</v>
      </c>
      <c r="AD109" s="79" t="s">
        <v>14754</v>
      </c>
      <c r="AE109" s="78" t="s">
        <v>14252</v>
      </c>
      <c r="AF109" s="78" t="s">
        <v>14253</v>
      </c>
      <c r="AG109" s="78" t="s">
        <v>14162</v>
      </c>
      <c r="AH109" s="74"/>
      <c r="AI109" s="74"/>
      <c r="AJ109" s="74"/>
      <c r="AK109" s="74"/>
      <c r="AL109" s="74"/>
      <c r="AM109" s="78" t="s">
        <v>14163</v>
      </c>
      <c r="AN109" s="78" t="s">
        <v>14164</v>
      </c>
      <c r="AO109" s="78" t="s">
        <v>14165</v>
      </c>
      <c r="AP109" s="78" t="s">
        <v>14410</v>
      </c>
      <c r="AQ109" s="78" t="s">
        <v>14167</v>
      </c>
      <c r="AR109" s="78" t="s">
        <v>14168</v>
      </c>
      <c r="AS109" s="78" t="s">
        <v>14827</v>
      </c>
      <c r="AT109" s="78" t="s">
        <v>4156</v>
      </c>
      <c r="AU109" s="78" t="s">
        <v>14206</v>
      </c>
      <c r="AV109" s="78" t="s">
        <v>787</v>
      </c>
      <c r="AW109" s="78" t="s">
        <v>787</v>
      </c>
      <c r="AX109" s="78" t="s">
        <v>14828</v>
      </c>
      <c r="AY109" s="78" t="s">
        <v>14829</v>
      </c>
      <c r="AZ109" s="78" t="s">
        <v>14173</v>
      </c>
      <c r="BA109" s="78" t="s">
        <v>14206</v>
      </c>
      <c r="BB109" s="74"/>
      <c r="BC109" s="78" t="s">
        <v>14830</v>
      </c>
      <c r="BD109" s="78" t="s">
        <v>14551</v>
      </c>
      <c r="BE109" s="78" t="s">
        <v>14552</v>
      </c>
      <c r="BF109" s="81" t="s">
        <v>14831</v>
      </c>
      <c r="BG109" s="81" t="s">
        <v>14832</v>
      </c>
      <c r="BH109" s="81" t="s">
        <v>14833</v>
      </c>
      <c r="BI109" s="78" t="s">
        <v>14178</v>
      </c>
      <c r="BJ109" s="78" t="s">
        <v>14179</v>
      </c>
      <c r="BK109" s="78" t="s">
        <v>14834</v>
      </c>
      <c r="BL109" s="78" t="s">
        <v>14213</v>
      </c>
      <c r="BM109" s="78" t="s">
        <v>14835</v>
      </c>
      <c r="BN109" s="78" t="s">
        <v>14183</v>
      </c>
      <c r="BO109" s="78" t="s">
        <v>14184</v>
      </c>
      <c r="BP109" s="78" t="s">
        <v>14184</v>
      </c>
    </row>
    <row r="110" s="74" customFormat="1" ht="54" spans="65:68">
      <c r="BM110" s="78" t="s">
        <v>14836</v>
      </c>
      <c r="BN110" s="78" t="s">
        <v>14837</v>
      </c>
      <c r="BO110" s="78" t="s">
        <v>4158</v>
      </c>
      <c r="BP110" s="78" t="s">
        <v>4158</v>
      </c>
    </row>
    <row r="111" s="74" customFormat="1" ht="409.5" spans="1:68">
      <c r="A111" s="78" t="s">
        <v>14838</v>
      </c>
      <c r="B111" s="78" t="s">
        <v>14839</v>
      </c>
      <c r="C111" s="78" t="s">
        <v>14189</v>
      </c>
      <c r="D111" s="78" t="s">
        <v>14689</v>
      </c>
      <c r="E111" s="79" t="s">
        <v>14443</v>
      </c>
      <c r="F111" s="78" t="s">
        <v>14150</v>
      </c>
      <c r="G111" s="78" t="s">
        <v>14151</v>
      </c>
      <c r="H111" s="74"/>
      <c r="I111" s="74"/>
      <c r="J111" s="78" t="s">
        <v>14152</v>
      </c>
      <c r="K111" s="78" t="s">
        <v>14153</v>
      </c>
      <c r="L111" s="78" t="s">
        <v>14154</v>
      </c>
      <c r="M111" s="78" t="s">
        <v>14155</v>
      </c>
      <c r="N111" s="74"/>
      <c r="O111" s="74"/>
      <c r="P111" s="80">
        <v>90000</v>
      </c>
      <c r="Q111" s="78" t="s">
        <v>14156</v>
      </c>
      <c r="R111" s="80">
        <v>90000</v>
      </c>
      <c r="S111" s="74"/>
      <c r="T111" s="78" t="s">
        <v>14157</v>
      </c>
      <c r="U111" s="74"/>
      <c r="V111" s="78" t="s">
        <v>14158</v>
      </c>
      <c r="W111" s="78" t="s">
        <v>2391</v>
      </c>
      <c r="X111" s="78" t="s">
        <v>2395</v>
      </c>
      <c r="Y111" s="78" t="s">
        <v>2397</v>
      </c>
      <c r="Z111" s="78" t="s">
        <v>14839</v>
      </c>
      <c r="AA111" s="78" t="s">
        <v>14156</v>
      </c>
      <c r="AB111" s="78" t="s">
        <v>14156</v>
      </c>
      <c r="AC111" s="79" t="s">
        <v>14840</v>
      </c>
      <c r="AD111" s="79" t="s">
        <v>14840</v>
      </c>
      <c r="AE111" s="78" t="s">
        <v>14252</v>
      </c>
      <c r="AF111" s="78" t="s">
        <v>14253</v>
      </c>
      <c r="AG111" s="78" t="s">
        <v>14162</v>
      </c>
      <c r="AH111" s="74"/>
      <c r="AI111" s="74"/>
      <c r="AJ111" s="74"/>
      <c r="AK111" s="74"/>
      <c r="AL111" s="74"/>
      <c r="AM111" s="78" t="s">
        <v>14690</v>
      </c>
      <c r="AN111" s="78" t="s">
        <v>14691</v>
      </c>
      <c r="AO111" s="78" t="s">
        <v>14192</v>
      </c>
      <c r="AP111" s="78" t="s">
        <v>14166</v>
      </c>
      <c r="AQ111" s="78" t="s">
        <v>14193</v>
      </c>
      <c r="AR111" s="78" t="s">
        <v>14194</v>
      </c>
      <c r="AS111" s="78" t="s">
        <v>14692</v>
      </c>
      <c r="AT111" s="78" t="s">
        <v>4167</v>
      </c>
      <c r="AU111" s="78" t="s">
        <v>14631</v>
      </c>
      <c r="AV111" s="78" t="s">
        <v>787</v>
      </c>
      <c r="AW111" s="78" t="s">
        <v>787</v>
      </c>
      <c r="AX111" s="78" t="s">
        <v>14841</v>
      </c>
      <c r="AY111" s="78" t="s">
        <v>14842</v>
      </c>
      <c r="AZ111" s="78" t="s">
        <v>14173</v>
      </c>
      <c r="BA111" s="78" t="s">
        <v>14631</v>
      </c>
      <c r="BB111" s="74"/>
      <c r="BC111" s="78" t="s">
        <v>14695</v>
      </c>
      <c r="BD111" s="78" t="s">
        <v>14551</v>
      </c>
      <c r="BE111" s="78" t="s">
        <v>14552</v>
      </c>
      <c r="BF111" s="74"/>
      <c r="BG111" s="81" t="s">
        <v>14843</v>
      </c>
      <c r="BH111" s="81" t="s">
        <v>14844</v>
      </c>
      <c r="BI111" s="74"/>
      <c r="BJ111" s="74"/>
      <c r="BK111" s="78" t="s">
        <v>14845</v>
      </c>
      <c r="BL111" s="78" t="s">
        <v>14639</v>
      </c>
      <c r="BM111" s="78" t="s">
        <v>14846</v>
      </c>
      <c r="BN111" s="78" t="s">
        <v>14183</v>
      </c>
      <c r="BO111" s="78" t="s">
        <v>14184</v>
      </c>
      <c r="BP111" s="78" t="s">
        <v>14184</v>
      </c>
    </row>
    <row r="112" s="74" customFormat="1" ht="54" spans="65:68">
      <c r="BM112" s="78" t="s">
        <v>14847</v>
      </c>
      <c r="BN112" s="78" t="s">
        <v>14702</v>
      </c>
      <c r="BO112" s="78" t="s">
        <v>4169</v>
      </c>
      <c r="BP112" s="78" t="s">
        <v>4169</v>
      </c>
    </row>
    <row r="113" s="74" customFormat="1" ht="409.5" spans="1:68">
      <c r="A113" s="78" t="s">
        <v>14848</v>
      </c>
      <c r="B113" s="78" t="s">
        <v>14849</v>
      </c>
      <c r="C113" s="78" t="s">
        <v>14189</v>
      </c>
      <c r="D113" s="78" t="s">
        <v>14728</v>
      </c>
      <c r="E113" s="79" t="s">
        <v>14443</v>
      </c>
      <c r="F113" s="78" t="s">
        <v>14150</v>
      </c>
      <c r="G113" s="78" t="s">
        <v>14151</v>
      </c>
      <c r="H113" s="74"/>
      <c r="I113" s="74"/>
      <c r="J113" s="78" t="s">
        <v>14152</v>
      </c>
      <c r="K113" s="78" t="s">
        <v>14153</v>
      </c>
      <c r="L113" s="78" t="s">
        <v>14154</v>
      </c>
      <c r="M113" s="78" t="s">
        <v>14155</v>
      </c>
      <c r="N113" s="74"/>
      <c r="O113" s="74"/>
      <c r="P113" s="80">
        <v>4874657.04</v>
      </c>
      <c r="Q113" s="78" t="s">
        <v>14156</v>
      </c>
      <c r="R113" s="80">
        <v>4874657.04</v>
      </c>
      <c r="S113" s="74"/>
      <c r="T113" s="78" t="s">
        <v>14157</v>
      </c>
      <c r="U113" s="74"/>
      <c r="V113" s="78" t="s">
        <v>14158</v>
      </c>
      <c r="W113" s="78" t="s">
        <v>2391</v>
      </c>
      <c r="X113" s="78" t="s">
        <v>2395</v>
      </c>
      <c r="Y113" s="78" t="s">
        <v>2397</v>
      </c>
      <c r="Z113" s="78" t="s">
        <v>14849</v>
      </c>
      <c r="AA113" s="78" t="s">
        <v>14156</v>
      </c>
      <c r="AB113" s="78" t="s">
        <v>14156</v>
      </c>
      <c r="AC113" s="79" t="s">
        <v>14840</v>
      </c>
      <c r="AD113" s="79" t="s">
        <v>14840</v>
      </c>
      <c r="AE113" s="78" t="s">
        <v>14252</v>
      </c>
      <c r="AF113" s="78" t="s">
        <v>14253</v>
      </c>
      <c r="AG113" s="78" t="s">
        <v>14162</v>
      </c>
      <c r="AH113" s="74"/>
      <c r="AI113" s="74"/>
      <c r="AJ113" s="74"/>
      <c r="AK113" s="74"/>
      <c r="AL113" s="74"/>
      <c r="AM113" s="78" t="s">
        <v>14690</v>
      </c>
      <c r="AN113" s="78" t="s">
        <v>14691</v>
      </c>
      <c r="AO113" s="78" t="s">
        <v>14192</v>
      </c>
      <c r="AP113" s="78" t="s">
        <v>14166</v>
      </c>
      <c r="AQ113" s="78" t="s">
        <v>14193</v>
      </c>
      <c r="AR113" s="78" t="s">
        <v>14194</v>
      </c>
      <c r="AS113" s="78" t="s">
        <v>14729</v>
      </c>
      <c r="AT113" s="78" t="s">
        <v>4143</v>
      </c>
      <c r="AU113" s="78" t="s">
        <v>14631</v>
      </c>
      <c r="AV113" s="78" t="s">
        <v>787</v>
      </c>
      <c r="AW113" s="78" t="s">
        <v>787</v>
      </c>
      <c r="AX113" s="78" t="s">
        <v>14850</v>
      </c>
      <c r="AY113" s="78" t="s">
        <v>14851</v>
      </c>
      <c r="AZ113" s="78" t="s">
        <v>14173</v>
      </c>
      <c r="BA113" s="78" t="s">
        <v>14631</v>
      </c>
      <c r="BB113" s="74"/>
      <c r="BC113" s="78" t="s">
        <v>14732</v>
      </c>
      <c r="BD113" s="78" t="s">
        <v>14551</v>
      </c>
      <c r="BE113" s="78" t="s">
        <v>14552</v>
      </c>
      <c r="BF113" s="74"/>
      <c r="BG113" s="81" t="s">
        <v>14852</v>
      </c>
      <c r="BH113" s="81" t="s">
        <v>14853</v>
      </c>
      <c r="BI113" s="74"/>
      <c r="BJ113" s="74"/>
      <c r="BK113" s="78" t="s">
        <v>14854</v>
      </c>
      <c r="BL113" s="78" t="s">
        <v>14639</v>
      </c>
      <c r="BM113" s="78" t="s">
        <v>14855</v>
      </c>
      <c r="BN113" s="78" t="s">
        <v>14183</v>
      </c>
      <c r="BO113" s="78" t="s">
        <v>14184</v>
      </c>
      <c r="BP113" s="78" t="s">
        <v>14184</v>
      </c>
    </row>
    <row r="114" s="74" customFormat="1" ht="40.5" spans="65:68">
      <c r="BM114" s="78" t="s">
        <v>14856</v>
      </c>
      <c r="BN114" s="78" t="s">
        <v>14739</v>
      </c>
      <c r="BO114" s="78" t="s">
        <v>3898</v>
      </c>
      <c r="BP114" s="78" t="s">
        <v>3898</v>
      </c>
    </row>
    <row r="115" s="74" customFormat="1" ht="409.5" spans="1:68">
      <c r="A115" s="78" t="s">
        <v>14857</v>
      </c>
      <c r="B115" s="78" t="s">
        <v>14858</v>
      </c>
      <c r="C115" s="78" t="s">
        <v>14189</v>
      </c>
      <c r="D115" s="78" t="s">
        <v>14859</v>
      </c>
      <c r="E115" s="79" t="s">
        <v>14443</v>
      </c>
      <c r="F115" s="78" t="s">
        <v>14150</v>
      </c>
      <c r="G115" s="78" t="s">
        <v>14151</v>
      </c>
      <c r="H115" s="74"/>
      <c r="I115" s="74"/>
      <c r="J115" s="78" t="s">
        <v>14152</v>
      </c>
      <c r="K115" s="78" t="s">
        <v>14153</v>
      </c>
      <c r="L115" s="78" t="s">
        <v>14154</v>
      </c>
      <c r="M115" s="78" t="s">
        <v>14155</v>
      </c>
      <c r="N115" s="74"/>
      <c r="O115" s="74"/>
      <c r="P115" s="80">
        <v>94800</v>
      </c>
      <c r="Q115" s="78" t="s">
        <v>14156</v>
      </c>
      <c r="R115" s="74"/>
      <c r="S115" s="74"/>
      <c r="T115" s="78" t="s">
        <v>14157</v>
      </c>
      <c r="U115" s="74"/>
      <c r="V115" s="78" t="s">
        <v>14158</v>
      </c>
      <c r="W115" s="78" t="s">
        <v>2391</v>
      </c>
      <c r="X115" s="78" t="s">
        <v>2395</v>
      </c>
      <c r="Y115" s="78" t="s">
        <v>2397</v>
      </c>
      <c r="Z115" s="78" t="s">
        <v>14858</v>
      </c>
      <c r="AA115" s="78" t="s">
        <v>14156</v>
      </c>
      <c r="AB115" s="78" t="s">
        <v>14156</v>
      </c>
      <c r="AC115" s="79" t="s">
        <v>14860</v>
      </c>
      <c r="AD115" s="79" t="s">
        <v>14861</v>
      </c>
      <c r="AE115" s="78" t="s">
        <v>14252</v>
      </c>
      <c r="AF115" s="78" t="s">
        <v>14253</v>
      </c>
      <c r="AG115" s="78" t="s">
        <v>14162</v>
      </c>
      <c r="AH115" s="74"/>
      <c r="AI115" s="74"/>
      <c r="AJ115" s="74"/>
      <c r="AK115" s="74"/>
      <c r="AL115" s="74"/>
      <c r="AM115" s="78" t="s">
        <v>14163</v>
      </c>
      <c r="AN115" s="78" t="s">
        <v>14164</v>
      </c>
      <c r="AO115" s="78" t="s">
        <v>14192</v>
      </c>
      <c r="AP115" s="78" t="s">
        <v>14166</v>
      </c>
      <c r="AQ115" s="78" t="s">
        <v>14193</v>
      </c>
      <c r="AR115" s="78" t="s">
        <v>14194</v>
      </c>
      <c r="AS115" s="78" t="s">
        <v>14827</v>
      </c>
      <c r="AT115" s="78" t="s">
        <v>4156</v>
      </c>
      <c r="AU115" s="78" t="s">
        <v>14206</v>
      </c>
      <c r="AV115" s="78" t="s">
        <v>787</v>
      </c>
      <c r="AW115" s="78" t="s">
        <v>787</v>
      </c>
      <c r="AX115" s="78" t="s">
        <v>14862</v>
      </c>
      <c r="AY115" s="78" t="s">
        <v>14863</v>
      </c>
      <c r="AZ115" s="78" t="s">
        <v>14173</v>
      </c>
      <c r="BA115" s="78" t="s">
        <v>14206</v>
      </c>
      <c r="BB115" s="74"/>
      <c r="BC115" s="78" t="s">
        <v>14830</v>
      </c>
      <c r="BD115" s="78" t="s">
        <v>14551</v>
      </c>
      <c r="BE115" s="78" t="s">
        <v>14552</v>
      </c>
      <c r="BF115" s="74"/>
      <c r="BG115" s="81" t="s">
        <v>14864</v>
      </c>
      <c r="BH115" s="81" t="s">
        <v>14865</v>
      </c>
      <c r="BI115" s="74"/>
      <c r="BJ115" s="74"/>
      <c r="BK115" s="78" t="s">
        <v>14866</v>
      </c>
      <c r="BL115" s="78" t="s">
        <v>14213</v>
      </c>
      <c r="BM115" s="78" t="s">
        <v>14867</v>
      </c>
      <c r="BN115" s="78" t="s">
        <v>14183</v>
      </c>
      <c r="BO115" s="78" t="s">
        <v>14184</v>
      </c>
      <c r="BP115" s="78" t="s">
        <v>14184</v>
      </c>
    </row>
    <row r="116" s="74" customFormat="1" ht="54" spans="65:68">
      <c r="BM116" s="78" t="s">
        <v>14868</v>
      </c>
      <c r="BN116" s="78" t="s">
        <v>14837</v>
      </c>
      <c r="BO116" s="78" t="s">
        <v>4158</v>
      </c>
      <c r="BP116" s="78" t="s">
        <v>4158</v>
      </c>
    </row>
    <row r="117" s="74" customFormat="1" ht="409.5" spans="1:68">
      <c r="A117" s="78" t="s">
        <v>14869</v>
      </c>
      <c r="B117" s="78" t="s">
        <v>14870</v>
      </c>
      <c r="C117" s="78" t="s">
        <v>14189</v>
      </c>
      <c r="D117" s="78" t="s">
        <v>14871</v>
      </c>
      <c r="E117" s="79" t="s">
        <v>14443</v>
      </c>
      <c r="F117" s="78" t="s">
        <v>14150</v>
      </c>
      <c r="G117" s="78" t="s">
        <v>14151</v>
      </c>
      <c r="H117" s="74"/>
      <c r="I117" s="74"/>
      <c r="J117" s="78" t="s">
        <v>14152</v>
      </c>
      <c r="K117" s="78" t="s">
        <v>14153</v>
      </c>
      <c r="L117" s="78" t="s">
        <v>14154</v>
      </c>
      <c r="M117" s="78" t="s">
        <v>14155</v>
      </c>
      <c r="N117" s="74"/>
      <c r="O117" s="74"/>
      <c r="P117" s="80">
        <v>90000</v>
      </c>
      <c r="Q117" s="78" t="s">
        <v>14156</v>
      </c>
      <c r="R117" s="80">
        <v>90000</v>
      </c>
      <c r="S117" s="74"/>
      <c r="T117" s="78" t="s">
        <v>14157</v>
      </c>
      <c r="U117" s="74"/>
      <c r="V117" s="78" t="s">
        <v>14158</v>
      </c>
      <c r="W117" s="78" t="s">
        <v>2391</v>
      </c>
      <c r="X117" s="78" t="s">
        <v>2395</v>
      </c>
      <c r="Y117" s="78" t="s">
        <v>2397</v>
      </c>
      <c r="Z117" s="78" t="s">
        <v>14870</v>
      </c>
      <c r="AA117" s="78" t="s">
        <v>14156</v>
      </c>
      <c r="AB117" s="78" t="s">
        <v>14156</v>
      </c>
      <c r="AC117" s="79" t="s">
        <v>14872</v>
      </c>
      <c r="AD117" s="79" t="s">
        <v>14873</v>
      </c>
      <c r="AE117" s="78" t="s">
        <v>14252</v>
      </c>
      <c r="AF117" s="78" t="s">
        <v>14253</v>
      </c>
      <c r="AG117" s="78" t="s">
        <v>14162</v>
      </c>
      <c r="AH117" s="74"/>
      <c r="AI117" s="74"/>
      <c r="AJ117" s="74"/>
      <c r="AK117" s="74"/>
      <c r="AL117" s="74"/>
      <c r="AM117" s="78" t="s">
        <v>14690</v>
      </c>
      <c r="AN117" s="78" t="s">
        <v>14691</v>
      </c>
      <c r="AO117" s="78" t="s">
        <v>14192</v>
      </c>
      <c r="AP117" s="78" t="s">
        <v>14166</v>
      </c>
      <c r="AQ117" s="78" t="s">
        <v>14193</v>
      </c>
      <c r="AR117" s="78" t="s">
        <v>14194</v>
      </c>
      <c r="AS117" s="78" t="s">
        <v>14692</v>
      </c>
      <c r="AT117" s="78" t="s">
        <v>4167</v>
      </c>
      <c r="AU117" s="78" t="s">
        <v>14631</v>
      </c>
      <c r="AV117" s="78" t="s">
        <v>787</v>
      </c>
      <c r="AW117" s="78" t="s">
        <v>787</v>
      </c>
      <c r="AX117" s="78" t="s">
        <v>14874</v>
      </c>
      <c r="AY117" s="78" t="s">
        <v>14875</v>
      </c>
      <c r="AZ117" s="78" t="s">
        <v>14173</v>
      </c>
      <c r="BA117" s="78" t="s">
        <v>14631</v>
      </c>
      <c r="BB117" s="74"/>
      <c r="BC117" s="78" t="s">
        <v>14695</v>
      </c>
      <c r="BD117" s="78" t="s">
        <v>14551</v>
      </c>
      <c r="BE117" s="78" t="s">
        <v>14552</v>
      </c>
      <c r="BF117" s="74"/>
      <c r="BG117" s="81" t="s">
        <v>14876</v>
      </c>
      <c r="BH117" s="81" t="s">
        <v>14877</v>
      </c>
      <c r="BI117" s="74"/>
      <c r="BJ117" s="74"/>
      <c r="BK117" s="78" t="s">
        <v>14878</v>
      </c>
      <c r="BL117" s="78" t="s">
        <v>14639</v>
      </c>
      <c r="BM117" s="78" t="s">
        <v>14879</v>
      </c>
      <c r="BN117" s="78" t="s">
        <v>14183</v>
      </c>
      <c r="BO117" s="78" t="s">
        <v>14184</v>
      </c>
      <c r="BP117" s="78" t="s">
        <v>14184</v>
      </c>
    </row>
    <row r="118" s="74" customFormat="1" ht="54" spans="65:68">
      <c r="BM118" s="78" t="s">
        <v>14880</v>
      </c>
      <c r="BN118" s="78" t="s">
        <v>14702</v>
      </c>
      <c r="BO118" s="78" t="s">
        <v>4169</v>
      </c>
      <c r="BP118" s="78" t="s">
        <v>4169</v>
      </c>
    </row>
    <row r="119" s="74" customFormat="1" ht="409.5" spans="1:68">
      <c r="A119" s="78" t="s">
        <v>14881</v>
      </c>
      <c r="B119" s="78" t="s">
        <v>2825</v>
      </c>
      <c r="C119" s="78" t="s">
        <v>14147</v>
      </c>
      <c r="D119" s="78" t="s">
        <v>14882</v>
      </c>
      <c r="E119" s="79" t="s">
        <v>14443</v>
      </c>
      <c r="F119" s="78" t="s">
        <v>14150</v>
      </c>
      <c r="G119" s="78" t="s">
        <v>14151</v>
      </c>
      <c r="H119" s="74"/>
      <c r="I119" s="74"/>
      <c r="J119" s="78" t="s">
        <v>14152</v>
      </c>
      <c r="K119" s="78" t="s">
        <v>14153</v>
      </c>
      <c r="L119" s="78" t="s">
        <v>14154</v>
      </c>
      <c r="M119" s="78" t="s">
        <v>14155</v>
      </c>
      <c r="N119" s="74"/>
      <c r="O119" s="74"/>
      <c r="P119" s="80">
        <v>70000</v>
      </c>
      <c r="Q119" s="78" t="s">
        <v>14156</v>
      </c>
      <c r="R119" s="74"/>
      <c r="S119" s="74"/>
      <c r="T119" s="78" t="s">
        <v>14157</v>
      </c>
      <c r="U119" s="74"/>
      <c r="V119" s="78" t="s">
        <v>14158</v>
      </c>
      <c r="W119" s="78" t="s">
        <v>2391</v>
      </c>
      <c r="X119" s="78" t="s">
        <v>2395</v>
      </c>
      <c r="Y119" s="78" t="s">
        <v>2397</v>
      </c>
      <c r="Z119" s="78" t="s">
        <v>2825</v>
      </c>
      <c r="AA119" s="78" t="s">
        <v>14156</v>
      </c>
      <c r="AB119" s="78" t="s">
        <v>14156</v>
      </c>
      <c r="AC119" s="79" t="s">
        <v>14883</v>
      </c>
      <c r="AD119" s="79" t="s">
        <v>14884</v>
      </c>
      <c r="AE119" s="78" t="s">
        <v>14252</v>
      </c>
      <c r="AF119" s="78" t="s">
        <v>14253</v>
      </c>
      <c r="AG119" s="78" t="s">
        <v>14162</v>
      </c>
      <c r="AH119" s="74"/>
      <c r="AI119" s="74"/>
      <c r="AJ119" s="74"/>
      <c r="AK119" s="74"/>
      <c r="AL119" s="74"/>
      <c r="AM119" s="78" t="s">
        <v>14163</v>
      </c>
      <c r="AN119" s="78" t="s">
        <v>14164</v>
      </c>
      <c r="AO119" s="78" t="s">
        <v>14165</v>
      </c>
      <c r="AP119" s="78" t="s">
        <v>14410</v>
      </c>
      <c r="AQ119" s="78" t="s">
        <v>14167</v>
      </c>
      <c r="AR119" s="78" t="s">
        <v>14168</v>
      </c>
      <c r="AS119" s="78" t="s">
        <v>14472</v>
      </c>
      <c r="AT119" s="78" t="s">
        <v>14473</v>
      </c>
      <c r="AU119" s="78" t="s">
        <v>14206</v>
      </c>
      <c r="AV119" s="78" t="s">
        <v>787</v>
      </c>
      <c r="AW119" s="78" t="s">
        <v>787</v>
      </c>
      <c r="AX119" s="78" t="s">
        <v>14885</v>
      </c>
      <c r="AY119" s="78" t="s">
        <v>14886</v>
      </c>
      <c r="AZ119" s="78" t="s">
        <v>14173</v>
      </c>
      <c r="BA119" s="78" t="s">
        <v>14206</v>
      </c>
      <c r="BB119" s="74"/>
      <c r="BC119" s="78" t="s">
        <v>14887</v>
      </c>
      <c r="BD119" s="78" t="s">
        <v>14551</v>
      </c>
      <c r="BE119" s="78" t="s">
        <v>14552</v>
      </c>
      <c r="BF119" s="81" t="s">
        <v>14888</v>
      </c>
      <c r="BG119" s="81" t="s">
        <v>14889</v>
      </c>
      <c r="BH119" s="81" t="s">
        <v>14890</v>
      </c>
      <c r="BI119" s="78" t="s">
        <v>14178</v>
      </c>
      <c r="BJ119" s="78" t="s">
        <v>14179</v>
      </c>
      <c r="BK119" s="78" t="s">
        <v>14891</v>
      </c>
      <c r="BL119" s="78" t="s">
        <v>14213</v>
      </c>
      <c r="BM119" s="78" t="s">
        <v>14892</v>
      </c>
      <c r="BN119" s="78" t="s">
        <v>14183</v>
      </c>
      <c r="BO119" s="78" t="s">
        <v>14184</v>
      </c>
      <c r="BP119" s="78" t="s">
        <v>14184</v>
      </c>
    </row>
    <row r="120" s="74" customFormat="1" ht="54" spans="65:68">
      <c r="BM120" s="78" t="s">
        <v>14893</v>
      </c>
      <c r="BN120" s="78" t="s">
        <v>14894</v>
      </c>
      <c r="BO120" s="78" t="s">
        <v>4162</v>
      </c>
      <c r="BP120" s="78" t="s">
        <v>4162</v>
      </c>
    </row>
    <row r="121" s="74" customFormat="1" ht="409.5" spans="1:68">
      <c r="A121" s="78" t="s">
        <v>14895</v>
      </c>
      <c r="B121" s="78" t="s">
        <v>2861</v>
      </c>
      <c r="C121" s="78" t="s">
        <v>14147</v>
      </c>
      <c r="D121" s="78" t="s">
        <v>14896</v>
      </c>
      <c r="E121" s="79" t="s">
        <v>14443</v>
      </c>
      <c r="F121" s="78" t="s">
        <v>14150</v>
      </c>
      <c r="G121" s="78" t="s">
        <v>14151</v>
      </c>
      <c r="H121" s="74"/>
      <c r="I121" s="74"/>
      <c r="J121" s="78" t="s">
        <v>14152</v>
      </c>
      <c r="K121" s="78" t="s">
        <v>14153</v>
      </c>
      <c r="L121" s="78" t="s">
        <v>14154</v>
      </c>
      <c r="M121" s="78" t="s">
        <v>14155</v>
      </c>
      <c r="N121" s="74"/>
      <c r="O121" s="80">
        <v>6017.7</v>
      </c>
      <c r="P121" s="80">
        <v>6800</v>
      </c>
      <c r="Q121" s="78" t="s">
        <v>14897</v>
      </c>
      <c r="R121" s="74"/>
      <c r="S121" s="80">
        <v>782.3</v>
      </c>
      <c r="T121" s="78" t="s">
        <v>14157</v>
      </c>
      <c r="U121" s="74"/>
      <c r="V121" s="78" t="s">
        <v>14158</v>
      </c>
      <c r="W121" s="78" t="s">
        <v>2391</v>
      </c>
      <c r="X121" s="78" t="s">
        <v>2395</v>
      </c>
      <c r="Y121" s="78" t="s">
        <v>2397</v>
      </c>
      <c r="Z121" s="78" t="s">
        <v>2861</v>
      </c>
      <c r="AA121" s="78" t="s">
        <v>14156</v>
      </c>
      <c r="AB121" s="78" t="s">
        <v>14156</v>
      </c>
      <c r="AC121" s="79" t="s">
        <v>14883</v>
      </c>
      <c r="AD121" s="79" t="s">
        <v>14883</v>
      </c>
      <c r="AE121" s="78" t="s">
        <v>14252</v>
      </c>
      <c r="AF121" s="78" t="s">
        <v>14253</v>
      </c>
      <c r="AG121" s="78" t="s">
        <v>14628</v>
      </c>
      <c r="AH121" s="74"/>
      <c r="AI121" s="74"/>
      <c r="AJ121" s="74"/>
      <c r="AK121" s="74"/>
      <c r="AL121" s="74"/>
      <c r="AM121" s="78" t="s">
        <v>14163</v>
      </c>
      <c r="AN121" s="78" t="s">
        <v>14164</v>
      </c>
      <c r="AO121" s="78" t="s">
        <v>14629</v>
      </c>
      <c r="AP121" s="78" t="s">
        <v>14410</v>
      </c>
      <c r="AQ121" s="78" t="s">
        <v>14167</v>
      </c>
      <c r="AR121" s="78" t="s">
        <v>14168</v>
      </c>
      <c r="AS121" s="78" t="s">
        <v>14169</v>
      </c>
      <c r="AT121" s="78" t="s">
        <v>2918</v>
      </c>
      <c r="AU121" s="78" t="s">
        <v>14170</v>
      </c>
      <c r="AV121" s="78" t="s">
        <v>787</v>
      </c>
      <c r="AW121" s="78" t="s">
        <v>787</v>
      </c>
      <c r="AX121" s="78" t="s">
        <v>14898</v>
      </c>
      <c r="AY121" s="78" t="s">
        <v>14899</v>
      </c>
      <c r="AZ121" s="78" t="s">
        <v>14173</v>
      </c>
      <c r="BA121" s="78" t="s">
        <v>14170</v>
      </c>
      <c r="BB121" s="74"/>
      <c r="BC121" s="78" t="s">
        <v>14900</v>
      </c>
      <c r="BD121" s="78" t="s">
        <v>14178</v>
      </c>
      <c r="BE121" s="78" t="s">
        <v>14179</v>
      </c>
      <c r="BF121" s="81" t="s">
        <v>14901</v>
      </c>
      <c r="BG121" s="81" t="s">
        <v>14902</v>
      </c>
      <c r="BH121" s="81" t="s">
        <v>14903</v>
      </c>
      <c r="BI121" s="78" t="s">
        <v>14178</v>
      </c>
      <c r="BJ121" s="78" t="s">
        <v>14179</v>
      </c>
      <c r="BK121" s="78" t="s">
        <v>14904</v>
      </c>
      <c r="BL121" s="78" t="s">
        <v>14181</v>
      </c>
      <c r="BM121" s="78" t="s">
        <v>14905</v>
      </c>
      <c r="BN121" s="78" t="s">
        <v>14183</v>
      </c>
      <c r="BO121" s="78" t="s">
        <v>14184</v>
      </c>
      <c r="BP121" s="78" t="s">
        <v>14184</v>
      </c>
    </row>
    <row r="122" s="74" customFormat="1" ht="40.5" spans="65:68">
      <c r="BM122" s="78" t="s">
        <v>14906</v>
      </c>
      <c r="BN122" s="78" t="s">
        <v>14186</v>
      </c>
      <c r="BO122" s="78" t="s">
        <v>2920</v>
      </c>
      <c r="BP122" s="78" t="s">
        <v>2920</v>
      </c>
    </row>
    <row r="123" s="74" customFormat="1" ht="409.5" spans="1:68">
      <c r="A123" s="78" t="s">
        <v>14907</v>
      </c>
      <c r="B123" s="78" t="s">
        <v>2862</v>
      </c>
      <c r="C123" s="78" t="s">
        <v>14147</v>
      </c>
      <c r="D123" s="78" t="s">
        <v>14908</v>
      </c>
      <c r="E123" s="79" t="s">
        <v>14443</v>
      </c>
      <c r="F123" s="78" t="s">
        <v>14150</v>
      </c>
      <c r="G123" s="78" t="s">
        <v>14151</v>
      </c>
      <c r="H123" s="74"/>
      <c r="I123" s="74"/>
      <c r="J123" s="78" t="s">
        <v>14152</v>
      </c>
      <c r="K123" s="78" t="s">
        <v>14153</v>
      </c>
      <c r="L123" s="78" t="s">
        <v>14154</v>
      </c>
      <c r="M123" s="78" t="s">
        <v>14155</v>
      </c>
      <c r="N123" s="74"/>
      <c r="O123" s="74"/>
      <c r="P123" s="80">
        <v>3610411.05</v>
      </c>
      <c r="Q123" s="78" t="s">
        <v>14156</v>
      </c>
      <c r="R123" s="74"/>
      <c r="S123" s="74"/>
      <c r="T123" s="78" t="s">
        <v>14157</v>
      </c>
      <c r="U123" s="74"/>
      <c r="V123" s="78" t="s">
        <v>14158</v>
      </c>
      <c r="W123" s="78" t="s">
        <v>2391</v>
      </c>
      <c r="X123" s="78" t="s">
        <v>2395</v>
      </c>
      <c r="Y123" s="78" t="s">
        <v>2397</v>
      </c>
      <c r="Z123" s="78" t="s">
        <v>2862</v>
      </c>
      <c r="AA123" s="78" t="s">
        <v>14156</v>
      </c>
      <c r="AB123" s="78" t="s">
        <v>14156</v>
      </c>
      <c r="AC123" s="79" t="s">
        <v>14909</v>
      </c>
      <c r="AD123" s="79" t="s">
        <v>14910</v>
      </c>
      <c r="AE123" s="78" t="s">
        <v>14252</v>
      </c>
      <c r="AF123" s="78" t="s">
        <v>14253</v>
      </c>
      <c r="AG123" s="78" t="s">
        <v>14162</v>
      </c>
      <c r="AH123" s="74"/>
      <c r="AI123" s="74"/>
      <c r="AJ123" s="74"/>
      <c r="AK123" s="74"/>
      <c r="AL123" s="74"/>
      <c r="AM123" s="78" t="s">
        <v>14163</v>
      </c>
      <c r="AN123" s="78" t="s">
        <v>14164</v>
      </c>
      <c r="AO123" s="78" t="s">
        <v>14165</v>
      </c>
      <c r="AP123" s="78" t="s">
        <v>14410</v>
      </c>
      <c r="AQ123" s="78" t="s">
        <v>14167</v>
      </c>
      <c r="AR123" s="78" t="s">
        <v>14168</v>
      </c>
      <c r="AS123" s="78" t="s">
        <v>14205</v>
      </c>
      <c r="AT123" s="78" t="s">
        <v>3124</v>
      </c>
      <c r="AU123" s="78" t="s">
        <v>14206</v>
      </c>
      <c r="AV123" s="78" t="s">
        <v>787</v>
      </c>
      <c r="AW123" s="78" t="s">
        <v>787</v>
      </c>
      <c r="AX123" s="78" t="s">
        <v>14911</v>
      </c>
      <c r="AY123" s="78" t="s">
        <v>14912</v>
      </c>
      <c r="AZ123" s="78" t="s">
        <v>14173</v>
      </c>
      <c r="BA123" s="78" t="s">
        <v>14206</v>
      </c>
      <c r="BB123" s="74"/>
      <c r="BC123" s="78" t="s">
        <v>14913</v>
      </c>
      <c r="BD123" s="78" t="s">
        <v>14551</v>
      </c>
      <c r="BE123" s="78" t="s">
        <v>14552</v>
      </c>
      <c r="BF123" s="81" t="s">
        <v>14914</v>
      </c>
      <c r="BG123" s="81" t="s">
        <v>14915</v>
      </c>
      <c r="BH123" s="81" t="s">
        <v>14916</v>
      </c>
      <c r="BI123" s="78" t="s">
        <v>14178</v>
      </c>
      <c r="BJ123" s="78" t="s">
        <v>14179</v>
      </c>
      <c r="BK123" s="78" t="s">
        <v>14917</v>
      </c>
      <c r="BL123" s="78" t="s">
        <v>14213</v>
      </c>
      <c r="BM123" s="78" t="s">
        <v>14918</v>
      </c>
      <c r="BN123" s="78" t="s">
        <v>14183</v>
      </c>
      <c r="BO123" s="78" t="s">
        <v>14184</v>
      </c>
      <c r="BP123" s="78" t="s">
        <v>14184</v>
      </c>
    </row>
    <row r="124" s="74" customFormat="1" ht="54" spans="65:68">
      <c r="BM124" s="78" t="s">
        <v>14919</v>
      </c>
      <c r="BN124" s="78" t="s">
        <v>14920</v>
      </c>
      <c r="BO124" s="78" t="s">
        <v>4711</v>
      </c>
      <c r="BP124" s="78" t="s">
        <v>4711</v>
      </c>
    </row>
    <row r="125" s="74" customFormat="1" ht="405" spans="1:68">
      <c r="A125" s="78" t="s">
        <v>14921</v>
      </c>
      <c r="B125" s="78" t="s">
        <v>2832</v>
      </c>
      <c r="C125" s="78" t="s">
        <v>14147</v>
      </c>
      <c r="D125" s="78" t="s">
        <v>14922</v>
      </c>
      <c r="E125" s="79" t="s">
        <v>14443</v>
      </c>
      <c r="F125" s="78" t="s">
        <v>14150</v>
      </c>
      <c r="G125" s="78" t="s">
        <v>14151</v>
      </c>
      <c r="H125" s="74"/>
      <c r="I125" s="74"/>
      <c r="J125" s="78" t="s">
        <v>14152</v>
      </c>
      <c r="K125" s="78" t="s">
        <v>14153</v>
      </c>
      <c r="L125" s="78" t="s">
        <v>14154</v>
      </c>
      <c r="M125" s="78" t="s">
        <v>14155</v>
      </c>
      <c r="N125" s="74"/>
      <c r="O125" s="74"/>
      <c r="P125" s="80">
        <v>114000</v>
      </c>
      <c r="Q125" s="78" t="s">
        <v>14156</v>
      </c>
      <c r="R125" s="80">
        <v>114000</v>
      </c>
      <c r="S125" s="74"/>
      <c r="T125" s="78" t="s">
        <v>14157</v>
      </c>
      <c r="U125" s="74"/>
      <c r="V125" s="78" t="s">
        <v>14158</v>
      </c>
      <c r="W125" s="78" t="s">
        <v>2391</v>
      </c>
      <c r="X125" s="78" t="s">
        <v>2395</v>
      </c>
      <c r="Y125" s="78" t="s">
        <v>2397</v>
      </c>
      <c r="Z125" s="78" t="s">
        <v>2832</v>
      </c>
      <c r="AA125" s="78" t="s">
        <v>14156</v>
      </c>
      <c r="AB125" s="78" t="s">
        <v>14156</v>
      </c>
      <c r="AC125" s="79" t="s">
        <v>14471</v>
      </c>
      <c r="AD125" s="79" t="s">
        <v>14883</v>
      </c>
      <c r="AE125" s="78" t="s">
        <v>14252</v>
      </c>
      <c r="AF125" s="78" t="s">
        <v>14253</v>
      </c>
      <c r="AG125" s="78" t="s">
        <v>14162</v>
      </c>
      <c r="AH125" s="74"/>
      <c r="AI125" s="74"/>
      <c r="AJ125" s="74"/>
      <c r="AK125" s="74"/>
      <c r="AL125" s="74"/>
      <c r="AM125" s="78" t="s">
        <v>14690</v>
      </c>
      <c r="AN125" s="78" t="s">
        <v>14691</v>
      </c>
      <c r="AO125" s="78" t="s">
        <v>14409</v>
      </c>
      <c r="AP125" s="78" t="s">
        <v>14410</v>
      </c>
      <c r="AQ125" s="78" t="s">
        <v>14167</v>
      </c>
      <c r="AR125" s="78" t="s">
        <v>14168</v>
      </c>
      <c r="AS125" s="78" t="s">
        <v>14923</v>
      </c>
      <c r="AT125" s="78" t="s">
        <v>4149</v>
      </c>
      <c r="AU125" s="78" t="s">
        <v>14631</v>
      </c>
      <c r="AV125" s="78" t="s">
        <v>787</v>
      </c>
      <c r="AW125" s="78" t="s">
        <v>787</v>
      </c>
      <c r="AX125" s="78" t="s">
        <v>14924</v>
      </c>
      <c r="AY125" s="78" t="s">
        <v>14925</v>
      </c>
      <c r="AZ125" s="78" t="s">
        <v>14173</v>
      </c>
      <c r="BA125" s="78" t="s">
        <v>14631</v>
      </c>
      <c r="BB125" s="74"/>
      <c r="BC125" s="78" t="s">
        <v>14926</v>
      </c>
      <c r="BD125" s="78" t="s">
        <v>14178</v>
      </c>
      <c r="BE125" s="78" t="s">
        <v>14179</v>
      </c>
      <c r="BF125" s="81" t="s">
        <v>14927</v>
      </c>
      <c r="BG125" s="81" t="s">
        <v>14928</v>
      </c>
      <c r="BH125" s="81" t="s">
        <v>14929</v>
      </c>
      <c r="BI125" s="78" t="s">
        <v>14178</v>
      </c>
      <c r="BJ125" s="78" t="s">
        <v>14179</v>
      </c>
      <c r="BK125" s="78" t="s">
        <v>14930</v>
      </c>
      <c r="BL125" s="78" t="s">
        <v>14639</v>
      </c>
      <c r="BM125" s="78" t="s">
        <v>14931</v>
      </c>
      <c r="BN125" s="78" t="s">
        <v>14183</v>
      </c>
      <c r="BO125" s="78" t="s">
        <v>14184</v>
      </c>
      <c r="BP125" s="78" t="s">
        <v>14184</v>
      </c>
    </row>
    <row r="126" s="74" customFormat="1" ht="54" spans="65:68">
      <c r="BM126" s="78" t="s">
        <v>14932</v>
      </c>
      <c r="BN126" s="78" t="s">
        <v>14933</v>
      </c>
      <c r="BO126" s="78" t="s">
        <v>4151</v>
      </c>
      <c r="BP126" s="78" t="s">
        <v>4151</v>
      </c>
    </row>
    <row r="127" s="74" customFormat="1" ht="283.5" spans="1:68">
      <c r="A127" s="78" t="s">
        <v>14934</v>
      </c>
      <c r="B127" s="78" t="s">
        <v>2863</v>
      </c>
      <c r="C127" s="78" t="s">
        <v>14147</v>
      </c>
      <c r="D127" s="78" t="s">
        <v>14935</v>
      </c>
      <c r="E127" s="79" t="s">
        <v>14443</v>
      </c>
      <c r="F127" s="78" t="s">
        <v>14150</v>
      </c>
      <c r="G127" s="78" t="s">
        <v>14151</v>
      </c>
      <c r="H127" s="74"/>
      <c r="I127" s="74"/>
      <c r="J127" s="78" t="s">
        <v>14152</v>
      </c>
      <c r="K127" s="78" t="s">
        <v>14153</v>
      </c>
      <c r="L127" s="78" t="s">
        <v>14154</v>
      </c>
      <c r="M127" s="78" t="s">
        <v>14155</v>
      </c>
      <c r="N127" s="74"/>
      <c r="O127" s="74"/>
      <c r="P127" s="80">
        <v>15642</v>
      </c>
      <c r="Q127" s="78" t="s">
        <v>14156</v>
      </c>
      <c r="R127" s="74"/>
      <c r="S127" s="74"/>
      <c r="T127" s="78" t="s">
        <v>14157</v>
      </c>
      <c r="U127" s="74"/>
      <c r="V127" s="78" t="s">
        <v>14158</v>
      </c>
      <c r="W127" s="78" t="s">
        <v>2391</v>
      </c>
      <c r="X127" s="78" t="s">
        <v>2395</v>
      </c>
      <c r="Y127" s="78" t="s">
        <v>2397</v>
      </c>
      <c r="Z127" s="78" t="s">
        <v>2863</v>
      </c>
      <c r="AA127" s="78" t="s">
        <v>14156</v>
      </c>
      <c r="AB127" s="78" t="s">
        <v>14156</v>
      </c>
      <c r="AC127" s="79" t="s">
        <v>14936</v>
      </c>
      <c r="AD127" s="79" t="s">
        <v>14936</v>
      </c>
      <c r="AE127" s="78" t="s">
        <v>14252</v>
      </c>
      <c r="AF127" s="78" t="s">
        <v>14253</v>
      </c>
      <c r="AG127" s="78" t="s">
        <v>14162</v>
      </c>
      <c r="AH127" s="74"/>
      <c r="AI127" s="74"/>
      <c r="AJ127" s="74"/>
      <c r="AK127" s="74"/>
      <c r="AL127" s="74"/>
      <c r="AM127" s="78" t="s">
        <v>14163</v>
      </c>
      <c r="AN127" s="78" t="s">
        <v>14164</v>
      </c>
      <c r="AO127" s="78" t="s">
        <v>14165</v>
      </c>
      <c r="AP127" s="78" t="s">
        <v>14410</v>
      </c>
      <c r="AQ127" s="78" t="s">
        <v>14167</v>
      </c>
      <c r="AR127" s="78" t="s">
        <v>14168</v>
      </c>
      <c r="AS127" s="78" t="s">
        <v>14205</v>
      </c>
      <c r="AT127" s="78" t="s">
        <v>3124</v>
      </c>
      <c r="AU127" s="78" t="s">
        <v>14206</v>
      </c>
      <c r="AV127" s="78" t="s">
        <v>787</v>
      </c>
      <c r="AW127" s="78" t="s">
        <v>787</v>
      </c>
      <c r="AX127" s="78" t="s">
        <v>14937</v>
      </c>
      <c r="AY127" s="78" t="s">
        <v>14938</v>
      </c>
      <c r="AZ127" s="78" t="s">
        <v>14173</v>
      </c>
      <c r="BA127" s="78" t="s">
        <v>14206</v>
      </c>
      <c r="BB127" s="74"/>
      <c r="BC127" s="78" t="s">
        <v>14939</v>
      </c>
      <c r="BD127" s="78" t="s">
        <v>14551</v>
      </c>
      <c r="BE127" s="78" t="s">
        <v>14552</v>
      </c>
      <c r="BF127" s="81" t="s">
        <v>14940</v>
      </c>
      <c r="BG127" s="81" t="s">
        <v>14941</v>
      </c>
      <c r="BH127" s="81" t="s">
        <v>14942</v>
      </c>
      <c r="BI127" s="78" t="s">
        <v>14178</v>
      </c>
      <c r="BJ127" s="78" t="s">
        <v>14179</v>
      </c>
      <c r="BK127" s="78" t="s">
        <v>14943</v>
      </c>
      <c r="BL127" s="78" t="s">
        <v>14213</v>
      </c>
      <c r="BM127" s="78" t="s">
        <v>14944</v>
      </c>
      <c r="BN127" s="78" t="s">
        <v>14183</v>
      </c>
      <c r="BO127" s="78" t="s">
        <v>14184</v>
      </c>
      <c r="BP127" s="78" t="s">
        <v>14184</v>
      </c>
    </row>
    <row r="128" s="74" customFormat="1" ht="54" spans="65:68">
      <c r="BM128" s="78" t="s">
        <v>14945</v>
      </c>
      <c r="BN128" s="78" t="s">
        <v>14946</v>
      </c>
      <c r="BO128" s="78" t="s">
        <v>4197</v>
      </c>
      <c r="BP128" s="78" t="s">
        <v>4197</v>
      </c>
    </row>
    <row r="129" s="74" customFormat="1" ht="409.5" spans="1:68">
      <c r="A129" s="78" t="s">
        <v>14947</v>
      </c>
      <c r="B129" s="78" t="s">
        <v>2834</v>
      </c>
      <c r="C129" s="78" t="s">
        <v>14147</v>
      </c>
      <c r="D129" s="78" t="s">
        <v>14948</v>
      </c>
      <c r="E129" s="79" t="s">
        <v>14949</v>
      </c>
      <c r="F129" s="78" t="s">
        <v>14150</v>
      </c>
      <c r="G129" s="78" t="s">
        <v>14151</v>
      </c>
      <c r="H129" s="74"/>
      <c r="I129" s="74"/>
      <c r="J129" s="78" t="s">
        <v>14152</v>
      </c>
      <c r="K129" s="78" t="s">
        <v>14153</v>
      </c>
      <c r="L129" s="78" t="s">
        <v>14154</v>
      </c>
      <c r="M129" s="78" t="s">
        <v>14155</v>
      </c>
      <c r="N129" s="74"/>
      <c r="O129" s="74"/>
      <c r="P129" s="80">
        <v>55664</v>
      </c>
      <c r="Q129" s="78" t="s">
        <v>14156</v>
      </c>
      <c r="R129" s="74"/>
      <c r="S129" s="74"/>
      <c r="T129" s="78" t="s">
        <v>14157</v>
      </c>
      <c r="U129" s="74"/>
      <c r="V129" s="78" t="s">
        <v>14158</v>
      </c>
      <c r="W129" s="78" t="s">
        <v>2391</v>
      </c>
      <c r="X129" s="78" t="s">
        <v>2395</v>
      </c>
      <c r="Y129" s="78" t="s">
        <v>2397</v>
      </c>
      <c r="Z129" s="78" t="s">
        <v>2834</v>
      </c>
      <c r="AA129" s="78" t="s">
        <v>14156</v>
      </c>
      <c r="AB129" s="78" t="s">
        <v>14156</v>
      </c>
      <c r="AC129" s="79" t="s">
        <v>14950</v>
      </c>
      <c r="AD129" s="79" t="s">
        <v>14950</v>
      </c>
      <c r="AE129" s="78" t="s">
        <v>14252</v>
      </c>
      <c r="AF129" s="78" t="s">
        <v>14253</v>
      </c>
      <c r="AG129" s="78" t="s">
        <v>14162</v>
      </c>
      <c r="AH129" s="74"/>
      <c r="AI129" s="74"/>
      <c r="AJ129" s="74"/>
      <c r="AK129" s="74"/>
      <c r="AL129" s="74"/>
      <c r="AM129" s="78" t="s">
        <v>14163</v>
      </c>
      <c r="AN129" s="78" t="s">
        <v>14164</v>
      </c>
      <c r="AO129" s="78" t="s">
        <v>14165</v>
      </c>
      <c r="AP129" s="78" t="s">
        <v>14410</v>
      </c>
      <c r="AQ129" s="78" t="s">
        <v>14167</v>
      </c>
      <c r="AR129" s="78" t="s">
        <v>14168</v>
      </c>
      <c r="AS129" s="78" t="s">
        <v>14499</v>
      </c>
      <c r="AT129" s="78" t="s">
        <v>5098</v>
      </c>
      <c r="AU129" s="78" t="s">
        <v>14206</v>
      </c>
      <c r="AV129" s="78" t="s">
        <v>787</v>
      </c>
      <c r="AW129" s="78" t="s">
        <v>787</v>
      </c>
      <c r="AX129" s="78" t="s">
        <v>14951</v>
      </c>
      <c r="AY129" s="78" t="s">
        <v>14952</v>
      </c>
      <c r="AZ129" s="78" t="s">
        <v>14173</v>
      </c>
      <c r="BA129" s="78" t="s">
        <v>14206</v>
      </c>
      <c r="BB129" s="74"/>
      <c r="BC129" s="78" t="s">
        <v>14953</v>
      </c>
      <c r="BD129" s="78" t="s">
        <v>14551</v>
      </c>
      <c r="BE129" s="78" t="s">
        <v>14552</v>
      </c>
      <c r="BF129" s="81" t="s">
        <v>14954</v>
      </c>
      <c r="BG129" s="81" t="s">
        <v>14955</v>
      </c>
      <c r="BH129" s="81" t="s">
        <v>14956</v>
      </c>
      <c r="BI129" s="78" t="s">
        <v>14178</v>
      </c>
      <c r="BJ129" s="78" t="s">
        <v>14179</v>
      </c>
      <c r="BK129" s="78" t="s">
        <v>14957</v>
      </c>
      <c r="BL129" s="78" t="s">
        <v>14213</v>
      </c>
      <c r="BM129" s="78" t="s">
        <v>14958</v>
      </c>
      <c r="BN129" s="78" t="s">
        <v>14183</v>
      </c>
      <c r="BO129" s="78" t="s">
        <v>14184</v>
      </c>
      <c r="BP129" s="78" t="s">
        <v>14184</v>
      </c>
    </row>
    <row r="130" s="74" customFormat="1" ht="54" spans="65:68">
      <c r="BM130" s="78" t="s">
        <v>14959</v>
      </c>
      <c r="BN130" s="78" t="s">
        <v>14960</v>
      </c>
      <c r="BO130" s="78" t="s">
        <v>4381</v>
      </c>
      <c r="BP130" s="78" t="s">
        <v>4381</v>
      </c>
    </row>
    <row r="131" s="74" customFormat="1" ht="409.5" spans="1:68">
      <c r="A131" s="78" t="s">
        <v>14961</v>
      </c>
      <c r="B131" s="78" t="s">
        <v>2835</v>
      </c>
      <c r="C131" s="78" t="s">
        <v>14147</v>
      </c>
      <c r="D131" s="78" t="s">
        <v>14962</v>
      </c>
      <c r="E131" s="79" t="s">
        <v>14949</v>
      </c>
      <c r="F131" s="78" t="s">
        <v>14150</v>
      </c>
      <c r="G131" s="78" t="s">
        <v>14151</v>
      </c>
      <c r="H131" s="74"/>
      <c r="I131" s="74"/>
      <c r="J131" s="78" t="s">
        <v>14152</v>
      </c>
      <c r="K131" s="78" t="s">
        <v>14153</v>
      </c>
      <c r="L131" s="78" t="s">
        <v>14154</v>
      </c>
      <c r="M131" s="78" t="s">
        <v>14155</v>
      </c>
      <c r="N131" s="74"/>
      <c r="O131" s="74"/>
      <c r="P131" s="80">
        <v>5820</v>
      </c>
      <c r="Q131" s="78" t="s">
        <v>14156</v>
      </c>
      <c r="R131" s="74"/>
      <c r="S131" s="74"/>
      <c r="T131" s="78" t="s">
        <v>14157</v>
      </c>
      <c r="U131" s="74"/>
      <c r="V131" s="78" t="s">
        <v>14158</v>
      </c>
      <c r="W131" s="78" t="s">
        <v>2391</v>
      </c>
      <c r="X131" s="78" t="s">
        <v>2395</v>
      </c>
      <c r="Y131" s="78" t="s">
        <v>2397</v>
      </c>
      <c r="Z131" s="78" t="s">
        <v>2835</v>
      </c>
      <c r="AA131" s="78" t="s">
        <v>14156</v>
      </c>
      <c r="AB131" s="78" t="s">
        <v>14156</v>
      </c>
      <c r="AC131" s="79" t="s">
        <v>14950</v>
      </c>
      <c r="AD131" s="79" t="s">
        <v>14950</v>
      </c>
      <c r="AE131" s="78" t="s">
        <v>14252</v>
      </c>
      <c r="AF131" s="78" t="s">
        <v>14253</v>
      </c>
      <c r="AG131" s="78" t="s">
        <v>14162</v>
      </c>
      <c r="AH131" s="74"/>
      <c r="AI131" s="74"/>
      <c r="AJ131" s="74"/>
      <c r="AK131" s="74"/>
      <c r="AL131" s="74"/>
      <c r="AM131" s="78" t="s">
        <v>14163</v>
      </c>
      <c r="AN131" s="78" t="s">
        <v>14164</v>
      </c>
      <c r="AO131" s="78" t="s">
        <v>14165</v>
      </c>
      <c r="AP131" s="78" t="s">
        <v>14410</v>
      </c>
      <c r="AQ131" s="78" t="s">
        <v>14167</v>
      </c>
      <c r="AR131" s="78" t="s">
        <v>14168</v>
      </c>
      <c r="AS131" s="78" t="s">
        <v>14499</v>
      </c>
      <c r="AT131" s="78" t="s">
        <v>5098</v>
      </c>
      <c r="AU131" s="78" t="s">
        <v>14206</v>
      </c>
      <c r="AV131" s="78" t="s">
        <v>787</v>
      </c>
      <c r="AW131" s="78" t="s">
        <v>787</v>
      </c>
      <c r="AX131" s="78" t="s">
        <v>14963</v>
      </c>
      <c r="AY131" s="78" t="s">
        <v>14964</v>
      </c>
      <c r="AZ131" s="78" t="s">
        <v>14173</v>
      </c>
      <c r="BA131" s="78" t="s">
        <v>14206</v>
      </c>
      <c r="BB131" s="74"/>
      <c r="BC131" s="78" t="s">
        <v>14965</v>
      </c>
      <c r="BD131" s="78" t="s">
        <v>14551</v>
      </c>
      <c r="BE131" s="78" t="s">
        <v>14552</v>
      </c>
      <c r="BF131" s="81" t="s">
        <v>14966</v>
      </c>
      <c r="BG131" s="81" t="s">
        <v>14967</v>
      </c>
      <c r="BH131" s="81" t="s">
        <v>14968</v>
      </c>
      <c r="BI131" s="78" t="s">
        <v>14178</v>
      </c>
      <c r="BJ131" s="78" t="s">
        <v>14179</v>
      </c>
      <c r="BK131" s="78" t="s">
        <v>14969</v>
      </c>
      <c r="BL131" s="78" t="s">
        <v>14213</v>
      </c>
      <c r="BM131" s="78" t="s">
        <v>14970</v>
      </c>
      <c r="BN131" s="78" t="s">
        <v>14183</v>
      </c>
      <c r="BO131" s="78" t="s">
        <v>14184</v>
      </c>
      <c r="BP131" s="78" t="s">
        <v>14184</v>
      </c>
    </row>
    <row r="132" s="74" customFormat="1" ht="54" spans="65:68">
      <c r="BM132" s="78" t="s">
        <v>14971</v>
      </c>
      <c r="BN132" s="78" t="s">
        <v>14946</v>
      </c>
      <c r="BO132" s="78" t="s">
        <v>4197</v>
      </c>
      <c r="BP132" s="78" t="s">
        <v>4197</v>
      </c>
    </row>
    <row r="133" s="74" customFormat="1" ht="409.5" spans="1:68">
      <c r="A133" s="78" t="s">
        <v>14972</v>
      </c>
      <c r="B133" s="78" t="s">
        <v>2864</v>
      </c>
      <c r="C133" s="78" t="s">
        <v>14147</v>
      </c>
      <c r="D133" s="78" t="s">
        <v>14973</v>
      </c>
      <c r="E133" s="79" t="s">
        <v>14443</v>
      </c>
      <c r="F133" s="78" t="s">
        <v>14150</v>
      </c>
      <c r="G133" s="78" t="s">
        <v>14151</v>
      </c>
      <c r="H133" s="74"/>
      <c r="I133" s="74"/>
      <c r="J133" s="78" t="s">
        <v>14152</v>
      </c>
      <c r="K133" s="78" t="s">
        <v>14153</v>
      </c>
      <c r="L133" s="78" t="s">
        <v>14154</v>
      </c>
      <c r="M133" s="78" t="s">
        <v>14155</v>
      </c>
      <c r="N133" s="74"/>
      <c r="O133" s="74"/>
      <c r="P133" s="80">
        <v>49056</v>
      </c>
      <c r="Q133" s="78" t="s">
        <v>14156</v>
      </c>
      <c r="R133" s="74"/>
      <c r="S133" s="74"/>
      <c r="T133" s="78" t="s">
        <v>14157</v>
      </c>
      <c r="U133" s="74"/>
      <c r="V133" s="78" t="s">
        <v>14158</v>
      </c>
      <c r="W133" s="78" t="s">
        <v>2391</v>
      </c>
      <c r="X133" s="78" t="s">
        <v>2395</v>
      </c>
      <c r="Y133" s="78" t="s">
        <v>2397</v>
      </c>
      <c r="Z133" s="78" t="s">
        <v>2864</v>
      </c>
      <c r="AA133" s="78" t="s">
        <v>14156</v>
      </c>
      <c r="AB133" s="78" t="s">
        <v>14156</v>
      </c>
      <c r="AC133" s="79" t="s">
        <v>14974</v>
      </c>
      <c r="AD133" s="79" t="s">
        <v>14974</v>
      </c>
      <c r="AE133" s="78" t="s">
        <v>14252</v>
      </c>
      <c r="AF133" s="78" t="s">
        <v>14253</v>
      </c>
      <c r="AG133" s="78" t="s">
        <v>14162</v>
      </c>
      <c r="AH133" s="74"/>
      <c r="AI133" s="74"/>
      <c r="AJ133" s="74"/>
      <c r="AK133" s="74"/>
      <c r="AL133" s="74"/>
      <c r="AM133" s="78" t="s">
        <v>14163</v>
      </c>
      <c r="AN133" s="78" t="s">
        <v>14164</v>
      </c>
      <c r="AO133" s="78" t="s">
        <v>14165</v>
      </c>
      <c r="AP133" s="78" t="s">
        <v>14410</v>
      </c>
      <c r="AQ133" s="78" t="s">
        <v>14167</v>
      </c>
      <c r="AR133" s="78" t="s">
        <v>14168</v>
      </c>
      <c r="AS133" s="78" t="s">
        <v>14169</v>
      </c>
      <c r="AT133" s="78" t="s">
        <v>2918</v>
      </c>
      <c r="AU133" s="78" t="s">
        <v>14170</v>
      </c>
      <c r="AV133" s="78" t="s">
        <v>787</v>
      </c>
      <c r="AW133" s="78" t="s">
        <v>787</v>
      </c>
      <c r="AX133" s="78" t="s">
        <v>14975</v>
      </c>
      <c r="AY133" s="78" t="s">
        <v>14976</v>
      </c>
      <c r="AZ133" s="78" t="s">
        <v>14173</v>
      </c>
      <c r="BA133" s="78" t="s">
        <v>14170</v>
      </c>
      <c r="BB133" s="74"/>
      <c r="BC133" s="78" t="s">
        <v>14977</v>
      </c>
      <c r="BD133" s="78" t="s">
        <v>14551</v>
      </c>
      <c r="BE133" s="78" t="s">
        <v>14552</v>
      </c>
      <c r="BF133" s="81" t="s">
        <v>14978</v>
      </c>
      <c r="BG133" s="81" t="s">
        <v>14979</v>
      </c>
      <c r="BH133" s="81" t="s">
        <v>14980</v>
      </c>
      <c r="BI133" s="78" t="s">
        <v>14178</v>
      </c>
      <c r="BJ133" s="78" t="s">
        <v>14179</v>
      </c>
      <c r="BK133" s="78" t="s">
        <v>14981</v>
      </c>
      <c r="BL133" s="78" t="s">
        <v>14181</v>
      </c>
      <c r="BM133" s="78" t="s">
        <v>14982</v>
      </c>
      <c r="BN133" s="78" t="s">
        <v>14183</v>
      </c>
      <c r="BO133" s="78" t="s">
        <v>14184</v>
      </c>
      <c r="BP133" s="78" t="s">
        <v>14184</v>
      </c>
    </row>
    <row r="134" s="74" customFormat="1" ht="40.5" spans="65:68">
      <c r="BM134" s="78" t="s">
        <v>14983</v>
      </c>
      <c r="BN134" s="78" t="s">
        <v>14984</v>
      </c>
      <c r="BO134" s="78" t="s">
        <v>4377</v>
      </c>
      <c r="BP134" s="78" t="s">
        <v>4377</v>
      </c>
    </row>
    <row r="135" s="74" customFormat="1" ht="409.5" spans="1:68">
      <c r="A135" s="78" t="s">
        <v>14985</v>
      </c>
      <c r="B135" s="78" t="s">
        <v>14986</v>
      </c>
      <c r="C135" s="78" t="s">
        <v>14147</v>
      </c>
      <c r="D135" s="78" t="s">
        <v>14987</v>
      </c>
      <c r="E135" s="79" t="s">
        <v>14988</v>
      </c>
      <c r="F135" s="78" t="s">
        <v>14150</v>
      </c>
      <c r="G135" s="78" t="s">
        <v>14151</v>
      </c>
      <c r="H135" s="74"/>
      <c r="I135" s="74"/>
      <c r="J135" s="78" t="s">
        <v>14152</v>
      </c>
      <c r="K135" s="78" t="s">
        <v>14153</v>
      </c>
      <c r="L135" s="78" t="s">
        <v>14154</v>
      </c>
      <c r="M135" s="78" t="s">
        <v>14155</v>
      </c>
      <c r="N135" s="74"/>
      <c r="O135" s="80">
        <v>23781.55</v>
      </c>
      <c r="P135" s="80">
        <v>24495</v>
      </c>
      <c r="Q135" s="78" t="s">
        <v>14989</v>
      </c>
      <c r="R135" s="74"/>
      <c r="S135" s="80">
        <v>713.45</v>
      </c>
      <c r="T135" s="78" t="s">
        <v>14157</v>
      </c>
      <c r="U135" s="74"/>
      <c r="V135" s="78" t="s">
        <v>14158</v>
      </c>
      <c r="W135" s="78" t="s">
        <v>2391</v>
      </c>
      <c r="X135" s="78" t="s">
        <v>2395</v>
      </c>
      <c r="Y135" s="78" t="s">
        <v>2397</v>
      </c>
      <c r="Z135" s="78" t="s">
        <v>14986</v>
      </c>
      <c r="AA135" s="78" t="s">
        <v>14156</v>
      </c>
      <c r="AB135" s="78" t="s">
        <v>14156</v>
      </c>
      <c r="AC135" s="79" t="s">
        <v>14990</v>
      </c>
      <c r="AD135" s="79" t="s">
        <v>14990</v>
      </c>
      <c r="AE135" s="78" t="s">
        <v>14252</v>
      </c>
      <c r="AF135" s="78" t="s">
        <v>14253</v>
      </c>
      <c r="AG135" s="78" t="s">
        <v>14628</v>
      </c>
      <c r="AH135" s="74"/>
      <c r="AI135" s="74"/>
      <c r="AJ135" s="74"/>
      <c r="AK135" s="74"/>
      <c r="AL135" s="74"/>
      <c r="AM135" s="78" t="s">
        <v>14163</v>
      </c>
      <c r="AN135" s="78" t="s">
        <v>14164</v>
      </c>
      <c r="AO135" s="78" t="s">
        <v>14629</v>
      </c>
      <c r="AP135" s="78" t="s">
        <v>14410</v>
      </c>
      <c r="AQ135" s="78" t="s">
        <v>14167</v>
      </c>
      <c r="AR135" s="78" t="s">
        <v>14168</v>
      </c>
      <c r="AS135" s="78" t="s">
        <v>14205</v>
      </c>
      <c r="AT135" s="78" t="s">
        <v>3124</v>
      </c>
      <c r="AU135" s="78" t="s">
        <v>14206</v>
      </c>
      <c r="AV135" s="78" t="s">
        <v>787</v>
      </c>
      <c r="AW135" s="78" t="s">
        <v>787</v>
      </c>
      <c r="AX135" s="78" t="s">
        <v>14991</v>
      </c>
      <c r="AY135" s="78" t="s">
        <v>14992</v>
      </c>
      <c r="AZ135" s="78" t="s">
        <v>14173</v>
      </c>
      <c r="BA135" s="78" t="s">
        <v>14206</v>
      </c>
      <c r="BB135" s="74"/>
      <c r="BC135" s="78" t="s">
        <v>14993</v>
      </c>
      <c r="BD135" s="78" t="s">
        <v>14551</v>
      </c>
      <c r="BE135" s="78" t="s">
        <v>14552</v>
      </c>
      <c r="BF135" s="81" t="s">
        <v>14994</v>
      </c>
      <c r="BG135" s="81" t="s">
        <v>14995</v>
      </c>
      <c r="BH135" s="81" t="s">
        <v>14996</v>
      </c>
      <c r="BI135" s="78" t="s">
        <v>14178</v>
      </c>
      <c r="BJ135" s="78" t="s">
        <v>14179</v>
      </c>
      <c r="BK135" s="78" t="s">
        <v>14997</v>
      </c>
      <c r="BL135" s="78" t="s">
        <v>14213</v>
      </c>
      <c r="BM135" s="78" t="s">
        <v>14998</v>
      </c>
      <c r="BN135" s="78" t="s">
        <v>14183</v>
      </c>
      <c r="BO135" s="78" t="s">
        <v>14184</v>
      </c>
      <c r="BP135" s="78" t="s">
        <v>14184</v>
      </c>
    </row>
    <row r="136" s="74" customFormat="1" ht="54" spans="65:68">
      <c r="BM136" s="78" t="s">
        <v>14999</v>
      </c>
      <c r="BN136" s="78" t="s">
        <v>14570</v>
      </c>
      <c r="BO136" s="78" t="s">
        <v>3307</v>
      </c>
      <c r="BP136" s="78" t="s">
        <v>3307</v>
      </c>
    </row>
    <row r="137" s="74" customFormat="1" ht="409.5" spans="1:68">
      <c r="A137" s="78" t="s">
        <v>15000</v>
      </c>
      <c r="B137" s="78" t="s">
        <v>2852</v>
      </c>
      <c r="C137" s="78" t="s">
        <v>14147</v>
      </c>
      <c r="D137" s="78" t="s">
        <v>15001</v>
      </c>
      <c r="E137" s="79" t="s">
        <v>15002</v>
      </c>
      <c r="F137" s="78" t="s">
        <v>14150</v>
      </c>
      <c r="G137" s="78" t="s">
        <v>14151</v>
      </c>
      <c r="H137" s="74"/>
      <c r="I137" s="74"/>
      <c r="J137" s="78" t="s">
        <v>14152</v>
      </c>
      <c r="K137" s="78" t="s">
        <v>14153</v>
      </c>
      <c r="L137" s="78" t="s">
        <v>14154</v>
      </c>
      <c r="M137" s="78" t="s">
        <v>14155</v>
      </c>
      <c r="N137" s="74"/>
      <c r="O137" s="74"/>
      <c r="P137" s="80">
        <v>19780</v>
      </c>
      <c r="Q137" s="78" t="s">
        <v>14156</v>
      </c>
      <c r="R137" s="74"/>
      <c r="S137" s="74"/>
      <c r="T137" s="78" t="s">
        <v>14157</v>
      </c>
      <c r="U137" s="74"/>
      <c r="V137" s="78" t="s">
        <v>14158</v>
      </c>
      <c r="W137" s="78" t="s">
        <v>2391</v>
      </c>
      <c r="X137" s="78" t="s">
        <v>2395</v>
      </c>
      <c r="Y137" s="78" t="s">
        <v>2397</v>
      </c>
      <c r="Z137" s="78" t="s">
        <v>2852</v>
      </c>
      <c r="AA137" s="78" t="s">
        <v>14156</v>
      </c>
      <c r="AB137" s="78" t="s">
        <v>14156</v>
      </c>
      <c r="AC137" s="79" t="s">
        <v>15003</v>
      </c>
      <c r="AD137" s="79" t="s">
        <v>15003</v>
      </c>
      <c r="AE137" s="78" t="s">
        <v>14252</v>
      </c>
      <c r="AF137" s="78" t="s">
        <v>14253</v>
      </c>
      <c r="AG137" s="78" t="s">
        <v>14162</v>
      </c>
      <c r="AH137" s="74"/>
      <c r="AI137" s="74"/>
      <c r="AJ137" s="74"/>
      <c r="AK137" s="74"/>
      <c r="AL137" s="74"/>
      <c r="AM137" s="78" t="s">
        <v>14163</v>
      </c>
      <c r="AN137" s="78" t="s">
        <v>14164</v>
      </c>
      <c r="AO137" s="78" t="s">
        <v>14165</v>
      </c>
      <c r="AP137" s="78" t="s">
        <v>14410</v>
      </c>
      <c r="AQ137" s="78" t="s">
        <v>14167</v>
      </c>
      <c r="AR137" s="78" t="s">
        <v>14168</v>
      </c>
      <c r="AS137" s="78" t="s">
        <v>14368</v>
      </c>
      <c r="AT137" s="78" t="s">
        <v>4656</v>
      </c>
      <c r="AU137" s="78" t="s">
        <v>14369</v>
      </c>
      <c r="AV137" s="78" t="s">
        <v>787</v>
      </c>
      <c r="AW137" s="78" t="s">
        <v>787</v>
      </c>
      <c r="AX137" s="78" t="s">
        <v>15004</v>
      </c>
      <c r="AY137" s="78" t="s">
        <v>15005</v>
      </c>
      <c r="AZ137" s="78" t="s">
        <v>14173</v>
      </c>
      <c r="BA137" s="78" t="s">
        <v>14369</v>
      </c>
      <c r="BB137" s="74"/>
      <c r="BC137" s="78" t="s">
        <v>15006</v>
      </c>
      <c r="BD137" s="78" t="s">
        <v>14551</v>
      </c>
      <c r="BE137" s="78" t="s">
        <v>14552</v>
      </c>
      <c r="BF137" s="81" t="s">
        <v>15007</v>
      </c>
      <c r="BG137" s="81" t="s">
        <v>15008</v>
      </c>
      <c r="BH137" s="81" t="s">
        <v>15009</v>
      </c>
      <c r="BI137" s="78" t="s">
        <v>14178</v>
      </c>
      <c r="BJ137" s="78" t="s">
        <v>14179</v>
      </c>
      <c r="BK137" s="78" t="s">
        <v>15010</v>
      </c>
      <c r="BL137" s="78" t="s">
        <v>14377</v>
      </c>
      <c r="BM137" s="78" t="s">
        <v>15011</v>
      </c>
      <c r="BN137" s="78" t="s">
        <v>14183</v>
      </c>
      <c r="BO137" s="78" t="s">
        <v>14184</v>
      </c>
      <c r="BP137" s="78" t="s">
        <v>14184</v>
      </c>
    </row>
    <row r="138" s="74" customFormat="1" ht="40.5" spans="65:68">
      <c r="BM138" s="78" t="s">
        <v>15012</v>
      </c>
      <c r="BN138" s="78" t="s">
        <v>15013</v>
      </c>
      <c r="BO138" s="78" t="s">
        <v>4658</v>
      </c>
      <c r="BP138" s="78" t="s">
        <v>4658</v>
      </c>
    </row>
    <row r="139" s="74" customFormat="1" ht="409.5" spans="1:68">
      <c r="A139" s="78" t="s">
        <v>15014</v>
      </c>
      <c r="B139" s="78" t="s">
        <v>2859</v>
      </c>
      <c r="C139" s="78" t="s">
        <v>14147</v>
      </c>
      <c r="D139" s="78" t="s">
        <v>15015</v>
      </c>
      <c r="E139" s="79" t="s">
        <v>14754</v>
      </c>
      <c r="F139" s="78" t="s">
        <v>14150</v>
      </c>
      <c r="G139" s="78" t="s">
        <v>14151</v>
      </c>
      <c r="H139" s="74"/>
      <c r="I139" s="74"/>
      <c r="J139" s="78" t="s">
        <v>14152</v>
      </c>
      <c r="K139" s="78" t="s">
        <v>14153</v>
      </c>
      <c r="L139" s="78" t="s">
        <v>14154</v>
      </c>
      <c r="M139" s="78" t="s">
        <v>14155</v>
      </c>
      <c r="N139" s="74"/>
      <c r="O139" s="80">
        <v>117435.78</v>
      </c>
      <c r="P139" s="80">
        <v>128005</v>
      </c>
      <c r="Q139" s="78" t="s">
        <v>15016</v>
      </c>
      <c r="R139" s="74"/>
      <c r="S139" s="80">
        <v>10569.22</v>
      </c>
      <c r="T139" s="78" t="s">
        <v>14157</v>
      </c>
      <c r="U139" s="74"/>
      <c r="V139" s="78" t="s">
        <v>14158</v>
      </c>
      <c r="W139" s="78" t="s">
        <v>2391</v>
      </c>
      <c r="X139" s="78" t="s">
        <v>2395</v>
      </c>
      <c r="Y139" s="78" t="s">
        <v>2397</v>
      </c>
      <c r="Z139" s="78" t="s">
        <v>2859</v>
      </c>
      <c r="AA139" s="78" t="s">
        <v>14156</v>
      </c>
      <c r="AB139" s="78" t="s">
        <v>14156</v>
      </c>
      <c r="AC139" s="79" t="s">
        <v>15017</v>
      </c>
      <c r="AD139" s="79" t="s">
        <v>15017</v>
      </c>
      <c r="AE139" s="78" t="s">
        <v>14252</v>
      </c>
      <c r="AF139" s="78" t="s">
        <v>14253</v>
      </c>
      <c r="AG139" s="78" t="s">
        <v>14628</v>
      </c>
      <c r="AH139" s="74"/>
      <c r="AI139" s="74"/>
      <c r="AJ139" s="74"/>
      <c r="AK139" s="74"/>
      <c r="AL139" s="74"/>
      <c r="AM139" s="78" t="s">
        <v>14163</v>
      </c>
      <c r="AN139" s="78" t="s">
        <v>14164</v>
      </c>
      <c r="AO139" s="78" t="s">
        <v>14629</v>
      </c>
      <c r="AP139" s="78" t="s">
        <v>14410</v>
      </c>
      <c r="AQ139" s="78" t="s">
        <v>14167</v>
      </c>
      <c r="AR139" s="78" t="s">
        <v>14168</v>
      </c>
      <c r="AS139" s="78" t="s">
        <v>14205</v>
      </c>
      <c r="AT139" s="78" t="s">
        <v>3124</v>
      </c>
      <c r="AU139" s="78" t="s">
        <v>14206</v>
      </c>
      <c r="AV139" s="78" t="s">
        <v>787</v>
      </c>
      <c r="AW139" s="78" t="s">
        <v>787</v>
      </c>
      <c r="AX139" s="78" t="s">
        <v>15018</v>
      </c>
      <c r="AY139" s="78" t="s">
        <v>15019</v>
      </c>
      <c r="AZ139" s="78" t="s">
        <v>14173</v>
      </c>
      <c r="BA139" s="78" t="s">
        <v>14206</v>
      </c>
      <c r="BB139" s="74"/>
      <c r="BC139" s="78" t="s">
        <v>15020</v>
      </c>
      <c r="BD139" s="78" t="s">
        <v>14551</v>
      </c>
      <c r="BE139" s="78" t="s">
        <v>14552</v>
      </c>
      <c r="BF139" s="81" t="s">
        <v>15021</v>
      </c>
      <c r="BG139" s="81" t="s">
        <v>15022</v>
      </c>
      <c r="BH139" s="81" t="s">
        <v>15023</v>
      </c>
      <c r="BI139" s="78" t="s">
        <v>14178</v>
      </c>
      <c r="BJ139" s="78" t="s">
        <v>14179</v>
      </c>
      <c r="BK139" s="78" t="s">
        <v>15024</v>
      </c>
      <c r="BL139" s="78" t="s">
        <v>14213</v>
      </c>
      <c r="BM139" s="78" t="s">
        <v>15025</v>
      </c>
      <c r="BN139" s="78" t="s">
        <v>14183</v>
      </c>
      <c r="BO139" s="78" t="s">
        <v>14184</v>
      </c>
      <c r="BP139" s="78" t="s">
        <v>14184</v>
      </c>
    </row>
    <row r="140" s="74" customFormat="1" ht="54" spans="65:68">
      <c r="BM140" s="78" t="s">
        <v>15026</v>
      </c>
      <c r="BN140" s="78" t="s">
        <v>15027</v>
      </c>
      <c r="BO140" s="78" t="s">
        <v>5093</v>
      </c>
      <c r="BP140" s="78" t="s">
        <v>5093</v>
      </c>
    </row>
    <row r="141" s="74" customFormat="1" ht="229.5" spans="1:68">
      <c r="A141" s="78" t="s">
        <v>15028</v>
      </c>
      <c r="B141" s="78" t="s">
        <v>2860</v>
      </c>
      <c r="C141" s="78" t="s">
        <v>14147</v>
      </c>
      <c r="D141" s="78" t="s">
        <v>15029</v>
      </c>
      <c r="E141" s="79" t="s">
        <v>15030</v>
      </c>
      <c r="F141" s="78" t="s">
        <v>14150</v>
      </c>
      <c r="G141" s="78" t="s">
        <v>14151</v>
      </c>
      <c r="H141" s="74"/>
      <c r="I141" s="74"/>
      <c r="J141" s="78" t="s">
        <v>14152</v>
      </c>
      <c r="K141" s="78" t="s">
        <v>14153</v>
      </c>
      <c r="L141" s="78" t="s">
        <v>14154</v>
      </c>
      <c r="M141" s="78" t="s">
        <v>14155</v>
      </c>
      <c r="N141" s="74"/>
      <c r="O141" s="80">
        <v>92747.58</v>
      </c>
      <c r="P141" s="80">
        <v>104804.76</v>
      </c>
      <c r="Q141" s="78" t="s">
        <v>15031</v>
      </c>
      <c r="R141" s="74"/>
      <c r="S141" s="80">
        <v>12057.18</v>
      </c>
      <c r="T141" s="78" t="s">
        <v>14157</v>
      </c>
      <c r="U141" s="74"/>
      <c r="V141" s="78" t="s">
        <v>14158</v>
      </c>
      <c r="W141" s="78" t="s">
        <v>2391</v>
      </c>
      <c r="X141" s="78" t="s">
        <v>2395</v>
      </c>
      <c r="Y141" s="78" t="s">
        <v>2397</v>
      </c>
      <c r="Z141" s="78" t="s">
        <v>2860</v>
      </c>
      <c r="AA141" s="78" t="s">
        <v>14156</v>
      </c>
      <c r="AB141" s="78" t="s">
        <v>14156</v>
      </c>
      <c r="AC141" s="79" t="s">
        <v>15032</v>
      </c>
      <c r="AD141" s="79" t="s">
        <v>15032</v>
      </c>
      <c r="AE141" s="78" t="s">
        <v>15033</v>
      </c>
      <c r="AF141" s="78" t="s">
        <v>15034</v>
      </c>
      <c r="AG141" s="78" t="s">
        <v>15035</v>
      </c>
      <c r="AH141" s="74"/>
      <c r="AI141" s="74"/>
      <c r="AJ141" s="74"/>
      <c r="AK141" s="74"/>
      <c r="AL141" s="74"/>
      <c r="AM141" s="78" t="s">
        <v>14163</v>
      </c>
      <c r="AN141" s="78" t="s">
        <v>14164</v>
      </c>
      <c r="AO141" s="78" t="s">
        <v>14629</v>
      </c>
      <c r="AP141" s="78" t="s">
        <v>14410</v>
      </c>
      <c r="AQ141" s="78" t="s">
        <v>14167</v>
      </c>
      <c r="AR141" s="78" t="s">
        <v>14168</v>
      </c>
      <c r="AS141" s="78" t="s">
        <v>14205</v>
      </c>
      <c r="AT141" s="78" t="s">
        <v>3124</v>
      </c>
      <c r="AU141" s="78" t="s">
        <v>14206</v>
      </c>
      <c r="AV141" s="78" t="s">
        <v>787</v>
      </c>
      <c r="AW141" s="78" t="s">
        <v>787</v>
      </c>
      <c r="AX141" s="78" t="s">
        <v>15036</v>
      </c>
      <c r="AY141" s="78" t="s">
        <v>15037</v>
      </c>
      <c r="AZ141" s="78" t="s">
        <v>14173</v>
      </c>
      <c r="BA141" s="78" t="s">
        <v>14206</v>
      </c>
      <c r="BB141" s="74"/>
      <c r="BC141" s="78" t="s">
        <v>15038</v>
      </c>
      <c r="BD141" s="78" t="s">
        <v>14551</v>
      </c>
      <c r="BE141" s="78" t="s">
        <v>14552</v>
      </c>
      <c r="BF141" s="81" t="s">
        <v>15039</v>
      </c>
      <c r="BG141" s="81" t="s">
        <v>15040</v>
      </c>
      <c r="BH141" s="81" t="s">
        <v>15041</v>
      </c>
      <c r="BI141" s="78" t="s">
        <v>14178</v>
      </c>
      <c r="BJ141" s="78" t="s">
        <v>14179</v>
      </c>
      <c r="BK141" s="78" t="s">
        <v>15042</v>
      </c>
      <c r="BL141" s="78" t="s">
        <v>14213</v>
      </c>
      <c r="BM141" s="78" t="s">
        <v>15043</v>
      </c>
      <c r="BN141" s="78" t="s">
        <v>14183</v>
      </c>
      <c r="BO141" s="78" t="s">
        <v>14184</v>
      </c>
      <c r="BP141" s="78" t="s">
        <v>14184</v>
      </c>
    </row>
    <row r="142" s="74" customFormat="1" ht="54" spans="65:68">
      <c r="BM142" s="78" t="s">
        <v>15044</v>
      </c>
      <c r="BN142" s="78" t="s">
        <v>14520</v>
      </c>
      <c r="BO142" s="78" t="s">
        <v>3816</v>
      </c>
      <c r="BP142" s="78" t="s">
        <v>3816</v>
      </c>
    </row>
    <row r="143" s="74" customFormat="1" ht="283.5" spans="1:68">
      <c r="A143" s="78" t="s">
        <v>15045</v>
      </c>
      <c r="B143" s="78" t="s">
        <v>2858</v>
      </c>
      <c r="C143" s="78" t="s">
        <v>14147</v>
      </c>
      <c r="D143" s="78" t="s">
        <v>15046</v>
      </c>
      <c r="E143" s="79" t="s">
        <v>14548</v>
      </c>
      <c r="F143" s="78" t="s">
        <v>14150</v>
      </c>
      <c r="G143" s="78" t="s">
        <v>14151</v>
      </c>
      <c r="H143" s="74"/>
      <c r="I143" s="74"/>
      <c r="J143" s="78" t="s">
        <v>14152</v>
      </c>
      <c r="K143" s="78" t="s">
        <v>14153</v>
      </c>
      <c r="L143" s="78" t="s">
        <v>14154</v>
      </c>
      <c r="M143" s="78" t="s">
        <v>14155</v>
      </c>
      <c r="N143" s="74"/>
      <c r="O143" s="80">
        <v>89555.05</v>
      </c>
      <c r="P143" s="80">
        <v>97615</v>
      </c>
      <c r="Q143" s="78" t="s">
        <v>15047</v>
      </c>
      <c r="R143" s="74"/>
      <c r="S143" s="80">
        <v>8059.95</v>
      </c>
      <c r="T143" s="78" t="s">
        <v>14157</v>
      </c>
      <c r="U143" s="74"/>
      <c r="V143" s="78" t="s">
        <v>14158</v>
      </c>
      <c r="W143" s="78" t="s">
        <v>2391</v>
      </c>
      <c r="X143" s="78" t="s">
        <v>2395</v>
      </c>
      <c r="Y143" s="78" t="s">
        <v>2397</v>
      </c>
      <c r="Z143" s="78" t="s">
        <v>2858</v>
      </c>
      <c r="AA143" s="78" t="s">
        <v>14156</v>
      </c>
      <c r="AB143" s="78" t="s">
        <v>14156</v>
      </c>
      <c r="AC143" s="79" t="s">
        <v>15048</v>
      </c>
      <c r="AD143" s="79" t="s">
        <v>15048</v>
      </c>
      <c r="AE143" s="78" t="s">
        <v>14252</v>
      </c>
      <c r="AF143" s="78" t="s">
        <v>14253</v>
      </c>
      <c r="AG143" s="78" t="s">
        <v>14628</v>
      </c>
      <c r="AH143" s="74"/>
      <c r="AI143" s="74"/>
      <c r="AJ143" s="74"/>
      <c r="AK143" s="74"/>
      <c r="AL143" s="74"/>
      <c r="AM143" s="78" t="s">
        <v>14163</v>
      </c>
      <c r="AN143" s="78" t="s">
        <v>14164</v>
      </c>
      <c r="AO143" s="78" t="s">
        <v>14629</v>
      </c>
      <c r="AP143" s="78" t="s">
        <v>14410</v>
      </c>
      <c r="AQ143" s="78" t="s">
        <v>14167</v>
      </c>
      <c r="AR143" s="78" t="s">
        <v>14168</v>
      </c>
      <c r="AS143" s="78" t="s">
        <v>14205</v>
      </c>
      <c r="AT143" s="78" t="s">
        <v>3124</v>
      </c>
      <c r="AU143" s="78" t="s">
        <v>14206</v>
      </c>
      <c r="AV143" s="78" t="s">
        <v>787</v>
      </c>
      <c r="AW143" s="78" t="s">
        <v>787</v>
      </c>
      <c r="AX143" s="78" t="s">
        <v>15049</v>
      </c>
      <c r="AY143" s="78" t="s">
        <v>15050</v>
      </c>
      <c r="AZ143" s="78" t="s">
        <v>14173</v>
      </c>
      <c r="BA143" s="78" t="s">
        <v>14206</v>
      </c>
      <c r="BB143" s="74"/>
      <c r="BC143" s="78" t="s">
        <v>15051</v>
      </c>
      <c r="BD143" s="78" t="s">
        <v>14551</v>
      </c>
      <c r="BE143" s="78" t="s">
        <v>14552</v>
      </c>
      <c r="BF143" s="81" t="s">
        <v>15052</v>
      </c>
      <c r="BG143" s="81" t="s">
        <v>15053</v>
      </c>
      <c r="BH143" s="81" t="s">
        <v>15054</v>
      </c>
      <c r="BI143" s="78" t="s">
        <v>14178</v>
      </c>
      <c r="BJ143" s="78" t="s">
        <v>14179</v>
      </c>
      <c r="BK143" s="78" t="s">
        <v>15055</v>
      </c>
      <c r="BL143" s="78" t="s">
        <v>14213</v>
      </c>
      <c r="BM143" s="78" t="s">
        <v>15056</v>
      </c>
      <c r="BN143" s="78" t="s">
        <v>14183</v>
      </c>
      <c r="BO143" s="78" t="s">
        <v>14184</v>
      </c>
      <c r="BP143" s="78" t="s">
        <v>14184</v>
      </c>
    </row>
    <row r="144" s="74" customFormat="1" ht="54" spans="65:68">
      <c r="BM144" s="78" t="s">
        <v>15057</v>
      </c>
      <c r="BN144" s="78" t="s">
        <v>15027</v>
      </c>
      <c r="BO144" s="78" t="s">
        <v>5093</v>
      </c>
      <c r="BP144" s="78" t="s">
        <v>5093</v>
      </c>
    </row>
    <row r="145" s="74" customFormat="1" ht="216" spans="1:68">
      <c r="A145" s="78" t="s">
        <v>15058</v>
      </c>
      <c r="B145" s="78" t="s">
        <v>2815</v>
      </c>
      <c r="C145" s="78" t="s">
        <v>14147</v>
      </c>
      <c r="D145" s="78" t="s">
        <v>15059</v>
      </c>
      <c r="E145" s="79" t="s">
        <v>15030</v>
      </c>
      <c r="F145" s="78" t="s">
        <v>14150</v>
      </c>
      <c r="G145" s="78" t="s">
        <v>14151</v>
      </c>
      <c r="H145" s="74"/>
      <c r="I145" s="74"/>
      <c r="J145" s="78" t="s">
        <v>14152</v>
      </c>
      <c r="K145" s="78" t="s">
        <v>14153</v>
      </c>
      <c r="L145" s="78" t="s">
        <v>14154</v>
      </c>
      <c r="M145" s="78" t="s">
        <v>14155</v>
      </c>
      <c r="N145" s="74"/>
      <c r="O145" s="74"/>
      <c r="P145" s="80">
        <v>120000</v>
      </c>
      <c r="Q145" s="78" t="s">
        <v>14156</v>
      </c>
      <c r="R145" s="74"/>
      <c r="S145" s="74"/>
      <c r="T145" s="78" t="s">
        <v>14157</v>
      </c>
      <c r="U145" s="74"/>
      <c r="V145" s="78" t="s">
        <v>14158</v>
      </c>
      <c r="W145" s="78" t="s">
        <v>2391</v>
      </c>
      <c r="X145" s="78" t="s">
        <v>2395</v>
      </c>
      <c r="Y145" s="78" t="s">
        <v>2397</v>
      </c>
      <c r="Z145" s="78" t="s">
        <v>2815</v>
      </c>
      <c r="AA145" s="78" t="s">
        <v>14156</v>
      </c>
      <c r="AB145" s="78" t="s">
        <v>14156</v>
      </c>
      <c r="AC145" s="79" t="s">
        <v>15060</v>
      </c>
      <c r="AD145" s="79" t="s">
        <v>15060</v>
      </c>
      <c r="AE145" s="78" t="s">
        <v>15033</v>
      </c>
      <c r="AF145" s="78" t="s">
        <v>15034</v>
      </c>
      <c r="AG145" s="78" t="s">
        <v>14628</v>
      </c>
      <c r="AH145" s="74"/>
      <c r="AI145" s="74"/>
      <c r="AJ145" s="74"/>
      <c r="AK145" s="74"/>
      <c r="AL145" s="74"/>
      <c r="AM145" s="78" t="s">
        <v>14163</v>
      </c>
      <c r="AN145" s="78" t="s">
        <v>14164</v>
      </c>
      <c r="AO145" s="78" t="s">
        <v>14629</v>
      </c>
      <c r="AP145" s="78" t="s">
        <v>14410</v>
      </c>
      <c r="AQ145" s="78" t="s">
        <v>14167</v>
      </c>
      <c r="AR145" s="78" t="s">
        <v>14168</v>
      </c>
      <c r="AS145" s="78" t="s">
        <v>15061</v>
      </c>
      <c r="AT145" s="78" t="s">
        <v>15062</v>
      </c>
      <c r="AU145" s="78" t="s">
        <v>15063</v>
      </c>
      <c r="AV145" s="78" t="s">
        <v>787</v>
      </c>
      <c r="AW145" s="78" t="s">
        <v>787</v>
      </c>
      <c r="AX145" s="78" t="s">
        <v>15064</v>
      </c>
      <c r="AY145" s="78" t="s">
        <v>15065</v>
      </c>
      <c r="AZ145" s="78" t="s">
        <v>14173</v>
      </c>
      <c r="BA145" s="78" t="s">
        <v>15063</v>
      </c>
      <c r="BB145" s="74"/>
      <c r="BC145" s="78" t="s">
        <v>15066</v>
      </c>
      <c r="BD145" s="78" t="s">
        <v>14551</v>
      </c>
      <c r="BE145" s="78" t="s">
        <v>14552</v>
      </c>
      <c r="BF145" s="81" t="s">
        <v>15067</v>
      </c>
      <c r="BG145" s="81" t="s">
        <v>15068</v>
      </c>
      <c r="BH145" s="81" t="s">
        <v>15069</v>
      </c>
      <c r="BI145" s="78" t="s">
        <v>14551</v>
      </c>
      <c r="BJ145" s="78" t="s">
        <v>14552</v>
      </c>
      <c r="BK145" s="78" t="s">
        <v>15070</v>
      </c>
      <c r="BL145" s="78" t="s">
        <v>15071</v>
      </c>
      <c r="BM145" s="78" t="s">
        <v>15072</v>
      </c>
      <c r="BN145" s="78" t="s">
        <v>15073</v>
      </c>
      <c r="BO145" s="78" t="s">
        <v>15074</v>
      </c>
      <c r="BP145" s="78" t="s">
        <v>15074</v>
      </c>
    </row>
    <row r="146" s="74" customFormat="1" ht="54" spans="65:68">
      <c r="BM146" s="78" t="s">
        <v>15075</v>
      </c>
      <c r="BN146" s="78" t="s">
        <v>15076</v>
      </c>
      <c r="BO146" s="78" t="s">
        <v>15077</v>
      </c>
      <c r="BP146" s="78" t="s">
        <v>15077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B1" workbookViewId="0">
      <selection activeCell="F2" sqref="F2:F624"/>
    </sheetView>
  </sheetViews>
  <sheetFormatPr defaultColWidth="9" defaultRowHeight="13.5"/>
  <cols>
    <col min="2" max="2" width="18.375" customWidth="1"/>
    <col min="3" max="3" width="10.5416666666667"/>
    <col min="5" max="5" width="11.625" customWidth="1"/>
    <col min="6" max="6" width="9.54166666666667" customWidth="1"/>
    <col min="7" max="7" width="41.2583333333333" customWidth="1"/>
    <col min="8" max="8" width="21" customWidth="1"/>
    <col min="9" max="9" width="13" customWidth="1"/>
    <col min="10" max="10" width="18.375" customWidth="1"/>
  </cols>
  <sheetData>
    <row r="1" spans="1:9">
      <c r="A1" s="68" t="s">
        <v>15078</v>
      </c>
      <c r="B1" s="69" t="s">
        <v>15079</v>
      </c>
      <c r="C1" s="69" t="s">
        <v>15080</v>
      </c>
      <c r="D1" s="69" t="s">
        <v>15081</v>
      </c>
      <c r="E1" s="69" t="s">
        <v>15082</v>
      </c>
      <c r="F1" s="70" t="s">
        <v>15083</v>
      </c>
      <c r="G1" s="71" t="s">
        <v>15084</v>
      </c>
      <c r="H1" s="72" t="s">
        <v>14106</v>
      </c>
      <c r="I1" s="1" t="s">
        <v>15085</v>
      </c>
    </row>
    <row r="2" spans="1:10">
      <c r="A2">
        <v>1</v>
      </c>
      <c r="B2">
        <f>IF(ISBLANK(IFERROR(INDEX('2-3 引出列表'!$A$2:$CE$8700,$A2,MATCH(B$1,'2-3 引出列表'!$A$1:$CD$1,0)),"")),"",IFERROR(INDEX('2-3 引出列表'!$A$2:$CE$8700,$A2,MATCH(B$1,'2-3 引出列表'!$A$1:$CD$1,0)),""))</f>
        <v>0</v>
      </c>
      <c r="C2">
        <f>IF(ISBLANK(IFERROR(INDEX('2-3 引出列表'!$A$2:$CE$8700,$A2,MATCH(C$1,'2-3 引出列表'!$A$1:$CD$1,0)),"")),"",IFERROR(INDEX('2-3 引出列表'!$A$2:$CE$8700,$A2,MATCH(C$1,'2-3 引出列表'!$A$1:$CD$1,0)),""))</f>
        <v>9900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2025-04-23</v>
      </c>
      <c r="F2" s="30" t="str">
        <f>LEFT(E2,7)</f>
        <v>2025-04</v>
      </c>
      <c r="G2" t="str">
        <f>IF(ISBLANK(IFERROR(INDEX('2-3 引出列表'!$A$2:$CE$8700,$A2,MATCH(G$1,'2-3 引出列表'!$A$1:$CD$1,0)),"")),"",IFERROR(INDEX('2-3 引出列表'!$A$2:$CE$8700,$A2,MATCH(G$1,'2-3 引出列表'!$A$1:$CD$1,0)),""))</f>
        <v>人工费用.节日及餐费福利</v>
      </c>
      <c r="H2">
        <f>IF(ISBLANK(IFERROR(INDEX('2-3 引出列表'!$A$2:$CE$8700,$A2,MATCH(H$1,'2-3 引出列表'!$A$1:$CD$1,0)),"")),"",IFERROR(INDEX('2-3 引出列表'!$A$2:$CE$8700,$A2,MATCH(H$1,'2-3 引出列表'!$A$1:$CD$1,0)),""))</f>
        <v>0</v>
      </c>
      <c r="I2">
        <f>IF(ISBLANK(IFERROR(INDEX('2-3 引出列表'!$A$2:$CE$8700,$A2,MATCH(I$1,'2-3 引出列表'!$A$1:$CD$1,0)),"")),"",IFERROR(INDEX('2-3 引出列表'!$A$2:$CE$8700,$A2,MATCH(I$1,'2-3 引出列表'!$A$1:$CD$1,0)),""))</f>
        <v>0</v>
      </c>
      <c r="J2" s="73"/>
    </row>
    <row r="3" spans="1:9">
      <c r="A3">
        <v>2</v>
      </c>
      <c r="B3" t="str">
        <f>IF(ISBLANK(IFERROR(INDEX('2-3 引出列表'!$A$2:$CE$8700,$A3,MATCH(B$1,'2-3 引出列表'!$A$1:$CD$1,0)),"")),"",IFERROR(INDEX('2-3 引出列表'!$A$2:$CE$8700,$A3,MATCH(B$1,'2-3 引出列表'!$A$1:$CD$1,0)),""))</f>
        <v>FK250213000662</v>
      </c>
      <c r="C3">
        <f>IF(ISBLANK(IFERROR(INDEX('2-3 引出列表'!$A$2:$CE$8700,$A3,MATCH(C$1,'2-3 引出列表'!$A$1:$CD$1,0)),"")),"",IFERROR(INDEX('2-3 引出列表'!$A$2:$CE$8700,$A3,MATCH(C$1,'2-3 引出列表'!$A$1:$CD$1,0)),""))</f>
        <v>694.77</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2025-04-23</v>
      </c>
      <c r="F3" s="30" t="str">
        <f t="shared" ref="F3:F66" si="0">LEFT(E3,7)</f>
        <v>2025-04</v>
      </c>
      <c r="G3" t="str">
        <f>IF(ISBLANK(IFERROR(INDEX('2-3 引出列表'!$A$2:$CE$8700,$A3,MATCH(G$1,'2-3 引出列表'!$A$1:$CD$1,0)),"")),"",IFERROR(INDEX('2-3 引出列表'!$A$2:$CE$8700,$A3,MATCH(G$1,'2-3 引出列表'!$A$1:$CD$1,0)),""))</f>
        <v>物料消耗.物料消耗</v>
      </c>
      <c r="H3">
        <f>IF(ISBLANK(IFERROR(INDEX('2-3 引出列表'!$A$2:$CE$8700,$A3,MATCH(H$1,'2-3 引出列表'!$A$1:$CD$1,0)),"")),"",IFERROR(INDEX('2-3 引出列表'!$A$2:$CE$8700,$A3,MATCH(H$1,'2-3 引出列表'!$A$1:$CD$1,0)),""))</f>
        <v>0</v>
      </c>
      <c r="I3" t="str">
        <f>IF(ISBLANK(IFERROR(INDEX('2-3 引出列表'!$A$2:$CE$8700,$A3,MATCH(I$1,'2-3 引出列表'!$A$1:$CD$1,0)),"")),"",IFERROR(INDEX('2-3 引出列表'!$A$2:$CE$8700,$A3,MATCH(I$1,'2-3 引出列表'!$A$1:$CD$1,0)),""))</f>
        <v>金采易购</v>
      </c>
    </row>
    <row r="4" spans="1:9">
      <c r="A4">
        <v>3</v>
      </c>
      <c r="B4" t="str">
        <f>IF(ISBLANK(IFERROR(INDEX('2-3 引出列表'!$A$2:$CE$8700,$A4,MATCH(B$1,'2-3 引出列表'!$A$1:$CD$1,0)),"")),"",IFERROR(INDEX('2-3 引出列表'!$A$2:$CE$8700,$A4,MATCH(B$1,'2-3 引出列表'!$A$1:$CD$1,0)),""))</f>
        <v>FK250213000662</v>
      </c>
      <c r="C4">
        <f>IF(ISBLANK(IFERROR(INDEX('2-3 引出列表'!$A$2:$CE$8700,$A4,MATCH(C$1,'2-3 引出列表'!$A$1:$CD$1,0)),"")),"",IFERROR(INDEX('2-3 引出列表'!$A$2:$CE$8700,$A4,MATCH(C$1,'2-3 引出列表'!$A$1:$CD$1,0)),""))</f>
        <v>694.77</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2025-04-23</v>
      </c>
      <c r="F4" s="30" t="str">
        <f t="shared" si="0"/>
        <v>2025-04</v>
      </c>
      <c r="G4" t="str">
        <f>IF(ISBLANK(IFERROR(INDEX('2-3 引出列表'!$A$2:$CE$8700,$A4,MATCH(G$1,'2-3 引出列表'!$A$1:$CD$1,0)),"")),"",IFERROR(INDEX('2-3 引出列表'!$A$2:$CE$8700,$A4,MATCH(G$1,'2-3 引出列表'!$A$1:$CD$1,0)),""))</f>
        <v>物料消耗.物料消耗</v>
      </c>
      <c r="H4">
        <f>IF(ISBLANK(IFERROR(INDEX('2-3 引出列表'!$A$2:$CE$8700,$A4,MATCH(H$1,'2-3 引出列表'!$A$1:$CD$1,0)),"")),"",IFERROR(INDEX('2-3 引出列表'!$A$2:$CE$8700,$A4,MATCH(H$1,'2-3 引出列表'!$A$1:$CD$1,0)),""))</f>
        <v>0</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FK250213000662</v>
      </c>
      <c r="C5">
        <f>IF(ISBLANK(IFERROR(INDEX('2-3 引出列表'!$A$2:$CE$8700,$A5,MATCH(C$1,'2-3 引出列表'!$A$1:$CD$1,0)),"")),"",IFERROR(INDEX('2-3 引出列表'!$A$2:$CE$8700,$A5,MATCH(C$1,'2-3 引出列表'!$A$1:$CD$1,0)),""))</f>
        <v>694.77</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2025-04-23</v>
      </c>
      <c r="F5" s="30" t="str">
        <f t="shared" si="0"/>
        <v>2025-04</v>
      </c>
      <c r="G5" t="str">
        <f>IF(ISBLANK(IFERROR(INDEX('2-3 引出列表'!$A$2:$CE$8700,$A5,MATCH(G$1,'2-3 引出列表'!$A$1:$CD$1,0)),"")),"",IFERROR(INDEX('2-3 引出列表'!$A$2:$CE$8700,$A5,MATCH(G$1,'2-3 引出列表'!$A$1:$CD$1,0)),""))</f>
        <v>物料消耗.物料消耗</v>
      </c>
      <c r="H5">
        <f>IF(ISBLANK(IFERROR(INDEX('2-3 引出列表'!$A$2:$CE$8700,$A5,MATCH(H$1,'2-3 引出列表'!$A$1:$CD$1,0)),"")),"",IFERROR(INDEX('2-3 引出列表'!$A$2:$CE$8700,$A5,MATCH(H$1,'2-3 引出列表'!$A$1:$CD$1,0)),""))</f>
        <v>0</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FK250121001002</v>
      </c>
      <c r="C6">
        <f>IF(ISBLANK(IFERROR(INDEX('2-3 引出列表'!$A$2:$CE$8700,$A6,MATCH(C$1,'2-3 引出列表'!$A$1:$CD$1,0)),"")),"",IFERROR(INDEX('2-3 引出列表'!$A$2:$CE$8700,$A6,MATCH(C$1,'2-3 引出列表'!$A$1:$CD$1,0)),""))</f>
        <v>300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2025-04-23</v>
      </c>
      <c r="F6" s="30" t="str">
        <f t="shared" si="0"/>
        <v>2025-04</v>
      </c>
      <c r="G6" t="str">
        <f>IF(ISBLANK(IFERROR(INDEX('2-3 引出列表'!$A$2:$CE$8700,$A6,MATCH(G$1,'2-3 引出列表'!$A$1:$CD$1,0)),"")),"",IFERROR(INDEX('2-3 引出列表'!$A$2:$CE$8700,$A6,MATCH(G$1,'2-3 引出列表'!$A$1:$CD$1,0)),""))</f>
        <v>物料消耗.物料消耗</v>
      </c>
      <c r="H6">
        <f>IF(ISBLANK(IFERROR(INDEX('2-3 引出列表'!$A$2:$CE$8700,$A6,MATCH(H$1,'2-3 引出列表'!$A$1:$CD$1,0)),"")),"",IFERROR(INDEX('2-3 引出列表'!$A$2:$CE$8700,$A6,MATCH(H$1,'2-3 引出列表'!$A$1:$CD$1,0)),""))</f>
        <v>0</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FK250121000969</v>
      </c>
      <c r="C7">
        <f>IF(ISBLANK(IFERROR(INDEX('2-3 引出列表'!$A$2:$CE$8700,$A7,MATCH(C$1,'2-3 引出列表'!$A$1:$CD$1,0)),"")),"",IFERROR(INDEX('2-3 引出列表'!$A$2:$CE$8700,$A7,MATCH(C$1,'2-3 引出列表'!$A$1:$CD$1,0)),""))</f>
        <v>3600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2025-04-23</v>
      </c>
      <c r="F7" s="30" t="str">
        <f t="shared" si="0"/>
        <v>2025-04</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ZB20221124JCWZ01</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FK250121000969</v>
      </c>
      <c r="C8">
        <f>IF(ISBLANK(IFERROR(INDEX('2-3 引出列表'!$A$2:$CE$8700,$A8,MATCH(C$1,'2-3 引出列表'!$A$1:$CD$1,0)),"")),"",IFERROR(INDEX('2-3 引出列表'!$A$2:$CE$8700,$A8,MATCH(C$1,'2-3 引出列表'!$A$1:$CD$1,0)),""))</f>
        <v>3600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2025-04-23</v>
      </c>
      <c r="F8" s="30"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ZB20221124JCWZ01</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FK250121000251</v>
      </c>
      <c r="C9">
        <f>IF(ISBLANK(IFERROR(INDEX('2-3 引出列表'!$A$2:$CE$8700,$A9,MATCH(C$1,'2-3 引出列表'!$A$1:$CD$1,0)),"")),"",IFERROR(INDEX('2-3 引出列表'!$A$2:$CE$8700,$A9,MATCH(C$1,'2-3 引出列表'!$A$1:$CD$1,0)),""))</f>
        <v>215</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2025-04-23</v>
      </c>
      <c r="F9" s="30"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ZB20230601JCWZ01-01</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FK250121000251</v>
      </c>
      <c r="C10">
        <f>IF(ISBLANK(IFERROR(INDEX('2-3 引出列表'!$A$2:$CE$8700,$A10,MATCH(C$1,'2-3 引出列表'!$A$1:$CD$1,0)),"")),"",IFERROR(INDEX('2-3 引出列表'!$A$2:$CE$8700,$A10,MATCH(C$1,'2-3 引出列表'!$A$1:$CD$1,0)),""))</f>
        <v>215</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2025-04-23</v>
      </c>
      <c r="F10" s="3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ZB20230601JCWZ01-01</v>
      </c>
      <c r="I10" t="str">
        <f>IF(ISBLANK(IFERROR(INDEX('2-3 引出列表'!$A$2:$CE$8700,$A10,MATCH(I$1,'2-3 引出列表'!$A$1:$CD$1,0)),"")),"",IFERROR(INDEX('2-3 引出列表'!$A$2:$CE$8700,$A10,MATCH(I$1,'2-3 引出列表'!$A$1:$CD$1,0)),""))</f>
        <v>金采易购</v>
      </c>
    </row>
    <row r="11" spans="1:9">
      <c r="A11">
        <v>10</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10030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2025-04-11</v>
      </c>
      <c r="F11" s="30" t="str">
        <f t="shared" si="0"/>
        <v>2025-04</v>
      </c>
      <c r="G11" t="str">
        <f>IF(ISBLANK(IFERROR(INDEX('2-3 引出列表'!$A$2:$CE$8700,$A11,MATCH(G$1,'2-3 引出列表'!$A$1:$CD$1,0)),"")),"",IFERROR(INDEX('2-3 引出列表'!$A$2:$CE$8700,$A11,MATCH(G$1,'2-3 引出列表'!$A$1:$CD$1,0)),""))</f>
        <v>财产费用.财产保险费</v>
      </c>
      <c r="H11">
        <f>IF(ISBLANK(IFERROR(INDEX('2-3 引出列表'!$A$2:$CE$8700,$A11,MATCH(H$1,'2-3 引出列表'!$A$1:$CD$1,0)),"")),"",IFERROR(INDEX('2-3 引出列表'!$A$2:$CE$8700,$A11,MATCH(H$1,'2-3 引出列表'!$A$1:$CD$1,0)),""))</f>
        <v>0</v>
      </c>
      <c r="I11">
        <f>IF(ISBLANK(IFERROR(INDEX('2-3 引出列表'!$A$2:$CE$8700,$A11,MATCH(I$1,'2-3 引出列表'!$A$1:$CD$1,0)),"")),"",IFERROR(INDEX('2-3 引出列表'!$A$2:$CE$8700,$A11,MATCH(I$1,'2-3 引出列表'!$A$1:$CD$1,0)),""))</f>
        <v>0</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40980</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2025-04-11</v>
      </c>
      <c r="F12" s="30" t="str">
        <f t="shared" si="0"/>
        <v>2025-04</v>
      </c>
      <c r="G12" t="str">
        <f>IF(ISBLANK(IFERROR(INDEX('2-3 引出列表'!$A$2:$CE$8700,$A12,MATCH(G$1,'2-3 引出列表'!$A$1:$CD$1,0)),"")),"",IFERROR(INDEX('2-3 引出列表'!$A$2:$CE$8700,$A12,MATCH(G$1,'2-3 引出列表'!$A$1:$CD$1,0)),""))</f>
        <v>人工费用.宿舍费</v>
      </c>
      <c r="H12" t="str">
        <f>IF(ISBLANK(IFERROR(INDEX('2-3 引出列表'!$A$2:$CE$8700,$A12,MATCH(H$1,'2-3 引出列表'!$A$1:$CD$1,0)),"")),"",IFERROR(INDEX('2-3 引出列表'!$A$2:$CE$8700,$A12,MATCH(H$1,'2-3 引出列表'!$A$1:$CD$1,0)),""))</f>
        <v>FWL-Z-2025-00136</v>
      </c>
      <c r="I12">
        <f>IF(ISBLANK(IFERROR(INDEX('2-3 引出列表'!$A$2:$CE$8700,$A12,MATCH(I$1,'2-3 引出列表'!$A$1:$CD$1,0)),"")),"",IFERROR(INDEX('2-3 引出列表'!$A$2:$CE$8700,$A12,MATCH(I$1,'2-3 引出列表'!$A$1:$CD$1,0)),""))</f>
        <v>0</v>
      </c>
      <c r="J12" s="1"/>
    </row>
    <row r="13" spans="1:9">
      <c r="A13">
        <v>12</v>
      </c>
      <c r="B13">
        <f>IF(ISBLANK(IFERROR(INDEX('2-3 引出列表'!$A$2:$CE$8700,$A13,MATCH(B$1,'2-3 引出列表'!$A$1:$CD$1,0)),"")),"",IFERROR(INDEX('2-3 引出列表'!$A$2:$CE$8700,$A13,MATCH(B$1,'2-3 引出列表'!$A$1:$CD$1,0)),""))</f>
        <v>0</v>
      </c>
      <c r="C13">
        <f>IF(ISBLANK(IFERROR(INDEX('2-3 引出列表'!$A$2:$CE$8700,$A13,MATCH(C$1,'2-3 引出列表'!$A$1:$CD$1,0)),"")),"",IFERROR(INDEX('2-3 引出列表'!$A$2:$CE$8700,$A13,MATCH(C$1,'2-3 引出列表'!$A$1:$CD$1,0)),""))</f>
        <v>2959.2</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2025-04-11</v>
      </c>
      <c r="F13" s="30" t="str">
        <f t="shared" si="0"/>
        <v>2025-04</v>
      </c>
      <c r="G13" t="str">
        <f>IF(ISBLANK(IFERROR(INDEX('2-3 引出列表'!$A$2:$CE$8700,$A13,MATCH(G$1,'2-3 引出列表'!$A$1:$CD$1,0)),"")),"",IFERROR(INDEX('2-3 引出列表'!$A$2:$CE$8700,$A13,MATCH(G$1,'2-3 引出列表'!$A$1:$CD$1,0)),""))</f>
        <v>人工费用.节日及餐费福利</v>
      </c>
      <c r="H13">
        <f>IF(ISBLANK(IFERROR(INDEX('2-3 引出列表'!$A$2:$CE$8700,$A13,MATCH(H$1,'2-3 引出列表'!$A$1:$CD$1,0)),"")),"",IFERROR(INDEX('2-3 引出列表'!$A$2:$CE$8700,$A13,MATCH(H$1,'2-3 引出列表'!$A$1:$CD$1,0)),""))</f>
        <v>0</v>
      </c>
      <c r="I13">
        <f>IF(ISBLANK(IFERROR(INDEX('2-3 引出列表'!$A$2:$CE$8700,$A13,MATCH(I$1,'2-3 引出列表'!$A$1:$CD$1,0)),"")),"",IFERROR(INDEX('2-3 引出列表'!$A$2:$CE$8700,$A13,MATCH(I$1,'2-3 引出列表'!$A$1:$CD$1,0)),""))</f>
        <v>0</v>
      </c>
    </row>
    <row r="14" spans="1:9">
      <c r="A14">
        <v>13</v>
      </c>
      <c r="B14">
        <f>IF(ISBLANK(IFERROR(INDEX('2-3 引出列表'!$A$2:$CE$8700,$A14,MATCH(B$1,'2-3 引出列表'!$A$1:$CD$1,0)),"")),"",IFERROR(INDEX('2-3 引出列表'!$A$2:$CE$8700,$A14,MATCH(B$1,'2-3 引出列表'!$A$1:$CD$1,0)),""))</f>
        <v>0</v>
      </c>
      <c r="C14">
        <f>IF(ISBLANK(IFERROR(INDEX('2-3 引出列表'!$A$2:$CE$8700,$A14,MATCH(C$1,'2-3 引出列表'!$A$1:$CD$1,0)),"")),"",IFERROR(INDEX('2-3 引出列表'!$A$2:$CE$8700,$A14,MATCH(C$1,'2-3 引出列表'!$A$1:$CD$1,0)),""))</f>
        <v>31358</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2025-04-11</v>
      </c>
      <c r="F14" s="30" t="str">
        <f t="shared" si="0"/>
        <v>2025-04</v>
      </c>
      <c r="G14" t="str">
        <f>IF(ISBLANK(IFERROR(INDEX('2-3 引出列表'!$A$2:$CE$8700,$A14,MATCH(G$1,'2-3 引出列表'!$A$1:$CD$1,0)),"")),"",IFERROR(INDEX('2-3 引出列表'!$A$2:$CE$8700,$A14,MATCH(G$1,'2-3 引出列表'!$A$1:$CD$1,0)),""))</f>
        <v>人工费用.宿舍费</v>
      </c>
      <c r="H14" t="str">
        <f>IF(ISBLANK(IFERROR(INDEX('2-3 引出列表'!$A$2:$CE$8700,$A14,MATCH(H$1,'2-3 引出列表'!$A$1:$CD$1,0)),"")),"",IFERROR(INDEX('2-3 引出列表'!$A$2:$CE$8700,$A14,MATCH(H$1,'2-3 引出列表'!$A$1:$CD$1,0)),""))</f>
        <v>FWL-Z-2024-0942</v>
      </c>
      <c r="I14">
        <f>IF(ISBLANK(IFERROR(INDEX('2-3 引出列表'!$A$2:$CE$8700,$A14,MATCH(I$1,'2-3 引出列表'!$A$1:$CD$1,0)),"")),"",IFERROR(INDEX('2-3 引出列表'!$A$2:$CE$8700,$A14,MATCH(I$1,'2-3 引出列表'!$A$1:$CD$1,0)),""))</f>
        <v>0</v>
      </c>
    </row>
    <row r="15" spans="1:9">
      <c r="A15">
        <v>14</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4950</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2025-04-11</v>
      </c>
      <c r="F15" s="30" t="str">
        <f t="shared" si="0"/>
        <v>2025-04</v>
      </c>
      <c r="G15" t="str">
        <f>IF(ISBLANK(IFERROR(INDEX('2-3 引出列表'!$A$2:$CE$8700,$A15,MATCH(G$1,'2-3 引出列表'!$A$1:$CD$1,0)),"")),"",IFERROR(INDEX('2-3 引出列表'!$A$2:$CE$8700,$A15,MATCH(G$1,'2-3 引出列表'!$A$1:$CD$1,0)),""))</f>
        <v>人工费用.节日及餐费福利</v>
      </c>
      <c r="H15">
        <f>IF(ISBLANK(IFERROR(INDEX('2-3 引出列表'!$A$2:$CE$8700,$A15,MATCH(H$1,'2-3 引出列表'!$A$1:$CD$1,0)),"")),"",IFERROR(INDEX('2-3 引出列表'!$A$2:$CE$8700,$A15,MATCH(H$1,'2-3 引出列表'!$A$1:$CD$1,0)),""))</f>
        <v>0</v>
      </c>
      <c r="I15">
        <f>IF(ISBLANK(IFERROR(INDEX('2-3 引出列表'!$A$2:$CE$8700,$A15,MATCH(I$1,'2-3 引出列表'!$A$1:$CD$1,0)),"")),"",IFERROR(INDEX('2-3 引出列表'!$A$2:$CE$8700,$A15,MATCH(I$1,'2-3 引出列表'!$A$1:$CD$1,0)),""))</f>
        <v>0</v>
      </c>
    </row>
    <row r="16" spans="1:9">
      <c r="A16">
        <v>15</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1800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2025-04-11</v>
      </c>
      <c r="F16" s="30" t="str">
        <f t="shared" si="0"/>
        <v>2025-04</v>
      </c>
      <c r="G16" t="str">
        <f>IF(ISBLANK(IFERROR(INDEX('2-3 引出列表'!$A$2:$CE$8700,$A16,MATCH(G$1,'2-3 引出列表'!$A$1:$CD$1,0)),"")),"",IFERROR(INDEX('2-3 引出列表'!$A$2:$CE$8700,$A16,MATCH(G$1,'2-3 引出列表'!$A$1:$CD$1,0)),""))</f>
        <v>人工费用.宿舍费</v>
      </c>
      <c r="H16" t="str">
        <f>IF(ISBLANK(IFERROR(INDEX('2-3 引出列表'!$A$2:$CE$8700,$A16,MATCH(H$1,'2-3 引出列表'!$A$1:$CD$1,0)),"")),"",IFERROR(INDEX('2-3 引出列表'!$A$2:$CE$8700,$A16,MATCH(H$1,'2-3 引出列表'!$A$1:$CD$1,0)),""))</f>
        <v>FWL-Z-2024-0944</v>
      </c>
      <c r="I16">
        <f>IF(ISBLANK(IFERROR(INDEX('2-3 引出列表'!$A$2:$CE$8700,$A16,MATCH(I$1,'2-3 引出列表'!$A$1:$CD$1,0)),"")),"",IFERROR(INDEX('2-3 引出列表'!$A$2:$CE$8700,$A16,MATCH(I$1,'2-3 引出列表'!$A$1:$CD$1,0)),""))</f>
        <v>0</v>
      </c>
    </row>
    <row r="17" spans="1:9">
      <c r="A17">
        <v>16</v>
      </c>
      <c r="B17" t="str">
        <f>IF(ISBLANK(IFERROR(INDEX('2-3 引出列表'!$A$2:$CE$8700,$A17,MATCH(B$1,'2-3 引出列表'!$A$1:$CD$1,0)),"")),"",IFERROR(INDEX('2-3 引出列表'!$A$2:$CE$8700,$A17,MATCH(B$1,'2-3 引出列表'!$A$1:$CD$1,0)),""))</f>
        <v>FK250226000640</v>
      </c>
      <c r="C17">
        <f>IF(ISBLANK(IFERROR(INDEX('2-3 引出列表'!$A$2:$CE$8700,$A17,MATCH(C$1,'2-3 引出列表'!$A$1:$CD$1,0)),"")),"",IFERROR(INDEX('2-3 引出列表'!$A$2:$CE$8700,$A17,MATCH(C$1,'2-3 引出列表'!$A$1:$CD$1,0)),""))</f>
        <v>32000</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2025-04-11</v>
      </c>
      <c r="F17" s="30" t="str">
        <f t="shared" si="0"/>
        <v>2025-04</v>
      </c>
      <c r="G17" t="str">
        <f>IF(ISBLANK(IFERROR(INDEX('2-3 引出列表'!$A$2:$CE$8700,$A17,MATCH(G$1,'2-3 引出列表'!$A$1:$CD$1,0)),"")),"",IFERROR(INDEX('2-3 引出列表'!$A$2:$CE$8700,$A17,MATCH(G$1,'2-3 引出列表'!$A$1:$CD$1,0)),""))</f>
        <v>外包服务费.其他外包费</v>
      </c>
      <c r="H17" t="str">
        <f>IF(ISBLANK(IFERROR(INDEX('2-3 引出列表'!$A$2:$CE$8700,$A17,MATCH(H$1,'2-3 引出列表'!$A$1:$CD$1,0)),"")),"",IFERROR(INDEX('2-3 引出列表'!$A$2:$CE$8700,$A17,MATCH(H$1,'2-3 引出列表'!$A$1:$CD$1,0)),""))</f>
        <v>QTFW-Z-2024-0511</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FK250226000648</v>
      </c>
      <c r="C18">
        <f>IF(ISBLANK(IFERROR(INDEX('2-3 引出列表'!$A$2:$CE$8700,$A18,MATCH(C$1,'2-3 引出列表'!$A$1:$CD$1,0)),"")),"",IFERROR(INDEX('2-3 引出列表'!$A$2:$CE$8700,$A18,MATCH(C$1,'2-3 引出列表'!$A$1:$CD$1,0)),""))</f>
        <v>21162</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2025-04-11</v>
      </c>
      <c r="F18" s="30" t="str">
        <f t="shared" si="0"/>
        <v>2025-04</v>
      </c>
      <c r="G18" t="str">
        <f>IF(ISBLANK(IFERROR(INDEX('2-3 引出列表'!$A$2:$CE$8700,$A18,MATCH(G$1,'2-3 引出列表'!$A$1:$CD$1,0)),"")),"",IFERROR(INDEX('2-3 引出列表'!$A$2:$CE$8700,$A18,MATCH(G$1,'2-3 引出列表'!$A$1:$CD$1,0)),""))</f>
        <v>外包服务费.工程施工外包</v>
      </c>
      <c r="H18" t="str">
        <f>IF(ISBLANK(IFERROR(INDEX('2-3 引出列表'!$A$2:$CE$8700,$A18,MATCH(H$1,'2-3 引出列表'!$A$1:$CD$1,0)),"")),"",IFERROR(INDEX('2-3 引出列表'!$A$2:$CE$8700,$A18,MATCH(H$1,'2-3 引出列表'!$A$1:$CD$1,0)),""))</f>
        <v>GCFW-Z-2024-6026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FK250213000871</v>
      </c>
      <c r="C19">
        <f>IF(ISBLANK(IFERROR(INDEX('2-3 引出列表'!$A$2:$CE$8700,$A19,MATCH(C$1,'2-3 引出列表'!$A$1:$CD$1,0)),"")),"",IFERROR(INDEX('2-3 引出列表'!$A$2:$CE$8700,$A19,MATCH(C$1,'2-3 引出列表'!$A$1:$CD$1,0)),""))</f>
        <v>9800</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2025-04-11</v>
      </c>
      <c r="F19" s="30" t="str">
        <f t="shared" si="0"/>
        <v>2025-04</v>
      </c>
      <c r="G19" t="str">
        <f>IF(ISBLANK(IFERROR(INDEX('2-3 引出列表'!$A$2:$CE$8700,$A19,MATCH(G$1,'2-3 引出列表'!$A$1:$CD$1,0)),"")),"",IFERROR(INDEX('2-3 引出列表'!$A$2:$CE$8700,$A19,MATCH(G$1,'2-3 引出列表'!$A$1:$CD$1,0)),""))</f>
        <v>外包服务费.生活垃圾清运外包</v>
      </c>
      <c r="H19" t="str">
        <f>IF(ISBLANK(IFERROR(INDEX('2-3 引出列表'!$A$2:$CE$8700,$A19,MATCH(H$1,'2-3 引出列表'!$A$1:$CD$1,0)),"")),"",IFERROR(INDEX('2-3 引出列表'!$A$2:$CE$8700,$A19,MATCH(H$1,'2-3 引出列表'!$A$1:$CD$1,0)),""))</f>
        <v>HJFW-Z-2024-3403</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FK250213000318</v>
      </c>
      <c r="C20">
        <f>IF(ISBLANK(IFERROR(INDEX('2-3 引出列表'!$A$2:$CE$8700,$A20,MATCH(C$1,'2-3 引出列表'!$A$1:$CD$1,0)),"")),"",IFERROR(INDEX('2-3 引出列表'!$A$2:$CE$8700,$A20,MATCH(C$1,'2-3 引出列表'!$A$1:$CD$1,0)),""))</f>
        <v>128005</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2025-04-11</v>
      </c>
      <c r="F20" s="30" t="str">
        <f t="shared" si="0"/>
        <v>2025-04</v>
      </c>
      <c r="G20" t="str">
        <f>IF(ISBLANK(IFERROR(INDEX('2-3 引出列表'!$A$2:$CE$8700,$A20,MATCH(G$1,'2-3 引出列表'!$A$1:$CD$1,0)),"")),"",IFERROR(INDEX('2-3 引出列表'!$A$2:$CE$8700,$A20,MATCH(G$1,'2-3 引出列表'!$A$1:$CD$1,0)),""))</f>
        <v>外包服务费.工程施工外包</v>
      </c>
      <c r="H20" t="str">
        <f>IF(ISBLANK(IFERROR(INDEX('2-3 引出列表'!$A$2:$CE$8700,$A20,MATCH(H$1,'2-3 引出列表'!$A$1:$CD$1,0)),"")),"",IFERROR(INDEX('2-3 引出列表'!$A$2:$CE$8700,$A20,MATCH(H$1,'2-3 引出列表'!$A$1:$CD$1,0)),""))</f>
        <v>GCFW-Z-2024-8904</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FK250213001169</v>
      </c>
      <c r="C21">
        <f>IF(ISBLANK(IFERROR(INDEX('2-3 引出列表'!$A$2:$CE$8700,$A21,MATCH(C$1,'2-3 引出列表'!$A$1:$CD$1,0)),"")),"",IFERROR(INDEX('2-3 引出列表'!$A$2:$CE$8700,$A21,MATCH(C$1,'2-3 引出列表'!$A$1:$CD$1,0)),""))</f>
        <v>4200</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2025-04-11</v>
      </c>
      <c r="F21" s="30" t="str">
        <f t="shared" si="0"/>
        <v>2025-04</v>
      </c>
      <c r="G21" t="str">
        <f>IF(ISBLANK(IFERROR(INDEX('2-3 引出列表'!$A$2:$CE$8700,$A21,MATCH(G$1,'2-3 引出列表'!$A$1:$CD$1,0)),"")),"",IFERROR(INDEX('2-3 引出列表'!$A$2:$CE$8700,$A21,MATCH(G$1,'2-3 引出列表'!$A$1:$CD$1,0)),""))</f>
        <v>外包服务费.装修垃圾清运外包</v>
      </c>
      <c r="H21" t="str">
        <f>IF(ISBLANK(IFERROR(INDEX('2-3 引出列表'!$A$2:$CE$8700,$A21,MATCH(H$1,'2-3 引出列表'!$A$1:$CD$1,0)),"")),"",IFERROR(INDEX('2-3 引出列表'!$A$2:$CE$8700,$A21,MATCH(H$1,'2-3 引出列表'!$A$1:$CD$1,0)),""))</f>
        <v>HJFW-Z-2024-3416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FK250402000969</v>
      </c>
      <c r="C22">
        <f>IF(ISBLANK(IFERROR(INDEX('2-3 引出列表'!$A$2:$CE$8700,$A22,MATCH(C$1,'2-3 引出列表'!$A$1:$CD$1,0)),"")),"",IFERROR(INDEX('2-3 引出列表'!$A$2:$CE$8700,$A22,MATCH(C$1,'2-3 引出列表'!$A$1:$CD$1,0)),""))</f>
        <v>90600</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2025-04-02</v>
      </c>
      <c r="F22" s="30" t="str">
        <f t="shared" si="0"/>
        <v>2025-04</v>
      </c>
      <c r="G22" t="str">
        <f>IF(ISBLANK(IFERROR(INDEX('2-3 引出列表'!$A$2:$CE$8700,$A22,MATCH(G$1,'2-3 引出列表'!$A$1:$CD$1,0)),"")),"",IFERROR(INDEX('2-3 引出列表'!$A$2:$CE$8700,$A22,MATCH(G$1,'2-3 引出列表'!$A$1:$CD$1,0)),""))</f>
        <v>业务活动.咨询服务费</v>
      </c>
      <c r="H22" t="str">
        <f>IF(ISBLANK(IFERROR(INDEX('2-3 引出列表'!$A$2:$CE$8700,$A22,MATCH(H$1,'2-3 引出列表'!$A$1:$CD$1,0)),"")),"",IFERROR(INDEX('2-3 引出列表'!$A$2:$CE$8700,$A22,MATCH(H$1,'2-3 引出列表'!$A$1:$CD$1,0)),""))</f>
        <v>ZXFW-Z-2023-0014</v>
      </c>
      <c r="I22" t="str">
        <f>IF(ISBLANK(IFERROR(INDEX('2-3 引出列表'!$A$2:$CE$8700,$A22,MATCH(I$1,'2-3 引出列表'!$A$1:$CD$1,0)),"")),"",IFERROR(INDEX('2-3 引出列表'!$A$2:$CE$8700,$A22,MATCH(I$1,'2-3 引出列表'!$A$1:$CD$1,0)),""))</f>
        <v>金采易购</v>
      </c>
    </row>
    <row r="23" spans="1:9">
      <c r="A23">
        <v>22</v>
      </c>
      <c r="B23">
        <f>IF(ISBLANK(IFERROR(INDEX('2-3 引出列表'!$A$2:$CE$8700,$A23,MATCH(B$1,'2-3 引出列表'!$A$1:$CD$1,0)),"")),"",IFERROR(INDEX('2-3 引出列表'!$A$2:$CE$8700,$A23,MATCH(B$1,'2-3 引出列表'!$A$1:$CD$1,0)),""))</f>
        <v>0</v>
      </c>
      <c r="C23">
        <f>IF(ISBLANK(IFERROR(INDEX('2-3 引出列表'!$A$2:$CE$8700,$A23,MATCH(C$1,'2-3 引出列表'!$A$1:$CD$1,0)),"")),"",IFERROR(INDEX('2-3 引出列表'!$A$2:$CE$8700,$A23,MATCH(C$1,'2-3 引出列表'!$A$1:$CD$1,0)),""))</f>
        <v>10030</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2025-03-28</v>
      </c>
      <c r="F23" s="30" t="str">
        <f t="shared" si="0"/>
        <v>2025-03</v>
      </c>
      <c r="G23" t="str">
        <f>IF(ISBLANK(IFERROR(INDEX('2-3 引出列表'!$A$2:$CE$8700,$A23,MATCH(G$1,'2-3 引出列表'!$A$1:$CD$1,0)),"")),"",IFERROR(INDEX('2-3 引出列表'!$A$2:$CE$8700,$A23,MATCH(G$1,'2-3 引出列表'!$A$1:$CD$1,0)),""))</f>
        <v>财产费用.财产保险费</v>
      </c>
      <c r="H23">
        <f>IF(ISBLANK(IFERROR(INDEX('2-3 引出列表'!$A$2:$CE$8700,$A23,MATCH(H$1,'2-3 引出列表'!$A$1:$CD$1,0)),"")),"",IFERROR(INDEX('2-3 引出列表'!$A$2:$CE$8700,$A23,MATCH(H$1,'2-3 引出列表'!$A$1:$CD$1,0)),""))</f>
        <v>0</v>
      </c>
      <c r="I23">
        <f>IF(ISBLANK(IFERROR(INDEX('2-3 引出列表'!$A$2:$CE$8700,$A23,MATCH(I$1,'2-3 引出列表'!$A$1:$CD$1,0)),"")),"",IFERROR(INDEX('2-3 引出列表'!$A$2:$CE$8700,$A23,MATCH(I$1,'2-3 引出列表'!$A$1:$CD$1,0)),""))</f>
        <v>0</v>
      </c>
    </row>
    <row r="24" spans="1:9">
      <c r="A24">
        <v>23</v>
      </c>
      <c r="B24">
        <f>IF(ISBLANK(IFERROR(INDEX('2-3 引出列表'!$A$2:$CE$8700,$A24,MATCH(B$1,'2-3 引出列表'!$A$1:$CD$1,0)),"")),"",IFERROR(INDEX('2-3 引出列表'!$A$2:$CE$8700,$A24,MATCH(B$1,'2-3 引出列表'!$A$1:$CD$1,0)),""))</f>
        <v>0</v>
      </c>
      <c r="C24">
        <f>IF(ISBLANK(IFERROR(INDEX('2-3 引出列表'!$A$2:$CE$8700,$A24,MATCH(C$1,'2-3 引出列表'!$A$1:$CD$1,0)),"")),"",IFERROR(INDEX('2-3 引出列表'!$A$2:$CE$8700,$A24,MATCH(C$1,'2-3 引出列表'!$A$1:$CD$1,0)),""))</f>
        <v>25000</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2025-03-14</v>
      </c>
      <c r="F24" s="30" t="str">
        <f t="shared" si="0"/>
        <v>2025-03</v>
      </c>
      <c r="G24" t="str">
        <f>IF(ISBLANK(IFERROR(INDEX('2-3 引出列表'!$A$2:$CE$8700,$A24,MATCH(G$1,'2-3 引出列表'!$A$1:$CD$1,0)),"")),"",IFERROR(INDEX('2-3 引出列表'!$A$2:$CE$8700,$A24,MATCH(G$1,'2-3 引出列表'!$A$1:$CD$1,0)),""))</f>
        <v>业务活动.业务招待费</v>
      </c>
      <c r="H24">
        <f>IF(ISBLANK(IFERROR(INDEX('2-3 引出列表'!$A$2:$CE$8700,$A24,MATCH(H$1,'2-3 引出列表'!$A$1:$CD$1,0)),"")),"",IFERROR(INDEX('2-3 引出列表'!$A$2:$CE$8700,$A24,MATCH(H$1,'2-3 引出列表'!$A$1:$CD$1,0)),""))</f>
        <v>0</v>
      </c>
      <c r="I24">
        <f>IF(ISBLANK(IFERROR(INDEX('2-3 引出列表'!$A$2:$CE$8700,$A24,MATCH(I$1,'2-3 引出列表'!$A$1:$CD$1,0)),"")),"",IFERROR(INDEX('2-3 引出列表'!$A$2:$CE$8700,$A24,MATCH(I$1,'2-3 引出列表'!$A$1:$CD$1,0)),""))</f>
        <v>0</v>
      </c>
    </row>
    <row r="25" spans="1:9">
      <c r="A25">
        <v>24</v>
      </c>
      <c r="B25">
        <f>IF(ISBLANK(IFERROR(INDEX('2-3 引出列表'!$A$2:$CE$8700,$A25,MATCH(B$1,'2-3 引出列表'!$A$1:$CD$1,0)),"")),"",IFERROR(INDEX('2-3 引出列表'!$A$2:$CE$8700,$A25,MATCH(B$1,'2-3 引出列表'!$A$1:$CD$1,0)),""))</f>
        <v>0</v>
      </c>
      <c r="C25">
        <f>IF(ISBLANK(IFERROR(INDEX('2-3 引出列表'!$A$2:$CE$8700,$A25,MATCH(C$1,'2-3 引出列表'!$A$1:$CD$1,0)),"")),"",IFERROR(INDEX('2-3 引出列表'!$A$2:$CE$8700,$A25,MATCH(C$1,'2-3 引出列表'!$A$1:$CD$1,0)),""))</f>
        <v>40980</v>
      </c>
      <c r="D25" t="str">
        <f>IF(ISBLANK(IFERROR(INDEX('2-3 引出列表'!$A$2:$CE$8700,$A25,MATCH(D$1,'2-3 引出列表'!$A$1:$CD$1,0)),"")),"",IFERROR(INDEX('2-3 引出列表'!$A$2:$CE$8700,$A25,MATCH(D$1,'2-3 引出列表'!$A$1:$CD$1,0)),""))</f>
        <v>已提交</v>
      </c>
      <c r="E25" t="str">
        <f>IF(ISBLANK(IFERROR(INDEX('2-3 引出列表'!$A$2:$CE$8700,$A25,MATCH(E$1,'2-3 引出列表'!$A$1:$CD$1,0)),"")),"",IFERROR(INDEX('2-3 引出列表'!$A$2:$CE$8700,$A25,MATCH(E$1,'2-3 引出列表'!$A$1:$CD$1,0)),""))</f>
        <v>2025-03-05</v>
      </c>
      <c r="F25" s="30" t="str">
        <f t="shared" si="0"/>
        <v>2025-03</v>
      </c>
      <c r="G25" t="str">
        <f>IF(ISBLANK(IFERROR(INDEX('2-3 引出列表'!$A$2:$CE$8700,$A25,MATCH(G$1,'2-3 引出列表'!$A$1:$CD$1,0)),"")),"",IFERROR(INDEX('2-3 引出列表'!$A$2:$CE$8700,$A25,MATCH(G$1,'2-3 引出列表'!$A$1:$CD$1,0)),""))</f>
        <v>人工费用.宿舍费</v>
      </c>
      <c r="H25" t="str">
        <f>IF(ISBLANK(IFERROR(INDEX('2-3 引出列表'!$A$2:$CE$8700,$A25,MATCH(H$1,'2-3 引出列表'!$A$1:$CD$1,0)),"")),"",IFERROR(INDEX('2-3 引出列表'!$A$2:$CE$8700,$A25,MATCH(H$1,'2-3 引出列表'!$A$1:$CD$1,0)),""))</f>
        <v>FWL-Z-2024-0945</v>
      </c>
      <c r="I25">
        <f>IF(ISBLANK(IFERROR(INDEX('2-3 引出列表'!$A$2:$CE$8700,$A25,MATCH(I$1,'2-3 引出列表'!$A$1:$CD$1,0)),"")),"",IFERROR(INDEX('2-3 引出列表'!$A$2:$CE$8700,$A25,MATCH(I$1,'2-3 引出列表'!$A$1:$CD$1,0)),""))</f>
        <v>0</v>
      </c>
    </row>
    <row r="26" spans="1:9">
      <c r="A26">
        <v>25</v>
      </c>
      <c r="B26">
        <f>IF(ISBLANK(IFERROR(INDEX('2-3 引出列表'!$A$2:$CE$8700,$A26,MATCH(B$1,'2-3 引出列表'!$A$1:$CD$1,0)),"")),"",IFERROR(INDEX('2-3 引出列表'!$A$2:$CE$8700,$A26,MATCH(B$1,'2-3 引出列表'!$A$1:$CD$1,0)),""))</f>
        <v>0</v>
      </c>
      <c r="C26">
        <f>IF(ISBLANK(IFERROR(INDEX('2-3 引出列表'!$A$2:$CE$8700,$A26,MATCH(C$1,'2-3 引出列表'!$A$1:$CD$1,0)),"")),"",IFERROR(INDEX('2-3 引出列表'!$A$2:$CE$8700,$A26,MATCH(C$1,'2-3 引出列表'!$A$1:$CD$1,0)),""))</f>
        <v>1800</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2025-06-20</v>
      </c>
      <c r="F26" s="30" t="str">
        <f t="shared" si="0"/>
        <v>2025-06</v>
      </c>
      <c r="G26" t="str">
        <f>IF(ISBLANK(IFERROR(INDEX('2-3 引出列表'!$A$2:$CE$8700,$A26,MATCH(G$1,'2-3 引出列表'!$A$1:$CD$1,0)),"")),"",IFERROR(INDEX('2-3 引出列表'!$A$2:$CE$8700,$A26,MATCH(G$1,'2-3 引出列表'!$A$1:$CD$1,0)),""))</f>
        <v>人工费用.宿舍费</v>
      </c>
      <c r="H26" t="str">
        <f>IF(ISBLANK(IFERROR(INDEX('2-3 引出列表'!$A$2:$CE$8700,$A26,MATCH(H$1,'2-3 引出列表'!$A$1:$CD$1,0)),"")),"",IFERROR(INDEX('2-3 引出列表'!$A$2:$CE$8700,$A26,MATCH(H$1,'2-3 引出列表'!$A$1:$CD$1,0)),""))</f>
        <v>FWL-Z-2024-0944</v>
      </c>
      <c r="I26">
        <f>IF(ISBLANK(IFERROR(INDEX('2-3 引出列表'!$A$2:$CE$8700,$A26,MATCH(I$1,'2-3 引出列表'!$A$1:$CD$1,0)),"")),"",IFERROR(INDEX('2-3 引出列表'!$A$2:$CE$8700,$A26,MATCH(I$1,'2-3 引出列表'!$A$1:$CD$1,0)),""))</f>
        <v>0</v>
      </c>
    </row>
    <row r="27" spans="1:9">
      <c r="A27">
        <v>26</v>
      </c>
      <c r="B27">
        <f>IF(ISBLANK(IFERROR(INDEX('2-3 引出列表'!$A$2:$CE$8700,$A27,MATCH(B$1,'2-3 引出列表'!$A$1:$CD$1,0)),"")),"",IFERROR(INDEX('2-3 引出列表'!$A$2:$CE$8700,$A27,MATCH(B$1,'2-3 引出列表'!$A$1:$CD$1,0)),""))</f>
        <v>0</v>
      </c>
      <c r="C27">
        <f>IF(ISBLANK(IFERROR(INDEX('2-3 引出列表'!$A$2:$CE$8700,$A27,MATCH(C$1,'2-3 引出列表'!$A$1:$CD$1,0)),"")),"",IFERROR(INDEX('2-3 引出列表'!$A$2:$CE$8700,$A27,MATCH(C$1,'2-3 引出列表'!$A$1:$CD$1,0)),""))</f>
        <v>31358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2025-06-20</v>
      </c>
      <c r="F27" s="30" t="str">
        <f t="shared" si="0"/>
        <v>2025-06</v>
      </c>
      <c r="G27" t="str">
        <f>IF(ISBLANK(IFERROR(INDEX('2-3 引出列表'!$A$2:$CE$8700,$A27,MATCH(G$1,'2-3 引出列表'!$A$1:$CD$1,0)),"")),"",IFERROR(INDEX('2-3 引出列表'!$A$2:$CE$8700,$A27,MATCH(G$1,'2-3 引出列表'!$A$1:$CD$1,0)),""))</f>
        <v>人工费用.宿舍费</v>
      </c>
      <c r="H27" t="str">
        <f>IF(ISBLANK(IFERROR(INDEX('2-3 引出列表'!$A$2:$CE$8700,$A27,MATCH(H$1,'2-3 引出列表'!$A$1:$CD$1,0)),"")),"",IFERROR(INDEX('2-3 引出列表'!$A$2:$CE$8700,$A27,MATCH(H$1,'2-3 引出列表'!$A$1:$CD$1,0)),""))</f>
        <v>FWL-Z-2024-0942</v>
      </c>
      <c r="I27">
        <f>IF(ISBLANK(IFERROR(INDEX('2-3 引出列表'!$A$2:$CE$8700,$A27,MATCH(I$1,'2-3 引出列表'!$A$1:$CD$1,0)),"")),"",IFERROR(INDEX('2-3 引出列表'!$A$2:$CE$8700,$A27,MATCH(I$1,'2-3 引出列表'!$A$1:$CD$1,0)),""))</f>
        <v>0</v>
      </c>
    </row>
    <row r="28" spans="1:9">
      <c r="A28">
        <v>27</v>
      </c>
      <c r="B28" t="str">
        <f>IF(ISBLANK(IFERROR(INDEX('2-3 引出列表'!$A$2:$CE$8700,$A28,MATCH(B$1,'2-3 引出列表'!$A$1:$CD$1,0)),"")),"",IFERROR(INDEX('2-3 引出列表'!$A$2:$CE$8700,$A28,MATCH(B$1,'2-3 引出列表'!$A$1:$CD$1,0)),""))</f>
        <v>FK250515000340</v>
      </c>
      <c r="C28">
        <f>IF(ISBLANK(IFERROR(INDEX('2-3 引出列表'!$A$2:$CE$8700,$A28,MATCH(C$1,'2-3 引出列表'!$A$1:$CD$1,0)),"")),"",IFERROR(INDEX('2-3 引出列表'!$A$2:$CE$8700,$A28,MATCH(C$1,'2-3 引出列表'!$A$1:$CD$1,0)),""))</f>
        <v>30623.73</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2025-06-20</v>
      </c>
      <c r="F28" s="30" t="str">
        <f t="shared" si="0"/>
        <v>2025-06</v>
      </c>
      <c r="G28" t="str">
        <f>IF(ISBLANK(IFERROR(INDEX('2-3 引出列表'!$A$2:$CE$8700,$A28,MATCH(G$1,'2-3 引出列表'!$A$1:$CD$1,0)),"")),"",IFERROR(INDEX('2-3 引出列表'!$A$2:$CE$8700,$A28,MATCH(G$1,'2-3 引出列表'!$A$1:$CD$1,0)),""))</f>
        <v>外包服务费.工程施工外包</v>
      </c>
      <c r="H28" t="str">
        <f>IF(ISBLANK(IFERROR(INDEX('2-3 引出列表'!$A$2:$CE$8700,$A28,MATCH(H$1,'2-3 引出列表'!$A$1:$CD$1,0)),"")),"",IFERROR(INDEX('2-3 引出列表'!$A$2:$CE$8700,$A28,MATCH(H$1,'2-3 引出列表'!$A$1:$CD$1,0)),""))</f>
        <v>GCFW-Z-2025-01816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FK250515000113</v>
      </c>
      <c r="C29">
        <f>IF(ISBLANK(IFERROR(INDEX('2-3 引出列表'!$A$2:$CE$8700,$A29,MATCH(C$1,'2-3 引出列表'!$A$1:$CD$1,0)),"")),"",IFERROR(INDEX('2-3 引出列表'!$A$2:$CE$8700,$A29,MATCH(C$1,'2-3 引出列表'!$A$1:$CD$1,0)),""))</f>
        <v>2520</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2025-06-20</v>
      </c>
      <c r="F29" s="30" t="str">
        <f t="shared" si="0"/>
        <v>2025-06</v>
      </c>
      <c r="G29" t="str">
        <f>IF(ISBLANK(IFERROR(INDEX('2-3 引出列表'!$A$2:$CE$8700,$A29,MATCH(G$1,'2-3 引出列表'!$A$1:$CD$1,0)),"")),"",IFERROR(INDEX('2-3 引出列表'!$A$2:$CE$8700,$A29,MATCH(G$1,'2-3 引出列表'!$A$1:$CD$1,0)),""))</f>
        <v>外包服务费.设备设施维保外包</v>
      </c>
      <c r="H29" t="str">
        <f>IF(ISBLANK(IFERROR(INDEX('2-3 引出列表'!$A$2:$CE$8700,$A29,MATCH(H$1,'2-3 引出列表'!$A$1:$CD$1,0)),"")),"",IFERROR(INDEX('2-3 引出列表'!$A$2:$CE$8700,$A29,MATCH(H$1,'2-3 引出列表'!$A$1:$CD$1,0)),""))</f>
        <v>QTFW-Z-2024-0182</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FK250515000113</v>
      </c>
      <c r="C30">
        <f>IF(ISBLANK(IFERROR(INDEX('2-3 引出列表'!$A$2:$CE$8700,$A30,MATCH(C$1,'2-3 引出列表'!$A$1:$CD$1,0)),"")),"",IFERROR(INDEX('2-3 引出列表'!$A$2:$CE$8700,$A30,MATCH(C$1,'2-3 引出列表'!$A$1:$CD$1,0)),""))</f>
        <v>2520</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2025-06-20</v>
      </c>
      <c r="F30" s="30" t="str">
        <f t="shared" si="0"/>
        <v>2025-06</v>
      </c>
      <c r="G30" t="str">
        <f>IF(ISBLANK(IFERROR(INDEX('2-3 引出列表'!$A$2:$CE$8700,$A30,MATCH(G$1,'2-3 引出列表'!$A$1:$CD$1,0)),"")),"",IFERROR(INDEX('2-3 引出列表'!$A$2:$CE$8700,$A30,MATCH(G$1,'2-3 引出列表'!$A$1:$CD$1,0)),""))</f>
        <v>外包服务费.设备设施维保外包</v>
      </c>
      <c r="H30" t="str">
        <f>IF(ISBLANK(IFERROR(INDEX('2-3 引出列表'!$A$2:$CE$8700,$A30,MATCH(H$1,'2-3 引出列表'!$A$1:$CD$1,0)),"")),"",IFERROR(INDEX('2-3 引出列表'!$A$2:$CE$8700,$A30,MATCH(H$1,'2-3 引出列表'!$A$1:$CD$1,0)),""))</f>
        <v>QTFW-Z-2024-0182</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FK250506000081</v>
      </c>
      <c r="C31">
        <f>IF(ISBLANK(IFERROR(INDEX('2-3 引出列表'!$A$2:$CE$8700,$A31,MATCH(C$1,'2-3 引出列表'!$A$1:$CD$1,0)),"")),"",IFERROR(INDEX('2-3 引出列表'!$A$2:$CE$8700,$A31,MATCH(C$1,'2-3 引出列表'!$A$1:$CD$1,0)),""))</f>
        <v>12865</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2025-06-20</v>
      </c>
      <c r="F31" s="30" t="str">
        <f t="shared" si="0"/>
        <v>2025-06</v>
      </c>
      <c r="G31" t="str">
        <f>IF(ISBLANK(IFERROR(INDEX('2-3 引出列表'!$A$2:$CE$8700,$A31,MATCH(G$1,'2-3 引出列表'!$A$1:$CD$1,0)),"")),"",IFERROR(INDEX('2-3 引出列表'!$A$2:$CE$8700,$A31,MATCH(G$1,'2-3 引出列表'!$A$1:$CD$1,0)),""))</f>
        <v>外包服务费.其他外包费</v>
      </c>
      <c r="H31" t="str">
        <f>IF(ISBLANK(IFERROR(INDEX('2-3 引出列表'!$A$2:$CE$8700,$A31,MATCH(H$1,'2-3 引出列表'!$A$1:$CD$1,0)),"")),"",IFERROR(INDEX('2-3 引出列表'!$A$2:$CE$8700,$A31,MATCH(H$1,'2-3 引出列表'!$A$1:$CD$1,0)),""))</f>
        <v>QTFW-Z-2025-00040</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FK250512001248</v>
      </c>
      <c r="C32">
        <f>IF(ISBLANK(IFERROR(INDEX('2-3 引出列表'!$A$2:$CE$8700,$A32,MATCH(C$1,'2-3 引出列表'!$A$1:$CD$1,0)),"")),"",IFERROR(INDEX('2-3 引出列表'!$A$2:$CE$8700,$A32,MATCH(C$1,'2-3 引出列表'!$A$1:$CD$1,0)),""))</f>
        <v>57715</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2025-06-20</v>
      </c>
      <c r="F32" s="30" t="str">
        <f t="shared" si="0"/>
        <v>2025-06</v>
      </c>
      <c r="G32" t="str">
        <f>IF(ISBLANK(IFERROR(INDEX('2-3 引出列表'!$A$2:$CE$8700,$A32,MATCH(G$1,'2-3 引出列表'!$A$1:$CD$1,0)),"")),"",IFERROR(INDEX('2-3 引出列表'!$A$2:$CE$8700,$A32,MATCH(G$1,'2-3 引出列表'!$A$1:$CD$1,0)),""))</f>
        <v>外包服务费.工程施工外包</v>
      </c>
      <c r="H32" t="str">
        <f>IF(ISBLANK(IFERROR(INDEX('2-3 引出列表'!$A$2:$CE$8700,$A32,MATCH(H$1,'2-3 引出列表'!$A$1:$CD$1,0)),"")),"",IFERROR(INDEX('2-3 引出列表'!$A$2:$CE$8700,$A32,MATCH(H$1,'2-3 引出列表'!$A$1:$CD$1,0)),""))</f>
        <v>GCFW-Z-2024-3558</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FK250509000462</v>
      </c>
      <c r="C33">
        <f>IF(ISBLANK(IFERROR(INDEX('2-3 引出列表'!$A$2:$CE$8700,$A33,MATCH(C$1,'2-3 引出列表'!$A$1:$CD$1,0)),"")),"",IFERROR(INDEX('2-3 引出列表'!$A$2:$CE$8700,$A33,MATCH(C$1,'2-3 引出列表'!$A$1:$CD$1,0)),""))</f>
        <v>10500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2025-06-20</v>
      </c>
      <c r="F33" s="30" t="str">
        <f t="shared" si="0"/>
        <v>2025-06</v>
      </c>
      <c r="G33" t="str">
        <f>IF(ISBLANK(IFERROR(INDEX('2-3 引出列表'!$A$2:$CE$8700,$A33,MATCH(G$1,'2-3 引出列表'!$A$1:$CD$1,0)),"")),"",IFERROR(INDEX('2-3 引出列表'!$A$2:$CE$8700,$A33,MATCH(G$1,'2-3 引出列表'!$A$1:$CD$1,0)),""))</f>
        <v>外包服务费.设备设施维保外包</v>
      </c>
      <c r="H33" t="str">
        <f>IF(ISBLANK(IFERROR(INDEX('2-3 引出列表'!$A$2:$CE$8700,$A33,MATCH(H$1,'2-3 引出列表'!$A$1:$CD$1,0)),"")),"",IFERROR(INDEX('2-3 引出列表'!$A$2:$CE$8700,$A33,MATCH(H$1,'2-3 引出列表'!$A$1:$CD$1,0)),""))</f>
        <v>GCFW-Z-2025-00799</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FK250509000462</v>
      </c>
      <c r="C34">
        <f>IF(ISBLANK(IFERROR(INDEX('2-3 引出列表'!$A$2:$CE$8700,$A34,MATCH(C$1,'2-3 引出列表'!$A$1:$CD$1,0)),"")),"",IFERROR(INDEX('2-3 引出列表'!$A$2:$CE$8700,$A34,MATCH(C$1,'2-3 引出列表'!$A$1:$CD$1,0)),""))</f>
        <v>10500</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2025-06-20</v>
      </c>
      <c r="F34" s="30" t="str">
        <f t="shared" si="0"/>
        <v>2025-06</v>
      </c>
      <c r="G34" t="str">
        <f>IF(ISBLANK(IFERROR(INDEX('2-3 引出列表'!$A$2:$CE$8700,$A34,MATCH(G$1,'2-3 引出列表'!$A$1:$CD$1,0)),"")),"",IFERROR(INDEX('2-3 引出列表'!$A$2:$CE$8700,$A34,MATCH(G$1,'2-3 引出列表'!$A$1:$CD$1,0)),""))</f>
        <v>外包服务费.设备设施维保外包</v>
      </c>
      <c r="H34" t="str">
        <f>IF(ISBLANK(IFERROR(INDEX('2-3 引出列表'!$A$2:$CE$8700,$A34,MATCH(H$1,'2-3 引出列表'!$A$1:$CD$1,0)),"")),"",IFERROR(INDEX('2-3 引出列表'!$A$2:$CE$8700,$A34,MATCH(H$1,'2-3 引出列表'!$A$1:$CD$1,0)),""))</f>
        <v>GCFW-Z-2025-00799</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FK250509000462</v>
      </c>
      <c r="C35">
        <f>IF(ISBLANK(IFERROR(INDEX('2-3 引出列表'!$A$2:$CE$8700,$A35,MATCH(C$1,'2-3 引出列表'!$A$1:$CD$1,0)),"")),"",IFERROR(INDEX('2-3 引出列表'!$A$2:$CE$8700,$A35,MATCH(C$1,'2-3 引出列表'!$A$1:$CD$1,0)),""))</f>
        <v>10500</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2025-06-20</v>
      </c>
      <c r="F35" s="30" t="str">
        <f t="shared" si="0"/>
        <v>2025-06</v>
      </c>
      <c r="G35" t="str">
        <f>IF(ISBLANK(IFERROR(INDEX('2-3 引出列表'!$A$2:$CE$8700,$A35,MATCH(G$1,'2-3 引出列表'!$A$1:$CD$1,0)),"")),"",IFERROR(INDEX('2-3 引出列表'!$A$2:$CE$8700,$A35,MATCH(G$1,'2-3 引出列表'!$A$1:$CD$1,0)),""))</f>
        <v>外包服务费.设备设施维保外包</v>
      </c>
      <c r="H35" t="str">
        <f>IF(ISBLANK(IFERROR(INDEX('2-3 引出列表'!$A$2:$CE$8700,$A35,MATCH(H$1,'2-3 引出列表'!$A$1:$CD$1,0)),"")),"",IFERROR(INDEX('2-3 引出列表'!$A$2:$CE$8700,$A35,MATCH(H$1,'2-3 引出列表'!$A$1:$CD$1,0)),""))</f>
        <v>GCFW-Z-2025-00799</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FK250506000072</v>
      </c>
      <c r="C36">
        <f>IF(ISBLANK(IFERROR(INDEX('2-3 引出列表'!$A$2:$CE$8700,$A36,MATCH(C$1,'2-3 引出列表'!$A$1:$CD$1,0)),"")),"",IFERROR(INDEX('2-3 引出列表'!$A$2:$CE$8700,$A36,MATCH(C$1,'2-3 引出列表'!$A$1:$CD$1,0)),""))</f>
        <v>79437.64</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2025-06-20</v>
      </c>
      <c r="F36" s="30" t="str">
        <f t="shared" si="0"/>
        <v>2025-06</v>
      </c>
      <c r="G36" t="str">
        <f>IF(ISBLANK(IFERROR(INDEX('2-3 引出列表'!$A$2:$CE$8700,$A36,MATCH(G$1,'2-3 引出列表'!$A$1:$CD$1,0)),"")),"",IFERROR(INDEX('2-3 引出列表'!$A$2:$CE$8700,$A36,MATCH(G$1,'2-3 引出列表'!$A$1:$CD$1,0)),""))</f>
        <v>外包服务费.工程施工外包</v>
      </c>
      <c r="H36" t="str">
        <f>IF(ISBLANK(IFERROR(INDEX('2-3 引出列表'!$A$2:$CE$8700,$A36,MATCH(H$1,'2-3 引出列表'!$A$1:$CD$1,0)),"")),"",IFERROR(INDEX('2-3 引出列表'!$A$2:$CE$8700,$A36,MATCH(H$1,'2-3 引出列表'!$A$1:$CD$1,0)),""))</f>
        <v>GCFW-Z-2025-00804</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FK250506000072</v>
      </c>
      <c r="C37">
        <f>IF(ISBLANK(IFERROR(INDEX('2-3 引出列表'!$A$2:$CE$8700,$A37,MATCH(C$1,'2-3 引出列表'!$A$1:$CD$1,0)),"")),"",IFERROR(INDEX('2-3 引出列表'!$A$2:$CE$8700,$A37,MATCH(C$1,'2-3 引出列表'!$A$1:$CD$1,0)),""))</f>
        <v>79437.64</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2025-06-20</v>
      </c>
      <c r="F37" s="30" t="str">
        <f t="shared" si="0"/>
        <v>2025-06</v>
      </c>
      <c r="G37" t="str">
        <f>IF(ISBLANK(IFERROR(INDEX('2-3 引出列表'!$A$2:$CE$8700,$A37,MATCH(G$1,'2-3 引出列表'!$A$1:$CD$1,0)),"")),"",IFERROR(INDEX('2-3 引出列表'!$A$2:$CE$8700,$A37,MATCH(G$1,'2-3 引出列表'!$A$1:$CD$1,0)),""))</f>
        <v>外包服务费.工程施工外包</v>
      </c>
      <c r="H37" t="str">
        <f>IF(ISBLANK(IFERROR(INDEX('2-3 引出列表'!$A$2:$CE$8700,$A37,MATCH(H$1,'2-3 引出列表'!$A$1:$CD$1,0)),"")),"",IFERROR(INDEX('2-3 引出列表'!$A$2:$CE$8700,$A37,MATCH(H$1,'2-3 引出列表'!$A$1:$CD$1,0)),""))</f>
        <v>GCFW-Z-2025-00804</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FK250512000699</v>
      </c>
      <c r="C38">
        <f>IF(ISBLANK(IFERROR(INDEX('2-3 引出列表'!$A$2:$CE$8700,$A38,MATCH(C$1,'2-3 引出列表'!$A$1:$CD$1,0)),"")),"",IFERROR(INDEX('2-3 引出列表'!$A$2:$CE$8700,$A38,MATCH(C$1,'2-3 引出列表'!$A$1:$CD$1,0)),""))</f>
        <v>9333.34</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2025-06-20</v>
      </c>
      <c r="F38" s="30" t="str">
        <f t="shared" si="0"/>
        <v>2025-06</v>
      </c>
      <c r="G38" t="str">
        <f>IF(ISBLANK(IFERROR(INDEX('2-3 引出列表'!$A$2:$CE$8700,$A38,MATCH(G$1,'2-3 引出列表'!$A$1:$CD$1,0)),"")),"",IFERROR(INDEX('2-3 引出列表'!$A$2:$CE$8700,$A38,MATCH(G$1,'2-3 引出列表'!$A$1:$CD$1,0)),""))</f>
        <v>外包服务费.保洁外包</v>
      </c>
      <c r="H38" t="str">
        <f>IF(ISBLANK(IFERROR(INDEX('2-3 引出列表'!$A$2:$CE$8700,$A38,MATCH(H$1,'2-3 引出列表'!$A$1:$CD$1,0)),"")),"",IFERROR(INDEX('2-3 引出列表'!$A$2:$CE$8700,$A38,MATCH(H$1,'2-3 引出列表'!$A$1:$CD$1,0)),""))</f>
        <v>GCFW-Z-2025-01302</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FK250512000699</v>
      </c>
      <c r="C39">
        <f>IF(ISBLANK(IFERROR(INDEX('2-3 引出列表'!$A$2:$CE$8700,$A39,MATCH(C$1,'2-3 引出列表'!$A$1:$CD$1,0)),"")),"",IFERROR(INDEX('2-3 引出列表'!$A$2:$CE$8700,$A39,MATCH(C$1,'2-3 引出列表'!$A$1:$CD$1,0)),""))</f>
        <v>9333.34</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2025-06-20</v>
      </c>
      <c r="F39" s="30" t="str">
        <f t="shared" si="0"/>
        <v>2025-06</v>
      </c>
      <c r="G39" t="str">
        <f>IF(ISBLANK(IFERROR(INDEX('2-3 引出列表'!$A$2:$CE$8700,$A39,MATCH(G$1,'2-3 引出列表'!$A$1:$CD$1,0)),"")),"",IFERROR(INDEX('2-3 引出列表'!$A$2:$CE$8700,$A39,MATCH(G$1,'2-3 引出列表'!$A$1:$CD$1,0)),""))</f>
        <v>外包服务费.保洁外包</v>
      </c>
      <c r="H39" t="str">
        <f>IF(ISBLANK(IFERROR(INDEX('2-3 引出列表'!$A$2:$CE$8700,$A39,MATCH(H$1,'2-3 引出列表'!$A$1:$CD$1,0)),"")),"",IFERROR(INDEX('2-3 引出列表'!$A$2:$CE$8700,$A39,MATCH(H$1,'2-3 引出列表'!$A$1:$CD$1,0)),""))</f>
        <v>GCFW-Z-2025-01302</v>
      </c>
      <c r="I39" t="str">
        <f>IF(ISBLANK(IFERROR(INDEX('2-3 引出列表'!$A$2:$CE$8700,$A39,MATCH(I$1,'2-3 引出列表'!$A$1:$CD$1,0)),"")),"",IFERROR(INDEX('2-3 引出列表'!$A$2:$CE$8700,$A39,MATCH(I$1,'2-3 引出列表'!$A$1:$CD$1,0)),""))</f>
        <v>金采易购</v>
      </c>
    </row>
    <row r="40" spans="1:9">
      <c r="A40">
        <v>39</v>
      </c>
      <c r="B40">
        <f>IF(ISBLANK(IFERROR(INDEX('2-3 引出列表'!$A$2:$CE$8700,$A40,MATCH(B$1,'2-3 引出列表'!$A$1:$CD$1,0)),"")),"",IFERROR(INDEX('2-3 引出列表'!$A$2:$CE$8700,$A40,MATCH(B$1,'2-3 引出列表'!$A$1:$CD$1,0)),""))</f>
        <v>0</v>
      </c>
      <c r="C40">
        <f>IF(ISBLANK(IFERROR(INDEX('2-3 引出列表'!$A$2:$CE$8700,$A40,MATCH(C$1,'2-3 引出列表'!$A$1:$CD$1,0)),"")),"",IFERROR(INDEX('2-3 引出列表'!$A$2:$CE$8700,$A40,MATCH(C$1,'2-3 引出列表'!$A$1:$CD$1,0)),""))</f>
        <v>2600</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2025-06-20</v>
      </c>
      <c r="F40" s="30" t="str">
        <f t="shared" si="0"/>
        <v>2025-06</v>
      </c>
      <c r="G40" t="str">
        <f>IF(ISBLANK(IFERROR(INDEX('2-3 引出列表'!$A$2:$CE$8700,$A40,MATCH(G$1,'2-3 引出列表'!$A$1:$CD$1,0)),"")),"",IFERROR(INDEX('2-3 引出列表'!$A$2:$CE$8700,$A40,MATCH(G$1,'2-3 引出列表'!$A$1:$CD$1,0)),""))</f>
        <v>人工费用.职工教育费</v>
      </c>
      <c r="H40">
        <f>IF(ISBLANK(IFERROR(INDEX('2-3 引出列表'!$A$2:$CE$8700,$A40,MATCH(H$1,'2-3 引出列表'!$A$1:$CD$1,0)),"")),"",IFERROR(INDEX('2-3 引出列表'!$A$2:$CE$8700,$A40,MATCH(H$1,'2-3 引出列表'!$A$1:$CD$1,0)),""))</f>
        <v>0</v>
      </c>
      <c r="I40">
        <f>IF(ISBLANK(IFERROR(INDEX('2-3 引出列表'!$A$2:$CE$8700,$A40,MATCH(I$1,'2-3 引出列表'!$A$1:$CD$1,0)),"")),"",IFERROR(INDEX('2-3 引出列表'!$A$2:$CE$8700,$A40,MATCH(I$1,'2-3 引出列表'!$A$1:$CD$1,0)),""))</f>
        <v>0</v>
      </c>
    </row>
    <row r="41" spans="1:9">
      <c r="A41">
        <v>40</v>
      </c>
      <c r="B41" t="str">
        <f>IF(ISBLANK(IFERROR(INDEX('2-3 引出列表'!$A$2:$CE$8700,$A41,MATCH(B$1,'2-3 引出列表'!$A$1:$CD$1,0)),"")),"",IFERROR(INDEX('2-3 引出列表'!$A$2:$CE$8700,$A41,MATCH(B$1,'2-3 引出列表'!$A$1:$CD$1,0)),""))</f>
        <v>FK250509000474</v>
      </c>
      <c r="C41">
        <f>IF(ISBLANK(IFERROR(INDEX('2-3 引出列表'!$A$2:$CE$8700,$A41,MATCH(C$1,'2-3 引出列表'!$A$1:$CD$1,0)),"")),"",IFERROR(INDEX('2-3 引出列表'!$A$2:$CE$8700,$A41,MATCH(C$1,'2-3 引出列表'!$A$1:$CD$1,0)),""))</f>
        <v>2690</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2025-06-20</v>
      </c>
      <c r="F41" s="30" t="str">
        <f t="shared" si="0"/>
        <v>2025-06</v>
      </c>
      <c r="G41" t="str">
        <f>IF(ISBLANK(IFERROR(INDEX('2-3 引出列表'!$A$2:$CE$8700,$A41,MATCH(G$1,'2-3 引出列表'!$A$1:$CD$1,0)),"")),"",IFERROR(INDEX('2-3 引出列表'!$A$2:$CE$8700,$A41,MATCH(G$1,'2-3 引出列表'!$A$1:$CD$1,0)),""))</f>
        <v>外包服务费.设备设施维保外包</v>
      </c>
      <c r="H41" t="str">
        <f>IF(ISBLANK(IFERROR(INDEX('2-3 引出列表'!$A$2:$CE$8700,$A41,MATCH(H$1,'2-3 引出列表'!$A$1:$CD$1,0)),"")),"",IFERROR(INDEX('2-3 引出列表'!$A$2:$CE$8700,$A41,MATCH(H$1,'2-3 引出列表'!$A$1:$CD$1,0)),""))</f>
        <v>GCFW-Z-2024-5520</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FK250226000848</v>
      </c>
      <c r="C42">
        <f>IF(ISBLANK(IFERROR(INDEX('2-3 引出列表'!$A$2:$CE$8700,$A42,MATCH(C$1,'2-3 引出列表'!$A$1:$CD$1,0)),"")),"",IFERROR(INDEX('2-3 引出列表'!$A$2:$CE$8700,$A42,MATCH(C$1,'2-3 引出列表'!$A$1:$CD$1,0)),""))</f>
        <v>13500</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2025-06-20</v>
      </c>
      <c r="F42" s="30" t="str">
        <f t="shared" si="0"/>
        <v>2025-06</v>
      </c>
      <c r="G42" t="str">
        <f>IF(ISBLANK(IFERROR(INDEX('2-3 引出列表'!$A$2:$CE$8700,$A42,MATCH(G$1,'2-3 引出列表'!$A$1:$CD$1,0)),"")),"",IFERROR(INDEX('2-3 引出列表'!$A$2:$CE$8700,$A42,MATCH(G$1,'2-3 引出列表'!$A$1:$CD$1,0)),""))</f>
        <v>物料消耗.物料消耗</v>
      </c>
      <c r="H42">
        <f>IF(ISBLANK(IFERROR(INDEX('2-3 引出列表'!$A$2:$CE$8700,$A42,MATCH(H$1,'2-3 引出列表'!$A$1:$CD$1,0)),"")),"",IFERROR(INDEX('2-3 引出列表'!$A$2:$CE$8700,$A42,MATCH(H$1,'2-3 引出列表'!$A$1:$CD$1,0)),""))</f>
        <v>0</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FK250226000837</v>
      </c>
      <c r="C43">
        <f>IF(ISBLANK(IFERROR(INDEX('2-3 引出列表'!$A$2:$CE$8700,$A43,MATCH(C$1,'2-3 引出列表'!$A$1:$CD$1,0)),"")),"",IFERROR(INDEX('2-3 引出列表'!$A$2:$CE$8700,$A43,MATCH(C$1,'2-3 引出列表'!$A$1:$CD$1,0)),""))</f>
        <v>12983.1</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2025-06-20</v>
      </c>
      <c r="F43" s="30" t="str">
        <f t="shared" si="0"/>
        <v>2025-06</v>
      </c>
      <c r="G43" t="str">
        <f>IF(ISBLANK(IFERROR(INDEX('2-3 引出列表'!$A$2:$CE$8700,$A43,MATCH(G$1,'2-3 引出列表'!$A$1:$CD$1,0)),"")),"",IFERROR(INDEX('2-3 引出列表'!$A$2:$CE$8700,$A43,MATCH(G$1,'2-3 引出列表'!$A$1:$CD$1,0)),""))</f>
        <v>物料消耗.物料消耗</v>
      </c>
      <c r="H43">
        <f>IF(ISBLANK(IFERROR(INDEX('2-3 引出列表'!$A$2:$CE$8700,$A43,MATCH(H$1,'2-3 引出列表'!$A$1:$CD$1,0)),"")),"",IFERROR(INDEX('2-3 引出列表'!$A$2:$CE$8700,$A43,MATCH(H$1,'2-3 引出列表'!$A$1:$CD$1,0)),""))</f>
        <v>0</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FK250226000853</v>
      </c>
      <c r="C44">
        <f>IF(ISBLANK(IFERROR(INDEX('2-3 引出列表'!$A$2:$CE$8700,$A44,MATCH(C$1,'2-3 引出列表'!$A$1:$CD$1,0)),"")),"",IFERROR(INDEX('2-3 引出列表'!$A$2:$CE$8700,$A44,MATCH(C$1,'2-3 引出列表'!$A$1:$CD$1,0)),""))</f>
        <v>12711.75</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2025-06-20</v>
      </c>
      <c r="F44" s="30" t="str">
        <f t="shared" si="0"/>
        <v>2025-06</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FK250226000853</v>
      </c>
      <c r="C45">
        <f>IF(ISBLANK(IFERROR(INDEX('2-3 引出列表'!$A$2:$CE$8700,$A45,MATCH(C$1,'2-3 引出列表'!$A$1:$CD$1,0)),"")),"",IFERROR(INDEX('2-3 引出列表'!$A$2:$CE$8700,$A45,MATCH(C$1,'2-3 引出列表'!$A$1:$CD$1,0)),""))</f>
        <v>12711.75</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2025-06-20</v>
      </c>
      <c r="F45" s="30" t="str">
        <f t="shared" si="0"/>
        <v>2025-06</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FK250226000853</v>
      </c>
      <c r="C46">
        <f>IF(ISBLANK(IFERROR(INDEX('2-3 引出列表'!$A$2:$CE$8700,$A46,MATCH(C$1,'2-3 引出列表'!$A$1:$CD$1,0)),"")),"",IFERROR(INDEX('2-3 引出列表'!$A$2:$CE$8700,$A46,MATCH(C$1,'2-3 引出列表'!$A$1:$CD$1,0)),""))</f>
        <v>12711.75</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2025-06-20</v>
      </c>
      <c r="F46" s="30" t="str">
        <f t="shared" si="0"/>
        <v>2025-06</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FK250226000853</v>
      </c>
      <c r="C47">
        <f>IF(ISBLANK(IFERROR(INDEX('2-3 引出列表'!$A$2:$CE$8700,$A47,MATCH(C$1,'2-3 引出列表'!$A$1:$CD$1,0)),"")),"",IFERROR(INDEX('2-3 引出列表'!$A$2:$CE$8700,$A47,MATCH(C$1,'2-3 引出列表'!$A$1:$CD$1,0)),""))</f>
        <v>12711.75</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2025-06-20</v>
      </c>
      <c r="F47" s="30" t="str">
        <f t="shared" si="0"/>
        <v>2025-06</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FK250226000853</v>
      </c>
      <c r="C48">
        <f>IF(ISBLANK(IFERROR(INDEX('2-3 引出列表'!$A$2:$CE$8700,$A48,MATCH(C$1,'2-3 引出列表'!$A$1:$CD$1,0)),"")),"",IFERROR(INDEX('2-3 引出列表'!$A$2:$CE$8700,$A48,MATCH(C$1,'2-3 引出列表'!$A$1:$CD$1,0)),""))</f>
        <v>12711.75</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2025-06-20</v>
      </c>
      <c r="F48" s="30" t="str">
        <f t="shared" si="0"/>
        <v>2025-06</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FK250226000853</v>
      </c>
      <c r="C49">
        <f>IF(ISBLANK(IFERROR(INDEX('2-3 引出列表'!$A$2:$CE$8700,$A49,MATCH(C$1,'2-3 引出列表'!$A$1:$CD$1,0)),"")),"",IFERROR(INDEX('2-3 引出列表'!$A$2:$CE$8700,$A49,MATCH(C$1,'2-3 引出列表'!$A$1:$CD$1,0)),""))</f>
        <v>12711.75</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2025-06-20</v>
      </c>
      <c r="F49" s="30" t="str">
        <f t="shared" si="0"/>
        <v>2025-06</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FK250226000853</v>
      </c>
      <c r="C50">
        <f>IF(ISBLANK(IFERROR(INDEX('2-3 引出列表'!$A$2:$CE$8700,$A50,MATCH(C$1,'2-3 引出列表'!$A$1:$CD$1,0)),"")),"",IFERROR(INDEX('2-3 引出列表'!$A$2:$CE$8700,$A50,MATCH(C$1,'2-3 引出列表'!$A$1:$CD$1,0)),""))</f>
        <v>12711.75</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2025-06-20</v>
      </c>
      <c r="F50" s="30" t="str">
        <f t="shared" si="0"/>
        <v>2025-06</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FK250226000853</v>
      </c>
      <c r="C51">
        <f>IF(ISBLANK(IFERROR(INDEX('2-3 引出列表'!$A$2:$CE$8700,$A51,MATCH(C$1,'2-3 引出列表'!$A$1:$CD$1,0)),"")),"",IFERROR(INDEX('2-3 引出列表'!$A$2:$CE$8700,$A51,MATCH(C$1,'2-3 引出列表'!$A$1:$CD$1,0)),""))</f>
        <v>12711.75</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2025-06-20</v>
      </c>
      <c r="F51" s="30" t="str">
        <f t="shared" si="0"/>
        <v>2025-06</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ZB20210901JCWZ02</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FK250226000853</v>
      </c>
      <c r="C52">
        <f>IF(ISBLANK(IFERROR(INDEX('2-3 引出列表'!$A$2:$CE$8700,$A52,MATCH(C$1,'2-3 引出列表'!$A$1:$CD$1,0)),"")),"",IFERROR(INDEX('2-3 引出列表'!$A$2:$CE$8700,$A52,MATCH(C$1,'2-3 引出列表'!$A$1:$CD$1,0)),""))</f>
        <v>12711.75</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2025-06-20</v>
      </c>
      <c r="F52" s="30" t="str">
        <f t="shared" si="0"/>
        <v>2025-06</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ZB20210901JCWZ02</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FK250226000853</v>
      </c>
      <c r="C53">
        <f>IF(ISBLANK(IFERROR(INDEX('2-3 引出列表'!$A$2:$CE$8700,$A53,MATCH(C$1,'2-3 引出列表'!$A$1:$CD$1,0)),"")),"",IFERROR(INDEX('2-3 引出列表'!$A$2:$CE$8700,$A53,MATCH(C$1,'2-3 引出列表'!$A$1:$CD$1,0)),""))</f>
        <v>12711.75</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2025-06-20</v>
      </c>
      <c r="F53" s="30" t="str">
        <f t="shared" si="0"/>
        <v>2025-06</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ZB20210901JCWZ02</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FK250226000853</v>
      </c>
      <c r="C54">
        <f>IF(ISBLANK(IFERROR(INDEX('2-3 引出列表'!$A$2:$CE$8700,$A54,MATCH(C$1,'2-3 引出列表'!$A$1:$CD$1,0)),"")),"",IFERROR(INDEX('2-3 引出列表'!$A$2:$CE$8700,$A54,MATCH(C$1,'2-3 引出列表'!$A$1:$CD$1,0)),""))</f>
        <v>12711.75</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2025-06-20</v>
      </c>
      <c r="F54" s="30" t="str">
        <f t="shared" si="0"/>
        <v>2025-06</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ZB20210901JCWZ02</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FK250226000853</v>
      </c>
      <c r="C55">
        <f>IF(ISBLANK(IFERROR(INDEX('2-3 引出列表'!$A$2:$CE$8700,$A55,MATCH(C$1,'2-3 引出列表'!$A$1:$CD$1,0)),"")),"",IFERROR(INDEX('2-3 引出列表'!$A$2:$CE$8700,$A55,MATCH(C$1,'2-3 引出列表'!$A$1:$CD$1,0)),""))</f>
        <v>12711.75</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2025-06-20</v>
      </c>
      <c r="F55" s="30" t="str">
        <f t="shared" si="0"/>
        <v>2025-06</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ZB20210901JCWZ02</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FK250226000853</v>
      </c>
      <c r="C56">
        <f>IF(ISBLANK(IFERROR(INDEX('2-3 引出列表'!$A$2:$CE$8700,$A56,MATCH(C$1,'2-3 引出列表'!$A$1:$CD$1,0)),"")),"",IFERROR(INDEX('2-3 引出列表'!$A$2:$CE$8700,$A56,MATCH(C$1,'2-3 引出列表'!$A$1:$CD$1,0)),""))</f>
        <v>12711.75</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2025-06-20</v>
      </c>
      <c r="F56" s="30" t="str">
        <f t="shared" si="0"/>
        <v>2025-06</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ZB20210901JCWZ02</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FK250226000853</v>
      </c>
      <c r="C57">
        <f>IF(ISBLANK(IFERROR(INDEX('2-3 引出列表'!$A$2:$CE$8700,$A57,MATCH(C$1,'2-3 引出列表'!$A$1:$CD$1,0)),"")),"",IFERROR(INDEX('2-3 引出列表'!$A$2:$CE$8700,$A57,MATCH(C$1,'2-3 引出列表'!$A$1:$CD$1,0)),""))</f>
        <v>12711.75</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2025-06-20</v>
      </c>
      <c r="F57" s="30" t="str">
        <f t="shared" si="0"/>
        <v>2025-06</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ZB20210901JCWZ02</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FK250226000853</v>
      </c>
      <c r="C58">
        <f>IF(ISBLANK(IFERROR(INDEX('2-3 引出列表'!$A$2:$CE$8700,$A58,MATCH(C$1,'2-3 引出列表'!$A$1:$CD$1,0)),"")),"",IFERROR(INDEX('2-3 引出列表'!$A$2:$CE$8700,$A58,MATCH(C$1,'2-3 引出列表'!$A$1:$CD$1,0)),""))</f>
        <v>12711.75</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2025-06-20</v>
      </c>
      <c r="F58" s="30" t="str">
        <f t="shared" si="0"/>
        <v>2025-06</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ZB20210901JCWZ02</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FK250226000853</v>
      </c>
      <c r="C59">
        <f>IF(ISBLANK(IFERROR(INDEX('2-3 引出列表'!$A$2:$CE$8700,$A59,MATCH(C$1,'2-3 引出列表'!$A$1:$CD$1,0)),"")),"",IFERROR(INDEX('2-3 引出列表'!$A$2:$CE$8700,$A59,MATCH(C$1,'2-3 引出列表'!$A$1:$CD$1,0)),""))</f>
        <v>12711.75</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2025-06-20</v>
      </c>
      <c r="F59" s="30" t="str">
        <f t="shared" si="0"/>
        <v>2025-06</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ZB20210901JCWZ02</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FK250226000853</v>
      </c>
      <c r="C60">
        <f>IF(ISBLANK(IFERROR(INDEX('2-3 引出列表'!$A$2:$CE$8700,$A60,MATCH(C$1,'2-3 引出列表'!$A$1:$CD$1,0)),"")),"",IFERROR(INDEX('2-3 引出列表'!$A$2:$CE$8700,$A60,MATCH(C$1,'2-3 引出列表'!$A$1:$CD$1,0)),""))</f>
        <v>12711.75</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2025-06-20</v>
      </c>
      <c r="F60" s="30" t="str">
        <f t="shared" si="0"/>
        <v>2025-06</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ZB20210901JCWZ02</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FK250226000853</v>
      </c>
      <c r="C61">
        <f>IF(ISBLANK(IFERROR(INDEX('2-3 引出列表'!$A$2:$CE$8700,$A61,MATCH(C$1,'2-3 引出列表'!$A$1:$CD$1,0)),"")),"",IFERROR(INDEX('2-3 引出列表'!$A$2:$CE$8700,$A61,MATCH(C$1,'2-3 引出列表'!$A$1:$CD$1,0)),""))</f>
        <v>12711.75</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2025-06-20</v>
      </c>
      <c r="F61" s="30" t="str">
        <f t="shared" si="0"/>
        <v>2025-06</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ZB20210901JCWZ02</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FK250226000853</v>
      </c>
      <c r="C62">
        <f>IF(ISBLANK(IFERROR(INDEX('2-3 引出列表'!$A$2:$CE$8700,$A62,MATCH(C$1,'2-3 引出列表'!$A$1:$CD$1,0)),"")),"",IFERROR(INDEX('2-3 引出列表'!$A$2:$CE$8700,$A62,MATCH(C$1,'2-3 引出列表'!$A$1:$CD$1,0)),""))</f>
        <v>12711.75</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2025-06-20</v>
      </c>
      <c r="F62" s="30" t="str">
        <f t="shared" si="0"/>
        <v>2025-06</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ZB20210901JCWZ02</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FK250226000853</v>
      </c>
      <c r="C63">
        <f>IF(ISBLANK(IFERROR(INDEX('2-3 引出列表'!$A$2:$CE$8700,$A63,MATCH(C$1,'2-3 引出列表'!$A$1:$CD$1,0)),"")),"",IFERROR(INDEX('2-3 引出列表'!$A$2:$CE$8700,$A63,MATCH(C$1,'2-3 引出列表'!$A$1:$CD$1,0)),""))</f>
        <v>12711.75</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2025-06-20</v>
      </c>
      <c r="F63" s="30" t="str">
        <f t="shared" si="0"/>
        <v>2025-06</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ZB20210901JCWZ02</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FK250226000853</v>
      </c>
      <c r="C64">
        <f>IF(ISBLANK(IFERROR(INDEX('2-3 引出列表'!$A$2:$CE$8700,$A64,MATCH(C$1,'2-3 引出列表'!$A$1:$CD$1,0)),"")),"",IFERROR(INDEX('2-3 引出列表'!$A$2:$CE$8700,$A64,MATCH(C$1,'2-3 引出列表'!$A$1:$CD$1,0)),""))</f>
        <v>12711.75</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2025-06-20</v>
      </c>
      <c r="F64" s="30" t="str">
        <f t="shared" si="0"/>
        <v>2025-06</v>
      </c>
      <c r="G64" t="str">
        <f>IF(ISBLANK(IFERROR(INDEX('2-3 引出列表'!$A$2:$CE$8700,$A64,MATCH(G$1,'2-3 引出列表'!$A$1:$CD$1,0)),"")),"",IFERROR(INDEX('2-3 引出列表'!$A$2:$CE$8700,$A64,MATCH(G$1,'2-3 引出列表'!$A$1:$CD$1,0)),""))</f>
        <v>物料消耗.物料消耗</v>
      </c>
      <c r="H64" t="str">
        <f>IF(ISBLANK(IFERROR(INDEX('2-3 引出列表'!$A$2:$CE$8700,$A64,MATCH(H$1,'2-3 引出列表'!$A$1:$CD$1,0)),"")),"",IFERROR(INDEX('2-3 引出列表'!$A$2:$CE$8700,$A64,MATCH(H$1,'2-3 引出列表'!$A$1:$CD$1,0)),""))</f>
        <v>ZB20210901JCWZ02</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FK250226000853</v>
      </c>
      <c r="C65">
        <f>IF(ISBLANK(IFERROR(INDEX('2-3 引出列表'!$A$2:$CE$8700,$A65,MATCH(C$1,'2-3 引出列表'!$A$1:$CD$1,0)),"")),"",IFERROR(INDEX('2-3 引出列表'!$A$2:$CE$8700,$A65,MATCH(C$1,'2-3 引出列表'!$A$1:$CD$1,0)),""))</f>
        <v>12711.75</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2025-06-20</v>
      </c>
      <c r="F65" s="30" t="str">
        <f t="shared" si="0"/>
        <v>2025-06</v>
      </c>
      <c r="G65" t="str">
        <f>IF(ISBLANK(IFERROR(INDEX('2-3 引出列表'!$A$2:$CE$8700,$A65,MATCH(G$1,'2-3 引出列表'!$A$1:$CD$1,0)),"")),"",IFERROR(INDEX('2-3 引出列表'!$A$2:$CE$8700,$A65,MATCH(G$1,'2-3 引出列表'!$A$1:$CD$1,0)),""))</f>
        <v>物料消耗.物料消耗</v>
      </c>
      <c r="H65" t="str">
        <f>IF(ISBLANK(IFERROR(INDEX('2-3 引出列表'!$A$2:$CE$8700,$A65,MATCH(H$1,'2-3 引出列表'!$A$1:$CD$1,0)),"")),"",IFERROR(INDEX('2-3 引出列表'!$A$2:$CE$8700,$A65,MATCH(H$1,'2-3 引出列表'!$A$1:$CD$1,0)),""))</f>
        <v>ZB20210901JCWZ02</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FK250226000853</v>
      </c>
      <c r="C66">
        <f>IF(ISBLANK(IFERROR(INDEX('2-3 引出列表'!$A$2:$CE$8700,$A66,MATCH(C$1,'2-3 引出列表'!$A$1:$CD$1,0)),"")),"",IFERROR(INDEX('2-3 引出列表'!$A$2:$CE$8700,$A66,MATCH(C$1,'2-3 引出列表'!$A$1:$CD$1,0)),""))</f>
        <v>12711.75</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2025-06-20</v>
      </c>
      <c r="F66" s="30" t="str">
        <f t="shared" si="0"/>
        <v>2025-06</v>
      </c>
      <c r="G66" t="str">
        <f>IF(ISBLANK(IFERROR(INDEX('2-3 引出列表'!$A$2:$CE$8700,$A66,MATCH(G$1,'2-3 引出列表'!$A$1:$CD$1,0)),"")),"",IFERROR(INDEX('2-3 引出列表'!$A$2:$CE$8700,$A66,MATCH(G$1,'2-3 引出列表'!$A$1:$CD$1,0)),""))</f>
        <v>物料消耗.物料消耗</v>
      </c>
      <c r="H66" t="str">
        <f>IF(ISBLANK(IFERROR(INDEX('2-3 引出列表'!$A$2:$CE$8700,$A66,MATCH(H$1,'2-3 引出列表'!$A$1:$CD$1,0)),"")),"",IFERROR(INDEX('2-3 引出列表'!$A$2:$CE$8700,$A66,MATCH(H$1,'2-3 引出列表'!$A$1:$CD$1,0)),""))</f>
        <v>ZB20210901JCWZ02</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FK250226000853</v>
      </c>
      <c r="C67">
        <f>IF(ISBLANK(IFERROR(INDEX('2-3 引出列表'!$A$2:$CE$8700,$A67,MATCH(C$1,'2-3 引出列表'!$A$1:$CD$1,0)),"")),"",IFERROR(INDEX('2-3 引出列表'!$A$2:$CE$8700,$A67,MATCH(C$1,'2-3 引出列表'!$A$1:$CD$1,0)),""))</f>
        <v>12711.75</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2025-06-20</v>
      </c>
      <c r="F67" s="30" t="str">
        <f t="shared" ref="F67:F130" si="1">LEFT(E67,7)</f>
        <v>2025-06</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ZB20210901JCWZ02</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FK250226000853</v>
      </c>
      <c r="C68">
        <f>IF(ISBLANK(IFERROR(INDEX('2-3 引出列表'!$A$2:$CE$8700,$A68,MATCH(C$1,'2-3 引出列表'!$A$1:$CD$1,0)),"")),"",IFERROR(INDEX('2-3 引出列表'!$A$2:$CE$8700,$A68,MATCH(C$1,'2-3 引出列表'!$A$1:$CD$1,0)),""))</f>
        <v>12711.75</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2025-06-20</v>
      </c>
      <c r="F68" s="30" t="str">
        <f t="shared" si="1"/>
        <v>2025-06</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ZB20210901JCWZ02</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FK250226000853</v>
      </c>
      <c r="C69">
        <f>IF(ISBLANK(IFERROR(INDEX('2-3 引出列表'!$A$2:$CE$8700,$A69,MATCH(C$1,'2-3 引出列表'!$A$1:$CD$1,0)),"")),"",IFERROR(INDEX('2-3 引出列表'!$A$2:$CE$8700,$A69,MATCH(C$1,'2-3 引出列表'!$A$1:$CD$1,0)),""))</f>
        <v>12711.75</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2025-06-20</v>
      </c>
      <c r="F69" s="30" t="str">
        <f t="shared" si="1"/>
        <v>2025-06</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ZB20210901JCWZ02</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FK250226000853</v>
      </c>
      <c r="C70">
        <f>IF(ISBLANK(IFERROR(INDEX('2-3 引出列表'!$A$2:$CE$8700,$A70,MATCH(C$1,'2-3 引出列表'!$A$1:$CD$1,0)),"")),"",IFERROR(INDEX('2-3 引出列表'!$A$2:$CE$8700,$A70,MATCH(C$1,'2-3 引出列表'!$A$1:$CD$1,0)),""))</f>
        <v>12711.75</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2025-06-20</v>
      </c>
      <c r="F70" s="30" t="str">
        <f t="shared" si="1"/>
        <v>2025-06</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ZB20210901JCWZ02</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FK250226000853</v>
      </c>
      <c r="C71">
        <f>IF(ISBLANK(IFERROR(INDEX('2-3 引出列表'!$A$2:$CE$8700,$A71,MATCH(C$1,'2-3 引出列表'!$A$1:$CD$1,0)),"")),"",IFERROR(INDEX('2-3 引出列表'!$A$2:$CE$8700,$A71,MATCH(C$1,'2-3 引出列表'!$A$1:$CD$1,0)),""))</f>
        <v>12711.75</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2025-06-20</v>
      </c>
      <c r="F71" s="30" t="str">
        <f t="shared" si="1"/>
        <v>2025-06</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ZB20210901JCWZ02</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FK250226000853</v>
      </c>
      <c r="C72">
        <f>IF(ISBLANK(IFERROR(INDEX('2-3 引出列表'!$A$2:$CE$8700,$A72,MATCH(C$1,'2-3 引出列表'!$A$1:$CD$1,0)),"")),"",IFERROR(INDEX('2-3 引出列表'!$A$2:$CE$8700,$A72,MATCH(C$1,'2-3 引出列表'!$A$1:$CD$1,0)),""))</f>
        <v>12711.75</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2025-06-20</v>
      </c>
      <c r="F72" s="30" t="str">
        <f t="shared" si="1"/>
        <v>2025-06</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ZB20210901JCWZ02</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FK250226000853</v>
      </c>
      <c r="C73">
        <f>IF(ISBLANK(IFERROR(INDEX('2-3 引出列表'!$A$2:$CE$8700,$A73,MATCH(C$1,'2-3 引出列表'!$A$1:$CD$1,0)),"")),"",IFERROR(INDEX('2-3 引出列表'!$A$2:$CE$8700,$A73,MATCH(C$1,'2-3 引出列表'!$A$1:$CD$1,0)),""))</f>
        <v>12711.75</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2025-06-20</v>
      </c>
      <c r="F73" s="30" t="str">
        <f t="shared" si="1"/>
        <v>2025-06</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ZB20210901JCWZ02</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FK250226000853</v>
      </c>
      <c r="C74">
        <f>IF(ISBLANK(IFERROR(INDEX('2-3 引出列表'!$A$2:$CE$8700,$A74,MATCH(C$1,'2-3 引出列表'!$A$1:$CD$1,0)),"")),"",IFERROR(INDEX('2-3 引出列表'!$A$2:$CE$8700,$A74,MATCH(C$1,'2-3 引出列表'!$A$1:$CD$1,0)),""))</f>
        <v>12711.75</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2025-06-20</v>
      </c>
      <c r="F74" s="30" t="str">
        <f t="shared" si="1"/>
        <v>2025-06</v>
      </c>
      <c r="G74" t="str">
        <f>IF(ISBLANK(IFERROR(INDEX('2-3 引出列表'!$A$2:$CE$8700,$A74,MATCH(G$1,'2-3 引出列表'!$A$1:$CD$1,0)),"")),"",IFERROR(INDEX('2-3 引出列表'!$A$2:$CE$8700,$A74,MATCH(G$1,'2-3 引出列表'!$A$1:$CD$1,0)),""))</f>
        <v>物料消耗.物料消耗</v>
      </c>
      <c r="H74" t="str">
        <f>IF(ISBLANK(IFERROR(INDEX('2-3 引出列表'!$A$2:$CE$8700,$A74,MATCH(H$1,'2-3 引出列表'!$A$1:$CD$1,0)),"")),"",IFERROR(INDEX('2-3 引出列表'!$A$2:$CE$8700,$A74,MATCH(H$1,'2-3 引出列表'!$A$1:$CD$1,0)),""))</f>
        <v>ZB20210901JCWZ02</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FK250226000853</v>
      </c>
      <c r="C75">
        <f>IF(ISBLANK(IFERROR(INDEX('2-3 引出列表'!$A$2:$CE$8700,$A75,MATCH(C$1,'2-3 引出列表'!$A$1:$CD$1,0)),"")),"",IFERROR(INDEX('2-3 引出列表'!$A$2:$CE$8700,$A75,MATCH(C$1,'2-3 引出列表'!$A$1:$CD$1,0)),""))</f>
        <v>12711.75</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2025-06-20</v>
      </c>
      <c r="F75" s="30" t="str">
        <f t="shared" si="1"/>
        <v>2025-06</v>
      </c>
      <c r="G75" t="str">
        <f>IF(ISBLANK(IFERROR(INDEX('2-3 引出列表'!$A$2:$CE$8700,$A75,MATCH(G$1,'2-3 引出列表'!$A$1:$CD$1,0)),"")),"",IFERROR(INDEX('2-3 引出列表'!$A$2:$CE$8700,$A75,MATCH(G$1,'2-3 引出列表'!$A$1:$CD$1,0)),""))</f>
        <v>物料消耗.物料消耗</v>
      </c>
      <c r="H75" t="str">
        <f>IF(ISBLANK(IFERROR(INDEX('2-3 引出列表'!$A$2:$CE$8700,$A75,MATCH(H$1,'2-3 引出列表'!$A$1:$CD$1,0)),"")),"",IFERROR(INDEX('2-3 引出列表'!$A$2:$CE$8700,$A75,MATCH(H$1,'2-3 引出列表'!$A$1:$CD$1,0)),""))</f>
        <v>ZB20210901JCWZ02</v>
      </c>
      <c r="I75" t="str">
        <f>IF(ISBLANK(IFERROR(INDEX('2-3 引出列表'!$A$2:$CE$8700,$A75,MATCH(I$1,'2-3 引出列表'!$A$1:$CD$1,0)),"")),"",IFERROR(INDEX('2-3 引出列表'!$A$2:$CE$8700,$A75,MATCH(I$1,'2-3 引出列表'!$A$1:$CD$1,0)),""))</f>
        <v>金采易购</v>
      </c>
    </row>
    <row r="76" spans="1:9">
      <c r="A76">
        <v>75</v>
      </c>
      <c r="B76" t="str">
        <f>IF(ISBLANK(IFERROR(INDEX('2-3 引出列表'!$A$2:$CE$8700,$A76,MATCH(B$1,'2-3 引出列表'!$A$1:$CD$1,0)),"")),"",IFERROR(INDEX('2-3 引出列表'!$A$2:$CE$8700,$A76,MATCH(B$1,'2-3 引出列表'!$A$1:$CD$1,0)),""))</f>
        <v>FK250226000853</v>
      </c>
      <c r="C76">
        <f>IF(ISBLANK(IFERROR(INDEX('2-3 引出列表'!$A$2:$CE$8700,$A76,MATCH(C$1,'2-3 引出列表'!$A$1:$CD$1,0)),"")),"",IFERROR(INDEX('2-3 引出列表'!$A$2:$CE$8700,$A76,MATCH(C$1,'2-3 引出列表'!$A$1:$CD$1,0)),""))</f>
        <v>12711.75</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2025-06-20</v>
      </c>
      <c r="F76" s="30" t="str">
        <f t="shared" si="1"/>
        <v>2025-06</v>
      </c>
      <c r="G76" t="str">
        <f>IF(ISBLANK(IFERROR(INDEX('2-3 引出列表'!$A$2:$CE$8700,$A76,MATCH(G$1,'2-3 引出列表'!$A$1:$CD$1,0)),"")),"",IFERROR(INDEX('2-3 引出列表'!$A$2:$CE$8700,$A76,MATCH(G$1,'2-3 引出列表'!$A$1:$CD$1,0)),""))</f>
        <v>物料消耗.物料消耗</v>
      </c>
      <c r="H76" t="str">
        <f>IF(ISBLANK(IFERROR(INDEX('2-3 引出列表'!$A$2:$CE$8700,$A76,MATCH(H$1,'2-3 引出列表'!$A$1:$CD$1,0)),"")),"",IFERROR(INDEX('2-3 引出列表'!$A$2:$CE$8700,$A76,MATCH(H$1,'2-3 引出列表'!$A$1:$CD$1,0)),""))</f>
        <v>ZB20210901JCWZ02</v>
      </c>
      <c r="I76" t="str">
        <f>IF(ISBLANK(IFERROR(INDEX('2-3 引出列表'!$A$2:$CE$8700,$A76,MATCH(I$1,'2-3 引出列表'!$A$1:$CD$1,0)),"")),"",IFERROR(INDEX('2-3 引出列表'!$A$2:$CE$8700,$A76,MATCH(I$1,'2-3 引出列表'!$A$1:$CD$1,0)),""))</f>
        <v>金采易购</v>
      </c>
    </row>
    <row r="77" spans="1:9">
      <c r="A77">
        <v>76</v>
      </c>
      <c r="B77" t="str">
        <f>IF(ISBLANK(IFERROR(INDEX('2-3 引出列表'!$A$2:$CE$8700,$A77,MATCH(B$1,'2-3 引出列表'!$A$1:$CD$1,0)),"")),"",IFERROR(INDEX('2-3 引出列表'!$A$2:$CE$8700,$A77,MATCH(B$1,'2-3 引出列表'!$A$1:$CD$1,0)),""))</f>
        <v>FK250226000870</v>
      </c>
      <c r="C77">
        <f>IF(ISBLANK(IFERROR(INDEX('2-3 引出列表'!$A$2:$CE$8700,$A77,MATCH(C$1,'2-3 引出列表'!$A$1:$CD$1,0)),"")),"",IFERROR(INDEX('2-3 引出列表'!$A$2:$CE$8700,$A77,MATCH(C$1,'2-3 引出列表'!$A$1:$CD$1,0)),""))</f>
        <v>4450</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2025-06-20</v>
      </c>
      <c r="F77" s="30" t="str">
        <f t="shared" si="1"/>
        <v>2025-06</v>
      </c>
      <c r="G77" t="str">
        <f>IF(ISBLANK(IFERROR(INDEX('2-3 引出列表'!$A$2:$CE$8700,$A77,MATCH(G$1,'2-3 引出列表'!$A$1:$CD$1,0)),"")),"",IFERROR(INDEX('2-3 引出列表'!$A$2:$CE$8700,$A77,MATCH(G$1,'2-3 引出列表'!$A$1:$CD$1,0)),""))</f>
        <v>物料消耗.物料消耗</v>
      </c>
      <c r="H77" t="str">
        <f>IF(ISBLANK(IFERROR(INDEX('2-3 引出列表'!$A$2:$CE$8700,$A77,MATCH(H$1,'2-3 引出列表'!$A$1:$CD$1,0)),"")),"",IFERROR(INDEX('2-3 引出列表'!$A$2:$CE$8700,$A77,MATCH(H$1,'2-3 引出列表'!$A$1:$CD$1,0)),""))</f>
        <v>XHWZ-Z-2023-0020</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FK250219000516</v>
      </c>
      <c r="C78">
        <f>IF(ISBLANK(IFERROR(INDEX('2-3 引出列表'!$A$2:$CE$8700,$A78,MATCH(C$1,'2-3 引出列表'!$A$1:$CD$1,0)),"")),"",IFERROR(INDEX('2-3 引出列表'!$A$2:$CE$8700,$A78,MATCH(C$1,'2-3 引出列表'!$A$1:$CD$1,0)),""))</f>
        <v>55664</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2025-06-20</v>
      </c>
      <c r="F78" s="30" t="str">
        <f t="shared" si="1"/>
        <v>2025-06</v>
      </c>
      <c r="G78" t="str">
        <f>IF(ISBLANK(IFERROR(INDEX('2-3 引出列表'!$A$2:$CE$8700,$A78,MATCH(G$1,'2-3 引出列表'!$A$1:$CD$1,0)),"")),"",IFERROR(INDEX('2-3 引出列表'!$A$2:$CE$8700,$A78,MATCH(G$1,'2-3 引出列表'!$A$1:$CD$1,0)),""))</f>
        <v>外包服务费.工程施工外包</v>
      </c>
      <c r="H78" t="str">
        <f>IF(ISBLANK(IFERROR(INDEX('2-3 引出列表'!$A$2:$CE$8700,$A78,MATCH(H$1,'2-3 引出列表'!$A$1:$CD$1,0)),"")),"",IFERROR(INDEX('2-3 引出列表'!$A$2:$CE$8700,$A78,MATCH(H$1,'2-3 引出列表'!$A$1:$CD$1,0)),""))</f>
        <v>GCFW-Z-2024-10285</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FK250213000720</v>
      </c>
      <c r="C79">
        <f>IF(ISBLANK(IFERROR(INDEX('2-3 引出列表'!$A$2:$CE$8700,$A79,MATCH(C$1,'2-3 引出列表'!$A$1:$CD$1,0)),"")),"",IFERROR(INDEX('2-3 引出列表'!$A$2:$CE$8700,$A79,MATCH(C$1,'2-3 引出列表'!$A$1:$CD$1,0)),""))</f>
        <v>1680</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2025-06-20</v>
      </c>
      <c r="F79" s="30" t="str">
        <f t="shared" si="1"/>
        <v>2025-06</v>
      </c>
      <c r="G79" t="str">
        <f>IF(ISBLANK(IFERROR(INDEX('2-3 引出列表'!$A$2:$CE$8700,$A79,MATCH(G$1,'2-3 引出列表'!$A$1:$CD$1,0)),"")),"",IFERROR(INDEX('2-3 引出列表'!$A$2:$CE$8700,$A79,MATCH(G$1,'2-3 引出列表'!$A$1:$CD$1,0)),""))</f>
        <v>物料消耗.物料消耗</v>
      </c>
      <c r="H79" t="str">
        <f>IF(ISBLANK(IFERROR(INDEX('2-3 引出列表'!$A$2:$CE$8700,$A79,MATCH(H$1,'2-3 引出列表'!$A$1:$CD$1,0)),"")),"",IFERROR(INDEX('2-3 引出列表'!$A$2:$CE$8700,$A79,MATCH(H$1,'2-3 引出列表'!$A$1:$CD$1,0)),""))</f>
        <v>XHWZ-Z-2024-0232</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FK250121000260</v>
      </c>
      <c r="C80">
        <f>IF(ISBLANK(IFERROR(INDEX('2-3 引出列表'!$A$2:$CE$8700,$A80,MATCH(C$1,'2-3 引出列表'!$A$1:$CD$1,0)),"")),"",IFERROR(INDEX('2-3 引出列表'!$A$2:$CE$8700,$A80,MATCH(C$1,'2-3 引出列表'!$A$1:$CD$1,0)),""))</f>
        <v>22490</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2025-06-20</v>
      </c>
      <c r="F80" s="30" t="str">
        <f t="shared" si="1"/>
        <v>2025-06</v>
      </c>
      <c r="G80" t="str">
        <f>IF(ISBLANK(IFERROR(INDEX('2-3 引出列表'!$A$2:$CE$8700,$A80,MATCH(G$1,'2-3 引出列表'!$A$1:$CD$1,0)),"")),"",IFERROR(INDEX('2-3 引出列表'!$A$2:$CE$8700,$A80,MATCH(G$1,'2-3 引出列表'!$A$1:$CD$1,0)),""))</f>
        <v>物料消耗.物料消耗</v>
      </c>
      <c r="H80">
        <f>IF(ISBLANK(IFERROR(INDEX('2-3 引出列表'!$A$2:$CE$8700,$A80,MATCH(H$1,'2-3 引出列表'!$A$1:$CD$1,0)),"")),"",IFERROR(INDEX('2-3 引出列表'!$A$2:$CE$8700,$A80,MATCH(H$1,'2-3 引出列表'!$A$1:$CD$1,0)),""))</f>
        <v>0</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FK250121000260</v>
      </c>
      <c r="C81">
        <f>IF(ISBLANK(IFERROR(INDEX('2-3 引出列表'!$A$2:$CE$8700,$A81,MATCH(C$1,'2-3 引出列表'!$A$1:$CD$1,0)),"")),"",IFERROR(INDEX('2-3 引出列表'!$A$2:$CE$8700,$A81,MATCH(C$1,'2-3 引出列表'!$A$1:$CD$1,0)),""))</f>
        <v>22490</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2025-06-20</v>
      </c>
      <c r="F81" s="30" t="str">
        <f t="shared" si="1"/>
        <v>2025-06</v>
      </c>
      <c r="G81" t="str">
        <f>IF(ISBLANK(IFERROR(INDEX('2-3 引出列表'!$A$2:$CE$8700,$A81,MATCH(G$1,'2-3 引出列表'!$A$1:$CD$1,0)),"")),"",IFERROR(INDEX('2-3 引出列表'!$A$2:$CE$8700,$A81,MATCH(G$1,'2-3 引出列表'!$A$1:$CD$1,0)),""))</f>
        <v>物料消耗.物料消耗</v>
      </c>
      <c r="H81">
        <f>IF(ISBLANK(IFERROR(INDEX('2-3 引出列表'!$A$2:$CE$8700,$A81,MATCH(H$1,'2-3 引出列表'!$A$1:$CD$1,0)),"")),"",IFERROR(INDEX('2-3 引出列表'!$A$2:$CE$8700,$A81,MATCH(H$1,'2-3 引出列表'!$A$1:$CD$1,0)),""))</f>
        <v>0</v>
      </c>
      <c r="I81" t="str">
        <f>IF(ISBLANK(IFERROR(INDEX('2-3 引出列表'!$A$2:$CE$8700,$A81,MATCH(I$1,'2-3 引出列表'!$A$1:$CD$1,0)),"")),"",IFERROR(INDEX('2-3 引出列表'!$A$2:$CE$8700,$A81,MATCH(I$1,'2-3 引出列表'!$A$1:$CD$1,0)),""))</f>
        <v>金采易购</v>
      </c>
    </row>
    <row r="82" spans="1:9">
      <c r="A82">
        <v>81</v>
      </c>
      <c r="B82">
        <f>IF(ISBLANK(IFERROR(INDEX('2-3 引出列表'!$A$2:$CE$8700,$A82,MATCH(B$1,'2-3 引出列表'!$A$1:$CD$1,0)),"")),"",IFERROR(INDEX('2-3 引出列表'!$A$2:$CE$8700,$A82,MATCH(B$1,'2-3 引出列表'!$A$1:$CD$1,0)),""))</f>
        <v>0</v>
      </c>
      <c r="C82">
        <f>IF(ISBLANK(IFERROR(INDEX('2-3 引出列表'!$A$2:$CE$8700,$A82,MATCH(C$1,'2-3 引出列表'!$A$1:$CD$1,0)),"")),"",IFERROR(INDEX('2-3 引出列表'!$A$2:$CE$8700,$A82,MATCH(C$1,'2-3 引出列表'!$A$1:$CD$1,0)),""))</f>
        <v>31358</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2025-02-17</v>
      </c>
      <c r="F82" s="30" t="str">
        <f t="shared" si="1"/>
        <v>2025-02</v>
      </c>
      <c r="G82" t="str">
        <f>IF(ISBLANK(IFERROR(INDEX('2-3 引出列表'!$A$2:$CE$8700,$A82,MATCH(G$1,'2-3 引出列表'!$A$1:$CD$1,0)),"")),"",IFERROR(INDEX('2-3 引出列表'!$A$2:$CE$8700,$A82,MATCH(G$1,'2-3 引出列表'!$A$1:$CD$1,0)),""))</f>
        <v>人工费用.宿舍费</v>
      </c>
      <c r="H82" t="str">
        <f>IF(ISBLANK(IFERROR(INDEX('2-3 引出列表'!$A$2:$CE$8700,$A82,MATCH(H$1,'2-3 引出列表'!$A$1:$CD$1,0)),"")),"",IFERROR(INDEX('2-3 引出列表'!$A$2:$CE$8700,$A82,MATCH(H$1,'2-3 引出列表'!$A$1:$CD$1,0)),""))</f>
        <v>FWL-Z-2024-0942</v>
      </c>
      <c r="I82">
        <f>IF(ISBLANK(IFERROR(INDEX('2-3 引出列表'!$A$2:$CE$8700,$A82,MATCH(I$1,'2-3 引出列表'!$A$1:$CD$1,0)),"")),"",IFERROR(INDEX('2-3 引出列表'!$A$2:$CE$8700,$A82,MATCH(I$1,'2-3 引出列表'!$A$1:$CD$1,0)),""))</f>
        <v>0</v>
      </c>
    </row>
    <row r="83" spans="1:9">
      <c r="A83">
        <v>82</v>
      </c>
      <c r="B83">
        <f>IF(ISBLANK(IFERROR(INDEX('2-3 引出列表'!$A$2:$CE$8700,$A83,MATCH(B$1,'2-3 引出列表'!$A$1:$CD$1,0)),"")),"",IFERROR(INDEX('2-3 引出列表'!$A$2:$CE$8700,$A83,MATCH(B$1,'2-3 引出列表'!$A$1:$CD$1,0)),""))</f>
        <v>0</v>
      </c>
      <c r="C83">
        <f>IF(ISBLANK(IFERROR(INDEX('2-3 引出列表'!$A$2:$CE$8700,$A83,MATCH(C$1,'2-3 引出列表'!$A$1:$CD$1,0)),"")),"",IFERROR(INDEX('2-3 引出列表'!$A$2:$CE$8700,$A83,MATCH(C$1,'2-3 引出列表'!$A$1:$CD$1,0)),""))</f>
        <v>31358</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2025-02-14</v>
      </c>
      <c r="F83" s="30" t="str">
        <f t="shared" si="1"/>
        <v>2025-02</v>
      </c>
      <c r="G83" t="str">
        <f>IF(ISBLANK(IFERROR(INDEX('2-3 引出列表'!$A$2:$CE$8700,$A83,MATCH(G$1,'2-3 引出列表'!$A$1:$CD$1,0)),"")),"",IFERROR(INDEX('2-3 引出列表'!$A$2:$CE$8700,$A83,MATCH(G$1,'2-3 引出列表'!$A$1:$CD$1,0)),""))</f>
        <v>人工费用.宿舍费</v>
      </c>
      <c r="H83" t="str">
        <f>IF(ISBLANK(IFERROR(INDEX('2-3 引出列表'!$A$2:$CE$8700,$A83,MATCH(H$1,'2-3 引出列表'!$A$1:$CD$1,0)),"")),"",IFERROR(INDEX('2-3 引出列表'!$A$2:$CE$8700,$A83,MATCH(H$1,'2-3 引出列表'!$A$1:$CD$1,0)),""))</f>
        <v>FWL-Z-2024-0942</v>
      </c>
      <c r="I83">
        <f>IF(ISBLANK(IFERROR(INDEX('2-3 引出列表'!$A$2:$CE$8700,$A83,MATCH(I$1,'2-3 引出列表'!$A$1:$CD$1,0)),"")),"",IFERROR(INDEX('2-3 引出列表'!$A$2:$CE$8700,$A83,MATCH(I$1,'2-3 引出列表'!$A$1:$CD$1,0)),""))</f>
        <v>0</v>
      </c>
    </row>
    <row r="84" spans="1:9">
      <c r="A84">
        <v>83</v>
      </c>
      <c r="B84">
        <f>IF(ISBLANK(IFERROR(INDEX('2-3 引出列表'!$A$2:$CE$8700,$A84,MATCH(B$1,'2-3 引出列表'!$A$1:$CD$1,0)),"")),"",IFERROR(INDEX('2-3 引出列表'!$A$2:$CE$8700,$A84,MATCH(B$1,'2-3 引出列表'!$A$1:$CD$1,0)),""))</f>
        <v>0</v>
      </c>
      <c r="C84">
        <f>IF(ISBLANK(IFERROR(INDEX('2-3 引出列表'!$A$2:$CE$8700,$A84,MATCH(C$1,'2-3 引出列表'!$A$1:$CD$1,0)),"")),"",IFERROR(INDEX('2-3 引出列表'!$A$2:$CE$8700,$A84,MATCH(C$1,'2-3 引出列表'!$A$1:$CD$1,0)),""))</f>
        <v>1800</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2025-02-14</v>
      </c>
      <c r="F84" s="30" t="str">
        <f t="shared" si="1"/>
        <v>2025-02</v>
      </c>
      <c r="G84" t="str">
        <f>IF(ISBLANK(IFERROR(INDEX('2-3 引出列表'!$A$2:$CE$8700,$A84,MATCH(G$1,'2-3 引出列表'!$A$1:$CD$1,0)),"")),"",IFERROR(INDEX('2-3 引出列表'!$A$2:$CE$8700,$A84,MATCH(G$1,'2-3 引出列表'!$A$1:$CD$1,0)),""))</f>
        <v>人工费用.宿舍费</v>
      </c>
      <c r="H84" t="str">
        <f>IF(ISBLANK(IFERROR(INDEX('2-3 引出列表'!$A$2:$CE$8700,$A84,MATCH(H$1,'2-3 引出列表'!$A$1:$CD$1,0)),"")),"",IFERROR(INDEX('2-3 引出列表'!$A$2:$CE$8700,$A84,MATCH(H$1,'2-3 引出列表'!$A$1:$CD$1,0)),""))</f>
        <v>FWL-Z-2024-0944</v>
      </c>
      <c r="I84">
        <f>IF(ISBLANK(IFERROR(INDEX('2-3 引出列表'!$A$2:$CE$8700,$A84,MATCH(I$1,'2-3 引出列表'!$A$1:$CD$1,0)),"")),"",IFERROR(INDEX('2-3 引出列表'!$A$2:$CE$8700,$A84,MATCH(I$1,'2-3 引出列表'!$A$1:$CD$1,0)),""))</f>
        <v>0</v>
      </c>
    </row>
    <row r="85" spans="1:9">
      <c r="A85">
        <v>84</v>
      </c>
      <c r="B85">
        <f>IF(ISBLANK(IFERROR(INDEX('2-3 引出列表'!$A$2:$CE$8700,$A85,MATCH(B$1,'2-3 引出列表'!$A$1:$CD$1,0)),"")),"",IFERROR(INDEX('2-3 引出列表'!$A$2:$CE$8700,$A85,MATCH(B$1,'2-3 引出列表'!$A$1:$CD$1,0)),""))</f>
        <v>0</v>
      </c>
      <c r="C85">
        <f>IF(ISBLANK(IFERROR(INDEX('2-3 引出列表'!$A$2:$CE$8700,$A85,MATCH(C$1,'2-3 引出列表'!$A$1:$CD$1,0)),"")),"",IFERROR(INDEX('2-3 引出列表'!$A$2:$CE$8700,$A85,MATCH(C$1,'2-3 引出列表'!$A$1:$CD$1,0)),""))</f>
        <v>10000</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2025-02-14</v>
      </c>
      <c r="F85" s="30" t="str">
        <f t="shared" si="1"/>
        <v>2025-02</v>
      </c>
      <c r="G85" t="str">
        <f>IF(ISBLANK(IFERROR(INDEX('2-3 引出列表'!$A$2:$CE$8700,$A85,MATCH(G$1,'2-3 引出列表'!$A$1:$CD$1,0)),"")),"",IFERROR(INDEX('2-3 引出列表'!$A$2:$CE$8700,$A85,MATCH(G$1,'2-3 引出列表'!$A$1:$CD$1,0)),""))</f>
        <v>人工费用.节日及餐费福利</v>
      </c>
      <c r="H85">
        <f>IF(ISBLANK(IFERROR(INDEX('2-3 引出列表'!$A$2:$CE$8700,$A85,MATCH(H$1,'2-3 引出列表'!$A$1:$CD$1,0)),"")),"",IFERROR(INDEX('2-3 引出列表'!$A$2:$CE$8700,$A85,MATCH(H$1,'2-3 引出列表'!$A$1:$CD$1,0)),""))</f>
        <v>0</v>
      </c>
      <c r="I85">
        <f>IF(ISBLANK(IFERROR(INDEX('2-3 引出列表'!$A$2:$CE$8700,$A85,MATCH(I$1,'2-3 引出列表'!$A$1:$CD$1,0)),"")),"",IFERROR(INDEX('2-3 引出列表'!$A$2:$CE$8700,$A85,MATCH(I$1,'2-3 引出列表'!$A$1:$CD$1,0)),""))</f>
        <v>0</v>
      </c>
    </row>
    <row r="86" spans="1:9">
      <c r="A86">
        <v>85</v>
      </c>
      <c r="B86">
        <f>IF(ISBLANK(IFERROR(INDEX('2-3 引出列表'!$A$2:$CE$8700,$A86,MATCH(B$1,'2-3 引出列表'!$A$1:$CD$1,0)),"")),"",IFERROR(INDEX('2-3 引出列表'!$A$2:$CE$8700,$A86,MATCH(B$1,'2-3 引出列表'!$A$1:$CD$1,0)),""))</f>
        <v>0</v>
      </c>
      <c r="C86">
        <f>IF(ISBLANK(IFERROR(INDEX('2-3 引出列表'!$A$2:$CE$8700,$A86,MATCH(C$1,'2-3 引出列表'!$A$1:$CD$1,0)),"")),"",IFERROR(INDEX('2-3 引出列表'!$A$2:$CE$8700,$A86,MATCH(C$1,'2-3 引出列表'!$A$1:$CD$1,0)),""))</f>
        <v>6648</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2025-02-14</v>
      </c>
      <c r="F86" s="30" t="str">
        <f t="shared" si="1"/>
        <v>2025-02</v>
      </c>
      <c r="G86" t="str">
        <f>IF(ISBLANK(IFERROR(INDEX('2-3 引出列表'!$A$2:$CE$8700,$A86,MATCH(G$1,'2-3 引出列表'!$A$1:$CD$1,0)),"")),"",IFERROR(INDEX('2-3 引出列表'!$A$2:$CE$8700,$A86,MATCH(G$1,'2-3 引出列表'!$A$1:$CD$1,0)),""))</f>
        <v>业务活动.市内交通费</v>
      </c>
      <c r="H86">
        <f>IF(ISBLANK(IFERROR(INDEX('2-3 引出列表'!$A$2:$CE$8700,$A86,MATCH(H$1,'2-3 引出列表'!$A$1:$CD$1,0)),"")),"",IFERROR(INDEX('2-3 引出列表'!$A$2:$CE$8700,$A86,MATCH(H$1,'2-3 引出列表'!$A$1:$CD$1,0)),""))</f>
        <v>0</v>
      </c>
      <c r="I86">
        <f>IF(ISBLANK(IFERROR(INDEX('2-3 引出列表'!$A$2:$CE$8700,$A86,MATCH(I$1,'2-3 引出列表'!$A$1:$CD$1,0)),"")),"",IFERROR(INDEX('2-3 引出列表'!$A$2:$CE$8700,$A86,MATCH(I$1,'2-3 引出列表'!$A$1:$CD$1,0)),""))</f>
        <v>0</v>
      </c>
    </row>
    <row r="87" spans="1:9">
      <c r="A87">
        <v>86</v>
      </c>
      <c r="B87" t="str">
        <f>IF(ISBLANK(IFERROR(INDEX('2-3 引出列表'!$A$2:$CE$8700,$A87,MATCH(B$1,'2-3 引出列表'!$A$1:$CD$1,0)),"")),"",IFERROR(INDEX('2-3 引出列表'!$A$2:$CE$8700,$A87,MATCH(B$1,'2-3 引出列表'!$A$1:$CD$1,0)),""))</f>
        <v>FK250117001239</v>
      </c>
      <c r="C87">
        <f>IF(ISBLANK(IFERROR(INDEX('2-3 引出列表'!$A$2:$CE$8700,$A87,MATCH(C$1,'2-3 引出列表'!$A$1:$CD$1,0)),"")),"",IFERROR(INDEX('2-3 引出列表'!$A$2:$CE$8700,$A87,MATCH(C$1,'2-3 引出列表'!$A$1:$CD$1,0)),""))</f>
        <v>27120</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2025-02-14</v>
      </c>
      <c r="F87" s="30" t="str">
        <f t="shared" si="1"/>
        <v>2025-02</v>
      </c>
      <c r="G87" t="str">
        <f>IF(ISBLANK(IFERROR(INDEX('2-3 引出列表'!$A$2:$CE$8700,$A87,MATCH(G$1,'2-3 引出列表'!$A$1:$CD$1,0)),"")),"",IFERROR(INDEX('2-3 引出列表'!$A$2:$CE$8700,$A87,MATCH(G$1,'2-3 引出列表'!$A$1:$CD$1,0)),""))</f>
        <v>外包服务费.工程施工外包</v>
      </c>
      <c r="H87" t="str">
        <f>IF(ISBLANK(IFERROR(INDEX('2-3 引出列表'!$A$2:$CE$8700,$A87,MATCH(H$1,'2-3 引出列表'!$A$1:$CD$1,0)),"")),"",IFERROR(INDEX('2-3 引出列表'!$A$2:$CE$8700,$A87,MATCH(H$1,'2-3 引出列表'!$A$1:$CD$1,0)),""))</f>
        <v>GCFW-Z-2024-8900</v>
      </c>
      <c r="I87" t="str">
        <f>IF(ISBLANK(IFERROR(INDEX('2-3 引出列表'!$A$2:$CE$8700,$A87,MATCH(I$1,'2-3 引出列表'!$A$1:$CD$1,0)),"")),"",IFERROR(INDEX('2-3 引出列表'!$A$2:$CE$8700,$A87,MATCH(I$1,'2-3 引出列表'!$A$1:$CD$1,0)),""))</f>
        <v>金采易购</v>
      </c>
    </row>
    <row r="88" spans="1:9">
      <c r="A88">
        <v>87</v>
      </c>
      <c r="B88">
        <f>IF(ISBLANK(IFERROR(INDEX('2-3 引出列表'!$A$2:$CE$8700,$A88,MATCH(B$1,'2-3 引出列表'!$A$1:$CD$1,0)),"")),"",IFERROR(INDEX('2-3 引出列表'!$A$2:$CE$8700,$A88,MATCH(B$1,'2-3 引出列表'!$A$1:$CD$1,0)),""))</f>
        <v>0</v>
      </c>
      <c r="C88">
        <f>IF(ISBLANK(IFERROR(INDEX('2-3 引出列表'!$A$2:$CE$8700,$A88,MATCH(C$1,'2-3 引出列表'!$A$1:$CD$1,0)),"")),"",IFERROR(INDEX('2-3 引出列表'!$A$2:$CE$8700,$A88,MATCH(C$1,'2-3 引出列表'!$A$1:$CD$1,0)),""))</f>
        <v>87050</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2025-02-14</v>
      </c>
      <c r="F88" s="30" t="str">
        <f t="shared" si="1"/>
        <v>2025-02</v>
      </c>
      <c r="G88" t="str">
        <f>IF(ISBLANK(IFERROR(INDEX('2-3 引出列表'!$A$2:$CE$8700,$A88,MATCH(G$1,'2-3 引出列表'!$A$1:$CD$1,0)),"")),"",IFERROR(INDEX('2-3 引出列表'!$A$2:$CE$8700,$A88,MATCH(G$1,'2-3 引出列表'!$A$1:$CD$1,0)),""))</f>
        <v>人工费用.节日及餐费福利</v>
      </c>
      <c r="H88">
        <f>IF(ISBLANK(IFERROR(INDEX('2-3 引出列表'!$A$2:$CE$8700,$A88,MATCH(H$1,'2-3 引出列表'!$A$1:$CD$1,0)),"")),"",IFERROR(INDEX('2-3 引出列表'!$A$2:$CE$8700,$A88,MATCH(H$1,'2-3 引出列表'!$A$1:$CD$1,0)),""))</f>
        <v>0</v>
      </c>
      <c r="I88">
        <f>IF(ISBLANK(IFERROR(INDEX('2-3 引出列表'!$A$2:$CE$8700,$A88,MATCH(I$1,'2-3 引出列表'!$A$1:$CD$1,0)),"")),"",IFERROR(INDEX('2-3 引出列表'!$A$2:$CE$8700,$A88,MATCH(I$1,'2-3 引出列表'!$A$1:$CD$1,0)),""))</f>
        <v>0</v>
      </c>
    </row>
    <row r="89" spans="1:9">
      <c r="A89">
        <v>88</v>
      </c>
      <c r="B89">
        <f>IF(ISBLANK(IFERROR(INDEX('2-3 引出列表'!$A$2:$CE$8700,$A89,MATCH(B$1,'2-3 引出列表'!$A$1:$CD$1,0)),"")),"",IFERROR(INDEX('2-3 引出列表'!$A$2:$CE$8700,$A89,MATCH(B$1,'2-3 引出列表'!$A$1:$CD$1,0)),""))</f>
        <v>0</v>
      </c>
      <c r="C89">
        <f>IF(ISBLANK(IFERROR(INDEX('2-3 引出列表'!$A$2:$CE$8700,$A89,MATCH(C$1,'2-3 引出列表'!$A$1:$CD$1,0)),"")),"",IFERROR(INDEX('2-3 引出列表'!$A$2:$CE$8700,$A89,MATCH(C$1,'2-3 引出列表'!$A$1:$CD$1,0)),""))</f>
        <v>25000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2025-02-14</v>
      </c>
      <c r="F89" s="30" t="str">
        <f t="shared" si="1"/>
        <v>2025-02</v>
      </c>
      <c r="G89" t="str">
        <f>IF(ISBLANK(IFERROR(INDEX('2-3 引出列表'!$A$2:$CE$8700,$A89,MATCH(G$1,'2-3 引出列表'!$A$1:$CD$1,0)),"")),"",IFERROR(INDEX('2-3 引出列表'!$A$2:$CE$8700,$A89,MATCH(G$1,'2-3 引出列表'!$A$1:$CD$1,0)),""))</f>
        <v>业务活动.业务招待费</v>
      </c>
      <c r="H89">
        <f>IF(ISBLANK(IFERROR(INDEX('2-3 引出列表'!$A$2:$CE$8700,$A89,MATCH(H$1,'2-3 引出列表'!$A$1:$CD$1,0)),"")),"",IFERROR(INDEX('2-3 引出列表'!$A$2:$CE$8700,$A89,MATCH(H$1,'2-3 引出列表'!$A$1:$CD$1,0)),""))</f>
        <v>0</v>
      </c>
      <c r="I89">
        <f>IF(ISBLANK(IFERROR(INDEX('2-3 引出列表'!$A$2:$CE$8700,$A89,MATCH(I$1,'2-3 引出列表'!$A$1:$CD$1,0)),"")),"",IFERROR(INDEX('2-3 引出列表'!$A$2:$CE$8700,$A89,MATCH(I$1,'2-3 引出列表'!$A$1:$CD$1,0)),""))</f>
        <v>0</v>
      </c>
    </row>
    <row r="90" spans="1:9">
      <c r="A90">
        <v>89</v>
      </c>
      <c r="B90">
        <f>IF(ISBLANK(IFERROR(INDEX('2-3 引出列表'!$A$2:$CE$8700,$A90,MATCH(B$1,'2-3 引出列表'!$A$1:$CD$1,0)),"")),"",IFERROR(INDEX('2-3 引出列表'!$A$2:$CE$8700,$A90,MATCH(B$1,'2-3 引出列表'!$A$1:$CD$1,0)),""))</f>
        <v>0</v>
      </c>
      <c r="C90">
        <f>IF(ISBLANK(IFERROR(INDEX('2-3 引出列表'!$A$2:$CE$8700,$A90,MATCH(C$1,'2-3 引出列表'!$A$1:$CD$1,0)),"")),"",IFERROR(INDEX('2-3 引出列表'!$A$2:$CE$8700,$A90,MATCH(C$1,'2-3 引出列表'!$A$1:$CD$1,0)),""))</f>
        <v>1400</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2025-06-13</v>
      </c>
      <c r="F90" s="30" t="str">
        <f t="shared" si="1"/>
        <v>2025-06</v>
      </c>
      <c r="G90" t="str">
        <f>IF(ISBLANK(IFERROR(INDEX('2-3 引出列表'!$A$2:$CE$8700,$A90,MATCH(G$1,'2-3 引出列表'!$A$1:$CD$1,0)),"")),"",IFERROR(INDEX('2-3 引出列表'!$A$2:$CE$8700,$A90,MATCH(G$1,'2-3 引出列表'!$A$1:$CD$1,0)),""))</f>
        <v>人工费用.宿舍费</v>
      </c>
      <c r="H90" t="str">
        <f>IF(ISBLANK(IFERROR(INDEX('2-3 引出列表'!$A$2:$CE$8700,$A90,MATCH(H$1,'2-3 引出列表'!$A$1:$CD$1,0)),"")),"",IFERROR(INDEX('2-3 引出列表'!$A$2:$CE$8700,$A90,MATCH(H$1,'2-3 引出列表'!$A$1:$CD$1,0)),""))</f>
        <v>FWL-Z-2025-00233</v>
      </c>
      <c r="I90">
        <f>IF(ISBLANK(IFERROR(INDEX('2-3 引出列表'!$A$2:$CE$8700,$A90,MATCH(I$1,'2-3 引出列表'!$A$1:$CD$1,0)),"")),"",IFERROR(INDEX('2-3 引出列表'!$A$2:$CE$8700,$A90,MATCH(I$1,'2-3 引出列表'!$A$1:$CD$1,0)),""))</f>
        <v>0</v>
      </c>
    </row>
    <row r="91" spans="1:9">
      <c r="A91">
        <v>90</v>
      </c>
      <c r="B91">
        <f>IF(ISBLANK(IFERROR(INDEX('2-3 引出列表'!$A$2:$CE$8700,$A91,MATCH(B$1,'2-3 引出列表'!$A$1:$CD$1,0)),"")),"",IFERROR(INDEX('2-3 引出列表'!$A$2:$CE$8700,$A91,MATCH(B$1,'2-3 引出列表'!$A$1:$CD$1,0)),""))</f>
        <v>0</v>
      </c>
      <c r="C91">
        <f>IF(ISBLANK(IFERROR(INDEX('2-3 引出列表'!$A$2:$CE$8700,$A91,MATCH(C$1,'2-3 引出列表'!$A$1:$CD$1,0)),"")),"",IFERROR(INDEX('2-3 引出列表'!$A$2:$CE$8700,$A91,MATCH(C$1,'2-3 引出列表'!$A$1:$CD$1,0)),""))</f>
        <v>2476.06</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2025-06-13</v>
      </c>
      <c r="F91" s="30" t="str">
        <f t="shared" si="1"/>
        <v>2025-06</v>
      </c>
      <c r="G91" t="str">
        <f>IF(ISBLANK(IFERROR(INDEX('2-3 引出列表'!$A$2:$CE$8700,$A91,MATCH(G$1,'2-3 引出列表'!$A$1:$CD$1,0)),"")),"",IFERROR(INDEX('2-3 引出列表'!$A$2:$CE$8700,$A91,MATCH(G$1,'2-3 引出列表'!$A$1:$CD$1,0)),""))</f>
        <v>业务活动.市内交通费</v>
      </c>
      <c r="H91">
        <f>IF(ISBLANK(IFERROR(INDEX('2-3 引出列表'!$A$2:$CE$8700,$A91,MATCH(H$1,'2-3 引出列表'!$A$1:$CD$1,0)),"")),"",IFERROR(INDEX('2-3 引出列表'!$A$2:$CE$8700,$A91,MATCH(H$1,'2-3 引出列表'!$A$1:$CD$1,0)),""))</f>
        <v>0</v>
      </c>
      <c r="I91">
        <f>IF(ISBLANK(IFERROR(INDEX('2-3 引出列表'!$A$2:$CE$8700,$A91,MATCH(I$1,'2-3 引出列表'!$A$1:$CD$1,0)),"")),"",IFERROR(INDEX('2-3 引出列表'!$A$2:$CE$8700,$A91,MATCH(I$1,'2-3 引出列表'!$A$1:$CD$1,0)),""))</f>
        <v>0</v>
      </c>
    </row>
    <row r="92" spans="1:9">
      <c r="A92">
        <v>91</v>
      </c>
      <c r="B92">
        <f>IF(ISBLANK(IFERROR(INDEX('2-3 引出列表'!$A$2:$CE$8700,$A92,MATCH(B$1,'2-3 引出列表'!$A$1:$CD$1,0)),"")),"",IFERROR(INDEX('2-3 引出列表'!$A$2:$CE$8700,$A92,MATCH(B$1,'2-3 引出列表'!$A$1:$CD$1,0)),""))</f>
        <v>0</v>
      </c>
      <c r="C92">
        <f>IF(ISBLANK(IFERROR(INDEX('2-3 引出列表'!$A$2:$CE$8700,$A92,MATCH(C$1,'2-3 引出列表'!$A$1:$CD$1,0)),"")),"",IFERROR(INDEX('2-3 引出列表'!$A$2:$CE$8700,$A92,MATCH(C$1,'2-3 引出列表'!$A$1:$CD$1,0)),""))</f>
        <v>17900</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2025-06-13</v>
      </c>
      <c r="F92" s="30" t="str">
        <f t="shared" si="1"/>
        <v>2025-06</v>
      </c>
      <c r="G92" t="str">
        <f>IF(ISBLANK(IFERROR(INDEX('2-3 引出列表'!$A$2:$CE$8700,$A92,MATCH(G$1,'2-3 引出列表'!$A$1:$CD$1,0)),"")),"",IFERROR(INDEX('2-3 引出列表'!$A$2:$CE$8700,$A92,MATCH(G$1,'2-3 引出列表'!$A$1:$CD$1,0)),""))</f>
        <v>人工费用.商业保险费</v>
      </c>
      <c r="H92">
        <f>IF(ISBLANK(IFERROR(INDEX('2-3 引出列表'!$A$2:$CE$8700,$A92,MATCH(H$1,'2-3 引出列表'!$A$1:$CD$1,0)),"")),"",IFERROR(INDEX('2-3 引出列表'!$A$2:$CE$8700,$A92,MATCH(H$1,'2-3 引出列表'!$A$1:$CD$1,0)),""))</f>
        <v>0</v>
      </c>
      <c r="I92">
        <f>IF(ISBLANK(IFERROR(INDEX('2-3 引出列表'!$A$2:$CE$8700,$A92,MATCH(I$1,'2-3 引出列表'!$A$1:$CD$1,0)),"")),"",IFERROR(INDEX('2-3 引出列表'!$A$2:$CE$8700,$A92,MATCH(I$1,'2-3 引出列表'!$A$1:$CD$1,0)),""))</f>
        <v>0</v>
      </c>
    </row>
    <row r="93" spans="1:9">
      <c r="A93">
        <v>92</v>
      </c>
      <c r="B93" t="str">
        <f>IF(ISBLANK(IFERROR(INDEX('2-3 引出列表'!$A$2:$CE$8700,$A93,MATCH(B$1,'2-3 引出列表'!$A$1:$CD$1,0)),"")),"",IFERROR(INDEX('2-3 引出列表'!$A$2:$CE$8700,$A93,MATCH(B$1,'2-3 引出列表'!$A$1:$CD$1,0)),""))</f>
        <v>FK250512001222</v>
      </c>
      <c r="C93">
        <f>IF(ISBLANK(IFERROR(INDEX('2-3 引出列表'!$A$2:$CE$8700,$A93,MATCH(C$1,'2-3 引出列表'!$A$1:$CD$1,0)),"")),"",IFERROR(INDEX('2-3 引出列表'!$A$2:$CE$8700,$A93,MATCH(C$1,'2-3 引出列表'!$A$1:$CD$1,0)),""))</f>
        <v>24495</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2025-06-13</v>
      </c>
      <c r="F93" s="30" t="str">
        <f t="shared" si="1"/>
        <v>2025-06</v>
      </c>
      <c r="G93" t="str">
        <f>IF(ISBLANK(IFERROR(INDEX('2-3 引出列表'!$A$2:$CE$8700,$A93,MATCH(G$1,'2-3 引出列表'!$A$1:$CD$1,0)),"")),"",IFERROR(INDEX('2-3 引出列表'!$A$2:$CE$8700,$A93,MATCH(G$1,'2-3 引出列表'!$A$1:$CD$1,0)),""))</f>
        <v>外包服务费.工程施工外包</v>
      </c>
      <c r="H93" t="str">
        <f>IF(ISBLANK(IFERROR(INDEX('2-3 引出列表'!$A$2:$CE$8700,$A93,MATCH(H$1,'2-3 引出列表'!$A$1:$CD$1,0)),"")),"",IFERROR(INDEX('2-3 引出列表'!$A$2:$CE$8700,$A93,MATCH(H$1,'2-3 引出列表'!$A$1:$CD$1,0)),""))</f>
        <v>GCFW-Z-2024-9707</v>
      </c>
      <c r="I93" t="str">
        <f>IF(ISBLANK(IFERROR(INDEX('2-3 引出列表'!$A$2:$CE$8700,$A93,MATCH(I$1,'2-3 引出列表'!$A$1:$CD$1,0)),"")),"",IFERROR(INDEX('2-3 引出列表'!$A$2:$CE$8700,$A93,MATCH(I$1,'2-3 引出列表'!$A$1:$CD$1,0)),""))</f>
        <v>金采易购</v>
      </c>
    </row>
    <row r="94" spans="1:9">
      <c r="A94">
        <v>93</v>
      </c>
      <c r="B94" t="str">
        <f>IF(ISBLANK(IFERROR(INDEX('2-3 引出列表'!$A$2:$CE$8700,$A94,MATCH(B$1,'2-3 引出列表'!$A$1:$CD$1,0)),"")),"",IFERROR(INDEX('2-3 引出列表'!$A$2:$CE$8700,$A94,MATCH(B$1,'2-3 引出列表'!$A$1:$CD$1,0)),""))</f>
        <v>FK250509000505</v>
      </c>
      <c r="C94">
        <f>IF(ISBLANK(IFERROR(INDEX('2-3 引出列表'!$A$2:$CE$8700,$A94,MATCH(C$1,'2-3 引出列表'!$A$1:$CD$1,0)),"")),"",IFERROR(INDEX('2-3 引出列表'!$A$2:$CE$8700,$A94,MATCH(C$1,'2-3 引出列表'!$A$1:$CD$1,0)),""))</f>
        <v>25971</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2025-06-13</v>
      </c>
      <c r="F94" s="30" t="str">
        <f t="shared" si="1"/>
        <v>2025-06</v>
      </c>
      <c r="G94" t="str">
        <f>IF(ISBLANK(IFERROR(INDEX('2-3 引出列表'!$A$2:$CE$8700,$A94,MATCH(G$1,'2-3 引出列表'!$A$1:$CD$1,0)),"")),"",IFERROR(INDEX('2-3 引出列表'!$A$2:$CE$8700,$A94,MATCH(G$1,'2-3 引出列表'!$A$1:$CD$1,0)),""))</f>
        <v>外包服务费.其他外包费</v>
      </c>
      <c r="H94" t="str">
        <f>IF(ISBLANK(IFERROR(INDEX('2-3 引出列表'!$A$2:$CE$8700,$A94,MATCH(H$1,'2-3 引出列表'!$A$1:$CD$1,0)),"")),"",IFERROR(INDEX('2-3 引出列表'!$A$2:$CE$8700,$A94,MATCH(H$1,'2-3 引出列表'!$A$1:$CD$1,0)),""))</f>
        <v>QTFW-Z-2023-0486</v>
      </c>
      <c r="I94" t="str">
        <f>IF(ISBLANK(IFERROR(INDEX('2-3 引出列表'!$A$2:$CE$8700,$A94,MATCH(I$1,'2-3 引出列表'!$A$1:$CD$1,0)),"")),"",IFERROR(INDEX('2-3 引出列表'!$A$2:$CE$8700,$A94,MATCH(I$1,'2-3 引出列表'!$A$1:$CD$1,0)),""))</f>
        <v>金采易购</v>
      </c>
    </row>
    <row r="95" spans="1:9">
      <c r="A95">
        <v>94</v>
      </c>
      <c r="B95">
        <f>IF(ISBLANK(IFERROR(INDEX('2-3 引出列表'!$A$2:$CE$8700,$A95,MATCH(B$1,'2-3 引出列表'!$A$1:$CD$1,0)),"")),"",IFERROR(INDEX('2-3 引出列表'!$A$2:$CE$8700,$A95,MATCH(B$1,'2-3 引出列表'!$A$1:$CD$1,0)),""))</f>
        <v>0</v>
      </c>
      <c r="C95">
        <f>IF(ISBLANK(IFERROR(INDEX('2-3 引出列表'!$A$2:$CE$8700,$A95,MATCH(C$1,'2-3 引出列表'!$A$1:$CD$1,0)),"")),"",IFERROR(INDEX('2-3 引出列表'!$A$2:$CE$8700,$A95,MATCH(C$1,'2-3 引出列表'!$A$1:$CD$1,0)),""))</f>
        <v>40980</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2025-06-13</v>
      </c>
      <c r="F95" s="30" t="str">
        <f t="shared" si="1"/>
        <v>2025-06</v>
      </c>
      <c r="G95" t="str">
        <f>IF(ISBLANK(IFERROR(INDEX('2-3 引出列表'!$A$2:$CE$8700,$A95,MATCH(G$1,'2-3 引出列表'!$A$1:$CD$1,0)),"")),"",IFERROR(INDEX('2-3 引出列表'!$A$2:$CE$8700,$A95,MATCH(G$1,'2-3 引出列表'!$A$1:$CD$1,0)),""))</f>
        <v>人工费用.宿舍费</v>
      </c>
      <c r="H95" t="str">
        <f>IF(ISBLANK(IFERROR(INDEX('2-3 引出列表'!$A$2:$CE$8700,$A95,MATCH(H$1,'2-3 引出列表'!$A$1:$CD$1,0)),"")),"",IFERROR(INDEX('2-3 引出列表'!$A$2:$CE$8700,$A95,MATCH(H$1,'2-3 引出列表'!$A$1:$CD$1,0)),""))</f>
        <v>FWL-Z-2025-00136</v>
      </c>
      <c r="I95">
        <f>IF(ISBLANK(IFERROR(INDEX('2-3 引出列表'!$A$2:$CE$8700,$A95,MATCH(I$1,'2-3 引出列表'!$A$1:$CD$1,0)),"")),"",IFERROR(INDEX('2-3 引出列表'!$A$2:$CE$8700,$A95,MATCH(I$1,'2-3 引出列表'!$A$1:$CD$1,0)),""))</f>
        <v>0</v>
      </c>
    </row>
    <row r="96" spans="1:9">
      <c r="A96">
        <v>95</v>
      </c>
      <c r="B96">
        <f>IF(ISBLANK(IFERROR(INDEX('2-3 引出列表'!$A$2:$CE$8700,$A96,MATCH(B$1,'2-3 引出列表'!$A$1:$CD$1,0)),"")),"",IFERROR(INDEX('2-3 引出列表'!$A$2:$CE$8700,$A96,MATCH(B$1,'2-3 引出列表'!$A$1:$CD$1,0)),""))</f>
        <v>0</v>
      </c>
      <c r="C96">
        <f>IF(ISBLANK(IFERROR(INDEX('2-3 引出列表'!$A$2:$CE$8700,$A96,MATCH(C$1,'2-3 引出列表'!$A$1:$CD$1,0)),"")),"",IFERROR(INDEX('2-3 引出列表'!$A$2:$CE$8700,$A96,MATCH(C$1,'2-3 引出列表'!$A$1:$CD$1,0)),""))</f>
        <v>4517</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2025-06-13</v>
      </c>
      <c r="F96" s="30" t="str">
        <f t="shared" si="1"/>
        <v>2025-06</v>
      </c>
      <c r="G96" t="str">
        <f>IF(ISBLANK(IFERROR(INDEX('2-3 引出列表'!$A$2:$CE$8700,$A96,MATCH(G$1,'2-3 引出列表'!$A$1:$CD$1,0)),"")),"",IFERROR(INDEX('2-3 引出列表'!$A$2:$CE$8700,$A96,MATCH(G$1,'2-3 引出列表'!$A$1:$CD$1,0)),""))</f>
        <v>业务活动.业务招待费</v>
      </c>
      <c r="H96">
        <f>IF(ISBLANK(IFERROR(INDEX('2-3 引出列表'!$A$2:$CE$8700,$A96,MATCH(H$1,'2-3 引出列表'!$A$1:$CD$1,0)),"")),"",IFERROR(INDEX('2-3 引出列表'!$A$2:$CE$8700,$A96,MATCH(H$1,'2-3 引出列表'!$A$1:$CD$1,0)),""))</f>
        <v>0</v>
      </c>
      <c r="I96">
        <f>IF(ISBLANK(IFERROR(INDEX('2-3 引出列表'!$A$2:$CE$8700,$A96,MATCH(I$1,'2-3 引出列表'!$A$1:$CD$1,0)),"")),"",IFERROR(INDEX('2-3 引出列表'!$A$2:$CE$8700,$A96,MATCH(I$1,'2-3 引出列表'!$A$1:$CD$1,0)),""))</f>
        <v>0</v>
      </c>
    </row>
    <row r="97" spans="1:9">
      <c r="A97">
        <v>96</v>
      </c>
      <c r="B97" t="str">
        <f>IF(ISBLANK(IFERROR(INDEX('2-3 引出列表'!$A$2:$CE$8700,$A97,MATCH(B$1,'2-3 引出列表'!$A$1:$CD$1,0)),"")),"",IFERROR(INDEX('2-3 引出列表'!$A$2:$CE$8700,$A97,MATCH(B$1,'2-3 引出列表'!$A$1:$CD$1,0)),""))</f>
        <v>FK250424000604</v>
      </c>
      <c r="C97">
        <f>IF(ISBLANK(IFERROR(INDEX('2-3 引出列表'!$A$2:$CE$8700,$A97,MATCH(C$1,'2-3 引出列表'!$A$1:$CD$1,0)),"")),"",IFERROR(INDEX('2-3 引出列表'!$A$2:$CE$8700,$A97,MATCH(C$1,'2-3 引出列表'!$A$1:$CD$1,0)),""))</f>
        <v>51670.06</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2025-06-13</v>
      </c>
      <c r="F97" s="30" t="str">
        <f t="shared" si="1"/>
        <v>2025-06</v>
      </c>
      <c r="G97" t="str">
        <f>IF(ISBLANK(IFERROR(INDEX('2-3 引出列表'!$A$2:$CE$8700,$A97,MATCH(G$1,'2-3 引出列表'!$A$1:$CD$1,0)),"")),"",IFERROR(INDEX('2-3 引出列表'!$A$2:$CE$8700,$A97,MATCH(G$1,'2-3 引出列表'!$A$1:$CD$1,0)),""))</f>
        <v>外包服务费.工程施工外包</v>
      </c>
      <c r="H97" t="str">
        <f>IF(ISBLANK(IFERROR(INDEX('2-3 引出列表'!$A$2:$CE$8700,$A97,MATCH(H$1,'2-3 引出列表'!$A$1:$CD$1,0)),"")),"",IFERROR(INDEX('2-3 引出列表'!$A$2:$CE$8700,$A97,MATCH(H$1,'2-3 引出列表'!$A$1:$CD$1,0)),""))</f>
        <v>GCFW-Z-2023-2791</v>
      </c>
      <c r="I97" t="str">
        <f>IF(ISBLANK(IFERROR(INDEX('2-3 引出列表'!$A$2:$CE$8700,$A97,MATCH(I$1,'2-3 引出列表'!$A$1:$CD$1,0)),"")),"",IFERROR(INDEX('2-3 引出列表'!$A$2:$CE$8700,$A97,MATCH(I$1,'2-3 引出列表'!$A$1:$CD$1,0)),""))</f>
        <v>金采易购</v>
      </c>
    </row>
    <row r="98" spans="1:9">
      <c r="A98">
        <v>97</v>
      </c>
      <c r="B98" t="str">
        <f>IF(ISBLANK(IFERROR(INDEX('2-3 引出列表'!$A$2:$CE$8700,$A98,MATCH(B$1,'2-3 引出列表'!$A$1:$CD$1,0)),"")),"",IFERROR(INDEX('2-3 引出列表'!$A$2:$CE$8700,$A98,MATCH(B$1,'2-3 引出列表'!$A$1:$CD$1,0)),""))</f>
        <v>FK250325000011</v>
      </c>
      <c r="C98">
        <f>IF(ISBLANK(IFERROR(INDEX('2-3 引出列表'!$A$2:$CE$8700,$A98,MATCH(C$1,'2-3 引出列表'!$A$1:$CD$1,0)),"")),"",IFERROR(INDEX('2-3 引出列表'!$A$2:$CE$8700,$A98,MATCH(C$1,'2-3 引出列表'!$A$1:$CD$1,0)),""))</f>
        <v>71420</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2025-06-13</v>
      </c>
      <c r="F98" s="30" t="str">
        <f t="shared" si="1"/>
        <v>2025-06</v>
      </c>
      <c r="G98" t="str">
        <f>IF(ISBLANK(IFERROR(INDEX('2-3 引出列表'!$A$2:$CE$8700,$A98,MATCH(G$1,'2-3 引出列表'!$A$1:$CD$1,0)),"")),"",IFERROR(INDEX('2-3 引出列表'!$A$2:$CE$8700,$A98,MATCH(G$1,'2-3 引出列表'!$A$1:$CD$1,0)),""))</f>
        <v>物料消耗.物料消耗</v>
      </c>
      <c r="H98">
        <f>IF(ISBLANK(IFERROR(INDEX('2-3 引出列表'!$A$2:$CE$8700,$A98,MATCH(H$1,'2-3 引出列表'!$A$1:$CD$1,0)),"")),"",IFERROR(INDEX('2-3 引出列表'!$A$2:$CE$8700,$A98,MATCH(H$1,'2-3 引出列表'!$A$1:$CD$1,0)),""))</f>
        <v>0</v>
      </c>
      <c r="I98" t="str">
        <f>IF(ISBLANK(IFERROR(INDEX('2-3 引出列表'!$A$2:$CE$8700,$A98,MATCH(I$1,'2-3 引出列表'!$A$1:$CD$1,0)),"")),"",IFERROR(INDEX('2-3 引出列表'!$A$2:$CE$8700,$A98,MATCH(I$1,'2-3 引出列表'!$A$1:$CD$1,0)),""))</f>
        <v>金采易购</v>
      </c>
    </row>
    <row r="99" spans="1:9">
      <c r="A99">
        <v>98</v>
      </c>
      <c r="B99" t="str">
        <f>IF(ISBLANK(IFERROR(INDEX('2-3 引出列表'!$A$2:$CE$8700,$A99,MATCH(B$1,'2-3 引出列表'!$A$1:$CD$1,0)),"")),"",IFERROR(INDEX('2-3 引出列表'!$A$2:$CE$8700,$A99,MATCH(B$1,'2-3 引出列表'!$A$1:$CD$1,0)),""))</f>
        <v>FK250325000011</v>
      </c>
      <c r="C99">
        <f>IF(ISBLANK(IFERROR(INDEX('2-3 引出列表'!$A$2:$CE$8700,$A99,MATCH(C$1,'2-3 引出列表'!$A$1:$CD$1,0)),"")),"",IFERROR(INDEX('2-3 引出列表'!$A$2:$CE$8700,$A99,MATCH(C$1,'2-3 引出列表'!$A$1:$CD$1,0)),""))</f>
        <v>71420</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2025-06-13</v>
      </c>
      <c r="F99" s="30" t="str">
        <f t="shared" si="1"/>
        <v>2025-06</v>
      </c>
      <c r="G99" t="str">
        <f>IF(ISBLANK(IFERROR(INDEX('2-3 引出列表'!$A$2:$CE$8700,$A99,MATCH(G$1,'2-3 引出列表'!$A$1:$CD$1,0)),"")),"",IFERROR(INDEX('2-3 引出列表'!$A$2:$CE$8700,$A99,MATCH(G$1,'2-3 引出列表'!$A$1:$CD$1,0)),""))</f>
        <v>物料消耗.物料消耗</v>
      </c>
      <c r="H99">
        <f>IF(ISBLANK(IFERROR(INDEX('2-3 引出列表'!$A$2:$CE$8700,$A99,MATCH(H$1,'2-3 引出列表'!$A$1:$CD$1,0)),"")),"",IFERROR(INDEX('2-3 引出列表'!$A$2:$CE$8700,$A99,MATCH(H$1,'2-3 引出列表'!$A$1:$CD$1,0)),""))</f>
        <v>0</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FK250325000011</v>
      </c>
      <c r="C100">
        <f>IF(ISBLANK(IFERROR(INDEX('2-3 引出列表'!$A$2:$CE$8700,$A100,MATCH(C$1,'2-3 引出列表'!$A$1:$CD$1,0)),"")),"",IFERROR(INDEX('2-3 引出列表'!$A$2:$CE$8700,$A100,MATCH(C$1,'2-3 引出列表'!$A$1:$CD$1,0)),""))</f>
        <v>71420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2025-06-13</v>
      </c>
      <c r="F100" s="30" t="str">
        <f t="shared" si="1"/>
        <v>2025-06</v>
      </c>
      <c r="G100" t="str">
        <f>IF(ISBLANK(IFERROR(INDEX('2-3 引出列表'!$A$2:$CE$8700,$A100,MATCH(G$1,'2-3 引出列表'!$A$1:$CD$1,0)),"")),"",IFERROR(INDEX('2-3 引出列表'!$A$2:$CE$8700,$A100,MATCH(G$1,'2-3 引出列表'!$A$1:$CD$1,0)),""))</f>
        <v>物料消耗.物料消耗</v>
      </c>
      <c r="H100">
        <f>IF(ISBLANK(IFERROR(INDEX('2-3 引出列表'!$A$2:$CE$8700,$A100,MATCH(H$1,'2-3 引出列表'!$A$1:$CD$1,0)),"")),"",IFERROR(INDEX('2-3 引出列表'!$A$2:$CE$8700,$A100,MATCH(H$1,'2-3 引出列表'!$A$1:$CD$1,0)),""))</f>
        <v>0</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FK250325000011</v>
      </c>
      <c r="C101">
        <f>IF(ISBLANK(IFERROR(INDEX('2-3 引出列表'!$A$2:$CE$8700,$A101,MATCH(C$1,'2-3 引出列表'!$A$1:$CD$1,0)),"")),"",IFERROR(INDEX('2-3 引出列表'!$A$2:$CE$8700,$A101,MATCH(C$1,'2-3 引出列表'!$A$1:$CD$1,0)),""))</f>
        <v>71420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2025-06-13</v>
      </c>
      <c r="F101" s="30" t="str">
        <f t="shared" si="1"/>
        <v>2025-06</v>
      </c>
      <c r="G101" t="str">
        <f>IF(ISBLANK(IFERROR(INDEX('2-3 引出列表'!$A$2:$CE$8700,$A101,MATCH(G$1,'2-3 引出列表'!$A$1:$CD$1,0)),"")),"",IFERROR(INDEX('2-3 引出列表'!$A$2:$CE$8700,$A101,MATCH(G$1,'2-3 引出列表'!$A$1:$CD$1,0)),""))</f>
        <v>物料消耗.物料消耗</v>
      </c>
      <c r="H101">
        <f>IF(ISBLANK(IFERROR(INDEX('2-3 引出列表'!$A$2:$CE$8700,$A101,MATCH(H$1,'2-3 引出列表'!$A$1:$CD$1,0)),"")),"",IFERROR(INDEX('2-3 引出列表'!$A$2:$CE$8700,$A101,MATCH(H$1,'2-3 引出列表'!$A$1:$CD$1,0)),""))</f>
        <v>0</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FK250325000011</v>
      </c>
      <c r="C102">
        <f>IF(ISBLANK(IFERROR(INDEX('2-3 引出列表'!$A$2:$CE$8700,$A102,MATCH(C$1,'2-3 引出列表'!$A$1:$CD$1,0)),"")),"",IFERROR(INDEX('2-3 引出列表'!$A$2:$CE$8700,$A102,MATCH(C$1,'2-3 引出列表'!$A$1:$CD$1,0)),""))</f>
        <v>71420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2025-06-13</v>
      </c>
      <c r="F102" s="30" t="str">
        <f t="shared" si="1"/>
        <v>2025-06</v>
      </c>
      <c r="G102" t="str">
        <f>IF(ISBLANK(IFERROR(INDEX('2-3 引出列表'!$A$2:$CE$8700,$A102,MATCH(G$1,'2-3 引出列表'!$A$1:$CD$1,0)),"")),"",IFERROR(INDEX('2-3 引出列表'!$A$2:$CE$8700,$A102,MATCH(G$1,'2-3 引出列表'!$A$1:$CD$1,0)),""))</f>
        <v>物料消耗.物料消耗</v>
      </c>
      <c r="H102">
        <f>IF(ISBLANK(IFERROR(INDEX('2-3 引出列表'!$A$2:$CE$8700,$A102,MATCH(H$1,'2-3 引出列表'!$A$1:$CD$1,0)),"")),"",IFERROR(INDEX('2-3 引出列表'!$A$2:$CE$8700,$A102,MATCH(H$1,'2-3 引出列表'!$A$1:$CD$1,0)),""))</f>
        <v>0</v>
      </c>
      <c r="I102" t="str">
        <f>IF(ISBLANK(IFERROR(INDEX('2-3 引出列表'!$A$2:$CE$8700,$A102,MATCH(I$1,'2-3 引出列表'!$A$1:$CD$1,0)),"")),"",IFERROR(INDEX('2-3 引出列表'!$A$2:$CE$8700,$A102,MATCH(I$1,'2-3 引出列表'!$A$1:$CD$1,0)),""))</f>
        <v>金采易购</v>
      </c>
    </row>
    <row r="103" spans="1:9">
      <c r="A103">
        <v>102</v>
      </c>
      <c r="B103" t="str">
        <f>IF(ISBLANK(IFERROR(INDEX('2-3 引出列表'!$A$2:$CE$8700,$A103,MATCH(B$1,'2-3 引出列表'!$A$1:$CD$1,0)),"")),"",IFERROR(INDEX('2-3 引出列表'!$A$2:$CE$8700,$A103,MATCH(B$1,'2-3 引出列表'!$A$1:$CD$1,0)),""))</f>
        <v>FK250325000011</v>
      </c>
      <c r="C103">
        <f>IF(ISBLANK(IFERROR(INDEX('2-3 引出列表'!$A$2:$CE$8700,$A103,MATCH(C$1,'2-3 引出列表'!$A$1:$CD$1,0)),"")),"",IFERROR(INDEX('2-3 引出列表'!$A$2:$CE$8700,$A103,MATCH(C$1,'2-3 引出列表'!$A$1:$CD$1,0)),""))</f>
        <v>71420</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2025-06-13</v>
      </c>
      <c r="F103" s="30" t="str">
        <f t="shared" si="1"/>
        <v>2025-06</v>
      </c>
      <c r="G103" t="str">
        <f>IF(ISBLANK(IFERROR(INDEX('2-3 引出列表'!$A$2:$CE$8700,$A103,MATCH(G$1,'2-3 引出列表'!$A$1:$CD$1,0)),"")),"",IFERROR(INDEX('2-3 引出列表'!$A$2:$CE$8700,$A103,MATCH(G$1,'2-3 引出列表'!$A$1:$CD$1,0)),""))</f>
        <v>物料消耗.物料消耗</v>
      </c>
      <c r="H103">
        <f>IF(ISBLANK(IFERROR(INDEX('2-3 引出列表'!$A$2:$CE$8700,$A103,MATCH(H$1,'2-3 引出列表'!$A$1:$CD$1,0)),"")),"",IFERROR(INDEX('2-3 引出列表'!$A$2:$CE$8700,$A103,MATCH(H$1,'2-3 引出列表'!$A$1:$CD$1,0)),""))</f>
        <v>0</v>
      </c>
      <c r="I103" t="str">
        <f>IF(ISBLANK(IFERROR(INDEX('2-3 引出列表'!$A$2:$CE$8700,$A103,MATCH(I$1,'2-3 引出列表'!$A$1:$CD$1,0)),"")),"",IFERROR(INDEX('2-3 引出列表'!$A$2:$CE$8700,$A103,MATCH(I$1,'2-3 引出列表'!$A$1:$CD$1,0)),""))</f>
        <v>金采易购</v>
      </c>
    </row>
    <row r="104" spans="1:9">
      <c r="A104">
        <v>103</v>
      </c>
      <c r="B104" t="str">
        <f>IF(ISBLANK(IFERROR(INDEX('2-3 引出列表'!$A$2:$CE$8700,$A104,MATCH(B$1,'2-3 引出列表'!$A$1:$CD$1,0)),"")),"",IFERROR(INDEX('2-3 引出列表'!$A$2:$CE$8700,$A104,MATCH(B$1,'2-3 引出列表'!$A$1:$CD$1,0)),""))</f>
        <v>FK250325000011</v>
      </c>
      <c r="C104">
        <f>IF(ISBLANK(IFERROR(INDEX('2-3 引出列表'!$A$2:$CE$8700,$A104,MATCH(C$1,'2-3 引出列表'!$A$1:$CD$1,0)),"")),"",IFERROR(INDEX('2-3 引出列表'!$A$2:$CE$8700,$A104,MATCH(C$1,'2-3 引出列表'!$A$1:$CD$1,0)),""))</f>
        <v>71420</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2025-06-13</v>
      </c>
      <c r="F104" s="30" t="str">
        <f t="shared" si="1"/>
        <v>2025-06</v>
      </c>
      <c r="G104" t="str">
        <f>IF(ISBLANK(IFERROR(INDEX('2-3 引出列表'!$A$2:$CE$8700,$A104,MATCH(G$1,'2-3 引出列表'!$A$1:$CD$1,0)),"")),"",IFERROR(INDEX('2-3 引出列表'!$A$2:$CE$8700,$A104,MATCH(G$1,'2-3 引出列表'!$A$1:$CD$1,0)),""))</f>
        <v>物料消耗.物料消耗</v>
      </c>
      <c r="H104">
        <f>IF(ISBLANK(IFERROR(INDEX('2-3 引出列表'!$A$2:$CE$8700,$A104,MATCH(H$1,'2-3 引出列表'!$A$1:$CD$1,0)),"")),"",IFERROR(INDEX('2-3 引出列表'!$A$2:$CE$8700,$A104,MATCH(H$1,'2-3 引出列表'!$A$1:$CD$1,0)),""))</f>
        <v>0</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FK250325000011</v>
      </c>
      <c r="C105">
        <f>IF(ISBLANK(IFERROR(INDEX('2-3 引出列表'!$A$2:$CE$8700,$A105,MATCH(C$1,'2-3 引出列表'!$A$1:$CD$1,0)),"")),"",IFERROR(INDEX('2-3 引出列表'!$A$2:$CE$8700,$A105,MATCH(C$1,'2-3 引出列表'!$A$1:$CD$1,0)),""))</f>
        <v>71420</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2025-06-13</v>
      </c>
      <c r="F105" s="30" t="str">
        <f t="shared" si="1"/>
        <v>2025-06</v>
      </c>
      <c r="G105" t="str">
        <f>IF(ISBLANK(IFERROR(INDEX('2-3 引出列表'!$A$2:$CE$8700,$A105,MATCH(G$1,'2-3 引出列表'!$A$1:$CD$1,0)),"")),"",IFERROR(INDEX('2-3 引出列表'!$A$2:$CE$8700,$A105,MATCH(G$1,'2-3 引出列表'!$A$1:$CD$1,0)),""))</f>
        <v>物料消耗.物料消耗</v>
      </c>
      <c r="H105">
        <f>IF(ISBLANK(IFERROR(INDEX('2-3 引出列表'!$A$2:$CE$8700,$A105,MATCH(H$1,'2-3 引出列表'!$A$1:$CD$1,0)),"")),"",IFERROR(INDEX('2-3 引出列表'!$A$2:$CE$8700,$A105,MATCH(H$1,'2-3 引出列表'!$A$1:$CD$1,0)),""))</f>
        <v>0</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FK250325000011</v>
      </c>
      <c r="C106">
        <f>IF(ISBLANK(IFERROR(INDEX('2-3 引出列表'!$A$2:$CE$8700,$A106,MATCH(C$1,'2-3 引出列表'!$A$1:$CD$1,0)),"")),"",IFERROR(INDEX('2-3 引出列表'!$A$2:$CE$8700,$A106,MATCH(C$1,'2-3 引出列表'!$A$1:$CD$1,0)),""))</f>
        <v>71420</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2025-06-13</v>
      </c>
      <c r="F106" s="30" t="str">
        <f t="shared" si="1"/>
        <v>2025-06</v>
      </c>
      <c r="G106" t="str">
        <f>IF(ISBLANK(IFERROR(INDEX('2-3 引出列表'!$A$2:$CE$8700,$A106,MATCH(G$1,'2-3 引出列表'!$A$1:$CD$1,0)),"")),"",IFERROR(INDEX('2-3 引出列表'!$A$2:$CE$8700,$A106,MATCH(G$1,'2-3 引出列表'!$A$1:$CD$1,0)),""))</f>
        <v>物料消耗.物料消耗</v>
      </c>
      <c r="H106">
        <f>IF(ISBLANK(IFERROR(INDEX('2-3 引出列表'!$A$2:$CE$8700,$A106,MATCH(H$1,'2-3 引出列表'!$A$1:$CD$1,0)),"")),"",IFERROR(INDEX('2-3 引出列表'!$A$2:$CE$8700,$A106,MATCH(H$1,'2-3 引出列表'!$A$1:$CD$1,0)),""))</f>
        <v>0</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FK250325000011</v>
      </c>
      <c r="C107">
        <f>IF(ISBLANK(IFERROR(INDEX('2-3 引出列表'!$A$2:$CE$8700,$A107,MATCH(C$1,'2-3 引出列表'!$A$1:$CD$1,0)),"")),"",IFERROR(INDEX('2-3 引出列表'!$A$2:$CE$8700,$A107,MATCH(C$1,'2-3 引出列表'!$A$1:$CD$1,0)),""))</f>
        <v>71420</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2025-06-13</v>
      </c>
      <c r="F107" s="30" t="str">
        <f t="shared" si="1"/>
        <v>2025-06</v>
      </c>
      <c r="G107" t="str">
        <f>IF(ISBLANK(IFERROR(INDEX('2-3 引出列表'!$A$2:$CE$8700,$A107,MATCH(G$1,'2-3 引出列表'!$A$1:$CD$1,0)),"")),"",IFERROR(INDEX('2-3 引出列表'!$A$2:$CE$8700,$A107,MATCH(G$1,'2-3 引出列表'!$A$1:$CD$1,0)),""))</f>
        <v>物料消耗.物料消耗</v>
      </c>
      <c r="H107">
        <f>IF(ISBLANK(IFERROR(INDEX('2-3 引出列表'!$A$2:$CE$8700,$A107,MATCH(H$1,'2-3 引出列表'!$A$1:$CD$1,0)),"")),"",IFERROR(INDEX('2-3 引出列表'!$A$2:$CE$8700,$A107,MATCH(H$1,'2-3 引出列表'!$A$1:$CD$1,0)),""))</f>
        <v>0</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FK250325000011</v>
      </c>
      <c r="C108">
        <f>IF(ISBLANK(IFERROR(INDEX('2-3 引出列表'!$A$2:$CE$8700,$A108,MATCH(C$1,'2-3 引出列表'!$A$1:$CD$1,0)),"")),"",IFERROR(INDEX('2-3 引出列表'!$A$2:$CE$8700,$A108,MATCH(C$1,'2-3 引出列表'!$A$1:$CD$1,0)),""))</f>
        <v>71420</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2025-06-13</v>
      </c>
      <c r="F108" s="30" t="str">
        <f t="shared" si="1"/>
        <v>2025-06</v>
      </c>
      <c r="G108" t="str">
        <f>IF(ISBLANK(IFERROR(INDEX('2-3 引出列表'!$A$2:$CE$8700,$A108,MATCH(G$1,'2-3 引出列表'!$A$1:$CD$1,0)),"")),"",IFERROR(INDEX('2-3 引出列表'!$A$2:$CE$8700,$A108,MATCH(G$1,'2-3 引出列表'!$A$1:$CD$1,0)),""))</f>
        <v>物料消耗.物料消耗</v>
      </c>
      <c r="H108">
        <f>IF(ISBLANK(IFERROR(INDEX('2-3 引出列表'!$A$2:$CE$8700,$A108,MATCH(H$1,'2-3 引出列表'!$A$1:$CD$1,0)),"")),"",IFERROR(INDEX('2-3 引出列表'!$A$2:$CE$8700,$A108,MATCH(H$1,'2-3 引出列表'!$A$1:$CD$1,0)),""))</f>
        <v>0</v>
      </c>
      <c r="I108" t="str">
        <f>IF(ISBLANK(IFERROR(INDEX('2-3 引出列表'!$A$2:$CE$8700,$A108,MATCH(I$1,'2-3 引出列表'!$A$1:$CD$1,0)),"")),"",IFERROR(INDEX('2-3 引出列表'!$A$2:$CE$8700,$A108,MATCH(I$1,'2-3 引出列表'!$A$1:$CD$1,0)),""))</f>
        <v>金采易购</v>
      </c>
    </row>
    <row r="109" spans="1:9">
      <c r="A109">
        <v>108</v>
      </c>
      <c r="B109" t="str">
        <f>IF(ISBLANK(IFERROR(INDEX('2-3 引出列表'!$A$2:$CE$8700,$A109,MATCH(B$1,'2-3 引出列表'!$A$1:$CD$1,0)),"")),"",IFERROR(INDEX('2-3 引出列表'!$A$2:$CE$8700,$A109,MATCH(B$1,'2-3 引出列表'!$A$1:$CD$1,0)),""))</f>
        <v>FK250325000011</v>
      </c>
      <c r="C109">
        <f>IF(ISBLANK(IFERROR(INDEX('2-3 引出列表'!$A$2:$CE$8700,$A109,MATCH(C$1,'2-3 引出列表'!$A$1:$CD$1,0)),"")),"",IFERROR(INDEX('2-3 引出列表'!$A$2:$CE$8700,$A109,MATCH(C$1,'2-3 引出列表'!$A$1:$CD$1,0)),""))</f>
        <v>71420</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2025-06-13</v>
      </c>
      <c r="F109" s="30" t="str">
        <f t="shared" si="1"/>
        <v>2025-06</v>
      </c>
      <c r="G109" t="str">
        <f>IF(ISBLANK(IFERROR(INDEX('2-3 引出列表'!$A$2:$CE$8700,$A109,MATCH(G$1,'2-3 引出列表'!$A$1:$CD$1,0)),"")),"",IFERROR(INDEX('2-3 引出列表'!$A$2:$CE$8700,$A109,MATCH(G$1,'2-3 引出列表'!$A$1:$CD$1,0)),""))</f>
        <v>物料消耗.物料消耗</v>
      </c>
      <c r="H109">
        <f>IF(ISBLANK(IFERROR(INDEX('2-3 引出列表'!$A$2:$CE$8700,$A109,MATCH(H$1,'2-3 引出列表'!$A$1:$CD$1,0)),"")),"",IFERROR(INDEX('2-3 引出列表'!$A$2:$CE$8700,$A109,MATCH(H$1,'2-3 引出列表'!$A$1:$CD$1,0)),""))</f>
        <v>0</v>
      </c>
      <c r="I109" t="str">
        <f>IF(ISBLANK(IFERROR(INDEX('2-3 引出列表'!$A$2:$CE$8700,$A109,MATCH(I$1,'2-3 引出列表'!$A$1:$CD$1,0)),"")),"",IFERROR(INDEX('2-3 引出列表'!$A$2:$CE$8700,$A109,MATCH(I$1,'2-3 引出列表'!$A$1:$CD$1,0)),""))</f>
        <v>金采易购</v>
      </c>
    </row>
    <row r="110" spans="1:9">
      <c r="A110">
        <v>109</v>
      </c>
      <c r="B110" t="str">
        <f>IF(ISBLANK(IFERROR(INDEX('2-3 引出列表'!$A$2:$CE$8700,$A110,MATCH(B$1,'2-3 引出列表'!$A$1:$CD$1,0)),"")),"",IFERROR(INDEX('2-3 引出列表'!$A$2:$CE$8700,$A110,MATCH(B$1,'2-3 引出列表'!$A$1:$CD$1,0)),""))</f>
        <v>FK250325000011</v>
      </c>
      <c r="C110">
        <f>IF(ISBLANK(IFERROR(INDEX('2-3 引出列表'!$A$2:$CE$8700,$A110,MATCH(C$1,'2-3 引出列表'!$A$1:$CD$1,0)),"")),"",IFERROR(INDEX('2-3 引出列表'!$A$2:$CE$8700,$A110,MATCH(C$1,'2-3 引出列表'!$A$1:$CD$1,0)),""))</f>
        <v>71420</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2025-06-13</v>
      </c>
      <c r="F110" s="30" t="str">
        <f t="shared" si="1"/>
        <v>2025-06</v>
      </c>
      <c r="G110" t="str">
        <f>IF(ISBLANK(IFERROR(INDEX('2-3 引出列表'!$A$2:$CE$8700,$A110,MATCH(G$1,'2-3 引出列表'!$A$1:$CD$1,0)),"")),"",IFERROR(INDEX('2-3 引出列表'!$A$2:$CE$8700,$A110,MATCH(G$1,'2-3 引出列表'!$A$1:$CD$1,0)),""))</f>
        <v>物料消耗.物料消耗</v>
      </c>
      <c r="H110">
        <f>IF(ISBLANK(IFERROR(INDEX('2-3 引出列表'!$A$2:$CE$8700,$A110,MATCH(H$1,'2-3 引出列表'!$A$1:$CD$1,0)),"")),"",IFERROR(INDEX('2-3 引出列表'!$A$2:$CE$8700,$A110,MATCH(H$1,'2-3 引出列表'!$A$1:$CD$1,0)),""))</f>
        <v>0</v>
      </c>
      <c r="I110" t="str">
        <f>IF(ISBLANK(IFERROR(INDEX('2-3 引出列表'!$A$2:$CE$8700,$A110,MATCH(I$1,'2-3 引出列表'!$A$1:$CD$1,0)),"")),"",IFERROR(INDEX('2-3 引出列表'!$A$2:$CE$8700,$A110,MATCH(I$1,'2-3 引出列表'!$A$1:$CD$1,0)),""))</f>
        <v>金采易购</v>
      </c>
    </row>
    <row r="111" spans="1:9">
      <c r="A111">
        <v>110</v>
      </c>
      <c r="B111" t="str">
        <f>IF(ISBLANK(IFERROR(INDEX('2-3 引出列表'!$A$2:$CE$8700,$A111,MATCH(B$1,'2-3 引出列表'!$A$1:$CD$1,0)),"")),"",IFERROR(INDEX('2-3 引出列表'!$A$2:$CE$8700,$A111,MATCH(B$1,'2-3 引出列表'!$A$1:$CD$1,0)),""))</f>
        <v>FK250325000011</v>
      </c>
      <c r="C111">
        <f>IF(ISBLANK(IFERROR(INDEX('2-3 引出列表'!$A$2:$CE$8700,$A111,MATCH(C$1,'2-3 引出列表'!$A$1:$CD$1,0)),"")),"",IFERROR(INDEX('2-3 引出列表'!$A$2:$CE$8700,$A111,MATCH(C$1,'2-3 引出列表'!$A$1:$CD$1,0)),""))</f>
        <v>71420</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2025-06-13</v>
      </c>
      <c r="F111" s="30" t="str">
        <f t="shared" si="1"/>
        <v>2025-06</v>
      </c>
      <c r="G111" t="str">
        <f>IF(ISBLANK(IFERROR(INDEX('2-3 引出列表'!$A$2:$CE$8700,$A111,MATCH(G$1,'2-3 引出列表'!$A$1:$CD$1,0)),"")),"",IFERROR(INDEX('2-3 引出列表'!$A$2:$CE$8700,$A111,MATCH(G$1,'2-3 引出列表'!$A$1:$CD$1,0)),""))</f>
        <v>物料消耗.物料消耗</v>
      </c>
      <c r="H111">
        <f>IF(ISBLANK(IFERROR(INDEX('2-3 引出列表'!$A$2:$CE$8700,$A111,MATCH(H$1,'2-3 引出列表'!$A$1:$CD$1,0)),"")),"",IFERROR(INDEX('2-3 引出列表'!$A$2:$CE$8700,$A111,MATCH(H$1,'2-3 引出列表'!$A$1:$CD$1,0)),""))</f>
        <v>0</v>
      </c>
      <c r="I111" t="str">
        <f>IF(ISBLANK(IFERROR(INDEX('2-3 引出列表'!$A$2:$CE$8700,$A111,MATCH(I$1,'2-3 引出列表'!$A$1:$CD$1,0)),"")),"",IFERROR(INDEX('2-3 引出列表'!$A$2:$CE$8700,$A111,MATCH(I$1,'2-3 引出列表'!$A$1:$CD$1,0)),""))</f>
        <v>金采易购</v>
      </c>
    </row>
    <row r="112" spans="1:9">
      <c r="A112">
        <v>111</v>
      </c>
      <c r="B112" t="str">
        <f>IF(ISBLANK(IFERROR(INDEX('2-3 引出列表'!$A$2:$CE$8700,$A112,MATCH(B$1,'2-3 引出列表'!$A$1:$CD$1,0)),"")),"",IFERROR(INDEX('2-3 引出列表'!$A$2:$CE$8700,$A112,MATCH(B$1,'2-3 引出列表'!$A$1:$CD$1,0)),""))</f>
        <v>FK250325000011</v>
      </c>
      <c r="C112">
        <f>IF(ISBLANK(IFERROR(INDEX('2-3 引出列表'!$A$2:$CE$8700,$A112,MATCH(C$1,'2-3 引出列表'!$A$1:$CD$1,0)),"")),"",IFERROR(INDEX('2-3 引出列表'!$A$2:$CE$8700,$A112,MATCH(C$1,'2-3 引出列表'!$A$1:$CD$1,0)),""))</f>
        <v>71420</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2025-06-13</v>
      </c>
      <c r="F112" s="30" t="str">
        <f t="shared" si="1"/>
        <v>2025-06</v>
      </c>
      <c r="G112" t="str">
        <f>IF(ISBLANK(IFERROR(INDEX('2-3 引出列表'!$A$2:$CE$8700,$A112,MATCH(G$1,'2-3 引出列表'!$A$1:$CD$1,0)),"")),"",IFERROR(INDEX('2-3 引出列表'!$A$2:$CE$8700,$A112,MATCH(G$1,'2-3 引出列表'!$A$1:$CD$1,0)),""))</f>
        <v>物料消耗.物料消耗</v>
      </c>
      <c r="H112">
        <f>IF(ISBLANK(IFERROR(INDEX('2-3 引出列表'!$A$2:$CE$8700,$A112,MATCH(H$1,'2-3 引出列表'!$A$1:$CD$1,0)),"")),"",IFERROR(INDEX('2-3 引出列表'!$A$2:$CE$8700,$A112,MATCH(H$1,'2-3 引出列表'!$A$1:$CD$1,0)),""))</f>
        <v>0</v>
      </c>
      <c r="I112" t="str">
        <f>IF(ISBLANK(IFERROR(INDEX('2-3 引出列表'!$A$2:$CE$8700,$A112,MATCH(I$1,'2-3 引出列表'!$A$1:$CD$1,0)),"")),"",IFERROR(INDEX('2-3 引出列表'!$A$2:$CE$8700,$A112,MATCH(I$1,'2-3 引出列表'!$A$1:$CD$1,0)),""))</f>
        <v>金采易购</v>
      </c>
    </row>
    <row r="113" spans="1:9">
      <c r="A113">
        <v>112</v>
      </c>
      <c r="B113" t="str">
        <f>IF(ISBLANK(IFERROR(INDEX('2-3 引出列表'!$A$2:$CE$8700,$A113,MATCH(B$1,'2-3 引出列表'!$A$1:$CD$1,0)),"")),"",IFERROR(INDEX('2-3 引出列表'!$A$2:$CE$8700,$A113,MATCH(B$1,'2-3 引出列表'!$A$1:$CD$1,0)),""))</f>
        <v>FK250325000011</v>
      </c>
      <c r="C113">
        <f>IF(ISBLANK(IFERROR(INDEX('2-3 引出列表'!$A$2:$CE$8700,$A113,MATCH(C$1,'2-3 引出列表'!$A$1:$CD$1,0)),"")),"",IFERROR(INDEX('2-3 引出列表'!$A$2:$CE$8700,$A113,MATCH(C$1,'2-3 引出列表'!$A$1:$CD$1,0)),""))</f>
        <v>71420</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2025-06-13</v>
      </c>
      <c r="F113" s="30" t="str">
        <f t="shared" si="1"/>
        <v>2025-06</v>
      </c>
      <c r="G113" t="str">
        <f>IF(ISBLANK(IFERROR(INDEX('2-3 引出列表'!$A$2:$CE$8700,$A113,MATCH(G$1,'2-3 引出列表'!$A$1:$CD$1,0)),"")),"",IFERROR(INDEX('2-3 引出列表'!$A$2:$CE$8700,$A113,MATCH(G$1,'2-3 引出列表'!$A$1:$CD$1,0)),""))</f>
        <v>物料消耗.物料消耗</v>
      </c>
      <c r="H113">
        <f>IF(ISBLANK(IFERROR(INDEX('2-3 引出列表'!$A$2:$CE$8700,$A113,MATCH(H$1,'2-3 引出列表'!$A$1:$CD$1,0)),"")),"",IFERROR(INDEX('2-3 引出列表'!$A$2:$CE$8700,$A113,MATCH(H$1,'2-3 引出列表'!$A$1:$CD$1,0)),""))</f>
        <v>0</v>
      </c>
      <c r="I113" t="str">
        <f>IF(ISBLANK(IFERROR(INDEX('2-3 引出列表'!$A$2:$CE$8700,$A113,MATCH(I$1,'2-3 引出列表'!$A$1:$CD$1,0)),"")),"",IFERROR(INDEX('2-3 引出列表'!$A$2:$CE$8700,$A113,MATCH(I$1,'2-3 引出列表'!$A$1:$CD$1,0)),""))</f>
        <v>金采易购</v>
      </c>
    </row>
    <row r="114" spans="1:9">
      <c r="A114">
        <v>113</v>
      </c>
      <c r="B114" t="str">
        <f>IF(ISBLANK(IFERROR(INDEX('2-3 引出列表'!$A$2:$CE$8700,$A114,MATCH(B$1,'2-3 引出列表'!$A$1:$CD$1,0)),"")),"",IFERROR(INDEX('2-3 引出列表'!$A$2:$CE$8700,$A114,MATCH(B$1,'2-3 引出列表'!$A$1:$CD$1,0)),""))</f>
        <v>FK250325000011</v>
      </c>
      <c r="C114">
        <f>IF(ISBLANK(IFERROR(INDEX('2-3 引出列表'!$A$2:$CE$8700,$A114,MATCH(C$1,'2-3 引出列表'!$A$1:$CD$1,0)),"")),"",IFERROR(INDEX('2-3 引出列表'!$A$2:$CE$8700,$A114,MATCH(C$1,'2-3 引出列表'!$A$1:$CD$1,0)),""))</f>
        <v>71420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2025-06-13</v>
      </c>
      <c r="F114" s="30" t="str">
        <f t="shared" si="1"/>
        <v>2025-06</v>
      </c>
      <c r="G114" t="str">
        <f>IF(ISBLANK(IFERROR(INDEX('2-3 引出列表'!$A$2:$CE$8700,$A114,MATCH(G$1,'2-3 引出列表'!$A$1:$CD$1,0)),"")),"",IFERROR(INDEX('2-3 引出列表'!$A$2:$CE$8700,$A114,MATCH(G$1,'2-3 引出列表'!$A$1:$CD$1,0)),""))</f>
        <v>物料消耗.物料消耗</v>
      </c>
      <c r="H114">
        <f>IF(ISBLANK(IFERROR(INDEX('2-3 引出列表'!$A$2:$CE$8700,$A114,MATCH(H$1,'2-3 引出列表'!$A$1:$CD$1,0)),"")),"",IFERROR(INDEX('2-3 引出列表'!$A$2:$CE$8700,$A114,MATCH(H$1,'2-3 引出列表'!$A$1:$CD$1,0)),""))</f>
        <v>0</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FK250325000011</v>
      </c>
      <c r="C115">
        <f>IF(ISBLANK(IFERROR(INDEX('2-3 引出列表'!$A$2:$CE$8700,$A115,MATCH(C$1,'2-3 引出列表'!$A$1:$CD$1,0)),"")),"",IFERROR(INDEX('2-3 引出列表'!$A$2:$CE$8700,$A115,MATCH(C$1,'2-3 引出列表'!$A$1:$CD$1,0)),""))</f>
        <v>71420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2025-06-13</v>
      </c>
      <c r="F115" s="30" t="str">
        <f t="shared" si="1"/>
        <v>2025-06</v>
      </c>
      <c r="G115" t="str">
        <f>IF(ISBLANK(IFERROR(INDEX('2-3 引出列表'!$A$2:$CE$8700,$A115,MATCH(G$1,'2-3 引出列表'!$A$1:$CD$1,0)),"")),"",IFERROR(INDEX('2-3 引出列表'!$A$2:$CE$8700,$A115,MATCH(G$1,'2-3 引出列表'!$A$1:$CD$1,0)),""))</f>
        <v>物料消耗.物料消耗</v>
      </c>
      <c r="H115">
        <f>IF(ISBLANK(IFERROR(INDEX('2-3 引出列表'!$A$2:$CE$8700,$A115,MATCH(H$1,'2-3 引出列表'!$A$1:$CD$1,0)),"")),"",IFERROR(INDEX('2-3 引出列表'!$A$2:$CE$8700,$A115,MATCH(H$1,'2-3 引出列表'!$A$1:$CD$1,0)),""))</f>
        <v>0</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FK250325000011</v>
      </c>
      <c r="C116">
        <f>IF(ISBLANK(IFERROR(INDEX('2-3 引出列表'!$A$2:$CE$8700,$A116,MATCH(C$1,'2-3 引出列表'!$A$1:$CD$1,0)),"")),"",IFERROR(INDEX('2-3 引出列表'!$A$2:$CE$8700,$A116,MATCH(C$1,'2-3 引出列表'!$A$1:$CD$1,0)),""))</f>
        <v>71420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2025-06-13</v>
      </c>
      <c r="F116" s="30" t="str">
        <f t="shared" si="1"/>
        <v>2025-06</v>
      </c>
      <c r="G116" t="str">
        <f>IF(ISBLANK(IFERROR(INDEX('2-3 引出列表'!$A$2:$CE$8700,$A116,MATCH(G$1,'2-3 引出列表'!$A$1:$CD$1,0)),"")),"",IFERROR(INDEX('2-3 引出列表'!$A$2:$CE$8700,$A116,MATCH(G$1,'2-3 引出列表'!$A$1:$CD$1,0)),""))</f>
        <v>物料消耗.物料消耗</v>
      </c>
      <c r="H116">
        <f>IF(ISBLANK(IFERROR(INDEX('2-3 引出列表'!$A$2:$CE$8700,$A116,MATCH(H$1,'2-3 引出列表'!$A$1:$CD$1,0)),"")),"",IFERROR(INDEX('2-3 引出列表'!$A$2:$CE$8700,$A116,MATCH(H$1,'2-3 引出列表'!$A$1:$CD$1,0)),""))</f>
        <v>0</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FK250325000011</v>
      </c>
      <c r="C117">
        <f>IF(ISBLANK(IFERROR(INDEX('2-3 引出列表'!$A$2:$CE$8700,$A117,MATCH(C$1,'2-3 引出列表'!$A$1:$CD$1,0)),"")),"",IFERROR(INDEX('2-3 引出列表'!$A$2:$CE$8700,$A117,MATCH(C$1,'2-3 引出列表'!$A$1:$CD$1,0)),""))</f>
        <v>71420</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2025-06-13</v>
      </c>
      <c r="F117" s="30" t="str">
        <f t="shared" si="1"/>
        <v>2025-06</v>
      </c>
      <c r="G117" t="str">
        <f>IF(ISBLANK(IFERROR(INDEX('2-3 引出列表'!$A$2:$CE$8700,$A117,MATCH(G$1,'2-3 引出列表'!$A$1:$CD$1,0)),"")),"",IFERROR(INDEX('2-3 引出列表'!$A$2:$CE$8700,$A117,MATCH(G$1,'2-3 引出列表'!$A$1:$CD$1,0)),""))</f>
        <v>物料消耗.物料消耗</v>
      </c>
      <c r="H117">
        <f>IF(ISBLANK(IFERROR(INDEX('2-3 引出列表'!$A$2:$CE$8700,$A117,MATCH(H$1,'2-3 引出列表'!$A$1:$CD$1,0)),"")),"",IFERROR(INDEX('2-3 引出列表'!$A$2:$CE$8700,$A117,MATCH(H$1,'2-3 引出列表'!$A$1:$CD$1,0)),""))</f>
        <v>0</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FK250314000864</v>
      </c>
      <c r="C118">
        <f>IF(ISBLANK(IFERROR(INDEX('2-3 引出列表'!$A$2:$CE$8700,$A118,MATCH(C$1,'2-3 引出列表'!$A$1:$CD$1,0)),"")),"",IFERROR(INDEX('2-3 引出列表'!$A$2:$CE$8700,$A118,MATCH(C$1,'2-3 引出列表'!$A$1:$CD$1,0)),""))</f>
        <v>9500</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2025-06-13</v>
      </c>
      <c r="F118" s="30" t="str">
        <f t="shared" si="1"/>
        <v>2025-06</v>
      </c>
      <c r="G118" t="str">
        <f>IF(ISBLANK(IFERROR(INDEX('2-3 引出列表'!$A$2:$CE$8700,$A118,MATCH(G$1,'2-3 引出列表'!$A$1:$CD$1,0)),"")),"",IFERROR(INDEX('2-3 引出列表'!$A$2:$CE$8700,$A118,MATCH(G$1,'2-3 引出列表'!$A$1:$CD$1,0)),""))</f>
        <v>外包服务费.生活垃圾清运外包</v>
      </c>
      <c r="H118" t="str">
        <f>IF(ISBLANK(IFERROR(INDEX('2-3 引出列表'!$A$2:$CE$8700,$A118,MATCH(H$1,'2-3 引出列表'!$A$1:$CD$1,0)),"")),"",IFERROR(INDEX('2-3 引出列表'!$A$2:$CE$8700,$A118,MATCH(H$1,'2-3 引出列表'!$A$1:$CD$1,0)),""))</f>
        <v>HJFW-Z-2025-00229</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FK250314000798</v>
      </c>
      <c r="C119">
        <f>IF(ISBLANK(IFERROR(INDEX('2-3 引出列表'!$A$2:$CE$8700,$A119,MATCH(C$1,'2-3 引出列表'!$A$1:$CD$1,0)),"")),"",IFERROR(INDEX('2-3 引出列表'!$A$2:$CE$8700,$A119,MATCH(C$1,'2-3 引出列表'!$A$1:$CD$1,0)),""))</f>
        <v>36116.72</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2025-06-13</v>
      </c>
      <c r="F119" s="30" t="str">
        <f t="shared" si="1"/>
        <v>2025-06</v>
      </c>
      <c r="G119" t="str">
        <f>IF(ISBLANK(IFERROR(INDEX('2-3 引出列表'!$A$2:$CE$8700,$A119,MATCH(G$1,'2-3 引出列表'!$A$1:$CD$1,0)),"")),"",IFERROR(INDEX('2-3 引出列表'!$A$2:$CE$8700,$A119,MATCH(G$1,'2-3 引出列表'!$A$1:$CD$1,0)),""))</f>
        <v>外包服务费.保洁外包</v>
      </c>
      <c r="H119" t="str">
        <f>IF(ISBLANK(IFERROR(INDEX('2-3 引出列表'!$A$2:$CE$8700,$A119,MATCH(H$1,'2-3 引出列表'!$A$1:$CD$1,0)),"")),"",IFERROR(INDEX('2-3 引出列表'!$A$2:$CE$8700,$A119,MATCH(H$1,'2-3 引出列表'!$A$1:$CD$1,0)),""))</f>
        <v>HJFW-Z-2025-00662</v>
      </c>
      <c r="I119" t="str">
        <f>IF(ISBLANK(IFERROR(INDEX('2-3 引出列表'!$A$2:$CE$8700,$A119,MATCH(I$1,'2-3 引出列表'!$A$1:$CD$1,0)),"")),"",IFERROR(INDEX('2-3 引出列表'!$A$2:$CE$8700,$A119,MATCH(I$1,'2-3 引出列表'!$A$1:$CD$1,0)),""))</f>
        <v>金采易购</v>
      </c>
    </row>
    <row r="120" spans="1:9">
      <c r="A120">
        <v>119</v>
      </c>
      <c r="B120" t="str">
        <f>IF(ISBLANK(IFERROR(INDEX('2-3 引出列表'!$A$2:$CE$8700,$A120,MATCH(B$1,'2-3 引出列表'!$A$1:$CD$1,0)),"")),"",IFERROR(INDEX('2-3 引出列表'!$A$2:$CE$8700,$A120,MATCH(B$1,'2-3 引出列表'!$A$1:$CD$1,0)),""))</f>
        <v>FK250213000932</v>
      </c>
      <c r="C120">
        <f>IF(ISBLANK(IFERROR(INDEX('2-3 引出列表'!$A$2:$CE$8700,$A120,MATCH(C$1,'2-3 引出列表'!$A$1:$CD$1,0)),"")),"",IFERROR(INDEX('2-3 引出列表'!$A$2:$CE$8700,$A120,MATCH(C$1,'2-3 引出列表'!$A$1:$CD$1,0)),""))</f>
        <v>36116.72</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2025-06-13</v>
      </c>
      <c r="F120" s="30" t="str">
        <f t="shared" si="1"/>
        <v>2025-06</v>
      </c>
      <c r="G120" t="str">
        <f>IF(ISBLANK(IFERROR(INDEX('2-3 引出列表'!$A$2:$CE$8700,$A120,MATCH(G$1,'2-3 引出列表'!$A$1:$CD$1,0)),"")),"",IFERROR(INDEX('2-3 引出列表'!$A$2:$CE$8700,$A120,MATCH(G$1,'2-3 引出列表'!$A$1:$CD$1,0)),""))</f>
        <v>外包服务费.保洁外包</v>
      </c>
      <c r="H120" t="str">
        <f>IF(ISBLANK(IFERROR(INDEX('2-3 引出列表'!$A$2:$CE$8700,$A120,MATCH(H$1,'2-3 引出列表'!$A$1:$CD$1,0)),"")),"",IFERROR(INDEX('2-3 引出列表'!$A$2:$CE$8700,$A120,MATCH(H$1,'2-3 引出列表'!$A$1:$CD$1,0)),""))</f>
        <v>HJFW-Z-2023-5465</v>
      </c>
      <c r="I120" t="str">
        <f>IF(ISBLANK(IFERROR(INDEX('2-3 引出列表'!$A$2:$CE$8700,$A120,MATCH(I$1,'2-3 引出列表'!$A$1:$CD$1,0)),"")),"",IFERROR(INDEX('2-3 引出列表'!$A$2:$CE$8700,$A120,MATCH(I$1,'2-3 引出列表'!$A$1:$CD$1,0)),""))</f>
        <v>金采易购</v>
      </c>
    </row>
    <row r="121" spans="1:9">
      <c r="A121">
        <v>120</v>
      </c>
      <c r="B121">
        <f>IF(ISBLANK(IFERROR(INDEX('2-3 引出列表'!$A$2:$CE$8700,$A121,MATCH(B$1,'2-3 引出列表'!$A$1:$CD$1,0)),"")),"",IFERROR(INDEX('2-3 引出列表'!$A$2:$CE$8700,$A121,MATCH(B$1,'2-3 引出列表'!$A$1:$CD$1,0)),""))</f>
        <v>0</v>
      </c>
      <c r="C121">
        <f>IF(ISBLANK(IFERROR(INDEX('2-3 引出列表'!$A$2:$CE$8700,$A121,MATCH(C$1,'2-3 引出列表'!$A$1:$CD$1,0)),"")),"",IFERROR(INDEX('2-3 引出列表'!$A$2:$CE$8700,$A121,MATCH(C$1,'2-3 引出列表'!$A$1:$CD$1,0)),""))</f>
        <v>1194</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2025-01-23</v>
      </c>
      <c r="F121" s="30" t="str">
        <f t="shared" si="1"/>
        <v>2025-01</v>
      </c>
      <c r="G121" t="str">
        <f>IF(ISBLANK(IFERROR(INDEX('2-3 引出列表'!$A$2:$CE$8700,$A121,MATCH(G$1,'2-3 引出列表'!$A$1:$CD$1,0)),"")),"",IFERROR(INDEX('2-3 引出列表'!$A$2:$CE$8700,$A121,MATCH(G$1,'2-3 引出列表'!$A$1:$CD$1,0)),""))</f>
        <v>业务活动.业务招待费</v>
      </c>
      <c r="H121">
        <f>IF(ISBLANK(IFERROR(INDEX('2-3 引出列表'!$A$2:$CE$8700,$A121,MATCH(H$1,'2-3 引出列表'!$A$1:$CD$1,0)),"")),"",IFERROR(INDEX('2-3 引出列表'!$A$2:$CE$8700,$A121,MATCH(H$1,'2-3 引出列表'!$A$1:$CD$1,0)),""))</f>
        <v>0</v>
      </c>
      <c r="I121">
        <f>IF(ISBLANK(IFERROR(INDEX('2-3 引出列表'!$A$2:$CE$8700,$A121,MATCH(I$1,'2-3 引出列表'!$A$1:$CD$1,0)),"")),"",IFERROR(INDEX('2-3 引出列表'!$A$2:$CE$8700,$A121,MATCH(I$1,'2-3 引出列表'!$A$1:$CD$1,0)),""))</f>
        <v>0</v>
      </c>
    </row>
    <row r="122" spans="1:9">
      <c r="A122">
        <v>121</v>
      </c>
      <c r="B122">
        <f>IF(ISBLANK(IFERROR(INDEX('2-3 引出列表'!$A$2:$CE$8700,$A122,MATCH(B$1,'2-3 引出列表'!$A$1:$CD$1,0)),"")),"",IFERROR(INDEX('2-3 引出列表'!$A$2:$CE$8700,$A122,MATCH(B$1,'2-3 引出列表'!$A$1:$CD$1,0)),""))</f>
        <v>0</v>
      </c>
      <c r="C122">
        <f>IF(ISBLANK(IFERROR(INDEX('2-3 引出列表'!$A$2:$CE$8700,$A122,MATCH(C$1,'2-3 引出列表'!$A$1:$CD$1,0)),"")),"",IFERROR(INDEX('2-3 引出列表'!$A$2:$CE$8700,$A122,MATCH(C$1,'2-3 引出列表'!$A$1:$CD$1,0)),""))</f>
        <v>19900</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2025-01-23</v>
      </c>
      <c r="F122" s="30" t="str">
        <f t="shared" si="1"/>
        <v>2025-01</v>
      </c>
      <c r="G122" t="str">
        <f>IF(ISBLANK(IFERROR(INDEX('2-3 引出列表'!$A$2:$CE$8700,$A122,MATCH(G$1,'2-3 引出列表'!$A$1:$CD$1,0)),"")),"",IFERROR(INDEX('2-3 引出列表'!$A$2:$CE$8700,$A122,MATCH(G$1,'2-3 引出列表'!$A$1:$CD$1,0)),""))</f>
        <v>业务活动.业务招待费</v>
      </c>
      <c r="H122">
        <f>IF(ISBLANK(IFERROR(INDEX('2-3 引出列表'!$A$2:$CE$8700,$A122,MATCH(H$1,'2-3 引出列表'!$A$1:$CD$1,0)),"")),"",IFERROR(INDEX('2-3 引出列表'!$A$2:$CE$8700,$A122,MATCH(H$1,'2-3 引出列表'!$A$1:$CD$1,0)),""))</f>
        <v>0</v>
      </c>
      <c r="I122">
        <f>IF(ISBLANK(IFERROR(INDEX('2-3 引出列表'!$A$2:$CE$8700,$A122,MATCH(I$1,'2-3 引出列表'!$A$1:$CD$1,0)),"")),"",IFERROR(INDEX('2-3 引出列表'!$A$2:$CE$8700,$A122,MATCH(I$1,'2-3 引出列表'!$A$1:$CD$1,0)),""))</f>
        <v>0</v>
      </c>
    </row>
    <row r="123" spans="1:9">
      <c r="A123">
        <v>122</v>
      </c>
      <c r="B123" t="str">
        <f>IF(ISBLANK(IFERROR(INDEX('2-3 引出列表'!$A$2:$CE$8700,$A123,MATCH(B$1,'2-3 引出列表'!$A$1:$CD$1,0)),"")),"",IFERROR(INDEX('2-3 引出列表'!$A$2:$CE$8700,$A123,MATCH(B$1,'2-3 引出列表'!$A$1:$CD$1,0)),""))</f>
        <v>FK250121000039</v>
      </c>
      <c r="C123">
        <f>IF(ISBLANK(IFERROR(INDEX('2-3 引出列表'!$A$2:$CE$8700,$A123,MATCH(C$1,'2-3 引出列表'!$A$1:$CD$1,0)),"")),"",IFERROR(INDEX('2-3 引出列表'!$A$2:$CE$8700,$A123,MATCH(C$1,'2-3 引出列表'!$A$1:$CD$1,0)),""))</f>
        <v>295611.68</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2025-01-23</v>
      </c>
      <c r="F123" s="30" t="str">
        <f t="shared" si="1"/>
        <v>2025-01</v>
      </c>
      <c r="G123" t="str">
        <f>IF(ISBLANK(IFERROR(INDEX('2-3 引出列表'!$A$2:$CE$8700,$A123,MATCH(G$1,'2-3 引出列表'!$A$1:$CD$1,0)),"")),"",IFERROR(INDEX('2-3 引出列表'!$A$2:$CE$8700,$A123,MATCH(G$1,'2-3 引出列表'!$A$1:$CD$1,0)),""))</f>
        <v>外包服务费.工程施工外包</v>
      </c>
      <c r="H123" t="str">
        <f>IF(ISBLANK(IFERROR(INDEX('2-3 引出列表'!$A$2:$CE$8700,$A123,MATCH(H$1,'2-3 引出列表'!$A$1:$CD$1,0)),"")),"",IFERROR(INDEX('2-3 引出列表'!$A$2:$CE$8700,$A123,MATCH(H$1,'2-3 引出列表'!$A$1:$CD$1,0)),""))</f>
        <v>GCFW-Z-2024-7891</v>
      </c>
      <c r="I123" t="str">
        <f>IF(ISBLANK(IFERROR(INDEX('2-3 引出列表'!$A$2:$CE$8700,$A123,MATCH(I$1,'2-3 引出列表'!$A$1:$CD$1,0)),"")),"",IFERROR(INDEX('2-3 引出列表'!$A$2:$CE$8700,$A123,MATCH(I$1,'2-3 引出列表'!$A$1:$CD$1,0)),""))</f>
        <v>金采易购</v>
      </c>
    </row>
    <row r="124" spans="1:9">
      <c r="A124">
        <v>123</v>
      </c>
      <c r="B124" t="str">
        <f>IF(ISBLANK(IFERROR(INDEX('2-3 引出列表'!$A$2:$CE$8700,$A124,MATCH(B$1,'2-3 引出列表'!$A$1:$CD$1,0)),"")),"",IFERROR(INDEX('2-3 引出列表'!$A$2:$CE$8700,$A124,MATCH(B$1,'2-3 引出列表'!$A$1:$CD$1,0)),""))</f>
        <v>FK250121000039</v>
      </c>
      <c r="C124">
        <f>IF(ISBLANK(IFERROR(INDEX('2-3 引出列表'!$A$2:$CE$8700,$A124,MATCH(C$1,'2-3 引出列表'!$A$1:$CD$1,0)),"")),"",IFERROR(INDEX('2-3 引出列表'!$A$2:$CE$8700,$A124,MATCH(C$1,'2-3 引出列表'!$A$1:$CD$1,0)),""))</f>
        <v>295611.68</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2025-01-23</v>
      </c>
      <c r="F124" s="30" t="str">
        <f t="shared" si="1"/>
        <v>2025-01</v>
      </c>
      <c r="G124" t="str">
        <f>IF(ISBLANK(IFERROR(INDEX('2-3 引出列表'!$A$2:$CE$8700,$A124,MATCH(G$1,'2-3 引出列表'!$A$1:$CD$1,0)),"")),"",IFERROR(INDEX('2-3 引出列表'!$A$2:$CE$8700,$A124,MATCH(G$1,'2-3 引出列表'!$A$1:$CD$1,0)),""))</f>
        <v>外包服务费.工程施工外包</v>
      </c>
      <c r="H124" t="str">
        <f>IF(ISBLANK(IFERROR(INDEX('2-3 引出列表'!$A$2:$CE$8700,$A124,MATCH(H$1,'2-3 引出列表'!$A$1:$CD$1,0)),"")),"",IFERROR(INDEX('2-3 引出列表'!$A$2:$CE$8700,$A124,MATCH(H$1,'2-3 引出列表'!$A$1:$CD$1,0)),""))</f>
        <v>GCFW-Z-2024-7891</v>
      </c>
      <c r="I124" t="str">
        <f>IF(ISBLANK(IFERROR(INDEX('2-3 引出列表'!$A$2:$CE$8700,$A124,MATCH(I$1,'2-3 引出列表'!$A$1:$CD$1,0)),"")),"",IFERROR(INDEX('2-3 引出列表'!$A$2:$CE$8700,$A124,MATCH(I$1,'2-3 引出列表'!$A$1:$CD$1,0)),""))</f>
        <v>金采易购</v>
      </c>
    </row>
    <row r="125" spans="1:9">
      <c r="A125">
        <v>124</v>
      </c>
      <c r="B125">
        <f>IF(ISBLANK(IFERROR(INDEX('2-3 引出列表'!$A$2:$CE$8700,$A125,MATCH(B$1,'2-3 引出列表'!$A$1:$CD$1,0)),"")),"",IFERROR(INDEX('2-3 引出列表'!$A$2:$CE$8700,$A125,MATCH(B$1,'2-3 引出列表'!$A$1:$CD$1,0)),""))</f>
        <v>0</v>
      </c>
      <c r="C125">
        <f>IF(ISBLANK(IFERROR(INDEX('2-3 引出列表'!$A$2:$CE$8700,$A125,MATCH(C$1,'2-3 引出列表'!$A$1:$CD$1,0)),"")),"",IFERROR(INDEX('2-3 引出列表'!$A$2:$CE$8700,$A125,MATCH(C$1,'2-3 引出列表'!$A$1:$CD$1,0)),""))</f>
        <v>15200</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2025-01-23</v>
      </c>
      <c r="F125" s="30" t="str">
        <f t="shared" si="1"/>
        <v>2025-01</v>
      </c>
      <c r="G125" t="str">
        <f>IF(ISBLANK(IFERROR(INDEX('2-3 引出列表'!$A$2:$CE$8700,$A125,MATCH(G$1,'2-3 引出列表'!$A$1:$CD$1,0)),"")),"",IFERROR(INDEX('2-3 引出列表'!$A$2:$CE$8700,$A125,MATCH(G$1,'2-3 引出列表'!$A$1:$CD$1,0)),""))</f>
        <v>借款.员工借款</v>
      </c>
      <c r="H125">
        <f>IF(ISBLANK(IFERROR(INDEX('2-3 引出列表'!$A$2:$CE$8700,$A125,MATCH(H$1,'2-3 引出列表'!$A$1:$CD$1,0)),"")),"",IFERROR(INDEX('2-3 引出列表'!$A$2:$CE$8700,$A125,MATCH(H$1,'2-3 引出列表'!$A$1:$CD$1,0)),""))</f>
        <v>0</v>
      </c>
      <c r="I125">
        <f>IF(ISBLANK(IFERROR(INDEX('2-3 引出列表'!$A$2:$CE$8700,$A125,MATCH(I$1,'2-3 引出列表'!$A$1:$CD$1,0)),"")),"",IFERROR(INDEX('2-3 引出列表'!$A$2:$CE$8700,$A125,MATCH(I$1,'2-3 引出列表'!$A$1:$CD$1,0)),""))</f>
        <v>0</v>
      </c>
    </row>
    <row r="126" spans="1:9">
      <c r="A126">
        <v>125</v>
      </c>
      <c r="B126" t="str">
        <f>IF(ISBLANK(IFERROR(INDEX('2-3 引出列表'!$A$2:$CE$8700,$A126,MATCH(B$1,'2-3 引出列表'!$A$1:$CD$1,0)),"")),"",IFERROR(INDEX('2-3 引出列表'!$A$2:$CE$8700,$A126,MATCH(B$1,'2-3 引出列表'!$A$1:$CD$1,0)),""))</f>
        <v>FK250606000403</v>
      </c>
      <c r="C126">
        <f>IF(ISBLANK(IFERROR(INDEX('2-3 引出列表'!$A$2:$CE$8700,$A126,MATCH(C$1,'2-3 引出列表'!$A$1:$CD$1,0)),"")),"",IFERROR(INDEX('2-3 引出列表'!$A$2:$CE$8700,$A126,MATCH(C$1,'2-3 引出列表'!$A$1:$CD$1,0)),""))</f>
        <v>29713.2</v>
      </c>
      <c r="D126" t="str">
        <f>IF(ISBLANK(IFERROR(INDEX('2-3 引出列表'!$A$2:$CE$8700,$A126,MATCH(D$1,'2-3 引出列表'!$A$1:$CD$1,0)),"")),"",IFERROR(INDEX('2-3 引出列表'!$A$2:$CE$8700,$A126,MATCH(D$1,'2-3 引出列表'!$A$1:$CD$1,0)),""))</f>
        <v>已提交</v>
      </c>
      <c r="E126" t="str">
        <f>IF(ISBLANK(IFERROR(INDEX('2-3 引出列表'!$A$2:$CE$8700,$A126,MATCH(E$1,'2-3 引出列表'!$A$1:$CD$1,0)),"")),"",IFERROR(INDEX('2-3 引出列表'!$A$2:$CE$8700,$A126,MATCH(E$1,'2-3 引出列表'!$A$1:$CD$1,0)),""))</f>
        <v>2025-06-06</v>
      </c>
      <c r="F126" s="30" t="str">
        <f t="shared" si="1"/>
        <v>2025-06</v>
      </c>
      <c r="G126" t="str">
        <f>IF(ISBLANK(IFERROR(INDEX('2-3 引出列表'!$A$2:$CE$8700,$A126,MATCH(G$1,'2-3 引出列表'!$A$1:$CD$1,0)),"")),"",IFERROR(INDEX('2-3 引出列表'!$A$2:$CE$8700,$A126,MATCH(G$1,'2-3 引出列表'!$A$1:$CD$1,0)),""))</f>
        <v>物料消耗.物料消耗</v>
      </c>
      <c r="H126">
        <f>IF(ISBLANK(IFERROR(INDEX('2-3 引出列表'!$A$2:$CE$8700,$A126,MATCH(H$1,'2-3 引出列表'!$A$1:$CD$1,0)),"")),"",IFERROR(INDEX('2-3 引出列表'!$A$2:$CE$8700,$A126,MATCH(H$1,'2-3 引出列表'!$A$1:$CD$1,0)),""))</f>
        <v>0</v>
      </c>
      <c r="I126" t="str">
        <f>IF(ISBLANK(IFERROR(INDEX('2-3 引出列表'!$A$2:$CE$8700,$A126,MATCH(I$1,'2-3 引出列表'!$A$1:$CD$1,0)),"")),"",IFERROR(INDEX('2-3 引出列表'!$A$2:$CE$8700,$A126,MATCH(I$1,'2-3 引出列表'!$A$1:$CD$1,0)),""))</f>
        <v>金采易购</v>
      </c>
    </row>
    <row r="127" spans="1:9">
      <c r="A127">
        <v>126</v>
      </c>
      <c r="B127" t="str">
        <f>IF(ISBLANK(IFERROR(INDEX('2-3 引出列表'!$A$2:$CE$8700,$A127,MATCH(B$1,'2-3 引出列表'!$A$1:$CD$1,0)),"")),"",IFERROR(INDEX('2-3 引出列表'!$A$2:$CE$8700,$A127,MATCH(B$1,'2-3 引出列表'!$A$1:$CD$1,0)),""))</f>
        <v>FK250606000273</v>
      </c>
      <c r="C127">
        <f>IF(ISBLANK(IFERROR(INDEX('2-3 引出列表'!$A$2:$CE$8700,$A127,MATCH(C$1,'2-3 引出列表'!$A$1:$CD$1,0)),"")),"",IFERROR(INDEX('2-3 引出列表'!$A$2:$CE$8700,$A127,MATCH(C$1,'2-3 引出列表'!$A$1:$CD$1,0)),""))</f>
        <v>15284.4</v>
      </c>
      <c r="D127" t="str">
        <f>IF(ISBLANK(IFERROR(INDEX('2-3 引出列表'!$A$2:$CE$8700,$A127,MATCH(D$1,'2-3 引出列表'!$A$1:$CD$1,0)),"")),"",IFERROR(INDEX('2-3 引出列表'!$A$2:$CE$8700,$A127,MATCH(D$1,'2-3 引出列表'!$A$1:$CD$1,0)),""))</f>
        <v>已提交</v>
      </c>
      <c r="E127" t="str">
        <f>IF(ISBLANK(IFERROR(INDEX('2-3 引出列表'!$A$2:$CE$8700,$A127,MATCH(E$1,'2-3 引出列表'!$A$1:$CD$1,0)),"")),"",IFERROR(INDEX('2-3 引出列表'!$A$2:$CE$8700,$A127,MATCH(E$1,'2-3 引出列表'!$A$1:$CD$1,0)),""))</f>
        <v>2025-06-06</v>
      </c>
      <c r="F127" s="30" t="str">
        <f t="shared" si="1"/>
        <v>2025-06</v>
      </c>
      <c r="G127" t="str">
        <f>IF(ISBLANK(IFERROR(INDEX('2-3 引出列表'!$A$2:$CE$8700,$A127,MATCH(G$1,'2-3 引出列表'!$A$1:$CD$1,0)),"")),"",IFERROR(INDEX('2-3 引出列表'!$A$2:$CE$8700,$A127,MATCH(G$1,'2-3 引出列表'!$A$1:$CD$1,0)),""))</f>
        <v>物料消耗.物料消耗</v>
      </c>
      <c r="H127">
        <f>IF(ISBLANK(IFERROR(INDEX('2-3 引出列表'!$A$2:$CE$8700,$A127,MATCH(H$1,'2-3 引出列表'!$A$1:$CD$1,0)),"")),"",IFERROR(INDEX('2-3 引出列表'!$A$2:$CE$8700,$A127,MATCH(H$1,'2-3 引出列表'!$A$1:$CD$1,0)),""))</f>
        <v>0</v>
      </c>
      <c r="I127" t="str">
        <f>IF(ISBLANK(IFERROR(INDEX('2-3 引出列表'!$A$2:$CE$8700,$A127,MATCH(I$1,'2-3 引出列表'!$A$1:$CD$1,0)),"")),"",IFERROR(INDEX('2-3 引出列表'!$A$2:$CE$8700,$A127,MATCH(I$1,'2-3 引出列表'!$A$1:$CD$1,0)),""))</f>
        <v>金采易购</v>
      </c>
    </row>
    <row r="128" spans="1:9">
      <c r="A128">
        <v>127</v>
      </c>
      <c r="B128" t="str">
        <f>IF(ISBLANK(IFERROR(INDEX('2-3 引出列表'!$A$2:$CE$8700,$A128,MATCH(B$1,'2-3 引出列表'!$A$1:$CD$1,0)),"")),"",IFERROR(INDEX('2-3 引出列表'!$A$2:$CE$8700,$A128,MATCH(B$1,'2-3 引出列表'!$A$1:$CD$1,0)),""))</f>
        <v>FK250606000273</v>
      </c>
      <c r="C128">
        <f>IF(ISBLANK(IFERROR(INDEX('2-3 引出列表'!$A$2:$CE$8700,$A128,MATCH(C$1,'2-3 引出列表'!$A$1:$CD$1,0)),"")),"",IFERROR(INDEX('2-3 引出列表'!$A$2:$CE$8700,$A128,MATCH(C$1,'2-3 引出列表'!$A$1:$CD$1,0)),""))</f>
        <v>15284.4</v>
      </c>
      <c r="D128" t="str">
        <f>IF(ISBLANK(IFERROR(INDEX('2-3 引出列表'!$A$2:$CE$8700,$A128,MATCH(D$1,'2-3 引出列表'!$A$1:$CD$1,0)),"")),"",IFERROR(INDEX('2-3 引出列表'!$A$2:$CE$8700,$A128,MATCH(D$1,'2-3 引出列表'!$A$1:$CD$1,0)),""))</f>
        <v>已提交</v>
      </c>
      <c r="E128" t="str">
        <f>IF(ISBLANK(IFERROR(INDEX('2-3 引出列表'!$A$2:$CE$8700,$A128,MATCH(E$1,'2-3 引出列表'!$A$1:$CD$1,0)),"")),"",IFERROR(INDEX('2-3 引出列表'!$A$2:$CE$8700,$A128,MATCH(E$1,'2-3 引出列表'!$A$1:$CD$1,0)),""))</f>
        <v>2025-06-06</v>
      </c>
      <c r="F128" s="30" t="str">
        <f t="shared" si="1"/>
        <v>2025-06</v>
      </c>
      <c r="G128" t="str">
        <f>IF(ISBLANK(IFERROR(INDEX('2-3 引出列表'!$A$2:$CE$8700,$A128,MATCH(G$1,'2-3 引出列表'!$A$1:$CD$1,0)),"")),"",IFERROR(INDEX('2-3 引出列表'!$A$2:$CE$8700,$A128,MATCH(G$1,'2-3 引出列表'!$A$1:$CD$1,0)),""))</f>
        <v>物料消耗.物料消耗</v>
      </c>
      <c r="H128">
        <f>IF(ISBLANK(IFERROR(INDEX('2-3 引出列表'!$A$2:$CE$8700,$A128,MATCH(H$1,'2-3 引出列表'!$A$1:$CD$1,0)),"")),"",IFERROR(INDEX('2-3 引出列表'!$A$2:$CE$8700,$A128,MATCH(H$1,'2-3 引出列表'!$A$1:$CD$1,0)),""))</f>
        <v>0</v>
      </c>
      <c r="I128" t="str">
        <f>IF(ISBLANK(IFERROR(INDEX('2-3 引出列表'!$A$2:$CE$8700,$A128,MATCH(I$1,'2-3 引出列表'!$A$1:$CD$1,0)),"")),"",IFERROR(INDEX('2-3 引出列表'!$A$2:$CE$8700,$A128,MATCH(I$1,'2-3 引出列表'!$A$1:$CD$1,0)),""))</f>
        <v>金采易购</v>
      </c>
    </row>
    <row r="129" spans="1:9">
      <c r="A129">
        <v>128</v>
      </c>
      <c r="B129" t="str">
        <f>IF(ISBLANK(IFERROR(INDEX('2-3 引出列表'!$A$2:$CE$8700,$A129,MATCH(B$1,'2-3 引出列表'!$A$1:$CD$1,0)),"")),"",IFERROR(INDEX('2-3 引出列表'!$A$2:$CE$8700,$A129,MATCH(B$1,'2-3 引出列表'!$A$1:$CD$1,0)),""))</f>
        <v>FK250605001172</v>
      </c>
      <c r="C129">
        <f>IF(ISBLANK(IFERROR(INDEX('2-3 引出列表'!$A$2:$CE$8700,$A129,MATCH(C$1,'2-3 引出列表'!$A$1:$CD$1,0)),"")),"",IFERROR(INDEX('2-3 引出列表'!$A$2:$CE$8700,$A129,MATCH(C$1,'2-3 引出列表'!$A$1:$CD$1,0)),""))</f>
        <v>4705.7</v>
      </c>
      <c r="D129" t="str">
        <f>IF(ISBLANK(IFERROR(INDEX('2-3 引出列表'!$A$2:$CE$8700,$A129,MATCH(D$1,'2-3 引出列表'!$A$1:$CD$1,0)),"")),"",IFERROR(INDEX('2-3 引出列表'!$A$2:$CE$8700,$A129,MATCH(D$1,'2-3 引出列表'!$A$1:$CD$1,0)),""))</f>
        <v>已提交</v>
      </c>
      <c r="E129" t="str">
        <f>IF(ISBLANK(IFERROR(INDEX('2-3 引出列表'!$A$2:$CE$8700,$A129,MATCH(E$1,'2-3 引出列表'!$A$1:$CD$1,0)),"")),"",IFERROR(INDEX('2-3 引出列表'!$A$2:$CE$8700,$A129,MATCH(E$1,'2-3 引出列表'!$A$1:$CD$1,0)),""))</f>
        <v>2025-06-05</v>
      </c>
      <c r="F129" s="30" t="str">
        <f t="shared" si="1"/>
        <v>2025-06</v>
      </c>
      <c r="G129" t="str">
        <f>IF(ISBLANK(IFERROR(INDEX('2-3 引出列表'!$A$2:$CE$8700,$A129,MATCH(G$1,'2-3 引出列表'!$A$1:$CD$1,0)),"")),"",IFERROR(INDEX('2-3 引出列表'!$A$2:$CE$8700,$A129,MATCH(G$1,'2-3 引出列表'!$A$1:$CD$1,0)),""))</f>
        <v>物料消耗.物料消耗</v>
      </c>
      <c r="H129" t="str">
        <f>IF(ISBLANK(IFERROR(INDEX('2-3 引出列表'!$A$2:$CE$8700,$A129,MATCH(H$1,'2-3 引出列表'!$A$1:$CD$1,0)),"")),"",IFERROR(INDEX('2-3 引出列表'!$A$2:$CE$8700,$A129,MATCH(H$1,'2-3 引出列表'!$A$1:$CD$1,0)),""))</f>
        <v>ZB20210901JCWZ02</v>
      </c>
      <c r="I129" t="str">
        <f>IF(ISBLANK(IFERROR(INDEX('2-3 引出列表'!$A$2:$CE$8700,$A129,MATCH(I$1,'2-3 引出列表'!$A$1:$CD$1,0)),"")),"",IFERROR(INDEX('2-3 引出列表'!$A$2:$CE$8700,$A129,MATCH(I$1,'2-3 引出列表'!$A$1:$CD$1,0)),""))</f>
        <v>金采易购</v>
      </c>
    </row>
    <row r="130" spans="1:9">
      <c r="A130">
        <v>129</v>
      </c>
      <c r="B130" t="str">
        <f>IF(ISBLANK(IFERROR(INDEX('2-3 引出列表'!$A$2:$CE$8700,$A130,MATCH(B$1,'2-3 引出列表'!$A$1:$CD$1,0)),"")),"",IFERROR(INDEX('2-3 引出列表'!$A$2:$CE$8700,$A130,MATCH(B$1,'2-3 引出列表'!$A$1:$CD$1,0)),""))</f>
        <v>FK250605001172</v>
      </c>
      <c r="C130">
        <f>IF(ISBLANK(IFERROR(INDEX('2-3 引出列表'!$A$2:$CE$8700,$A130,MATCH(C$1,'2-3 引出列表'!$A$1:$CD$1,0)),"")),"",IFERROR(INDEX('2-3 引出列表'!$A$2:$CE$8700,$A130,MATCH(C$1,'2-3 引出列表'!$A$1:$CD$1,0)),""))</f>
        <v>4705.7</v>
      </c>
      <c r="D130" t="str">
        <f>IF(ISBLANK(IFERROR(INDEX('2-3 引出列表'!$A$2:$CE$8700,$A130,MATCH(D$1,'2-3 引出列表'!$A$1:$CD$1,0)),"")),"",IFERROR(INDEX('2-3 引出列表'!$A$2:$CE$8700,$A130,MATCH(D$1,'2-3 引出列表'!$A$1:$CD$1,0)),""))</f>
        <v>已提交</v>
      </c>
      <c r="E130" t="str">
        <f>IF(ISBLANK(IFERROR(INDEX('2-3 引出列表'!$A$2:$CE$8700,$A130,MATCH(E$1,'2-3 引出列表'!$A$1:$CD$1,0)),"")),"",IFERROR(INDEX('2-3 引出列表'!$A$2:$CE$8700,$A130,MATCH(E$1,'2-3 引出列表'!$A$1:$CD$1,0)),""))</f>
        <v>2025-06-05</v>
      </c>
      <c r="F130" s="30" t="str">
        <f t="shared" si="1"/>
        <v>2025-06</v>
      </c>
      <c r="G130" t="str">
        <f>IF(ISBLANK(IFERROR(INDEX('2-3 引出列表'!$A$2:$CE$8700,$A130,MATCH(G$1,'2-3 引出列表'!$A$1:$CD$1,0)),"")),"",IFERROR(INDEX('2-3 引出列表'!$A$2:$CE$8700,$A130,MATCH(G$1,'2-3 引出列表'!$A$1:$CD$1,0)),""))</f>
        <v>物料消耗.物料消耗</v>
      </c>
      <c r="H130" t="str">
        <f>IF(ISBLANK(IFERROR(INDEX('2-3 引出列表'!$A$2:$CE$8700,$A130,MATCH(H$1,'2-3 引出列表'!$A$1:$CD$1,0)),"")),"",IFERROR(INDEX('2-3 引出列表'!$A$2:$CE$8700,$A130,MATCH(H$1,'2-3 引出列表'!$A$1:$CD$1,0)),""))</f>
        <v>ZB20210901JCWZ02</v>
      </c>
      <c r="I130" t="str">
        <f>IF(ISBLANK(IFERROR(INDEX('2-3 引出列表'!$A$2:$CE$8700,$A130,MATCH(I$1,'2-3 引出列表'!$A$1:$CD$1,0)),"")),"",IFERROR(INDEX('2-3 引出列表'!$A$2:$CE$8700,$A130,MATCH(I$1,'2-3 引出列表'!$A$1:$CD$1,0)),""))</f>
        <v>金采易购</v>
      </c>
    </row>
    <row r="131" spans="1:9">
      <c r="A131">
        <v>130</v>
      </c>
      <c r="B131" t="str">
        <f>IF(ISBLANK(IFERROR(INDEX('2-3 引出列表'!$A$2:$CE$8700,$A131,MATCH(B$1,'2-3 引出列表'!$A$1:$CD$1,0)),"")),"",IFERROR(INDEX('2-3 引出列表'!$A$2:$CE$8700,$A131,MATCH(B$1,'2-3 引出列表'!$A$1:$CD$1,0)),""))</f>
        <v>FK250605001172</v>
      </c>
      <c r="C131">
        <f>IF(ISBLANK(IFERROR(INDEX('2-3 引出列表'!$A$2:$CE$8700,$A131,MATCH(C$1,'2-3 引出列表'!$A$1:$CD$1,0)),"")),"",IFERROR(INDEX('2-3 引出列表'!$A$2:$CE$8700,$A131,MATCH(C$1,'2-3 引出列表'!$A$1:$CD$1,0)),""))</f>
        <v>4705.7</v>
      </c>
      <c r="D131" t="str">
        <f>IF(ISBLANK(IFERROR(INDEX('2-3 引出列表'!$A$2:$CE$8700,$A131,MATCH(D$1,'2-3 引出列表'!$A$1:$CD$1,0)),"")),"",IFERROR(INDEX('2-3 引出列表'!$A$2:$CE$8700,$A131,MATCH(D$1,'2-3 引出列表'!$A$1:$CD$1,0)),""))</f>
        <v>已提交</v>
      </c>
      <c r="E131" t="str">
        <f>IF(ISBLANK(IFERROR(INDEX('2-3 引出列表'!$A$2:$CE$8700,$A131,MATCH(E$1,'2-3 引出列表'!$A$1:$CD$1,0)),"")),"",IFERROR(INDEX('2-3 引出列表'!$A$2:$CE$8700,$A131,MATCH(E$1,'2-3 引出列表'!$A$1:$CD$1,0)),""))</f>
        <v>2025-06-05</v>
      </c>
      <c r="F131" s="30" t="str">
        <f t="shared" ref="F131:F194" si="2">LEFT(E131,7)</f>
        <v>2025-06</v>
      </c>
      <c r="G131" t="str">
        <f>IF(ISBLANK(IFERROR(INDEX('2-3 引出列表'!$A$2:$CE$8700,$A131,MATCH(G$1,'2-3 引出列表'!$A$1:$CD$1,0)),"")),"",IFERROR(INDEX('2-3 引出列表'!$A$2:$CE$8700,$A131,MATCH(G$1,'2-3 引出列表'!$A$1:$CD$1,0)),""))</f>
        <v>物料消耗.物料消耗</v>
      </c>
      <c r="H131" t="str">
        <f>IF(ISBLANK(IFERROR(INDEX('2-3 引出列表'!$A$2:$CE$8700,$A131,MATCH(H$1,'2-3 引出列表'!$A$1:$CD$1,0)),"")),"",IFERROR(INDEX('2-3 引出列表'!$A$2:$CE$8700,$A131,MATCH(H$1,'2-3 引出列表'!$A$1:$CD$1,0)),""))</f>
        <v>ZB20210901JCWZ02</v>
      </c>
      <c r="I131" t="str">
        <f>IF(ISBLANK(IFERROR(INDEX('2-3 引出列表'!$A$2:$CE$8700,$A131,MATCH(I$1,'2-3 引出列表'!$A$1:$CD$1,0)),"")),"",IFERROR(INDEX('2-3 引出列表'!$A$2:$CE$8700,$A131,MATCH(I$1,'2-3 引出列表'!$A$1:$CD$1,0)),""))</f>
        <v>金采易购</v>
      </c>
    </row>
    <row r="132" spans="1:9">
      <c r="A132">
        <v>131</v>
      </c>
      <c r="B132" t="str">
        <f>IF(ISBLANK(IFERROR(INDEX('2-3 引出列表'!$A$2:$CE$8700,$A132,MATCH(B$1,'2-3 引出列表'!$A$1:$CD$1,0)),"")),"",IFERROR(INDEX('2-3 引出列表'!$A$2:$CE$8700,$A132,MATCH(B$1,'2-3 引出列表'!$A$1:$CD$1,0)),""))</f>
        <v>FK250605001172</v>
      </c>
      <c r="C132">
        <f>IF(ISBLANK(IFERROR(INDEX('2-3 引出列表'!$A$2:$CE$8700,$A132,MATCH(C$1,'2-3 引出列表'!$A$1:$CD$1,0)),"")),"",IFERROR(INDEX('2-3 引出列表'!$A$2:$CE$8700,$A132,MATCH(C$1,'2-3 引出列表'!$A$1:$CD$1,0)),""))</f>
        <v>4705.7</v>
      </c>
      <c r="D132" t="str">
        <f>IF(ISBLANK(IFERROR(INDEX('2-3 引出列表'!$A$2:$CE$8700,$A132,MATCH(D$1,'2-3 引出列表'!$A$1:$CD$1,0)),"")),"",IFERROR(INDEX('2-3 引出列表'!$A$2:$CE$8700,$A132,MATCH(D$1,'2-3 引出列表'!$A$1:$CD$1,0)),""))</f>
        <v>已提交</v>
      </c>
      <c r="E132" t="str">
        <f>IF(ISBLANK(IFERROR(INDEX('2-3 引出列表'!$A$2:$CE$8700,$A132,MATCH(E$1,'2-3 引出列表'!$A$1:$CD$1,0)),"")),"",IFERROR(INDEX('2-3 引出列表'!$A$2:$CE$8700,$A132,MATCH(E$1,'2-3 引出列表'!$A$1:$CD$1,0)),""))</f>
        <v>2025-06-05</v>
      </c>
      <c r="F132" s="30" t="str">
        <f t="shared" si="2"/>
        <v>2025-06</v>
      </c>
      <c r="G132" t="str">
        <f>IF(ISBLANK(IFERROR(INDEX('2-3 引出列表'!$A$2:$CE$8700,$A132,MATCH(G$1,'2-3 引出列表'!$A$1:$CD$1,0)),"")),"",IFERROR(INDEX('2-3 引出列表'!$A$2:$CE$8700,$A132,MATCH(G$1,'2-3 引出列表'!$A$1:$CD$1,0)),""))</f>
        <v>物料消耗.物料消耗</v>
      </c>
      <c r="H132" t="str">
        <f>IF(ISBLANK(IFERROR(INDEX('2-3 引出列表'!$A$2:$CE$8700,$A132,MATCH(H$1,'2-3 引出列表'!$A$1:$CD$1,0)),"")),"",IFERROR(INDEX('2-3 引出列表'!$A$2:$CE$8700,$A132,MATCH(H$1,'2-3 引出列表'!$A$1:$CD$1,0)),""))</f>
        <v>ZB20210901JCWZ02</v>
      </c>
      <c r="I132" t="str">
        <f>IF(ISBLANK(IFERROR(INDEX('2-3 引出列表'!$A$2:$CE$8700,$A132,MATCH(I$1,'2-3 引出列表'!$A$1:$CD$1,0)),"")),"",IFERROR(INDEX('2-3 引出列表'!$A$2:$CE$8700,$A132,MATCH(I$1,'2-3 引出列表'!$A$1:$CD$1,0)),""))</f>
        <v>金采易购</v>
      </c>
    </row>
    <row r="133" spans="1:9">
      <c r="A133">
        <v>132</v>
      </c>
      <c r="B133" t="str">
        <f>IF(ISBLANK(IFERROR(INDEX('2-3 引出列表'!$A$2:$CE$8700,$A133,MATCH(B$1,'2-3 引出列表'!$A$1:$CD$1,0)),"")),"",IFERROR(INDEX('2-3 引出列表'!$A$2:$CE$8700,$A133,MATCH(B$1,'2-3 引出列表'!$A$1:$CD$1,0)),""))</f>
        <v>FK250605001172</v>
      </c>
      <c r="C133">
        <f>IF(ISBLANK(IFERROR(INDEX('2-3 引出列表'!$A$2:$CE$8700,$A133,MATCH(C$1,'2-3 引出列表'!$A$1:$CD$1,0)),"")),"",IFERROR(INDEX('2-3 引出列表'!$A$2:$CE$8700,$A133,MATCH(C$1,'2-3 引出列表'!$A$1:$CD$1,0)),""))</f>
        <v>4705.7</v>
      </c>
      <c r="D133" t="str">
        <f>IF(ISBLANK(IFERROR(INDEX('2-3 引出列表'!$A$2:$CE$8700,$A133,MATCH(D$1,'2-3 引出列表'!$A$1:$CD$1,0)),"")),"",IFERROR(INDEX('2-3 引出列表'!$A$2:$CE$8700,$A133,MATCH(D$1,'2-3 引出列表'!$A$1:$CD$1,0)),""))</f>
        <v>已提交</v>
      </c>
      <c r="E133" t="str">
        <f>IF(ISBLANK(IFERROR(INDEX('2-3 引出列表'!$A$2:$CE$8700,$A133,MATCH(E$1,'2-3 引出列表'!$A$1:$CD$1,0)),"")),"",IFERROR(INDEX('2-3 引出列表'!$A$2:$CE$8700,$A133,MATCH(E$1,'2-3 引出列表'!$A$1:$CD$1,0)),""))</f>
        <v>2025-06-05</v>
      </c>
      <c r="F133" s="30" t="str">
        <f t="shared" si="2"/>
        <v>2025-06</v>
      </c>
      <c r="G133" t="str">
        <f>IF(ISBLANK(IFERROR(INDEX('2-3 引出列表'!$A$2:$CE$8700,$A133,MATCH(G$1,'2-3 引出列表'!$A$1:$CD$1,0)),"")),"",IFERROR(INDEX('2-3 引出列表'!$A$2:$CE$8700,$A133,MATCH(G$1,'2-3 引出列表'!$A$1:$CD$1,0)),""))</f>
        <v>物料消耗.物料消耗</v>
      </c>
      <c r="H133" t="str">
        <f>IF(ISBLANK(IFERROR(INDEX('2-3 引出列表'!$A$2:$CE$8700,$A133,MATCH(H$1,'2-3 引出列表'!$A$1:$CD$1,0)),"")),"",IFERROR(INDEX('2-3 引出列表'!$A$2:$CE$8700,$A133,MATCH(H$1,'2-3 引出列表'!$A$1:$CD$1,0)),""))</f>
        <v>ZB20210901JCWZ02</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FK250605001172</v>
      </c>
      <c r="C134">
        <f>IF(ISBLANK(IFERROR(INDEX('2-3 引出列表'!$A$2:$CE$8700,$A134,MATCH(C$1,'2-3 引出列表'!$A$1:$CD$1,0)),"")),"",IFERROR(INDEX('2-3 引出列表'!$A$2:$CE$8700,$A134,MATCH(C$1,'2-3 引出列表'!$A$1:$CD$1,0)),""))</f>
        <v>4705.7</v>
      </c>
      <c r="D134" t="str">
        <f>IF(ISBLANK(IFERROR(INDEX('2-3 引出列表'!$A$2:$CE$8700,$A134,MATCH(D$1,'2-3 引出列表'!$A$1:$CD$1,0)),"")),"",IFERROR(INDEX('2-3 引出列表'!$A$2:$CE$8700,$A134,MATCH(D$1,'2-3 引出列表'!$A$1:$CD$1,0)),""))</f>
        <v>已提交</v>
      </c>
      <c r="E134" t="str">
        <f>IF(ISBLANK(IFERROR(INDEX('2-3 引出列表'!$A$2:$CE$8700,$A134,MATCH(E$1,'2-3 引出列表'!$A$1:$CD$1,0)),"")),"",IFERROR(INDEX('2-3 引出列表'!$A$2:$CE$8700,$A134,MATCH(E$1,'2-3 引出列表'!$A$1:$CD$1,0)),""))</f>
        <v>2025-06-05</v>
      </c>
      <c r="F134" s="30" t="str">
        <f t="shared" si="2"/>
        <v>2025-06</v>
      </c>
      <c r="G134" t="str">
        <f>IF(ISBLANK(IFERROR(INDEX('2-3 引出列表'!$A$2:$CE$8700,$A134,MATCH(G$1,'2-3 引出列表'!$A$1:$CD$1,0)),"")),"",IFERROR(INDEX('2-3 引出列表'!$A$2:$CE$8700,$A134,MATCH(G$1,'2-3 引出列表'!$A$1:$CD$1,0)),""))</f>
        <v>物料消耗.物料消耗</v>
      </c>
      <c r="H134" t="str">
        <f>IF(ISBLANK(IFERROR(INDEX('2-3 引出列表'!$A$2:$CE$8700,$A134,MATCH(H$1,'2-3 引出列表'!$A$1:$CD$1,0)),"")),"",IFERROR(INDEX('2-3 引出列表'!$A$2:$CE$8700,$A134,MATCH(H$1,'2-3 引出列表'!$A$1:$CD$1,0)),""))</f>
        <v>ZB20210901JCWZ02</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FK250605001172</v>
      </c>
      <c r="C135">
        <f>IF(ISBLANK(IFERROR(INDEX('2-3 引出列表'!$A$2:$CE$8700,$A135,MATCH(C$1,'2-3 引出列表'!$A$1:$CD$1,0)),"")),"",IFERROR(INDEX('2-3 引出列表'!$A$2:$CE$8700,$A135,MATCH(C$1,'2-3 引出列表'!$A$1:$CD$1,0)),""))</f>
        <v>4705.7</v>
      </c>
      <c r="D135" t="str">
        <f>IF(ISBLANK(IFERROR(INDEX('2-3 引出列表'!$A$2:$CE$8700,$A135,MATCH(D$1,'2-3 引出列表'!$A$1:$CD$1,0)),"")),"",IFERROR(INDEX('2-3 引出列表'!$A$2:$CE$8700,$A135,MATCH(D$1,'2-3 引出列表'!$A$1:$CD$1,0)),""))</f>
        <v>已提交</v>
      </c>
      <c r="E135" t="str">
        <f>IF(ISBLANK(IFERROR(INDEX('2-3 引出列表'!$A$2:$CE$8700,$A135,MATCH(E$1,'2-3 引出列表'!$A$1:$CD$1,0)),"")),"",IFERROR(INDEX('2-3 引出列表'!$A$2:$CE$8700,$A135,MATCH(E$1,'2-3 引出列表'!$A$1:$CD$1,0)),""))</f>
        <v>2025-06-05</v>
      </c>
      <c r="F135" s="30" t="str">
        <f t="shared" si="2"/>
        <v>2025-06</v>
      </c>
      <c r="G135" t="str">
        <f>IF(ISBLANK(IFERROR(INDEX('2-3 引出列表'!$A$2:$CE$8700,$A135,MATCH(G$1,'2-3 引出列表'!$A$1:$CD$1,0)),"")),"",IFERROR(INDEX('2-3 引出列表'!$A$2:$CE$8700,$A135,MATCH(G$1,'2-3 引出列表'!$A$1:$CD$1,0)),""))</f>
        <v>物料消耗.物料消耗</v>
      </c>
      <c r="H135" t="str">
        <f>IF(ISBLANK(IFERROR(INDEX('2-3 引出列表'!$A$2:$CE$8700,$A135,MATCH(H$1,'2-3 引出列表'!$A$1:$CD$1,0)),"")),"",IFERROR(INDEX('2-3 引出列表'!$A$2:$CE$8700,$A135,MATCH(H$1,'2-3 引出列表'!$A$1:$CD$1,0)),""))</f>
        <v>ZB20210901JCWZ02</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FK250605001172</v>
      </c>
      <c r="C136">
        <f>IF(ISBLANK(IFERROR(INDEX('2-3 引出列表'!$A$2:$CE$8700,$A136,MATCH(C$1,'2-3 引出列表'!$A$1:$CD$1,0)),"")),"",IFERROR(INDEX('2-3 引出列表'!$A$2:$CE$8700,$A136,MATCH(C$1,'2-3 引出列表'!$A$1:$CD$1,0)),""))</f>
        <v>4705.7</v>
      </c>
      <c r="D136" t="str">
        <f>IF(ISBLANK(IFERROR(INDEX('2-3 引出列表'!$A$2:$CE$8700,$A136,MATCH(D$1,'2-3 引出列表'!$A$1:$CD$1,0)),"")),"",IFERROR(INDEX('2-3 引出列表'!$A$2:$CE$8700,$A136,MATCH(D$1,'2-3 引出列表'!$A$1:$CD$1,0)),""))</f>
        <v>已提交</v>
      </c>
      <c r="E136" t="str">
        <f>IF(ISBLANK(IFERROR(INDEX('2-3 引出列表'!$A$2:$CE$8700,$A136,MATCH(E$1,'2-3 引出列表'!$A$1:$CD$1,0)),"")),"",IFERROR(INDEX('2-3 引出列表'!$A$2:$CE$8700,$A136,MATCH(E$1,'2-3 引出列表'!$A$1:$CD$1,0)),""))</f>
        <v>2025-06-05</v>
      </c>
      <c r="F136" s="30" t="str">
        <f t="shared" si="2"/>
        <v>2025-06</v>
      </c>
      <c r="G136" t="str">
        <f>IF(ISBLANK(IFERROR(INDEX('2-3 引出列表'!$A$2:$CE$8700,$A136,MATCH(G$1,'2-3 引出列表'!$A$1:$CD$1,0)),"")),"",IFERROR(INDEX('2-3 引出列表'!$A$2:$CE$8700,$A136,MATCH(G$1,'2-3 引出列表'!$A$1:$CD$1,0)),""))</f>
        <v>物料消耗.物料消耗</v>
      </c>
      <c r="H136" t="str">
        <f>IF(ISBLANK(IFERROR(INDEX('2-3 引出列表'!$A$2:$CE$8700,$A136,MATCH(H$1,'2-3 引出列表'!$A$1:$CD$1,0)),"")),"",IFERROR(INDEX('2-3 引出列表'!$A$2:$CE$8700,$A136,MATCH(H$1,'2-3 引出列表'!$A$1:$CD$1,0)),""))</f>
        <v>ZB20210901JCWZ02</v>
      </c>
      <c r="I136" t="str">
        <f>IF(ISBLANK(IFERROR(INDEX('2-3 引出列表'!$A$2:$CE$8700,$A136,MATCH(I$1,'2-3 引出列表'!$A$1:$CD$1,0)),"")),"",IFERROR(INDEX('2-3 引出列表'!$A$2:$CE$8700,$A136,MATCH(I$1,'2-3 引出列表'!$A$1:$CD$1,0)),""))</f>
        <v>金采易购</v>
      </c>
    </row>
    <row r="137" spans="1:9">
      <c r="A137">
        <v>136</v>
      </c>
      <c r="B137" t="str">
        <f>IF(ISBLANK(IFERROR(INDEX('2-3 引出列表'!$A$2:$CE$8700,$A137,MATCH(B$1,'2-3 引出列表'!$A$1:$CD$1,0)),"")),"",IFERROR(INDEX('2-3 引出列表'!$A$2:$CE$8700,$A137,MATCH(B$1,'2-3 引出列表'!$A$1:$CD$1,0)),""))</f>
        <v>FK250605001172</v>
      </c>
      <c r="C137">
        <f>IF(ISBLANK(IFERROR(INDEX('2-3 引出列表'!$A$2:$CE$8700,$A137,MATCH(C$1,'2-3 引出列表'!$A$1:$CD$1,0)),"")),"",IFERROR(INDEX('2-3 引出列表'!$A$2:$CE$8700,$A137,MATCH(C$1,'2-3 引出列表'!$A$1:$CD$1,0)),""))</f>
        <v>4705.7</v>
      </c>
      <c r="D137" t="str">
        <f>IF(ISBLANK(IFERROR(INDEX('2-3 引出列表'!$A$2:$CE$8700,$A137,MATCH(D$1,'2-3 引出列表'!$A$1:$CD$1,0)),"")),"",IFERROR(INDEX('2-3 引出列表'!$A$2:$CE$8700,$A137,MATCH(D$1,'2-3 引出列表'!$A$1:$CD$1,0)),""))</f>
        <v>已提交</v>
      </c>
      <c r="E137" t="str">
        <f>IF(ISBLANK(IFERROR(INDEX('2-3 引出列表'!$A$2:$CE$8700,$A137,MATCH(E$1,'2-3 引出列表'!$A$1:$CD$1,0)),"")),"",IFERROR(INDEX('2-3 引出列表'!$A$2:$CE$8700,$A137,MATCH(E$1,'2-3 引出列表'!$A$1:$CD$1,0)),""))</f>
        <v>2025-06-05</v>
      </c>
      <c r="F137" s="30" t="str">
        <f t="shared" si="2"/>
        <v>2025-06</v>
      </c>
      <c r="G137" t="str">
        <f>IF(ISBLANK(IFERROR(INDEX('2-3 引出列表'!$A$2:$CE$8700,$A137,MATCH(G$1,'2-3 引出列表'!$A$1:$CD$1,0)),"")),"",IFERROR(INDEX('2-3 引出列表'!$A$2:$CE$8700,$A137,MATCH(G$1,'2-3 引出列表'!$A$1:$CD$1,0)),""))</f>
        <v>物料消耗.物料消耗</v>
      </c>
      <c r="H137" t="str">
        <f>IF(ISBLANK(IFERROR(INDEX('2-3 引出列表'!$A$2:$CE$8700,$A137,MATCH(H$1,'2-3 引出列表'!$A$1:$CD$1,0)),"")),"",IFERROR(INDEX('2-3 引出列表'!$A$2:$CE$8700,$A137,MATCH(H$1,'2-3 引出列表'!$A$1:$CD$1,0)),""))</f>
        <v>ZB20210901JCWZ02</v>
      </c>
      <c r="I137" t="str">
        <f>IF(ISBLANK(IFERROR(INDEX('2-3 引出列表'!$A$2:$CE$8700,$A137,MATCH(I$1,'2-3 引出列表'!$A$1:$CD$1,0)),"")),"",IFERROR(INDEX('2-3 引出列表'!$A$2:$CE$8700,$A137,MATCH(I$1,'2-3 引出列表'!$A$1:$CD$1,0)),""))</f>
        <v>金采易购</v>
      </c>
    </row>
    <row r="138" spans="1:9">
      <c r="A138">
        <v>137</v>
      </c>
      <c r="B138" t="str">
        <f>IF(ISBLANK(IFERROR(INDEX('2-3 引出列表'!$A$2:$CE$8700,$A138,MATCH(B$1,'2-3 引出列表'!$A$1:$CD$1,0)),"")),"",IFERROR(INDEX('2-3 引出列表'!$A$2:$CE$8700,$A138,MATCH(B$1,'2-3 引出列表'!$A$1:$CD$1,0)),""))</f>
        <v>FK250605001172</v>
      </c>
      <c r="C138">
        <f>IF(ISBLANK(IFERROR(INDEX('2-3 引出列表'!$A$2:$CE$8700,$A138,MATCH(C$1,'2-3 引出列表'!$A$1:$CD$1,0)),"")),"",IFERROR(INDEX('2-3 引出列表'!$A$2:$CE$8700,$A138,MATCH(C$1,'2-3 引出列表'!$A$1:$CD$1,0)),""))</f>
        <v>4705.7</v>
      </c>
      <c r="D138" t="str">
        <f>IF(ISBLANK(IFERROR(INDEX('2-3 引出列表'!$A$2:$CE$8700,$A138,MATCH(D$1,'2-3 引出列表'!$A$1:$CD$1,0)),"")),"",IFERROR(INDEX('2-3 引出列表'!$A$2:$CE$8700,$A138,MATCH(D$1,'2-3 引出列表'!$A$1:$CD$1,0)),""))</f>
        <v>已提交</v>
      </c>
      <c r="E138" t="str">
        <f>IF(ISBLANK(IFERROR(INDEX('2-3 引出列表'!$A$2:$CE$8700,$A138,MATCH(E$1,'2-3 引出列表'!$A$1:$CD$1,0)),"")),"",IFERROR(INDEX('2-3 引出列表'!$A$2:$CE$8700,$A138,MATCH(E$1,'2-3 引出列表'!$A$1:$CD$1,0)),""))</f>
        <v>2025-06-05</v>
      </c>
      <c r="F138" s="30" t="str">
        <f t="shared" si="2"/>
        <v>2025-06</v>
      </c>
      <c r="G138" t="str">
        <f>IF(ISBLANK(IFERROR(INDEX('2-3 引出列表'!$A$2:$CE$8700,$A138,MATCH(G$1,'2-3 引出列表'!$A$1:$CD$1,0)),"")),"",IFERROR(INDEX('2-3 引出列表'!$A$2:$CE$8700,$A138,MATCH(G$1,'2-3 引出列表'!$A$1:$CD$1,0)),""))</f>
        <v>物料消耗.物料消耗</v>
      </c>
      <c r="H138" t="str">
        <f>IF(ISBLANK(IFERROR(INDEX('2-3 引出列表'!$A$2:$CE$8700,$A138,MATCH(H$1,'2-3 引出列表'!$A$1:$CD$1,0)),"")),"",IFERROR(INDEX('2-3 引出列表'!$A$2:$CE$8700,$A138,MATCH(H$1,'2-3 引出列表'!$A$1:$CD$1,0)),""))</f>
        <v>ZB20210901JCWZ02</v>
      </c>
      <c r="I138" t="str">
        <f>IF(ISBLANK(IFERROR(INDEX('2-3 引出列表'!$A$2:$CE$8700,$A138,MATCH(I$1,'2-3 引出列表'!$A$1:$CD$1,0)),"")),"",IFERROR(INDEX('2-3 引出列表'!$A$2:$CE$8700,$A138,MATCH(I$1,'2-3 引出列表'!$A$1:$CD$1,0)),""))</f>
        <v>金采易购</v>
      </c>
    </row>
    <row r="139" spans="1:9">
      <c r="A139">
        <v>138</v>
      </c>
      <c r="B139" t="str">
        <f>IF(ISBLANK(IFERROR(INDEX('2-3 引出列表'!$A$2:$CE$8700,$A139,MATCH(B$1,'2-3 引出列表'!$A$1:$CD$1,0)),"")),"",IFERROR(INDEX('2-3 引出列表'!$A$2:$CE$8700,$A139,MATCH(B$1,'2-3 引出列表'!$A$1:$CD$1,0)),""))</f>
        <v>FK250605001172</v>
      </c>
      <c r="C139">
        <f>IF(ISBLANK(IFERROR(INDEX('2-3 引出列表'!$A$2:$CE$8700,$A139,MATCH(C$1,'2-3 引出列表'!$A$1:$CD$1,0)),"")),"",IFERROR(INDEX('2-3 引出列表'!$A$2:$CE$8700,$A139,MATCH(C$1,'2-3 引出列表'!$A$1:$CD$1,0)),""))</f>
        <v>4705.7</v>
      </c>
      <c r="D139" t="str">
        <f>IF(ISBLANK(IFERROR(INDEX('2-3 引出列表'!$A$2:$CE$8700,$A139,MATCH(D$1,'2-3 引出列表'!$A$1:$CD$1,0)),"")),"",IFERROR(INDEX('2-3 引出列表'!$A$2:$CE$8700,$A139,MATCH(D$1,'2-3 引出列表'!$A$1:$CD$1,0)),""))</f>
        <v>已提交</v>
      </c>
      <c r="E139" t="str">
        <f>IF(ISBLANK(IFERROR(INDEX('2-3 引出列表'!$A$2:$CE$8700,$A139,MATCH(E$1,'2-3 引出列表'!$A$1:$CD$1,0)),"")),"",IFERROR(INDEX('2-3 引出列表'!$A$2:$CE$8700,$A139,MATCH(E$1,'2-3 引出列表'!$A$1:$CD$1,0)),""))</f>
        <v>2025-06-05</v>
      </c>
      <c r="F139" s="30" t="str">
        <f t="shared" si="2"/>
        <v>2025-06</v>
      </c>
      <c r="G139" t="str">
        <f>IF(ISBLANK(IFERROR(INDEX('2-3 引出列表'!$A$2:$CE$8700,$A139,MATCH(G$1,'2-3 引出列表'!$A$1:$CD$1,0)),"")),"",IFERROR(INDEX('2-3 引出列表'!$A$2:$CE$8700,$A139,MATCH(G$1,'2-3 引出列表'!$A$1:$CD$1,0)),""))</f>
        <v>物料消耗.物料消耗</v>
      </c>
      <c r="H139" t="str">
        <f>IF(ISBLANK(IFERROR(INDEX('2-3 引出列表'!$A$2:$CE$8700,$A139,MATCH(H$1,'2-3 引出列表'!$A$1:$CD$1,0)),"")),"",IFERROR(INDEX('2-3 引出列表'!$A$2:$CE$8700,$A139,MATCH(H$1,'2-3 引出列表'!$A$1:$CD$1,0)),""))</f>
        <v>ZB20210901JCWZ02</v>
      </c>
      <c r="I139" t="str">
        <f>IF(ISBLANK(IFERROR(INDEX('2-3 引出列表'!$A$2:$CE$8700,$A139,MATCH(I$1,'2-3 引出列表'!$A$1:$CD$1,0)),"")),"",IFERROR(INDEX('2-3 引出列表'!$A$2:$CE$8700,$A139,MATCH(I$1,'2-3 引出列表'!$A$1:$CD$1,0)),""))</f>
        <v>金采易购</v>
      </c>
    </row>
    <row r="140" spans="1:9">
      <c r="A140">
        <v>139</v>
      </c>
      <c r="B140" t="str">
        <f>IF(ISBLANK(IFERROR(INDEX('2-3 引出列表'!$A$2:$CE$8700,$A140,MATCH(B$1,'2-3 引出列表'!$A$1:$CD$1,0)),"")),"",IFERROR(INDEX('2-3 引出列表'!$A$2:$CE$8700,$A140,MATCH(B$1,'2-3 引出列表'!$A$1:$CD$1,0)),""))</f>
        <v>FK250605001172</v>
      </c>
      <c r="C140">
        <f>IF(ISBLANK(IFERROR(INDEX('2-3 引出列表'!$A$2:$CE$8700,$A140,MATCH(C$1,'2-3 引出列表'!$A$1:$CD$1,0)),"")),"",IFERROR(INDEX('2-3 引出列表'!$A$2:$CE$8700,$A140,MATCH(C$1,'2-3 引出列表'!$A$1:$CD$1,0)),""))</f>
        <v>4705.7</v>
      </c>
      <c r="D140" t="str">
        <f>IF(ISBLANK(IFERROR(INDEX('2-3 引出列表'!$A$2:$CE$8700,$A140,MATCH(D$1,'2-3 引出列表'!$A$1:$CD$1,0)),"")),"",IFERROR(INDEX('2-3 引出列表'!$A$2:$CE$8700,$A140,MATCH(D$1,'2-3 引出列表'!$A$1:$CD$1,0)),""))</f>
        <v>已提交</v>
      </c>
      <c r="E140" t="str">
        <f>IF(ISBLANK(IFERROR(INDEX('2-3 引出列表'!$A$2:$CE$8700,$A140,MATCH(E$1,'2-3 引出列表'!$A$1:$CD$1,0)),"")),"",IFERROR(INDEX('2-3 引出列表'!$A$2:$CE$8700,$A140,MATCH(E$1,'2-3 引出列表'!$A$1:$CD$1,0)),""))</f>
        <v>2025-06-05</v>
      </c>
      <c r="F140" s="30" t="str">
        <f t="shared" si="2"/>
        <v>2025-06</v>
      </c>
      <c r="G140" t="str">
        <f>IF(ISBLANK(IFERROR(INDEX('2-3 引出列表'!$A$2:$CE$8700,$A140,MATCH(G$1,'2-3 引出列表'!$A$1:$CD$1,0)),"")),"",IFERROR(INDEX('2-3 引出列表'!$A$2:$CE$8700,$A140,MATCH(G$1,'2-3 引出列表'!$A$1:$CD$1,0)),""))</f>
        <v>物料消耗.物料消耗</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t="str">
        <f>IF(ISBLANK(IFERROR(INDEX('2-3 引出列表'!$A$2:$CE$8700,$A141,MATCH(B$1,'2-3 引出列表'!$A$1:$CD$1,0)),"")),"",IFERROR(INDEX('2-3 引出列表'!$A$2:$CE$8700,$A141,MATCH(B$1,'2-3 引出列表'!$A$1:$CD$1,0)),""))</f>
        <v>FK250605001172</v>
      </c>
      <c r="C141">
        <f>IF(ISBLANK(IFERROR(INDEX('2-3 引出列表'!$A$2:$CE$8700,$A141,MATCH(C$1,'2-3 引出列表'!$A$1:$CD$1,0)),"")),"",IFERROR(INDEX('2-3 引出列表'!$A$2:$CE$8700,$A141,MATCH(C$1,'2-3 引出列表'!$A$1:$CD$1,0)),""))</f>
        <v>4705.7</v>
      </c>
      <c r="D141" t="str">
        <f>IF(ISBLANK(IFERROR(INDEX('2-3 引出列表'!$A$2:$CE$8700,$A141,MATCH(D$1,'2-3 引出列表'!$A$1:$CD$1,0)),"")),"",IFERROR(INDEX('2-3 引出列表'!$A$2:$CE$8700,$A141,MATCH(D$1,'2-3 引出列表'!$A$1:$CD$1,0)),""))</f>
        <v>已提交</v>
      </c>
      <c r="E141" t="str">
        <f>IF(ISBLANK(IFERROR(INDEX('2-3 引出列表'!$A$2:$CE$8700,$A141,MATCH(E$1,'2-3 引出列表'!$A$1:$CD$1,0)),"")),"",IFERROR(INDEX('2-3 引出列表'!$A$2:$CE$8700,$A141,MATCH(E$1,'2-3 引出列表'!$A$1:$CD$1,0)),""))</f>
        <v>2025-06-05</v>
      </c>
      <c r="F141" s="30" t="str">
        <f t="shared" si="2"/>
        <v>2025-06</v>
      </c>
      <c r="G141" t="str">
        <f>IF(ISBLANK(IFERROR(INDEX('2-3 引出列表'!$A$2:$CE$8700,$A141,MATCH(G$1,'2-3 引出列表'!$A$1:$CD$1,0)),"")),"",IFERROR(INDEX('2-3 引出列表'!$A$2:$CE$8700,$A141,MATCH(G$1,'2-3 引出列表'!$A$1:$CD$1,0)),""))</f>
        <v>物料消耗.物料消耗</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FK250605001172</v>
      </c>
      <c r="C142">
        <f>IF(ISBLANK(IFERROR(INDEX('2-3 引出列表'!$A$2:$CE$8700,$A142,MATCH(C$1,'2-3 引出列表'!$A$1:$CD$1,0)),"")),"",IFERROR(INDEX('2-3 引出列表'!$A$2:$CE$8700,$A142,MATCH(C$1,'2-3 引出列表'!$A$1:$CD$1,0)),""))</f>
        <v>4705.7</v>
      </c>
      <c r="D142" t="str">
        <f>IF(ISBLANK(IFERROR(INDEX('2-3 引出列表'!$A$2:$CE$8700,$A142,MATCH(D$1,'2-3 引出列表'!$A$1:$CD$1,0)),"")),"",IFERROR(INDEX('2-3 引出列表'!$A$2:$CE$8700,$A142,MATCH(D$1,'2-3 引出列表'!$A$1:$CD$1,0)),""))</f>
        <v>已提交</v>
      </c>
      <c r="E142" t="str">
        <f>IF(ISBLANK(IFERROR(INDEX('2-3 引出列表'!$A$2:$CE$8700,$A142,MATCH(E$1,'2-3 引出列表'!$A$1:$CD$1,0)),"")),"",IFERROR(INDEX('2-3 引出列表'!$A$2:$CE$8700,$A142,MATCH(E$1,'2-3 引出列表'!$A$1:$CD$1,0)),""))</f>
        <v>2025-06-05</v>
      </c>
      <c r="F142" s="30" t="str">
        <f t="shared" si="2"/>
        <v>2025-06</v>
      </c>
      <c r="G142" t="str">
        <f>IF(ISBLANK(IFERROR(INDEX('2-3 引出列表'!$A$2:$CE$8700,$A142,MATCH(G$1,'2-3 引出列表'!$A$1:$CD$1,0)),"")),"",IFERROR(INDEX('2-3 引出列表'!$A$2:$CE$8700,$A142,MATCH(G$1,'2-3 引出列表'!$A$1:$CD$1,0)),""))</f>
        <v>物料消耗.物料消耗</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t="str">
        <f>IF(ISBLANK(IFERROR(INDEX('2-3 引出列表'!$A$2:$CE$8700,$A143,MATCH(B$1,'2-3 引出列表'!$A$1:$CD$1,0)),"")),"",IFERROR(INDEX('2-3 引出列表'!$A$2:$CE$8700,$A143,MATCH(B$1,'2-3 引出列表'!$A$1:$CD$1,0)),""))</f>
        <v>FK250605001172</v>
      </c>
      <c r="C143">
        <f>IF(ISBLANK(IFERROR(INDEX('2-3 引出列表'!$A$2:$CE$8700,$A143,MATCH(C$1,'2-3 引出列表'!$A$1:$CD$1,0)),"")),"",IFERROR(INDEX('2-3 引出列表'!$A$2:$CE$8700,$A143,MATCH(C$1,'2-3 引出列表'!$A$1:$CD$1,0)),""))</f>
        <v>4705.7</v>
      </c>
      <c r="D143" t="str">
        <f>IF(ISBLANK(IFERROR(INDEX('2-3 引出列表'!$A$2:$CE$8700,$A143,MATCH(D$1,'2-3 引出列表'!$A$1:$CD$1,0)),"")),"",IFERROR(INDEX('2-3 引出列表'!$A$2:$CE$8700,$A143,MATCH(D$1,'2-3 引出列表'!$A$1:$CD$1,0)),""))</f>
        <v>已提交</v>
      </c>
      <c r="E143" t="str">
        <f>IF(ISBLANK(IFERROR(INDEX('2-3 引出列表'!$A$2:$CE$8700,$A143,MATCH(E$1,'2-3 引出列表'!$A$1:$CD$1,0)),"")),"",IFERROR(INDEX('2-3 引出列表'!$A$2:$CE$8700,$A143,MATCH(E$1,'2-3 引出列表'!$A$1:$CD$1,0)),""))</f>
        <v>2025-06-05</v>
      </c>
      <c r="F143" s="30" t="str">
        <f t="shared" si="2"/>
        <v>2025-06</v>
      </c>
      <c r="G143" t="str">
        <f>IF(ISBLANK(IFERROR(INDEX('2-3 引出列表'!$A$2:$CE$8700,$A143,MATCH(G$1,'2-3 引出列表'!$A$1:$CD$1,0)),"")),"",IFERROR(INDEX('2-3 引出列表'!$A$2:$CE$8700,$A143,MATCH(G$1,'2-3 引出列表'!$A$1:$CD$1,0)),""))</f>
        <v>物料消耗.物料消耗</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FK250605001172</v>
      </c>
      <c r="C144">
        <f>IF(ISBLANK(IFERROR(INDEX('2-3 引出列表'!$A$2:$CE$8700,$A144,MATCH(C$1,'2-3 引出列表'!$A$1:$CD$1,0)),"")),"",IFERROR(INDEX('2-3 引出列表'!$A$2:$CE$8700,$A144,MATCH(C$1,'2-3 引出列表'!$A$1:$CD$1,0)),""))</f>
        <v>4705.7</v>
      </c>
      <c r="D144" t="str">
        <f>IF(ISBLANK(IFERROR(INDEX('2-3 引出列表'!$A$2:$CE$8700,$A144,MATCH(D$1,'2-3 引出列表'!$A$1:$CD$1,0)),"")),"",IFERROR(INDEX('2-3 引出列表'!$A$2:$CE$8700,$A144,MATCH(D$1,'2-3 引出列表'!$A$1:$CD$1,0)),""))</f>
        <v>已提交</v>
      </c>
      <c r="E144" t="str">
        <f>IF(ISBLANK(IFERROR(INDEX('2-3 引出列表'!$A$2:$CE$8700,$A144,MATCH(E$1,'2-3 引出列表'!$A$1:$CD$1,0)),"")),"",IFERROR(INDEX('2-3 引出列表'!$A$2:$CE$8700,$A144,MATCH(E$1,'2-3 引出列表'!$A$1:$CD$1,0)),""))</f>
        <v>2025-06-05</v>
      </c>
      <c r="F144" s="30" t="str">
        <f t="shared" si="2"/>
        <v>2025-06</v>
      </c>
      <c r="G144" t="str">
        <f>IF(ISBLANK(IFERROR(INDEX('2-3 引出列表'!$A$2:$CE$8700,$A144,MATCH(G$1,'2-3 引出列表'!$A$1:$CD$1,0)),"")),"",IFERROR(INDEX('2-3 引出列表'!$A$2:$CE$8700,$A144,MATCH(G$1,'2-3 引出列表'!$A$1:$CD$1,0)),""))</f>
        <v>物料消耗.物料消耗</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FK250605001172</v>
      </c>
      <c r="C145">
        <f>IF(ISBLANK(IFERROR(INDEX('2-3 引出列表'!$A$2:$CE$8700,$A145,MATCH(C$1,'2-3 引出列表'!$A$1:$CD$1,0)),"")),"",IFERROR(INDEX('2-3 引出列表'!$A$2:$CE$8700,$A145,MATCH(C$1,'2-3 引出列表'!$A$1:$CD$1,0)),""))</f>
        <v>4705.7</v>
      </c>
      <c r="D145" t="str">
        <f>IF(ISBLANK(IFERROR(INDEX('2-3 引出列表'!$A$2:$CE$8700,$A145,MATCH(D$1,'2-3 引出列表'!$A$1:$CD$1,0)),"")),"",IFERROR(INDEX('2-3 引出列表'!$A$2:$CE$8700,$A145,MATCH(D$1,'2-3 引出列表'!$A$1:$CD$1,0)),""))</f>
        <v>已提交</v>
      </c>
      <c r="E145" t="str">
        <f>IF(ISBLANK(IFERROR(INDEX('2-3 引出列表'!$A$2:$CE$8700,$A145,MATCH(E$1,'2-3 引出列表'!$A$1:$CD$1,0)),"")),"",IFERROR(INDEX('2-3 引出列表'!$A$2:$CE$8700,$A145,MATCH(E$1,'2-3 引出列表'!$A$1:$CD$1,0)),""))</f>
        <v>2025-06-05</v>
      </c>
      <c r="F145" s="30" t="str">
        <f t="shared" si="2"/>
        <v>2025-06</v>
      </c>
      <c r="G145" t="str">
        <f>IF(ISBLANK(IFERROR(INDEX('2-3 引出列表'!$A$2:$CE$8700,$A145,MATCH(G$1,'2-3 引出列表'!$A$1:$CD$1,0)),"")),"",IFERROR(INDEX('2-3 引出列表'!$A$2:$CE$8700,$A145,MATCH(G$1,'2-3 引出列表'!$A$1:$CD$1,0)),""))</f>
        <v>物料消耗.物料消耗</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FK250605001172</v>
      </c>
      <c r="C146">
        <f>IF(ISBLANK(IFERROR(INDEX('2-3 引出列表'!$A$2:$CE$8700,$A146,MATCH(C$1,'2-3 引出列表'!$A$1:$CD$1,0)),"")),"",IFERROR(INDEX('2-3 引出列表'!$A$2:$CE$8700,$A146,MATCH(C$1,'2-3 引出列表'!$A$1:$CD$1,0)),""))</f>
        <v>4705.7</v>
      </c>
      <c r="D146" t="str">
        <f>IF(ISBLANK(IFERROR(INDEX('2-3 引出列表'!$A$2:$CE$8700,$A146,MATCH(D$1,'2-3 引出列表'!$A$1:$CD$1,0)),"")),"",IFERROR(INDEX('2-3 引出列表'!$A$2:$CE$8700,$A146,MATCH(D$1,'2-3 引出列表'!$A$1:$CD$1,0)),""))</f>
        <v>已提交</v>
      </c>
      <c r="E146" t="str">
        <f>IF(ISBLANK(IFERROR(INDEX('2-3 引出列表'!$A$2:$CE$8700,$A146,MATCH(E$1,'2-3 引出列表'!$A$1:$CD$1,0)),"")),"",IFERROR(INDEX('2-3 引出列表'!$A$2:$CE$8700,$A146,MATCH(E$1,'2-3 引出列表'!$A$1:$CD$1,0)),""))</f>
        <v>2025-06-05</v>
      </c>
      <c r="F146" s="30" t="str">
        <f t="shared" si="2"/>
        <v>2025-06</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FK250605001172</v>
      </c>
      <c r="C147">
        <f>IF(ISBLANK(IFERROR(INDEX('2-3 引出列表'!$A$2:$CE$8700,$A147,MATCH(C$1,'2-3 引出列表'!$A$1:$CD$1,0)),"")),"",IFERROR(INDEX('2-3 引出列表'!$A$2:$CE$8700,$A147,MATCH(C$1,'2-3 引出列表'!$A$1:$CD$1,0)),""))</f>
        <v>4705.7</v>
      </c>
      <c r="D147" t="str">
        <f>IF(ISBLANK(IFERROR(INDEX('2-3 引出列表'!$A$2:$CE$8700,$A147,MATCH(D$1,'2-3 引出列表'!$A$1:$CD$1,0)),"")),"",IFERROR(INDEX('2-3 引出列表'!$A$2:$CE$8700,$A147,MATCH(D$1,'2-3 引出列表'!$A$1:$CD$1,0)),""))</f>
        <v>已提交</v>
      </c>
      <c r="E147" t="str">
        <f>IF(ISBLANK(IFERROR(INDEX('2-3 引出列表'!$A$2:$CE$8700,$A147,MATCH(E$1,'2-3 引出列表'!$A$1:$CD$1,0)),"")),"",IFERROR(INDEX('2-3 引出列表'!$A$2:$CE$8700,$A147,MATCH(E$1,'2-3 引出列表'!$A$1:$CD$1,0)),""))</f>
        <v>2025-06-05</v>
      </c>
      <c r="F147" s="30" t="str">
        <f t="shared" si="2"/>
        <v>2025-06</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FK250605001172</v>
      </c>
      <c r="C148">
        <f>IF(ISBLANK(IFERROR(INDEX('2-3 引出列表'!$A$2:$CE$8700,$A148,MATCH(C$1,'2-3 引出列表'!$A$1:$CD$1,0)),"")),"",IFERROR(INDEX('2-3 引出列表'!$A$2:$CE$8700,$A148,MATCH(C$1,'2-3 引出列表'!$A$1:$CD$1,0)),""))</f>
        <v>4705.7</v>
      </c>
      <c r="D148" t="str">
        <f>IF(ISBLANK(IFERROR(INDEX('2-3 引出列表'!$A$2:$CE$8700,$A148,MATCH(D$1,'2-3 引出列表'!$A$1:$CD$1,0)),"")),"",IFERROR(INDEX('2-3 引出列表'!$A$2:$CE$8700,$A148,MATCH(D$1,'2-3 引出列表'!$A$1:$CD$1,0)),""))</f>
        <v>已提交</v>
      </c>
      <c r="E148" t="str">
        <f>IF(ISBLANK(IFERROR(INDEX('2-3 引出列表'!$A$2:$CE$8700,$A148,MATCH(E$1,'2-3 引出列表'!$A$1:$CD$1,0)),"")),"",IFERROR(INDEX('2-3 引出列表'!$A$2:$CE$8700,$A148,MATCH(E$1,'2-3 引出列表'!$A$1:$CD$1,0)),""))</f>
        <v>2025-06-05</v>
      </c>
      <c r="F148" s="30" t="str">
        <f t="shared" si="2"/>
        <v>2025-06</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FK250605001172</v>
      </c>
      <c r="C149">
        <f>IF(ISBLANK(IFERROR(INDEX('2-3 引出列表'!$A$2:$CE$8700,$A149,MATCH(C$1,'2-3 引出列表'!$A$1:$CD$1,0)),"")),"",IFERROR(INDEX('2-3 引出列表'!$A$2:$CE$8700,$A149,MATCH(C$1,'2-3 引出列表'!$A$1:$CD$1,0)),""))</f>
        <v>4705.7</v>
      </c>
      <c r="D149" t="str">
        <f>IF(ISBLANK(IFERROR(INDEX('2-3 引出列表'!$A$2:$CE$8700,$A149,MATCH(D$1,'2-3 引出列表'!$A$1:$CD$1,0)),"")),"",IFERROR(INDEX('2-3 引出列表'!$A$2:$CE$8700,$A149,MATCH(D$1,'2-3 引出列表'!$A$1:$CD$1,0)),""))</f>
        <v>已提交</v>
      </c>
      <c r="E149" t="str">
        <f>IF(ISBLANK(IFERROR(INDEX('2-3 引出列表'!$A$2:$CE$8700,$A149,MATCH(E$1,'2-3 引出列表'!$A$1:$CD$1,0)),"")),"",IFERROR(INDEX('2-3 引出列表'!$A$2:$CE$8700,$A149,MATCH(E$1,'2-3 引出列表'!$A$1:$CD$1,0)),""))</f>
        <v>2025-06-05</v>
      </c>
      <c r="F149" s="30" t="str">
        <f t="shared" si="2"/>
        <v>2025-06</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FK250605001172</v>
      </c>
      <c r="C150">
        <f>IF(ISBLANK(IFERROR(INDEX('2-3 引出列表'!$A$2:$CE$8700,$A150,MATCH(C$1,'2-3 引出列表'!$A$1:$CD$1,0)),"")),"",IFERROR(INDEX('2-3 引出列表'!$A$2:$CE$8700,$A150,MATCH(C$1,'2-3 引出列表'!$A$1:$CD$1,0)),""))</f>
        <v>4705.7</v>
      </c>
      <c r="D150" t="str">
        <f>IF(ISBLANK(IFERROR(INDEX('2-3 引出列表'!$A$2:$CE$8700,$A150,MATCH(D$1,'2-3 引出列表'!$A$1:$CD$1,0)),"")),"",IFERROR(INDEX('2-3 引出列表'!$A$2:$CE$8700,$A150,MATCH(D$1,'2-3 引出列表'!$A$1:$CD$1,0)),""))</f>
        <v>已提交</v>
      </c>
      <c r="E150" t="str">
        <f>IF(ISBLANK(IFERROR(INDEX('2-3 引出列表'!$A$2:$CE$8700,$A150,MATCH(E$1,'2-3 引出列表'!$A$1:$CD$1,0)),"")),"",IFERROR(INDEX('2-3 引出列表'!$A$2:$CE$8700,$A150,MATCH(E$1,'2-3 引出列表'!$A$1:$CD$1,0)),""))</f>
        <v>2025-06-05</v>
      </c>
      <c r="F150" s="30" t="str">
        <f t="shared" si="2"/>
        <v>2025-06</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ZB20210901JCWZ02</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FK250605000786</v>
      </c>
      <c r="C151">
        <f>IF(ISBLANK(IFERROR(INDEX('2-3 引出列表'!$A$2:$CE$8700,$A151,MATCH(C$1,'2-3 引出列表'!$A$1:$CD$1,0)),"")),"",IFERROR(INDEX('2-3 引出列表'!$A$2:$CE$8700,$A151,MATCH(C$1,'2-3 引出列表'!$A$1:$CD$1,0)),""))</f>
        <v>6780</v>
      </c>
      <c r="D151" t="str">
        <f>IF(ISBLANK(IFERROR(INDEX('2-3 引出列表'!$A$2:$CE$8700,$A151,MATCH(D$1,'2-3 引出列表'!$A$1:$CD$1,0)),"")),"",IFERROR(INDEX('2-3 引出列表'!$A$2:$CE$8700,$A151,MATCH(D$1,'2-3 引出列表'!$A$1:$CD$1,0)),""))</f>
        <v>已提交</v>
      </c>
      <c r="E151" t="str">
        <f>IF(ISBLANK(IFERROR(INDEX('2-3 引出列表'!$A$2:$CE$8700,$A151,MATCH(E$1,'2-3 引出列表'!$A$1:$CD$1,0)),"")),"",IFERROR(INDEX('2-3 引出列表'!$A$2:$CE$8700,$A151,MATCH(E$1,'2-3 引出列表'!$A$1:$CD$1,0)),""))</f>
        <v>2025-06-05</v>
      </c>
      <c r="F151" s="30" t="str">
        <f t="shared" si="2"/>
        <v>2025-06</v>
      </c>
      <c r="G151" t="str">
        <f>IF(ISBLANK(IFERROR(INDEX('2-3 引出列表'!$A$2:$CE$8700,$A151,MATCH(G$1,'2-3 引出列表'!$A$1:$CD$1,0)),"")),"",IFERROR(INDEX('2-3 引出列表'!$A$2:$CE$8700,$A151,MATCH(G$1,'2-3 引出列表'!$A$1:$CD$1,0)),""))</f>
        <v>物料消耗.物料消耗</v>
      </c>
      <c r="H151">
        <f>IF(ISBLANK(IFERROR(INDEX('2-3 引出列表'!$A$2:$CE$8700,$A151,MATCH(H$1,'2-3 引出列表'!$A$1:$CD$1,0)),"")),"",IFERROR(INDEX('2-3 引出列表'!$A$2:$CE$8700,$A151,MATCH(H$1,'2-3 引出列表'!$A$1:$CD$1,0)),""))</f>
        <v>0</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FK250605000522</v>
      </c>
      <c r="C152">
        <f>IF(ISBLANK(IFERROR(INDEX('2-3 引出列表'!$A$2:$CE$8700,$A152,MATCH(C$1,'2-3 引出列表'!$A$1:$CD$1,0)),"")),"",IFERROR(INDEX('2-3 引出列表'!$A$2:$CE$8700,$A152,MATCH(C$1,'2-3 引出列表'!$A$1:$CD$1,0)),""))</f>
        <v>600</v>
      </c>
      <c r="D152" t="str">
        <f>IF(ISBLANK(IFERROR(INDEX('2-3 引出列表'!$A$2:$CE$8700,$A152,MATCH(D$1,'2-3 引出列表'!$A$1:$CD$1,0)),"")),"",IFERROR(INDEX('2-3 引出列表'!$A$2:$CE$8700,$A152,MATCH(D$1,'2-3 引出列表'!$A$1:$CD$1,0)),""))</f>
        <v>已提交</v>
      </c>
      <c r="E152" t="str">
        <f>IF(ISBLANK(IFERROR(INDEX('2-3 引出列表'!$A$2:$CE$8700,$A152,MATCH(E$1,'2-3 引出列表'!$A$1:$CD$1,0)),"")),"",IFERROR(INDEX('2-3 引出列表'!$A$2:$CE$8700,$A152,MATCH(E$1,'2-3 引出列表'!$A$1:$CD$1,0)),""))</f>
        <v>2025-06-05</v>
      </c>
      <c r="F152" s="30" t="str">
        <f t="shared" si="2"/>
        <v>2025-06</v>
      </c>
      <c r="G152" t="str">
        <f>IF(ISBLANK(IFERROR(INDEX('2-3 引出列表'!$A$2:$CE$8700,$A152,MATCH(G$1,'2-3 引出列表'!$A$1:$CD$1,0)),"")),"",IFERROR(INDEX('2-3 引出列表'!$A$2:$CE$8700,$A152,MATCH(G$1,'2-3 引出列表'!$A$1:$CD$1,0)),""))</f>
        <v>物料消耗.物料消耗</v>
      </c>
      <c r="H152">
        <f>IF(ISBLANK(IFERROR(INDEX('2-3 引出列表'!$A$2:$CE$8700,$A152,MATCH(H$1,'2-3 引出列表'!$A$1:$CD$1,0)),"")),"",IFERROR(INDEX('2-3 引出列表'!$A$2:$CE$8700,$A152,MATCH(H$1,'2-3 引出列表'!$A$1:$CD$1,0)),""))</f>
        <v>0</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FK250531000145</v>
      </c>
      <c r="C153">
        <f>IF(ISBLANK(IFERROR(INDEX('2-3 引出列表'!$A$2:$CE$8700,$A153,MATCH(C$1,'2-3 引出列表'!$A$1:$CD$1,0)),"")),"",IFERROR(INDEX('2-3 引出列表'!$A$2:$CE$8700,$A153,MATCH(C$1,'2-3 引出列表'!$A$1:$CD$1,0)),""))</f>
        <v>5680</v>
      </c>
      <c r="D153" t="str">
        <f>IF(ISBLANK(IFERROR(INDEX('2-3 引出列表'!$A$2:$CE$8700,$A153,MATCH(D$1,'2-3 引出列表'!$A$1:$CD$1,0)),"")),"",IFERROR(INDEX('2-3 引出列表'!$A$2:$CE$8700,$A153,MATCH(D$1,'2-3 引出列表'!$A$1:$CD$1,0)),""))</f>
        <v>已提交</v>
      </c>
      <c r="E153" t="str">
        <f>IF(ISBLANK(IFERROR(INDEX('2-3 引出列表'!$A$2:$CE$8700,$A153,MATCH(E$1,'2-3 引出列表'!$A$1:$CD$1,0)),"")),"",IFERROR(INDEX('2-3 引出列表'!$A$2:$CE$8700,$A153,MATCH(E$1,'2-3 引出列表'!$A$1:$CD$1,0)),""))</f>
        <v>2025-05-31</v>
      </c>
      <c r="F153" s="30" t="str">
        <f t="shared" si="2"/>
        <v>2025-05</v>
      </c>
      <c r="G153" t="str">
        <f>IF(ISBLANK(IFERROR(INDEX('2-3 引出列表'!$A$2:$CE$8700,$A153,MATCH(G$1,'2-3 引出列表'!$A$1:$CD$1,0)),"")),"",IFERROR(INDEX('2-3 引出列表'!$A$2:$CE$8700,$A153,MATCH(G$1,'2-3 引出列表'!$A$1:$CD$1,0)),""))</f>
        <v>物料消耗.物料消耗</v>
      </c>
      <c r="H153">
        <f>IF(ISBLANK(IFERROR(INDEX('2-3 引出列表'!$A$2:$CE$8700,$A153,MATCH(H$1,'2-3 引出列表'!$A$1:$CD$1,0)),"")),"",IFERROR(INDEX('2-3 引出列表'!$A$2:$CE$8700,$A153,MATCH(H$1,'2-3 引出列表'!$A$1:$CD$1,0)),""))</f>
        <v>0</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FK250531000142</v>
      </c>
      <c r="C154">
        <f>IF(ISBLANK(IFERROR(INDEX('2-3 引出列表'!$A$2:$CE$8700,$A154,MATCH(C$1,'2-3 引出列表'!$A$1:$CD$1,0)),"")),"",IFERROR(INDEX('2-3 引出列表'!$A$2:$CE$8700,$A154,MATCH(C$1,'2-3 引出列表'!$A$1:$CD$1,0)),""))</f>
        <v>9674.11</v>
      </c>
      <c r="D154" t="str">
        <f>IF(ISBLANK(IFERROR(INDEX('2-3 引出列表'!$A$2:$CE$8700,$A154,MATCH(D$1,'2-3 引出列表'!$A$1:$CD$1,0)),"")),"",IFERROR(INDEX('2-3 引出列表'!$A$2:$CE$8700,$A154,MATCH(D$1,'2-3 引出列表'!$A$1:$CD$1,0)),""))</f>
        <v>已提交</v>
      </c>
      <c r="E154" t="str">
        <f>IF(ISBLANK(IFERROR(INDEX('2-3 引出列表'!$A$2:$CE$8700,$A154,MATCH(E$1,'2-3 引出列表'!$A$1:$CD$1,0)),"")),"",IFERROR(INDEX('2-3 引出列表'!$A$2:$CE$8700,$A154,MATCH(E$1,'2-3 引出列表'!$A$1:$CD$1,0)),""))</f>
        <v>2025-05-31</v>
      </c>
      <c r="F154" s="30" t="str">
        <f t="shared" si="2"/>
        <v>2025-05</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XHWZ-Z-2024-0076</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FK250531000142</v>
      </c>
      <c r="C155">
        <f>IF(ISBLANK(IFERROR(INDEX('2-3 引出列表'!$A$2:$CE$8700,$A155,MATCH(C$1,'2-3 引出列表'!$A$1:$CD$1,0)),"")),"",IFERROR(INDEX('2-3 引出列表'!$A$2:$CE$8700,$A155,MATCH(C$1,'2-3 引出列表'!$A$1:$CD$1,0)),""))</f>
        <v>9674.11</v>
      </c>
      <c r="D155" t="str">
        <f>IF(ISBLANK(IFERROR(INDEX('2-3 引出列表'!$A$2:$CE$8700,$A155,MATCH(D$1,'2-3 引出列表'!$A$1:$CD$1,0)),"")),"",IFERROR(INDEX('2-3 引出列表'!$A$2:$CE$8700,$A155,MATCH(D$1,'2-3 引出列表'!$A$1:$CD$1,0)),""))</f>
        <v>已提交</v>
      </c>
      <c r="E155" t="str">
        <f>IF(ISBLANK(IFERROR(INDEX('2-3 引出列表'!$A$2:$CE$8700,$A155,MATCH(E$1,'2-3 引出列表'!$A$1:$CD$1,0)),"")),"",IFERROR(INDEX('2-3 引出列表'!$A$2:$CE$8700,$A155,MATCH(E$1,'2-3 引出列表'!$A$1:$CD$1,0)),""))</f>
        <v>2025-05-31</v>
      </c>
      <c r="F155" s="30" t="str">
        <f t="shared" si="2"/>
        <v>2025-05</v>
      </c>
      <c r="G155" t="str">
        <f>IF(ISBLANK(IFERROR(INDEX('2-3 引出列表'!$A$2:$CE$8700,$A155,MATCH(G$1,'2-3 引出列表'!$A$1:$CD$1,0)),"")),"",IFERROR(INDEX('2-3 引出列表'!$A$2:$CE$8700,$A155,MATCH(G$1,'2-3 引出列表'!$A$1:$CD$1,0)),""))</f>
        <v>物料消耗.物料消耗</v>
      </c>
      <c r="H155" t="str">
        <f>IF(ISBLANK(IFERROR(INDEX('2-3 引出列表'!$A$2:$CE$8700,$A155,MATCH(H$1,'2-3 引出列表'!$A$1:$CD$1,0)),"")),"",IFERROR(INDEX('2-3 引出列表'!$A$2:$CE$8700,$A155,MATCH(H$1,'2-3 引出列表'!$A$1:$CD$1,0)),""))</f>
        <v>XHWZ-Z-2024-0076</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FK250531000142</v>
      </c>
      <c r="C156">
        <f>IF(ISBLANK(IFERROR(INDEX('2-3 引出列表'!$A$2:$CE$8700,$A156,MATCH(C$1,'2-3 引出列表'!$A$1:$CD$1,0)),"")),"",IFERROR(INDEX('2-3 引出列表'!$A$2:$CE$8700,$A156,MATCH(C$1,'2-3 引出列表'!$A$1:$CD$1,0)),""))</f>
        <v>9674.11</v>
      </c>
      <c r="D156" t="str">
        <f>IF(ISBLANK(IFERROR(INDEX('2-3 引出列表'!$A$2:$CE$8700,$A156,MATCH(D$1,'2-3 引出列表'!$A$1:$CD$1,0)),"")),"",IFERROR(INDEX('2-3 引出列表'!$A$2:$CE$8700,$A156,MATCH(D$1,'2-3 引出列表'!$A$1:$CD$1,0)),""))</f>
        <v>已提交</v>
      </c>
      <c r="E156" t="str">
        <f>IF(ISBLANK(IFERROR(INDEX('2-3 引出列表'!$A$2:$CE$8700,$A156,MATCH(E$1,'2-3 引出列表'!$A$1:$CD$1,0)),"")),"",IFERROR(INDEX('2-3 引出列表'!$A$2:$CE$8700,$A156,MATCH(E$1,'2-3 引出列表'!$A$1:$CD$1,0)),""))</f>
        <v>2025-05-31</v>
      </c>
      <c r="F156" s="30" t="str">
        <f t="shared" si="2"/>
        <v>2025-05</v>
      </c>
      <c r="G156" t="str">
        <f>IF(ISBLANK(IFERROR(INDEX('2-3 引出列表'!$A$2:$CE$8700,$A156,MATCH(G$1,'2-3 引出列表'!$A$1:$CD$1,0)),"")),"",IFERROR(INDEX('2-3 引出列表'!$A$2:$CE$8700,$A156,MATCH(G$1,'2-3 引出列表'!$A$1:$CD$1,0)),""))</f>
        <v>物料消耗.物料消耗</v>
      </c>
      <c r="H156" t="str">
        <f>IF(ISBLANK(IFERROR(INDEX('2-3 引出列表'!$A$2:$CE$8700,$A156,MATCH(H$1,'2-3 引出列表'!$A$1:$CD$1,0)),"")),"",IFERROR(INDEX('2-3 引出列表'!$A$2:$CE$8700,$A156,MATCH(H$1,'2-3 引出列表'!$A$1:$CD$1,0)),""))</f>
        <v>XHWZ-Z-2024-0076</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FK250531000142</v>
      </c>
      <c r="C157">
        <f>IF(ISBLANK(IFERROR(INDEX('2-3 引出列表'!$A$2:$CE$8700,$A157,MATCH(C$1,'2-3 引出列表'!$A$1:$CD$1,0)),"")),"",IFERROR(INDEX('2-3 引出列表'!$A$2:$CE$8700,$A157,MATCH(C$1,'2-3 引出列表'!$A$1:$CD$1,0)),""))</f>
        <v>9674.11</v>
      </c>
      <c r="D157" t="str">
        <f>IF(ISBLANK(IFERROR(INDEX('2-3 引出列表'!$A$2:$CE$8700,$A157,MATCH(D$1,'2-3 引出列表'!$A$1:$CD$1,0)),"")),"",IFERROR(INDEX('2-3 引出列表'!$A$2:$CE$8700,$A157,MATCH(D$1,'2-3 引出列表'!$A$1:$CD$1,0)),""))</f>
        <v>已提交</v>
      </c>
      <c r="E157" t="str">
        <f>IF(ISBLANK(IFERROR(INDEX('2-3 引出列表'!$A$2:$CE$8700,$A157,MATCH(E$1,'2-3 引出列表'!$A$1:$CD$1,0)),"")),"",IFERROR(INDEX('2-3 引出列表'!$A$2:$CE$8700,$A157,MATCH(E$1,'2-3 引出列表'!$A$1:$CD$1,0)),""))</f>
        <v>2025-05-31</v>
      </c>
      <c r="F157" s="30" t="str">
        <f t="shared" si="2"/>
        <v>2025-05</v>
      </c>
      <c r="G157" t="str">
        <f>IF(ISBLANK(IFERROR(INDEX('2-3 引出列表'!$A$2:$CE$8700,$A157,MATCH(G$1,'2-3 引出列表'!$A$1:$CD$1,0)),"")),"",IFERROR(INDEX('2-3 引出列表'!$A$2:$CE$8700,$A157,MATCH(G$1,'2-3 引出列表'!$A$1:$CD$1,0)),""))</f>
        <v>物料消耗.物料消耗</v>
      </c>
      <c r="H157" t="str">
        <f>IF(ISBLANK(IFERROR(INDEX('2-3 引出列表'!$A$2:$CE$8700,$A157,MATCH(H$1,'2-3 引出列表'!$A$1:$CD$1,0)),"")),"",IFERROR(INDEX('2-3 引出列表'!$A$2:$CE$8700,$A157,MATCH(H$1,'2-3 引出列表'!$A$1:$CD$1,0)),""))</f>
        <v>XHWZ-Z-2024-0076</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FK250531000142</v>
      </c>
      <c r="C158">
        <f>IF(ISBLANK(IFERROR(INDEX('2-3 引出列表'!$A$2:$CE$8700,$A158,MATCH(C$1,'2-3 引出列表'!$A$1:$CD$1,0)),"")),"",IFERROR(INDEX('2-3 引出列表'!$A$2:$CE$8700,$A158,MATCH(C$1,'2-3 引出列表'!$A$1:$CD$1,0)),""))</f>
        <v>9674.11</v>
      </c>
      <c r="D158" t="str">
        <f>IF(ISBLANK(IFERROR(INDEX('2-3 引出列表'!$A$2:$CE$8700,$A158,MATCH(D$1,'2-3 引出列表'!$A$1:$CD$1,0)),"")),"",IFERROR(INDEX('2-3 引出列表'!$A$2:$CE$8700,$A158,MATCH(D$1,'2-3 引出列表'!$A$1:$CD$1,0)),""))</f>
        <v>已提交</v>
      </c>
      <c r="E158" t="str">
        <f>IF(ISBLANK(IFERROR(INDEX('2-3 引出列表'!$A$2:$CE$8700,$A158,MATCH(E$1,'2-3 引出列表'!$A$1:$CD$1,0)),"")),"",IFERROR(INDEX('2-3 引出列表'!$A$2:$CE$8700,$A158,MATCH(E$1,'2-3 引出列表'!$A$1:$CD$1,0)),""))</f>
        <v>2025-05-31</v>
      </c>
      <c r="F158" s="30" t="str">
        <f t="shared" si="2"/>
        <v>2025-05</v>
      </c>
      <c r="G158" t="str">
        <f>IF(ISBLANK(IFERROR(INDEX('2-3 引出列表'!$A$2:$CE$8700,$A158,MATCH(G$1,'2-3 引出列表'!$A$1:$CD$1,0)),"")),"",IFERROR(INDEX('2-3 引出列表'!$A$2:$CE$8700,$A158,MATCH(G$1,'2-3 引出列表'!$A$1:$CD$1,0)),""))</f>
        <v>物料消耗.物料消耗</v>
      </c>
      <c r="H158" t="str">
        <f>IF(ISBLANK(IFERROR(INDEX('2-3 引出列表'!$A$2:$CE$8700,$A158,MATCH(H$1,'2-3 引出列表'!$A$1:$CD$1,0)),"")),"",IFERROR(INDEX('2-3 引出列表'!$A$2:$CE$8700,$A158,MATCH(H$1,'2-3 引出列表'!$A$1:$CD$1,0)),""))</f>
        <v>XHWZ-Z-2024-0076</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FK250531000142</v>
      </c>
      <c r="C159">
        <f>IF(ISBLANK(IFERROR(INDEX('2-3 引出列表'!$A$2:$CE$8700,$A159,MATCH(C$1,'2-3 引出列表'!$A$1:$CD$1,0)),"")),"",IFERROR(INDEX('2-3 引出列表'!$A$2:$CE$8700,$A159,MATCH(C$1,'2-3 引出列表'!$A$1:$CD$1,0)),""))</f>
        <v>9674.11</v>
      </c>
      <c r="D159" t="str">
        <f>IF(ISBLANK(IFERROR(INDEX('2-3 引出列表'!$A$2:$CE$8700,$A159,MATCH(D$1,'2-3 引出列表'!$A$1:$CD$1,0)),"")),"",IFERROR(INDEX('2-3 引出列表'!$A$2:$CE$8700,$A159,MATCH(D$1,'2-3 引出列表'!$A$1:$CD$1,0)),""))</f>
        <v>已提交</v>
      </c>
      <c r="E159" t="str">
        <f>IF(ISBLANK(IFERROR(INDEX('2-3 引出列表'!$A$2:$CE$8700,$A159,MATCH(E$1,'2-3 引出列表'!$A$1:$CD$1,0)),"")),"",IFERROR(INDEX('2-3 引出列表'!$A$2:$CE$8700,$A159,MATCH(E$1,'2-3 引出列表'!$A$1:$CD$1,0)),""))</f>
        <v>2025-05-31</v>
      </c>
      <c r="F159" s="30" t="str">
        <f t="shared" si="2"/>
        <v>2025-05</v>
      </c>
      <c r="G159" t="str">
        <f>IF(ISBLANK(IFERROR(INDEX('2-3 引出列表'!$A$2:$CE$8700,$A159,MATCH(G$1,'2-3 引出列表'!$A$1:$CD$1,0)),"")),"",IFERROR(INDEX('2-3 引出列表'!$A$2:$CE$8700,$A159,MATCH(G$1,'2-3 引出列表'!$A$1:$CD$1,0)),""))</f>
        <v>物料消耗.物料消耗</v>
      </c>
      <c r="H159" t="str">
        <f>IF(ISBLANK(IFERROR(INDEX('2-3 引出列表'!$A$2:$CE$8700,$A159,MATCH(H$1,'2-3 引出列表'!$A$1:$CD$1,0)),"")),"",IFERROR(INDEX('2-3 引出列表'!$A$2:$CE$8700,$A159,MATCH(H$1,'2-3 引出列表'!$A$1:$CD$1,0)),""))</f>
        <v>XHWZ-Z-2024-0076</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FK250531000142</v>
      </c>
      <c r="C160">
        <f>IF(ISBLANK(IFERROR(INDEX('2-3 引出列表'!$A$2:$CE$8700,$A160,MATCH(C$1,'2-3 引出列表'!$A$1:$CD$1,0)),"")),"",IFERROR(INDEX('2-3 引出列表'!$A$2:$CE$8700,$A160,MATCH(C$1,'2-3 引出列表'!$A$1:$CD$1,0)),""))</f>
        <v>9674.11</v>
      </c>
      <c r="D160" t="str">
        <f>IF(ISBLANK(IFERROR(INDEX('2-3 引出列表'!$A$2:$CE$8700,$A160,MATCH(D$1,'2-3 引出列表'!$A$1:$CD$1,0)),"")),"",IFERROR(INDEX('2-3 引出列表'!$A$2:$CE$8700,$A160,MATCH(D$1,'2-3 引出列表'!$A$1:$CD$1,0)),""))</f>
        <v>已提交</v>
      </c>
      <c r="E160" t="str">
        <f>IF(ISBLANK(IFERROR(INDEX('2-3 引出列表'!$A$2:$CE$8700,$A160,MATCH(E$1,'2-3 引出列表'!$A$1:$CD$1,0)),"")),"",IFERROR(INDEX('2-3 引出列表'!$A$2:$CE$8700,$A160,MATCH(E$1,'2-3 引出列表'!$A$1:$CD$1,0)),""))</f>
        <v>2025-05-31</v>
      </c>
      <c r="F160" s="30" t="str">
        <f t="shared" si="2"/>
        <v>2025-05</v>
      </c>
      <c r="G160" t="str">
        <f>IF(ISBLANK(IFERROR(INDEX('2-3 引出列表'!$A$2:$CE$8700,$A160,MATCH(G$1,'2-3 引出列表'!$A$1:$CD$1,0)),"")),"",IFERROR(INDEX('2-3 引出列表'!$A$2:$CE$8700,$A160,MATCH(G$1,'2-3 引出列表'!$A$1:$CD$1,0)),""))</f>
        <v>物料消耗.物料消耗</v>
      </c>
      <c r="H160" t="str">
        <f>IF(ISBLANK(IFERROR(INDEX('2-3 引出列表'!$A$2:$CE$8700,$A160,MATCH(H$1,'2-3 引出列表'!$A$1:$CD$1,0)),"")),"",IFERROR(INDEX('2-3 引出列表'!$A$2:$CE$8700,$A160,MATCH(H$1,'2-3 引出列表'!$A$1:$CD$1,0)),""))</f>
        <v>XHWZ-Z-2024-0076</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FK250531000142</v>
      </c>
      <c r="C161">
        <f>IF(ISBLANK(IFERROR(INDEX('2-3 引出列表'!$A$2:$CE$8700,$A161,MATCH(C$1,'2-3 引出列表'!$A$1:$CD$1,0)),"")),"",IFERROR(INDEX('2-3 引出列表'!$A$2:$CE$8700,$A161,MATCH(C$1,'2-3 引出列表'!$A$1:$CD$1,0)),""))</f>
        <v>9674.11</v>
      </c>
      <c r="D161" t="str">
        <f>IF(ISBLANK(IFERROR(INDEX('2-3 引出列表'!$A$2:$CE$8700,$A161,MATCH(D$1,'2-3 引出列表'!$A$1:$CD$1,0)),"")),"",IFERROR(INDEX('2-3 引出列表'!$A$2:$CE$8700,$A161,MATCH(D$1,'2-3 引出列表'!$A$1:$CD$1,0)),""))</f>
        <v>已提交</v>
      </c>
      <c r="E161" t="str">
        <f>IF(ISBLANK(IFERROR(INDEX('2-3 引出列表'!$A$2:$CE$8700,$A161,MATCH(E$1,'2-3 引出列表'!$A$1:$CD$1,0)),"")),"",IFERROR(INDEX('2-3 引出列表'!$A$2:$CE$8700,$A161,MATCH(E$1,'2-3 引出列表'!$A$1:$CD$1,0)),""))</f>
        <v>2025-05-31</v>
      </c>
      <c r="F161" s="30" t="str">
        <f t="shared" si="2"/>
        <v>2025-05</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XHWZ-Z-2024-0076</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FK250531000142</v>
      </c>
      <c r="C162">
        <f>IF(ISBLANK(IFERROR(INDEX('2-3 引出列表'!$A$2:$CE$8700,$A162,MATCH(C$1,'2-3 引出列表'!$A$1:$CD$1,0)),"")),"",IFERROR(INDEX('2-3 引出列表'!$A$2:$CE$8700,$A162,MATCH(C$1,'2-3 引出列表'!$A$1:$CD$1,0)),""))</f>
        <v>9674.11</v>
      </c>
      <c r="D162" t="str">
        <f>IF(ISBLANK(IFERROR(INDEX('2-3 引出列表'!$A$2:$CE$8700,$A162,MATCH(D$1,'2-3 引出列表'!$A$1:$CD$1,0)),"")),"",IFERROR(INDEX('2-3 引出列表'!$A$2:$CE$8700,$A162,MATCH(D$1,'2-3 引出列表'!$A$1:$CD$1,0)),""))</f>
        <v>已提交</v>
      </c>
      <c r="E162" t="str">
        <f>IF(ISBLANK(IFERROR(INDEX('2-3 引出列表'!$A$2:$CE$8700,$A162,MATCH(E$1,'2-3 引出列表'!$A$1:$CD$1,0)),"")),"",IFERROR(INDEX('2-3 引出列表'!$A$2:$CE$8700,$A162,MATCH(E$1,'2-3 引出列表'!$A$1:$CD$1,0)),""))</f>
        <v>2025-05-31</v>
      </c>
      <c r="F162" s="30" t="str">
        <f t="shared" si="2"/>
        <v>2025-05</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XHWZ-Z-2024-0076</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FK250531000142</v>
      </c>
      <c r="C163">
        <f>IF(ISBLANK(IFERROR(INDEX('2-3 引出列表'!$A$2:$CE$8700,$A163,MATCH(C$1,'2-3 引出列表'!$A$1:$CD$1,0)),"")),"",IFERROR(INDEX('2-3 引出列表'!$A$2:$CE$8700,$A163,MATCH(C$1,'2-3 引出列表'!$A$1:$CD$1,0)),""))</f>
        <v>9674.11</v>
      </c>
      <c r="D163" t="str">
        <f>IF(ISBLANK(IFERROR(INDEX('2-3 引出列表'!$A$2:$CE$8700,$A163,MATCH(D$1,'2-3 引出列表'!$A$1:$CD$1,0)),"")),"",IFERROR(INDEX('2-3 引出列表'!$A$2:$CE$8700,$A163,MATCH(D$1,'2-3 引出列表'!$A$1:$CD$1,0)),""))</f>
        <v>已提交</v>
      </c>
      <c r="E163" t="str">
        <f>IF(ISBLANK(IFERROR(INDEX('2-3 引出列表'!$A$2:$CE$8700,$A163,MATCH(E$1,'2-3 引出列表'!$A$1:$CD$1,0)),"")),"",IFERROR(INDEX('2-3 引出列表'!$A$2:$CE$8700,$A163,MATCH(E$1,'2-3 引出列表'!$A$1:$CD$1,0)),""))</f>
        <v>2025-05-31</v>
      </c>
      <c r="F163" s="30" t="str">
        <f t="shared" si="2"/>
        <v>2025-05</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XHWZ-Z-2024-0076</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FK250531000142</v>
      </c>
      <c r="C164">
        <f>IF(ISBLANK(IFERROR(INDEX('2-3 引出列表'!$A$2:$CE$8700,$A164,MATCH(C$1,'2-3 引出列表'!$A$1:$CD$1,0)),"")),"",IFERROR(INDEX('2-3 引出列表'!$A$2:$CE$8700,$A164,MATCH(C$1,'2-3 引出列表'!$A$1:$CD$1,0)),""))</f>
        <v>9674.11</v>
      </c>
      <c r="D164" t="str">
        <f>IF(ISBLANK(IFERROR(INDEX('2-3 引出列表'!$A$2:$CE$8700,$A164,MATCH(D$1,'2-3 引出列表'!$A$1:$CD$1,0)),"")),"",IFERROR(INDEX('2-3 引出列表'!$A$2:$CE$8700,$A164,MATCH(D$1,'2-3 引出列表'!$A$1:$CD$1,0)),""))</f>
        <v>已提交</v>
      </c>
      <c r="E164" t="str">
        <f>IF(ISBLANK(IFERROR(INDEX('2-3 引出列表'!$A$2:$CE$8700,$A164,MATCH(E$1,'2-3 引出列表'!$A$1:$CD$1,0)),"")),"",IFERROR(INDEX('2-3 引出列表'!$A$2:$CE$8700,$A164,MATCH(E$1,'2-3 引出列表'!$A$1:$CD$1,0)),""))</f>
        <v>2025-05-31</v>
      </c>
      <c r="F164" s="30" t="str">
        <f t="shared" si="2"/>
        <v>2025-05</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XHWZ-Z-2024-0076</v>
      </c>
      <c r="I164" t="str">
        <f>IF(ISBLANK(IFERROR(INDEX('2-3 引出列表'!$A$2:$CE$8700,$A164,MATCH(I$1,'2-3 引出列表'!$A$1:$CD$1,0)),"")),"",IFERROR(INDEX('2-3 引出列表'!$A$2:$CE$8700,$A164,MATCH(I$1,'2-3 引出列表'!$A$1:$CD$1,0)),""))</f>
        <v>金采易购</v>
      </c>
    </row>
    <row r="165" spans="1:9">
      <c r="A165">
        <v>164</v>
      </c>
      <c r="B165" t="str">
        <f>IF(ISBLANK(IFERROR(INDEX('2-3 引出列表'!$A$2:$CE$8700,$A165,MATCH(B$1,'2-3 引出列表'!$A$1:$CD$1,0)),"")),"",IFERROR(INDEX('2-3 引出列表'!$A$2:$CE$8700,$A165,MATCH(B$1,'2-3 引出列表'!$A$1:$CD$1,0)),""))</f>
        <v>FK250531000142</v>
      </c>
      <c r="C165">
        <f>IF(ISBLANK(IFERROR(INDEX('2-3 引出列表'!$A$2:$CE$8700,$A165,MATCH(C$1,'2-3 引出列表'!$A$1:$CD$1,0)),"")),"",IFERROR(INDEX('2-3 引出列表'!$A$2:$CE$8700,$A165,MATCH(C$1,'2-3 引出列表'!$A$1:$CD$1,0)),""))</f>
        <v>9674.11</v>
      </c>
      <c r="D165" t="str">
        <f>IF(ISBLANK(IFERROR(INDEX('2-3 引出列表'!$A$2:$CE$8700,$A165,MATCH(D$1,'2-3 引出列表'!$A$1:$CD$1,0)),"")),"",IFERROR(INDEX('2-3 引出列表'!$A$2:$CE$8700,$A165,MATCH(D$1,'2-3 引出列表'!$A$1:$CD$1,0)),""))</f>
        <v>已提交</v>
      </c>
      <c r="E165" t="str">
        <f>IF(ISBLANK(IFERROR(INDEX('2-3 引出列表'!$A$2:$CE$8700,$A165,MATCH(E$1,'2-3 引出列表'!$A$1:$CD$1,0)),"")),"",IFERROR(INDEX('2-3 引出列表'!$A$2:$CE$8700,$A165,MATCH(E$1,'2-3 引出列表'!$A$1:$CD$1,0)),""))</f>
        <v>2025-05-31</v>
      </c>
      <c r="F165" s="30" t="str">
        <f t="shared" si="2"/>
        <v>2025-05</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XHWZ-Z-2024-0076</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FK250531000142</v>
      </c>
      <c r="C166">
        <f>IF(ISBLANK(IFERROR(INDEX('2-3 引出列表'!$A$2:$CE$8700,$A166,MATCH(C$1,'2-3 引出列表'!$A$1:$CD$1,0)),"")),"",IFERROR(INDEX('2-3 引出列表'!$A$2:$CE$8700,$A166,MATCH(C$1,'2-3 引出列表'!$A$1:$CD$1,0)),""))</f>
        <v>9674.11</v>
      </c>
      <c r="D166" t="str">
        <f>IF(ISBLANK(IFERROR(INDEX('2-3 引出列表'!$A$2:$CE$8700,$A166,MATCH(D$1,'2-3 引出列表'!$A$1:$CD$1,0)),"")),"",IFERROR(INDEX('2-3 引出列表'!$A$2:$CE$8700,$A166,MATCH(D$1,'2-3 引出列表'!$A$1:$CD$1,0)),""))</f>
        <v>已提交</v>
      </c>
      <c r="E166" t="str">
        <f>IF(ISBLANK(IFERROR(INDEX('2-3 引出列表'!$A$2:$CE$8700,$A166,MATCH(E$1,'2-3 引出列表'!$A$1:$CD$1,0)),"")),"",IFERROR(INDEX('2-3 引出列表'!$A$2:$CE$8700,$A166,MATCH(E$1,'2-3 引出列表'!$A$1:$CD$1,0)),""))</f>
        <v>2025-05-31</v>
      </c>
      <c r="F166" s="30" t="str">
        <f t="shared" si="2"/>
        <v>2025-05</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XHWZ-Z-2024-0076</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FK250531000140</v>
      </c>
      <c r="C167">
        <f>IF(ISBLANK(IFERROR(INDEX('2-3 引出列表'!$A$2:$CE$8700,$A167,MATCH(C$1,'2-3 引出列表'!$A$1:$CD$1,0)),"")),"",IFERROR(INDEX('2-3 引出列表'!$A$2:$CE$8700,$A167,MATCH(C$1,'2-3 引出列表'!$A$1:$CD$1,0)),""))</f>
        <v>34494.2</v>
      </c>
      <c r="D167" t="str">
        <f>IF(ISBLANK(IFERROR(INDEX('2-3 引出列表'!$A$2:$CE$8700,$A167,MATCH(D$1,'2-3 引出列表'!$A$1:$CD$1,0)),"")),"",IFERROR(INDEX('2-3 引出列表'!$A$2:$CE$8700,$A167,MATCH(D$1,'2-3 引出列表'!$A$1:$CD$1,0)),""))</f>
        <v>已提交</v>
      </c>
      <c r="E167" t="str">
        <f>IF(ISBLANK(IFERROR(INDEX('2-3 引出列表'!$A$2:$CE$8700,$A167,MATCH(E$1,'2-3 引出列表'!$A$1:$CD$1,0)),"")),"",IFERROR(INDEX('2-3 引出列表'!$A$2:$CE$8700,$A167,MATCH(E$1,'2-3 引出列表'!$A$1:$CD$1,0)),""))</f>
        <v>2025-05-31</v>
      </c>
      <c r="F167" s="30" t="str">
        <f t="shared" si="2"/>
        <v>2025-05</v>
      </c>
      <c r="G167" t="str">
        <f>IF(ISBLANK(IFERROR(INDEX('2-3 引出列表'!$A$2:$CE$8700,$A167,MATCH(G$1,'2-3 引出列表'!$A$1:$CD$1,0)),"")),"",IFERROR(INDEX('2-3 引出列表'!$A$2:$CE$8700,$A167,MATCH(G$1,'2-3 引出列表'!$A$1:$CD$1,0)),""))</f>
        <v>物料消耗.物料消耗</v>
      </c>
      <c r="H167">
        <f>IF(ISBLANK(IFERROR(INDEX('2-3 引出列表'!$A$2:$CE$8700,$A167,MATCH(H$1,'2-3 引出列表'!$A$1:$CD$1,0)),"")),"",IFERROR(INDEX('2-3 引出列表'!$A$2:$CE$8700,$A167,MATCH(H$1,'2-3 引出列表'!$A$1:$CD$1,0)),""))</f>
        <v>0</v>
      </c>
      <c r="I167" t="str">
        <f>IF(ISBLANK(IFERROR(INDEX('2-3 引出列表'!$A$2:$CE$8700,$A167,MATCH(I$1,'2-3 引出列表'!$A$1:$CD$1,0)),"")),"",IFERROR(INDEX('2-3 引出列表'!$A$2:$CE$8700,$A167,MATCH(I$1,'2-3 引出列表'!$A$1:$CD$1,0)),""))</f>
        <v>金采易购</v>
      </c>
    </row>
    <row r="168" spans="1:9">
      <c r="A168">
        <v>167</v>
      </c>
      <c r="B168" t="str">
        <f>IF(ISBLANK(IFERROR(INDEX('2-3 引出列表'!$A$2:$CE$8700,$A168,MATCH(B$1,'2-3 引出列表'!$A$1:$CD$1,0)),"")),"",IFERROR(INDEX('2-3 引出列表'!$A$2:$CE$8700,$A168,MATCH(B$1,'2-3 引出列表'!$A$1:$CD$1,0)),""))</f>
        <v>FK250531000139</v>
      </c>
      <c r="C168">
        <f>IF(ISBLANK(IFERROR(INDEX('2-3 引出列表'!$A$2:$CE$8700,$A168,MATCH(C$1,'2-3 引出列表'!$A$1:$CD$1,0)),"")),"",IFERROR(INDEX('2-3 引出列表'!$A$2:$CE$8700,$A168,MATCH(C$1,'2-3 引出列表'!$A$1:$CD$1,0)),""))</f>
        <v>1190</v>
      </c>
      <c r="D168" t="str">
        <f>IF(ISBLANK(IFERROR(INDEX('2-3 引出列表'!$A$2:$CE$8700,$A168,MATCH(D$1,'2-3 引出列表'!$A$1:$CD$1,0)),"")),"",IFERROR(INDEX('2-3 引出列表'!$A$2:$CE$8700,$A168,MATCH(D$1,'2-3 引出列表'!$A$1:$CD$1,0)),""))</f>
        <v>已提交</v>
      </c>
      <c r="E168" t="str">
        <f>IF(ISBLANK(IFERROR(INDEX('2-3 引出列表'!$A$2:$CE$8700,$A168,MATCH(E$1,'2-3 引出列表'!$A$1:$CD$1,0)),"")),"",IFERROR(INDEX('2-3 引出列表'!$A$2:$CE$8700,$A168,MATCH(E$1,'2-3 引出列表'!$A$1:$CD$1,0)),""))</f>
        <v>2025-05-31</v>
      </c>
      <c r="F168" s="30" t="str">
        <f t="shared" si="2"/>
        <v>2025-05</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XHWZ-Z-2024-0232</v>
      </c>
      <c r="I168" t="str">
        <f>IF(ISBLANK(IFERROR(INDEX('2-3 引出列表'!$A$2:$CE$8700,$A168,MATCH(I$1,'2-3 引出列表'!$A$1:$CD$1,0)),"")),"",IFERROR(INDEX('2-3 引出列表'!$A$2:$CE$8700,$A168,MATCH(I$1,'2-3 引出列表'!$A$1:$CD$1,0)),""))</f>
        <v>金采易购</v>
      </c>
    </row>
    <row r="169" spans="1:9">
      <c r="A169">
        <v>168</v>
      </c>
      <c r="B169" t="str">
        <f>IF(ISBLANK(IFERROR(INDEX('2-3 引出列表'!$A$2:$CE$8700,$A169,MATCH(B$1,'2-3 引出列表'!$A$1:$CD$1,0)),"")),"",IFERROR(INDEX('2-3 引出列表'!$A$2:$CE$8700,$A169,MATCH(B$1,'2-3 引出列表'!$A$1:$CD$1,0)),""))</f>
        <v>FK250531000138</v>
      </c>
      <c r="C169">
        <f>IF(ISBLANK(IFERROR(INDEX('2-3 引出列表'!$A$2:$CE$8700,$A169,MATCH(C$1,'2-3 引出列表'!$A$1:$CD$1,0)),"")),"",IFERROR(INDEX('2-3 引出列表'!$A$2:$CE$8700,$A169,MATCH(C$1,'2-3 引出列表'!$A$1:$CD$1,0)),""))</f>
        <v>975.78</v>
      </c>
      <c r="D169" t="str">
        <f>IF(ISBLANK(IFERROR(INDEX('2-3 引出列表'!$A$2:$CE$8700,$A169,MATCH(D$1,'2-3 引出列表'!$A$1:$CD$1,0)),"")),"",IFERROR(INDEX('2-3 引出列表'!$A$2:$CE$8700,$A169,MATCH(D$1,'2-3 引出列表'!$A$1:$CD$1,0)),""))</f>
        <v>已提交</v>
      </c>
      <c r="E169" t="str">
        <f>IF(ISBLANK(IFERROR(INDEX('2-3 引出列表'!$A$2:$CE$8700,$A169,MATCH(E$1,'2-3 引出列表'!$A$1:$CD$1,0)),"")),"",IFERROR(INDEX('2-3 引出列表'!$A$2:$CE$8700,$A169,MATCH(E$1,'2-3 引出列表'!$A$1:$CD$1,0)),""))</f>
        <v>2025-05-31</v>
      </c>
      <c r="F169" s="30" t="str">
        <f t="shared" si="2"/>
        <v>2025-05</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XHWZ-Z-2024-0138</v>
      </c>
      <c r="I169" t="str">
        <f>IF(ISBLANK(IFERROR(INDEX('2-3 引出列表'!$A$2:$CE$8700,$A169,MATCH(I$1,'2-3 引出列表'!$A$1:$CD$1,0)),"")),"",IFERROR(INDEX('2-3 引出列表'!$A$2:$CE$8700,$A169,MATCH(I$1,'2-3 引出列表'!$A$1:$CD$1,0)),""))</f>
        <v>金采易购</v>
      </c>
    </row>
    <row r="170" spans="1:9">
      <c r="A170">
        <v>169</v>
      </c>
      <c r="B170" t="str">
        <f>IF(ISBLANK(IFERROR(INDEX('2-3 引出列表'!$A$2:$CE$8700,$A170,MATCH(B$1,'2-3 引出列表'!$A$1:$CD$1,0)),"")),"",IFERROR(INDEX('2-3 引出列表'!$A$2:$CE$8700,$A170,MATCH(B$1,'2-3 引出列表'!$A$1:$CD$1,0)),""))</f>
        <v>FK250531000138</v>
      </c>
      <c r="C170">
        <f>IF(ISBLANK(IFERROR(INDEX('2-3 引出列表'!$A$2:$CE$8700,$A170,MATCH(C$1,'2-3 引出列表'!$A$1:$CD$1,0)),"")),"",IFERROR(INDEX('2-3 引出列表'!$A$2:$CE$8700,$A170,MATCH(C$1,'2-3 引出列表'!$A$1:$CD$1,0)),""))</f>
        <v>975.78</v>
      </c>
      <c r="D170" t="str">
        <f>IF(ISBLANK(IFERROR(INDEX('2-3 引出列表'!$A$2:$CE$8700,$A170,MATCH(D$1,'2-3 引出列表'!$A$1:$CD$1,0)),"")),"",IFERROR(INDEX('2-3 引出列表'!$A$2:$CE$8700,$A170,MATCH(D$1,'2-3 引出列表'!$A$1:$CD$1,0)),""))</f>
        <v>已提交</v>
      </c>
      <c r="E170" t="str">
        <f>IF(ISBLANK(IFERROR(INDEX('2-3 引出列表'!$A$2:$CE$8700,$A170,MATCH(E$1,'2-3 引出列表'!$A$1:$CD$1,0)),"")),"",IFERROR(INDEX('2-3 引出列表'!$A$2:$CE$8700,$A170,MATCH(E$1,'2-3 引出列表'!$A$1:$CD$1,0)),""))</f>
        <v>2025-05-31</v>
      </c>
      <c r="F170" s="30" t="str">
        <f t="shared" si="2"/>
        <v>2025-05</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XHWZ-Z-2024-0138</v>
      </c>
      <c r="I170" t="str">
        <f>IF(ISBLANK(IFERROR(INDEX('2-3 引出列表'!$A$2:$CE$8700,$A170,MATCH(I$1,'2-3 引出列表'!$A$1:$CD$1,0)),"")),"",IFERROR(INDEX('2-3 引出列表'!$A$2:$CE$8700,$A170,MATCH(I$1,'2-3 引出列表'!$A$1:$CD$1,0)),""))</f>
        <v>金采易购</v>
      </c>
    </row>
    <row r="171" spans="1:9">
      <c r="A171">
        <v>170</v>
      </c>
      <c r="B171" t="str">
        <f>IF(ISBLANK(IFERROR(INDEX('2-3 引出列表'!$A$2:$CE$8700,$A171,MATCH(B$1,'2-3 引出列表'!$A$1:$CD$1,0)),"")),"",IFERROR(INDEX('2-3 引出列表'!$A$2:$CE$8700,$A171,MATCH(B$1,'2-3 引出列表'!$A$1:$CD$1,0)),""))</f>
        <v>FK250531000138</v>
      </c>
      <c r="C171">
        <f>IF(ISBLANK(IFERROR(INDEX('2-3 引出列表'!$A$2:$CE$8700,$A171,MATCH(C$1,'2-3 引出列表'!$A$1:$CD$1,0)),"")),"",IFERROR(INDEX('2-3 引出列表'!$A$2:$CE$8700,$A171,MATCH(C$1,'2-3 引出列表'!$A$1:$CD$1,0)),""))</f>
        <v>975.78</v>
      </c>
      <c r="D171" t="str">
        <f>IF(ISBLANK(IFERROR(INDEX('2-3 引出列表'!$A$2:$CE$8700,$A171,MATCH(D$1,'2-3 引出列表'!$A$1:$CD$1,0)),"")),"",IFERROR(INDEX('2-3 引出列表'!$A$2:$CE$8700,$A171,MATCH(D$1,'2-3 引出列表'!$A$1:$CD$1,0)),""))</f>
        <v>已提交</v>
      </c>
      <c r="E171" t="str">
        <f>IF(ISBLANK(IFERROR(INDEX('2-3 引出列表'!$A$2:$CE$8700,$A171,MATCH(E$1,'2-3 引出列表'!$A$1:$CD$1,0)),"")),"",IFERROR(INDEX('2-3 引出列表'!$A$2:$CE$8700,$A171,MATCH(E$1,'2-3 引出列表'!$A$1:$CD$1,0)),""))</f>
        <v>2025-05-31</v>
      </c>
      <c r="F171" s="30" t="str">
        <f t="shared" si="2"/>
        <v>2025-05</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XHWZ-Z-2024-0138</v>
      </c>
      <c r="I171" t="str">
        <f>IF(ISBLANK(IFERROR(INDEX('2-3 引出列表'!$A$2:$CE$8700,$A171,MATCH(I$1,'2-3 引出列表'!$A$1:$CD$1,0)),"")),"",IFERROR(INDEX('2-3 引出列表'!$A$2:$CE$8700,$A171,MATCH(I$1,'2-3 引出列表'!$A$1:$CD$1,0)),""))</f>
        <v>金采易购</v>
      </c>
    </row>
    <row r="172" spans="1:9">
      <c r="A172">
        <v>171</v>
      </c>
      <c r="B172" t="str">
        <f>IF(ISBLANK(IFERROR(INDEX('2-3 引出列表'!$A$2:$CE$8700,$A172,MATCH(B$1,'2-3 引出列表'!$A$1:$CD$1,0)),"")),"",IFERROR(INDEX('2-3 引出列表'!$A$2:$CE$8700,$A172,MATCH(B$1,'2-3 引出列表'!$A$1:$CD$1,0)),""))</f>
        <v>FK250531000138</v>
      </c>
      <c r="C172">
        <f>IF(ISBLANK(IFERROR(INDEX('2-3 引出列表'!$A$2:$CE$8700,$A172,MATCH(C$1,'2-3 引出列表'!$A$1:$CD$1,0)),"")),"",IFERROR(INDEX('2-3 引出列表'!$A$2:$CE$8700,$A172,MATCH(C$1,'2-3 引出列表'!$A$1:$CD$1,0)),""))</f>
        <v>975.78</v>
      </c>
      <c r="D172" t="str">
        <f>IF(ISBLANK(IFERROR(INDEX('2-3 引出列表'!$A$2:$CE$8700,$A172,MATCH(D$1,'2-3 引出列表'!$A$1:$CD$1,0)),"")),"",IFERROR(INDEX('2-3 引出列表'!$A$2:$CE$8700,$A172,MATCH(D$1,'2-3 引出列表'!$A$1:$CD$1,0)),""))</f>
        <v>已提交</v>
      </c>
      <c r="E172" t="str">
        <f>IF(ISBLANK(IFERROR(INDEX('2-3 引出列表'!$A$2:$CE$8700,$A172,MATCH(E$1,'2-3 引出列表'!$A$1:$CD$1,0)),"")),"",IFERROR(INDEX('2-3 引出列表'!$A$2:$CE$8700,$A172,MATCH(E$1,'2-3 引出列表'!$A$1:$CD$1,0)),""))</f>
        <v>2025-05-31</v>
      </c>
      <c r="F172" s="30" t="str">
        <f t="shared" si="2"/>
        <v>2025-05</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XHWZ-Z-2024-0138</v>
      </c>
      <c r="I172" t="str">
        <f>IF(ISBLANK(IFERROR(INDEX('2-3 引出列表'!$A$2:$CE$8700,$A172,MATCH(I$1,'2-3 引出列表'!$A$1:$CD$1,0)),"")),"",IFERROR(INDEX('2-3 引出列表'!$A$2:$CE$8700,$A172,MATCH(I$1,'2-3 引出列表'!$A$1:$CD$1,0)),""))</f>
        <v>金采易购</v>
      </c>
    </row>
    <row r="173" spans="1:9">
      <c r="A173">
        <v>172</v>
      </c>
      <c r="B173">
        <f>IF(ISBLANK(IFERROR(INDEX('2-3 引出列表'!$A$2:$CE$8700,$A173,MATCH(B$1,'2-3 引出列表'!$A$1:$CD$1,0)),"")),"",IFERROR(INDEX('2-3 引出列表'!$A$2:$CE$8700,$A173,MATCH(B$1,'2-3 引出列表'!$A$1:$CD$1,0)),""))</f>
        <v>0</v>
      </c>
      <c r="C173">
        <f>IF(ISBLANK(IFERROR(INDEX('2-3 引出列表'!$A$2:$CE$8700,$A173,MATCH(C$1,'2-3 引出列表'!$A$1:$CD$1,0)),"")),"",IFERROR(INDEX('2-3 引出列表'!$A$2:$CE$8700,$A173,MATCH(C$1,'2-3 引出列表'!$A$1:$CD$1,0)),""))</f>
        <v>31358</v>
      </c>
      <c r="D173" t="str">
        <f>IF(ISBLANK(IFERROR(INDEX('2-3 引出列表'!$A$2:$CE$8700,$A173,MATCH(D$1,'2-3 引出列表'!$A$1:$CD$1,0)),"")),"",IFERROR(INDEX('2-3 引出列表'!$A$2:$CE$8700,$A173,MATCH(D$1,'2-3 引出列表'!$A$1:$CD$1,0)),""))</f>
        <v>已付款</v>
      </c>
      <c r="E173" t="str">
        <f>IF(ISBLANK(IFERROR(INDEX('2-3 引出列表'!$A$2:$CE$8700,$A173,MATCH(E$1,'2-3 引出列表'!$A$1:$CD$1,0)),"")),"",IFERROR(INDEX('2-3 引出列表'!$A$2:$CE$8700,$A173,MATCH(E$1,'2-3 引出列表'!$A$1:$CD$1,0)),""))</f>
        <v>2025-05-30</v>
      </c>
      <c r="F173" s="30" t="str">
        <f t="shared" si="2"/>
        <v>2025-05</v>
      </c>
      <c r="G173" t="str">
        <f>IF(ISBLANK(IFERROR(INDEX('2-3 引出列表'!$A$2:$CE$8700,$A173,MATCH(G$1,'2-3 引出列表'!$A$1:$CD$1,0)),"")),"",IFERROR(INDEX('2-3 引出列表'!$A$2:$CE$8700,$A173,MATCH(G$1,'2-3 引出列表'!$A$1:$CD$1,0)),""))</f>
        <v>人工费用.宿舍费</v>
      </c>
      <c r="H173" t="str">
        <f>IF(ISBLANK(IFERROR(INDEX('2-3 引出列表'!$A$2:$CE$8700,$A173,MATCH(H$1,'2-3 引出列表'!$A$1:$CD$1,0)),"")),"",IFERROR(INDEX('2-3 引出列表'!$A$2:$CE$8700,$A173,MATCH(H$1,'2-3 引出列表'!$A$1:$CD$1,0)),""))</f>
        <v>FWL-Z-2024-0942</v>
      </c>
      <c r="I173">
        <f>IF(ISBLANK(IFERROR(INDEX('2-3 引出列表'!$A$2:$CE$8700,$A173,MATCH(I$1,'2-3 引出列表'!$A$1:$CD$1,0)),"")),"",IFERROR(INDEX('2-3 引出列表'!$A$2:$CE$8700,$A173,MATCH(I$1,'2-3 引出列表'!$A$1:$CD$1,0)),""))</f>
        <v>0</v>
      </c>
    </row>
    <row r="174" spans="1:9">
      <c r="A174">
        <v>173</v>
      </c>
      <c r="B174">
        <f>IF(ISBLANK(IFERROR(INDEX('2-3 引出列表'!$A$2:$CE$8700,$A174,MATCH(B$1,'2-3 引出列表'!$A$1:$CD$1,0)),"")),"",IFERROR(INDEX('2-3 引出列表'!$A$2:$CE$8700,$A174,MATCH(B$1,'2-3 引出列表'!$A$1:$CD$1,0)),""))</f>
        <v>0</v>
      </c>
      <c r="C174">
        <f>IF(ISBLANK(IFERROR(INDEX('2-3 引出列表'!$A$2:$CE$8700,$A174,MATCH(C$1,'2-3 引出列表'!$A$1:$CD$1,0)),"")),"",IFERROR(INDEX('2-3 引出列表'!$A$2:$CE$8700,$A174,MATCH(C$1,'2-3 引出列表'!$A$1:$CD$1,0)),""))</f>
        <v>40980</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2025-05-30</v>
      </c>
      <c r="F174" s="30" t="str">
        <f t="shared" si="2"/>
        <v>2025-05</v>
      </c>
      <c r="G174" t="str">
        <f>IF(ISBLANK(IFERROR(INDEX('2-3 引出列表'!$A$2:$CE$8700,$A174,MATCH(G$1,'2-3 引出列表'!$A$1:$CD$1,0)),"")),"",IFERROR(INDEX('2-3 引出列表'!$A$2:$CE$8700,$A174,MATCH(G$1,'2-3 引出列表'!$A$1:$CD$1,0)),""))</f>
        <v>人工费用.宿舍费</v>
      </c>
      <c r="H174" t="str">
        <f>IF(ISBLANK(IFERROR(INDEX('2-3 引出列表'!$A$2:$CE$8700,$A174,MATCH(H$1,'2-3 引出列表'!$A$1:$CD$1,0)),"")),"",IFERROR(INDEX('2-3 引出列表'!$A$2:$CE$8700,$A174,MATCH(H$1,'2-3 引出列表'!$A$1:$CD$1,0)),""))</f>
        <v>FWL-Z-2025-00136</v>
      </c>
      <c r="I174">
        <f>IF(ISBLANK(IFERROR(INDEX('2-3 引出列表'!$A$2:$CE$8700,$A174,MATCH(I$1,'2-3 引出列表'!$A$1:$CD$1,0)),"")),"",IFERROR(INDEX('2-3 引出列表'!$A$2:$CE$8700,$A174,MATCH(I$1,'2-3 引出列表'!$A$1:$CD$1,0)),""))</f>
        <v>0</v>
      </c>
    </row>
    <row r="175" spans="1:9">
      <c r="A175">
        <v>174</v>
      </c>
      <c r="B175" t="str">
        <f>IF(ISBLANK(IFERROR(INDEX('2-3 引出列表'!$A$2:$CE$8700,$A175,MATCH(B$1,'2-3 引出列表'!$A$1:$CD$1,0)),"")),"",IFERROR(INDEX('2-3 引出列表'!$A$2:$CE$8700,$A175,MATCH(B$1,'2-3 引出列表'!$A$1:$CD$1,0)),""))</f>
        <v>FK250226000649</v>
      </c>
      <c r="C175">
        <f>IF(ISBLANK(IFERROR(INDEX('2-3 引出列表'!$A$2:$CE$8700,$A175,MATCH(C$1,'2-3 引出列表'!$A$1:$CD$1,0)),"")),"",IFERROR(INDEX('2-3 引出列表'!$A$2:$CE$8700,$A175,MATCH(C$1,'2-3 引出列表'!$A$1:$CD$1,0)),""))</f>
        <v>24000</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2025-05-30</v>
      </c>
      <c r="F175" s="30" t="str">
        <f t="shared" si="2"/>
        <v>2025-05</v>
      </c>
      <c r="G175" t="str">
        <f>IF(ISBLANK(IFERROR(INDEX('2-3 引出列表'!$A$2:$CE$8700,$A175,MATCH(G$1,'2-3 引出列表'!$A$1:$CD$1,0)),"")),"",IFERROR(INDEX('2-3 引出列表'!$A$2:$CE$8700,$A175,MATCH(G$1,'2-3 引出列表'!$A$1:$CD$1,0)),""))</f>
        <v>外包服务费.设备设施维保外包</v>
      </c>
      <c r="H175" t="str">
        <f>IF(ISBLANK(IFERROR(INDEX('2-3 引出列表'!$A$2:$CE$8700,$A175,MATCH(H$1,'2-3 引出列表'!$A$1:$CD$1,0)),"")),"",IFERROR(INDEX('2-3 引出列表'!$A$2:$CE$8700,$A175,MATCH(H$1,'2-3 引出列表'!$A$1:$CD$1,0)),""))</f>
        <v>GCFW-Z-2024-4812</v>
      </c>
      <c r="I175" t="str">
        <f>IF(ISBLANK(IFERROR(INDEX('2-3 引出列表'!$A$2:$CE$8700,$A175,MATCH(I$1,'2-3 引出列表'!$A$1:$CD$1,0)),"")),"",IFERROR(INDEX('2-3 引出列表'!$A$2:$CE$8700,$A175,MATCH(I$1,'2-3 引出列表'!$A$1:$CD$1,0)),""))</f>
        <v>金采易购</v>
      </c>
    </row>
    <row r="176" spans="1:9">
      <c r="A176">
        <v>175</v>
      </c>
      <c r="B176" t="str">
        <f>IF(ISBLANK(IFERROR(INDEX('2-3 引出列表'!$A$2:$CE$8700,$A176,MATCH(B$1,'2-3 引出列表'!$A$1:$CD$1,0)),"")),"",IFERROR(INDEX('2-3 引出列表'!$A$2:$CE$8700,$A176,MATCH(B$1,'2-3 引出列表'!$A$1:$CD$1,0)),""))</f>
        <v>FK250226000649</v>
      </c>
      <c r="C176">
        <f>IF(ISBLANK(IFERROR(INDEX('2-3 引出列表'!$A$2:$CE$8700,$A176,MATCH(C$1,'2-3 引出列表'!$A$1:$CD$1,0)),"")),"",IFERROR(INDEX('2-3 引出列表'!$A$2:$CE$8700,$A176,MATCH(C$1,'2-3 引出列表'!$A$1:$CD$1,0)),""))</f>
        <v>24000</v>
      </c>
      <c r="D176" t="str">
        <f>IF(ISBLANK(IFERROR(INDEX('2-3 引出列表'!$A$2:$CE$8700,$A176,MATCH(D$1,'2-3 引出列表'!$A$1:$CD$1,0)),"")),"",IFERROR(INDEX('2-3 引出列表'!$A$2:$CE$8700,$A176,MATCH(D$1,'2-3 引出列表'!$A$1:$CD$1,0)),""))</f>
        <v>已付款</v>
      </c>
      <c r="E176" t="str">
        <f>IF(ISBLANK(IFERROR(INDEX('2-3 引出列表'!$A$2:$CE$8700,$A176,MATCH(E$1,'2-3 引出列表'!$A$1:$CD$1,0)),"")),"",IFERROR(INDEX('2-3 引出列表'!$A$2:$CE$8700,$A176,MATCH(E$1,'2-3 引出列表'!$A$1:$CD$1,0)),""))</f>
        <v>2025-05-30</v>
      </c>
      <c r="F176" s="30" t="str">
        <f t="shared" si="2"/>
        <v>2025-05</v>
      </c>
      <c r="G176" t="str">
        <f>IF(ISBLANK(IFERROR(INDEX('2-3 引出列表'!$A$2:$CE$8700,$A176,MATCH(G$1,'2-3 引出列表'!$A$1:$CD$1,0)),"")),"",IFERROR(INDEX('2-3 引出列表'!$A$2:$CE$8700,$A176,MATCH(G$1,'2-3 引出列表'!$A$1:$CD$1,0)),""))</f>
        <v>外包服务费.设备设施维保外包</v>
      </c>
      <c r="H176" t="str">
        <f>IF(ISBLANK(IFERROR(INDEX('2-3 引出列表'!$A$2:$CE$8700,$A176,MATCH(H$1,'2-3 引出列表'!$A$1:$CD$1,0)),"")),"",IFERROR(INDEX('2-3 引出列表'!$A$2:$CE$8700,$A176,MATCH(H$1,'2-3 引出列表'!$A$1:$CD$1,0)),""))</f>
        <v>GCFW-Z-2024-4812</v>
      </c>
      <c r="I176" t="str">
        <f>IF(ISBLANK(IFERROR(INDEX('2-3 引出列表'!$A$2:$CE$8700,$A176,MATCH(I$1,'2-3 引出列表'!$A$1:$CD$1,0)),"")),"",IFERROR(INDEX('2-3 引出列表'!$A$2:$CE$8700,$A176,MATCH(I$1,'2-3 引出列表'!$A$1:$CD$1,0)),""))</f>
        <v>金采易购</v>
      </c>
    </row>
    <row r="177" spans="1:9">
      <c r="A177">
        <v>176</v>
      </c>
      <c r="B177" t="str">
        <f>IF(ISBLANK(IFERROR(INDEX('2-3 引出列表'!$A$2:$CE$8700,$A177,MATCH(B$1,'2-3 引出列表'!$A$1:$CD$1,0)),"")),"",IFERROR(INDEX('2-3 引出列表'!$A$2:$CE$8700,$A177,MATCH(B$1,'2-3 引出列表'!$A$1:$CD$1,0)),""))</f>
        <v>FK250219000538</v>
      </c>
      <c r="C177">
        <f>IF(ISBLANK(IFERROR(INDEX('2-3 引出列表'!$A$2:$CE$8700,$A177,MATCH(C$1,'2-3 引出列表'!$A$1:$CD$1,0)),"")),"",IFERROR(INDEX('2-3 引出列表'!$A$2:$CE$8700,$A177,MATCH(C$1,'2-3 引出列表'!$A$1:$CD$1,0)),""))</f>
        <v>4666.66</v>
      </c>
      <c r="D177" t="str">
        <f>IF(ISBLANK(IFERROR(INDEX('2-3 引出列表'!$A$2:$CE$8700,$A177,MATCH(D$1,'2-3 引出列表'!$A$1:$CD$1,0)),"")),"",IFERROR(INDEX('2-3 引出列表'!$A$2:$CE$8700,$A177,MATCH(D$1,'2-3 引出列表'!$A$1:$CD$1,0)),""))</f>
        <v>已付款</v>
      </c>
      <c r="E177" t="str">
        <f>IF(ISBLANK(IFERROR(INDEX('2-3 引出列表'!$A$2:$CE$8700,$A177,MATCH(E$1,'2-3 引出列表'!$A$1:$CD$1,0)),"")),"",IFERROR(INDEX('2-3 引出列表'!$A$2:$CE$8700,$A177,MATCH(E$1,'2-3 引出列表'!$A$1:$CD$1,0)),""))</f>
        <v>2025-05-30</v>
      </c>
      <c r="F177" s="30" t="str">
        <f t="shared" si="2"/>
        <v>2025-05</v>
      </c>
      <c r="G177" t="str">
        <f>IF(ISBLANK(IFERROR(INDEX('2-3 引出列表'!$A$2:$CE$8700,$A177,MATCH(G$1,'2-3 引出列表'!$A$1:$CD$1,0)),"")),"",IFERROR(INDEX('2-3 引出列表'!$A$2:$CE$8700,$A177,MATCH(G$1,'2-3 引出列表'!$A$1:$CD$1,0)),""))</f>
        <v>外包服务费.保洁外包</v>
      </c>
      <c r="H177" t="str">
        <f>IF(ISBLANK(IFERROR(INDEX('2-3 引出列表'!$A$2:$CE$8700,$A177,MATCH(H$1,'2-3 引出列表'!$A$1:$CD$1,0)),"")),"",IFERROR(INDEX('2-3 引出列表'!$A$2:$CE$8700,$A177,MATCH(H$1,'2-3 引出列表'!$A$1:$CD$1,0)),""))</f>
        <v>GCFW-Z-2024-5163</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FK250219000539</v>
      </c>
      <c r="C178">
        <f>IF(ISBLANK(IFERROR(INDEX('2-3 引出列表'!$A$2:$CE$8700,$A178,MATCH(C$1,'2-3 引出列表'!$A$1:$CD$1,0)),"")),"",IFERROR(INDEX('2-3 引出列表'!$A$2:$CE$8700,$A178,MATCH(C$1,'2-3 引出列表'!$A$1:$CD$1,0)),""))</f>
        <v>29605</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2025-05-30</v>
      </c>
      <c r="F178" s="30" t="str">
        <f t="shared" si="2"/>
        <v>2025-05</v>
      </c>
      <c r="G178" t="str">
        <f>IF(ISBLANK(IFERROR(INDEX('2-3 引出列表'!$A$2:$CE$8700,$A178,MATCH(G$1,'2-3 引出列表'!$A$1:$CD$1,0)),"")),"",IFERROR(INDEX('2-3 引出列表'!$A$2:$CE$8700,$A178,MATCH(G$1,'2-3 引出列表'!$A$1:$CD$1,0)),""))</f>
        <v>外包服务费.设备设施维保外包</v>
      </c>
      <c r="H178" t="str">
        <f>IF(ISBLANK(IFERROR(INDEX('2-3 引出列表'!$A$2:$CE$8700,$A178,MATCH(H$1,'2-3 引出列表'!$A$1:$CD$1,0)),"")),"",IFERROR(INDEX('2-3 引出列表'!$A$2:$CE$8700,$A178,MATCH(H$1,'2-3 引出列表'!$A$1:$CD$1,0)),""))</f>
        <v>GCFW-Z-2024-4331</v>
      </c>
      <c r="I178" t="str">
        <f>IF(ISBLANK(IFERROR(INDEX('2-3 引出列表'!$A$2:$CE$8700,$A178,MATCH(I$1,'2-3 引出列表'!$A$1:$CD$1,0)),"")),"",IFERROR(INDEX('2-3 引出列表'!$A$2:$CE$8700,$A178,MATCH(I$1,'2-3 引出列表'!$A$1:$CD$1,0)),""))</f>
        <v>金采易购</v>
      </c>
    </row>
    <row r="179" spans="1:9">
      <c r="A179">
        <v>178</v>
      </c>
      <c r="B179" t="str">
        <f>IF(ISBLANK(IFERROR(INDEX('2-3 引出列表'!$A$2:$CE$8700,$A179,MATCH(B$1,'2-3 引出列表'!$A$1:$CD$1,0)),"")),"",IFERROR(INDEX('2-3 引出列表'!$A$2:$CE$8700,$A179,MATCH(B$1,'2-3 引出列表'!$A$1:$CD$1,0)),""))</f>
        <v>FK250214000108</v>
      </c>
      <c r="C179">
        <f>IF(ISBLANK(IFERROR(INDEX('2-3 引出列表'!$A$2:$CE$8700,$A179,MATCH(C$1,'2-3 引出列表'!$A$1:$CD$1,0)),"")),"",IFERROR(INDEX('2-3 引出列表'!$A$2:$CE$8700,$A179,MATCH(C$1,'2-3 引出列表'!$A$1:$CD$1,0)),""))</f>
        <v>484741.2</v>
      </c>
      <c r="D179" t="str">
        <f>IF(ISBLANK(IFERROR(INDEX('2-3 引出列表'!$A$2:$CE$8700,$A179,MATCH(D$1,'2-3 引出列表'!$A$1:$CD$1,0)),"")),"",IFERROR(INDEX('2-3 引出列表'!$A$2:$CE$8700,$A179,MATCH(D$1,'2-3 引出列表'!$A$1:$CD$1,0)),""))</f>
        <v>已付款</v>
      </c>
      <c r="E179" t="str">
        <f>IF(ISBLANK(IFERROR(INDEX('2-3 引出列表'!$A$2:$CE$8700,$A179,MATCH(E$1,'2-3 引出列表'!$A$1:$CD$1,0)),"")),"",IFERROR(INDEX('2-3 引出列表'!$A$2:$CE$8700,$A179,MATCH(E$1,'2-3 引出列表'!$A$1:$CD$1,0)),""))</f>
        <v>2025-05-30</v>
      </c>
      <c r="F179" s="30" t="str">
        <f t="shared" si="2"/>
        <v>2025-05</v>
      </c>
      <c r="G179" t="str">
        <f>IF(ISBLANK(IFERROR(INDEX('2-3 引出列表'!$A$2:$CE$8700,$A179,MATCH(G$1,'2-3 引出列表'!$A$1:$CD$1,0)),"")),"",IFERROR(INDEX('2-3 引出列表'!$A$2:$CE$8700,$A179,MATCH(G$1,'2-3 引出列表'!$A$1:$CD$1,0)),""))</f>
        <v>外包服务费.保洁外包</v>
      </c>
      <c r="H179" t="str">
        <f>IF(ISBLANK(IFERROR(INDEX('2-3 引出列表'!$A$2:$CE$8700,$A179,MATCH(H$1,'2-3 引出列表'!$A$1:$CD$1,0)),"")),"",IFERROR(INDEX('2-3 引出列表'!$A$2:$CE$8700,$A179,MATCH(H$1,'2-3 引出列表'!$A$1:$CD$1,0)),""))</f>
        <v>HJFW-Z-2024-2785</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FK250213000742</v>
      </c>
      <c r="C180">
        <f>IF(ISBLANK(IFERROR(INDEX('2-3 引出列表'!$A$2:$CE$8700,$A180,MATCH(C$1,'2-3 引出列表'!$A$1:$CD$1,0)),"")),"",IFERROR(INDEX('2-3 引出列表'!$A$2:$CE$8700,$A180,MATCH(C$1,'2-3 引出列表'!$A$1:$CD$1,0)),""))</f>
        <v>22620</v>
      </c>
      <c r="D180" t="str">
        <f>IF(ISBLANK(IFERROR(INDEX('2-3 引出列表'!$A$2:$CE$8700,$A180,MATCH(D$1,'2-3 引出列表'!$A$1:$CD$1,0)),"")),"",IFERROR(INDEX('2-3 引出列表'!$A$2:$CE$8700,$A180,MATCH(D$1,'2-3 引出列表'!$A$1:$CD$1,0)),""))</f>
        <v>已付款</v>
      </c>
      <c r="E180" t="str">
        <f>IF(ISBLANK(IFERROR(INDEX('2-3 引出列表'!$A$2:$CE$8700,$A180,MATCH(E$1,'2-3 引出列表'!$A$1:$CD$1,0)),"")),"",IFERROR(INDEX('2-3 引出列表'!$A$2:$CE$8700,$A180,MATCH(E$1,'2-3 引出列表'!$A$1:$CD$1,0)),""))</f>
        <v>2025-05-30</v>
      </c>
      <c r="F180" s="30" t="str">
        <f t="shared" si="2"/>
        <v>2025-05</v>
      </c>
      <c r="G180" t="str">
        <f>IF(ISBLANK(IFERROR(INDEX('2-3 引出列表'!$A$2:$CE$8700,$A180,MATCH(G$1,'2-3 引出列表'!$A$1:$CD$1,0)),"")),"",IFERROR(INDEX('2-3 引出列表'!$A$2:$CE$8700,$A180,MATCH(G$1,'2-3 引出列表'!$A$1:$CD$1,0)),""))</f>
        <v>外包服务费.消杀外包</v>
      </c>
      <c r="H180" t="str">
        <f>IF(ISBLANK(IFERROR(INDEX('2-3 引出列表'!$A$2:$CE$8700,$A180,MATCH(H$1,'2-3 引出列表'!$A$1:$CD$1,0)),"")),"",IFERROR(INDEX('2-3 引出列表'!$A$2:$CE$8700,$A180,MATCH(H$1,'2-3 引出列表'!$A$1:$CD$1,0)),""))</f>
        <v>HJFW-Z-2024-3412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FK250213000742</v>
      </c>
      <c r="C181">
        <f>IF(ISBLANK(IFERROR(INDEX('2-3 引出列表'!$A$2:$CE$8700,$A181,MATCH(C$1,'2-3 引出列表'!$A$1:$CD$1,0)),"")),"",IFERROR(INDEX('2-3 引出列表'!$A$2:$CE$8700,$A181,MATCH(C$1,'2-3 引出列表'!$A$1:$CD$1,0)),""))</f>
        <v>22620</v>
      </c>
      <c r="D181" t="str">
        <f>IF(ISBLANK(IFERROR(INDEX('2-3 引出列表'!$A$2:$CE$8700,$A181,MATCH(D$1,'2-3 引出列表'!$A$1:$CD$1,0)),"")),"",IFERROR(INDEX('2-3 引出列表'!$A$2:$CE$8700,$A181,MATCH(D$1,'2-3 引出列表'!$A$1:$CD$1,0)),""))</f>
        <v>已付款</v>
      </c>
      <c r="E181" t="str">
        <f>IF(ISBLANK(IFERROR(INDEX('2-3 引出列表'!$A$2:$CE$8700,$A181,MATCH(E$1,'2-3 引出列表'!$A$1:$CD$1,0)),"")),"",IFERROR(INDEX('2-3 引出列表'!$A$2:$CE$8700,$A181,MATCH(E$1,'2-3 引出列表'!$A$1:$CD$1,0)),""))</f>
        <v>2025-05-30</v>
      </c>
      <c r="F181" s="30" t="str">
        <f t="shared" si="2"/>
        <v>2025-05</v>
      </c>
      <c r="G181" t="str">
        <f>IF(ISBLANK(IFERROR(INDEX('2-3 引出列表'!$A$2:$CE$8700,$A181,MATCH(G$1,'2-3 引出列表'!$A$1:$CD$1,0)),"")),"",IFERROR(INDEX('2-3 引出列表'!$A$2:$CE$8700,$A181,MATCH(G$1,'2-3 引出列表'!$A$1:$CD$1,0)),""))</f>
        <v>外包服务费.消杀外包</v>
      </c>
      <c r="H181" t="str">
        <f>IF(ISBLANK(IFERROR(INDEX('2-3 引出列表'!$A$2:$CE$8700,$A181,MATCH(H$1,'2-3 引出列表'!$A$1:$CD$1,0)),"")),"",IFERROR(INDEX('2-3 引出列表'!$A$2:$CE$8700,$A181,MATCH(H$1,'2-3 引出列表'!$A$1:$CD$1,0)),""))</f>
        <v>HJFW-Z-2024-3412</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FK250213000742</v>
      </c>
      <c r="C182">
        <f>IF(ISBLANK(IFERROR(INDEX('2-3 引出列表'!$A$2:$CE$8700,$A182,MATCH(C$1,'2-3 引出列表'!$A$1:$CD$1,0)),"")),"",IFERROR(INDEX('2-3 引出列表'!$A$2:$CE$8700,$A182,MATCH(C$1,'2-3 引出列表'!$A$1:$CD$1,0)),""))</f>
        <v>22620</v>
      </c>
      <c r="D182" t="str">
        <f>IF(ISBLANK(IFERROR(INDEX('2-3 引出列表'!$A$2:$CE$8700,$A182,MATCH(D$1,'2-3 引出列表'!$A$1:$CD$1,0)),"")),"",IFERROR(INDEX('2-3 引出列表'!$A$2:$CE$8700,$A182,MATCH(D$1,'2-3 引出列表'!$A$1:$CD$1,0)),""))</f>
        <v>已付款</v>
      </c>
      <c r="E182" t="str">
        <f>IF(ISBLANK(IFERROR(INDEX('2-3 引出列表'!$A$2:$CE$8700,$A182,MATCH(E$1,'2-3 引出列表'!$A$1:$CD$1,0)),"")),"",IFERROR(INDEX('2-3 引出列表'!$A$2:$CE$8700,$A182,MATCH(E$1,'2-3 引出列表'!$A$1:$CD$1,0)),""))</f>
        <v>2025-05-30</v>
      </c>
      <c r="F182" s="30" t="str">
        <f t="shared" si="2"/>
        <v>2025-05</v>
      </c>
      <c r="G182" t="str">
        <f>IF(ISBLANK(IFERROR(INDEX('2-3 引出列表'!$A$2:$CE$8700,$A182,MATCH(G$1,'2-3 引出列表'!$A$1:$CD$1,0)),"")),"",IFERROR(INDEX('2-3 引出列表'!$A$2:$CE$8700,$A182,MATCH(G$1,'2-3 引出列表'!$A$1:$CD$1,0)),""))</f>
        <v>外包服务费.消杀外包</v>
      </c>
      <c r="H182" t="str">
        <f>IF(ISBLANK(IFERROR(INDEX('2-3 引出列表'!$A$2:$CE$8700,$A182,MATCH(H$1,'2-3 引出列表'!$A$1:$CD$1,0)),"")),"",IFERROR(INDEX('2-3 引出列表'!$A$2:$CE$8700,$A182,MATCH(H$1,'2-3 引出列表'!$A$1:$CD$1,0)),""))</f>
        <v>HJFW-Z-2024-3412</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FK250213000281</v>
      </c>
      <c r="C183">
        <f>IF(ISBLANK(IFERROR(INDEX('2-3 引出列表'!$A$2:$CE$8700,$A183,MATCH(C$1,'2-3 引出列表'!$A$1:$CD$1,0)),"")),"",IFERROR(INDEX('2-3 引出列表'!$A$2:$CE$8700,$A183,MATCH(C$1,'2-3 引出列表'!$A$1:$CD$1,0)),""))</f>
        <v>17569.5</v>
      </c>
      <c r="D183" t="str">
        <f>IF(ISBLANK(IFERROR(INDEX('2-3 引出列表'!$A$2:$CE$8700,$A183,MATCH(D$1,'2-3 引出列表'!$A$1:$CD$1,0)),"")),"",IFERROR(INDEX('2-3 引出列表'!$A$2:$CE$8700,$A183,MATCH(D$1,'2-3 引出列表'!$A$1:$CD$1,0)),""))</f>
        <v>已付款</v>
      </c>
      <c r="E183" t="str">
        <f>IF(ISBLANK(IFERROR(INDEX('2-3 引出列表'!$A$2:$CE$8700,$A183,MATCH(E$1,'2-3 引出列表'!$A$1:$CD$1,0)),"")),"",IFERROR(INDEX('2-3 引出列表'!$A$2:$CE$8700,$A183,MATCH(E$1,'2-3 引出列表'!$A$1:$CD$1,0)),""))</f>
        <v>2025-05-30</v>
      </c>
      <c r="F183" s="30" t="str">
        <f t="shared" si="2"/>
        <v>2025-05</v>
      </c>
      <c r="G183" t="str">
        <f>IF(ISBLANK(IFERROR(INDEX('2-3 引出列表'!$A$2:$CE$8700,$A183,MATCH(G$1,'2-3 引出列表'!$A$1:$CD$1,0)),"")),"",IFERROR(INDEX('2-3 引出列表'!$A$2:$CE$8700,$A183,MATCH(G$1,'2-3 引出列表'!$A$1:$CD$1,0)),""))</f>
        <v>外包服务费.消杀外包</v>
      </c>
      <c r="H183" t="str">
        <f>IF(ISBLANK(IFERROR(INDEX('2-3 引出列表'!$A$2:$CE$8700,$A183,MATCH(H$1,'2-3 引出列表'!$A$1:$CD$1,0)),"")),"",IFERROR(INDEX('2-3 引出列表'!$A$2:$CE$8700,$A183,MATCH(H$1,'2-3 引出列表'!$A$1:$CD$1,0)),""))</f>
        <v>HJFW-Z-2024-3499</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FK250213000281</v>
      </c>
      <c r="C184">
        <f>IF(ISBLANK(IFERROR(INDEX('2-3 引出列表'!$A$2:$CE$8700,$A184,MATCH(C$1,'2-3 引出列表'!$A$1:$CD$1,0)),"")),"",IFERROR(INDEX('2-3 引出列表'!$A$2:$CE$8700,$A184,MATCH(C$1,'2-3 引出列表'!$A$1:$CD$1,0)),""))</f>
        <v>17569.5</v>
      </c>
      <c r="D184" t="str">
        <f>IF(ISBLANK(IFERROR(INDEX('2-3 引出列表'!$A$2:$CE$8700,$A184,MATCH(D$1,'2-3 引出列表'!$A$1:$CD$1,0)),"")),"",IFERROR(INDEX('2-3 引出列表'!$A$2:$CE$8700,$A184,MATCH(D$1,'2-3 引出列表'!$A$1:$CD$1,0)),""))</f>
        <v>已付款</v>
      </c>
      <c r="E184" t="str">
        <f>IF(ISBLANK(IFERROR(INDEX('2-3 引出列表'!$A$2:$CE$8700,$A184,MATCH(E$1,'2-3 引出列表'!$A$1:$CD$1,0)),"")),"",IFERROR(INDEX('2-3 引出列表'!$A$2:$CE$8700,$A184,MATCH(E$1,'2-3 引出列表'!$A$1:$CD$1,0)),""))</f>
        <v>2025-05-30</v>
      </c>
      <c r="F184" s="30" t="str">
        <f t="shared" si="2"/>
        <v>2025-05</v>
      </c>
      <c r="G184" t="str">
        <f>IF(ISBLANK(IFERROR(INDEX('2-3 引出列表'!$A$2:$CE$8700,$A184,MATCH(G$1,'2-3 引出列表'!$A$1:$CD$1,0)),"")),"",IFERROR(INDEX('2-3 引出列表'!$A$2:$CE$8700,$A184,MATCH(G$1,'2-3 引出列表'!$A$1:$CD$1,0)),""))</f>
        <v>外包服务费.消杀外包</v>
      </c>
      <c r="H184" t="str">
        <f>IF(ISBLANK(IFERROR(INDEX('2-3 引出列表'!$A$2:$CE$8700,$A184,MATCH(H$1,'2-3 引出列表'!$A$1:$CD$1,0)),"")),"",IFERROR(INDEX('2-3 引出列表'!$A$2:$CE$8700,$A184,MATCH(H$1,'2-3 引出列表'!$A$1:$CD$1,0)),""))</f>
        <v>HJFW-Z-2024-3499</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FK250213000281</v>
      </c>
      <c r="C185">
        <f>IF(ISBLANK(IFERROR(INDEX('2-3 引出列表'!$A$2:$CE$8700,$A185,MATCH(C$1,'2-3 引出列表'!$A$1:$CD$1,0)),"")),"",IFERROR(INDEX('2-3 引出列表'!$A$2:$CE$8700,$A185,MATCH(C$1,'2-3 引出列表'!$A$1:$CD$1,0)),""))</f>
        <v>17569.5</v>
      </c>
      <c r="D185" t="str">
        <f>IF(ISBLANK(IFERROR(INDEX('2-3 引出列表'!$A$2:$CE$8700,$A185,MATCH(D$1,'2-3 引出列表'!$A$1:$CD$1,0)),"")),"",IFERROR(INDEX('2-3 引出列表'!$A$2:$CE$8700,$A185,MATCH(D$1,'2-3 引出列表'!$A$1:$CD$1,0)),""))</f>
        <v>已付款</v>
      </c>
      <c r="E185" t="str">
        <f>IF(ISBLANK(IFERROR(INDEX('2-3 引出列表'!$A$2:$CE$8700,$A185,MATCH(E$1,'2-3 引出列表'!$A$1:$CD$1,0)),"")),"",IFERROR(INDEX('2-3 引出列表'!$A$2:$CE$8700,$A185,MATCH(E$1,'2-3 引出列表'!$A$1:$CD$1,0)),""))</f>
        <v>2025-05-30</v>
      </c>
      <c r="F185" s="30" t="str">
        <f t="shared" si="2"/>
        <v>2025-05</v>
      </c>
      <c r="G185" t="str">
        <f>IF(ISBLANK(IFERROR(INDEX('2-3 引出列表'!$A$2:$CE$8700,$A185,MATCH(G$1,'2-3 引出列表'!$A$1:$CD$1,0)),"")),"",IFERROR(INDEX('2-3 引出列表'!$A$2:$CE$8700,$A185,MATCH(G$1,'2-3 引出列表'!$A$1:$CD$1,0)),""))</f>
        <v>外包服务费.消杀外包</v>
      </c>
      <c r="H185" t="str">
        <f>IF(ISBLANK(IFERROR(INDEX('2-3 引出列表'!$A$2:$CE$8700,$A185,MATCH(H$1,'2-3 引出列表'!$A$1:$CD$1,0)),"")),"",IFERROR(INDEX('2-3 引出列表'!$A$2:$CE$8700,$A185,MATCH(H$1,'2-3 引出列表'!$A$1:$CD$1,0)),""))</f>
        <v>HJFW-Z-2024-3499</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FK250121000939</v>
      </c>
      <c r="C186">
        <f>IF(ISBLANK(IFERROR(INDEX('2-3 引出列表'!$A$2:$CE$8700,$A186,MATCH(C$1,'2-3 引出列表'!$A$1:$CD$1,0)),"")),"",IFERROR(INDEX('2-3 引出列表'!$A$2:$CE$8700,$A186,MATCH(C$1,'2-3 引出列表'!$A$1:$CD$1,0)),""))</f>
        <v>218994</v>
      </c>
      <c r="D186" t="str">
        <f>IF(ISBLANK(IFERROR(INDEX('2-3 引出列表'!$A$2:$CE$8700,$A186,MATCH(D$1,'2-3 引出列表'!$A$1:$CD$1,0)),"")),"",IFERROR(INDEX('2-3 引出列表'!$A$2:$CE$8700,$A186,MATCH(D$1,'2-3 引出列表'!$A$1:$CD$1,0)),""))</f>
        <v>已付款</v>
      </c>
      <c r="E186" t="str">
        <f>IF(ISBLANK(IFERROR(INDEX('2-3 引出列表'!$A$2:$CE$8700,$A186,MATCH(E$1,'2-3 引出列表'!$A$1:$CD$1,0)),"")),"",IFERROR(INDEX('2-3 引出列表'!$A$2:$CE$8700,$A186,MATCH(E$1,'2-3 引出列表'!$A$1:$CD$1,0)),""))</f>
        <v>2025-05-30</v>
      </c>
      <c r="F186" s="30" t="str">
        <f t="shared" si="2"/>
        <v>2025-05</v>
      </c>
      <c r="G186" t="str">
        <f>IF(ISBLANK(IFERROR(INDEX('2-3 引出列表'!$A$2:$CE$8700,$A186,MATCH(G$1,'2-3 引出列表'!$A$1:$CD$1,0)),"")),"",IFERROR(INDEX('2-3 引出列表'!$A$2:$CE$8700,$A186,MATCH(G$1,'2-3 引出列表'!$A$1:$CD$1,0)),""))</f>
        <v>物料消耗.物料消耗</v>
      </c>
      <c r="H186">
        <f>IF(ISBLANK(IFERROR(INDEX('2-3 引出列表'!$A$2:$CE$8700,$A186,MATCH(H$1,'2-3 引出列表'!$A$1:$CD$1,0)),"")),"",IFERROR(INDEX('2-3 引出列表'!$A$2:$CE$8700,$A186,MATCH(H$1,'2-3 引出列表'!$A$1:$CD$1,0)),""))</f>
        <v>0</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FK250121000939</v>
      </c>
      <c r="C187">
        <f>IF(ISBLANK(IFERROR(INDEX('2-3 引出列表'!$A$2:$CE$8700,$A187,MATCH(C$1,'2-3 引出列表'!$A$1:$CD$1,0)),"")),"",IFERROR(INDEX('2-3 引出列表'!$A$2:$CE$8700,$A187,MATCH(C$1,'2-3 引出列表'!$A$1:$CD$1,0)),""))</f>
        <v>218994</v>
      </c>
      <c r="D187" t="str">
        <f>IF(ISBLANK(IFERROR(INDEX('2-3 引出列表'!$A$2:$CE$8700,$A187,MATCH(D$1,'2-3 引出列表'!$A$1:$CD$1,0)),"")),"",IFERROR(INDEX('2-3 引出列表'!$A$2:$CE$8700,$A187,MATCH(D$1,'2-3 引出列表'!$A$1:$CD$1,0)),""))</f>
        <v>已付款</v>
      </c>
      <c r="E187" t="str">
        <f>IF(ISBLANK(IFERROR(INDEX('2-3 引出列表'!$A$2:$CE$8700,$A187,MATCH(E$1,'2-3 引出列表'!$A$1:$CD$1,0)),"")),"",IFERROR(INDEX('2-3 引出列表'!$A$2:$CE$8700,$A187,MATCH(E$1,'2-3 引出列表'!$A$1:$CD$1,0)),""))</f>
        <v>2025-05-30</v>
      </c>
      <c r="F187" s="30" t="str">
        <f t="shared" si="2"/>
        <v>2025-05</v>
      </c>
      <c r="G187" t="str">
        <f>IF(ISBLANK(IFERROR(INDEX('2-3 引出列表'!$A$2:$CE$8700,$A187,MATCH(G$1,'2-3 引出列表'!$A$1:$CD$1,0)),"")),"",IFERROR(INDEX('2-3 引出列表'!$A$2:$CE$8700,$A187,MATCH(G$1,'2-3 引出列表'!$A$1:$CD$1,0)),""))</f>
        <v>物料消耗.物料消耗</v>
      </c>
      <c r="H187">
        <f>IF(ISBLANK(IFERROR(INDEX('2-3 引出列表'!$A$2:$CE$8700,$A187,MATCH(H$1,'2-3 引出列表'!$A$1:$CD$1,0)),"")),"",IFERROR(INDEX('2-3 引出列表'!$A$2:$CE$8700,$A187,MATCH(H$1,'2-3 引出列表'!$A$1:$CD$1,0)),""))</f>
        <v>0</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FK250121000939</v>
      </c>
      <c r="C188">
        <f>IF(ISBLANK(IFERROR(INDEX('2-3 引出列表'!$A$2:$CE$8700,$A188,MATCH(C$1,'2-3 引出列表'!$A$1:$CD$1,0)),"")),"",IFERROR(INDEX('2-3 引出列表'!$A$2:$CE$8700,$A188,MATCH(C$1,'2-3 引出列表'!$A$1:$CD$1,0)),""))</f>
        <v>218994</v>
      </c>
      <c r="D188" t="str">
        <f>IF(ISBLANK(IFERROR(INDEX('2-3 引出列表'!$A$2:$CE$8700,$A188,MATCH(D$1,'2-3 引出列表'!$A$1:$CD$1,0)),"")),"",IFERROR(INDEX('2-3 引出列表'!$A$2:$CE$8700,$A188,MATCH(D$1,'2-3 引出列表'!$A$1:$CD$1,0)),""))</f>
        <v>已付款</v>
      </c>
      <c r="E188" t="str">
        <f>IF(ISBLANK(IFERROR(INDEX('2-3 引出列表'!$A$2:$CE$8700,$A188,MATCH(E$1,'2-3 引出列表'!$A$1:$CD$1,0)),"")),"",IFERROR(INDEX('2-3 引出列表'!$A$2:$CE$8700,$A188,MATCH(E$1,'2-3 引出列表'!$A$1:$CD$1,0)),""))</f>
        <v>2025-05-30</v>
      </c>
      <c r="F188" s="30" t="str">
        <f t="shared" si="2"/>
        <v>2025-05</v>
      </c>
      <c r="G188" t="str">
        <f>IF(ISBLANK(IFERROR(INDEX('2-3 引出列表'!$A$2:$CE$8700,$A188,MATCH(G$1,'2-3 引出列表'!$A$1:$CD$1,0)),"")),"",IFERROR(INDEX('2-3 引出列表'!$A$2:$CE$8700,$A188,MATCH(G$1,'2-3 引出列表'!$A$1:$CD$1,0)),""))</f>
        <v>物料消耗.物料消耗</v>
      </c>
      <c r="H188">
        <f>IF(ISBLANK(IFERROR(INDEX('2-3 引出列表'!$A$2:$CE$8700,$A188,MATCH(H$1,'2-3 引出列表'!$A$1:$CD$1,0)),"")),"",IFERROR(INDEX('2-3 引出列表'!$A$2:$CE$8700,$A188,MATCH(H$1,'2-3 引出列表'!$A$1:$CD$1,0)),""))</f>
        <v>0</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FK250121000939</v>
      </c>
      <c r="C189">
        <f>IF(ISBLANK(IFERROR(INDEX('2-3 引出列表'!$A$2:$CE$8700,$A189,MATCH(C$1,'2-3 引出列表'!$A$1:$CD$1,0)),"")),"",IFERROR(INDEX('2-3 引出列表'!$A$2:$CE$8700,$A189,MATCH(C$1,'2-3 引出列表'!$A$1:$CD$1,0)),""))</f>
        <v>218994</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2025-05-30</v>
      </c>
      <c r="F189" s="30" t="str">
        <f t="shared" si="2"/>
        <v>2025-05</v>
      </c>
      <c r="G189" t="str">
        <f>IF(ISBLANK(IFERROR(INDEX('2-3 引出列表'!$A$2:$CE$8700,$A189,MATCH(G$1,'2-3 引出列表'!$A$1:$CD$1,0)),"")),"",IFERROR(INDEX('2-3 引出列表'!$A$2:$CE$8700,$A189,MATCH(G$1,'2-3 引出列表'!$A$1:$CD$1,0)),""))</f>
        <v>物料消耗.物料消耗</v>
      </c>
      <c r="H189">
        <f>IF(ISBLANK(IFERROR(INDEX('2-3 引出列表'!$A$2:$CE$8700,$A189,MATCH(H$1,'2-3 引出列表'!$A$1:$CD$1,0)),"")),"",IFERROR(INDEX('2-3 引出列表'!$A$2:$CE$8700,$A189,MATCH(H$1,'2-3 引出列表'!$A$1:$CD$1,0)),""))</f>
        <v>0</v>
      </c>
      <c r="I189" t="str">
        <f>IF(ISBLANK(IFERROR(INDEX('2-3 引出列表'!$A$2:$CE$8700,$A189,MATCH(I$1,'2-3 引出列表'!$A$1:$CD$1,0)),"")),"",IFERROR(INDEX('2-3 引出列表'!$A$2:$CE$8700,$A189,MATCH(I$1,'2-3 引出列表'!$A$1:$CD$1,0)),""))</f>
        <v>金采易购</v>
      </c>
    </row>
    <row r="190" spans="1:9">
      <c r="A190">
        <v>189</v>
      </c>
      <c r="B190" t="str">
        <f>IF(ISBLANK(IFERROR(INDEX('2-3 引出列表'!$A$2:$CE$8700,$A190,MATCH(B$1,'2-3 引出列表'!$A$1:$CD$1,0)),"")),"",IFERROR(INDEX('2-3 引出列表'!$A$2:$CE$8700,$A190,MATCH(B$1,'2-3 引出列表'!$A$1:$CD$1,0)),""))</f>
        <v>FK250121000939</v>
      </c>
      <c r="C190">
        <f>IF(ISBLANK(IFERROR(INDEX('2-3 引出列表'!$A$2:$CE$8700,$A190,MATCH(C$1,'2-3 引出列表'!$A$1:$CD$1,0)),"")),"",IFERROR(INDEX('2-3 引出列表'!$A$2:$CE$8700,$A190,MATCH(C$1,'2-3 引出列表'!$A$1:$CD$1,0)),""))</f>
        <v>218994</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2025-05-30</v>
      </c>
      <c r="F190" s="30" t="str">
        <f t="shared" si="2"/>
        <v>2025-05</v>
      </c>
      <c r="G190" t="str">
        <f>IF(ISBLANK(IFERROR(INDEX('2-3 引出列表'!$A$2:$CE$8700,$A190,MATCH(G$1,'2-3 引出列表'!$A$1:$CD$1,0)),"")),"",IFERROR(INDEX('2-3 引出列表'!$A$2:$CE$8700,$A190,MATCH(G$1,'2-3 引出列表'!$A$1:$CD$1,0)),""))</f>
        <v>物料消耗.物料消耗</v>
      </c>
      <c r="H190">
        <f>IF(ISBLANK(IFERROR(INDEX('2-3 引出列表'!$A$2:$CE$8700,$A190,MATCH(H$1,'2-3 引出列表'!$A$1:$CD$1,0)),"")),"",IFERROR(INDEX('2-3 引出列表'!$A$2:$CE$8700,$A190,MATCH(H$1,'2-3 引出列表'!$A$1:$CD$1,0)),""))</f>
        <v>0</v>
      </c>
      <c r="I190" t="str">
        <f>IF(ISBLANK(IFERROR(INDEX('2-3 引出列表'!$A$2:$CE$8700,$A190,MATCH(I$1,'2-3 引出列表'!$A$1:$CD$1,0)),"")),"",IFERROR(INDEX('2-3 引出列表'!$A$2:$CE$8700,$A190,MATCH(I$1,'2-3 引出列表'!$A$1:$CD$1,0)),""))</f>
        <v>金采易购</v>
      </c>
    </row>
    <row r="191" spans="1:9">
      <c r="A191">
        <v>190</v>
      </c>
      <c r="B191" t="str">
        <f>IF(ISBLANK(IFERROR(INDEX('2-3 引出列表'!$A$2:$CE$8700,$A191,MATCH(B$1,'2-3 引出列表'!$A$1:$CD$1,0)),"")),"",IFERROR(INDEX('2-3 引出列表'!$A$2:$CE$8700,$A191,MATCH(B$1,'2-3 引出列表'!$A$1:$CD$1,0)),""))</f>
        <v>FK250121000746</v>
      </c>
      <c r="C191">
        <f>IF(ISBLANK(IFERROR(INDEX('2-3 引出列表'!$A$2:$CE$8700,$A191,MATCH(C$1,'2-3 引出列表'!$A$1:$CD$1,0)),"")),"",IFERROR(INDEX('2-3 引出列表'!$A$2:$CE$8700,$A191,MATCH(C$1,'2-3 引出列表'!$A$1:$CD$1,0)),""))</f>
        <v>75281.7</v>
      </c>
      <c r="D191" t="str">
        <f>IF(ISBLANK(IFERROR(INDEX('2-3 引出列表'!$A$2:$CE$8700,$A191,MATCH(D$1,'2-3 引出列表'!$A$1:$CD$1,0)),"")),"",IFERROR(INDEX('2-3 引出列表'!$A$2:$CE$8700,$A191,MATCH(D$1,'2-3 引出列表'!$A$1:$CD$1,0)),""))</f>
        <v>已付款</v>
      </c>
      <c r="E191" t="str">
        <f>IF(ISBLANK(IFERROR(INDEX('2-3 引出列表'!$A$2:$CE$8700,$A191,MATCH(E$1,'2-3 引出列表'!$A$1:$CD$1,0)),"")),"",IFERROR(INDEX('2-3 引出列表'!$A$2:$CE$8700,$A191,MATCH(E$1,'2-3 引出列表'!$A$1:$CD$1,0)),""))</f>
        <v>2025-05-30</v>
      </c>
      <c r="F191" s="30" t="str">
        <f t="shared" si="2"/>
        <v>2025-05</v>
      </c>
      <c r="G191" t="str">
        <f>IF(ISBLANK(IFERROR(INDEX('2-3 引出列表'!$A$2:$CE$8700,$A191,MATCH(G$1,'2-3 引出列表'!$A$1:$CD$1,0)),"")),"",IFERROR(INDEX('2-3 引出列表'!$A$2:$CE$8700,$A191,MATCH(G$1,'2-3 引出列表'!$A$1:$CD$1,0)),""))</f>
        <v>物料消耗.物料消耗</v>
      </c>
      <c r="H191">
        <f>IF(ISBLANK(IFERROR(INDEX('2-3 引出列表'!$A$2:$CE$8700,$A191,MATCH(H$1,'2-3 引出列表'!$A$1:$CD$1,0)),"")),"",IFERROR(INDEX('2-3 引出列表'!$A$2:$CE$8700,$A191,MATCH(H$1,'2-3 引出列表'!$A$1:$CD$1,0)),""))</f>
        <v>0</v>
      </c>
      <c r="I191" t="str">
        <f>IF(ISBLANK(IFERROR(INDEX('2-3 引出列表'!$A$2:$CE$8700,$A191,MATCH(I$1,'2-3 引出列表'!$A$1:$CD$1,0)),"")),"",IFERROR(INDEX('2-3 引出列表'!$A$2:$CE$8700,$A191,MATCH(I$1,'2-3 引出列表'!$A$1:$CD$1,0)),""))</f>
        <v>金采易购</v>
      </c>
    </row>
    <row r="192" spans="1:9">
      <c r="A192">
        <v>191</v>
      </c>
      <c r="B192" t="str">
        <f>IF(ISBLANK(IFERROR(INDEX('2-3 引出列表'!$A$2:$CE$8700,$A192,MATCH(B$1,'2-3 引出列表'!$A$1:$CD$1,0)),"")),"",IFERROR(INDEX('2-3 引出列表'!$A$2:$CE$8700,$A192,MATCH(B$1,'2-3 引出列表'!$A$1:$CD$1,0)),""))</f>
        <v>FK250121000746</v>
      </c>
      <c r="C192">
        <f>IF(ISBLANK(IFERROR(INDEX('2-3 引出列表'!$A$2:$CE$8700,$A192,MATCH(C$1,'2-3 引出列表'!$A$1:$CD$1,0)),"")),"",IFERROR(INDEX('2-3 引出列表'!$A$2:$CE$8700,$A192,MATCH(C$1,'2-3 引出列表'!$A$1:$CD$1,0)),""))</f>
        <v>75281.7</v>
      </c>
      <c r="D192" t="str">
        <f>IF(ISBLANK(IFERROR(INDEX('2-3 引出列表'!$A$2:$CE$8700,$A192,MATCH(D$1,'2-3 引出列表'!$A$1:$CD$1,0)),"")),"",IFERROR(INDEX('2-3 引出列表'!$A$2:$CE$8700,$A192,MATCH(D$1,'2-3 引出列表'!$A$1:$CD$1,0)),""))</f>
        <v>已付款</v>
      </c>
      <c r="E192" t="str">
        <f>IF(ISBLANK(IFERROR(INDEX('2-3 引出列表'!$A$2:$CE$8700,$A192,MATCH(E$1,'2-3 引出列表'!$A$1:$CD$1,0)),"")),"",IFERROR(INDEX('2-3 引出列表'!$A$2:$CE$8700,$A192,MATCH(E$1,'2-3 引出列表'!$A$1:$CD$1,0)),""))</f>
        <v>2025-05-30</v>
      </c>
      <c r="F192" s="30" t="str">
        <f t="shared" si="2"/>
        <v>2025-05</v>
      </c>
      <c r="G192" t="str">
        <f>IF(ISBLANK(IFERROR(INDEX('2-3 引出列表'!$A$2:$CE$8700,$A192,MATCH(G$1,'2-3 引出列表'!$A$1:$CD$1,0)),"")),"",IFERROR(INDEX('2-3 引出列表'!$A$2:$CE$8700,$A192,MATCH(G$1,'2-3 引出列表'!$A$1:$CD$1,0)),""))</f>
        <v>物料消耗.物料消耗</v>
      </c>
      <c r="H192">
        <f>IF(ISBLANK(IFERROR(INDEX('2-3 引出列表'!$A$2:$CE$8700,$A192,MATCH(H$1,'2-3 引出列表'!$A$1:$CD$1,0)),"")),"",IFERROR(INDEX('2-3 引出列表'!$A$2:$CE$8700,$A192,MATCH(H$1,'2-3 引出列表'!$A$1:$CD$1,0)),""))</f>
        <v>0</v>
      </c>
      <c r="I192" t="str">
        <f>IF(ISBLANK(IFERROR(INDEX('2-3 引出列表'!$A$2:$CE$8700,$A192,MATCH(I$1,'2-3 引出列表'!$A$1:$CD$1,0)),"")),"",IFERROR(INDEX('2-3 引出列表'!$A$2:$CE$8700,$A192,MATCH(I$1,'2-3 引出列表'!$A$1:$CD$1,0)),""))</f>
        <v>金采易购</v>
      </c>
    </row>
    <row r="193" spans="1:9">
      <c r="A193">
        <v>192</v>
      </c>
      <c r="B193" t="str">
        <f>IF(ISBLANK(IFERROR(INDEX('2-3 引出列表'!$A$2:$CE$8700,$A193,MATCH(B$1,'2-3 引出列表'!$A$1:$CD$1,0)),"")),"",IFERROR(INDEX('2-3 引出列表'!$A$2:$CE$8700,$A193,MATCH(B$1,'2-3 引出列表'!$A$1:$CD$1,0)),""))</f>
        <v>FK250121000746</v>
      </c>
      <c r="C193">
        <f>IF(ISBLANK(IFERROR(INDEX('2-3 引出列表'!$A$2:$CE$8700,$A193,MATCH(C$1,'2-3 引出列表'!$A$1:$CD$1,0)),"")),"",IFERROR(INDEX('2-3 引出列表'!$A$2:$CE$8700,$A193,MATCH(C$1,'2-3 引出列表'!$A$1:$CD$1,0)),""))</f>
        <v>75281.7</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2025-05-30</v>
      </c>
      <c r="F193" s="30" t="str">
        <f t="shared" si="2"/>
        <v>2025-05</v>
      </c>
      <c r="G193" t="str">
        <f>IF(ISBLANK(IFERROR(INDEX('2-3 引出列表'!$A$2:$CE$8700,$A193,MATCH(G$1,'2-3 引出列表'!$A$1:$CD$1,0)),"")),"",IFERROR(INDEX('2-3 引出列表'!$A$2:$CE$8700,$A193,MATCH(G$1,'2-3 引出列表'!$A$1:$CD$1,0)),""))</f>
        <v>物料消耗.物料消耗</v>
      </c>
      <c r="H193">
        <f>IF(ISBLANK(IFERROR(INDEX('2-3 引出列表'!$A$2:$CE$8700,$A193,MATCH(H$1,'2-3 引出列表'!$A$1:$CD$1,0)),"")),"",IFERROR(INDEX('2-3 引出列表'!$A$2:$CE$8700,$A193,MATCH(H$1,'2-3 引出列表'!$A$1:$CD$1,0)),""))</f>
        <v>0</v>
      </c>
      <c r="I193" t="str">
        <f>IF(ISBLANK(IFERROR(INDEX('2-3 引出列表'!$A$2:$CE$8700,$A193,MATCH(I$1,'2-3 引出列表'!$A$1:$CD$1,0)),"")),"",IFERROR(INDEX('2-3 引出列表'!$A$2:$CE$8700,$A193,MATCH(I$1,'2-3 引出列表'!$A$1:$CD$1,0)),""))</f>
        <v>金采易购</v>
      </c>
    </row>
    <row r="194" spans="1:9">
      <c r="A194">
        <v>193</v>
      </c>
      <c r="B194" t="str">
        <f>IF(ISBLANK(IFERROR(INDEX('2-3 引出列表'!$A$2:$CE$8700,$A194,MATCH(B$1,'2-3 引出列表'!$A$1:$CD$1,0)),"")),"",IFERROR(INDEX('2-3 引出列表'!$A$2:$CE$8700,$A194,MATCH(B$1,'2-3 引出列表'!$A$1:$CD$1,0)),""))</f>
        <v>FK250121000746</v>
      </c>
      <c r="C194">
        <f>IF(ISBLANK(IFERROR(INDEX('2-3 引出列表'!$A$2:$CE$8700,$A194,MATCH(C$1,'2-3 引出列表'!$A$1:$CD$1,0)),"")),"",IFERROR(INDEX('2-3 引出列表'!$A$2:$CE$8700,$A194,MATCH(C$1,'2-3 引出列表'!$A$1:$CD$1,0)),""))</f>
        <v>75281.7</v>
      </c>
      <c r="D194" t="str">
        <f>IF(ISBLANK(IFERROR(INDEX('2-3 引出列表'!$A$2:$CE$8700,$A194,MATCH(D$1,'2-3 引出列表'!$A$1:$CD$1,0)),"")),"",IFERROR(INDEX('2-3 引出列表'!$A$2:$CE$8700,$A194,MATCH(D$1,'2-3 引出列表'!$A$1:$CD$1,0)),""))</f>
        <v>已付款</v>
      </c>
      <c r="E194" t="str">
        <f>IF(ISBLANK(IFERROR(INDEX('2-3 引出列表'!$A$2:$CE$8700,$A194,MATCH(E$1,'2-3 引出列表'!$A$1:$CD$1,0)),"")),"",IFERROR(INDEX('2-3 引出列表'!$A$2:$CE$8700,$A194,MATCH(E$1,'2-3 引出列表'!$A$1:$CD$1,0)),""))</f>
        <v>2025-05-30</v>
      </c>
      <c r="F194" s="30" t="str">
        <f t="shared" si="2"/>
        <v>2025-05</v>
      </c>
      <c r="G194" t="str">
        <f>IF(ISBLANK(IFERROR(INDEX('2-3 引出列表'!$A$2:$CE$8700,$A194,MATCH(G$1,'2-3 引出列表'!$A$1:$CD$1,0)),"")),"",IFERROR(INDEX('2-3 引出列表'!$A$2:$CE$8700,$A194,MATCH(G$1,'2-3 引出列表'!$A$1:$CD$1,0)),""))</f>
        <v>物料消耗.物料消耗</v>
      </c>
      <c r="H194">
        <f>IF(ISBLANK(IFERROR(INDEX('2-3 引出列表'!$A$2:$CE$8700,$A194,MATCH(H$1,'2-3 引出列表'!$A$1:$CD$1,0)),"")),"",IFERROR(INDEX('2-3 引出列表'!$A$2:$CE$8700,$A194,MATCH(H$1,'2-3 引出列表'!$A$1:$CD$1,0)),""))</f>
        <v>0</v>
      </c>
      <c r="I194" t="str">
        <f>IF(ISBLANK(IFERROR(INDEX('2-3 引出列表'!$A$2:$CE$8700,$A194,MATCH(I$1,'2-3 引出列表'!$A$1:$CD$1,0)),"")),"",IFERROR(INDEX('2-3 引出列表'!$A$2:$CE$8700,$A194,MATCH(I$1,'2-3 引出列表'!$A$1:$CD$1,0)),""))</f>
        <v>金采易购</v>
      </c>
    </row>
    <row r="195" spans="1:9">
      <c r="A195">
        <v>194</v>
      </c>
      <c r="B195" t="str">
        <f>IF(ISBLANK(IFERROR(INDEX('2-3 引出列表'!$A$2:$CE$8700,$A195,MATCH(B$1,'2-3 引出列表'!$A$1:$CD$1,0)),"")),"",IFERROR(INDEX('2-3 引出列表'!$A$2:$CE$8700,$A195,MATCH(B$1,'2-3 引出列表'!$A$1:$CD$1,0)),""))</f>
        <v>FK250121000746</v>
      </c>
      <c r="C195">
        <f>IF(ISBLANK(IFERROR(INDEX('2-3 引出列表'!$A$2:$CE$8700,$A195,MATCH(C$1,'2-3 引出列表'!$A$1:$CD$1,0)),"")),"",IFERROR(INDEX('2-3 引出列表'!$A$2:$CE$8700,$A195,MATCH(C$1,'2-3 引出列表'!$A$1:$CD$1,0)),""))</f>
        <v>75281.7</v>
      </c>
      <c r="D195" t="str">
        <f>IF(ISBLANK(IFERROR(INDEX('2-3 引出列表'!$A$2:$CE$8700,$A195,MATCH(D$1,'2-3 引出列表'!$A$1:$CD$1,0)),"")),"",IFERROR(INDEX('2-3 引出列表'!$A$2:$CE$8700,$A195,MATCH(D$1,'2-3 引出列表'!$A$1:$CD$1,0)),""))</f>
        <v>已付款</v>
      </c>
      <c r="E195" t="str">
        <f>IF(ISBLANK(IFERROR(INDEX('2-3 引出列表'!$A$2:$CE$8700,$A195,MATCH(E$1,'2-3 引出列表'!$A$1:$CD$1,0)),"")),"",IFERROR(INDEX('2-3 引出列表'!$A$2:$CE$8700,$A195,MATCH(E$1,'2-3 引出列表'!$A$1:$CD$1,0)),""))</f>
        <v>2025-05-30</v>
      </c>
      <c r="F195" s="30" t="str">
        <f t="shared" ref="F195:F258" si="3">LEFT(E195,7)</f>
        <v>2025-05</v>
      </c>
      <c r="G195" t="str">
        <f>IF(ISBLANK(IFERROR(INDEX('2-3 引出列表'!$A$2:$CE$8700,$A195,MATCH(G$1,'2-3 引出列表'!$A$1:$CD$1,0)),"")),"",IFERROR(INDEX('2-3 引出列表'!$A$2:$CE$8700,$A195,MATCH(G$1,'2-3 引出列表'!$A$1:$CD$1,0)),""))</f>
        <v>物料消耗.物料消耗</v>
      </c>
      <c r="H195">
        <f>IF(ISBLANK(IFERROR(INDEX('2-3 引出列表'!$A$2:$CE$8700,$A195,MATCH(H$1,'2-3 引出列表'!$A$1:$CD$1,0)),"")),"",IFERROR(INDEX('2-3 引出列表'!$A$2:$CE$8700,$A195,MATCH(H$1,'2-3 引出列表'!$A$1:$CD$1,0)),""))</f>
        <v>0</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FK250121000746</v>
      </c>
      <c r="C196">
        <f>IF(ISBLANK(IFERROR(INDEX('2-3 引出列表'!$A$2:$CE$8700,$A196,MATCH(C$1,'2-3 引出列表'!$A$1:$CD$1,0)),"")),"",IFERROR(INDEX('2-3 引出列表'!$A$2:$CE$8700,$A196,MATCH(C$1,'2-3 引出列表'!$A$1:$CD$1,0)),""))</f>
        <v>75281.7</v>
      </c>
      <c r="D196" t="str">
        <f>IF(ISBLANK(IFERROR(INDEX('2-3 引出列表'!$A$2:$CE$8700,$A196,MATCH(D$1,'2-3 引出列表'!$A$1:$CD$1,0)),"")),"",IFERROR(INDEX('2-3 引出列表'!$A$2:$CE$8700,$A196,MATCH(D$1,'2-3 引出列表'!$A$1:$CD$1,0)),""))</f>
        <v>已付款</v>
      </c>
      <c r="E196" t="str">
        <f>IF(ISBLANK(IFERROR(INDEX('2-3 引出列表'!$A$2:$CE$8700,$A196,MATCH(E$1,'2-3 引出列表'!$A$1:$CD$1,0)),"")),"",IFERROR(INDEX('2-3 引出列表'!$A$2:$CE$8700,$A196,MATCH(E$1,'2-3 引出列表'!$A$1:$CD$1,0)),""))</f>
        <v>2025-05-30</v>
      </c>
      <c r="F196" s="30" t="str">
        <f t="shared" si="3"/>
        <v>2025-05</v>
      </c>
      <c r="G196" t="str">
        <f>IF(ISBLANK(IFERROR(INDEX('2-3 引出列表'!$A$2:$CE$8700,$A196,MATCH(G$1,'2-3 引出列表'!$A$1:$CD$1,0)),"")),"",IFERROR(INDEX('2-3 引出列表'!$A$2:$CE$8700,$A196,MATCH(G$1,'2-3 引出列表'!$A$1:$CD$1,0)),""))</f>
        <v>物料消耗.物料消耗</v>
      </c>
      <c r="H196">
        <f>IF(ISBLANK(IFERROR(INDEX('2-3 引出列表'!$A$2:$CE$8700,$A196,MATCH(H$1,'2-3 引出列表'!$A$1:$CD$1,0)),"")),"",IFERROR(INDEX('2-3 引出列表'!$A$2:$CE$8700,$A196,MATCH(H$1,'2-3 引出列表'!$A$1:$CD$1,0)),""))</f>
        <v>0</v>
      </c>
      <c r="I196" t="str">
        <f>IF(ISBLANK(IFERROR(INDEX('2-3 引出列表'!$A$2:$CE$8700,$A196,MATCH(I$1,'2-3 引出列表'!$A$1:$CD$1,0)),"")),"",IFERROR(INDEX('2-3 引出列表'!$A$2:$CE$8700,$A196,MATCH(I$1,'2-3 引出列表'!$A$1:$CD$1,0)),""))</f>
        <v>金采易购</v>
      </c>
    </row>
    <row r="197" spans="1:9">
      <c r="A197">
        <v>196</v>
      </c>
      <c r="B197" t="str">
        <f>IF(ISBLANK(IFERROR(INDEX('2-3 引出列表'!$A$2:$CE$8700,$A197,MATCH(B$1,'2-3 引出列表'!$A$1:$CD$1,0)),"")),"",IFERROR(INDEX('2-3 引出列表'!$A$2:$CE$8700,$A197,MATCH(B$1,'2-3 引出列表'!$A$1:$CD$1,0)),""))</f>
        <v>FK250121000746</v>
      </c>
      <c r="C197">
        <f>IF(ISBLANK(IFERROR(INDEX('2-3 引出列表'!$A$2:$CE$8700,$A197,MATCH(C$1,'2-3 引出列表'!$A$1:$CD$1,0)),"")),"",IFERROR(INDEX('2-3 引出列表'!$A$2:$CE$8700,$A197,MATCH(C$1,'2-3 引出列表'!$A$1:$CD$1,0)),""))</f>
        <v>75281.7</v>
      </c>
      <c r="D197" t="str">
        <f>IF(ISBLANK(IFERROR(INDEX('2-3 引出列表'!$A$2:$CE$8700,$A197,MATCH(D$1,'2-3 引出列表'!$A$1:$CD$1,0)),"")),"",IFERROR(INDEX('2-3 引出列表'!$A$2:$CE$8700,$A197,MATCH(D$1,'2-3 引出列表'!$A$1:$CD$1,0)),""))</f>
        <v>已付款</v>
      </c>
      <c r="E197" t="str">
        <f>IF(ISBLANK(IFERROR(INDEX('2-3 引出列表'!$A$2:$CE$8700,$A197,MATCH(E$1,'2-3 引出列表'!$A$1:$CD$1,0)),"")),"",IFERROR(INDEX('2-3 引出列表'!$A$2:$CE$8700,$A197,MATCH(E$1,'2-3 引出列表'!$A$1:$CD$1,0)),""))</f>
        <v>2025-05-30</v>
      </c>
      <c r="F197" s="30" t="str">
        <f t="shared" si="3"/>
        <v>2025-05</v>
      </c>
      <c r="G197" t="str">
        <f>IF(ISBLANK(IFERROR(INDEX('2-3 引出列表'!$A$2:$CE$8700,$A197,MATCH(G$1,'2-3 引出列表'!$A$1:$CD$1,0)),"")),"",IFERROR(INDEX('2-3 引出列表'!$A$2:$CE$8700,$A197,MATCH(G$1,'2-3 引出列表'!$A$1:$CD$1,0)),""))</f>
        <v>物料消耗.物料消耗</v>
      </c>
      <c r="H197">
        <f>IF(ISBLANK(IFERROR(INDEX('2-3 引出列表'!$A$2:$CE$8700,$A197,MATCH(H$1,'2-3 引出列表'!$A$1:$CD$1,0)),"")),"",IFERROR(INDEX('2-3 引出列表'!$A$2:$CE$8700,$A197,MATCH(H$1,'2-3 引出列表'!$A$1:$CD$1,0)),""))</f>
        <v>0</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FK250121000746</v>
      </c>
      <c r="C198">
        <f>IF(ISBLANK(IFERROR(INDEX('2-3 引出列表'!$A$2:$CE$8700,$A198,MATCH(C$1,'2-3 引出列表'!$A$1:$CD$1,0)),"")),"",IFERROR(INDEX('2-3 引出列表'!$A$2:$CE$8700,$A198,MATCH(C$1,'2-3 引出列表'!$A$1:$CD$1,0)),""))</f>
        <v>75281.7</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2025-05-30</v>
      </c>
      <c r="F198" s="30" t="str">
        <f t="shared" si="3"/>
        <v>2025-05</v>
      </c>
      <c r="G198" t="str">
        <f>IF(ISBLANK(IFERROR(INDEX('2-3 引出列表'!$A$2:$CE$8700,$A198,MATCH(G$1,'2-3 引出列表'!$A$1:$CD$1,0)),"")),"",IFERROR(INDEX('2-3 引出列表'!$A$2:$CE$8700,$A198,MATCH(G$1,'2-3 引出列表'!$A$1:$CD$1,0)),""))</f>
        <v>物料消耗.物料消耗</v>
      </c>
      <c r="H198">
        <f>IF(ISBLANK(IFERROR(INDEX('2-3 引出列表'!$A$2:$CE$8700,$A198,MATCH(H$1,'2-3 引出列表'!$A$1:$CD$1,0)),"")),"",IFERROR(INDEX('2-3 引出列表'!$A$2:$CE$8700,$A198,MATCH(H$1,'2-3 引出列表'!$A$1:$CD$1,0)),""))</f>
        <v>0</v>
      </c>
      <c r="I198" t="str">
        <f>IF(ISBLANK(IFERROR(INDEX('2-3 引出列表'!$A$2:$CE$8700,$A198,MATCH(I$1,'2-3 引出列表'!$A$1:$CD$1,0)),"")),"",IFERROR(INDEX('2-3 引出列表'!$A$2:$CE$8700,$A198,MATCH(I$1,'2-3 引出列表'!$A$1:$CD$1,0)),""))</f>
        <v>金采易购</v>
      </c>
    </row>
    <row r="199" spans="1:9">
      <c r="A199">
        <v>198</v>
      </c>
      <c r="B199" t="str">
        <f>IF(ISBLANK(IFERROR(INDEX('2-3 引出列表'!$A$2:$CE$8700,$A199,MATCH(B$1,'2-3 引出列表'!$A$1:$CD$1,0)),"")),"",IFERROR(INDEX('2-3 引出列表'!$A$2:$CE$8700,$A199,MATCH(B$1,'2-3 引出列表'!$A$1:$CD$1,0)),""))</f>
        <v>FK250121000746</v>
      </c>
      <c r="C199">
        <f>IF(ISBLANK(IFERROR(INDEX('2-3 引出列表'!$A$2:$CE$8700,$A199,MATCH(C$1,'2-3 引出列表'!$A$1:$CD$1,0)),"")),"",IFERROR(INDEX('2-3 引出列表'!$A$2:$CE$8700,$A199,MATCH(C$1,'2-3 引出列表'!$A$1:$CD$1,0)),""))</f>
        <v>75281.7</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2025-05-30</v>
      </c>
      <c r="F199" s="30" t="str">
        <f t="shared" si="3"/>
        <v>2025-05</v>
      </c>
      <c r="G199" t="str">
        <f>IF(ISBLANK(IFERROR(INDEX('2-3 引出列表'!$A$2:$CE$8700,$A199,MATCH(G$1,'2-3 引出列表'!$A$1:$CD$1,0)),"")),"",IFERROR(INDEX('2-3 引出列表'!$A$2:$CE$8700,$A199,MATCH(G$1,'2-3 引出列表'!$A$1:$CD$1,0)),""))</f>
        <v>物料消耗.物料消耗</v>
      </c>
      <c r="H199">
        <f>IF(ISBLANK(IFERROR(INDEX('2-3 引出列表'!$A$2:$CE$8700,$A199,MATCH(H$1,'2-3 引出列表'!$A$1:$CD$1,0)),"")),"",IFERROR(INDEX('2-3 引出列表'!$A$2:$CE$8700,$A199,MATCH(H$1,'2-3 引出列表'!$A$1:$CD$1,0)),""))</f>
        <v>0</v>
      </c>
      <c r="I199" t="str">
        <f>IF(ISBLANK(IFERROR(INDEX('2-3 引出列表'!$A$2:$CE$8700,$A199,MATCH(I$1,'2-3 引出列表'!$A$1:$CD$1,0)),"")),"",IFERROR(INDEX('2-3 引出列表'!$A$2:$CE$8700,$A199,MATCH(I$1,'2-3 引出列表'!$A$1:$CD$1,0)),""))</f>
        <v>金采易购</v>
      </c>
    </row>
    <row r="200" spans="1:9">
      <c r="A200">
        <v>199</v>
      </c>
      <c r="B200" t="str">
        <f>IF(ISBLANK(IFERROR(INDEX('2-3 引出列表'!$A$2:$CE$8700,$A200,MATCH(B$1,'2-3 引出列表'!$A$1:$CD$1,0)),"")),"",IFERROR(INDEX('2-3 引出列表'!$A$2:$CE$8700,$A200,MATCH(B$1,'2-3 引出列表'!$A$1:$CD$1,0)),""))</f>
        <v>FK250121000746</v>
      </c>
      <c r="C200">
        <f>IF(ISBLANK(IFERROR(INDEX('2-3 引出列表'!$A$2:$CE$8700,$A200,MATCH(C$1,'2-3 引出列表'!$A$1:$CD$1,0)),"")),"",IFERROR(INDEX('2-3 引出列表'!$A$2:$CE$8700,$A200,MATCH(C$1,'2-3 引出列表'!$A$1:$CD$1,0)),""))</f>
        <v>75281.7</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2025-05-30</v>
      </c>
      <c r="F200" s="30" t="str">
        <f t="shared" si="3"/>
        <v>2025-05</v>
      </c>
      <c r="G200" t="str">
        <f>IF(ISBLANK(IFERROR(INDEX('2-3 引出列表'!$A$2:$CE$8700,$A200,MATCH(G$1,'2-3 引出列表'!$A$1:$CD$1,0)),"")),"",IFERROR(INDEX('2-3 引出列表'!$A$2:$CE$8700,$A200,MATCH(G$1,'2-3 引出列表'!$A$1:$CD$1,0)),""))</f>
        <v>物料消耗.物料消耗</v>
      </c>
      <c r="H200">
        <f>IF(ISBLANK(IFERROR(INDEX('2-3 引出列表'!$A$2:$CE$8700,$A200,MATCH(H$1,'2-3 引出列表'!$A$1:$CD$1,0)),"")),"",IFERROR(INDEX('2-3 引出列表'!$A$2:$CE$8700,$A200,MATCH(H$1,'2-3 引出列表'!$A$1:$CD$1,0)),""))</f>
        <v>0</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FK250121000746</v>
      </c>
      <c r="C201">
        <f>IF(ISBLANK(IFERROR(INDEX('2-3 引出列表'!$A$2:$CE$8700,$A201,MATCH(C$1,'2-3 引出列表'!$A$1:$CD$1,0)),"")),"",IFERROR(INDEX('2-3 引出列表'!$A$2:$CE$8700,$A201,MATCH(C$1,'2-3 引出列表'!$A$1:$CD$1,0)),""))</f>
        <v>75281.7</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2025-05-30</v>
      </c>
      <c r="F201" s="30" t="str">
        <f t="shared" si="3"/>
        <v>2025-05</v>
      </c>
      <c r="G201" t="str">
        <f>IF(ISBLANK(IFERROR(INDEX('2-3 引出列表'!$A$2:$CE$8700,$A201,MATCH(G$1,'2-3 引出列表'!$A$1:$CD$1,0)),"")),"",IFERROR(INDEX('2-3 引出列表'!$A$2:$CE$8700,$A201,MATCH(G$1,'2-3 引出列表'!$A$1:$CD$1,0)),""))</f>
        <v>物料消耗.物料消耗</v>
      </c>
      <c r="H201">
        <f>IF(ISBLANK(IFERROR(INDEX('2-3 引出列表'!$A$2:$CE$8700,$A201,MATCH(H$1,'2-3 引出列表'!$A$1:$CD$1,0)),"")),"",IFERROR(INDEX('2-3 引出列表'!$A$2:$CE$8700,$A201,MATCH(H$1,'2-3 引出列表'!$A$1:$CD$1,0)),""))</f>
        <v>0</v>
      </c>
      <c r="I201" t="str">
        <f>IF(ISBLANK(IFERROR(INDEX('2-3 引出列表'!$A$2:$CE$8700,$A201,MATCH(I$1,'2-3 引出列表'!$A$1:$CD$1,0)),"")),"",IFERROR(INDEX('2-3 引出列表'!$A$2:$CE$8700,$A201,MATCH(I$1,'2-3 引出列表'!$A$1:$CD$1,0)),""))</f>
        <v>金采易购</v>
      </c>
    </row>
    <row r="202" spans="1:9">
      <c r="A202">
        <v>201</v>
      </c>
      <c r="B202" t="str">
        <f>IF(ISBLANK(IFERROR(INDEX('2-3 引出列表'!$A$2:$CE$8700,$A202,MATCH(B$1,'2-3 引出列表'!$A$1:$CD$1,0)),"")),"",IFERROR(INDEX('2-3 引出列表'!$A$2:$CE$8700,$A202,MATCH(B$1,'2-3 引出列表'!$A$1:$CD$1,0)),""))</f>
        <v>FK250121000746</v>
      </c>
      <c r="C202">
        <f>IF(ISBLANK(IFERROR(INDEX('2-3 引出列表'!$A$2:$CE$8700,$A202,MATCH(C$1,'2-3 引出列表'!$A$1:$CD$1,0)),"")),"",IFERROR(INDEX('2-3 引出列表'!$A$2:$CE$8700,$A202,MATCH(C$1,'2-3 引出列表'!$A$1:$CD$1,0)),""))</f>
        <v>75281.7</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2025-05-30</v>
      </c>
      <c r="F202" s="30" t="str">
        <f t="shared" si="3"/>
        <v>2025-05</v>
      </c>
      <c r="G202" t="str">
        <f>IF(ISBLANK(IFERROR(INDEX('2-3 引出列表'!$A$2:$CE$8700,$A202,MATCH(G$1,'2-3 引出列表'!$A$1:$CD$1,0)),"")),"",IFERROR(INDEX('2-3 引出列表'!$A$2:$CE$8700,$A202,MATCH(G$1,'2-3 引出列表'!$A$1:$CD$1,0)),""))</f>
        <v>物料消耗.物料消耗</v>
      </c>
      <c r="H202">
        <f>IF(ISBLANK(IFERROR(INDEX('2-3 引出列表'!$A$2:$CE$8700,$A202,MATCH(H$1,'2-3 引出列表'!$A$1:$CD$1,0)),"")),"",IFERROR(INDEX('2-3 引出列表'!$A$2:$CE$8700,$A202,MATCH(H$1,'2-3 引出列表'!$A$1:$CD$1,0)),""))</f>
        <v>0</v>
      </c>
      <c r="I202" t="str">
        <f>IF(ISBLANK(IFERROR(INDEX('2-3 引出列表'!$A$2:$CE$8700,$A202,MATCH(I$1,'2-3 引出列表'!$A$1:$CD$1,0)),"")),"",IFERROR(INDEX('2-3 引出列表'!$A$2:$CE$8700,$A202,MATCH(I$1,'2-3 引出列表'!$A$1:$CD$1,0)),""))</f>
        <v>金采易购</v>
      </c>
    </row>
    <row r="203" spans="1:9">
      <c r="A203">
        <v>202</v>
      </c>
      <c r="B203" t="str">
        <f>IF(ISBLANK(IFERROR(INDEX('2-3 引出列表'!$A$2:$CE$8700,$A203,MATCH(B$1,'2-3 引出列表'!$A$1:$CD$1,0)),"")),"",IFERROR(INDEX('2-3 引出列表'!$A$2:$CE$8700,$A203,MATCH(B$1,'2-3 引出列表'!$A$1:$CD$1,0)),""))</f>
        <v>FK250121000746</v>
      </c>
      <c r="C203">
        <f>IF(ISBLANK(IFERROR(INDEX('2-3 引出列表'!$A$2:$CE$8700,$A203,MATCH(C$1,'2-3 引出列表'!$A$1:$CD$1,0)),"")),"",IFERROR(INDEX('2-3 引出列表'!$A$2:$CE$8700,$A203,MATCH(C$1,'2-3 引出列表'!$A$1:$CD$1,0)),""))</f>
        <v>75281.7</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2025-05-30</v>
      </c>
      <c r="F203" s="30" t="str">
        <f t="shared" si="3"/>
        <v>2025-05</v>
      </c>
      <c r="G203" t="str">
        <f>IF(ISBLANK(IFERROR(INDEX('2-3 引出列表'!$A$2:$CE$8700,$A203,MATCH(G$1,'2-3 引出列表'!$A$1:$CD$1,0)),"")),"",IFERROR(INDEX('2-3 引出列表'!$A$2:$CE$8700,$A203,MATCH(G$1,'2-3 引出列表'!$A$1:$CD$1,0)),""))</f>
        <v>物料消耗.物料消耗</v>
      </c>
      <c r="H203">
        <f>IF(ISBLANK(IFERROR(INDEX('2-3 引出列表'!$A$2:$CE$8700,$A203,MATCH(H$1,'2-3 引出列表'!$A$1:$CD$1,0)),"")),"",IFERROR(INDEX('2-3 引出列表'!$A$2:$CE$8700,$A203,MATCH(H$1,'2-3 引出列表'!$A$1:$CD$1,0)),""))</f>
        <v>0</v>
      </c>
      <c r="I203" t="str">
        <f>IF(ISBLANK(IFERROR(INDEX('2-3 引出列表'!$A$2:$CE$8700,$A203,MATCH(I$1,'2-3 引出列表'!$A$1:$CD$1,0)),"")),"",IFERROR(INDEX('2-3 引出列表'!$A$2:$CE$8700,$A203,MATCH(I$1,'2-3 引出列表'!$A$1:$CD$1,0)),""))</f>
        <v>金采易购</v>
      </c>
    </row>
    <row r="204" spans="1:9">
      <c r="A204">
        <v>203</v>
      </c>
      <c r="B204" t="str">
        <f>IF(ISBLANK(IFERROR(INDEX('2-3 引出列表'!$A$2:$CE$8700,$A204,MATCH(B$1,'2-3 引出列表'!$A$1:$CD$1,0)),"")),"",IFERROR(INDEX('2-3 引出列表'!$A$2:$CE$8700,$A204,MATCH(B$1,'2-3 引出列表'!$A$1:$CD$1,0)),""))</f>
        <v>FK250121000746</v>
      </c>
      <c r="C204">
        <f>IF(ISBLANK(IFERROR(INDEX('2-3 引出列表'!$A$2:$CE$8700,$A204,MATCH(C$1,'2-3 引出列表'!$A$1:$CD$1,0)),"")),"",IFERROR(INDEX('2-3 引出列表'!$A$2:$CE$8700,$A204,MATCH(C$1,'2-3 引出列表'!$A$1:$CD$1,0)),""))</f>
        <v>75281.7</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2025-05-30</v>
      </c>
      <c r="F204" s="30" t="str">
        <f t="shared" si="3"/>
        <v>2025-05</v>
      </c>
      <c r="G204" t="str">
        <f>IF(ISBLANK(IFERROR(INDEX('2-3 引出列表'!$A$2:$CE$8700,$A204,MATCH(G$1,'2-3 引出列表'!$A$1:$CD$1,0)),"")),"",IFERROR(INDEX('2-3 引出列表'!$A$2:$CE$8700,$A204,MATCH(G$1,'2-3 引出列表'!$A$1:$CD$1,0)),""))</f>
        <v>物料消耗.物料消耗</v>
      </c>
      <c r="H204">
        <f>IF(ISBLANK(IFERROR(INDEX('2-3 引出列表'!$A$2:$CE$8700,$A204,MATCH(H$1,'2-3 引出列表'!$A$1:$CD$1,0)),"")),"",IFERROR(INDEX('2-3 引出列表'!$A$2:$CE$8700,$A204,MATCH(H$1,'2-3 引出列表'!$A$1:$CD$1,0)),""))</f>
        <v>0</v>
      </c>
      <c r="I204" t="str">
        <f>IF(ISBLANK(IFERROR(INDEX('2-3 引出列表'!$A$2:$CE$8700,$A204,MATCH(I$1,'2-3 引出列表'!$A$1:$CD$1,0)),"")),"",IFERROR(INDEX('2-3 引出列表'!$A$2:$CE$8700,$A204,MATCH(I$1,'2-3 引出列表'!$A$1:$CD$1,0)),""))</f>
        <v>金采易购</v>
      </c>
    </row>
    <row r="205" spans="1:9">
      <c r="A205">
        <v>204</v>
      </c>
      <c r="B205">
        <f>IF(ISBLANK(IFERROR(INDEX('2-3 引出列表'!$A$2:$CE$8700,$A205,MATCH(B$1,'2-3 引出列表'!$A$1:$CD$1,0)),"")),"",IFERROR(INDEX('2-3 引出列表'!$A$2:$CE$8700,$A205,MATCH(B$1,'2-3 引出列表'!$A$1:$CD$1,0)),""))</f>
        <v>0</v>
      </c>
      <c r="C205">
        <f>IF(ISBLANK(IFERROR(INDEX('2-3 引出列表'!$A$2:$CE$8700,$A205,MATCH(C$1,'2-3 引出列表'!$A$1:$CD$1,0)),"")),"",IFERROR(INDEX('2-3 引出列表'!$A$2:$CE$8700,$A205,MATCH(C$1,'2-3 引出列表'!$A$1:$CD$1,0)),""))</f>
        <v>14300</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2025-01-17</v>
      </c>
      <c r="F205" s="30" t="str">
        <f t="shared" si="3"/>
        <v>2025-01</v>
      </c>
      <c r="G205" t="str">
        <f>IF(ISBLANK(IFERROR(INDEX('2-3 引出列表'!$A$2:$CE$8700,$A205,MATCH(G$1,'2-3 引出列表'!$A$1:$CD$1,0)),"")),"",IFERROR(INDEX('2-3 引出列表'!$A$2:$CE$8700,$A205,MATCH(G$1,'2-3 引出列表'!$A$1:$CD$1,0)),""))</f>
        <v>业务活动.业务招待费</v>
      </c>
      <c r="H205">
        <f>IF(ISBLANK(IFERROR(INDEX('2-3 引出列表'!$A$2:$CE$8700,$A205,MATCH(H$1,'2-3 引出列表'!$A$1:$CD$1,0)),"")),"",IFERROR(INDEX('2-3 引出列表'!$A$2:$CE$8700,$A205,MATCH(H$1,'2-3 引出列表'!$A$1:$CD$1,0)),""))</f>
        <v>0</v>
      </c>
      <c r="I205">
        <f>IF(ISBLANK(IFERROR(INDEX('2-3 引出列表'!$A$2:$CE$8700,$A205,MATCH(I$1,'2-3 引出列表'!$A$1:$CD$1,0)),"")),"",IFERROR(INDEX('2-3 引出列表'!$A$2:$CE$8700,$A205,MATCH(I$1,'2-3 引出列表'!$A$1:$CD$1,0)),""))</f>
        <v>0</v>
      </c>
    </row>
    <row r="206" spans="1:9">
      <c r="A206">
        <v>205</v>
      </c>
      <c r="B206">
        <f>IF(ISBLANK(IFERROR(INDEX('2-3 引出列表'!$A$2:$CE$8700,$A206,MATCH(B$1,'2-3 引出列表'!$A$1:$CD$1,0)),"")),"",IFERROR(INDEX('2-3 引出列表'!$A$2:$CE$8700,$A206,MATCH(B$1,'2-3 引出列表'!$A$1:$CD$1,0)),""))</f>
        <v>0</v>
      </c>
      <c r="C206">
        <f>IF(ISBLANK(IFERROR(INDEX('2-3 引出列表'!$A$2:$CE$8700,$A206,MATCH(C$1,'2-3 引出列表'!$A$1:$CD$1,0)),"")),"",IFERROR(INDEX('2-3 引出列表'!$A$2:$CE$8700,$A206,MATCH(C$1,'2-3 引出列表'!$A$1:$CD$1,0)),""))</f>
        <v>14300</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2025-01-17</v>
      </c>
      <c r="F206" s="30" t="str">
        <f t="shared" si="3"/>
        <v>2025-01</v>
      </c>
      <c r="G206" t="str">
        <f>IF(ISBLANK(IFERROR(INDEX('2-3 引出列表'!$A$2:$CE$8700,$A206,MATCH(G$1,'2-3 引出列表'!$A$1:$CD$1,0)),"")),"",IFERROR(INDEX('2-3 引出列表'!$A$2:$CE$8700,$A206,MATCH(G$1,'2-3 引出列表'!$A$1:$CD$1,0)),""))</f>
        <v>业务活动.业务招待费</v>
      </c>
      <c r="H206">
        <f>IF(ISBLANK(IFERROR(INDEX('2-3 引出列表'!$A$2:$CE$8700,$A206,MATCH(H$1,'2-3 引出列表'!$A$1:$CD$1,0)),"")),"",IFERROR(INDEX('2-3 引出列表'!$A$2:$CE$8700,$A206,MATCH(H$1,'2-3 引出列表'!$A$1:$CD$1,0)),""))</f>
        <v>0</v>
      </c>
      <c r="I206">
        <f>IF(ISBLANK(IFERROR(INDEX('2-3 引出列表'!$A$2:$CE$8700,$A206,MATCH(I$1,'2-3 引出列表'!$A$1:$CD$1,0)),"")),"",IFERROR(INDEX('2-3 引出列表'!$A$2:$CE$8700,$A206,MATCH(I$1,'2-3 引出列表'!$A$1:$CD$1,0)),""))</f>
        <v>0</v>
      </c>
    </row>
    <row r="207" spans="1:9">
      <c r="A207">
        <v>206</v>
      </c>
      <c r="B207" t="str">
        <f>IF(ISBLANK(IFERROR(INDEX('2-3 引出列表'!$A$2:$CE$8700,$A207,MATCH(B$1,'2-3 引出列表'!$A$1:$CD$1,0)),"")),"",IFERROR(INDEX('2-3 引出列表'!$A$2:$CE$8700,$A207,MATCH(B$1,'2-3 引出列表'!$A$1:$CD$1,0)),""))</f>
        <v>FK250121000746</v>
      </c>
      <c r="C207">
        <f>IF(ISBLANK(IFERROR(INDEX('2-3 引出列表'!$A$2:$CE$8700,$A207,MATCH(C$1,'2-3 引出列表'!$A$1:$CD$1,0)),"")),"",IFERROR(INDEX('2-3 引出列表'!$A$2:$CE$8700,$A207,MATCH(C$1,'2-3 引出列表'!$A$1:$CD$1,0)),""))</f>
        <v>75281.7</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2025-05-30</v>
      </c>
      <c r="F207" s="30" t="str">
        <f t="shared" si="3"/>
        <v>2025-05</v>
      </c>
      <c r="G207" t="str">
        <f>IF(ISBLANK(IFERROR(INDEX('2-3 引出列表'!$A$2:$CE$8700,$A207,MATCH(G$1,'2-3 引出列表'!$A$1:$CD$1,0)),"")),"",IFERROR(INDEX('2-3 引出列表'!$A$2:$CE$8700,$A207,MATCH(G$1,'2-3 引出列表'!$A$1:$CD$1,0)),""))</f>
        <v>物料消耗.物料消耗</v>
      </c>
      <c r="H207">
        <f>IF(ISBLANK(IFERROR(INDEX('2-3 引出列表'!$A$2:$CE$8700,$A207,MATCH(H$1,'2-3 引出列表'!$A$1:$CD$1,0)),"")),"",IFERROR(INDEX('2-3 引出列表'!$A$2:$CE$8700,$A207,MATCH(H$1,'2-3 引出列表'!$A$1:$CD$1,0)),""))</f>
        <v>0</v>
      </c>
      <c r="I207" t="str">
        <f>IF(ISBLANK(IFERROR(INDEX('2-3 引出列表'!$A$2:$CE$8700,$A207,MATCH(I$1,'2-3 引出列表'!$A$1:$CD$1,0)),"")),"",IFERROR(INDEX('2-3 引出列表'!$A$2:$CE$8700,$A207,MATCH(I$1,'2-3 引出列表'!$A$1:$CD$1,0)),""))</f>
        <v>金采易购</v>
      </c>
    </row>
    <row r="208" spans="1:9">
      <c r="A208">
        <v>207</v>
      </c>
      <c r="B208" t="str">
        <f>IF(ISBLANK(IFERROR(INDEX('2-3 引出列表'!$A$2:$CE$8700,$A208,MATCH(B$1,'2-3 引出列表'!$A$1:$CD$1,0)),"")),"",IFERROR(INDEX('2-3 引出列表'!$A$2:$CE$8700,$A208,MATCH(B$1,'2-3 引出列表'!$A$1:$CD$1,0)),""))</f>
        <v>FK250121000746</v>
      </c>
      <c r="C208">
        <f>IF(ISBLANK(IFERROR(INDEX('2-3 引出列表'!$A$2:$CE$8700,$A208,MATCH(C$1,'2-3 引出列表'!$A$1:$CD$1,0)),"")),"",IFERROR(INDEX('2-3 引出列表'!$A$2:$CE$8700,$A208,MATCH(C$1,'2-3 引出列表'!$A$1:$CD$1,0)),""))</f>
        <v>75281.7</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2025-05-30</v>
      </c>
      <c r="F208" s="30" t="str">
        <f t="shared" si="3"/>
        <v>2025-05</v>
      </c>
      <c r="G208" t="str">
        <f>IF(ISBLANK(IFERROR(INDEX('2-3 引出列表'!$A$2:$CE$8700,$A208,MATCH(G$1,'2-3 引出列表'!$A$1:$CD$1,0)),"")),"",IFERROR(INDEX('2-3 引出列表'!$A$2:$CE$8700,$A208,MATCH(G$1,'2-3 引出列表'!$A$1:$CD$1,0)),""))</f>
        <v>物料消耗.物料消耗</v>
      </c>
      <c r="H208">
        <f>IF(ISBLANK(IFERROR(INDEX('2-3 引出列表'!$A$2:$CE$8700,$A208,MATCH(H$1,'2-3 引出列表'!$A$1:$CD$1,0)),"")),"",IFERROR(INDEX('2-3 引出列表'!$A$2:$CE$8700,$A208,MATCH(H$1,'2-3 引出列表'!$A$1:$CD$1,0)),""))</f>
        <v>0</v>
      </c>
      <c r="I208" t="str">
        <f>IF(ISBLANK(IFERROR(INDEX('2-3 引出列表'!$A$2:$CE$8700,$A208,MATCH(I$1,'2-3 引出列表'!$A$1:$CD$1,0)),"")),"",IFERROR(INDEX('2-3 引出列表'!$A$2:$CE$8700,$A208,MATCH(I$1,'2-3 引出列表'!$A$1:$CD$1,0)),""))</f>
        <v>金采易购</v>
      </c>
    </row>
    <row r="209" spans="1:9">
      <c r="A209">
        <v>208</v>
      </c>
      <c r="B209" t="str">
        <f>IF(ISBLANK(IFERROR(INDEX('2-3 引出列表'!$A$2:$CE$8700,$A209,MATCH(B$1,'2-3 引出列表'!$A$1:$CD$1,0)),"")),"",IFERROR(INDEX('2-3 引出列表'!$A$2:$CE$8700,$A209,MATCH(B$1,'2-3 引出列表'!$A$1:$CD$1,0)),""))</f>
        <v>FK250121000746</v>
      </c>
      <c r="C209">
        <f>IF(ISBLANK(IFERROR(INDEX('2-3 引出列表'!$A$2:$CE$8700,$A209,MATCH(C$1,'2-3 引出列表'!$A$1:$CD$1,0)),"")),"",IFERROR(INDEX('2-3 引出列表'!$A$2:$CE$8700,$A209,MATCH(C$1,'2-3 引出列表'!$A$1:$CD$1,0)),""))</f>
        <v>75281.7</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2025-05-30</v>
      </c>
      <c r="F209" s="30" t="str">
        <f t="shared" si="3"/>
        <v>2025-05</v>
      </c>
      <c r="G209" t="str">
        <f>IF(ISBLANK(IFERROR(INDEX('2-3 引出列表'!$A$2:$CE$8700,$A209,MATCH(G$1,'2-3 引出列表'!$A$1:$CD$1,0)),"")),"",IFERROR(INDEX('2-3 引出列表'!$A$2:$CE$8700,$A209,MATCH(G$1,'2-3 引出列表'!$A$1:$CD$1,0)),""))</f>
        <v>物料消耗.物料消耗</v>
      </c>
      <c r="H209">
        <f>IF(ISBLANK(IFERROR(INDEX('2-3 引出列表'!$A$2:$CE$8700,$A209,MATCH(H$1,'2-3 引出列表'!$A$1:$CD$1,0)),"")),"",IFERROR(INDEX('2-3 引出列表'!$A$2:$CE$8700,$A209,MATCH(H$1,'2-3 引出列表'!$A$1:$CD$1,0)),""))</f>
        <v>0</v>
      </c>
      <c r="I209" t="str">
        <f>IF(ISBLANK(IFERROR(INDEX('2-3 引出列表'!$A$2:$CE$8700,$A209,MATCH(I$1,'2-3 引出列表'!$A$1:$CD$1,0)),"")),"",IFERROR(INDEX('2-3 引出列表'!$A$2:$CE$8700,$A209,MATCH(I$1,'2-3 引出列表'!$A$1:$CD$1,0)),""))</f>
        <v>金采易购</v>
      </c>
    </row>
    <row r="210" spans="1:9">
      <c r="A210">
        <v>209</v>
      </c>
      <c r="B210" t="str">
        <f>IF(ISBLANK(IFERROR(INDEX('2-3 引出列表'!$A$2:$CE$8700,$A210,MATCH(B$1,'2-3 引出列表'!$A$1:$CD$1,0)),"")),"",IFERROR(INDEX('2-3 引出列表'!$A$2:$CE$8700,$A210,MATCH(B$1,'2-3 引出列表'!$A$1:$CD$1,0)),""))</f>
        <v>FK250121000746</v>
      </c>
      <c r="C210">
        <f>IF(ISBLANK(IFERROR(INDEX('2-3 引出列表'!$A$2:$CE$8700,$A210,MATCH(C$1,'2-3 引出列表'!$A$1:$CD$1,0)),"")),"",IFERROR(INDEX('2-3 引出列表'!$A$2:$CE$8700,$A210,MATCH(C$1,'2-3 引出列表'!$A$1:$CD$1,0)),""))</f>
        <v>75281.7</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2025-05-30</v>
      </c>
      <c r="F210" s="30" t="str">
        <f t="shared" si="3"/>
        <v>2025-05</v>
      </c>
      <c r="G210" t="str">
        <f>IF(ISBLANK(IFERROR(INDEX('2-3 引出列表'!$A$2:$CE$8700,$A210,MATCH(G$1,'2-3 引出列表'!$A$1:$CD$1,0)),"")),"",IFERROR(INDEX('2-3 引出列表'!$A$2:$CE$8700,$A210,MATCH(G$1,'2-3 引出列表'!$A$1:$CD$1,0)),""))</f>
        <v>物料消耗.物料消耗</v>
      </c>
      <c r="H210">
        <f>IF(ISBLANK(IFERROR(INDEX('2-3 引出列表'!$A$2:$CE$8700,$A210,MATCH(H$1,'2-3 引出列表'!$A$1:$CD$1,0)),"")),"",IFERROR(INDEX('2-3 引出列表'!$A$2:$CE$8700,$A210,MATCH(H$1,'2-3 引出列表'!$A$1:$CD$1,0)),""))</f>
        <v>0</v>
      </c>
      <c r="I210" t="str">
        <f>IF(ISBLANK(IFERROR(INDEX('2-3 引出列表'!$A$2:$CE$8700,$A210,MATCH(I$1,'2-3 引出列表'!$A$1:$CD$1,0)),"")),"",IFERROR(INDEX('2-3 引出列表'!$A$2:$CE$8700,$A210,MATCH(I$1,'2-3 引出列表'!$A$1:$CD$1,0)),""))</f>
        <v>金采易购</v>
      </c>
    </row>
    <row r="211" spans="1:9">
      <c r="A211">
        <v>210</v>
      </c>
      <c r="B211" t="str">
        <f>IF(ISBLANK(IFERROR(INDEX('2-3 引出列表'!$A$2:$CE$8700,$A211,MATCH(B$1,'2-3 引出列表'!$A$1:$CD$1,0)),"")),"",IFERROR(INDEX('2-3 引出列表'!$A$2:$CE$8700,$A211,MATCH(B$1,'2-3 引出列表'!$A$1:$CD$1,0)),""))</f>
        <v>FK250121000746</v>
      </c>
      <c r="C211">
        <f>IF(ISBLANK(IFERROR(INDEX('2-3 引出列表'!$A$2:$CE$8700,$A211,MATCH(C$1,'2-3 引出列表'!$A$1:$CD$1,0)),"")),"",IFERROR(INDEX('2-3 引出列表'!$A$2:$CE$8700,$A211,MATCH(C$1,'2-3 引出列表'!$A$1:$CD$1,0)),""))</f>
        <v>75281.7</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2025-05-30</v>
      </c>
      <c r="F211" s="30" t="str">
        <f t="shared" si="3"/>
        <v>2025-05</v>
      </c>
      <c r="G211" t="str">
        <f>IF(ISBLANK(IFERROR(INDEX('2-3 引出列表'!$A$2:$CE$8700,$A211,MATCH(G$1,'2-3 引出列表'!$A$1:$CD$1,0)),"")),"",IFERROR(INDEX('2-3 引出列表'!$A$2:$CE$8700,$A211,MATCH(G$1,'2-3 引出列表'!$A$1:$CD$1,0)),""))</f>
        <v>物料消耗.物料消耗</v>
      </c>
      <c r="H211">
        <f>IF(ISBLANK(IFERROR(INDEX('2-3 引出列表'!$A$2:$CE$8700,$A211,MATCH(H$1,'2-3 引出列表'!$A$1:$CD$1,0)),"")),"",IFERROR(INDEX('2-3 引出列表'!$A$2:$CE$8700,$A211,MATCH(H$1,'2-3 引出列表'!$A$1:$CD$1,0)),""))</f>
        <v>0</v>
      </c>
      <c r="I211" t="str">
        <f>IF(ISBLANK(IFERROR(INDEX('2-3 引出列表'!$A$2:$CE$8700,$A211,MATCH(I$1,'2-3 引出列表'!$A$1:$CD$1,0)),"")),"",IFERROR(INDEX('2-3 引出列表'!$A$2:$CE$8700,$A211,MATCH(I$1,'2-3 引出列表'!$A$1:$CD$1,0)),""))</f>
        <v>金采易购</v>
      </c>
    </row>
    <row r="212" spans="1:9">
      <c r="A212">
        <v>211</v>
      </c>
      <c r="B212" t="str">
        <f>IF(ISBLANK(IFERROR(INDEX('2-3 引出列表'!$A$2:$CE$8700,$A212,MATCH(B$1,'2-3 引出列表'!$A$1:$CD$1,0)),"")),"",IFERROR(INDEX('2-3 引出列表'!$A$2:$CE$8700,$A212,MATCH(B$1,'2-3 引出列表'!$A$1:$CD$1,0)),""))</f>
        <v>FK250121000746</v>
      </c>
      <c r="C212">
        <f>IF(ISBLANK(IFERROR(INDEX('2-3 引出列表'!$A$2:$CE$8700,$A212,MATCH(C$1,'2-3 引出列表'!$A$1:$CD$1,0)),"")),"",IFERROR(INDEX('2-3 引出列表'!$A$2:$CE$8700,$A212,MATCH(C$1,'2-3 引出列表'!$A$1:$CD$1,0)),""))</f>
        <v>75281.7</v>
      </c>
      <c r="D212" t="str">
        <f>IF(ISBLANK(IFERROR(INDEX('2-3 引出列表'!$A$2:$CE$8700,$A212,MATCH(D$1,'2-3 引出列表'!$A$1:$CD$1,0)),"")),"",IFERROR(INDEX('2-3 引出列表'!$A$2:$CE$8700,$A212,MATCH(D$1,'2-3 引出列表'!$A$1:$CD$1,0)),""))</f>
        <v>已付款</v>
      </c>
      <c r="E212" t="str">
        <f>IF(ISBLANK(IFERROR(INDEX('2-3 引出列表'!$A$2:$CE$8700,$A212,MATCH(E$1,'2-3 引出列表'!$A$1:$CD$1,0)),"")),"",IFERROR(INDEX('2-3 引出列表'!$A$2:$CE$8700,$A212,MATCH(E$1,'2-3 引出列表'!$A$1:$CD$1,0)),""))</f>
        <v>2025-05-30</v>
      </c>
      <c r="F212" s="30" t="str">
        <f t="shared" si="3"/>
        <v>2025-05</v>
      </c>
      <c r="G212" t="str">
        <f>IF(ISBLANK(IFERROR(INDEX('2-3 引出列表'!$A$2:$CE$8700,$A212,MATCH(G$1,'2-3 引出列表'!$A$1:$CD$1,0)),"")),"",IFERROR(INDEX('2-3 引出列表'!$A$2:$CE$8700,$A212,MATCH(G$1,'2-3 引出列表'!$A$1:$CD$1,0)),""))</f>
        <v>物料消耗.物料消耗</v>
      </c>
      <c r="H212">
        <f>IF(ISBLANK(IFERROR(INDEX('2-3 引出列表'!$A$2:$CE$8700,$A212,MATCH(H$1,'2-3 引出列表'!$A$1:$CD$1,0)),"")),"",IFERROR(INDEX('2-3 引出列表'!$A$2:$CE$8700,$A212,MATCH(H$1,'2-3 引出列表'!$A$1:$CD$1,0)),""))</f>
        <v>0</v>
      </c>
      <c r="I212" t="str">
        <f>IF(ISBLANK(IFERROR(INDEX('2-3 引出列表'!$A$2:$CE$8700,$A212,MATCH(I$1,'2-3 引出列表'!$A$1:$CD$1,0)),"")),"",IFERROR(INDEX('2-3 引出列表'!$A$2:$CE$8700,$A212,MATCH(I$1,'2-3 引出列表'!$A$1:$CD$1,0)),""))</f>
        <v>金采易购</v>
      </c>
    </row>
    <row r="213" spans="1:9">
      <c r="A213">
        <v>212</v>
      </c>
      <c r="B213" t="str">
        <f>IF(ISBLANK(IFERROR(INDEX('2-3 引出列表'!$A$2:$CE$8700,$A213,MATCH(B$1,'2-3 引出列表'!$A$1:$CD$1,0)),"")),"",IFERROR(INDEX('2-3 引出列表'!$A$2:$CE$8700,$A213,MATCH(B$1,'2-3 引出列表'!$A$1:$CD$1,0)),""))</f>
        <v>FK250121000746</v>
      </c>
      <c r="C213">
        <f>IF(ISBLANK(IFERROR(INDEX('2-3 引出列表'!$A$2:$CE$8700,$A213,MATCH(C$1,'2-3 引出列表'!$A$1:$CD$1,0)),"")),"",IFERROR(INDEX('2-3 引出列表'!$A$2:$CE$8700,$A213,MATCH(C$1,'2-3 引出列表'!$A$1:$CD$1,0)),""))</f>
        <v>75281.7</v>
      </c>
      <c r="D213" t="str">
        <f>IF(ISBLANK(IFERROR(INDEX('2-3 引出列表'!$A$2:$CE$8700,$A213,MATCH(D$1,'2-3 引出列表'!$A$1:$CD$1,0)),"")),"",IFERROR(INDEX('2-3 引出列表'!$A$2:$CE$8700,$A213,MATCH(D$1,'2-3 引出列表'!$A$1:$CD$1,0)),""))</f>
        <v>已付款</v>
      </c>
      <c r="E213" t="str">
        <f>IF(ISBLANK(IFERROR(INDEX('2-3 引出列表'!$A$2:$CE$8700,$A213,MATCH(E$1,'2-3 引出列表'!$A$1:$CD$1,0)),"")),"",IFERROR(INDEX('2-3 引出列表'!$A$2:$CE$8700,$A213,MATCH(E$1,'2-3 引出列表'!$A$1:$CD$1,0)),""))</f>
        <v>2025-05-30</v>
      </c>
      <c r="F213" s="30" t="str">
        <f t="shared" si="3"/>
        <v>2025-05</v>
      </c>
      <c r="G213" t="str">
        <f>IF(ISBLANK(IFERROR(INDEX('2-3 引出列表'!$A$2:$CE$8700,$A213,MATCH(G$1,'2-3 引出列表'!$A$1:$CD$1,0)),"")),"",IFERROR(INDEX('2-3 引出列表'!$A$2:$CE$8700,$A213,MATCH(G$1,'2-3 引出列表'!$A$1:$CD$1,0)),""))</f>
        <v>物料消耗.物料消耗</v>
      </c>
      <c r="H213">
        <f>IF(ISBLANK(IFERROR(INDEX('2-3 引出列表'!$A$2:$CE$8700,$A213,MATCH(H$1,'2-3 引出列表'!$A$1:$CD$1,0)),"")),"",IFERROR(INDEX('2-3 引出列表'!$A$2:$CE$8700,$A213,MATCH(H$1,'2-3 引出列表'!$A$1:$CD$1,0)),""))</f>
        <v>0</v>
      </c>
      <c r="I213" t="str">
        <f>IF(ISBLANK(IFERROR(INDEX('2-3 引出列表'!$A$2:$CE$8700,$A213,MATCH(I$1,'2-3 引出列表'!$A$1:$CD$1,0)),"")),"",IFERROR(INDEX('2-3 引出列表'!$A$2:$CE$8700,$A213,MATCH(I$1,'2-3 引出列表'!$A$1:$CD$1,0)),""))</f>
        <v>金采易购</v>
      </c>
    </row>
    <row r="214" spans="1:9">
      <c r="A214">
        <v>213</v>
      </c>
      <c r="B214" t="str">
        <f>IF(ISBLANK(IFERROR(INDEX('2-3 引出列表'!$A$2:$CE$8700,$A214,MATCH(B$1,'2-3 引出列表'!$A$1:$CD$1,0)),"")),"",IFERROR(INDEX('2-3 引出列表'!$A$2:$CE$8700,$A214,MATCH(B$1,'2-3 引出列表'!$A$1:$CD$1,0)),""))</f>
        <v>FK250121000746</v>
      </c>
      <c r="C214">
        <f>IF(ISBLANK(IFERROR(INDEX('2-3 引出列表'!$A$2:$CE$8700,$A214,MATCH(C$1,'2-3 引出列表'!$A$1:$CD$1,0)),"")),"",IFERROR(INDEX('2-3 引出列表'!$A$2:$CE$8700,$A214,MATCH(C$1,'2-3 引出列表'!$A$1:$CD$1,0)),""))</f>
        <v>75281.7</v>
      </c>
      <c r="D214" t="str">
        <f>IF(ISBLANK(IFERROR(INDEX('2-3 引出列表'!$A$2:$CE$8700,$A214,MATCH(D$1,'2-3 引出列表'!$A$1:$CD$1,0)),"")),"",IFERROR(INDEX('2-3 引出列表'!$A$2:$CE$8700,$A214,MATCH(D$1,'2-3 引出列表'!$A$1:$CD$1,0)),""))</f>
        <v>已付款</v>
      </c>
      <c r="E214" t="str">
        <f>IF(ISBLANK(IFERROR(INDEX('2-3 引出列表'!$A$2:$CE$8700,$A214,MATCH(E$1,'2-3 引出列表'!$A$1:$CD$1,0)),"")),"",IFERROR(INDEX('2-3 引出列表'!$A$2:$CE$8700,$A214,MATCH(E$1,'2-3 引出列表'!$A$1:$CD$1,0)),""))</f>
        <v>2025-05-30</v>
      </c>
      <c r="F214" s="30" t="str">
        <f t="shared" si="3"/>
        <v>2025-05</v>
      </c>
      <c r="G214" t="str">
        <f>IF(ISBLANK(IFERROR(INDEX('2-3 引出列表'!$A$2:$CE$8700,$A214,MATCH(G$1,'2-3 引出列表'!$A$1:$CD$1,0)),"")),"",IFERROR(INDEX('2-3 引出列表'!$A$2:$CE$8700,$A214,MATCH(G$1,'2-3 引出列表'!$A$1:$CD$1,0)),""))</f>
        <v>物料消耗.物料消耗</v>
      </c>
      <c r="H214">
        <f>IF(ISBLANK(IFERROR(INDEX('2-3 引出列表'!$A$2:$CE$8700,$A214,MATCH(H$1,'2-3 引出列表'!$A$1:$CD$1,0)),"")),"",IFERROR(INDEX('2-3 引出列表'!$A$2:$CE$8700,$A214,MATCH(H$1,'2-3 引出列表'!$A$1:$CD$1,0)),""))</f>
        <v>0</v>
      </c>
      <c r="I214" t="str">
        <f>IF(ISBLANK(IFERROR(INDEX('2-3 引出列表'!$A$2:$CE$8700,$A214,MATCH(I$1,'2-3 引出列表'!$A$1:$CD$1,0)),"")),"",IFERROR(INDEX('2-3 引出列表'!$A$2:$CE$8700,$A214,MATCH(I$1,'2-3 引出列表'!$A$1:$CD$1,0)),""))</f>
        <v>金采易购</v>
      </c>
    </row>
    <row r="215" spans="1:9">
      <c r="A215">
        <v>214</v>
      </c>
      <c r="B215" t="str">
        <f>IF(ISBLANK(IFERROR(INDEX('2-3 引出列表'!$A$2:$CE$8700,$A215,MATCH(B$1,'2-3 引出列表'!$A$1:$CD$1,0)),"")),"",IFERROR(INDEX('2-3 引出列表'!$A$2:$CE$8700,$A215,MATCH(B$1,'2-3 引出列表'!$A$1:$CD$1,0)),""))</f>
        <v>FK250120000539</v>
      </c>
      <c r="C215">
        <f>IF(ISBLANK(IFERROR(INDEX('2-3 引出列表'!$A$2:$CE$8700,$A215,MATCH(C$1,'2-3 引出列表'!$A$1:$CD$1,0)),"")),"",IFERROR(INDEX('2-3 引出列表'!$A$2:$CE$8700,$A215,MATCH(C$1,'2-3 引出列表'!$A$1:$CD$1,0)),""))</f>
        <v>3880</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2025-05-30</v>
      </c>
      <c r="F215" s="30" t="str">
        <f t="shared" si="3"/>
        <v>2025-05</v>
      </c>
      <c r="G215" t="str">
        <f>IF(ISBLANK(IFERROR(INDEX('2-3 引出列表'!$A$2:$CE$8700,$A215,MATCH(G$1,'2-3 引出列表'!$A$1:$CD$1,0)),"")),"",IFERROR(INDEX('2-3 引出列表'!$A$2:$CE$8700,$A215,MATCH(G$1,'2-3 引出列表'!$A$1:$CD$1,0)),""))</f>
        <v>物料消耗.物料消耗</v>
      </c>
      <c r="H215" t="str">
        <f>IF(ISBLANK(IFERROR(INDEX('2-3 引出列表'!$A$2:$CE$8700,$A215,MATCH(H$1,'2-3 引出列表'!$A$1:$CD$1,0)),"")),"",IFERROR(INDEX('2-3 引出列表'!$A$2:$CE$8700,$A215,MATCH(H$1,'2-3 引出列表'!$A$1:$CD$1,0)),""))</f>
        <v>XHWZ-Z-2023-0020</v>
      </c>
      <c r="I215" t="str">
        <f>IF(ISBLANK(IFERROR(INDEX('2-3 引出列表'!$A$2:$CE$8700,$A215,MATCH(I$1,'2-3 引出列表'!$A$1:$CD$1,0)),"")),"",IFERROR(INDEX('2-3 引出列表'!$A$2:$CE$8700,$A215,MATCH(I$1,'2-3 引出列表'!$A$1:$CD$1,0)),""))</f>
        <v>金采易购</v>
      </c>
    </row>
    <row r="216" spans="1:9">
      <c r="A216">
        <v>215</v>
      </c>
      <c r="B216" t="str">
        <f>IF(ISBLANK(IFERROR(INDEX('2-3 引出列表'!$A$2:$CE$8700,$A216,MATCH(B$1,'2-3 引出列表'!$A$1:$CD$1,0)),"")),"",IFERROR(INDEX('2-3 引出列表'!$A$2:$CE$8700,$A216,MATCH(B$1,'2-3 引出列表'!$A$1:$CD$1,0)),""))</f>
        <v>FK250120000519</v>
      </c>
      <c r="C216">
        <f>IF(ISBLANK(IFERROR(INDEX('2-3 引出列表'!$A$2:$CE$8700,$A216,MATCH(C$1,'2-3 引出列表'!$A$1:$CD$1,0)),"")),"",IFERROR(INDEX('2-3 引出列表'!$A$2:$CE$8700,$A216,MATCH(C$1,'2-3 引出列表'!$A$1:$CD$1,0)),""))</f>
        <v>19900.5</v>
      </c>
      <c r="D216" t="str">
        <f>IF(ISBLANK(IFERROR(INDEX('2-3 引出列表'!$A$2:$CE$8700,$A216,MATCH(D$1,'2-3 引出列表'!$A$1:$CD$1,0)),"")),"",IFERROR(INDEX('2-3 引出列表'!$A$2:$CE$8700,$A216,MATCH(D$1,'2-3 引出列表'!$A$1:$CD$1,0)),""))</f>
        <v>已付款</v>
      </c>
      <c r="E216" t="str">
        <f>IF(ISBLANK(IFERROR(INDEX('2-3 引出列表'!$A$2:$CE$8700,$A216,MATCH(E$1,'2-3 引出列表'!$A$1:$CD$1,0)),"")),"",IFERROR(INDEX('2-3 引出列表'!$A$2:$CE$8700,$A216,MATCH(E$1,'2-3 引出列表'!$A$1:$CD$1,0)),""))</f>
        <v>2025-05-30</v>
      </c>
      <c r="F216" s="30" t="str">
        <f t="shared" si="3"/>
        <v>2025-05</v>
      </c>
      <c r="G216" t="str">
        <f>IF(ISBLANK(IFERROR(INDEX('2-3 引出列表'!$A$2:$CE$8700,$A216,MATCH(G$1,'2-3 引出列表'!$A$1:$CD$1,0)),"")),"",IFERROR(INDEX('2-3 引出列表'!$A$2:$CE$8700,$A216,MATCH(G$1,'2-3 引出列表'!$A$1:$CD$1,0)),""))</f>
        <v>物料消耗.物料消耗</v>
      </c>
      <c r="H216">
        <f>IF(ISBLANK(IFERROR(INDEX('2-3 引出列表'!$A$2:$CE$8700,$A216,MATCH(H$1,'2-3 引出列表'!$A$1:$CD$1,0)),"")),"",IFERROR(INDEX('2-3 引出列表'!$A$2:$CE$8700,$A216,MATCH(H$1,'2-3 引出列表'!$A$1:$CD$1,0)),""))</f>
        <v>0</v>
      </c>
      <c r="I216" t="str">
        <f>IF(ISBLANK(IFERROR(INDEX('2-3 引出列表'!$A$2:$CE$8700,$A216,MATCH(I$1,'2-3 引出列表'!$A$1:$CD$1,0)),"")),"",IFERROR(INDEX('2-3 引出列表'!$A$2:$CE$8700,$A216,MATCH(I$1,'2-3 引出列表'!$A$1:$CD$1,0)),""))</f>
        <v>金采易购</v>
      </c>
    </row>
    <row r="217" spans="1:9">
      <c r="A217">
        <v>216</v>
      </c>
      <c r="B217">
        <f>IF(ISBLANK(IFERROR(INDEX('2-3 引出列表'!$A$2:$CE$8700,$A217,MATCH(B$1,'2-3 引出列表'!$A$1:$CD$1,0)),"")),"",IFERROR(INDEX('2-3 引出列表'!$A$2:$CE$8700,$A217,MATCH(B$1,'2-3 引出列表'!$A$1:$CD$1,0)),""))</f>
        <v>0</v>
      </c>
      <c r="C217">
        <f>IF(ISBLANK(IFERROR(INDEX('2-3 引出列表'!$A$2:$CE$8700,$A217,MATCH(C$1,'2-3 引出列表'!$A$1:$CD$1,0)),"")),"",IFERROR(INDEX('2-3 引出列表'!$A$2:$CE$8700,$A217,MATCH(C$1,'2-3 引出列表'!$A$1:$CD$1,0)),""))</f>
        <v>254400</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2025-05-30</v>
      </c>
      <c r="F217" s="30" t="str">
        <f t="shared" si="3"/>
        <v>2025-05</v>
      </c>
      <c r="G217" t="str">
        <f>IF(ISBLANK(IFERROR(INDEX('2-3 引出列表'!$A$2:$CE$8700,$A217,MATCH(G$1,'2-3 引出列表'!$A$1:$CD$1,0)),"")),"",IFERROR(INDEX('2-3 引出列表'!$A$2:$CE$8700,$A217,MATCH(G$1,'2-3 引出列表'!$A$1:$CD$1,0)),""))</f>
        <v>酬金.酬金制项目酬金支出</v>
      </c>
      <c r="H217">
        <f>IF(ISBLANK(IFERROR(INDEX('2-3 引出列表'!$A$2:$CE$8700,$A217,MATCH(H$1,'2-3 引出列表'!$A$1:$CD$1,0)),"")),"",IFERROR(INDEX('2-3 引出列表'!$A$2:$CE$8700,$A217,MATCH(H$1,'2-3 引出列表'!$A$1:$CD$1,0)),""))</f>
        <v>0</v>
      </c>
      <c r="I217">
        <f>IF(ISBLANK(IFERROR(INDEX('2-3 引出列表'!$A$2:$CE$8700,$A217,MATCH(I$1,'2-3 引出列表'!$A$1:$CD$1,0)),"")),"",IFERROR(INDEX('2-3 引出列表'!$A$2:$CE$8700,$A217,MATCH(I$1,'2-3 引出列表'!$A$1:$CD$1,0)),""))</f>
        <v>0</v>
      </c>
    </row>
    <row r="218" spans="1:9">
      <c r="A218">
        <v>217</v>
      </c>
      <c r="B218">
        <f>IF(ISBLANK(IFERROR(INDEX('2-3 引出列表'!$A$2:$CE$8700,$A218,MATCH(B$1,'2-3 引出列表'!$A$1:$CD$1,0)),"")),"",IFERROR(INDEX('2-3 引出列表'!$A$2:$CE$8700,$A218,MATCH(B$1,'2-3 引出列表'!$A$1:$CD$1,0)),""))</f>
        <v>0</v>
      </c>
      <c r="C218">
        <f>IF(ISBLANK(IFERROR(INDEX('2-3 引出列表'!$A$2:$CE$8700,$A218,MATCH(C$1,'2-3 引出列表'!$A$1:$CD$1,0)),"")),"",IFERROR(INDEX('2-3 引出列表'!$A$2:$CE$8700,$A218,MATCH(C$1,'2-3 引出列表'!$A$1:$CD$1,0)),""))</f>
        <v>1800</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2025-01-16</v>
      </c>
      <c r="F218" s="30" t="str">
        <f t="shared" si="3"/>
        <v>2025-01</v>
      </c>
      <c r="G218" t="str">
        <f>IF(ISBLANK(IFERROR(INDEX('2-3 引出列表'!$A$2:$CE$8700,$A218,MATCH(G$1,'2-3 引出列表'!$A$1:$CD$1,0)),"")),"",IFERROR(INDEX('2-3 引出列表'!$A$2:$CE$8700,$A218,MATCH(G$1,'2-3 引出列表'!$A$1:$CD$1,0)),""))</f>
        <v>人工费用.宿舍费</v>
      </c>
      <c r="H218" t="str">
        <f>IF(ISBLANK(IFERROR(INDEX('2-3 引出列表'!$A$2:$CE$8700,$A218,MATCH(H$1,'2-3 引出列表'!$A$1:$CD$1,0)),"")),"",IFERROR(INDEX('2-3 引出列表'!$A$2:$CE$8700,$A218,MATCH(H$1,'2-3 引出列表'!$A$1:$CD$1,0)),""))</f>
        <v>FWL-Z-2024-0944</v>
      </c>
      <c r="I218">
        <f>IF(ISBLANK(IFERROR(INDEX('2-3 引出列表'!$A$2:$CE$8700,$A218,MATCH(I$1,'2-3 引出列表'!$A$1:$CD$1,0)),"")),"",IFERROR(INDEX('2-3 引出列表'!$A$2:$CE$8700,$A218,MATCH(I$1,'2-3 引出列表'!$A$1:$CD$1,0)),""))</f>
        <v>0</v>
      </c>
    </row>
    <row r="219" spans="1:9">
      <c r="A219">
        <v>218</v>
      </c>
      <c r="B219">
        <f>IF(ISBLANK(IFERROR(INDEX('2-3 引出列表'!$A$2:$CE$8700,$A219,MATCH(B$1,'2-3 引出列表'!$A$1:$CD$1,0)),"")),"",IFERROR(INDEX('2-3 引出列表'!$A$2:$CE$8700,$A219,MATCH(B$1,'2-3 引出列表'!$A$1:$CD$1,0)),""))</f>
        <v>0</v>
      </c>
      <c r="C219">
        <f>IF(ISBLANK(IFERROR(INDEX('2-3 引出列表'!$A$2:$CE$8700,$A219,MATCH(C$1,'2-3 引出列表'!$A$1:$CD$1,0)),"")),"",IFERROR(INDEX('2-3 引出列表'!$A$2:$CE$8700,$A219,MATCH(C$1,'2-3 引出列表'!$A$1:$CD$1,0)),""))</f>
        <v>4978</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2025-01-16</v>
      </c>
      <c r="F219" s="30" t="str">
        <f t="shared" si="3"/>
        <v>2025-01</v>
      </c>
      <c r="G219" t="str">
        <f>IF(ISBLANK(IFERROR(INDEX('2-3 引出列表'!$A$2:$CE$8700,$A219,MATCH(G$1,'2-3 引出列表'!$A$1:$CD$1,0)),"")),"",IFERROR(INDEX('2-3 引出列表'!$A$2:$CE$8700,$A219,MATCH(G$1,'2-3 引出列表'!$A$1:$CD$1,0)),""))</f>
        <v>业务活动.业务招待费</v>
      </c>
      <c r="H219">
        <f>IF(ISBLANK(IFERROR(INDEX('2-3 引出列表'!$A$2:$CE$8700,$A219,MATCH(H$1,'2-3 引出列表'!$A$1:$CD$1,0)),"")),"",IFERROR(INDEX('2-3 引出列表'!$A$2:$CE$8700,$A219,MATCH(H$1,'2-3 引出列表'!$A$1:$CD$1,0)),""))</f>
        <v>0</v>
      </c>
      <c r="I219">
        <f>IF(ISBLANK(IFERROR(INDEX('2-3 引出列表'!$A$2:$CE$8700,$A219,MATCH(I$1,'2-3 引出列表'!$A$1:$CD$1,0)),"")),"",IFERROR(INDEX('2-3 引出列表'!$A$2:$CE$8700,$A219,MATCH(I$1,'2-3 引出列表'!$A$1:$CD$1,0)),""))</f>
        <v>0</v>
      </c>
    </row>
    <row r="220" spans="1:9">
      <c r="A220">
        <v>219</v>
      </c>
      <c r="B220">
        <f>IF(ISBLANK(IFERROR(INDEX('2-3 引出列表'!$A$2:$CE$8700,$A220,MATCH(B$1,'2-3 引出列表'!$A$1:$CD$1,0)),"")),"",IFERROR(INDEX('2-3 引出列表'!$A$2:$CE$8700,$A220,MATCH(B$1,'2-3 引出列表'!$A$1:$CD$1,0)),""))</f>
        <v>0</v>
      </c>
      <c r="C220">
        <f>IF(ISBLANK(IFERROR(INDEX('2-3 引出列表'!$A$2:$CE$8700,$A220,MATCH(C$1,'2-3 引出列表'!$A$1:$CD$1,0)),"")),"",IFERROR(INDEX('2-3 引出列表'!$A$2:$CE$8700,$A220,MATCH(C$1,'2-3 引出列表'!$A$1:$CD$1,0)),""))</f>
        <v>7970</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2025-05-23</v>
      </c>
      <c r="F220" s="30" t="str">
        <f t="shared" si="3"/>
        <v>2025-05</v>
      </c>
      <c r="G220" t="str">
        <f>IF(ISBLANK(IFERROR(INDEX('2-3 引出列表'!$A$2:$CE$8700,$A220,MATCH(G$1,'2-3 引出列表'!$A$1:$CD$1,0)),"")),"",IFERROR(INDEX('2-3 引出列表'!$A$2:$CE$8700,$A220,MATCH(G$1,'2-3 引出列表'!$A$1:$CD$1,0)),""))</f>
        <v>人工费用.宿舍费</v>
      </c>
      <c r="H220" t="str">
        <f>IF(ISBLANK(IFERROR(INDEX('2-3 引出列表'!$A$2:$CE$8700,$A220,MATCH(H$1,'2-3 引出列表'!$A$1:$CD$1,0)),"")),"",IFERROR(INDEX('2-3 引出列表'!$A$2:$CE$8700,$A220,MATCH(H$1,'2-3 引出列表'!$A$1:$CD$1,0)),""))</f>
        <v>FWL-Z-2025-00269</v>
      </c>
      <c r="I220">
        <f>IF(ISBLANK(IFERROR(INDEX('2-3 引出列表'!$A$2:$CE$8700,$A220,MATCH(I$1,'2-3 引出列表'!$A$1:$CD$1,0)),"")),"",IFERROR(INDEX('2-3 引出列表'!$A$2:$CE$8700,$A220,MATCH(I$1,'2-3 引出列表'!$A$1:$CD$1,0)),""))</f>
        <v>0</v>
      </c>
    </row>
    <row r="221" spans="1:9">
      <c r="A221">
        <v>220</v>
      </c>
      <c r="B221">
        <f>IF(ISBLANK(IFERROR(INDEX('2-3 引出列表'!$A$2:$CE$8700,$A221,MATCH(B$1,'2-3 引出列表'!$A$1:$CD$1,0)),"")),"",IFERROR(INDEX('2-3 引出列表'!$A$2:$CE$8700,$A221,MATCH(B$1,'2-3 引出列表'!$A$1:$CD$1,0)),""))</f>
        <v>0</v>
      </c>
      <c r="C221">
        <f>IF(ISBLANK(IFERROR(INDEX('2-3 引出列表'!$A$2:$CE$8700,$A221,MATCH(C$1,'2-3 引出列表'!$A$1:$CD$1,0)),"")),"",IFERROR(INDEX('2-3 引出列表'!$A$2:$CE$8700,$A221,MATCH(C$1,'2-3 引出列表'!$A$1:$CD$1,0)),""))</f>
        <v>1800</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2025-05-23</v>
      </c>
      <c r="F221" s="30" t="str">
        <f t="shared" si="3"/>
        <v>2025-05</v>
      </c>
      <c r="G221" t="str">
        <f>IF(ISBLANK(IFERROR(INDEX('2-3 引出列表'!$A$2:$CE$8700,$A221,MATCH(G$1,'2-3 引出列表'!$A$1:$CD$1,0)),"")),"",IFERROR(INDEX('2-3 引出列表'!$A$2:$CE$8700,$A221,MATCH(G$1,'2-3 引出列表'!$A$1:$CD$1,0)),""))</f>
        <v>人工费用.宿舍费</v>
      </c>
      <c r="H221" t="str">
        <f>IF(ISBLANK(IFERROR(INDEX('2-3 引出列表'!$A$2:$CE$8700,$A221,MATCH(H$1,'2-3 引出列表'!$A$1:$CD$1,0)),"")),"",IFERROR(INDEX('2-3 引出列表'!$A$2:$CE$8700,$A221,MATCH(H$1,'2-3 引出列表'!$A$1:$CD$1,0)),""))</f>
        <v>FWL-Z-2024-0944</v>
      </c>
      <c r="I221">
        <f>IF(ISBLANK(IFERROR(INDEX('2-3 引出列表'!$A$2:$CE$8700,$A221,MATCH(I$1,'2-3 引出列表'!$A$1:$CD$1,0)),"")),"",IFERROR(INDEX('2-3 引出列表'!$A$2:$CE$8700,$A221,MATCH(I$1,'2-3 引出列表'!$A$1:$CD$1,0)),""))</f>
        <v>0</v>
      </c>
    </row>
    <row r="222" spans="1:9">
      <c r="A222">
        <v>221</v>
      </c>
      <c r="B222">
        <f>IF(ISBLANK(IFERROR(INDEX('2-3 引出列表'!$A$2:$CE$8700,$A222,MATCH(B$1,'2-3 引出列表'!$A$1:$CD$1,0)),"")),"",IFERROR(INDEX('2-3 引出列表'!$A$2:$CE$8700,$A222,MATCH(B$1,'2-3 引出列表'!$A$1:$CD$1,0)),""))</f>
        <v>0</v>
      </c>
      <c r="C222">
        <f>IF(ISBLANK(IFERROR(INDEX('2-3 引出列表'!$A$2:$CE$8700,$A222,MATCH(C$1,'2-3 引出列表'!$A$1:$CD$1,0)),"")),"",IFERROR(INDEX('2-3 引出列表'!$A$2:$CE$8700,$A222,MATCH(C$1,'2-3 引出列表'!$A$1:$CD$1,0)),""))</f>
        <v>4800</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2025-05-23</v>
      </c>
      <c r="F222" s="30" t="str">
        <f t="shared" si="3"/>
        <v>2025-05</v>
      </c>
      <c r="G222" t="str">
        <f>IF(ISBLANK(IFERROR(INDEX('2-3 引出列表'!$A$2:$CE$8700,$A222,MATCH(G$1,'2-3 引出列表'!$A$1:$CD$1,0)),"")),"",IFERROR(INDEX('2-3 引出列表'!$A$2:$CE$8700,$A222,MATCH(G$1,'2-3 引出列表'!$A$1:$CD$1,0)),""))</f>
        <v>人工费用.节日及餐费福利</v>
      </c>
      <c r="H222">
        <f>IF(ISBLANK(IFERROR(INDEX('2-3 引出列表'!$A$2:$CE$8700,$A222,MATCH(H$1,'2-3 引出列表'!$A$1:$CD$1,0)),"")),"",IFERROR(INDEX('2-3 引出列表'!$A$2:$CE$8700,$A222,MATCH(H$1,'2-3 引出列表'!$A$1:$CD$1,0)),""))</f>
        <v>0</v>
      </c>
      <c r="I222">
        <f>IF(ISBLANK(IFERROR(INDEX('2-3 引出列表'!$A$2:$CE$8700,$A222,MATCH(I$1,'2-3 引出列表'!$A$1:$CD$1,0)),"")),"",IFERROR(INDEX('2-3 引出列表'!$A$2:$CE$8700,$A222,MATCH(I$1,'2-3 引出列表'!$A$1:$CD$1,0)),""))</f>
        <v>0</v>
      </c>
    </row>
    <row r="223" spans="1:9">
      <c r="A223">
        <v>222</v>
      </c>
      <c r="B223">
        <f>IF(ISBLANK(IFERROR(INDEX('2-3 引出列表'!$A$2:$CE$8700,$A223,MATCH(B$1,'2-3 引出列表'!$A$1:$CD$1,0)),"")),"",IFERROR(INDEX('2-3 引出列表'!$A$2:$CE$8700,$A223,MATCH(B$1,'2-3 引出列表'!$A$1:$CD$1,0)),""))</f>
        <v>0</v>
      </c>
      <c r="C223">
        <f>IF(ISBLANK(IFERROR(INDEX('2-3 引出列表'!$A$2:$CE$8700,$A223,MATCH(C$1,'2-3 引出列表'!$A$1:$CD$1,0)),"")),"",IFERROR(INDEX('2-3 引出列表'!$A$2:$CE$8700,$A223,MATCH(C$1,'2-3 引出列表'!$A$1:$CD$1,0)),""))</f>
        <v>3000</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2025-05-23</v>
      </c>
      <c r="F223" s="30" t="str">
        <f t="shared" si="3"/>
        <v>2025-05</v>
      </c>
      <c r="G223" t="str">
        <f>IF(ISBLANK(IFERROR(INDEX('2-3 引出列表'!$A$2:$CE$8700,$A223,MATCH(G$1,'2-3 引出列表'!$A$1:$CD$1,0)),"")),"",IFERROR(INDEX('2-3 引出列表'!$A$2:$CE$8700,$A223,MATCH(G$1,'2-3 引出列表'!$A$1:$CD$1,0)),""))</f>
        <v>办公事务.办公费</v>
      </c>
      <c r="H223">
        <f>IF(ISBLANK(IFERROR(INDEX('2-3 引出列表'!$A$2:$CE$8700,$A223,MATCH(H$1,'2-3 引出列表'!$A$1:$CD$1,0)),"")),"",IFERROR(INDEX('2-3 引出列表'!$A$2:$CE$8700,$A223,MATCH(H$1,'2-3 引出列表'!$A$1:$CD$1,0)),""))</f>
        <v>0</v>
      </c>
      <c r="I223">
        <f>IF(ISBLANK(IFERROR(INDEX('2-3 引出列表'!$A$2:$CE$8700,$A223,MATCH(I$1,'2-3 引出列表'!$A$1:$CD$1,0)),"")),"",IFERROR(INDEX('2-3 引出列表'!$A$2:$CE$8700,$A223,MATCH(I$1,'2-3 引出列表'!$A$1:$CD$1,0)),""))</f>
        <v>0</v>
      </c>
    </row>
    <row r="224" spans="1:9">
      <c r="A224">
        <v>223</v>
      </c>
      <c r="B224">
        <f>IF(ISBLANK(IFERROR(INDEX('2-3 引出列表'!$A$2:$CE$8700,$A224,MATCH(B$1,'2-3 引出列表'!$A$1:$CD$1,0)),"")),"",IFERROR(INDEX('2-3 引出列表'!$A$2:$CE$8700,$A224,MATCH(B$1,'2-3 引出列表'!$A$1:$CD$1,0)),""))</f>
        <v>0</v>
      </c>
      <c r="C224">
        <f>IF(ISBLANK(IFERROR(INDEX('2-3 引出列表'!$A$2:$CE$8700,$A224,MATCH(C$1,'2-3 引出列表'!$A$1:$CD$1,0)),"")),"",IFERROR(INDEX('2-3 引出列表'!$A$2:$CE$8700,$A224,MATCH(C$1,'2-3 引出列表'!$A$1:$CD$1,0)),""))</f>
        <v>11032</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2025-05-23</v>
      </c>
      <c r="F224" s="30" t="str">
        <f t="shared" si="3"/>
        <v>2025-05</v>
      </c>
      <c r="G224" t="str">
        <f>IF(ISBLANK(IFERROR(INDEX('2-3 引出列表'!$A$2:$CE$8700,$A224,MATCH(G$1,'2-3 引出列表'!$A$1:$CD$1,0)),"")),"",IFERROR(INDEX('2-3 引出列表'!$A$2:$CE$8700,$A224,MATCH(G$1,'2-3 引出列表'!$A$1:$CD$1,0)),""))</f>
        <v>人工费用.商业保险费</v>
      </c>
      <c r="H224">
        <f>IF(ISBLANK(IFERROR(INDEX('2-3 引出列表'!$A$2:$CE$8700,$A224,MATCH(H$1,'2-3 引出列表'!$A$1:$CD$1,0)),"")),"",IFERROR(INDEX('2-3 引出列表'!$A$2:$CE$8700,$A224,MATCH(H$1,'2-3 引出列表'!$A$1:$CD$1,0)),""))</f>
        <v>0</v>
      </c>
      <c r="I224">
        <f>IF(ISBLANK(IFERROR(INDEX('2-3 引出列表'!$A$2:$CE$8700,$A224,MATCH(I$1,'2-3 引出列表'!$A$1:$CD$1,0)),"")),"",IFERROR(INDEX('2-3 引出列表'!$A$2:$CE$8700,$A224,MATCH(I$1,'2-3 引出列表'!$A$1:$CD$1,0)),""))</f>
        <v>0</v>
      </c>
    </row>
    <row r="225" spans="1:9">
      <c r="A225">
        <v>224</v>
      </c>
      <c r="B225" t="str">
        <f>IF(ISBLANK(IFERROR(INDEX('2-3 引出列表'!$A$2:$CE$8700,$A225,MATCH(B$1,'2-3 引出列表'!$A$1:$CD$1,0)),"")),"",IFERROR(INDEX('2-3 引出列表'!$A$2:$CE$8700,$A225,MATCH(B$1,'2-3 引出列表'!$A$1:$CD$1,0)),""))</f>
        <v>FK241209001286</v>
      </c>
      <c r="C225">
        <f>IF(ISBLANK(IFERROR(INDEX('2-3 引出列表'!$A$2:$CE$8700,$A225,MATCH(C$1,'2-3 引出列表'!$A$1:$CD$1,0)),"")),"",IFERROR(INDEX('2-3 引出列表'!$A$2:$CE$8700,$A225,MATCH(C$1,'2-3 引出列表'!$A$1:$CD$1,0)),""))</f>
        <v>3750</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2025-05-23</v>
      </c>
      <c r="F225" s="30" t="str">
        <f t="shared" si="3"/>
        <v>2025-05</v>
      </c>
      <c r="G225" t="str">
        <f>IF(ISBLANK(IFERROR(INDEX('2-3 引出列表'!$A$2:$CE$8700,$A225,MATCH(G$1,'2-3 引出列表'!$A$1:$CD$1,0)),"")),"",IFERROR(INDEX('2-3 引出列表'!$A$2:$CE$8700,$A225,MATCH(G$1,'2-3 引出列表'!$A$1:$CD$1,0)),""))</f>
        <v>外包服务费.工程施工外包</v>
      </c>
      <c r="H225" t="str">
        <f>IF(ISBLANK(IFERROR(INDEX('2-3 引出列表'!$A$2:$CE$8700,$A225,MATCH(H$1,'2-3 引出列表'!$A$1:$CD$1,0)),"")),"",IFERROR(INDEX('2-3 引出列表'!$A$2:$CE$8700,$A225,MATCH(H$1,'2-3 引出列表'!$A$1:$CD$1,0)),""))</f>
        <v>GCFW-Z-2024-6873</v>
      </c>
      <c r="I225" t="str">
        <f>IF(ISBLANK(IFERROR(INDEX('2-3 引出列表'!$A$2:$CE$8700,$A225,MATCH(I$1,'2-3 引出列表'!$A$1:$CD$1,0)),"")),"",IFERROR(INDEX('2-3 引出列表'!$A$2:$CE$8700,$A225,MATCH(I$1,'2-3 引出列表'!$A$1:$CD$1,0)),""))</f>
        <v>金采易购</v>
      </c>
    </row>
    <row r="226" spans="1:9">
      <c r="A226">
        <v>225</v>
      </c>
      <c r="B226" t="str">
        <f>IF(ISBLANK(IFERROR(INDEX('2-3 引出列表'!$A$2:$CE$8700,$A226,MATCH(B$1,'2-3 引出列表'!$A$1:$CD$1,0)),"")),"",IFERROR(INDEX('2-3 引出列表'!$A$2:$CE$8700,$A226,MATCH(B$1,'2-3 引出列表'!$A$1:$CD$1,0)),""))</f>
        <v>FK250226000873</v>
      </c>
      <c r="C226">
        <f>IF(ISBLANK(IFERROR(INDEX('2-3 引出列表'!$A$2:$CE$8700,$A226,MATCH(C$1,'2-3 引出列表'!$A$1:$CD$1,0)),"")),"",IFERROR(INDEX('2-3 引出列表'!$A$2:$CE$8700,$A226,MATCH(C$1,'2-3 引出列表'!$A$1:$CD$1,0)),""))</f>
        <v>69.65</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2025-05-23</v>
      </c>
      <c r="F226" s="30" t="str">
        <f t="shared" si="3"/>
        <v>2025-05</v>
      </c>
      <c r="G226" t="str">
        <f>IF(ISBLANK(IFERROR(INDEX('2-3 引出列表'!$A$2:$CE$8700,$A226,MATCH(G$1,'2-3 引出列表'!$A$1:$CD$1,0)),"")),"",IFERROR(INDEX('2-3 引出列表'!$A$2:$CE$8700,$A226,MATCH(G$1,'2-3 引出列表'!$A$1:$CD$1,0)),""))</f>
        <v>物料消耗.物料消耗</v>
      </c>
      <c r="H226" t="str">
        <f>IF(ISBLANK(IFERROR(INDEX('2-3 引出列表'!$A$2:$CE$8700,$A226,MATCH(H$1,'2-3 引出列表'!$A$1:$CD$1,0)),"")),"",IFERROR(INDEX('2-3 引出列表'!$A$2:$CE$8700,$A226,MATCH(H$1,'2-3 引出列表'!$A$1:$CD$1,0)),""))</f>
        <v>XHWZ-Z-2024-0076</v>
      </c>
      <c r="I226" t="str">
        <f>IF(ISBLANK(IFERROR(INDEX('2-3 引出列表'!$A$2:$CE$8700,$A226,MATCH(I$1,'2-3 引出列表'!$A$1:$CD$1,0)),"")),"",IFERROR(INDEX('2-3 引出列表'!$A$2:$CE$8700,$A226,MATCH(I$1,'2-3 引出列表'!$A$1:$CD$1,0)),""))</f>
        <v>金采易购</v>
      </c>
    </row>
    <row r="227" spans="1:9">
      <c r="A227">
        <v>226</v>
      </c>
      <c r="B227" t="str">
        <f>IF(ISBLANK(IFERROR(INDEX('2-3 引出列表'!$A$2:$CE$8700,$A227,MATCH(B$1,'2-3 引出列表'!$A$1:$CD$1,0)),"")),"",IFERROR(INDEX('2-3 引出列表'!$A$2:$CE$8700,$A227,MATCH(B$1,'2-3 引出列表'!$A$1:$CD$1,0)),""))</f>
        <v>FK250219000527</v>
      </c>
      <c r="C227">
        <f>IF(ISBLANK(IFERROR(INDEX('2-3 引出列表'!$A$2:$CE$8700,$A227,MATCH(C$1,'2-3 引出列表'!$A$1:$CD$1,0)),"")),"",IFERROR(INDEX('2-3 引出列表'!$A$2:$CE$8700,$A227,MATCH(C$1,'2-3 引出列表'!$A$1:$CD$1,0)),""))</f>
        <v>11000</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2025-05-23</v>
      </c>
      <c r="F227" s="30" t="str">
        <f t="shared" si="3"/>
        <v>2025-05</v>
      </c>
      <c r="G227" t="str">
        <f>IF(ISBLANK(IFERROR(INDEX('2-3 引出列表'!$A$2:$CE$8700,$A227,MATCH(G$1,'2-3 引出列表'!$A$1:$CD$1,0)),"")),"",IFERROR(INDEX('2-3 引出列表'!$A$2:$CE$8700,$A227,MATCH(G$1,'2-3 引出列表'!$A$1:$CD$1,0)),""))</f>
        <v>外包服务费.设备设施维保外包</v>
      </c>
      <c r="H227" t="str">
        <f>IF(ISBLANK(IFERROR(INDEX('2-3 引出列表'!$A$2:$CE$8700,$A227,MATCH(H$1,'2-3 引出列表'!$A$1:$CD$1,0)),"")),"",IFERROR(INDEX('2-3 引出列表'!$A$2:$CE$8700,$A227,MATCH(H$1,'2-3 引出列表'!$A$1:$CD$1,0)),""))</f>
        <v>GCFW-Z-2024-1744</v>
      </c>
      <c r="I227" t="str">
        <f>IF(ISBLANK(IFERROR(INDEX('2-3 引出列表'!$A$2:$CE$8700,$A227,MATCH(I$1,'2-3 引出列表'!$A$1:$CD$1,0)),"")),"",IFERROR(INDEX('2-3 引出列表'!$A$2:$CE$8700,$A227,MATCH(I$1,'2-3 引出列表'!$A$1:$CD$1,0)),""))</f>
        <v>金采易购</v>
      </c>
    </row>
    <row r="228" spans="1:9">
      <c r="A228">
        <v>227</v>
      </c>
      <c r="B228" t="str">
        <f>IF(ISBLANK(IFERROR(INDEX('2-3 引出列表'!$A$2:$CE$8700,$A228,MATCH(B$1,'2-3 引出列表'!$A$1:$CD$1,0)),"")),"",IFERROR(INDEX('2-3 引出列表'!$A$2:$CE$8700,$A228,MATCH(B$1,'2-3 引出列表'!$A$1:$CD$1,0)),""))</f>
        <v>FK250213001065</v>
      </c>
      <c r="C228">
        <f>IF(ISBLANK(IFERROR(INDEX('2-3 引出列表'!$A$2:$CE$8700,$A228,MATCH(C$1,'2-3 引出列表'!$A$1:$CD$1,0)),"")),"",IFERROR(INDEX('2-3 引出列表'!$A$2:$CE$8700,$A228,MATCH(C$1,'2-3 引出列表'!$A$1:$CD$1,0)),""))</f>
        <v>12262</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2025-05-23</v>
      </c>
      <c r="F228" s="30" t="str">
        <f t="shared" si="3"/>
        <v>2025-05</v>
      </c>
      <c r="G228" t="str">
        <f>IF(ISBLANK(IFERROR(INDEX('2-3 引出列表'!$A$2:$CE$8700,$A228,MATCH(G$1,'2-3 引出列表'!$A$1:$CD$1,0)),"")),"",IFERROR(INDEX('2-3 引出列表'!$A$2:$CE$8700,$A228,MATCH(G$1,'2-3 引出列表'!$A$1:$CD$1,0)),""))</f>
        <v>外包服务费.保洁外包</v>
      </c>
      <c r="H228" t="str">
        <f>IF(ISBLANK(IFERROR(INDEX('2-3 引出列表'!$A$2:$CE$8700,$A228,MATCH(H$1,'2-3 引出列表'!$A$1:$CD$1,0)),"")),"",IFERROR(INDEX('2-3 引出列表'!$A$2:$CE$8700,$A228,MATCH(H$1,'2-3 引出列表'!$A$1:$CD$1,0)),""))</f>
        <v>HJFW-Z-2024-0398</v>
      </c>
      <c r="I228" t="str">
        <f>IF(ISBLANK(IFERROR(INDEX('2-3 引出列表'!$A$2:$CE$8700,$A228,MATCH(I$1,'2-3 引出列表'!$A$1:$CD$1,0)),"")),"",IFERROR(INDEX('2-3 引出列表'!$A$2:$CE$8700,$A228,MATCH(I$1,'2-3 引出列表'!$A$1:$CD$1,0)),""))</f>
        <v>金采易购</v>
      </c>
    </row>
    <row r="229" spans="1:9">
      <c r="A229">
        <v>228</v>
      </c>
      <c r="B229">
        <f>IF(ISBLANK(IFERROR(INDEX('2-3 引出列表'!$A$2:$CE$8700,$A229,MATCH(B$1,'2-3 引出列表'!$A$1:$CD$1,0)),"")),"",IFERROR(INDEX('2-3 引出列表'!$A$2:$CE$8700,$A229,MATCH(B$1,'2-3 引出列表'!$A$1:$CD$1,0)),""))</f>
        <v>0</v>
      </c>
      <c r="C229">
        <f>IF(ISBLANK(IFERROR(INDEX('2-3 引出列表'!$A$2:$CE$8700,$A229,MATCH(C$1,'2-3 引出列表'!$A$1:$CD$1,0)),"")),"",IFERROR(INDEX('2-3 引出列表'!$A$2:$CE$8700,$A229,MATCH(C$1,'2-3 引出列表'!$A$1:$CD$1,0)),""))</f>
        <v>1400</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2025-05-15</v>
      </c>
      <c r="F229" s="30" t="str">
        <f t="shared" si="3"/>
        <v>2025-05</v>
      </c>
      <c r="G229" t="str">
        <f>IF(ISBLANK(IFERROR(INDEX('2-3 引出列表'!$A$2:$CE$8700,$A229,MATCH(G$1,'2-3 引出列表'!$A$1:$CD$1,0)),"")),"",IFERROR(INDEX('2-3 引出列表'!$A$2:$CE$8700,$A229,MATCH(G$1,'2-3 引出列表'!$A$1:$CD$1,0)),""))</f>
        <v>人工费用.宿舍费</v>
      </c>
      <c r="H229" t="str">
        <f>IF(ISBLANK(IFERROR(INDEX('2-3 引出列表'!$A$2:$CE$8700,$A229,MATCH(H$1,'2-3 引出列表'!$A$1:$CD$1,0)),"")),"",IFERROR(INDEX('2-3 引出列表'!$A$2:$CE$8700,$A229,MATCH(H$1,'2-3 引出列表'!$A$1:$CD$1,0)),""))</f>
        <v>FWL-Z-2025-00233</v>
      </c>
      <c r="I229">
        <f>IF(ISBLANK(IFERROR(INDEX('2-3 引出列表'!$A$2:$CE$8700,$A229,MATCH(I$1,'2-3 引出列表'!$A$1:$CD$1,0)),"")),"",IFERROR(INDEX('2-3 引出列表'!$A$2:$CE$8700,$A229,MATCH(I$1,'2-3 引出列表'!$A$1:$CD$1,0)),""))</f>
        <v>0</v>
      </c>
    </row>
    <row r="230" spans="1:9">
      <c r="A230">
        <v>229</v>
      </c>
      <c r="B230">
        <f>IF(ISBLANK(IFERROR(INDEX('2-3 引出列表'!$A$2:$CE$8700,$A230,MATCH(B$1,'2-3 引出列表'!$A$1:$CD$1,0)),"")),"",IFERROR(INDEX('2-3 引出列表'!$A$2:$CE$8700,$A230,MATCH(B$1,'2-3 引出列表'!$A$1:$CD$1,0)),""))</f>
        <v>0</v>
      </c>
      <c r="C230">
        <f>IF(ISBLANK(IFERROR(INDEX('2-3 引出列表'!$A$2:$CE$8700,$A230,MATCH(C$1,'2-3 引出列表'!$A$1:$CD$1,0)),"")),"",IFERROR(INDEX('2-3 引出列表'!$A$2:$CE$8700,$A230,MATCH(C$1,'2-3 引出列表'!$A$1:$CD$1,0)),""))</f>
        <v>2800</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2025-05-15</v>
      </c>
      <c r="F230" s="30" t="str">
        <f t="shared" si="3"/>
        <v>2025-05</v>
      </c>
      <c r="G230" t="str">
        <f>IF(ISBLANK(IFERROR(INDEX('2-3 引出列表'!$A$2:$CE$8700,$A230,MATCH(G$1,'2-3 引出列表'!$A$1:$CD$1,0)),"")),"",IFERROR(INDEX('2-3 引出列表'!$A$2:$CE$8700,$A230,MATCH(G$1,'2-3 引出列表'!$A$1:$CD$1,0)),""))</f>
        <v>借款.员工借款</v>
      </c>
      <c r="H230">
        <f>IF(ISBLANK(IFERROR(INDEX('2-3 引出列表'!$A$2:$CE$8700,$A230,MATCH(H$1,'2-3 引出列表'!$A$1:$CD$1,0)),"")),"",IFERROR(INDEX('2-3 引出列表'!$A$2:$CE$8700,$A230,MATCH(H$1,'2-3 引出列表'!$A$1:$CD$1,0)),""))</f>
        <v>0</v>
      </c>
      <c r="I230">
        <f>IF(ISBLANK(IFERROR(INDEX('2-3 引出列表'!$A$2:$CE$8700,$A230,MATCH(I$1,'2-3 引出列表'!$A$1:$CD$1,0)),"")),"",IFERROR(INDEX('2-3 引出列表'!$A$2:$CE$8700,$A230,MATCH(I$1,'2-3 引出列表'!$A$1:$CD$1,0)),""))</f>
        <v>0</v>
      </c>
    </row>
    <row r="231" spans="1:9">
      <c r="A231">
        <v>230</v>
      </c>
      <c r="B231">
        <f>IF(ISBLANK(IFERROR(INDEX('2-3 引出列表'!$A$2:$CE$8700,$A231,MATCH(B$1,'2-3 引出列表'!$A$1:$CD$1,0)),"")),"",IFERROR(INDEX('2-3 引出列表'!$A$2:$CE$8700,$A231,MATCH(B$1,'2-3 引出列表'!$A$1:$CD$1,0)),""))</f>
        <v>0</v>
      </c>
      <c r="C231">
        <f>IF(ISBLANK(IFERROR(INDEX('2-3 引出列表'!$A$2:$CE$8700,$A231,MATCH(C$1,'2-3 引出列表'!$A$1:$CD$1,0)),"")),"",IFERROR(INDEX('2-3 引出列表'!$A$2:$CE$8700,$A231,MATCH(C$1,'2-3 引出列表'!$A$1:$CD$1,0)),""))</f>
        <v>40980</v>
      </c>
      <c r="D231" t="str">
        <f>IF(ISBLANK(IFERROR(INDEX('2-3 引出列表'!$A$2:$CE$8700,$A231,MATCH(D$1,'2-3 引出列表'!$A$1:$CD$1,0)),"")),"",IFERROR(INDEX('2-3 引出列表'!$A$2:$CE$8700,$A231,MATCH(D$1,'2-3 引出列表'!$A$1:$CD$1,0)),""))</f>
        <v>已提交</v>
      </c>
      <c r="E231" t="str">
        <f>IF(ISBLANK(IFERROR(INDEX('2-3 引出列表'!$A$2:$CE$8700,$A231,MATCH(E$1,'2-3 引出列表'!$A$1:$CD$1,0)),"")),"",IFERROR(INDEX('2-3 引出列表'!$A$2:$CE$8700,$A231,MATCH(E$1,'2-3 引出列表'!$A$1:$CD$1,0)),""))</f>
        <v>2025-07-28</v>
      </c>
      <c r="F231" s="30" t="str">
        <f t="shared" si="3"/>
        <v>2025-07</v>
      </c>
      <c r="G231" t="str">
        <f>IF(ISBLANK(IFERROR(INDEX('2-3 引出列表'!$A$2:$CE$8700,$A231,MATCH(G$1,'2-3 引出列表'!$A$1:$CD$1,0)),"")),"",IFERROR(INDEX('2-3 引出列表'!$A$2:$CE$8700,$A231,MATCH(G$1,'2-3 引出列表'!$A$1:$CD$1,0)),""))</f>
        <v>人工费用.宿舍费</v>
      </c>
      <c r="H231" t="str">
        <f>IF(ISBLANK(IFERROR(INDEX('2-3 引出列表'!$A$2:$CE$8700,$A231,MATCH(H$1,'2-3 引出列表'!$A$1:$CD$1,0)),"")),"",IFERROR(INDEX('2-3 引出列表'!$A$2:$CE$8700,$A231,MATCH(H$1,'2-3 引出列表'!$A$1:$CD$1,0)),""))</f>
        <v>FWL-Z-2025-00136</v>
      </c>
      <c r="I231">
        <f>IF(ISBLANK(IFERROR(INDEX('2-3 引出列表'!$A$2:$CE$8700,$A231,MATCH(I$1,'2-3 引出列表'!$A$1:$CD$1,0)),"")),"",IFERROR(INDEX('2-3 引出列表'!$A$2:$CE$8700,$A231,MATCH(I$1,'2-3 引出列表'!$A$1:$CD$1,0)),""))</f>
        <v>0</v>
      </c>
    </row>
    <row r="232" spans="1:9">
      <c r="A232">
        <v>231</v>
      </c>
      <c r="B232">
        <f>IF(ISBLANK(IFERROR(INDEX('2-3 引出列表'!$A$2:$CE$8700,$A232,MATCH(B$1,'2-3 引出列表'!$A$1:$CD$1,0)),"")),"",IFERROR(INDEX('2-3 引出列表'!$A$2:$CE$8700,$A232,MATCH(B$1,'2-3 引出列表'!$A$1:$CD$1,0)),""))</f>
        <v>0</v>
      </c>
      <c r="C232">
        <f>IF(ISBLANK(IFERROR(INDEX('2-3 引出列表'!$A$2:$CE$8700,$A232,MATCH(C$1,'2-3 引出列表'!$A$1:$CD$1,0)),"")),"",IFERROR(INDEX('2-3 引出列表'!$A$2:$CE$8700,$A232,MATCH(C$1,'2-3 引出列表'!$A$1:$CD$1,0)),""))</f>
        <v>31358</v>
      </c>
      <c r="D232" t="str">
        <f>IF(ISBLANK(IFERROR(INDEX('2-3 引出列表'!$A$2:$CE$8700,$A232,MATCH(D$1,'2-3 引出列表'!$A$1:$CD$1,0)),"")),"",IFERROR(INDEX('2-3 引出列表'!$A$2:$CE$8700,$A232,MATCH(D$1,'2-3 引出列表'!$A$1:$CD$1,0)),""))</f>
        <v>已提交</v>
      </c>
      <c r="E232" t="str">
        <f>IF(ISBLANK(IFERROR(INDEX('2-3 引出列表'!$A$2:$CE$8700,$A232,MATCH(E$1,'2-3 引出列表'!$A$1:$CD$1,0)),"")),"",IFERROR(INDEX('2-3 引出列表'!$A$2:$CE$8700,$A232,MATCH(E$1,'2-3 引出列表'!$A$1:$CD$1,0)),""))</f>
        <v>2025-07-28</v>
      </c>
      <c r="F232" s="30" t="str">
        <f t="shared" si="3"/>
        <v>2025-07</v>
      </c>
      <c r="G232" t="str">
        <f>IF(ISBLANK(IFERROR(INDEX('2-3 引出列表'!$A$2:$CE$8700,$A232,MATCH(G$1,'2-3 引出列表'!$A$1:$CD$1,0)),"")),"",IFERROR(INDEX('2-3 引出列表'!$A$2:$CE$8700,$A232,MATCH(G$1,'2-3 引出列表'!$A$1:$CD$1,0)),""))</f>
        <v>人工费用.宿舍费</v>
      </c>
      <c r="H232" t="str">
        <f>IF(ISBLANK(IFERROR(INDEX('2-3 引出列表'!$A$2:$CE$8700,$A232,MATCH(H$1,'2-3 引出列表'!$A$1:$CD$1,0)),"")),"",IFERROR(INDEX('2-3 引出列表'!$A$2:$CE$8700,$A232,MATCH(H$1,'2-3 引出列表'!$A$1:$CD$1,0)),""))</f>
        <v>FWL-Z-2024-0942</v>
      </c>
      <c r="I232">
        <f>IF(ISBLANK(IFERROR(INDEX('2-3 引出列表'!$A$2:$CE$8700,$A232,MATCH(I$1,'2-3 引出列表'!$A$1:$CD$1,0)),"")),"",IFERROR(INDEX('2-3 引出列表'!$A$2:$CE$8700,$A232,MATCH(I$1,'2-3 引出列表'!$A$1:$CD$1,0)),""))</f>
        <v>0</v>
      </c>
    </row>
    <row r="233" spans="1:9">
      <c r="A233">
        <v>232</v>
      </c>
      <c r="B233">
        <f>IF(ISBLANK(IFERROR(INDEX('2-3 引出列表'!$A$2:$CE$8700,$A233,MATCH(B$1,'2-3 引出列表'!$A$1:$CD$1,0)),"")),"",IFERROR(INDEX('2-3 引出列表'!$A$2:$CE$8700,$A233,MATCH(B$1,'2-3 引出列表'!$A$1:$CD$1,0)),""))</f>
        <v>0</v>
      </c>
      <c r="C233">
        <f>IF(ISBLANK(IFERROR(INDEX('2-3 引出列表'!$A$2:$CE$8700,$A233,MATCH(C$1,'2-3 引出列表'!$A$1:$CD$1,0)),"")),"",IFERROR(INDEX('2-3 引出列表'!$A$2:$CE$8700,$A233,MATCH(C$1,'2-3 引出列表'!$A$1:$CD$1,0)),""))</f>
        <v>7970</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2025-07-24</v>
      </c>
      <c r="F233" s="30" t="str">
        <f t="shared" si="3"/>
        <v>2025-07</v>
      </c>
      <c r="G233" t="str">
        <f>IF(ISBLANK(IFERROR(INDEX('2-3 引出列表'!$A$2:$CE$8700,$A233,MATCH(G$1,'2-3 引出列表'!$A$1:$CD$1,0)),"")),"",IFERROR(INDEX('2-3 引出列表'!$A$2:$CE$8700,$A233,MATCH(G$1,'2-3 引出列表'!$A$1:$CD$1,0)),""))</f>
        <v>人工费用.宿舍费</v>
      </c>
      <c r="H233" t="str">
        <f>IF(ISBLANK(IFERROR(INDEX('2-3 引出列表'!$A$2:$CE$8700,$A233,MATCH(H$1,'2-3 引出列表'!$A$1:$CD$1,0)),"")),"",IFERROR(INDEX('2-3 引出列表'!$A$2:$CE$8700,$A233,MATCH(H$1,'2-3 引出列表'!$A$1:$CD$1,0)),""))</f>
        <v>FWL-Z-2025-00269</v>
      </c>
      <c r="I233">
        <f>IF(ISBLANK(IFERROR(INDEX('2-3 引出列表'!$A$2:$CE$8700,$A233,MATCH(I$1,'2-3 引出列表'!$A$1:$CD$1,0)),"")),"",IFERROR(INDEX('2-3 引出列表'!$A$2:$CE$8700,$A233,MATCH(I$1,'2-3 引出列表'!$A$1:$CD$1,0)),""))</f>
        <v>0</v>
      </c>
    </row>
    <row r="234" spans="1:9">
      <c r="A234">
        <v>233</v>
      </c>
      <c r="B234" t="str">
        <f>IF(ISBLANK(IFERROR(INDEX('2-3 引出列表'!$A$2:$CE$8700,$A234,MATCH(B$1,'2-3 引出列表'!$A$1:$CD$1,0)),"")),"",IFERROR(INDEX('2-3 引出列表'!$A$2:$CE$8700,$A234,MATCH(B$1,'2-3 引出列表'!$A$1:$CD$1,0)),""))</f>
        <v>FK250723000315</v>
      </c>
      <c r="C234">
        <f>IF(ISBLANK(IFERROR(INDEX('2-3 引出列表'!$A$2:$CE$8700,$A234,MATCH(C$1,'2-3 引出列表'!$A$1:$CD$1,0)),"")),"",IFERROR(INDEX('2-3 引出列表'!$A$2:$CE$8700,$A234,MATCH(C$1,'2-3 引出列表'!$A$1:$CD$1,0)),""))</f>
        <v>4666.66</v>
      </c>
      <c r="D234" t="str">
        <f>IF(ISBLANK(IFERROR(INDEX('2-3 引出列表'!$A$2:$CE$8700,$A234,MATCH(D$1,'2-3 引出列表'!$A$1:$CD$1,0)),"")),"",IFERROR(INDEX('2-3 引出列表'!$A$2:$CE$8700,$A234,MATCH(D$1,'2-3 引出列表'!$A$1:$CD$1,0)),""))</f>
        <v>已提交</v>
      </c>
      <c r="E234" t="str">
        <f>IF(ISBLANK(IFERROR(INDEX('2-3 引出列表'!$A$2:$CE$8700,$A234,MATCH(E$1,'2-3 引出列表'!$A$1:$CD$1,0)),"")),"",IFERROR(INDEX('2-3 引出列表'!$A$2:$CE$8700,$A234,MATCH(E$1,'2-3 引出列表'!$A$1:$CD$1,0)),""))</f>
        <v>2025-07-23</v>
      </c>
      <c r="F234" s="30" t="str">
        <f t="shared" si="3"/>
        <v>2025-07</v>
      </c>
      <c r="G234" t="str">
        <f>IF(ISBLANK(IFERROR(INDEX('2-3 引出列表'!$A$2:$CE$8700,$A234,MATCH(G$1,'2-3 引出列表'!$A$1:$CD$1,0)),"")),"",IFERROR(INDEX('2-3 引出列表'!$A$2:$CE$8700,$A234,MATCH(G$1,'2-3 引出列表'!$A$1:$CD$1,0)),""))</f>
        <v>外包服务费.保洁外包</v>
      </c>
      <c r="H234" t="str">
        <f>IF(ISBLANK(IFERROR(INDEX('2-3 引出列表'!$A$2:$CE$8700,$A234,MATCH(H$1,'2-3 引出列表'!$A$1:$CD$1,0)),"")),"",IFERROR(INDEX('2-3 引出列表'!$A$2:$CE$8700,$A234,MATCH(H$1,'2-3 引出列表'!$A$1:$CD$1,0)),""))</f>
        <v>GCFW-Z-2025-01302</v>
      </c>
      <c r="I234" t="str">
        <f>IF(ISBLANK(IFERROR(INDEX('2-3 引出列表'!$A$2:$CE$8700,$A234,MATCH(I$1,'2-3 引出列表'!$A$1:$CD$1,0)),"")),"",IFERROR(INDEX('2-3 引出列表'!$A$2:$CE$8700,$A234,MATCH(I$1,'2-3 引出列表'!$A$1:$CD$1,0)),""))</f>
        <v>金采易购</v>
      </c>
    </row>
    <row r="235" spans="1:9">
      <c r="A235">
        <v>234</v>
      </c>
      <c r="B235" t="str">
        <f>IF(ISBLANK(IFERROR(INDEX('2-3 引出列表'!$A$2:$CE$8700,$A235,MATCH(B$1,'2-3 引出列表'!$A$1:$CD$1,0)),"")),"",IFERROR(INDEX('2-3 引出列表'!$A$2:$CE$8700,$A235,MATCH(B$1,'2-3 引出列表'!$A$1:$CD$1,0)),""))</f>
        <v>FK250722000405</v>
      </c>
      <c r="C235">
        <f>IF(ISBLANK(IFERROR(INDEX('2-3 引出列表'!$A$2:$CE$8700,$A235,MATCH(C$1,'2-3 引出列表'!$A$1:$CD$1,0)),"")),"",IFERROR(INDEX('2-3 引出列表'!$A$2:$CE$8700,$A235,MATCH(C$1,'2-3 引出列表'!$A$1:$CD$1,0)),""))</f>
        <v>6810</v>
      </c>
      <c r="D235" t="str">
        <f>IF(ISBLANK(IFERROR(INDEX('2-3 引出列表'!$A$2:$CE$8700,$A235,MATCH(D$1,'2-3 引出列表'!$A$1:$CD$1,0)),"")),"",IFERROR(INDEX('2-3 引出列表'!$A$2:$CE$8700,$A235,MATCH(D$1,'2-3 引出列表'!$A$1:$CD$1,0)),""))</f>
        <v>已提交</v>
      </c>
      <c r="E235" t="str">
        <f>IF(ISBLANK(IFERROR(INDEX('2-3 引出列表'!$A$2:$CE$8700,$A235,MATCH(E$1,'2-3 引出列表'!$A$1:$CD$1,0)),"")),"",IFERROR(INDEX('2-3 引出列表'!$A$2:$CE$8700,$A235,MATCH(E$1,'2-3 引出列表'!$A$1:$CD$1,0)),""))</f>
        <v>2025-07-22</v>
      </c>
      <c r="F235" s="30" t="str">
        <f t="shared" si="3"/>
        <v>2025-07</v>
      </c>
      <c r="G235" t="str">
        <f>IF(ISBLANK(IFERROR(INDEX('2-3 引出列表'!$A$2:$CE$8700,$A235,MATCH(G$1,'2-3 引出列表'!$A$1:$CD$1,0)),"")),"",IFERROR(INDEX('2-3 引出列表'!$A$2:$CE$8700,$A235,MATCH(G$1,'2-3 引出列表'!$A$1:$CD$1,0)),""))</f>
        <v>外包服务费.其他外包费</v>
      </c>
      <c r="H235" t="str">
        <f>IF(ISBLANK(IFERROR(INDEX('2-3 引出列表'!$A$2:$CE$8700,$A235,MATCH(H$1,'2-3 引出列表'!$A$1:$CD$1,0)),"")),"",IFERROR(INDEX('2-3 引出列表'!$A$2:$CE$8700,$A235,MATCH(H$1,'2-3 引出列表'!$A$1:$CD$1,0)),""))</f>
        <v>QTFW-Z-2025-00040</v>
      </c>
      <c r="I235" t="str">
        <f>IF(ISBLANK(IFERROR(INDEX('2-3 引出列表'!$A$2:$CE$8700,$A235,MATCH(I$1,'2-3 引出列表'!$A$1:$CD$1,0)),"")),"",IFERROR(INDEX('2-3 引出列表'!$A$2:$CE$8700,$A235,MATCH(I$1,'2-3 引出列表'!$A$1:$CD$1,0)),""))</f>
        <v>金采易购</v>
      </c>
    </row>
    <row r="236" spans="1:9">
      <c r="A236">
        <v>235</v>
      </c>
      <c r="B236" t="str">
        <f>IF(ISBLANK(IFERROR(INDEX('2-3 引出列表'!$A$2:$CE$8700,$A236,MATCH(B$1,'2-3 引出列表'!$A$1:$CD$1,0)),"")),"",IFERROR(INDEX('2-3 引出列表'!$A$2:$CE$8700,$A236,MATCH(B$1,'2-3 引出列表'!$A$1:$CD$1,0)),""))</f>
        <v>FK250722000388</v>
      </c>
      <c r="C236">
        <f>IF(ISBLANK(IFERROR(INDEX('2-3 引出列表'!$A$2:$CE$8700,$A236,MATCH(C$1,'2-3 引出列表'!$A$1:$CD$1,0)),"")),"",IFERROR(INDEX('2-3 引出列表'!$A$2:$CE$8700,$A236,MATCH(C$1,'2-3 引出列表'!$A$1:$CD$1,0)),""))</f>
        <v>5365.79</v>
      </c>
      <c r="D236" t="str">
        <f>IF(ISBLANK(IFERROR(INDEX('2-3 引出列表'!$A$2:$CE$8700,$A236,MATCH(D$1,'2-3 引出列表'!$A$1:$CD$1,0)),"")),"",IFERROR(INDEX('2-3 引出列表'!$A$2:$CE$8700,$A236,MATCH(D$1,'2-3 引出列表'!$A$1:$CD$1,0)),""))</f>
        <v>已提交</v>
      </c>
      <c r="E236" t="str">
        <f>IF(ISBLANK(IFERROR(INDEX('2-3 引出列表'!$A$2:$CE$8700,$A236,MATCH(E$1,'2-3 引出列表'!$A$1:$CD$1,0)),"")),"",IFERROR(INDEX('2-3 引出列表'!$A$2:$CE$8700,$A236,MATCH(E$1,'2-3 引出列表'!$A$1:$CD$1,0)),""))</f>
        <v>2025-07-22</v>
      </c>
      <c r="F236" s="30" t="str">
        <f t="shared" si="3"/>
        <v>2025-07</v>
      </c>
      <c r="G236" t="str">
        <f>IF(ISBLANK(IFERROR(INDEX('2-3 引出列表'!$A$2:$CE$8700,$A236,MATCH(G$1,'2-3 引出列表'!$A$1:$CD$1,0)),"")),"",IFERROR(INDEX('2-3 引出列表'!$A$2:$CE$8700,$A236,MATCH(G$1,'2-3 引出列表'!$A$1:$CD$1,0)),""))</f>
        <v>外包服务费.工程施工外包</v>
      </c>
      <c r="H236" t="str">
        <f>IF(ISBLANK(IFERROR(INDEX('2-3 引出列表'!$A$2:$CE$8700,$A236,MATCH(H$1,'2-3 引出列表'!$A$1:$CD$1,0)),"")),"",IFERROR(INDEX('2-3 引出列表'!$A$2:$CE$8700,$A236,MATCH(H$1,'2-3 引出列表'!$A$1:$CD$1,0)),""))</f>
        <v>GCFW-Z-2025-00804</v>
      </c>
      <c r="I236" t="str">
        <f>IF(ISBLANK(IFERROR(INDEX('2-3 引出列表'!$A$2:$CE$8700,$A236,MATCH(I$1,'2-3 引出列表'!$A$1:$CD$1,0)),"")),"",IFERROR(INDEX('2-3 引出列表'!$A$2:$CE$8700,$A236,MATCH(I$1,'2-3 引出列表'!$A$1:$CD$1,0)),""))</f>
        <v>金采易购</v>
      </c>
    </row>
    <row r="237" spans="1:9">
      <c r="A237">
        <v>236</v>
      </c>
      <c r="B237" t="str">
        <f>IF(ISBLANK(IFERROR(INDEX('2-3 引出列表'!$A$2:$CE$8700,$A237,MATCH(B$1,'2-3 引出列表'!$A$1:$CD$1,0)),"")),"",IFERROR(INDEX('2-3 引出列表'!$A$2:$CE$8700,$A237,MATCH(B$1,'2-3 引出列表'!$A$1:$CD$1,0)),""))</f>
        <v>FK250604000161</v>
      </c>
      <c r="C237">
        <f>IF(ISBLANK(IFERROR(INDEX('2-3 引出列表'!$A$2:$CE$8700,$A237,MATCH(C$1,'2-3 引出列表'!$A$1:$CD$1,0)),"")),"",IFERROR(INDEX('2-3 引出列表'!$A$2:$CE$8700,$A237,MATCH(C$1,'2-3 引出列表'!$A$1:$CD$1,0)),""))</f>
        <v>484468.13</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2025-07-18</v>
      </c>
      <c r="F237" s="30" t="str">
        <f t="shared" si="3"/>
        <v>2025-07</v>
      </c>
      <c r="G237" t="str">
        <f>IF(ISBLANK(IFERROR(INDEX('2-3 引出列表'!$A$2:$CE$8700,$A237,MATCH(G$1,'2-3 引出列表'!$A$1:$CD$1,0)),"")),"",IFERROR(INDEX('2-3 引出列表'!$A$2:$CE$8700,$A237,MATCH(G$1,'2-3 引出列表'!$A$1:$CD$1,0)),""))</f>
        <v>外包服务费.保洁外包</v>
      </c>
      <c r="H237" t="str">
        <f>IF(ISBLANK(IFERROR(INDEX('2-3 引出列表'!$A$2:$CE$8700,$A237,MATCH(H$1,'2-3 引出列表'!$A$1:$CD$1,0)),"")),"",IFERROR(INDEX('2-3 引出列表'!$A$2:$CE$8700,$A237,MATCH(H$1,'2-3 引出列表'!$A$1:$CD$1,0)),""))</f>
        <v>HJFW-Z-2025-00673</v>
      </c>
      <c r="I237" t="str">
        <f>IF(ISBLANK(IFERROR(INDEX('2-3 引出列表'!$A$2:$CE$8700,$A237,MATCH(I$1,'2-3 引出列表'!$A$1:$CD$1,0)),"")),"",IFERROR(INDEX('2-3 引出列表'!$A$2:$CE$8700,$A237,MATCH(I$1,'2-3 引出列表'!$A$1:$CD$1,0)),""))</f>
        <v>金采易购</v>
      </c>
    </row>
    <row r="238" spans="1:9">
      <c r="A238">
        <v>237</v>
      </c>
      <c r="B238" t="str">
        <f>IF(ISBLANK(IFERROR(INDEX('2-3 引出列表'!$A$2:$CE$8700,$A238,MATCH(B$1,'2-3 引出列表'!$A$1:$CD$1,0)),"")),"",IFERROR(INDEX('2-3 引出列表'!$A$2:$CE$8700,$A238,MATCH(B$1,'2-3 引出列表'!$A$1:$CD$1,0)),""))</f>
        <v>FK250523000211</v>
      </c>
      <c r="C238">
        <f>IF(ISBLANK(IFERROR(INDEX('2-3 引出列表'!$A$2:$CE$8700,$A238,MATCH(C$1,'2-3 引出列表'!$A$1:$CD$1,0)),"")),"",IFERROR(INDEX('2-3 引出列表'!$A$2:$CE$8700,$A238,MATCH(C$1,'2-3 引出列表'!$A$1:$CD$1,0)),""))</f>
        <v>484468.13</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2025-07-18</v>
      </c>
      <c r="F238" s="30" t="str">
        <f t="shared" si="3"/>
        <v>2025-07</v>
      </c>
      <c r="G238" t="str">
        <f>IF(ISBLANK(IFERROR(INDEX('2-3 引出列表'!$A$2:$CE$8700,$A238,MATCH(G$1,'2-3 引出列表'!$A$1:$CD$1,0)),"")),"",IFERROR(INDEX('2-3 引出列表'!$A$2:$CE$8700,$A238,MATCH(G$1,'2-3 引出列表'!$A$1:$CD$1,0)),""))</f>
        <v>外包服务费.保洁外包</v>
      </c>
      <c r="H238" t="str">
        <f>IF(ISBLANK(IFERROR(INDEX('2-3 引出列表'!$A$2:$CE$8700,$A238,MATCH(H$1,'2-3 引出列表'!$A$1:$CD$1,0)),"")),"",IFERROR(INDEX('2-3 引出列表'!$A$2:$CE$8700,$A238,MATCH(H$1,'2-3 引出列表'!$A$1:$CD$1,0)),""))</f>
        <v>HJFW-Z-2025-00673</v>
      </c>
      <c r="I238" t="str">
        <f>IF(ISBLANK(IFERROR(INDEX('2-3 引出列表'!$A$2:$CE$8700,$A238,MATCH(I$1,'2-3 引出列表'!$A$1:$CD$1,0)),"")),"",IFERROR(INDEX('2-3 引出列表'!$A$2:$CE$8700,$A238,MATCH(I$1,'2-3 引出列表'!$A$1:$CD$1,0)),""))</f>
        <v>金采易购</v>
      </c>
    </row>
    <row r="239" spans="1:9">
      <c r="A239">
        <v>238</v>
      </c>
      <c r="B239">
        <f>IF(ISBLANK(IFERROR(INDEX('2-3 引出列表'!$A$2:$CE$8700,$A239,MATCH(B$1,'2-3 引出列表'!$A$1:$CD$1,0)),"")),"",IFERROR(INDEX('2-3 引出列表'!$A$2:$CE$8700,$A239,MATCH(B$1,'2-3 引出列表'!$A$1:$CD$1,0)),""))</f>
        <v>0</v>
      </c>
      <c r="C239">
        <f>IF(ISBLANK(IFERROR(INDEX('2-3 引出列表'!$A$2:$CE$8700,$A239,MATCH(C$1,'2-3 引出列表'!$A$1:$CD$1,0)),"")),"",IFERROR(INDEX('2-3 引出列表'!$A$2:$CE$8700,$A239,MATCH(C$1,'2-3 引出列表'!$A$1:$CD$1,0)),""))</f>
        <v>1400</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2025-07-16</v>
      </c>
      <c r="F239" s="30" t="str">
        <f t="shared" si="3"/>
        <v>2025-07</v>
      </c>
      <c r="G239" t="str">
        <f>IF(ISBLANK(IFERROR(INDEX('2-3 引出列表'!$A$2:$CE$8700,$A239,MATCH(G$1,'2-3 引出列表'!$A$1:$CD$1,0)),"")),"",IFERROR(INDEX('2-3 引出列表'!$A$2:$CE$8700,$A239,MATCH(G$1,'2-3 引出列表'!$A$1:$CD$1,0)),""))</f>
        <v>人工费用.宿舍费</v>
      </c>
      <c r="H239" t="str">
        <f>IF(ISBLANK(IFERROR(INDEX('2-3 引出列表'!$A$2:$CE$8700,$A239,MATCH(H$1,'2-3 引出列表'!$A$1:$CD$1,0)),"")),"",IFERROR(INDEX('2-3 引出列表'!$A$2:$CE$8700,$A239,MATCH(H$1,'2-3 引出列表'!$A$1:$CD$1,0)),""))</f>
        <v>FWL-Z-2025-00233</v>
      </c>
      <c r="I239">
        <f>IF(ISBLANK(IFERROR(INDEX('2-3 引出列表'!$A$2:$CE$8700,$A239,MATCH(I$1,'2-3 引出列表'!$A$1:$CD$1,0)),"")),"",IFERROR(INDEX('2-3 引出列表'!$A$2:$CE$8700,$A239,MATCH(I$1,'2-3 引出列表'!$A$1:$CD$1,0)),""))</f>
        <v>0</v>
      </c>
    </row>
    <row r="240" spans="1:9">
      <c r="A240">
        <v>239</v>
      </c>
      <c r="B240">
        <f>IF(ISBLANK(IFERROR(INDEX('2-3 引出列表'!$A$2:$CE$8700,$A240,MATCH(B$1,'2-3 引出列表'!$A$1:$CD$1,0)),"")),"",IFERROR(INDEX('2-3 引出列表'!$A$2:$CE$8700,$A240,MATCH(B$1,'2-3 引出列表'!$A$1:$CD$1,0)),""))</f>
        <v>0</v>
      </c>
      <c r="C240">
        <f>IF(ISBLANK(IFERROR(INDEX('2-3 引出列表'!$A$2:$CE$8700,$A240,MATCH(C$1,'2-3 引出列表'!$A$1:$CD$1,0)),"")),"",IFERROR(INDEX('2-3 引出列表'!$A$2:$CE$8700,$A240,MATCH(C$1,'2-3 引出列表'!$A$1:$CD$1,0)),""))</f>
        <v>31358</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2025-07-16</v>
      </c>
      <c r="F240" s="30" t="str">
        <f t="shared" si="3"/>
        <v>2025-07</v>
      </c>
      <c r="G240" t="str">
        <f>IF(ISBLANK(IFERROR(INDEX('2-3 引出列表'!$A$2:$CE$8700,$A240,MATCH(G$1,'2-3 引出列表'!$A$1:$CD$1,0)),"")),"",IFERROR(INDEX('2-3 引出列表'!$A$2:$CE$8700,$A240,MATCH(G$1,'2-3 引出列表'!$A$1:$CD$1,0)),""))</f>
        <v>人工费用.宿舍费</v>
      </c>
      <c r="H240" t="str">
        <f>IF(ISBLANK(IFERROR(INDEX('2-3 引出列表'!$A$2:$CE$8700,$A240,MATCH(H$1,'2-3 引出列表'!$A$1:$CD$1,0)),"")),"",IFERROR(INDEX('2-3 引出列表'!$A$2:$CE$8700,$A240,MATCH(H$1,'2-3 引出列表'!$A$1:$CD$1,0)),""))</f>
        <v>FWL-Z-2024-0942</v>
      </c>
      <c r="I240">
        <f>IF(ISBLANK(IFERROR(INDEX('2-3 引出列表'!$A$2:$CE$8700,$A240,MATCH(I$1,'2-3 引出列表'!$A$1:$CD$1,0)),"")),"",IFERROR(INDEX('2-3 引出列表'!$A$2:$CE$8700,$A240,MATCH(I$1,'2-3 引出列表'!$A$1:$CD$1,0)),""))</f>
        <v>0</v>
      </c>
    </row>
    <row r="241" spans="1:9">
      <c r="A241">
        <v>240</v>
      </c>
      <c r="B241">
        <f>IF(ISBLANK(IFERROR(INDEX('2-3 引出列表'!$A$2:$CE$8700,$A241,MATCH(B$1,'2-3 引出列表'!$A$1:$CD$1,0)),"")),"",IFERROR(INDEX('2-3 引出列表'!$A$2:$CE$8700,$A241,MATCH(B$1,'2-3 引出列表'!$A$1:$CD$1,0)),""))</f>
        <v>0</v>
      </c>
      <c r="C241">
        <f>IF(ISBLANK(IFERROR(INDEX('2-3 引出列表'!$A$2:$CE$8700,$A241,MATCH(C$1,'2-3 引出列表'!$A$1:$CD$1,0)),"")),"",IFERROR(INDEX('2-3 引出列表'!$A$2:$CE$8700,$A241,MATCH(C$1,'2-3 引出列表'!$A$1:$CD$1,0)),""))</f>
        <v>1800</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2025-07-16</v>
      </c>
      <c r="F241" s="30" t="str">
        <f t="shared" si="3"/>
        <v>2025-07</v>
      </c>
      <c r="G241" t="str">
        <f>IF(ISBLANK(IFERROR(INDEX('2-3 引出列表'!$A$2:$CE$8700,$A241,MATCH(G$1,'2-3 引出列表'!$A$1:$CD$1,0)),"")),"",IFERROR(INDEX('2-3 引出列表'!$A$2:$CE$8700,$A241,MATCH(G$1,'2-3 引出列表'!$A$1:$CD$1,0)),""))</f>
        <v>人工费用.宿舍费</v>
      </c>
      <c r="H241" t="str">
        <f>IF(ISBLANK(IFERROR(INDEX('2-3 引出列表'!$A$2:$CE$8700,$A241,MATCH(H$1,'2-3 引出列表'!$A$1:$CD$1,0)),"")),"",IFERROR(INDEX('2-3 引出列表'!$A$2:$CE$8700,$A241,MATCH(H$1,'2-3 引出列表'!$A$1:$CD$1,0)),""))</f>
        <v>FWL-Z-2024-0944</v>
      </c>
      <c r="I241">
        <f>IF(ISBLANK(IFERROR(INDEX('2-3 引出列表'!$A$2:$CE$8700,$A241,MATCH(I$1,'2-3 引出列表'!$A$1:$CD$1,0)),"")),"",IFERROR(INDEX('2-3 引出列表'!$A$2:$CE$8700,$A241,MATCH(I$1,'2-3 引出列表'!$A$1:$CD$1,0)),""))</f>
        <v>0</v>
      </c>
    </row>
    <row r="242" spans="1:9">
      <c r="A242">
        <v>241</v>
      </c>
      <c r="B242" t="str">
        <f>IF(ISBLANK(IFERROR(INDEX('2-3 引出列表'!$A$2:$CE$8700,$A242,MATCH(B$1,'2-3 引出列表'!$A$1:$CD$1,0)),"")),"",IFERROR(INDEX('2-3 引出列表'!$A$2:$CE$8700,$A242,MATCH(B$1,'2-3 引出列表'!$A$1:$CD$1,0)),""))</f>
        <v>FK250523000511</v>
      </c>
      <c r="C242">
        <f>IF(ISBLANK(IFERROR(INDEX('2-3 引出列表'!$A$2:$CE$8700,$A242,MATCH(C$1,'2-3 引出列表'!$A$1:$CD$1,0)),"")),"",IFERROR(INDEX('2-3 引出列表'!$A$2:$CE$8700,$A242,MATCH(C$1,'2-3 引出列表'!$A$1:$CD$1,0)),""))</f>
        <v>484468.13</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2025-07-16</v>
      </c>
      <c r="F242" s="30" t="str">
        <f t="shared" si="3"/>
        <v>2025-07</v>
      </c>
      <c r="G242" t="str">
        <f>IF(ISBLANK(IFERROR(INDEX('2-3 引出列表'!$A$2:$CE$8700,$A242,MATCH(G$1,'2-3 引出列表'!$A$1:$CD$1,0)),"")),"",IFERROR(INDEX('2-3 引出列表'!$A$2:$CE$8700,$A242,MATCH(G$1,'2-3 引出列表'!$A$1:$CD$1,0)),""))</f>
        <v>外包服务费.保洁外包</v>
      </c>
      <c r="H242" t="str">
        <f>IF(ISBLANK(IFERROR(INDEX('2-3 引出列表'!$A$2:$CE$8700,$A242,MATCH(H$1,'2-3 引出列表'!$A$1:$CD$1,0)),"")),"",IFERROR(INDEX('2-3 引出列表'!$A$2:$CE$8700,$A242,MATCH(H$1,'2-3 引出列表'!$A$1:$CD$1,0)),""))</f>
        <v>HJFW-Z-2025-00673</v>
      </c>
      <c r="I242" t="str">
        <f>IF(ISBLANK(IFERROR(INDEX('2-3 引出列表'!$A$2:$CE$8700,$A242,MATCH(I$1,'2-3 引出列表'!$A$1:$CD$1,0)),"")),"",IFERROR(INDEX('2-3 引出列表'!$A$2:$CE$8700,$A242,MATCH(I$1,'2-3 引出列表'!$A$1:$CD$1,0)),""))</f>
        <v>金采易购</v>
      </c>
    </row>
    <row r="243" spans="1:9">
      <c r="A243">
        <v>242</v>
      </c>
      <c r="B243" t="str">
        <f>IF(ISBLANK(IFERROR(INDEX('2-3 引出列表'!$A$2:$CE$8700,$A243,MATCH(B$1,'2-3 引出列表'!$A$1:$CD$1,0)),"")),"",IFERROR(INDEX('2-3 引出列表'!$A$2:$CE$8700,$A243,MATCH(B$1,'2-3 引出列表'!$A$1:$CD$1,0)),""))</f>
        <v>FK250510000216</v>
      </c>
      <c r="C243">
        <f>IF(ISBLANK(IFERROR(INDEX('2-3 引出列表'!$A$2:$CE$8700,$A243,MATCH(C$1,'2-3 引出列表'!$A$1:$CD$1,0)),"")),"",IFERROR(INDEX('2-3 引出列表'!$A$2:$CE$8700,$A243,MATCH(C$1,'2-3 引出列表'!$A$1:$CD$1,0)),""))</f>
        <v>65014</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2025-07-16</v>
      </c>
      <c r="F243" s="30" t="str">
        <f t="shared" si="3"/>
        <v>2025-07</v>
      </c>
      <c r="G243" t="str">
        <f>IF(ISBLANK(IFERROR(INDEX('2-3 引出列表'!$A$2:$CE$8700,$A243,MATCH(G$1,'2-3 引出列表'!$A$1:$CD$1,0)),"")),"",IFERROR(INDEX('2-3 引出列表'!$A$2:$CE$8700,$A243,MATCH(G$1,'2-3 引出列表'!$A$1:$CD$1,0)),""))</f>
        <v>物料消耗.物料消耗</v>
      </c>
      <c r="H243">
        <f>IF(ISBLANK(IFERROR(INDEX('2-3 引出列表'!$A$2:$CE$8700,$A243,MATCH(H$1,'2-3 引出列表'!$A$1:$CD$1,0)),"")),"",IFERROR(INDEX('2-3 引出列表'!$A$2:$CE$8700,$A243,MATCH(H$1,'2-3 引出列表'!$A$1:$CD$1,0)),""))</f>
        <v>0</v>
      </c>
      <c r="I243" t="str">
        <f>IF(ISBLANK(IFERROR(INDEX('2-3 引出列表'!$A$2:$CE$8700,$A243,MATCH(I$1,'2-3 引出列表'!$A$1:$CD$1,0)),"")),"",IFERROR(INDEX('2-3 引出列表'!$A$2:$CE$8700,$A243,MATCH(I$1,'2-3 引出列表'!$A$1:$CD$1,0)),""))</f>
        <v>金采易购</v>
      </c>
    </row>
    <row r="244" spans="1:9">
      <c r="A244">
        <v>243</v>
      </c>
      <c r="B244" t="str">
        <f>IF(ISBLANK(IFERROR(INDEX('2-3 引出列表'!$A$2:$CE$8700,$A244,MATCH(B$1,'2-3 引出列表'!$A$1:$CD$1,0)),"")),"",IFERROR(INDEX('2-3 引出列表'!$A$2:$CE$8700,$A244,MATCH(B$1,'2-3 引出列表'!$A$1:$CD$1,0)),""))</f>
        <v>FK250510000216</v>
      </c>
      <c r="C244">
        <f>IF(ISBLANK(IFERROR(INDEX('2-3 引出列表'!$A$2:$CE$8700,$A244,MATCH(C$1,'2-3 引出列表'!$A$1:$CD$1,0)),"")),"",IFERROR(INDEX('2-3 引出列表'!$A$2:$CE$8700,$A244,MATCH(C$1,'2-3 引出列表'!$A$1:$CD$1,0)),""))</f>
        <v>65014</v>
      </c>
      <c r="D244" t="str">
        <f>IF(ISBLANK(IFERROR(INDEX('2-3 引出列表'!$A$2:$CE$8700,$A244,MATCH(D$1,'2-3 引出列表'!$A$1:$CD$1,0)),"")),"",IFERROR(INDEX('2-3 引出列表'!$A$2:$CE$8700,$A244,MATCH(D$1,'2-3 引出列表'!$A$1:$CD$1,0)),""))</f>
        <v>已付款</v>
      </c>
      <c r="E244" t="str">
        <f>IF(ISBLANK(IFERROR(INDEX('2-3 引出列表'!$A$2:$CE$8700,$A244,MATCH(E$1,'2-3 引出列表'!$A$1:$CD$1,0)),"")),"",IFERROR(INDEX('2-3 引出列表'!$A$2:$CE$8700,$A244,MATCH(E$1,'2-3 引出列表'!$A$1:$CD$1,0)),""))</f>
        <v>2025-07-16</v>
      </c>
      <c r="F244" s="30" t="str">
        <f t="shared" si="3"/>
        <v>2025-07</v>
      </c>
      <c r="G244" t="str">
        <f>IF(ISBLANK(IFERROR(INDEX('2-3 引出列表'!$A$2:$CE$8700,$A244,MATCH(G$1,'2-3 引出列表'!$A$1:$CD$1,0)),"")),"",IFERROR(INDEX('2-3 引出列表'!$A$2:$CE$8700,$A244,MATCH(G$1,'2-3 引出列表'!$A$1:$CD$1,0)),""))</f>
        <v>物料消耗.物料消耗</v>
      </c>
      <c r="H244">
        <f>IF(ISBLANK(IFERROR(INDEX('2-3 引出列表'!$A$2:$CE$8700,$A244,MATCH(H$1,'2-3 引出列表'!$A$1:$CD$1,0)),"")),"",IFERROR(INDEX('2-3 引出列表'!$A$2:$CE$8700,$A244,MATCH(H$1,'2-3 引出列表'!$A$1:$CD$1,0)),""))</f>
        <v>0</v>
      </c>
      <c r="I244" t="str">
        <f>IF(ISBLANK(IFERROR(INDEX('2-3 引出列表'!$A$2:$CE$8700,$A244,MATCH(I$1,'2-3 引出列表'!$A$1:$CD$1,0)),"")),"",IFERROR(INDEX('2-3 引出列表'!$A$2:$CE$8700,$A244,MATCH(I$1,'2-3 引出列表'!$A$1:$CD$1,0)),""))</f>
        <v>金采易购</v>
      </c>
    </row>
    <row r="245" spans="1:9">
      <c r="A245">
        <v>244</v>
      </c>
      <c r="B245" t="str">
        <f>IF(ISBLANK(IFERROR(INDEX('2-3 引出列表'!$A$2:$CE$8700,$A245,MATCH(B$1,'2-3 引出列表'!$A$1:$CD$1,0)),"")),"",IFERROR(INDEX('2-3 引出列表'!$A$2:$CE$8700,$A245,MATCH(B$1,'2-3 引出列表'!$A$1:$CD$1,0)),""))</f>
        <v>FK250510000216</v>
      </c>
      <c r="C245">
        <f>IF(ISBLANK(IFERROR(INDEX('2-3 引出列表'!$A$2:$CE$8700,$A245,MATCH(C$1,'2-3 引出列表'!$A$1:$CD$1,0)),"")),"",IFERROR(INDEX('2-3 引出列表'!$A$2:$CE$8700,$A245,MATCH(C$1,'2-3 引出列表'!$A$1:$CD$1,0)),""))</f>
        <v>65014</v>
      </c>
      <c r="D245" t="str">
        <f>IF(ISBLANK(IFERROR(INDEX('2-3 引出列表'!$A$2:$CE$8700,$A245,MATCH(D$1,'2-3 引出列表'!$A$1:$CD$1,0)),"")),"",IFERROR(INDEX('2-3 引出列表'!$A$2:$CE$8700,$A245,MATCH(D$1,'2-3 引出列表'!$A$1:$CD$1,0)),""))</f>
        <v>已付款</v>
      </c>
      <c r="E245" t="str">
        <f>IF(ISBLANK(IFERROR(INDEX('2-3 引出列表'!$A$2:$CE$8700,$A245,MATCH(E$1,'2-3 引出列表'!$A$1:$CD$1,0)),"")),"",IFERROR(INDEX('2-3 引出列表'!$A$2:$CE$8700,$A245,MATCH(E$1,'2-3 引出列表'!$A$1:$CD$1,0)),""))</f>
        <v>2025-07-16</v>
      </c>
      <c r="F245" s="30" t="str">
        <f t="shared" si="3"/>
        <v>2025-07</v>
      </c>
      <c r="G245" t="str">
        <f>IF(ISBLANK(IFERROR(INDEX('2-3 引出列表'!$A$2:$CE$8700,$A245,MATCH(G$1,'2-3 引出列表'!$A$1:$CD$1,0)),"")),"",IFERROR(INDEX('2-3 引出列表'!$A$2:$CE$8700,$A245,MATCH(G$1,'2-3 引出列表'!$A$1:$CD$1,0)),""))</f>
        <v>物料消耗.物料消耗</v>
      </c>
      <c r="H245">
        <f>IF(ISBLANK(IFERROR(INDEX('2-3 引出列表'!$A$2:$CE$8700,$A245,MATCH(H$1,'2-3 引出列表'!$A$1:$CD$1,0)),"")),"",IFERROR(INDEX('2-3 引出列表'!$A$2:$CE$8700,$A245,MATCH(H$1,'2-3 引出列表'!$A$1:$CD$1,0)),""))</f>
        <v>0</v>
      </c>
      <c r="I245" t="str">
        <f>IF(ISBLANK(IFERROR(INDEX('2-3 引出列表'!$A$2:$CE$8700,$A245,MATCH(I$1,'2-3 引出列表'!$A$1:$CD$1,0)),"")),"",IFERROR(INDEX('2-3 引出列表'!$A$2:$CE$8700,$A245,MATCH(I$1,'2-3 引出列表'!$A$1:$CD$1,0)),""))</f>
        <v>金采易购</v>
      </c>
    </row>
    <row r="246" spans="1:9">
      <c r="A246">
        <v>245</v>
      </c>
      <c r="B246" t="str">
        <f>IF(ISBLANK(IFERROR(INDEX('2-3 引出列表'!$A$2:$CE$8700,$A246,MATCH(B$1,'2-3 引出列表'!$A$1:$CD$1,0)),"")),"",IFERROR(INDEX('2-3 引出列表'!$A$2:$CE$8700,$A246,MATCH(B$1,'2-3 引出列表'!$A$1:$CD$1,0)),""))</f>
        <v>FK250510000216</v>
      </c>
      <c r="C246">
        <f>IF(ISBLANK(IFERROR(INDEX('2-3 引出列表'!$A$2:$CE$8700,$A246,MATCH(C$1,'2-3 引出列表'!$A$1:$CD$1,0)),"")),"",IFERROR(INDEX('2-3 引出列表'!$A$2:$CE$8700,$A246,MATCH(C$1,'2-3 引出列表'!$A$1:$CD$1,0)),""))</f>
        <v>65014</v>
      </c>
      <c r="D246" t="str">
        <f>IF(ISBLANK(IFERROR(INDEX('2-3 引出列表'!$A$2:$CE$8700,$A246,MATCH(D$1,'2-3 引出列表'!$A$1:$CD$1,0)),"")),"",IFERROR(INDEX('2-3 引出列表'!$A$2:$CE$8700,$A246,MATCH(D$1,'2-3 引出列表'!$A$1:$CD$1,0)),""))</f>
        <v>已付款</v>
      </c>
      <c r="E246" t="str">
        <f>IF(ISBLANK(IFERROR(INDEX('2-3 引出列表'!$A$2:$CE$8700,$A246,MATCH(E$1,'2-3 引出列表'!$A$1:$CD$1,0)),"")),"",IFERROR(INDEX('2-3 引出列表'!$A$2:$CE$8700,$A246,MATCH(E$1,'2-3 引出列表'!$A$1:$CD$1,0)),""))</f>
        <v>2025-07-16</v>
      </c>
      <c r="F246" s="30" t="str">
        <f t="shared" si="3"/>
        <v>2025-07</v>
      </c>
      <c r="G246" t="str">
        <f>IF(ISBLANK(IFERROR(INDEX('2-3 引出列表'!$A$2:$CE$8700,$A246,MATCH(G$1,'2-3 引出列表'!$A$1:$CD$1,0)),"")),"",IFERROR(INDEX('2-3 引出列表'!$A$2:$CE$8700,$A246,MATCH(G$1,'2-3 引出列表'!$A$1:$CD$1,0)),""))</f>
        <v>物料消耗.物料消耗</v>
      </c>
      <c r="H246">
        <f>IF(ISBLANK(IFERROR(INDEX('2-3 引出列表'!$A$2:$CE$8700,$A246,MATCH(H$1,'2-3 引出列表'!$A$1:$CD$1,0)),"")),"",IFERROR(INDEX('2-3 引出列表'!$A$2:$CE$8700,$A246,MATCH(H$1,'2-3 引出列表'!$A$1:$CD$1,0)),""))</f>
        <v>0</v>
      </c>
      <c r="I246" t="str">
        <f>IF(ISBLANK(IFERROR(INDEX('2-3 引出列表'!$A$2:$CE$8700,$A246,MATCH(I$1,'2-3 引出列表'!$A$1:$CD$1,0)),"")),"",IFERROR(INDEX('2-3 引出列表'!$A$2:$CE$8700,$A246,MATCH(I$1,'2-3 引出列表'!$A$1:$CD$1,0)),""))</f>
        <v>金采易购</v>
      </c>
    </row>
    <row r="247" spans="1:9">
      <c r="A247">
        <v>246</v>
      </c>
      <c r="B247" t="str">
        <f>IF(ISBLANK(IFERROR(INDEX('2-3 引出列表'!$A$2:$CE$8700,$A247,MATCH(B$1,'2-3 引出列表'!$A$1:$CD$1,0)),"")),"",IFERROR(INDEX('2-3 引出列表'!$A$2:$CE$8700,$A247,MATCH(B$1,'2-3 引出列表'!$A$1:$CD$1,0)),""))</f>
        <v>FK250510000216</v>
      </c>
      <c r="C247">
        <f>IF(ISBLANK(IFERROR(INDEX('2-3 引出列表'!$A$2:$CE$8700,$A247,MATCH(C$1,'2-3 引出列表'!$A$1:$CD$1,0)),"")),"",IFERROR(INDEX('2-3 引出列表'!$A$2:$CE$8700,$A247,MATCH(C$1,'2-3 引出列表'!$A$1:$CD$1,0)),""))</f>
        <v>65014</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2025-07-16</v>
      </c>
      <c r="F247" s="30" t="str">
        <f t="shared" si="3"/>
        <v>2025-07</v>
      </c>
      <c r="G247" t="str">
        <f>IF(ISBLANK(IFERROR(INDEX('2-3 引出列表'!$A$2:$CE$8700,$A247,MATCH(G$1,'2-3 引出列表'!$A$1:$CD$1,0)),"")),"",IFERROR(INDEX('2-3 引出列表'!$A$2:$CE$8700,$A247,MATCH(G$1,'2-3 引出列表'!$A$1:$CD$1,0)),""))</f>
        <v>物料消耗.物料消耗</v>
      </c>
      <c r="H247">
        <f>IF(ISBLANK(IFERROR(INDEX('2-3 引出列表'!$A$2:$CE$8700,$A247,MATCH(H$1,'2-3 引出列表'!$A$1:$CD$1,0)),"")),"",IFERROR(INDEX('2-3 引出列表'!$A$2:$CE$8700,$A247,MATCH(H$1,'2-3 引出列表'!$A$1:$CD$1,0)),""))</f>
        <v>0</v>
      </c>
      <c r="I247" t="str">
        <f>IF(ISBLANK(IFERROR(INDEX('2-3 引出列表'!$A$2:$CE$8700,$A247,MATCH(I$1,'2-3 引出列表'!$A$1:$CD$1,0)),"")),"",IFERROR(INDEX('2-3 引出列表'!$A$2:$CE$8700,$A247,MATCH(I$1,'2-3 引出列表'!$A$1:$CD$1,0)),""))</f>
        <v>金采易购</v>
      </c>
    </row>
    <row r="248" spans="1:9">
      <c r="A248">
        <v>247</v>
      </c>
      <c r="B248" t="str">
        <f>IF(ISBLANK(IFERROR(INDEX('2-3 引出列表'!$A$2:$CE$8700,$A248,MATCH(B$1,'2-3 引出列表'!$A$1:$CD$1,0)),"")),"",IFERROR(INDEX('2-3 引出列表'!$A$2:$CE$8700,$A248,MATCH(B$1,'2-3 引出列表'!$A$1:$CD$1,0)),""))</f>
        <v>FK250711000610</v>
      </c>
      <c r="C248">
        <f>IF(ISBLANK(IFERROR(INDEX('2-3 引出列表'!$A$2:$CE$8700,$A248,MATCH(C$1,'2-3 引出列表'!$A$1:$CD$1,0)),"")),"",IFERROR(INDEX('2-3 引出列表'!$A$2:$CE$8700,$A248,MATCH(C$1,'2-3 引出列表'!$A$1:$CD$1,0)),""))</f>
        <v>24000</v>
      </c>
      <c r="D248" t="str">
        <f>IF(ISBLANK(IFERROR(INDEX('2-3 引出列表'!$A$2:$CE$8700,$A248,MATCH(D$1,'2-3 引出列表'!$A$1:$CD$1,0)),"")),"",IFERROR(INDEX('2-3 引出列表'!$A$2:$CE$8700,$A248,MATCH(D$1,'2-3 引出列表'!$A$1:$CD$1,0)),""))</f>
        <v>已提交</v>
      </c>
      <c r="E248" t="str">
        <f>IF(ISBLANK(IFERROR(INDEX('2-3 引出列表'!$A$2:$CE$8700,$A248,MATCH(E$1,'2-3 引出列表'!$A$1:$CD$1,0)),"")),"",IFERROR(INDEX('2-3 引出列表'!$A$2:$CE$8700,$A248,MATCH(E$1,'2-3 引出列表'!$A$1:$CD$1,0)),""))</f>
        <v>2025-07-11</v>
      </c>
      <c r="F248" s="30" t="str">
        <f t="shared" si="3"/>
        <v>2025-07</v>
      </c>
      <c r="G248" t="str">
        <f>IF(ISBLANK(IFERROR(INDEX('2-3 引出列表'!$A$2:$CE$8700,$A248,MATCH(G$1,'2-3 引出列表'!$A$1:$CD$1,0)),"")),"",IFERROR(INDEX('2-3 引出列表'!$A$2:$CE$8700,$A248,MATCH(G$1,'2-3 引出列表'!$A$1:$CD$1,0)),""))</f>
        <v>外包服务费.设备设施维保外包</v>
      </c>
      <c r="H248" t="str">
        <f>IF(ISBLANK(IFERROR(INDEX('2-3 引出列表'!$A$2:$CE$8700,$A248,MATCH(H$1,'2-3 引出列表'!$A$1:$CD$1,0)),"")),"",IFERROR(INDEX('2-3 引出列表'!$A$2:$CE$8700,$A248,MATCH(H$1,'2-3 引出列表'!$A$1:$CD$1,0)),""))</f>
        <v>GCFW-Z-2025-01036</v>
      </c>
      <c r="I248" t="str">
        <f>IF(ISBLANK(IFERROR(INDEX('2-3 引出列表'!$A$2:$CE$8700,$A248,MATCH(I$1,'2-3 引出列表'!$A$1:$CD$1,0)),"")),"",IFERROR(INDEX('2-3 引出列表'!$A$2:$CE$8700,$A248,MATCH(I$1,'2-3 引出列表'!$A$1:$CD$1,0)),""))</f>
        <v>金采易购</v>
      </c>
    </row>
    <row r="249" spans="1:9">
      <c r="A249">
        <v>248</v>
      </c>
      <c r="B249" t="str">
        <f>IF(ISBLANK(IFERROR(INDEX('2-3 引出列表'!$A$2:$CE$8700,$A249,MATCH(B$1,'2-3 引出列表'!$A$1:$CD$1,0)),"")),"",IFERROR(INDEX('2-3 引出列表'!$A$2:$CE$8700,$A249,MATCH(B$1,'2-3 引出列表'!$A$1:$CD$1,0)),""))</f>
        <v>FK250711000610</v>
      </c>
      <c r="C249">
        <f>IF(ISBLANK(IFERROR(INDEX('2-3 引出列表'!$A$2:$CE$8700,$A249,MATCH(C$1,'2-3 引出列表'!$A$1:$CD$1,0)),"")),"",IFERROR(INDEX('2-3 引出列表'!$A$2:$CE$8700,$A249,MATCH(C$1,'2-3 引出列表'!$A$1:$CD$1,0)),""))</f>
        <v>24000</v>
      </c>
      <c r="D249" t="str">
        <f>IF(ISBLANK(IFERROR(INDEX('2-3 引出列表'!$A$2:$CE$8700,$A249,MATCH(D$1,'2-3 引出列表'!$A$1:$CD$1,0)),"")),"",IFERROR(INDEX('2-3 引出列表'!$A$2:$CE$8700,$A249,MATCH(D$1,'2-3 引出列表'!$A$1:$CD$1,0)),""))</f>
        <v>已提交</v>
      </c>
      <c r="E249" t="str">
        <f>IF(ISBLANK(IFERROR(INDEX('2-3 引出列表'!$A$2:$CE$8700,$A249,MATCH(E$1,'2-3 引出列表'!$A$1:$CD$1,0)),"")),"",IFERROR(INDEX('2-3 引出列表'!$A$2:$CE$8700,$A249,MATCH(E$1,'2-3 引出列表'!$A$1:$CD$1,0)),""))</f>
        <v>2025-07-11</v>
      </c>
      <c r="F249" s="30" t="str">
        <f t="shared" si="3"/>
        <v>2025-07</v>
      </c>
      <c r="G249" t="str">
        <f>IF(ISBLANK(IFERROR(INDEX('2-3 引出列表'!$A$2:$CE$8700,$A249,MATCH(G$1,'2-3 引出列表'!$A$1:$CD$1,0)),"")),"",IFERROR(INDEX('2-3 引出列表'!$A$2:$CE$8700,$A249,MATCH(G$1,'2-3 引出列表'!$A$1:$CD$1,0)),""))</f>
        <v>外包服务费.设备设施维保外包</v>
      </c>
      <c r="H249" t="str">
        <f>IF(ISBLANK(IFERROR(INDEX('2-3 引出列表'!$A$2:$CE$8700,$A249,MATCH(H$1,'2-3 引出列表'!$A$1:$CD$1,0)),"")),"",IFERROR(INDEX('2-3 引出列表'!$A$2:$CE$8700,$A249,MATCH(H$1,'2-3 引出列表'!$A$1:$CD$1,0)),""))</f>
        <v>GCFW-Z-2025-01036</v>
      </c>
      <c r="I249" t="str">
        <f>IF(ISBLANK(IFERROR(INDEX('2-3 引出列表'!$A$2:$CE$8700,$A249,MATCH(I$1,'2-3 引出列表'!$A$1:$CD$1,0)),"")),"",IFERROR(INDEX('2-3 引出列表'!$A$2:$CE$8700,$A249,MATCH(I$1,'2-3 引出列表'!$A$1:$CD$1,0)),""))</f>
        <v>金采易购</v>
      </c>
    </row>
    <row r="250" spans="1:9">
      <c r="A250">
        <v>249</v>
      </c>
      <c r="B250" t="str">
        <f>IF(ISBLANK(IFERROR(INDEX('2-3 引出列表'!$A$2:$CE$8700,$A250,MATCH(B$1,'2-3 引出列表'!$A$1:$CD$1,0)),"")),"",IFERROR(INDEX('2-3 引出列表'!$A$2:$CE$8700,$A250,MATCH(B$1,'2-3 引出列表'!$A$1:$CD$1,0)),""))</f>
        <v>FK250711000610</v>
      </c>
      <c r="C250">
        <f>IF(ISBLANK(IFERROR(INDEX('2-3 引出列表'!$A$2:$CE$8700,$A250,MATCH(C$1,'2-3 引出列表'!$A$1:$CD$1,0)),"")),"",IFERROR(INDEX('2-3 引出列表'!$A$2:$CE$8700,$A250,MATCH(C$1,'2-3 引出列表'!$A$1:$CD$1,0)),""))</f>
        <v>24000</v>
      </c>
      <c r="D250" t="str">
        <f>IF(ISBLANK(IFERROR(INDEX('2-3 引出列表'!$A$2:$CE$8700,$A250,MATCH(D$1,'2-3 引出列表'!$A$1:$CD$1,0)),"")),"",IFERROR(INDEX('2-3 引出列表'!$A$2:$CE$8700,$A250,MATCH(D$1,'2-3 引出列表'!$A$1:$CD$1,0)),""))</f>
        <v>已提交</v>
      </c>
      <c r="E250" t="str">
        <f>IF(ISBLANK(IFERROR(INDEX('2-3 引出列表'!$A$2:$CE$8700,$A250,MATCH(E$1,'2-3 引出列表'!$A$1:$CD$1,0)),"")),"",IFERROR(INDEX('2-3 引出列表'!$A$2:$CE$8700,$A250,MATCH(E$1,'2-3 引出列表'!$A$1:$CD$1,0)),""))</f>
        <v>2025-07-11</v>
      </c>
      <c r="F250" s="30" t="str">
        <f t="shared" si="3"/>
        <v>2025-07</v>
      </c>
      <c r="G250" t="str">
        <f>IF(ISBLANK(IFERROR(INDEX('2-3 引出列表'!$A$2:$CE$8700,$A250,MATCH(G$1,'2-3 引出列表'!$A$1:$CD$1,0)),"")),"",IFERROR(INDEX('2-3 引出列表'!$A$2:$CE$8700,$A250,MATCH(G$1,'2-3 引出列表'!$A$1:$CD$1,0)),""))</f>
        <v>外包服务费.设备设施维保外包</v>
      </c>
      <c r="H250" t="str">
        <f>IF(ISBLANK(IFERROR(INDEX('2-3 引出列表'!$A$2:$CE$8700,$A250,MATCH(H$1,'2-3 引出列表'!$A$1:$CD$1,0)),"")),"",IFERROR(INDEX('2-3 引出列表'!$A$2:$CE$8700,$A250,MATCH(H$1,'2-3 引出列表'!$A$1:$CD$1,0)),""))</f>
        <v>GCFW-Z-2025-01036</v>
      </c>
      <c r="I250" t="str">
        <f>IF(ISBLANK(IFERROR(INDEX('2-3 引出列表'!$A$2:$CE$8700,$A250,MATCH(I$1,'2-3 引出列表'!$A$1:$CD$1,0)),"")),"",IFERROR(INDEX('2-3 引出列表'!$A$2:$CE$8700,$A250,MATCH(I$1,'2-3 引出列表'!$A$1:$CD$1,0)),""))</f>
        <v>金采易购</v>
      </c>
    </row>
    <row r="251" spans="1:9">
      <c r="A251">
        <v>250</v>
      </c>
      <c r="B251" t="str">
        <f>IF(ISBLANK(IFERROR(INDEX('2-3 引出列表'!$A$2:$CE$8700,$A251,MATCH(B$1,'2-3 引出列表'!$A$1:$CD$1,0)),"")),"",IFERROR(INDEX('2-3 引出列表'!$A$2:$CE$8700,$A251,MATCH(B$1,'2-3 引出列表'!$A$1:$CD$1,0)),""))</f>
        <v>FK250711000610</v>
      </c>
      <c r="C251">
        <f>IF(ISBLANK(IFERROR(INDEX('2-3 引出列表'!$A$2:$CE$8700,$A251,MATCH(C$1,'2-3 引出列表'!$A$1:$CD$1,0)),"")),"",IFERROR(INDEX('2-3 引出列表'!$A$2:$CE$8700,$A251,MATCH(C$1,'2-3 引出列表'!$A$1:$CD$1,0)),""))</f>
        <v>24000</v>
      </c>
      <c r="D251" t="str">
        <f>IF(ISBLANK(IFERROR(INDEX('2-3 引出列表'!$A$2:$CE$8700,$A251,MATCH(D$1,'2-3 引出列表'!$A$1:$CD$1,0)),"")),"",IFERROR(INDEX('2-3 引出列表'!$A$2:$CE$8700,$A251,MATCH(D$1,'2-3 引出列表'!$A$1:$CD$1,0)),""))</f>
        <v>已提交</v>
      </c>
      <c r="E251" t="str">
        <f>IF(ISBLANK(IFERROR(INDEX('2-3 引出列表'!$A$2:$CE$8700,$A251,MATCH(E$1,'2-3 引出列表'!$A$1:$CD$1,0)),"")),"",IFERROR(INDEX('2-3 引出列表'!$A$2:$CE$8700,$A251,MATCH(E$1,'2-3 引出列表'!$A$1:$CD$1,0)),""))</f>
        <v>2025-07-11</v>
      </c>
      <c r="F251" s="30" t="str">
        <f t="shared" si="3"/>
        <v>2025-07</v>
      </c>
      <c r="G251" t="str">
        <f>IF(ISBLANK(IFERROR(INDEX('2-3 引出列表'!$A$2:$CE$8700,$A251,MATCH(G$1,'2-3 引出列表'!$A$1:$CD$1,0)),"")),"",IFERROR(INDEX('2-3 引出列表'!$A$2:$CE$8700,$A251,MATCH(G$1,'2-3 引出列表'!$A$1:$CD$1,0)),""))</f>
        <v>外包服务费.设备设施维保外包</v>
      </c>
      <c r="H251" t="str">
        <f>IF(ISBLANK(IFERROR(INDEX('2-3 引出列表'!$A$2:$CE$8700,$A251,MATCH(H$1,'2-3 引出列表'!$A$1:$CD$1,0)),"")),"",IFERROR(INDEX('2-3 引出列表'!$A$2:$CE$8700,$A251,MATCH(H$1,'2-3 引出列表'!$A$1:$CD$1,0)),""))</f>
        <v>GCFW-Z-2025-01036</v>
      </c>
      <c r="I251" t="str">
        <f>IF(ISBLANK(IFERROR(INDEX('2-3 引出列表'!$A$2:$CE$8700,$A251,MATCH(I$1,'2-3 引出列表'!$A$1:$CD$1,0)),"")),"",IFERROR(INDEX('2-3 引出列表'!$A$2:$CE$8700,$A251,MATCH(I$1,'2-3 引出列表'!$A$1:$CD$1,0)),""))</f>
        <v>金采易购</v>
      </c>
    </row>
    <row r="252" spans="1:9">
      <c r="A252">
        <v>251</v>
      </c>
      <c r="B252" t="str">
        <f>IF(ISBLANK(IFERROR(INDEX('2-3 引出列表'!$A$2:$CE$8700,$A252,MATCH(B$1,'2-3 引出列表'!$A$1:$CD$1,0)),"")),"",IFERROR(INDEX('2-3 引出列表'!$A$2:$CE$8700,$A252,MATCH(B$1,'2-3 引出列表'!$A$1:$CD$1,0)),""))</f>
        <v>FK250711000610</v>
      </c>
      <c r="C252">
        <f>IF(ISBLANK(IFERROR(INDEX('2-3 引出列表'!$A$2:$CE$8700,$A252,MATCH(C$1,'2-3 引出列表'!$A$1:$CD$1,0)),"")),"",IFERROR(INDEX('2-3 引出列表'!$A$2:$CE$8700,$A252,MATCH(C$1,'2-3 引出列表'!$A$1:$CD$1,0)),""))</f>
        <v>24000</v>
      </c>
      <c r="D252" t="str">
        <f>IF(ISBLANK(IFERROR(INDEX('2-3 引出列表'!$A$2:$CE$8700,$A252,MATCH(D$1,'2-3 引出列表'!$A$1:$CD$1,0)),"")),"",IFERROR(INDEX('2-3 引出列表'!$A$2:$CE$8700,$A252,MATCH(D$1,'2-3 引出列表'!$A$1:$CD$1,0)),""))</f>
        <v>已提交</v>
      </c>
      <c r="E252" t="str">
        <f>IF(ISBLANK(IFERROR(INDEX('2-3 引出列表'!$A$2:$CE$8700,$A252,MATCH(E$1,'2-3 引出列表'!$A$1:$CD$1,0)),"")),"",IFERROR(INDEX('2-3 引出列表'!$A$2:$CE$8700,$A252,MATCH(E$1,'2-3 引出列表'!$A$1:$CD$1,0)),""))</f>
        <v>2025-07-11</v>
      </c>
      <c r="F252" s="30" t="str">
        <f t="shared" si="3"/>
        <v>2025-07</v>
      </c>
      <c r="G252" t="str">
        <f>IF(ISBLANK(IFERROR(INDEX('2-3 引出列表'!$A$2:$CE$8700,$A252,MATCH(G$1,'2-3 引出列表'!$A$1:$CD$1,0)),"")),"",IFERROR(INDEX('2-3 引出列表'!$A$2:$CE$8700,$A252,MATCH(G$1,'2-3 引出列表'!$A$1:$CD$1,0)),""))</f>
        <v>外包服务费.设备设施维保外包</v>
      </c>
      <c r="H252" t="str">
        <f>IF(ISBLANK(IFERROR(INDEX('2-3 引出列表'!$A$2:$CE$8700,$A252,MATCH(H$1,'2-3 引出列表'!$A$1:$CD$1,0)),"")),"",IFERROR(INDEX('2-3 引出列表'!$A$2:$CE$8700,$A252,MATCH(H$1,'2-3 引出列表'!$A$1:$CD$1,0)),""))</f>
        <v>GCFW-Z-2025-01036</v>
      </c>
      <c r="I252" t="str">
        <f>IF(ISBLANK(IFERROR(INDEX('2-3 引出列表'!$A$2:$CE$8700,$A252,MATCH(I$1,'2-3 引出列表'!$A$1:$CD$1,0)),"")),"",IFERROR(INDEX('2-3 引出列表'!$A$2:$CE$8700,$A252,MATCH(I$1,'2-3 引出列表'!$A$1:$CD$1,0)),""))</f>
        <v>金采易购</v>
      </c>
    </row>
    <row r="253" spans="1:9">
      <c r="A253">
        <v>252</v>
      </c>
      <c r="B253" t="str">
        <f>IF(ISBLANK(IFERROR(INDEX('2-3 引出列表'!$A$2:$CE$8700,$A253,MATCH(B$1,'2-3 引出列表'!$A$1:$CD$1,0)),"")),"",IFERROR(INDEX('2-3 引出列表'!$A$2:$CE$8700,$A253,MATCH(B$1,'2-3 引出列表'!$A$1:$CD$1,0)),""))</f>
        <v>FK250711000610</v>
      </c>
      <c r="C253">
        <f>IF(ISBLANK(IFERROR(INDEX('2-3 引出列表'!$A$2:$CE$8700,$A253,MATCH(C$1,'2-3 引出列表'!$A$1:$CD$1,0)),"")),"",IFERROR(INDEX('2-3 引出列表'!$A$2:$CE$8700,$A253,MATCH(C$1,'2-3 引出列表'!$A$1:$CD$1,0)),""))</f>
        <v>24000</v>
      </c>
      <c r="D253" t="str">
        <f>IF(ISBLANK(IFERROR(INDEX('2-3 引出列表'!$A$2:$CE$8700,$A253,MATCH(D$1,'2-3 引出列表'!$A$1:$CD$1,0)),"")),"",IFERROR(INDEX('2-3 引出列表'!$A$2:$CE$8700,$A253,MATCH(D$1,'2-3 引出列表'!$A$1:$CD$1,0)),""))</f>
        <v>已提交</v>
      </c>
      <c r="E253" t="str">
        <f>IF(ISBLANK(IFERROR(INDEX('2-3 引出列表'!$A$2:$CE$8700,$A253,MATCH(E$1,'2-3 引出列表'!$A$1:$CD$1,0)),"")),"",IFERROR(INDEX('2-3 引出列表'!$A$2:$CE$8700,$A253,MATCH(E$1,'2-3 引出列表'!$A$1:$CD$1,0)),""))</f>
        <v>2025-07-11</v>
      </c>
      <c r="F253" s="30" t="str">
        <f t="shared" si="3"/>
        <v>2025-07</v>
      </c>
      <c r="G253" t="str">
        <f>IF(ISBLANK(IFERROR(INDEX('2-3 引出列表'!$A$2:$CE$8700,$A253,MATCH(G$1,'2-3 引出列表'!$A$1:$CD$1,0)),"")),"",IFERROR(INDEX('2-3 引出列表'!$A$2:$CE$8700,$A253,MATCH(G$1,'2-3 引出列表'!$A$1:$CD$1,0)),""))</f>
        <v>外包服务费.设备设施维保外包</v>
      </c>
      <c r="H253" t="str">
        <f>IF(ISBLANK(IFERROR(INDEX('2-3 引出列表'!$A$2:$CE$8700,$A253,MATCH(H$1,'2-3 引出列表'!$A$1:$CD$1,0)),"")),"",IFERROR(INDEX('2-3 引出列表'!$A$2:$CE$8700,$A253,MATCH(H$1,'2-3 引出列表'!$A$1:$CD$1,0)),""))</f>
        <v>GCFW-Z-2025-01036</v>
      </c>
      <c r="I253" t="str">
        <f>IF(ISBLANK(IFERROR(INDEX('2-3 引出列表'!$A$2:$CE$8700,$A253,MATCH(I$1,'2-3 引出列表'!$A$1:$CD$1,0)),"")),"",IFERROR(INDEX('2-3 引出列表'!$A$2:$CE$8700,$A253,MATCH(I$1,'2-3 引出列表'!$A$1:$CD$1,0)),""))</f>
        <v>金采易购</v>
      </c>
    </row>
    <row r="254" spans="1:9">
      <c r="A254">
        <v>253</v>
      </c>
      <c r="B254" t="str">
        <f>IF(ISBLANK(IFERROR(INDEX('2-3 引出列表'!$A$2:$CE$8700,$A254,MATCH(B$1,'2-3 引出列表'!$A$1:$CD$1,0)),"")),"",IFERROR(INDEX('2-3 引出列表'!$A$2:$CE$8700,$A254,MATCH(B$1,'2-3 引出列表'!$A$1:$CD$1,0)),""))</f>
        <v>FK250711000605</v>
      </c>
      <c r="C254">
        <f>IF(ISBLANK(IFERROR(INDEX('2-3 引出列表'!$A$2:$CE$8700,$A254,MATCH(C$1,'2-3 引出列表'!$A$1:$CD$1,0)),"")),"",IFERROR(INDEX('2-3 引出列表'!$A$2:$CE$8700,$A254,MATCH(C$1,'2-3 引出列表'!$A$1:$CD$1,0)),""))</f>
        <v>3320</v>
      </c>
      <c r="D254" t="str">
        <f>IF(ISBLANK(IFERROR(INDEX('2-3 引出列表'!$A$2:$CE$8700,$A254,MATCH(D$1,'2-3 引出列表'!$A$1:$CD$1,0)),"")),"",IFERROR(INDEX('2-3 引出列表'!$A$2:$CE$8700,$A254,MATCH(D$1,'2-3 引出列表'!$A$1:$CD$1,0)),""))</f>
        <v>已提交</v>
      </c>
      <c r="E254" t="str">
        <f>IF(ISBLANK(IFERROR(INDEX('2-3 引出列表'!$A$2:$CE$8700,$A254,MATCH(E$1,'2-3 引出列表'!$A$1:$CD$1,0)),"")),"",IFERROR(INDEX('2-3 引出列表'!$A$2:$CE$8700,$A254,MATCH(E$1,'2-3 引出列表'!$A$1:$CD$1,0)),""))</f>
        <v>2025-07-11</v>
      </c>
      <c r="F254" s="30" t="str">
        <f t="shared" si="3"/>
        <v>2025-07</v>
      </c>
      <c r="G254" t="str">
        <f>IF(ISBLANK(IFERROR(INDEX('2-3 引出列表'!$A$2:$CE$8700,$A254,MATCH(G$1,'2-3 引出列表'!$A$1:$CD$1,0)),"")),"",IFERROR(INDEX('2-3 引出列表'!$A$2:$CE$8700,$A254,MATCH(G$1,'2-3 引出列表'!$A$1:$CD$1,0)),""))</f>
        <v>外包服务费.其他外包费</v>
      </c>
      <c r="H254" t="str">
        <f>IF(ISBLANK(IFERROR(INDEX('2-3 引出列表'!$A$2:$CE$8700,$A254,MATCH(H$1,'2-3 引出列表'!$A$1:$CD$1,0)),"")),"",IFERROR(INDEX('2-3 引出列表'!$A$2:$CE$8700,$A254,MATCH(H$1,'2-3 引出列表'!$A$1:$CD$1,0)),""))</f>
        <v>QTFW-Z-2025-00040</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FK250711000567</v>
      </c>
      <c r="C255">
        <f>IF(ISBLANK(IFERROR(INDEX('2-3 引出列表'!$A$2:$CE$8700,$A255,MATCH(C$1,'2-3 引出列表'!$A$1:$CD$1,0)),"")),"",IFERROR(INDEX('2-3 引出列表'!$A$2:$CE$8700,$A255,MATCH(C$1,'2-3 引出列表'!$A$1:$CD$1,0)),""))</f>
        <v>13830.08</v>
      </c>
      <c r="D255" t="str">
        <f>IF(ISBLANK(IFERROR(INDEX('2-3 引出列表'!$A$2:$CE$8700,$A255,MATCH(D$1,'2-3 引出列表'!$A$1:$CD$1,0)),"")),"",IFERROR(INDEX('2-3 引出列表'!$A$2:$CE$8700,$A255,MATCH(D$1,'2-3 引出列表'!$A$1:$CD$1,0)),""))</f>
        <v>已提交</v>
      </c>
      <c r="E255" t="str">
        <f>IF(ISBLANK(IFERROR(INDEX('2-3 引出列表'!$A$2:$CE$8700,$A255,MATCH(E$1,'2-3 引出列表'!$A$1:$CD$1,0)),"")),"",IFERROR(INDEX('2-3 引出列表'!$A$2:$CE$8700,$A255,MATCH(E$1,'2-3 引出列表'!$A$1:$CD$1,0)),""))</f>
        <v>2025-07-11</v>
      </c>
      <c r="F255" s="30" t="str">
        <f t="shared" si="3"/>
        <v>2025-07</v>
      </c>
      <c r="G255" t="str">
        <f>IF(ISBLANK(IFERROR(INDEX('2-3 引出列表'!$A$2:$CE$8700,$A255,MATCH(G$1,'2-3 引出列表'!$A$1:$CD$1,0)),"")),"",IFERROR(INDEX('2-3 引出列表'!$A$2:$CE$8700,$A255,MATCH(G$1,'2-3 引出列表'!$A$1:$CD$1,0)),""))</f>
        <v>外包服务费.工程施工外包</v>
      </c>
      <c r="H255" t="str">
        <f>IF(ISBLANK(IFERROR(INDEX('2-3 引出列表'!$A$2:$CE$8700,$A255,MATCH(H$1,'2-3 引出列表'!$A$1:$CD$1,0)),"")),"",IFERROR(INDEX('2-3 引出列表'!$A$2:$CE$8700,$A255,MATCH(H$1,'2-3 引出列表'!$A$1:$CD$1,0)),""))</f>
        <v>GCFW-Z-2025-01816</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FK250609000821</v>
      </c>
      <c r="C256">
        <f>IF(ISBLANK(IFERROR(INDEX('2-3 引出列表'!$A$2:$CE$8700,$A256,MATCH(C$1,'2-3 引出列表'!$A$1:$CD$1,0)),"")),"",IFERROR(INDEX('2-3 引出列表'!$A$2:$CE$8700,$A256,MATCH(C$1,'2-3 引出列表'!$A$1:$CD$1,0)),""))</f>
        <v>51744.6</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2025-07-11</v>
      </c>
      <c r="F256" s="30" t="str">
        <f t="shared" si="3"/>
        <v>2025-07</v>
      </c>
      <c r="G256" t="str">
        <f>IF(ISBLANK(IFERROR(INDEX('2-3 引出列表'!$A$2:$CE$8700,$A256,MATCH(G$1,'2-3 引出列表'!$A$1:$CD$1,0)),"")),"",IFERROR(INDEX('2-3 引出列表'!$A$2:$CE$8700,$A256,MATCH(G$1,'2-3 引出列表'!$A$1:$CD$1,0)),""))</f>
        <v>外包服务费.工程施工外包</v>
      </c>
      <c r="H256" t="str">
        <f>IF(ISBLANK(IFERROR(INDEX('2-3 引出列表'!$A$2:$CE$8700,$A256,MATCH(H$1,'2-3 引出列表'!$A$1:$CD$1,0)),"")),"",IFERROR(INDEX('2-3 引出列表'!$A$2:$CE$8700,$A256,MATCH(H$1,'2-3 引出列表'!$A$1:$CD$1,0)),""))</f>
        <v>GCFW-Z-2025-02002</v>
      </c>
      <c r="I256" t="str">
        <f>IF(ISBLANK(IFERROR(INDEX('2-3 引出列表'!$A$2:$CE$8700,$A256,MATCH(I$1,'2-3 引出列表'!$A$1:$CD$1,0)),"")),"",IFERROR(INDEX('2-3 引出列表'!$A$2:$CE$8700,$A256,MATCH(I$1,'2-3 引出列表'!$A$1:$CD$1,0)),""))</f>
        <v>金采易购</v>
      </c>
    </row>
    <row r="257" spans="1:9">
      <c r="A257">
        <v>256</v>
      </c>
      <c r="B257" t="str">
        <f>IF(ISBLANK(IFERROR(INDEX('2-3 引出列表'!$A$2:$CE$8700,$A257,MATCH(B$1,'2-3 引出列表'!$A$1:$CD$1,0)),"")),"",IFERROR(INDEX('2-3 引出列表'!$A$2:$CE$8700,$A257,MATCH(B$1,'2-3 引出列表'!$A$1:$CD$1,0)),""))</f>
        <v>FK250523000268</v>
      </c>
      <c r="C257">
        <f>IF(ISBLANK(IFERROR(INDEX('2-3 引出列表'!$A$2:$CE$8700,$A257,MATCH(C$1,'2-3 引出列表'!$A$1:$CD$1,0)),"")),"",IFERROR(INDEX('2-3 引出列表'!$A$2:$CE$8700,$A257,MATCH(C$1,'2-3 引出列表'!$A$1:$CD$1,0)),""))</f>
        <v>9500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2025-07-11</v>
      </c>
      <c r="F257" s="30" t="str">
        <f t="shared" si="3"/>
        <v>2025-07</v>
      </c>
      <c r="G257" t="str">
        <f>IF(ISBLANK(IFERROR(INDEX('2-3 引出列表'!$A$2:$CE$8700,$A257,MATCH(G$1,'2-3 引出列表'!$A$1:$CD$1,0)),"")),"",IFERROR(INDEX('2-3 引出列表'!$A$2:$CE$8700,$A257,MATCH(G$1,'2-3 引出列表'!$A$1:$CD$1,0)),""))</f>
        <v>外包服务费.生活垃圾清运外包</v>
      </c>
      <c r="H257" t="str">
        <f>IF(ISBLANK(IFERROR(INDEX('2-3 引出列表'!$A$2:$CE$8700,$A257,MATCH(H$1,'2-3 引出列表'!$A$1:$CD$1,0)),"")),"",IFERROR(INDEX('2-3 引出列表'!$A$2:$CE$8700,$A257,MATCH(H$1,'2-3 引出列表'!$A$1:$CD$1,0)),""))</f>
        <v>HJFW-Z-2025-00229</v>
      </c>
      <c r="I257" t="str">
        <f>IF(ISBLANK(IFERROR(INDEX('2-3 引出列表'!$A$2:$CE$8700,$A257,MATCH(I$1,'2-3 引出列表'!$A$1:$CD$1,0)),"")),"",IFERROR(INDEX('2-3 引出列表'!$A$2:$CE$8700,$A257,MATCH(I$1,'2-3 引出列表'!$A$1:$CD$1,0)),""))</f>
        <v>金采易购</v>
      </c>
    </row>
    <row r="258" spans="1:9">
      <c r="A258">
        <v>257</v>
      </c>
      <c r="B258" t="str">
        <f>IF(ISBLANK(IFERROR(INDEX('2-3 引出列表'!$A$2:$CE$8700,$A258,MATCH(B$1,'2-3 引出列表'!$A$1:$CD$1,0)),"")),"",IFERROR(INDEX('2-3 引出列表'!$A$2:$CE$8700,$A258,MATCH(B$1,'2-3 引出列表'!$A$1:$CD$1,0)),""))</f>
        <v>FK250516000356</v>
      </c>
      <c r="C258">
        <f>IF(ISBLANK(IFERROR(INDEX('2-3 引出列表'!$A$2:$CE$8700,$A258,MATCH(C$1,'2-3 引出列表'!$A$1:$CD$1,0)),"")),"",IFERROR(INDEX('2-3 引出列表'!$A$2:$CE$8700,$A258,MATCH(C$1,'2-3 引出列表'!$A$1:$CD$1,0)),""))</f>
        <v>36116.72</v>
      </c>
      <c r="D258" t="str">
        <f>IF(ISBLANK(IFERROR(INDEX('2-3 引出列表'!$A$2:$CE$8700,$A258,MATCH(D$1,'2-3 引出列表'!$A$1:$CD$1,0)),"")),"",IFERROR(INDEX('2-3 引出列表'!$A$2:$CE$8700,$A258,MATCH(D$1,'2-3 引出列表'!$A$1:$CD$1,0)),""))</f>
        <v>已付款</v>
      </c>
      <c r="E258" t="str">
        <f>IF(ISBLANK(IFERROR(INDEX('2-3 引出列表'!$A$2:$CE$8700,$A258,MATCH(E$1,'2-3 引出列表'!$A$1:$CD$1,0)),"")),"",IFERROR(INDEX('2-3 引出列表'!$A$2:$CE$8700,$A258,MATCH(E$1,'2-3 引出列表'!$A$1:$CD$1,0)),""))</f>
        <v>2025-07-11</v>
      </c>
      <c r="F258" s="30" t="str">
        <f t="shared" si="3"/>
        <v>2025-07</v>
      </c>
      <c r="G258" t="str">
        <f>IF(ISBLANK(IFERROR(INDEX('2-3 引出列表'!$A$2:$CE$8700,$A258,MATCH(G$1,'2-3 引出列表'!$A$1:$CD$1,0)),"")),"",IFERROR(INDEX('2-3 引出列表'!$A$2:$CE$8700,$A258,MATCH(G$1,'2-3 引出列表'!$A$1:$CD$1,0)),""))</f>
        <v>外包服务费.保洁外包</v>
      </c>
      <c r="H258" t="str">
        <f>IF(ISBLANK(IFERROR(INDEX('2-3 引出列表'!$A$2:$CE$8700,$A258,MATCH(H$1,'2-3 引出列表'!$A$1:$CD$1,0)),"")),"",IFERROR(INDEX('2-3 引出列表'!$A$2:$CE$8700,$A258,MATCH(H$1,'2-3 引出列表'!$A$1:$CD$1,0)),""))</f>
        <v>HJFW-Z-2025-00662</v>
      </c>
      <c r="I258" t="str">
        <f>IF(ISBLANK(IFERROR(INDEX('2-3 引出列表'!$A$2:$CE$8700,$A258,MATCH(I$1,'2-3 引出列表'!$A$1:$CD$1,0)),"")),"",IFERROR(INDEX('2-3 引出列表'!$A$2:$CE$8700,$A258,MATCH(I$1,'2-3 引出列表'!$A$1:$CD$1,0)),""))</f>
        <v>金采易购</v>
      </c>
    </row>
    <row r="259" spans="1:9">
      <c r="A259">
        <v>258</v>
      </c>
      <c r="B259" t="str">
        <f>IF(ISBLANK(IFERROR(INDEX('2-3 引出列表'!$A$2:$CE$8700,$A259,MATCH(B$1,'2-3 引出列表'!$A$1:$CD$1,0)),"")),"",IFERROR(INDEX('2-3 引出列表'!$A$2:$CE$8700,$A259,MATCH(B$1,'2-3 引出列表'!$A$1:$CD$1,0)),""))</f>
        <v>FK250523000459</v>
      </c>
      <c r="C259">
        <f>IF(ISBLANK(IFERROR(INDEX('2-3 引出列表'!$A$2:$CE$8700,$A259,MATCH(C$1,'2-3 引出列表'!$A$1:$CD$1,0)),"")),"",IFERROR(INDEX('2-3 引出列表'!$A$2:$CE$8700,$A259,MATCH(C$1,'2-3 引出列表'!$A$1:$CD$1,0)),""))</f>
        <v>36116.72</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2025-07-11</v>
      </c>
      <c r="F259" s="30" t="str">
        <f t="shared" ref="F259:F322" si="4">LEFT(E259,7)</f>
        <v>2025-07</v>
      </c>
      <c r="G259" t="str">
        <f>IF(ISBLANK(IFERROR(INDEX('2-3 引出列表'!$A$2:$CE$8700,$A259,MATCH(G$1,'2-3 引出列表'!$A$1:$CD$1,0)),"")),"",IFERROR(INDEX('2-3 引出列表'!$A$2:$CE$8700,$A259,MATCH(G$1,'2-3 引出列表'!$A$1:$CD$1,0)),""))</f>
        <v>外包服务费.保洁外包</v>
      </c>
      <c r="H259" t="str">
        <f>IF(ISBLANK(IFERROR(INDEX('2-3 引出列表'!$A$2:$CE$8700,$A259,MATCH(H$1,'2-3 引出列表'!$A$1:$CD$1,0)),"")),"",IFERROR(INDEX('2-3 引出列表'!$A$2:$CE$8700,$A259,MATCH(H$1,'2-3 引出列表'!$A$1:$CD$1,0)),""))</f>
        <v>HJFW-Z-2025-00662</v>
      </c>
      <c r="I259" t="str">
        <f>IF(ISBLANK(IFERROR(INDEX('2-3 引出列表'!$A$2:$CE$8700,$A259,MATCH(I$1,'2-3 引出列表'!$A$1:$CD$1,0)),"")),"",IFERROR(INDEX('2-3 引出列表'!$A$2:$CE$8700,$A259,MATCH(I$1,'2-3 引出列表'!$A$1:$CD$1,0)),""))</f>
        <v>金采易购</v>
      </c>
    </row>
    <row r="260" spans="1:9">
      <c r="A260">
        <v>259</v>
      </c>
      <c r="B260" t="str">
        <f>IF(ISBLANK(IFERROR(INDEX('2-3 引出列表'!$A$2:$CE$8700,$A260,MATCH(B$1,'2-3 引出列表'!$A$1:$CD$1,0)),"")),"",IFERROR(INDEX('2-3 引出列表'!$A$2:$CE$8700,$A260,MATCH(B$1,'2-3 引出列表'!$A$1:$CD$1,0)),""))</f>
        <v>FK250509000614</v>
      </c>
      <c r="C260">
        <f>IF(ISBLANK(IFERROR(INDEX('2-3 引出列表'!$A$2:$CE$8700,$A260,MATCH(C$1,'2-3 引出列表'!$A$1:$CD$1,0)),"")),"",IFERROR(INDEX('2-3 引出列表'!$A$2:$CE$8700,$A260,MATCH(C$1,'2-3 引出列表'!$A$1:$CD$1,0)),""))</f>
        <v>31177.45</v>
      </c>
      <c r="D260" t="str">
        <f>IF(ISBLANK(IFERROR(INDEX('2-3 引出列表'!$A$2:$CE$8700,$A260,MATCH(D$1,'2-3 引出列表'!$A$1:$CD$1,0)),"")),"",IFERROR(INDEX('2-3 引出列表'!$A$2:$CE$8700,$A260,MATCH(D$1,'2-3 引出列表'!$A$1:$CD$1,0)),""))</f>
        <v>已付款</v>
      </c>
      <c r="E260" t="str">
        <f>IF(ISBLANK(IFERROR(INDEX('2-3 引出列表'!$A$2:$CE$8700,$A260,MATCH(E$1,'2-3 引出列表'!$A$1:$CD$1,0)),"")),"",IFERROR(INDEX('2-3 引出列表'!$A$2:$CE$8700,$A260,MATCH(E$1,'2-3 引出列表'!$A$1:$CD$1,0)),""))</f>
        <v>2025-07-11</v>
      </c>
      <c r="F260" s="30" t="str">
        <f t="shared" si="4"/>
        <v>2025-07</v>
      </c>
      <c r="G260" t="str">
        <f>IF(ISBLANK(IFERROR(INDEX('2-3 引出列表'!$A$2:$CE$8700,$A260,MATCH(G$1,'2-3 引出列表'!$A$1:$CD$1,0)),"")),"",IFERROR(INDEX('2-3 引出列表'!$A$2:$CE$8700,$A260,MATCH(G$1,'2-3 引出列表'!$A$1:$CD$1,0)),""))</f>
        <v>物料消耗.物料消耗</v>
      </c>
      <c r="H260">
        <f>IF(ISBLANK(IFERROR(INDEX('2-3 引出列表'!$A$2:$CE$8700,$A260,MATCH(H$1,'2-3 引出列表'!$A$1:$CD$1,0)),"")),"",IFERROR(INDEX('2-3 引出列表'!$A$2:$CE$8700,$A260,MATCH(H$1,'2-3 引出列表'!$A$1:$CD$1,0)),""))</f>
        <v>0</v>
      </c>
      <c r="I260" t="str">
        <f>IF(ISBLANK(IFERROR(INDEX('2-3 引出列表'!$A$2:$CE$8700,$A260,MATCH(I$1,'2-3 引出列表'!$A$1:$CD$1,0)),"")),"",IFERROR(INDEX('2-3 引出列表'!$A$2:$CE$8700,$A260,MATCH(I$1,'2-3 引出列表'!$A$1:$CD$1,0)),""))</f>
        <v>金采易购</v>
      </c>
    </row>
    <row r="261" spans="1:9">
      <c r="A261">
        <v>260</v>
      </c>
      <c r="B261">
        <f>IF(ISBLANK(IFERROR(INDEX('2-3 引出列表'!$A$2:$CE$8700,$A261,MATCH(B$1,'2-3 引出列表'!$A$1:$CD$1,0)),"")),"",IFERROR(INDEX('2-3 引出列表'!$A$2:$CE$8700,$A261,MATCH(B$1,'2-3 引出列表'!$A$1:$CD$1,0)),""))</f>
        <v>0</v>
      </c>
      <c r="C261">
        <f>IF(ISBLANK(IFERROR(INDEX('2-3 引出列表'!$A$2:$CE$8700,$A261,MATCH(C$1,'2-3 引出列表'!$A$1:$CD$1,0)),"")),"",IFERROR(INDEX('2-3 引出列表'!$A$2:$CE$8700,$A261,MATCH(C$1,'2-3 引出列表'!$A$1:$CD$1,0)),""))</f>
        <v>19900</v>
      </c>
      <c r="D261" t="str">
        <f>IF(ISBLANK(IFERROR(INDEX('2-3 引出列表'!$A$2:$CE$8700,$A261,MATCH(D$1,'2-3 引出列表'!$A$1:$CD$1,0)),"")),"",IFERROR(INDEX('2-3 引出列表'!$A$2:$CE$8700,$A261,MATCH(D$1,'2-3 引出列表'!$A$1:$CD$1,0)),""))</f>
        <v>已付款</v>
      </c>
      <c r="E261" t="str">
        <f>IF(ISBLANK(IFERROR(INDEX('2-3 引出列表'!$A$2:$CE$8700,$A261,MATCH(E$1,'2-3 引出列表'!$A$1:$CD$1,0)),"")),"",IFERROR(INDEX('2-3 引出列表'!$A$2:$CE$8700,$A261,MATCH(E$1,'2-3 引出列表'!$A$1:$CD$1,0)),""))</f>
        <v>2025-07-10</v>
      </c>
      <c r="F261" s="30" t="str">
        <f t="shared" si="4"/>
        <v>2025-07</v>
      </c>
      <c r="G261" t="str">
        <f>IF(ISBLANK(IFERROR(INDEX('2-3 引出列表'!$A$2:$CE$8700,$A261,MATCH(G$1,'2-3 引出列表'!$A$1:$CD$1,0)),"")),"",IFERROR(INDEX('2-3 引出列表'!$A$2:$CE$8700,$A261,MATCH(G$1,'2-3 引出列表'!$A$1:$CD$1,0)),""))</f>
        <v>借款.员工借款</v>
      </c>
      <c r="H261">
        <f>IF(ISBLANK(IFERROR(INDEX('2-3 引出列表'!$A$2:$CE$8700,$A261,MATCH(H$1,'2-3 引出列表'!$A$1:$CD$1,0)),"")),"",IFERROR(INDEX('2-3 引出列表'!$A$2:$CE$8700,$A261,MATCH(H$1,'2-3 引出列表'!$A$1:$CD$1,0)),""))</f>
        <v>0</v>
      </c>
      <c r="I261">
        <f>IF(ISBLANK(IFERROR(INDEX('2-3 引出列表'!$A$2:$CE$8700,$A261,MATCH(I$1,'2-3 引出列表'!$A$1:$CD$1,0)),"")),"",IFERROR(INDEX('2-3 引出列表'!$A$2:$CE$8700,$A261,MATCH(I$1,'2-3 引出列表'!$A$1:$CD$1,0)),""))</f>
        <v>0</v>
      </c>
    </row>
    <row r="262" spans="1:9">
      <c r="A262">
        <v>261</v>
      </c>
      <c r="B262">
        <f>IF(ISBLANK(IFERROR(INDEX('2-3 引出列表'!$A$2:$CE$8700,$A262,MATCH(B$1,'2-3 引出列表'!$A$1:$CD$1,0)),"")),"",IFERROR(INDEX('2-3 引出列表'!$A$2:$CE$8700,$A262,MATCH(B$1,'2-3 引出列表'!$A$1:$CD$1,0)),""))</f>
        <v>0</v>
      </c>
      <c r="C262">
        <f>IF(ISBLANK(IFERROR(INDEX('2-3 引出列表'!$A$2:$CE$8700,$A262,MATCH(C$1,'2-3 引出列表'!$A$1:$CD$1,0)),"")),"",IFERROR(INDEX('2-3 引出列表'!$A$2:$CE$8700,$A262,MATCH(C$1,'2-3 引出列表'!$A$1:$CD$1,0)),""))</f>
        <v>40980</v>
      </c>
      <c r="D262" t="str">
        <f>IF(ISBLANK(IFERROR(INDEX('2-3 引出列表'!$A$2:$CE$8700,$A262,MATCH(D$1,'2-3 引出列表'!$A$1:$CD$1,0)),"")),"",IFERROR(INDEX('2-3 引出列表'!$A$2:$CE$8700,$A262,MATCH(D$1,'2-3 引出列表'!$A$1:$CD$1,0)),""))</f>
        <v>已付款</v>
      </c>
      <c r="E262" t="str">
        <f>IF(ISBLANK(IFERROR(INDEX('2-3 引出列表'!$A$2:$CE$8700,$A262,MATCH(E$1,'2-3 引出列表'!$A$1:$CD$1,0)),"")),"",IFERROR(INDEX('2-3 引出列表'!$A$2:$CE$8700,$A262,MATCH(E$1,'2-3 引出列表'!$A$1:$CD$1,0)),""))</f>
        <v>2025-07-10</v>
      </c>
      <c r="F262" s="30" t="str">
        <f t="shared" si="4"/>
        <v>2025-07</v>
      </c>
      <c r="G262" t="str">
        <f>IF(ISBLANK(IFERROR(INDEX('2-3 引出列表'!$A$2:$CE$8700,$A262,MATCH(G$1,'2-3 引出列表'!$A$1:$CD$1,0)),"")),"",IFERROR(INDEX('2-3 引出列表'!$A$2:$CE$8700,$A262,MATCH(G$1,'2-3 引出列表'!$A$1:$CD$1,0)),""))</f>
        <v>人工费用.宿舍费</v>
      </c>
      <c r="H262" t="str">
        <f>IF(ISBLANK(IFERROR(INDEX('2-3 引出列表'!$A$2:$CE$8700,$A262,MATCH(H$1,'2-3 引出列表'!$A$1:$CD$1,0)),"")),"",IFERROR(INDEX('2-3 引出列表'!$A$2:$CE$8700,$A262,MATCH(H$1,'2-3 引出列表'!$A$1:$CD$1,0)),""))</f>
        <v>FWL-Z-2025-00136</v>
      </c>
      <c r="I262">
        <f>IF(ISBLANK(IFERROR(INDEX('2-3 引出列表'!$A$2:$CE$8700,$A262,MATCH(I$1,'2-3 引出列表'!$A$1:$CD$1,0)),"")),"",IFERROR(INDEX('2-3 引出列表'!$A$2:$CE$8700,$A262,MATCH(I$1,'2-3 引出列表'!$A$1:$CD$1,0)),""))</f>
        <v>0</v>
      </c>
    </row>
    <row r="263" spans="1:9">
      <c r="A263">
        <v>262</v>
      </c>
      <c r="B263">
        <f>IF(ISBLANK(IFERROR(INDEX('2-3 引出列表'!$A$2:$CE$8700,$A263,MATCH(B$1,'2-3 引出列表'!$A$1:$CD$1,0)),"")),"",IFERROR(INDEX('2-3 引出列表'!$A$2:$CE$8700,$A263,MATCH(B$1,'2-3 引出列表'!$A$1:$CD$1,0)),""))</f>
        <v>0</v>
      </c>
      <c r="C263">
        <f>IF(ISBLANK(IFERROR(INDEX('2-3 引出列表'!$A$2:$CE$8700,$A263,MATCH(C$1,'2-3 引出列表'!$A$1:$CD$1,0)),"")),"",IFERROR(INDEX('2-3 引出列表'!$A$2:$CE$8700,$A263,MATCH(C$1,'2-3 引出列表'!$A$1:$CD$1,0)),""))</f>
        <v>2406.55</v>
      </c>
      <c r="D263" t="str">
        <f>IF(ISBLANK(IFERROR(INDEX('2-3 引出列表'!$A$2:$CE$8700,$A263,MATCH(D$1,'2-3 引出列表'!$A$1:$CD$1,0)),"")),"",IFERROR(INDEX('2-3 引出列表'!$A$2:$CE$8700,$A263,MATCH(D$1,'2-3 引出列表'!$A$1:$CD$1,0)),""))</f>
        <v>已付款</v>
      </c>
      <c r="E263" t="str">
        <f>IF(ISBLANK(IFERROR(INDEX('2-3 引出列表'!$A$2:$CE$8700,$A263,MATCH(E$1,'2-3 引出列表'!$A$1:$CD$1,0)),"")),"",IFERROR(INDEX('2-3 引出列表'!$A$2:$CE$8700,$A263,MATCH(E$1,'2-3 引出列表'!$A$1:$CD$1,0)),""))</f>
        <v>2025-07-10</v>
      </c>
      <c r="F263" s="30" t="str">
        <f t="shared" si="4"/>
        <v>2025-07</v>
      </c>
      <c r="G263" t="str">
        <f>IF(ISBLANK(IFERROR(INDEX('2-3 引出列表'!$A$2:$CE$8700,$A263,MATCH(G$1,'2-3 引出列表'!$A$1:$CD$1,0)),"")),"",IFERROR(INDEX('2-3 引出列表'!$A$2:$CE$8700,$A263,MATCH(G$1,'2-3 引出列表'!$A$1:$CD$1,0)),""))</f>
        <v>业务活动.市内交通费</v>
      </c>
      <c r="H263">
        <f>IF(ISBLANK(IFERROR(INDEX('2-3 引出列表'!$A$2:$CE$8700,$A263,MATCH(H$1,'2-3 引出列表'!$A$1:$CD$1,0)),"")),"",IFERROR(INDEX('2-3 引出列表'!$A$2:$CE$8700,$A263,MATCH(H$1,'2-3 引出列表'!$A$1:$CD$1,0)),""))</f>
        <v>0</v>
      </c>
      <c r="I263">
        <f>IF(ISBLANK(IFERROR(INDEX('2-3 引出列表'!$A$2:$CE$8700,$A263,MATCH(I$1,'2-3 引出列表'!$A$1:$CD$1,0)),"")),"",IFERROR(INDEX('2-3 引出列表'!$A$2:$CE$8700,$A263,MATCH(I$1,'2-3 引出列表'!$A$1:$CD$1,0)),""))</f>
        <v>0</v>
      </c>
    </row>
    <row r="264" spans="1:9">
      <c r="A264">
        <v>263</v>
      </c>
      <c r="B264">
        <f>IF(ISBLANK(IFERROR(INDEX('2-3 引出列表'!$A$2:$CE$8700,$A264,MATCH(B$1,'2-3 引出列表'!$A$1:$CD$1,0)),"")),"",IFERROR(INDEX('2-3 引出列表'!$A$2:$CE$8700,$A264,MATCH(B$1,'2-3 引出列表'!$A$1:$CD$1,0)),""))</f>
        <v>0</v>
      </c>
      <c r="C264">
        <f>IF(ISBLANK(IFERROR(INDEX('2-3 引出列表'!$A$2:$CE$8700,$A264,MATCH(C$1,'2-3 引出列表'!$A$1:$CD$1,0)),"")),"",IFERROR(INDEX('2-3 引出列表'!$A$2:$CE$8700,$A264,MATCH(C$1,'2-3 引出列表'!$A$1:$CD$1,0)),""))</f>
        <v>1400</v>
      </c>
      <c r="D264" t="str">
        <f>IF(ISBLANK(IFERROR(INDEX('2-3 引出列表'!$A$2:$CE$8700,$A264,MATCH(D$1,'2-3 引出列表'!$A$1:$CD$1,0)),"")),"",IFERROR(INDEX('2-3 引出列表'!$A$2:$CE$8700,$A264,MATCH(D$1,'2-3 引出列表'!$A$1:$CD$1,0)),""))</f>
        <v>已付款</v>
      </c>
      <c r="E264" t="str">
        <f>IF(ISBLANK(IFERROR(INDEX('2-3 引出列表'!$A$2:$CE$8700,$A264,MATCH(E$1,'2-3 引出列表'!$A$1:$CD$1,0)),"")),"",IFERROR(INDEX('2-3 引出列表'!$A$2:$CE$8700,$A264,MATCH(E$1,'2-3 引出列表'!$A$1:$CD$1,0)),""))</f>
        <v>2025-07-10</v>
      </c>
      <c r="F264" s="30" t="str">
        <f t="shared" si="4"/>
        <v>2025-07</v>
      </c>
      <c r="G264" t="str">
        <f>IF(ISBLANK(IFERROR(INDEX('2-3 引出列表'!$A$2:$CE$8700,$A264,MATCH(G$1,'2-3 引出列表'!$A$1:$CD$1,0)),"")),"",IFERROR(INDEX('2-3 引出列表'!$A$2:$CE$8700,$A264,MATCH(G$1,'2-3 引出列表'!$A$1:$CD$1,0)),""))</f>
        <v>人工费用.职工教育费</v>
      </c>
      <c r="H264">
        <f>IF(ISBLANK(IFERROR(INDEX('2-3 引出列表'!$A$2:$CE$8700,$A264,MATCH(H$1,'2-3 引出列表'!$A$1:$CD$1,0)),"")),"",IFERROR(INDEX('2-3 引出列表'!$A$2:$CE$8700,$A264,MATCH(H$1,'2-3 引出列表'!$A$1:$CD$1,0)),""))</f>
        <v>0</v>
      </c>
      <c r="I264">
        <f>IF(ISBLANK(IFERROR(INDEX('2-3 引出列表'!$A$2:$CE$8700,$A264,MATCH(I$1,'2-3 引出列表'!$A$1:$CD$1,0)),"")),"",IFERROR(INDEX('2-3 引出列表'!$A$2:$CE$8700,$A264,MATCH(I$1,'2-3 引出列表'!$A$1:$CD$1,0)),""))</f>
        <v>0</v>
      </c>
    </row>
    <row r="265" spans="1:9">
      <c r="A265">
        <v>264</v>
      </c>
      <c r="B265" t="str">
        <f>IF(ISBLANK(IFERROR(INDEX('2-3 引出列表'!$A$2:$CE$8700,$A265,MATCH(B$1,'2-3 引出列表'!$A$1:$CD$1,0)),"")),"",IFERROR(INDEX('2-3 引出列表'!$A$2:$CE$8700,$A265,MATCH(B$1,'2-3 引出列表'!$A$1:$CD$1,0)),""))</f>
        <v>FK250609000792</v>
      </c>
      <c r="C265">
        <f>IF(ISBLANK(IFERROR(INDEX('2-3 引出列表'!$A$2:$CE$8700,$A265,MATCH(C$1,'2-3 引出列表'!$A$1:$CD$1,0)),"")),"",IFERROR(INDEX('2-3 引出列表'!$A$2:$CE$8700,$A265,MATCH(C$1,'2-3 引出列表'!$A$1:$CD$1,0)),""))</f>
        <v>11498.8</v>
      </c>
      <c r="D265" t="str">
        <f>IF(ISBLANK(IFERROR(INDEX('2-3 引出列表'!$A$2:$CE$8700,$A265,MATCH(D$1,'2-3 引出列表'!$A$1:$CD$1,0)),"")),"",IFERROR(INDEX('2-3 引出列表'!$A$2:$CE$8700,$A265,MATCH(D$1,'2-3 引出列表'!$A$1:$CD$1,0)),""))</f>
        <v>已付款</v>
      </c>
      <c r="E265" t="str">
        <f>IF(ISBLANK(IFERROR(INDEX('2-3 引出列表'!$A$2:$CE$8700,$A265,MATCH(E$1,'2-3 引出列表'!$A$1:$CD$1,0)),"")),"",IFERROR(INDEX('2-3 引出列表'!$A$2:$CE$8700,$A265,MATCH(E$1,'2-3 引出列表'!$A$1:$CD$1,0)),""))</f>
        <v>2025-07-10</v>
      </c>
      <c r="F265" s="30" t="str">
        <f t="shared" si="4"/>
        <v>2025-07</v>
      </c>
      <c r="G265" t="str">
        <f>IF(ISBLANK(IFERROR(INDEX('2-3 引出列表'!$A$2:$CE$8700,$A265,MATCH(G$1,'2-3 引出列表'!$A$1:$CD$1,0)),"")),"",IFERROR(INDEX('2-3 引出列表'!$A$2:$CE$8700,$A265,MATCH(G$1,'2-3 引出列表'!$A$1:$CD$1,0)),""))</f>
        <v>外包服务费.工程施工外包</v>
      </c>
      <c r="H265" t="str">
        <f>IF(ISBLANK(IFERROR(INDEX('2-3 引出列表'!$A$2:$CE$8700,$A265,MATCH(H$1,'2-3 引出列表'!$A$1:$CD$1,0)),"")),"",IFERROR(INDEX('2-3 引出列表'!$A$2:$CE$8700,$A265,MATCH(H$1,'2-3 引出列表'!$A$1:$CD$1,0)),""))</f>
        <v>GCFW-Z-2025-02002</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FK250609000831</v>
      </c>
      <c r="C266">
        <f>IF(ISBLANK(IFERROR(INDEX('2-3 引出列表'!$A$2:$CE$8700,$A266,MATCH(C$1,'2-3 引出列表'!$A$1:$CD$1,0)),"")),"",IFERROR(INDEX('2-3 引出列表'!$A$2:$CE$8700,$A266,MATCH(C$1,'2-3 引出列表'!$A$1:$CD$1,0)),""))</f>
        <v>12560.07</v>
      </c>
      <c r="D266" t="str">
        <f>IF(ISBLANK(IFERROR(INDEX('2-3 引出列表'!$A$2:$CE$8700,$A266,MATCH(D$1,'2-3 引出列表'!$A$1:$CD$1,0)),"")),"",IFERROR(INDEX('2-3 引出列表'!$A$2:$CE$8700,$A266,MATCH(D$1,'2-3 引出列表'!$A$1:$CD$1,0)),""))</f>
        <v>已付款</v>
      </c>
      <c r="E266" t="str">
        <f>IF(ISBLANK(IFERROR(INDEX('2-3 引出列表'!$A$2:$CE$8700,$A266,MATCH(E$1,'2-3 引出列表'!$A$1:$CD$1,0)),"")),"",IFERROR(INDEX('2-3 引出列表'!$A$2:$CE$8700,$A266,MATCH(E$1,'2-3 引出列表'!$A$1:$CD$1,0)),""))</f>
        <v>2025-07-10</v>
      </c>
      <c r="F266" s="30" t="str">
        <f t="shared" si="4"/>
        <v>2025-07</v>
      </c>
      <c r="G266" t="str">
        <f>IF(ISBLANK(IFERROR(INDEX('2-3 引出列表'!$A$2:$CE$8700,$A266,MATCH(G$1,'2-3 引出列表'!$A$1:$CD$1,0)),"")),"",IFERROR(INDEX('2-3 引出列表'!$A$2:$CE$8700,$A266,MATCH(G$1,'2-3 引出列表'!$A$1:$CD$1,0)),""))</f>
        <v>外包服务费.工程施工外包</v>
      </c>
      <c r="H266" t="str">
        <f>IF(ISBLANK(IFERROR(INDEX('2-3 引出列表'!$A$2:$CE$8700,$A266,MATCH(H$1,'2-3 引出列表'!$A$1:$CD$1,0)),"")),"",IFERROR(INDEX('2-3 引出列表'!$A$2:$CE$8700,$A266,MATCH(H$1,'2-3 引出列表'!$A$1:$CD$1,0)),""))</f>
        <v>GCFW-Z-2025-01273</v>
      </c>
      <c r="I266" t="str">
        <f>IF(ISBLANK(IFERROR(INDEX('2-3 引出列表'!$A$2:$CE$8700,$A266,MATCH(I$1,'2-3 引出列表'!$A$1:$CD$1,0)),"")),"",IFERROR(INDEX('2-3 引出列表'!$A$2:$CE$8700,$A266,MATCH(I$1,'2-3 引出列表'!$A$1:$CD$1,0)),""))</f>
        <v>金采易购</v>
      </c>
    </row>
    <row r="267" spans="1:9">
      <c r="A267">
        <v>266</v>
      </c>
      <c r="B267" t="str">
        <f>IF(ISBLANK(IFERROR(INDEX('2-3 引出列表'!$A$2:$CE$8700,$A267,MATCH(B$1,'2-3 引出列表'!$A$1:$CD$1,0)),"")),"",IFERROR(INDEX('2-3 引出列表'!$A$2:$CE$8700,$A267,MATCH(B$1,'2-3 引出列表'!$A$1:$CD$1,0)),""))</f>
        <v>FK250609000876</v>
      </c>
      <c r="C267">
        <f>IF(ISBLANK(IFERROR(INDEX('2-3 引出列表'!$A$2:$CE$8700,$A267,MATCH(C$1,'2-3 引出列表'!$A$1:$CD$1,0)),"")),"",IFERROR(INDEX('2-3 引出列表'!$A$2:$CE$8700,$A267,MATCH(C$1,'2-3 引出列表'!$A$1:$CD$1,0)),""))</f>
        <v>1409</v>
      </c>
      <c r="D267" t="str">
        <f>IF(ISBLANK(IFERROR(INDEX('2-3 引出列表'!$A$2:$CE$8700,$A267,MATCH(D$1,'2-3 引出列表'!$A$1:$CD$1,0)),"")),"",IFERROR(INDEX('2-3 引出列表'!$A$2:$CE$8700,$A267,MATCH(D$1,'2-3 引出列表'!$A$1:$CD$1,0)),""))</f>
        <v>已付款</v>
      </c>
      <c r="E267" t="str">
        <f>IF(ISBLANK(IFERROR(INDEX('2-3 引出列表'!$A$2:$CE$8700,$A267,MATCH(E$1,'2-3 引出列表'!$A$1:$CD$1,0)),"")),"",IFERROR(INDEX('2-3 引出列表'!$A$2:$CE$8700,$A267,MATCH(E$1,'2-3 引出列表'!$A$1:$CD$1,0)),""))</f>
        <v>2025-07-10</v>
      </c>
      <c r="F267" s="30" t="str">
        <f t="shared" si="4"/>
        <v>2025-07</v>
      </c>
      <c r="G267" t="str">
        <f>IF(ISBLANK(IFERROR(INDEX('2-3 引出列表'!$A$2:$CE$8700,$A267,MATCH(G$1,'2-3 引出列表'!$A$1:$CD$1,0)),"")),"",IFERROR(INDEX('2-3 引出列表'!$A$2:$CE$8700,$A267,MATCH(G$1,'2-3 引出列表'!$A$1:$CD$1,0)),""))</f>
        <v>办公事务.办公费</v>
      </c>
      <c r="H267" t="str">
        <f>IF(ISBLANK(IFERROR(INDEX('2-3 引出列表'!$A$2:$CE$8700,$A267,MATCH(H$1,'2-3 引出列表'!$A$1:$CD$1,0)),"")),"",IFERROR(INDEX('2-3 引出列表'!$A$2:$CE$8700,$A267,MATCH(H$1,'2-3 引出列表'!$A$1:$CD$1,0)),""))</f>
        <v>QTFW-Z-2025-00016</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FK250609000851</v>
      </c>
      <c r="C268">
        <f>IF(ISBLANK(IFERROR(INDEX('2-3 引出列表'!$A$2:$CE$8700,$A268,MATCH(C$1,'2-3 引出列表'!$A$1:$CD$1,0)),"")),"",IFERROR(INDEX('2-3 引出列表'!$A$2:$CE$8700,$A268,MATCH(C$1,'2-3 引出列表'!$A$1:$CD$1,0)),""))</f>
        <v>4980</v>
      </c>
      <c r="D268" t="str">
        <f>IF(ISBLANK(IFERROR(INDEX('2-3 引出列表'!$A$2:$CE$8700,$A268,MATCH(D$1,'2-3 引出列表'!$A$1:$CD$1,0)),"")),"",IFERROR(INDEX('2-3 引出列表'!$A$2:$CE$8700,$A268,MATCH(D$1,'2-3 引出列表'!$A$1:$CD$1,0)),""))</f>
        <v>已付款</v>
      </c>
      <c r="E268" t="str">
        <f>IF(ISBLANK(IFERROR(INDEX('2-3 引出列表'!$A$2:$CE$8700,$A268,MATCH(E$1,'2-3 引出列表'!$A$1:$CD$1,0)),"")),"",IFERROR(INDEX('2-3 引出列表'!$A$2:$CE$8700,$A268,MATCH(E$1,'2-3 引出列表'!$A$1:$CD$1,0)),""))</f>
        <v>2025-07-10</v>
      </c>
      <c r="F268" s="30" t="str">
        <f t="shared" si="4"/>
        <v>2025-07</v>
      </c>
      <c r="G268" t="str">
        <f>IF(ISBLANK(IFERROR(INDEX('2-3 引出列表'!$A$2:$CE$8700,$A268,MATCH(G$1,'2-3 引出列表'!$A$1:$CD$1,0)),"")),"",IFERROR(INDEX('2-3 引出列表'!$A$2:$CE$8700,$A268,MATCH(G$1,'2-3 引出列表'!$A$1:$CD$1,0)),""))</f>
        <v>外包服务费.设备设施维保外包</v>
      </c>
      <c r="H268">
        <f>IF(ISBLANK(IFERROR(INDEX('2-3 引出列表'!$A$2:$CE$8700,$A268,MATCH(H$1,'2-3 引出列表'!$A$1:$CD$1,0)),"")),"",IFERROR(INDEX('2-3 引出列表'!$A$2:$CE$8700,$A268,MATCH(H$1,'2-3 引出列表'!$A$1:$CD$1,0)),""))</f>
        <v>0</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FK250609000803</v>
      </c>
      <c r="C269">
        <f>IF(ISBLANK(IFERROR(INDEX('2-3 引出列表'!$A$2:$CE$8700,$A269,MATCH(C$1,'2-3 引出列表'!$A$1:$CD$1,0)),"")),"",IFERROR(INDEX('2-3 引出列表'!$A$2:$CE$8700,$A269,MATCH(C$1,'2-3 引出列表'!$A$1:$CD$1,0)),""))</f>
        <v>2373.5</v>
      </c>
      <c r="D269" t="str">
        <f>IF(ISBLANK(IFERROR(INDEX('2-3 引出列表'!$A$2:$CE$8700,$A269,MATCH(D$1,'2-3 引出列表'!$A$1:$CD$1,0)),"")),"",IFERROR(INDEX('2-3 引出列表'!$A$2:$CE$8700,$A269,MATCH(D$1,'2-3 引出列表'!$A$1:$CD$1,0)),""))</f>
        <v>已付款</v>
      </c>
      <c r="E269" t="str">
        <f>IF(ISBLANK(IFERROR(INDEX('2-3 引出列表'!$A$2:$CE$8700,$A269,MATCH(E$1,'2-3 引出列表'!$A$1:$CD$1,0)),"")),"",IFERROR(INDEX('2-3 引出列表'!$A$2:$CE$8700,$A269,MATCH(E$1,'2-3 引出列表'!$A$1:$CD$1,0)),""))</f>
        <v>2025-07-10</v>
      </c>
      <c r="F269" s="30" t="str">
        <f t="shared" si="4"/>
        <v>2025-07</v>
      </c>
      <c r="G269" t="str">
        <f>IF(ISBLANK(IFERROR(INDEX('2-3 引出列表'!$A$2:$CE$8700,$A269,MATCH(G$1,'2-3 引出列表'!$A$1:$CD$1,0)),"")),"",IFERROR(INDEX('2-3 引出列表'!$A$2:$CE$8700,$A269,MATCH(G$1,'2-3 引出列表'!$A$1:$CD$1,0)),""))</f>
        <v>外包服务费.设备设施维保外包</v>
      </c>
      <c r="H269" t="str">
        <f>IF(ISBLANK(IFERROR(INDEX('2-3 引出列表'!$A$2:$CE$8700,$A269,MATCH(H$1,'2-3 引出列表'!$A$1:$CD$1,0)),"")),"",IFERROR(INDEX('2-3 引出列表'!$A$2:$CE$8700,$A269,MATCH(H$1,'2-3 引出列表'!$A$1:$CD$1,0)),""))</f>
        <v>GCFW-Z-2025-01832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FK250523000258</v>
      </c>
      <c r="C270">
        <f>IF(ISBLANK(IFERROR(INDEX('2-3 引出列表'!$A$2:$CE$8700,$A270,MATCH(C$1,'2-3 引出列表'!$A$1:$CD$1,0)),"")),"",IFERROR(INDEX('2-3 引出列表'!$A$2:$CE$8700,$A270,MATCH(C$1,'2-3 引出列表'!$A$1:$CD$1,0)),""))</f>
        <v>9500</v>
      </c>
      <c r="D270" t="str">
        <f>IF(ISBLANK(IFERROR(INDEX('2-3 引出列表'!$A$2:$CE$8700,$A270,MATCH(D$1,'2-3 引出列表'!$A$1:$CD$1,0)),"")),"",IFERROR(INDEX('2-3 引出列表'!$A$2:$CE$8700,$A270,MATCH(D$1,'2-3 引出列表'!$A$1:$CD$1,0)),""))</f>
        <v>已付款</v>
      </c>
      <c r="E270" t="str">
        <f>IF(ISBLANK(IFERROR(INDEX('2-3 引出列表'!$A$2:$CE$8700,$A270,MATCH(E$1,'2-3 引出列表'!$A$1:$CD$1,0)),"")),"",IFERROR(INDEX('2-3 引出列表'!$A$2:$CE$8700,$A270,MATCH(E$1,'2-3 引出列表'!$A$1:$CD$1,0)),""))</f>
        <v>2025-07-10</v>
      </c>
      <c r="F270" s="30" t="str">
        <f t="shared" si="4"/>
        <v>2025-07</v>
      </c>
      <c r="G270" t="str">
        <f>IF(ISBLANK(IFERROR(INDEX('2-3 引出列表'!$A$2:$CE$8700,$A270,MATCH(G$1,'2-3 引出列表'!$A$1:$CD$1,0)),"")),"",IFERROR(INDEX('2-3 引出列表'!$A$2:$CE$8700,$A270,MATCH(G$1,'2-3 引出列表'!$A$1:$CD$1,0)),""))</f>
        <v>外包服务费.生活垃圾清运外包</v>
      </c>
      <c r="H270" t="str">
        <f>IF(ISBLANK(IFERROR(INDEX('2-3 引出列表'!$A$2:$CE$8700,$A270,MATCH(H$1,'2-3 引出列表'!$A$1:$CD$1,0)),"")),"",IFERROR(INDEX('2-3 引出列表'!$A$2:$CE$8700,$A270,MATCH(H$1,'2-3 引出列表'!$A$1:$CD$1,0)),""))</f>
        <v>HJFW-Z-2025-00229</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FK250523000485</v>
      </c>
      <c r="C271">
        <f>IF(ISBLANK(IFERROR(INDEX('2-3 引出列表'!$A$2:$CE$8700,$A271,MATCH(C$1,'2-3 引出列表'!$A$1:$CD$1,0)),"")),"",IFERROR(INDEX('2-3 引出列表'!$A$2:$CE$8700,$A271,MATCH(C$1,'2-3 引出列表'!$A$1:$CD$1,0)),""))</f>
        <v>36116.72</v>
      </c>
      <c r="D271" t="str">
        <f>IF(ISBLANK(IFERROR(INDEX('2-3 引出列表'!$A$2:$CE$8700,$A271,MATCH(D$1,'2-3 引出列表'!$A$1:$CD$1,0)),"")),"",IFERROR(INDEX('2-3 引出列表'!$A$2:$CE$8700,$A271,MATCH(D$1,'2-3 引出列表'!$A$1:$CD$1,0)),""))</f>
        <v>已付款</v>
      </c>
      <c r="E271" t="str">
        <f>IF(ISBLANK(IFERROR(INDEX('2-3 引出列表'!$A$2:$CE$8700,$A271,MATCH(E$1,'2-3 引出列表'!$A$1:$CD$1,0)),"")),"",IFERROR(INDEX('2-3 引出列表'!$A$2:$CE$8700,$A271,MATCH(E$1,'2-3 引出列表'!$A$1:$CD$1,0)),""))</f>
        <v>2025-07-10</v>
      </c>
      <c r="F271" s="30" t="str">
        <f t="shared" si="4"/>
        <v>2025-07</v>
      </c>
      <c r="G271" t="str">
        <f>IF(ISBLANK(IFERROR(INDEX('2-3 引出列表'!$A$2:$CE$8700,$A271,MATCH(G$1,'2-3 引出列表'!$A$1:$CD$1,0)),"")),"",IFERROR(INDEX('2-3 引出列表'!$A$2:$CE$8700,$A271,MATCH(G$1,'2-3 引出列表'!$A$1:$CD$1,0)),""))</f>
        <v>外包服务费.保洁外包</v>
      </c>
      <c r="H271" t="str">
        <f>IF(ISBLANK(IFERROR(INDEX('2-3 引出列表'!$A$2:$CE$8700,$A271,MATCH(H$1,'2-3 引出列表'!$A$1:$CD$1,0)),"")),"",IFERROR(INDEX('2-3 引出列表'!$A$2:$CE$8700,$A271,MATCH(H$1,'2-3 引出列表'!$A$1:$CD$1,0)),""))</f>
        <v>HJFW-Z-2025-00662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FK250509000354</v>
      </c>
      <c r="C272">
        <f>IF(ISBLANK(IFERROR(INDEX('2-3 引出列表'!$A$2:$CE$8700,$A272,MATCH(C$1,'2-3 引出列表'!$A$1:$CD$1,0)),"")),"",IFERROR(INDEX('2-3 引出列表'!$A$2:$CE$8700,$A272,MATCH(C$1,'2-3 引出列表'!$A$1:$CD$1,0)),""))</f>
        <v>17550</v>
      </c>
      <c r="D272" t="str">
        <f>IF(ISBLANK(IFERROR(INDEX('2-3 引出列表'!$A$2:$CE$8700,$A272,MATCH(D$1,'2-3 引出列表'!$A$1:$CD$1,0)),"")),"",IFERROR(INDEX('2-3 引出列表'!$A$2:$CE$8700,$A272,MATCH(D$1,'2-3 引出列表'!$A$1:$CD$1,0)),""))</f>
        <v>已付款</v>
      </c>
      <c r="E272" t="str">
        <f>IF(ISBLANK(IFERROR(INDEX('2-3 引出列表'!$A$2:$CE$8700,$A272,MATCH(E$1,'2-3 引出列表'!$A$1:$CD$1,0)),"")),"",IFERROR(INDEX('2-3 引出列表'!$A$2:$CE$8700,$A272,MATCH(E$1,'2-3 引出列表'!$A$1:$CD$1,0)),""))</f>
        <v>2025-07-10</v>
      </c>
      <c r="F272" s="30" t="str">
        <f t="shared" si="4"/>
        <v>2025-07</v>
      </c>
      <c r="G272" t="str">
        <f>IF(ISBLANK(IFERROR(INDEX('2-3 引出列表'!$A$2:$CE$8700,$A272,MATCH(G$1,'2-3 引出列表'!$A$1:$CD$1,0)),"")),"",IFERROR(INDEX('2-3 引出列表'!$A$2:$CE$8700,$A272,MATCH(G$1,'2-3 引出列表'!$A$1:$CD$1,0)),""))</f>
        <v>物料消耗.物料消耗</v>
      </c>
      <c r="H272">
        <f>IF(ISBLANK(IFERROR(INDEX('2-3 引出列表'!$A$2:$CE$8700,$A272,MATCH(H$1,'2-3 引出列表'!$A$1:$CD$1,0)),"")),"",IFERROR(INDEX('2-3 引出列表'!$A$2:$CE$8700,$A272,MATCH(H$1,'2-3 引出列表'!$A$1:$CD$1,0)),""))</f>
        <v>0</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FK250509000354</v>
      </c>
      <c r="C273">
        <f>IF(ISBLANK(IFERROR(INDEX('2-3 引出列表'!$A$2:$CE$8700,$A273,MATCH(C$1,'2-3 引出列表'!$A$1:$CD$1,0)),"")),"",IFERROR(INDEX('2-3 引出列表'!$A$2:$CE$8700,$A273,MATCH(C$1,'2-3 引出列表'!$A$1:$CD$1,0)),""))</f>
        <v>17550</v>
      </c>
      <c r="D273" t="str">
        <f>IF(ISBLANK(IFERROR(INDEX('2-3 引出列表'!$A$2:$CE$8700,$A273,MATCH(D$1,'2-3 引出列表'!$A$1:$CD$1,0)),"")),"",IFERROR(INDEX('2-3 引出列表'!$A$2:$CE$8700,$A273,MATCH(D$1,'2-3 引出列表'!$A$1:$CD$1,0)),""))</f>
        <v>已付款</v>
      </c>
      <c r="E273" t="str">
        <f>IF(ISBLANK(IFERROR(INDEX('2-3 引出列表'!$A$2:$CE$8700,$A273,MATCH(E$1,'2-3 引出列表'!$A$1:$CD$1,0)),"")),"",IFERROR(INDEX('2-3 引出列表'!$A$2:$CE$8700,$A273,MATCH(E$1,'2-3 引出列表'!$A$1:$CD$1,0)),""))</f>
        <v>2025-07-10</v>
      </c>
      <c r="F273" s="30" t="str">
        <f t="shared" si="4"/>
        <v>2025-07</v>
      </c>
      <c r="G273" t="str">
        <f>IF(ISBLANK(IFERROR(INDEX('2-3 引出列表'!$A$2:$CE$8700,$A273,MATCH(G$1,'2-3 引出列表'!$A$1:$CD$1,0)),"")),"",IFERROR(INDEX('2-3 引出列表'!$A$2:$CE$8700,$A273,MATCH(G$1,'2-3 引出列表'!$A$1:$CD$1,0)),""))</f>
        <v>物料消耗.物料消耗</v>
      </c>
      <c r="H273">
        <f>IF(ISBLANK(IFERROR(INDEX('2-3 引出列表'!$A$2:$CE$8700,$A273,MATCH(H$1,'2-3 引出列表'!$A$1:$CD$1,0)),"")),"",IFERROR(INDEX('2-3 引出列表'!$A$2:$CE$8700,$A273,MATCH(H$1,'2-3 引出列表'!$A$1:$CD$1,0)),""))</f>
        <v>0</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FK250512000610</v>
      </c>
      <c r="C274">
        <f>IF(ISBLANK(IFERROR(INDEX('2-3 引出列表'!$A$2:$CE$8700,$A274,MATCH(C$1,'2-3 引出列表'!$A$1:$CD$1,0)),"")),"",IFERROR(INDEX('2-3 引出列表'!$A$2:$CE$8700,$A274,MATCH(C$1,'2-3 引出列表'!$A$1:$CD$1,0)),""))</f>
        <v>13176.9</v>
      </c>
      <c r="D274" t="str">
        <f>IF(ISBLANK(IFERROR(INDEX('2-3 引出列表'!$A$2:$CE$8700,$A274,MATCH(D$1,'2-3 引出列表'!$A$1:$CD$1,0)),"")),"",IFERROR(INDEX('2-3 引出列表'!$A$2:$CE$8700,$A274,MATCH(D$1,'2-3 引出列表'!$A$1:$CD$1,0)),""))</f>
        <v>已付款</v>
      </c>
      <c r="E274" t="str">
        <f>IF(ISBLANK(IFERROR(INDEX('2-3 引出列表'!$A$2:$CE$8700,$A274,MATCH(E$1,'2-3 引出列表'!$A$1:$CD$1,0)),"")),"",IFERROR(INDEX('2-3 引出列表'!$A$2:$CE$8700,$A274,MATCH(E$1,'2-3 引出列表'!$A$1:$CD$1,0)),""))</f>
        <v>2025-07-10</v>
      </c>
      <c r="F274" s="30" t="str">
        <f t="shared" si="4"/>
        <v>2025-07</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FK250512000610</v>
      </c>
      <c r="C275">
        <f>IF(ISBLANK(IFERROR(INDEX('2-3 引出列表'!$A$2:$CE$8700,$A275,MATCH(C$1,'2-3 引出列表'!$A$1:$CD$1,0)),"")),"",IFERROR(INDEX('2-3 引出列表'!$A$2:$CE$8700,$A275,MATCH(C$1,'2-3 引出列表'!$A$1:$CD$1,0)),""))</f>
        <v>13176.9</v>
      </c>
      <c r="D275" t="str">
        <f>IF(ISBLANK(IFERROR(INDEX('2-3 引出列表'!$A$2:$CE$8700,$A275,MATCH(D$1,'2-3 引出列表'!$A$1:$CD$1,0)),"")),"",IFERROR(INDEX('2-3 引出列表'!$A$2:$CE$8700,$A275,MATCH(D$1,'2-3 引出列表'!$A$1:$CD$1,0)),""))</f>
        <v>已付款</v>
      </c>
      <c r="E275" t="str">
        <f>IF(ISBLANK(IFERROR(INDEX('2-3 引出列表'!$A$2:$CE$8700,$A275,MATCH(E$1,'2-3 引出列表'!$A$1:$CD$1,0)),"")),"",IFERROR(INDEX('2-3 引出列表'!$A$2:$CE$8700,$A275,MATCH(E$1,'2-3 引出列表'!$A$1:$CD$1,0)),""))</f>
        <v>2025-07-10</v>
      </c>
      <c r="F275" s="30" t="str">
        <f t="shared" si="4"/>
        <v>2025-07</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FK250512000610</v>
      </c>
      <c r="C276">
        <f>IF(ISBLANK(IFERROR(INDEX('2-3 引出列表'!$A$2:$CE$8700,$A276,MATCH(C$1,'2-3 引出列表'!$A$1:$CD$1,0)),"")),"",IFERROR(INDEX('2-3 引出列表'!$A$2:$CE$8700,$A276,MATCH(C$1,'2-3 引出列表'!$A$1:$CD$1,0)),""))</f>
        <v>13176.9</v>
      </c>
      <c r="D276" t="str">
        <f>IF(ISBLANK(IFERROR(INDEX('2-3 引出列表'!$A$2:$CE$8700,$A276,MATCH(D$1,'2-3 引出列表'!$A$1:$CD$1,0)),"")),"",IFERROR(INDEX('2-3 引出列表'!$A$2:$CE$8700,$A276,MATCH(D$1,'2-3 引出列表'!$A$1:$CD$1,0)),""))</f>
        <v>已付款</v>
      </c>
      <c r="E276" t="str">
        <f>IF(ISBLANK(IFERROR(INDEX('2-3 引出列表'!$A$2:$CE$8700,$A276,MATCH(E$1,'2-3 引出列表'!$A$1:$CD$1,0)),"")),"",IFERROR(INDEX('2-3 引出列表'!$A$2:$CE$8700,$A276,MATCH(E$1,'2-3 引出列表'!$A$1:$CD$1,0)),""))</f>
        <v>2025-07-10</v>
      </c>
      <c r="F276" s="30" t="str">
        <f t="shared" si="4"/>
        <v>2025-07</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FK250512000610</v>
      </c>
      <c r="C277">
        <f>IF(ISBLANK(IFERROR(INDEX('2-3 引出列表'!$A$2:$CE$8700,$A277,MATCH(C$1,'2-3 引出列表'!$A$1:$CD$1,0)),"")),"",IFERROR(INDEX('2-3 引出列表'!$A$2:$CE$8700,$A277,MATCH(C$1,'2-3 引出列表'!$A$1:$CD$1,0)),""))</f>
        <v>13176.9</v>
      </c>
      <c r="D277" t="str">
        <f>IF(ISBLANK(IFERROR(INDEX('2-3 引出列表'!$A$2:$CE$8700,$A277,MATCH(D$1,'2-3 引出列表'!$A$1:$CD$1,0)),"")),"",IFERROR(INDEX('2-3 引出列表'!$A$2:$CE$8700,$A277,MATCH(D$1,'2-3 引出列表'!$A$1:$CD$1,0)),""))</f>
        <v>已付款</v>
      </c>
      <c r="E277" t="str">
        <f>IF(ISBLANK(IFERROR(INDEX('2-3 引出列表'!$A$2:$CE$8700,$A277,MATCH(E$1,'2-3 引出列表'!$A$1:$CD$1,0)),"")),"",IFERROR(INDEX('2-3 引出列表'!$A$2:$CE$8700,$A277,MATCH(E$1,'2-3 引出列表'!$A$1:$CD$1,0)),""))</f>
        <v>2025-07-10</v>
      </c>
      <c r="F277" s="30" t="str">
        <f t="shared" si="4"/>
        <v>2025-07</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FK250512000610</v>
      </c>
      <c r="C278">
        <f>IF(ISBLANK(IFERROR(INDEX('2-3 引出列表'!$A$2:$CE$8700,$A278,MATCH(C$1,'2-3 引出列表'!$A$1:$CD$1,0)),"")),"",IFERROR(INDEX('2-3 引出列表'!$A$2:$CE$8700,$A278,MATCH(C$1,'2-3 引出列表'!$A$1:$CD$1,0)),""))</f>
        <v>13176.9</v>
      </c>
      <c r="D278" t="str">
        <f>IF(ISBLANK(IFERROR(INDEX('2-3 引出列表'!$A$2:$CE$8700,$A278,MATCH(D$1,'2-3 引出列表'!$A$1:$CD$1,0)),"")),"",IFERROR(INDEX('2-3 引出列表'!$A$2:$CE$8700,$A278,MATCH(D$1,'2-3 引出列表'!$A$1:$CD$1,0)),""))</f>
        <v>已付款</v>
      </c>
      <c r="E278" t="str">
        <f>IF(ISBLANK(IFERROR(INDEX('2-3 引出列表'!$A$2:$CE$8700,$A278,MATCH(E$1,'2-3 引出列表'!$A$1:$CD$1,0)),"")),"",IFERROR(INDEX('2-3 引出列表'!$A$2:$CE$8700,$A278,MATCH(E$1,'2-3 引出列表'!$A$1:$CD$1,0)),""))</f>
        <v>2025-07-10</v>
      </c>
      <c r="F278" s="30" t="str">
        <f t="shared" si="4"/>
        <v>2025-07</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FK250512000610</v>
      </c>
      <c r="C279">
        <f>IF(ISBLANK(IFERROR(INDEX('2-3 引出列表'!$A$2:$CE$8700,$A279,MATCH(C$1,'2-3 引出列表'!$A$1:$CD$1,0)),"")),"",IFERROR(INDEX('2-3 引出列表'!$A$2:$CE$8700,$A279,MATCH(C$1,'2-3 引出列表'!$A$1:$CD$1,0)),""))</f>
        <v>13176.9</v>
      </c>
      <c r="D279" t="str">
        <f>IF(ISBLANK(IFERROR(INDEX('2-3 引出列表'!$A$2:$CE$8700,$A279,MATCH(D$1,'2-3 引出列表'!$A$1:$CD$1,0)),"")),"",IFERROR(INDEX('2-3 引出列表'!$A$2:$CE$8700,$A279,MATCH(D$1,'2-3 引出列表'!$A$1:$CD$1,0)),""))</f>
        <v>已付款</v>
      </c>
      <c r="E279" t="str">
        <f>IF(ISBLANK(IFERROR(INDEX('2-3 引出列表'!$A$2:$CE$8700,$A279,MATCH(E$1,'2-3 引出列表'!$A$1:$CD$1,0)),"")),"",IFERROR(INDEX('2-3 引出列表'!$A$2:$CE$8700,$A279,MATCH(E$1,'2-3 引出列表'!$A$1:$CD$1,0)),""))</f>
        <v>2025-07-10</v>
      </c>
      <c r="F279" s="30" t="str">
        <f t="shared" si="4"/>
        <v>2025-07</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FK250512000610</v>
      </c>
      <c r="C280">
        <f>IF(ISBLANK(IFERROR(INDEX('2-3 引出列表'!$A$2:$CE$8700,$A280,MATCH(C$1,'2-3 引出列表'!$A$1:$CD$1,0)),"")),"",IFERROR(INDEX('2-3 引出列表'!$A$2:$CE$8700,$A280,MATCH(C$1,'2-3 引出列表'!$A$1:$CD$1,0)),""))</f>
        <v>13176.9</v>
      </c>
      <c r="D280" t="str">
        <f>IF(ISBLANK(IFERROR(INDEX('2-3 引出列表'!$A$2:$CE$8700,$A280,MATCH(D$1,'2-3 引出列表'!$A$1:$CD$1,0)),"")),"",IFERROR(INDEX('2-3 引出列表'!$A$2:$CE$8700,$A280,MATCH(D$1,'2-3 引出列表'!$A$1:$CD$1,0)),""))</f>
        <v>已付款</v>
      </c>
      <c r="E280" t="str">
        <f>IF(ISBLANK(IFERROR(INDEX('2-3 引出列表'!$A$2:$CE$8700,$A280,MATCH(E$1,'2-3 引出列表'!$A$1:$CD$1,0)),"")),"",IFERROR(INDEX('2-3 引出列表'!$A$2:$CE$8700,$A280,MATCH(E$1,'2-3 引出列表'!$A$1:$CD$1,0)),""))</f>
        <v>2025-07-10</v>
      </c>
      <c r="F280" s="30" t="str">
        <f t="shared" si="4"/>
        <v>2025-07</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FK250512000610</v>
      </c>
      <c r="C281">
        <f>IF(ISBLANK(IFERROR(INDEX('2-3 引出列表'!$A$2:$CE$8700,$A281,MATCH(C$1,'2-3 引出列表'!$A$1:$CD$1,0)),"")),"",IFERROR(INDEX('2-3 引出列表'!$A$2:$CE$8700,$A281,MATCH(C$1,'2-3 引出列表'!$A$1:$CD$1,0)),""))</f>
        <v>13176.9</v>
      </c>
      <c r="D281" t="str">
        <f>IF(ISBLANK(IFERROR(INDEX('2-3 引出列表'!$A$2:$CE$8700,$A281,MATCH(D$1,'2-3 引出列表'!$A$1:$CD$1,0)),"")),"",IFERROR(INDEX('2-3 引出列表'!$A$2:$CE$8700,$A281,MATCH(D$1,'2-3 引出列表'!$A$1:$CD$1,0)),""))</f>
        <v>已付款</v>
      </c>
      <c r="E281" t="str">
        <f>IF(ISBLANK(IFERROR(INDEX('2-3 引出列表'!$A$2:$CE$8700,$A281,MATCH(E$1,'2-3 引出列表'!$A$1:$CD$1,0)),"")),"",IFERROR(INDEX('2-3 引出列表'!$A$2:$CE$8700,$A281,MATCH(E$1,'2-3 引出列表'!$A$1:$CD$1,0)),""))</f>
        <v>2025-07-10</v>
      </c>
      <c r="F281" s="30" t="str">
        <f t="shared" si="4"/>
        <v>2025-07</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FK250512000610</v>
      </c>
      <c r="C282">
        <f>IF(ISBLANK(IFERROR(INDEX('2-3 引出列表'!$A$2:$CE$8700,$A282,MATCH(C$1,'2-3 引出列表'!$A$1:$CD$1,0)),"")),"",IFERROR(INDEX('2-3 引出列表'!$A$2:$CE$8700,$A282,MATCH(C$1,'2-3 引出列表'!$A$1:$CD$1,0)),""))</f>
        <v>13176.9</v>
      </c>
      <c r="D282" t="str">
        <f>IF(ISBLANK(IFERROR(INDEX('2-3 引出列表'!$A$2:$CE$8700,$A282,MATCH(D$1,'2-3 引出列表'!$A$1:$CD$1,0)),"")),"",IFERROR(INDEX('2-3 引出列表'!$A$2:$CE$8700,$A282,MATCH(D$1,'2-3 引出列表'!$A$1:$CD$1,0)),""))</f>
        <v>已付款</v>
      </c>
      <c r="E282" t="str">
        <f>IF(ISBLANK(IFERROR(INDEX('2-3 引出列表'!$A$2:$CE$8700,$A282,MATCH(E$1,'2-3 引出列表'!$A$1:$CD$1,0)),"")),"",IFERROR(INDEX('2-3 引出列表'!$A$2:$CE$8700,$A282,MATCH(E$1,'2-3 引出列表'!$A$1:$CD$1,0)),""))</f>
        <v>2025-07-10</v>
      </c>
      <c r="F282" s="30" t="str">
        <f t="shared" si="4"/>
        <v>2025-07</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FK250512000610</v>
      </c>
      <c r="C283">
        <f>IF(ISBLANK(IFERROR(INDEX('2-3 引出列表'!$A$2:$CE$8700,$A283,MATCH(C$1,'2-3 引出列表'!$A$1:$CD$1,0)),"")),"",IFERROR(INDEX('2-3 引出列表'!$A$2:$CE$8700,$A283,MATCH(C$1,'2-3 引出列表'!$A$1:$CD$1,0)),""))</f>
        <v>13176.9</v>
      </c>
      <c r="D283" t="str">
        <f>IF(ISBLANK(IFERROR(INDEX('2-3 引出列表'!$A$2:$CE$8700,$A283,MATCH(D$1,'2-3 引出列表'!$A$1:$CD$1,0)),"")),"",IFERROR(INDEX('2-3 引出列表'!$A$2:$CE$8700,$A283,MATCH(D$1,'2-3 引出列表'!$A$1:$CD$1,0)),""))</f>
        <v>已付款</v>
      </c>
      <c r="E283" t="str">
        <f>IF(ISBLANK(IFERROR(INDEX('2-3 引出列表'!$A$2:$CE$8700,$A283,MATCH(E$1,'2-3 引出列表'!$A$1:$CD$1,0)),"")),"",IFERROR(INDEX('2-3 引出列表'!$A$2:$CE$8700,$A283,MATCH(E$1,'2-3 引出列表'!$A$1:$CD$1,0)),""))</f>
        <v>2025-07-10</v>
      </c>
      <c r="F283" s="30" t="str">
        <f t="shared" si="4"/>
        <v>2025-07</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FK250512000610</v>
      </c>
      <c r="C284">
        <f>IF(ISBLANK(IFERROR(INDEX('2-3 引出列表'!$A$2:$CE$8700,$A284,MATCH(C$1,'2-3 引出列表'!$A$1:$CD$1,0)),"")),"",IFERROR(INDEX('2-3 引出列表'!$A$2:$CE$8700,$A284,MATCH(C$1,'2-3 引出列表'!$A$1:$CD$1,0)),""))</f>
        <v>13176.9</v>
      </c>
      <c r="D284" t="str">
        <f>IF(ISBLANK(IFERROR(INDEX('2-3 引出列表'!$A$2:$CE$8700,$A284,MATCH(D$1,'2-3 引出列表'!$A$1:$CD$1,0)),"")),"",IFERROR(INDEX('2-3 引出列表'!$A$2:$CE$8700,$A284,MATCH(D$1,'2-3 引出列表'!$A$1:$CD$1,0)),""))</f>
        <v>已付款</v>
      </c>
      <c r="E284" t="str">
        <f>IF(ISBLANK(IFERROR(INDEX('2-3 引出列表'!$A$2:$CE$8700,$A284,MATCH(E$1,'2-3 引出列表'!$A$1:$CD$1,0)),"")),"",IFERROR(INDEX('2-3 引出列表'!$A$2:$CE$8700,$A284,MATCH(E$1,'2-3 引出列表'!$A$1:$CD$1,0)),""))</f>
        <v>2025-07-10</v>
      </c>
      <c r="F284" s="30" t="str">
        <f t="shared" si="4"/>
        <v>2025-07</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FK250512000610</v>
      </c>
      <c r="C285">
        <f>IF(ISBLANK(IFERROR(INDEX('2-3 引出列表'!$A$2:$CE$8700,$A285,MATCH(C$1,'2-3 引出列表'!$A$1:$CD$1,0)),"")),"",IFERROR(INDEX('2-3 引出列表'!$A$2:$CE$8700,$A285,MATCH(C$1,'2-3 引出列表'!$A$1:$CD$1,0)),""))</f>
        <v>13176.9</v>
      </c>
      <c r="D285" t="str">
        <f>IF(ISBLANK(IFERROR(INDEX('2-3 引出列表'!$A$2:$CE$8700,$A285,MATCH(D$1,'2-3 引出列表'!$A$1:$CD$1,0)),"")),"",IFERROR(INDEX('2-3 引出列表'!$A$2:$CE$8700,$A285,MATCH(D$1,'2-3 引出列表'!$A$1:$CD$1,0)),""))</f>
        <v>已付款</v>
      </c>
      <c r="E285" t="str">
        <f>IF(ISBLANK(IFERROR(INDEX('2-3 引出列表'!$A$2:$CE$8700,$A285,MATCH(E$1,'2-3 引出列表'!$A$1:$CD$1,0)),"")),"",IFERROR(INDEX('2-3 引出列表'!$A$2:$CE$8700,$A285,MATCH(E$1,'2-3 引出列表'!$A$1:$CD$1,0)),""))</f>
        <v>2025-07-10</v>
      </c>
      <c r="F285" s="30" t="str">
        <f t="shared" si="4"/>
        <v>2025-07</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FK250512000610</v>
      </c>
      <c r="C286">
        <f>IF(ISBLANK(IFERROR(INDEX('2-3 引出列表'!$A$2:$CE$8700,$A286,MATCH(C$1,'2-3 引出列表'!$A$1:$CD$1,0)),"")),"",IFERROR(INDEX('2-3 引出列表'!$A$2:$CE$8700,$A286,MATCH(C$1,'2-3 引出列表'!$A$1:$CD$1,0)),""))</f>
        <v>13176.9</v>
      </c>
      <c r="D286" t="str">
        <f>IF(ISBLANK(IFERROR(INDEX('2-3 引出列表'!$A$2:$CE$8700,$A286,MATCH(D$1,'2-3 引出列表'!$A$1:$CD$1,0)),"")),"",IFERROR(INDEX('2-3 引出列表'!$A$2:$CE$8700,$A286,MATCH(D$1,'2-3 引出列表'!$A$1:$CD$1,0)),""))</f>
        <v>已付款</v>
      </c>
      <c r="E286" t="str">
        <f>IF(ISBLANK(IFERROR(INDEX('2-3 引出列表'!$A$2:$CE$8700,$A286,MATCH(E$1,'2-3 引出列表'!$A$1:$CD$1,0)),"")),"",IFERROR(INDEX('2-3 引出列表'!$A$2:$CE$8700,$A286,MATCH(E$1,'2-3 引出列表'!$A$1:$CD$1,0)),""))</f>
        <v>2025-07-10</v>
      </c>
      <c r="F286" s="30" t="str">
        <f t="shared" si="4"/>
        <v>2025-07</v>
      </c>
      <c r="G286" t="str">
        <f>IF(ISBLANK(IFERROR(INDEX('2-3 引出列表'!$A$2:$CE$8700,$A286,MATCH(G$1,'2-3 引出列表'!$A$1:$CD$1,0)),"")),"",IFERROR(INDEX('2-3 引出列表'!$A$2:$CE$8700,$A286,MATCH(G$1,'2-3 引出列表'!$A$1:$CD$1,0)),""))</f>
        <v>物料消耗.物料消耗</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FK250512000610</v>
      </c>
      <c r="C287">
        <f>IF(ISBLANK(IFERROR(INDEX('2-3 引出列表'!$A$2:$CE$8700,$A287,MATCH(C$1,'2-3 引出列表'!$A$1:$CD$1,0)),"")),"",IFERROR(INDEX('2-3 引出列表'!$A$2:$CE$8700,$A287,MATCH(C$1,'2-3 引出列表'!$A$1:$CD$1,0)),""))</f>
        <v>13176.9</v>
      </c>
      <c r="D287" t="str">
        <f>IF(ISBLANK(IFERROR(INDEX('2-3 引出列表'!$A$2:$CE$8700,$A287,MATCH(D$1,'2-3 引出列表'!$A$1:$CD$1,0)),"")),"",IFERROR(INDEX('2-3 引出列表'!$A$2:$CE$8700,$A287,MATCH(D$1,'2-3 引出列表'!$A$1:$CD$1,0)),""))</f>
        <v>已付款</v>
      </c>
      <c r="E287" t="str">
        <f>IF(ISBLANK(IFERROR(INDEX('2-3 引出列表'!$A$2:$CE$8700,$A287,MATCH(E$1,'2-3 引出列表'!$A$1:$CD$1,0)),"")),"",IFERROR(INDEX('2-3 引出列表'!$A$2:$CE$8700,$A287,MATCH(E$1,'2-3 引出列表'!$A$1:$CD$1,0)),""))</f>
        <v>2025-07-10</v>
      </c>
      <c r="F287" s="30" t="str">
        <f t="shared" si="4"/>
        <v>2025-07</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FK250512000610</v>
      </c>
      <c r="C288">
        <f>IF(ISBLANK(IFERROR(INDEX('2-3 引出列表'!$A$2:$CE$8700,$A288,MATCH(C$1,'2-3 引出列表'!$A$1:$CD$1,0)),"")),"",IFERROR(INDEX('2-3 引出列表'!$A$2:$CE$8700,$A288,MATCH(C$1,'2-3 引出列表'!$A$1:$CD$1,0)),""))</f>
        <v>13176.9</v>
      </c>
      <c r="D288" t="str">
        <f>IF(ISBLANK(IFERROR(INDEX('2-3 引出列表'!$A$2:$CE$8700,$A288,MATCH(D$1,'2-3 引出列表'!$A$1:$CD$1,0)),"")),"",IFERROR(INDEX('2-3 引出列表'!$A$2:$CE$8700,$A288,MATCH(D$1,'2-3 引出列表'!$A$1:$CD$1,0)),""))</f>
        <v>已付款</v>
      </c>
      <c r="E288" t="str">
        <f>IF(ISBLANK(IFERROR(INDEX('2-3 引出列表'!$A$2:$CE$8700,$A288,MATCH(E$1,'2-3 引出列表'!$A$1:$CD$1,0)),"")),"",IFERROR(INDEX('2-3 引出列表'!$A$2:$CE$8700,$A288,MATCH(E$1,'2-3 引出列表'!$A$1:$CD$1,0)),""))</f>
        <v>2025-07-10</v>
      </c>
      <c r="F288" s="30" t="str">
        <f t="shared" si="4"/>
        <v>2025-07</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FK250512000610</v>
      </c>
      <c r="C289">
        <f>IF(ISBLANK(IFERROR(INDEX('2-3 引出列表'!$A$2:$CE$8700,$A289,MATCH(C$1,'2-3 引出列表'!$A$1:$CD$1,0)),"")),"",IFERROR(INDEX('2-3 引出列表'!$A$2:$CE$8700,$A289,MATCH(C$1,'2-3 引出列表'!$A$1:$CD$1,0)),""))</f>
        <v>13176.9</v>
      </c>
      <c r="D289" t="str">
        <f>IF(ISBLANK(IFERROR(INDEX('2-3 引出列表'!$A$2:$CE$8700,$A289,MATCH(D$1,'2-3 引出列表'!$A$1:$CD$1,0)),"")),"",IFERROR(INDEX('2-3 引出列表'!$A$2:$CE$8700,$A289,MATCH(D$1,'2-3 引出列表'!$A$1:$CD$1,0)),""))</f>
        <v>已付款</v>
      </c>
      <c r="E289" t="str">
        <f>IF(ISBLANK(IFERROR(INDEX('2-3 引出列表'!$A$2:$CE$8700,$A289,MATCH(E$1,'2-3 引出列表'!$A$1:$CD$1,0)),"")),"",IFERROR(INDEX('2-3 引出列表'!$A$2:$CE$8700,$A289,MATCH(E$1,'2-3 引出列表'!$A$1:$CD$1,0)),""))</f>
        <v>2025-07-10</v>
      </c>
      <c r="F289" s="30" t="str">
        <f t="shared" si="4"/>
        <v>2025-07</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FK250512000610</v>
      </c>
      <c r="C290">
        <f>IF(ISBLANK(IFERROR(INDEX('2-3 引出列表'!$A$2:$CE$8700,$A290,MATCH(C$1,'2-3 引出列表'!$A$1:$CD$1,0)),"")),"",IFERROR(INDEX('2-3 引出列表'!$A$2:$CE$8700,$A290,MATCH(C$1,'2-3 引出列表'!$A$1:$CD$1,0)),""))</f>
        <v>13176.9</v>
      </c>
      <c r="D290" t="str">
        <f>IF(ISBLANK(IFERROR(INDEX('2-3 引出列表'!$A$2:$CE$8700,$A290,MATCH(D$1,'2-3 引出列表'!$A$1:$CD$1,0)),"")),"",IFERROR(INDEX('2-3 引出列表'!$A$2:$CE$8700,$A290,MATCH(D$1,'2-3 引出列表'!$A$1:$CD$1,0)),""))</f>
        <v>已付款</v>
      </c>
      <c r="E290" t="str">
        <f>IF(ISBLANK(IFERROR(INDEX('2-3 引出列表'!$A$2:$CE$8700,$A290,MATCH(E$1,'2-3 引出列表'!$A$1:$CD$1,0)),"")),"",IFERROR(INDEX('2-3 引出列表'!$A$2:$CE$8700,$A290,MATCH(E$1,'2-3 引出列表'!$A$1:$CD$1,0)),""))</f>
        <v>2025-07-10</v>
      </c>
      <c r="F290" s="30" t="str">
        <f t="shared" si="4"/>
        <v>2025-07</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FK250512000610</v>
      </c>
      <c r="C291">
        <f>IF(ISBLANK(IFERROR(INDEX('2-3 引出列表'!$A$2:$CE$8700,$A291,MATCH(C$1,'2-3 引出列表'!$A$1:$CD$1,0)),"")),"",IFERROR(INDEX('2-3 引出列表'!$A$2:$CE$8700,$A291,MATCH(C$1,'2-3 引出列表'!$A$1:$CD$1,0)),""))</f>
        <v>13176.9</v>
      </c>
      <c r="D291" t="str">
        <f>IF(ISBLANK(IFERROR(INDEX('2-3 引出列表'!$A$2:$CE$8700,$A291,MATCH(D$1,'2-3 引出列表'!$A$1:$CD$1,0)),"")),"",IFERROR(INDEX('2-3 引出列表'!$A$2:$CE$8700,$A291,MATCH(D$1,'2-3 引出列表'!$A$1:$CD$1,0)),""))</f>
        <v>已付款</v>
      </c>
      <c r="E291" t="str">
        <f>IF(ISBLANK(IFERROR(INDEX('2-3 引出列表'!$A$2:$CE$8700,$A291,MATCH(E$1,'2-3 引出列表'!$A$1:$CD$1,0)),"")),"",IFERROR(INDEX('2-3 引出列表'!$A$2:$CE$8700,$A291,MATCH(E$1,'2-3 引出列表'!$A$1:$CD$1,0)),""))</f>
        <v>2025-07-10</v>
      </c>
      <c r="F291" s="30" t="str">
        <f t="shared" si="4"/>
        <v>2025-07</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FK250512000610</v>
      </c>
      <c r="C292">
        <f>IF(ISBLANK(IFERROR(INDEX('2-3 引出列表'!$A$2:$CE$8700,$A292,MATCH(C$1,'2-3 引出列表'!$A$1:$CD$1,0)),"")),"",IFERROR(INDEX('2-3 引出列表'!$A$2:$CE$8700,$A292,MATCH(C$1,'2-3 引出列表'!$A$1:$CD$1,0)),""))</f>
        <v>13176.9</v>
      </c>
      <c r="D292" t="str">
        <f>IF(ISBLANK(IFERROR(INDEX('2-3 引出列表'!$A$2:$CE$8700,$A292,MATCH(D$1,'2-3 引出列表'!$A$1:$CD$1,0)),"")),"",IFERROR(INDEX('2-3 引出列表'!$A$2:$CE$8700,$A292,MATCH(D$1,'2-3 引出列表'!$A$1:$CD$1,0)),""))</f>
        <v>已付款</v>
      </c>
      <c r="E292" t="str">
        <f>IF(ISBLANK(IFERROR(INDEX('2-3 引出列表'!$A$2:$CE$8700,$A292,MATCH(E$1,'2-3 引出列表'!$A$1:$CD$1,0)),"")),"",IFERROR(INDEX('2-3 引出列表'!$A$2:$CE$8700,$A292,MATCH(E$1,'2-3 引出列表'!$A$1:$CD$1,0)),""))</f>
        <v>2025-07-10</v>
      </c>
      <c r="F292" s="30" t="str">
        <f t="shared" si="4"/>
        <v>2025-07</v>
      </c>
      <c r="G292" t="str">
        <f>IF(ISBLANK(IFERROR(INDEX('2-3 引出列表'!$A$2:$CE$8700,$A292,MATCH(G$1,'2-3 引出列表'!$A$1:$CD$1,0)),"")),"",IFERROR(INDEX('2-3 引出列表'!$A$2:$CE$8700,$A292,MATCH(G$1,'2-3 引出列表'!$A$1:$CD$1,0)),""))</f>
        <v>物料消耗.物料消耗</v>
      </c>
      <c r="H292" t="str">
        <f>IF(ISBLANK(IFERROR(INDEX('2-3 引出列表'!$A$2:$CE$8700,$A292,MATCH(H$1,'2-3 引出列表'!$A$1:$CD$1,0)),"")),"",IFERROR(INDEX('2-3 引出列表'!$A$2:$CE$8700,$A292,MATCH(H$1,'2-3 引出列表'!$A$1:$CD$1,0)),""))</f>
        <v>ZB20210901JCWZ02</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FK250512000610</v>
      </c>
      <c r="C293">
        <f>IF(ISBLANK(IFERROR(INDEX('2-3 引出列表'!$A$2:$CE$8700,$A293,MATCH(C$1,'2-3 引出列表'!$A$1:$CD$1,0)),"")),"",IFERROR(INDEX('2-3 引出列表'!$A$2:$CE$8700,$A293,MATCH(C$1,'2-3 引出列表'!$A$1:$CD$1,0)),""))</f>
        <v>13176.9</v>
      </c>
      <c r="D293" t="str">
        <f>IF(ISBLANK(IFERROR(INDEX('2-3 引出列表'!$A$2:$CE$8700,$A293,MATCH(D$1,'2-3 引出列表'!$A$1:$CD$1,0)),"")),"",IFERROR(INDEX('2-3 引出列表'!$A$2:$CE$8700,$A293,MATCH(D$1,'2-3 引出列表'!$A$1:$CD$1,0)),""))</f>
        <v>已付款</v>
      </c>
      <c r="E293" t="str">
        <f>IF(ISBLANK(IFERROR(INDEX('2-3 引出列表'!$A$2:$CE$8700,$A293,MATCH(E$1,'2-3 引出列表'!$A$1:$CD$1,0)),"")),"",IFERROR(INDEX('2-3 引出列表'!$A$2:$CE$8700,$A293,MATCH(E$1,'2-3 引出列表'!$A$1:$CD$1,0)),""))</f>
        <v>2025-07-10</v>
      </c>
      <c r="F293" s="30" t="str">
        <f t="shared" si="4"/>
        <v>2025-07</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ZB20210901JCWZ02</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FK250512000610</v>
      </c>
      <c r="C294">
        <f>IF(ISBLANK(IFERROR(INDEX('2-3 引出列表'!$A$2:$CE$8700,$A294,MATCH(C$1,'2-3 引出列表'!$A$1:$CD$1,0)),"")),"",IFERROR(INDEX('2-3 引出列表'!$A$2:$CE$8700,$A294,MATCH(C$1,'2-3 引出列表'!$A$1:$CD$1,0)),""))</f>
        <v>13176.9</v>
      </c>
      <c r="D294" t="str">
        <f>IF(ISBLANK(IFERROR(INDEX('2-3 引出列表'!$A$2:$CE$8700,$A294,MATCH(D$1,'2-3 引出列表'!$A$1:$CD$1,0)),"")),"",IFERROR(INDEX('2-3 引出列表'!$A$2:$CE$8700,$A294,MATCH(D$1,'2-3 引出列表'!$A$1:$CD$1,0)),""))</f>
        <v>已付款</v>
      </c>
      <c r="E294" t="str">
        <f>IF(ISBLANK(IFERROR(INDEX('2-3 引出列表'!$A$2:$CE$8700,$A294,MATCH(E$1,'2-3 引出列表'!$A$1:$CD$1,0)),"")),"",IFERROR(INDEX('2-3 引出列表'!$A$2:$CE$8700,$A294,MATCH(E$1,'2-3 引出列表'!$A$1:$CD$1,0)),""))</f>
        <v>2025-07-10</v>
      </c>
      <c r="F294" s="30" t="str">
        <f t="shared" si="4"/>
        <v>2025-07</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ZB20210901JCWZ02</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FK250512000610</v>
      </c>
      <c r="C295">
        <f>IF(ISBLANK(IFERROR(INDEX('2-3 引出列表'!$A$2:$CE$8700,$A295,MATCH(C$1,'2-3 引出列表'!$A$1:$CD$1,0)),"")),"",IFERROR(INDEX('2-3 引出列表'!$A$2:$CE$8700,$A295,MATCH(C$1,'2-3 引出列表'!$A$1:$CD$1,0)),""))</f>
        <v>13176.9</v>
      </c>
      <c r="D295" t="str">
        <f>IF(ISBLANK(IFERROR(INDEX('2-3 引出列表'!$A$2:$CE$8700,$A295,MATCH(D$1,'2-3 引出列表'!$A$1:$CD$1,0)),"")),"",IFERROR(INDEX('2-3 引出列表'!$A$2:$CE$8700,$A295,MATCH(D$1,'2-3 引出列表'!$A$1:$CD$1,0)),""))</f>
        <v>已付款</v>
      </c>
      <c r="E295" t="str">
        <f>IF(ISBLANK(IFERROR(INDEX('2-3 引出列表'!$A$2:$CE$8700,$A295,MATCH(E$1,'2-3 引出列表'!$A$1:$CD$1,0)),"")),"",IFERROR(INDEX('2-3 引出列表'!$A$2:$CE$8700,$A295,MATCH(E$1,'2-3 引出列表'!$A$1:$CD$1,0)),""))</f>
        <v>2025-07-10</v>
      </c>
      <c r="F295" s="30" t="str">
        <f t="shared" si="4"/>
        <v>2025-07</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ZB20210901JCWZ02</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FK250512000610</v>
      </c>
      <c r="C296">
        <f>IF(ISBLANK(IFERROR(INDEX('2-3 引出列表'!$A$2:$CE$8700,$A296,MATCH(C$1,'2-3 引出列表'!$A$1:$CD$1,0)),"")),"",IFERROR(INDEX('2-3 引出列表'!$A$2:$CE$8700,$A296,MATCH(C$1,'2-3 引出列表'!$A$1:$CD$1,0)),""))</f>
        <v>13176.9</v>
      </c>
      <c r="D296" t="str">
        <f>IF(ISBLANK(IFERROR(INDEX('2-3 引出列表'!$A$2:$CE$8700,$A296,MATCH(D$1,'2-3 引出列表'!$A$1:$CD$1,0)),"")),"",IFERROR(INDEX('2-3 引出列表'!$A$2:$CE$8700,$A296,MATCH(D$1,'2-3 引出列表'!$A$1:$CD$1,0)),""))</f>
        <v>已付款</v>
      </c>
      <c r="E296" t="str">
        <f>IF(ISBLANK(IFERROR(INDEX('2-3 引出列表'!$A$2:$CE$8700,$A296,MATCH(E$1,'2-3 引出列表'!$A$1:$CD$1,0)),"")),"",IFERROR(INDEX('2-3 引出列表'!$A$2:$CE$8700,$A296,MATCH(E$1,'2-3 引出列表'!$A$1:$CD$1,0)),""))</f>
        <v>2025-07-10</v>
      </c>
      <c r="F296" s="30" t="str">
        <f t="shared" si="4"/>
        <v>2025-07</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ZB20210901JCWZ02</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FK250512000610</v>
      </c>
      <c r="C297">
        <f>IF(ISBLANK(IFERROR(INDEX('2-3 引出列表'!$A$2:$CE$8700,$A297,MATCH(C$1,'2-3 引出列表'!$A$1:$CD$1,0)),"")),"",IFERROR(INDEX('2-3 引出列表'!$A$2:$CE$8700,$A297,MATCH(C$1,'2-3 引出列表'!$A$1:$CD$1,0)),""))</f>
        <v>13176.9</v>
      </c>
      <c r="D297" t="str">
        <f>IF(ISBLANK(IFERROR(INDEX('2-3 引出列表'!$A$2:$CE$8700,$A297,MATCH(D$1,'2-3 引出列表'!$A$1:$CD$1,0)),"")),"",IFERROR(INDEX('2-3 引出列表'!$A$2:$CE$8700,$A297,MATCH(D$1,'2-3 引出列表'!$A$1:$CD$1,0)),""))</f>
        <v>已付款</v>
      </c>
      <c r="E297" t="str">
        <f>IF(ISBLANK(IFERROR(INDEX('2-3 引出列表'!$A$2:$CE$8700,$A297,MATCH(E$1,'2-3 引出列表'!$A$1:$CD$1,0)),"")),"",IFERROR(INDEX('2-3 引出列表'!$A$2:$CE$8700,$A297,MATCH(E$1,'2-3 引出列表'!$A$1:$CD$1,0)),""))</f>
        <v>2025-07-10</v>
      </c>
      <c r="F297" s="30" t="str">
        <f t="shared" si="4"/>
        <v>2025-07</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ZB20210901JCWZ02</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FK250512000610</v>
      </c>
      <c r="C298">
        <f>IF(ISBLANK(IFERROR(INDEX('2-3 引出列表'!$A$2:$CE$8700,$A298,MATCH(C$1,'2-3 引出列表'!$A$1:$CD$1,0)),"")),"",IFERROR(INDEX('2-3 引出列表'!$A$2:$CE$8700,$A298,MATCH(C$1,'2-3 引出列表'!$A$1:$CD$1,0)),""))</f>
        <v>13176.9</v>
      </c>
      <c r="D298" t="str">
        <f>IF(ISBLANK(IFERROR(INDEX('2-3 引出列表'!$A$2:$CE$8700,$A298,MATCH(D$1,'2-3 引出列表'!$A$1:$CD$1,0)),"")),"",IFERROR(INDEX('2-3 引出列表'!$A$2:$CE$8700,$A298,MATCH(D$1,'2-3 引出列表'!$A$1:$CD$1,0)),""))</f>
        <v>已付款</v>
      </c>
      <c r="E298" t="str">
        <f>IF(ISBLANK(IFERROR(INDEX('2-3 引出列表'!$A$2:$CE$8700,$A298,MATCH(E$1,'2-3 引出列表'!$A$1:$CD$1,0)),"")),"",IFERROR(INDEX('2-3 引出列表'!$A$2:$CE$8700,$A298,MATCH(E$1,'2-3 引出列表'!$A$1:$CD$1,0)),""))</f>
        <v>2025-07-10</v>
      </c>
      <c r="F298" s="30" t="str">
        <f t="shared" si="4"/>
        <v>2025-07</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ZB20210901JCWZ02</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FK250512000610</v>
      </c>
      <c r="C299">
        <f>IF(ISBLANK(IFERROR(INDEX('2-3 引出列表'!$A$2:$CE$8700,$A299,MATCH(C$1,'2-3 引出列表'!$A$1:$CD$1,0)),"")),"",IFERROR(INDEX('2-3 引出列表'!$A$2:$CE$8700,$A299,MATCH(C$1,'2-3 引出列表'!$A$1:$CD$1,0)),""))</f>
        <v>13176.9</v>
      </c>
      <c r="D299" t="str">
        <f>IF(ISBLANK(IFERROR(INDEX('2-3 引出列表'!$A$2:$CE$8700,$A299,MATCH(D$1,'2-3 引出列表'!$A$1:$CD$1,0)),"")),"",IFERROR(INDEX('2-3 引出列表'!$A$2:$CE$8700,$A299,MATCH(D$1,'2-3 引出列表'!$A$1:$CD$1,0)),""))</f>
        <v>已付款</v>
      </c>
      <c r="E299" t="str">
        <f>IF(ISBLANK(IFERROR(INDEX('2-3 引出列表'!$A$2:$CE$8700,$A299,MATCH(E$1,'2-3 引出列表'!$A$1:$CD$1,0)),"")),"",IFERROR(INDEX('2-3 引出列表'!$A$2:$CE$8700,$A299,MATCH(E$1,'2-3 引出列表'!$A$1:$CD$1,0)),""))</f>
        <v>2025-07-10</v>
      </c>
      <c r="F299" s="30" t="str">
        <f t="shared" si="4"/>
        <v>2025-07</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ZB20210901JCWZ02</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FK250512000610</v>
      </c>
      <c r="C300">
        <f>IF(ISBLANK(IFERROR(INDEX('2-3 引出列表'!$A$2:$CE$8700,$A300,MATCH(C$1,'2-3 引出列表'!$A$1:$CD$1,0)),"")),"",IFERROR(INDEX('2-3 引出列表'!$A$2:$CE$8700,$A300,MATCH(C$1,'2-3 引出列表'!$A$1:$CD$1,0)),""))</f>
        <v>13176.9</v>
      </c>
      <c r="D300" t="str">
        <f>IF(ISBLANK(IFERROR(INDEX('2-3 引出列表'!$A$2:$CE$8700,$A300,MATCH(D$1,'2-3 引出列表'!$A$1:$CD$1,0)),"")),"",IFERROR(INDEX('2-3 引出列表'!$A$2:$CE$8700,$A300,MATCH(D$1,'2-3 引出列表'!$A$1:$CD$1,0)),""))</f>
        <v>已付款</v>
      </c>
      <c r="E300" t="str">
        <f>IF(ISBLANK(IFERROR(INDEX('2-3 引出列表'!$A$2:$CE$8700,$A300,MATCH(E$1,'2-3 引出列表'!$A$1:$CD$1,0)),"")),"",IFERROR(INDEX('2-3 引出列表'!$A$2:$CE$8700,$A300,MATCH(E$1,'2-3 引出列表'!$A$1:$CD$1,0)),""))</f>
        <v>2025-07-10</v>
      </c>
      <c r="F300" s="30" t="str">
        <f t="shared" si="4"/>
        <v>2025-07</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ZB20210901JCWZ02</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FK250512000610</v>
      </c>
      <c r="C301">
        <f>IF(ISBLANK(IFERROR(INDEX('2-3 引出列表'!$A$2:$CE$8700,$A301,MATCH(C$1,'2-3 引出列表'!$A$1:$CD$1,0)),"")),"",IFERROR(INDEX('2-3 引出列表'!$A$2:$CE$8700,$A301,MATCH(C$1,'2-3 引出列表'!$A$1:$CD$1,0)),""))</f>
        <v>13176.9</v>
      </c>
      <c r="D301" t="str">
        <f>IF(ISBLANK(IFERROR(INDEX('2-3 引出列表'!$A$2:$CE$8700,$A301,MATCH(D$1,'2-3 引出列表'!$A$1:$CD$1,0)),"")),"",IFERROR(INDEX('2-3 引出列表'!$A$2:$CE$8700,$A301,MATCH(D$1,'2-3 引出列表'!$A$1:$CD$1,0)),""))</f>
        <v>已付款</v>
      </c>
      <c r="E301" t="str">
        <f>IF(ISBLANK(IFERROR(INDEX('2-3 引出列表'!$A$2:$CE$8700,$A301,MATCH(E$1,'2-3 引出列表'!$A$1:$CD$1,0)),"")),"",IFERROR(INDEX('2-3 引出列表'!$A$2:$CE$8700,$A301,MATCH(E$1,'2-3 引出列表'!$A$1:$CD$1,0)),""))</f>
        <v>2025-07-10</v>
      </c>
      <c r="F301" s="30" t="str">
        <f t="shared" si="4"/>
        <v>2025-07</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ZB20210901JCWZ02</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FK250512000610</v>
      </c>
      <c r="C302">
        <f>IF(ISBLANK(IFERROR(INDEX('2-3 引出列表'!$A$2:$CE$8700,$A302,MATCH(C$1,'2-3 引出列表'!$A$1:$CD$1,0)),"")),"",IFERROR(INDEX('2-3 引出列表'!$A$2:$CE$8700,$A302,MATCH(C$1,'2-3 引出列表'!$A$1:$CD$1,0)),""))</f>
        <v>13176.9</v>
      </c>
      <c r="D302" t="str">
        <f>IF(ISBLANK(IFERROR(INDEX('2-3 引出列表'!$A$2:$CE$8700,$A302,MATCH(D$1,'2-3 引出列表'!$A$1:$CD$1,0)),"")),"",IFERROR(INDEX('2-3 引出列表'!$A$2:$CE$8700,$A302,MATCH(D$1,'2-3 引出列表'!$A$1:$CD$1,0)),""))</f>
        <v>已付款</v>
      </c>
      <c r="E302" t="str">
        <f>IF(ISBLANK(IFERROR(INDEX('2-3 引出列表'!$A$2:$CE$8700,$A302,MATCH(E$1,'2-3 引出列表'!$A$1:$CD$1,0)),"")),"",IFERROR(INDEX('2-3 引出列表'!$A$2:$CE$8700,$A302,MATCH(E$1,'2-3 引出列表'!$A$1:$CD$1,0)),""))</f>
        <v>2025-07-10</v>
      </c>
      <c r="F302" s="30" t="str">
        <f t="shared" si="4"/>
        <v>2025-07</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ZB20210901JCWZ02</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FK250512000610</v>
      </c>
      <c r="C303">
        <f>IF(ISBLANK(IFERROR(INDEX('2-3 引出列表'!$A$2:$CE$8700,$A303,MATCH(C$1,'2-3 引出列表'!$A$1:$CD$1,0)),"")),"",IFERROR(INDEX('2-3 引出列表'!$A$2:$CE$8700,$A303,MATCH(C$1,'2-3 引出列表'!$A$1:$CD$1,0)),""))</f>
        <v>13176.9</v>
      </c>
      <c r="D303" t="str">
        <f>IF(ISBLANK(IFERROR(INDEX('2-3 引出列表'!$A$2:$CE$8700,$A303,MATCH(D$1,'2-3 引出列表'!$A$1:$CD$1,0)),"")),"",IFERROR(INDEX('2-3 引出列表'!$A$2:$CE$8700,$A303,MATCH(D$1,'2-3 引出列表'!$A$1:$CD$1,0)),""))</f>
        <v>已付款</v>
      </c>
      <c r="E303" t="str">
        <f>IF(ISBLANK(IFERROR(INDEX('2-3 引出列表'!$A$2:$CE$8700,$A303,MATCH(E$1,'2-3 引出列表'!$A$1:$CD$1,0)),"")),"",IFERROR(INDEX('2-3 引出列表'!$A$2:$CE$8700,$A303,MATCH(E$1,'2-3 引出列表'!$A$1:$CD$1,0)),""))</f>
        <v>2025-07-10</v>
      </c>
      <c r="F303" s="30" t="str">
        <f t="shared" si="4"/>
        <v>2025-07</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ZB20210901JCWZ02</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FK250512000610</v>
      </c>
      <c r="C304">
        <f>IF(ISBLANK(IFERROR(INDEX('2-3 引出列表'!$A$2:$CE$8700,$A304,MATCH(C$1,'2-3 引出列表'!$A$1:$CD$1,0)),"")),"",IFERROR(INDEX('2-3 引出列表'!$A$2:$CE$8700,$A304,MATCH(C$1,'2-3 引出列表'!$A$1:$CD$1,0)),""))</f>
        <v>13176.9</v>
      </c>
      <c r="D304" t="str">
        <f>IF(ISBLANK(IFERROR(INDEX('2-3 引出列表'!$A$2:$CE$8700,$A304,MATCH(D$1,'2-3 引出列表'!$A$1:$CD$1,0)),"")),"",IFERROR(INDEX('2-3 引出列表'!$A$2:$CE$8700,$A304,MATCH(D$1,'2-3 引出列表'!$A$1:$CD$1,0)),""))</f>
        <v>已付款</v>
      </c>
      <c r="E304" t="str">
        <f>IF(ISBLANK(IFERROR(INDEX('2-3 引出列表'!$A$2:$CE$8700,$A304,MATCH(E$1,'2-3 引出列表'!$A$1:$CD$1,0)),"")),"",IFERROR(INDEX('2-3 引出列表'!$A$2:$CE$8700,$A304,MATCH(E$1,'2-3 引出列表'!$A$1:$CD$1,0)),""))</f>
        <v>2025-07-10</v>
      </c>
      <c r="F304" s="30" t="str">
        <f t="shared" si="4"/>
        <v>2025-07</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ZB20210901JCWZ02</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FK250512000610</v>
      </c>
      <c r="C305">
        <f>IF(ISBLANK(IFERROR(INDEX('2-3 引出列表'!$A$2:$CE$8700,$A305,MATCH(C$1,'2-3 引出列表'!$A$1:$CD$1,0)),"")),"",IFERROR(INDEX('2-3 引出列表'!$A$2:$CE$8700,$A305,MATCH(C$1,'2-3 引出列表'!$A$1:$CD$1,0)),""))</f>
        <v>13176.9</v>
      </c>
      <c r="D305" t="str">
        <f>IF(ISBLANK(IFERROR(INDEX('2-3 引出列表'!$A$2:$CE$8700,$A305,MATCH(D$1,'2-3 引出列表'!$A$1:$CD$1,0)),"")),"",IFERROR(INDEX('2-3 引出列表'!$A$2:$CE$8700,$A305,MATCH(D$1,'2-3 引出列表'!$A$1:$CD$1,0)),""))</f>
        <v>已付款</v>
      </c>
      <c r="E305" t="str">
        <f>IF(ISBLANK(IFERROR(INDEX('2-3 引出列表'!$A$2:$CE$8700,$A305,MATCH(E$1,'2-3 引出列表'!$A$1:$CD$1,0)),"")),"",IFERROR(INDEX('2-3 引出列表'!$A$2:$CE$8700,$A305,MATCH(E$1,'2-3 引出列表'!$A$1:$CD$1,0)),""))</f>
        <v>2025-07-10</v>
      </c>
      <c r="F305" s="30" t="str">
        <f t="shared" si="4"/>
        <v>2025-07</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ZB20210901JCWZ02</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FK250512000610</v>
      </c>
      <c r="C306">
        <f>IF(ISBLANK(IFERROR(INDEX('2-3 引出列表'!$A$2:$CE$8700,$A306,MATCH(C$1,'2-3 引出列表'!$A$1:$CD$1,0)),"")),"",IFERROR(INDEX('2-3 引出列表'!$A$2:$CE$8700,$A306,MATCH(C$1,'2-3 引出列表'!$A$1:$CD$1,0)),""))</f>
        <v>13176.9</v>
      </c>
      <c r="D306" t="str">
        <f>IF(ISBLANK(IFERROR(INDEX('2-3 引出列表'!$A$2:$CE$8700,$A306,MATCH(D$1,'2-3 引出列表'!$A$1:$CD$1,0)),"")),"",IFERROR(INDEX('2-3 引出列表'!$A$2:$CE$8700,$A306,MATCH(D$1,'2-3 引出列表'!$A$1:$CD$1,0)),""))</f>
        <v>已付款</v>
      </c>
      <c r="E306" t="str">
        <f>IF(ISBLANK(IFERROR(INDEX('2-3 引出列表'!$A$2:$CE$8700,$A306,MATCH(E$1,'2-3 引出列表'!$A$1:$CD$1,0)),"")),"",IFERROR(INDEX('2-3 引出列表'!$A$2:$CE$8700,$A306,MATCH(E$1,'2-3 引出列表'!$A$1:$CD$1,0)),""))</f>
        <v>2025-07-10</v>
      </c>
      <c r="F306" s="30" t="str">
        <f t="shared" si="4"/>
        <v>2025-07</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ZB20210901JCWZ02</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FK250512000610</v>
      </c>
      <c r="C307">
        <f>IF(ISBLANK(IFERROR(INDEX('2-3 引出列表'!$A$2:$CE$8700,$A307,MATCH(C$1,'2-3 引出列表'!$A$1:$CD$1,0)),"")),"",IFERROR(INDEX('2-3 引出列表'!$A$2:$CE$8700,$A307,MATCH(C$1,'2-3 引出列表'!$A$1:$CD$1,0)),""))</f>
        <v>13176.9</v>
      </c>
      <c r="D307" t="str">
        <f>IF(ISBLANK(IFERROR(INDEX('2-3 引出列表'!$A$2:$CE$8700,$A307,MATCH(D$1,'2-3 引出列表'!$A$1:$CD$1,0)),"")),"",IFERROR(INDEX('2-3 引出列表'!$A$2:$CE$8700,$A307,MATCH(D$1,'2-3 引出列表'!$A$1:$CD$1,0)),""))</f>
        <v>已付款</v>
      </c>
      <c r="E307" t="str">
        <f>IF(ISBLANK(IFERROR(INDEX('2-3 引出列表'!$A$2:$CE$8700,$A307,MATCH(E$1,'2-3 引出列表'!$A$1:$CD$1,0)),"")),"",IFERROR(INDEX('2-3 引出列表'!$A$2:$CE$8700,$A307,MATCH(E$1,'2-3 引出列表'!$A$1:$CD$1,0)),""))</f>
        <v>2025-07-10</v>
      </c>
      <c r="F307" s="30" t="str">
        <f t="shared" si="4"/>
        <v>2025-07</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ZB20210901JCWZ02</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FK250512000610</v>
      </c>
      <c r="C308">
        <f>IF(ISBLANK(IFERROR(INDEX('2-3 引出列表'!$A$2:$CE$8700,$A308,MATCH(C$1,'2-3 引出列表'!$A$1:$CD$1,0)),"")),"",IFERROR(INDEX('2-3 引出列表'!$A$2:$CE$8700,$A308,MATCH(C$1,'2-3 引出列表'!$A$1:$CD$1,0)),""))</f>
        <v>13176.9</v>
      </c>
      <c r="D308" t="str">
        <f>IF(ISBLANK(IFERROR(INDEX('2-3 引出列表'!$A$2:$CE$8700,$A308,MATCH(D$1,'2-3 引出列表'!$A$1:$CD$1,0)),"")),"",IFERROR(INDEX('2-3 引出列表'!$A$2:$CE$8700,$A308,MATCH(D$1,'2-3 引出列表'!$A$1:$CD$1,0)),""))</f>
        <v>已付款</v>
      </c>
      <c r="E308" t="str">
        <f>IF(ISBLANK(IFERROR(INDEX('2-3 引出列表'!$A$2:$CE$8700,$A308,MATCH(E$1,'2-3 引出列表'!$A$1:$CD$1,0)),"")),"",IFERROR(INDEX('2-3 引出列表'!$A$2:$CE$8700,$A308,MATCH(E$1,'2-3 引出列表'!$A$1:$CD$1,0)),""))</f>
        <v>2025-07-10</v>
      </c>
      <c r="F308" s="30" t="str">
        <f t="shared" si="4"/>
        <v>2025-07</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ZB20210901JCWZ02</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FK250512000610</v>
      </c>
      <c r="C309">
        <f>IF(ISBLANK(IFERROR(INDEX('2-3 引出列表'!$A$2:$CE$8700,$A309,MATCH(C$1,'2-3 引出列表'!$A$1:$CD$1,0)),"")),"",IFERROR(INDEX('2-3 引出列表'!$A$2:$CE$8700,$A309,MATCH(C$1,'2-3 引出列表'!$A$1:$CD$1,0)),""))</f>
        <v>13176.9</v>
      </c>
      <c r="D309" t="str">
        <f>IF(ISBLANK(IFERROR(INDEX('2-3 引出列表'!$A$2:$CE$8700,$A309,MATCH(D$1,'2-3 引出列表'!$A$1:$CD$1,0)),"")),"",IFERROR(INDEX('2-3 引出列表'!$A$2:$CE$8700,$A309,MATCH(D$1,'2-3 引出列表'!$A$1:$CD$1,0)),""))</f>
        <v>已付款</v>
      </c>
      <c r="E309" t="str">
        <f>IF(ISBLANK(IFERROR(INDEX('2-3 引出列表'!$A$2:$CE$8700,$A309,MATCH(E$1,'2-3 引出列表'!$A$1:$CD$1,0)),"")),"",IFERROR(INDEX('2-3 引出列表'!$A$2:$CE$8700,$A309,MATCH(E$1,'2-3 引出列表'!$A$1:$CD$1,0)),""))</f>
        <v>2025-07-10</v>
      </c>
      <c r="F309" s="30" t="str">
        <f t="shared" si="4"/>
        <v>2025-07</v>
      </c>
      <c r="G309" t="str">
        <f>IF(ISBLANK(IFERROR(INDEX('2-3 引出列表'!$A$2:$CE$8700,$A309,MATCH(G$1,'2-3 引出列表'!$A$1:$CD$1,0)),"")),"",IFERROR(INDEX('2-3 引出列表'!$A$2:$CE$8700,$A309,MATCH(G$1,'2-3 引出列表'!$A$1:$CD$1,0)),""))</f>
        <v>物料消耗.物料消耗</v>
      </c>
      <c r="H309" t="str">
        <f>IF(ISBLANK(IFERROR(INDEX('2-3 引出列表'!$A$2:$CE$8700,$A309,MATCH(H$1,'2-3 引出列表'!$A$1:$CD$1,0)),"")),"",IFERROR(INDEX('2-3 引出列表'!$A$2:$CE$8700,$A309,MATCH(H$1,'2-3 引出列表'!$A$1:$CD$1,0)),""))</f>
        <v>ZB20210901JCWZ02</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FK250512000610</v>
      </c>
      <c r="C310">
        <f>IF(ISBLANK(IFERROR(INDEX('2-3 引出列表'!$A$2:$CE$8700,$A310,MATCH(C$1,'2-3 引出列表'!$A$1:$CD$1,0)),"")),"",IFERROR(INDEX('2-3 引出列表'!$A$2:$CE$8700,$A310,MATCH(C$1,'2-3 引出列表'!$A$1:$CD$1,0)),""))</f>
        <v>13176.9</v>
      </c>
      <c r="D310" t="str">
        <f>IF(ISBLANK(IFERROR(INDEX('2-3 引出列表'!$A$2:$CE$8700,$A310,MATCH(D$1,'2-3 引出列表'!$A$1:$CD$1,0)),"")),"",IFERROR(INDEX('2-3 引出列表'!$A$2:$CE$8700,$A310,MATCH(D$1,'2-3 引出列表'!$A$1:$CD$1,0)),""))</f>
        <v>已付款</v>
      </c>
      <c r="E310" t="str">
        <f>IF(ISBLANK(IFERROR(INDEX('2-3 引出列表'!$A$2:$CE$8700,$A310,MATCH(E$1,'2-3 引出列表'!$A$1:$CD$1,0)),"")),"",IFERROR(INDEX('2-3 引出列表'!$A$2:$CE$8700,$A310,MATCH(E$1,'2-3 引出列表'!$A$1:$CD$1,0)),""))</f>
        <v>2025-07-10</v>
      </c>
      <c r="F310" s="30" t="str">
        <f t="shared" si="4"/>
        <v>2025-07</v>
      </c>
      <c r="G310" t="str">
        <f>IF(ISBLANK(IFERROR(INDEX('2-3 引出列表'!$A$2:$CE$8700,$A310,MATCH(G$1,'2-3 引出列表'!$A$1:$CD$1,0)),"")),"",IFERROR(INDEX('2-3 引出列表'!$A$2:$CE$8700,$A310,MATCH(G$1,'2-3 引出列表'!$A$1:$CD$1,0)),""))</f>
        <v>物料消耗.物料消耗</v>
      </c>
      <c r="H310" t="str">
        <f>IF(ISBLANK(IFERROR(INDEX('2-3 引出列表'!$A$2:$CE$8700,$A310,MATCH(H$1,'2-3 引出列表'!$A$1:$CD$1,0)),"")),"",IFERROR(INDEX('2-3 引出列表'!$A$2:$CE$8700,$A310,MATCH(H$1,'2-3 引出列表'!$A$1:$CD$1,0)),""))</f>
        <v>ZB20210901JCWZ02</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FK250512000610</v>
      </c>
      <c r="C311">
        <f>IF(ISBLANK(IFERROR(INDEX('2-3 引出列表'!$A$2:$CE$8700,$A311,MATCH(C$1,'2-3 引出列表'!$A$1:$CD$1,0)),"")),"",IFERROR(INDEX('2-3 引出列表'!$A$2:$CE$8700,$A311,MATCH(C$1,'2-3 引出列表'!$A$1:$CD$1,0)),""))</f>
        <v>13176.9</v>
      </c>
      <c r="D311" t="str">
        <f>IF(ISBLANK(IFERROR(INDEX('2-3 引出列表'!$A$2:$CE$8700,$A311,MATCH(D$1,'2-3 引出列表'!$A$1:$CD$1,0)),"")),"",IFERROR(INDEX('2-3 引出列表'!$A$2:$CE$8700,$A311,MATCH(D$1,'2-3 引出列表'!$A$1:$CD$1,0)),""))</f>
        <v>已付款</v>
      </c>
      <c r="E311" t="str">
        <f>IF(ISBLANK(IFERROR(INDEX('2-3 引出列表'!$A$2:$CE$8700,$A311,MATCH(E$1,'2-3 引出列表'!$A$1:$CD$1,0)),"")),"",IFERROR(INDEX('2-3 引出列表'!$A$2:$CE$8700,$A311,MATCH(E$1,'2-3 引出列表'!$A$1:$CD$1,0)),""))</f>
        <v>2025-07-10</v>
      </c>
      <c r="F311" s="30" t="str">
        <f t="shared" si="4"/>
        <v>2025-07</v>
      </c>
      <c r="G311" t="str">
        <f>IF(ISBLANK(IFERROR(INDEX('2-3 引出列表'!$A$2:$CE$8700,$A311,MATCH(G$1,'2-3 引出列表'!$A$1:$CD$1,0)),"")),"",IFERROR(INDEX('2-3 引出列表'!$A$2:$CE$8700,$A311,MATCH(G$1,'2-3 引出列表'!$A$1:$CD$1,0)),""))</f>
        <v>物料消耗.物料消耗</v>
      </c>
      <c r="H311" t="str">
        <f>IF(ISBLANK(IFERROR(INDEX('2-3 引出列表'!$A$2:$CE$8700,$A311,MATCH(H$1,'2-3 引出列表'!$A$1:$CD$1,0)),"")),"",IFERROR(INDEX('2-3 引出列表'!$A$2:$CE$8700,$A311,MATCH(H$1,'2-3 引出列表'!$A$1:$CD$1,0)),""))</f>
        <v>ZB20210901JCWZ02</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FK250512000610</v>
      </c>
      <c r="C312">
        <f>IF(ISBLANK(IFERROR(INDEX('2-3 引出列表'!$A$2:$CE$8700,$A312,MATCH(C$1,'2-3 引出列表'!$A$1:$CD$1,0)),"")),"",IFERROR(INDEX('2-3 引出列表'!$A$2:$CE$8700,$A312,MATCH(C$1,'2-3 引出列表'!$A$1:$CD$1,0)),""))</f>
        <v>13176.9</v>
      </c>
      <c r="D312" t="str">
        <f>IF(ISBLANK(IFERROR(INDEX('2-3 引出列表'!$A$2:$CE$8700,$A312,MATCH(D$1,'2-3 引出列表'!$A$1:$CD$1,0)),"")),"",IFERROR(INDEX('2-3 引出列表'!$A$2:$CE$8700,$A312,MATCH(D$1,'2-3 引出列表'!$A$1:$CD$1,0)),""))</f>
        <v>已付款</v>
      </c>
      <c r="E312" t="str">
        <f>IF(ISBLANK(IFERROR(INDEX('2-3 引出列表'!$A$2:$CE$8700,$A312,MATCH(E$1,'2-3 引出列表'!$A$1:$CD$1,0)),"")),"",IFERROR(INDEX('2-3 引出列表'!$A$2:$CE$8700,$A312,MATCH(E$1,'2-3 引出列表'!$A$1:$CD$1,0)),""))</f>
        <v>2025-07-10</v>
      </c>
      <c r="F312" s="30" t="str">
        <f t="shared" si="4"/>
        <v>2025-07</v>
      </c>
      <c r="G312" t="str">
        <f>IF(ISBLANK(IFERROR(INDEX('2-3 引出列表'!$A$2:$CE$8700,$A312,MATCH(G$1,'2-3 引出列表'!$A$1:$CD$1,0)),"")),"",IFERROR(INDEX('2-3 引出列表'!$A$2:$CE$8700,$A312,MATCH(G$1,'2-3 引出列表'!$A$1:$CD$1,0)),""))</f>
        <v>物料消耗.物料消耗</v>
      </c>
      <c r="H312" t="str">
        <f>IF(ISBLANK(IFERROR(INDEX('2-3 引出列表'!$A$2:$CE$8700,$A312,MATCH(H$1,'2-3 引出列表'!$A$1:$CD$1,0)),"")),"",IFERROR(INDEX('2-3 引出列表'!$A$2:$CE$8700,$A312,MATCH(H$1,'2-3 引出列表'!$A$1:$CD$1,0)),""))</f>
        <v>ZB20210901JCWZ02</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FK250512000610</v>
      </c>
      <c r="C313">
        <f>IF(ISBLANK(IFERROR(INDEX('2-3 引出列表'!$A$2:$CE$8700,$A313,MATCH(C$1,'2-3 引出列表'!$A$1:$CD$1,0)),"")),"",IFERROR(INDEX('2-3 引出列表'!$A$2:$CE$8700,$A313,MATCH(C$1,'2-3 引出列表'!$A$1:$CD$1,0)),""))</f>
        <v>13176.9</v>
      </c>
      <c r="D313" t="str">
        <f>IF(ISBLANK(IFERROR(INDEX('2-3 引出列表'!$A$2:$CE$8700,$A313,MATCH(D$1,'2-3 引出列表'!$A$1:$CD$1,0)),"")),"",IFERROR(INDEX('2-3 引出列表'!$A$2:$CE$8700,$A313,MATCH(D$1,'2-3 引出列表'!$A$1:$CD$1,0)),""))</f>
        <v>已付款</v>
      </c>
      <c r="E313" t="str">
        <f>IF(ISBLANK(IFERROR(INDEX('2-3 引出列表'!$A$2:$CE$8700,$A313,MATCH(E$1,'2-3 引出列表'!$A$1:$CD$1,0)),"")),"",IFERROR(INDEX('2-3 引出列表'!$A$2:$CE$8700,$A313,MATCH(E$1,'2-3 引出列表'!$A$1:$CD$1,0)),""))</f>
        <v>2025-07-10</v>
      </c>
      <c r="F313" s="30" t="str">
        <f t="shared" si="4"/>
        <v>2025-07</v>
      </c>
      <c r="G313" t="str">
        <f>IF(ISBLANK(IFERROR(INDEX('2-3 引出列表'!$A$2:$CE$8700,$A313,MATCH(G$1,'2-3 引出列表'!$A$1:$CD$1,0)),"")),"",IFERROR(INDEX('2-3 引出列表'!$A$2:$CE$8700,$A313,MATCH(G$1,'2-3 引出列表'!$A$1:$CD$1,0)),""))</f>
        <v>物料消耗.物料消耗</v>
      </c>
      <c r="H313" t="str">
        <f>IF(ISBLANK(IFERROR(INDEX('2-3 引出列表'!$A$2:$CE$8700,$A313,MATCH(H$1,'2-3 引出列表'!$A$1:$CD$1,0)),"")),"",IFERROR(INDEX('2-3 引出列表'!$A$2:$CE$8700,$A313,MATCH(H$1,'2-3 引出列表'!$A$1:$CD$1,0)),""))</f>
        <v>ZB20210901JCWZ02</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FK250512000610</v>
      </c>
      <c r="C314">
        <f>IF(ISBLANK(IFERROR(INDEX('2-3 引出列表'!$A$2:$CE$8700,$A314,MATCH(C$1,'2-3 引出列表'!$A$1:$CD$1,0)),"")),"",IFERROR(INDEX('2-3 引出列表'!$A$2:$CE$8700,$A314,MATCH(C$1,'2-3 引出列表'!$A$1:$CD$1,0)),""))</f>
        <v>13176.9</v>
      </c>
      <c r="D314" t="str">
        <f>IF(ISBLANK(IFERROR(INDEX('2-3 引出列表'!$A$2:$CE$8700,$A314,MATCH(D$1,'2-3 引出列表'!$A$1:$CD$1,0)),"")),"",IFERROR(INDEX('2-3 引出列表'!$A$2:$CE$8700,$A314,MATCH(D$1,'2-3 引出列表'!$A$1:$CD$1,0)),""))</f>
        <v>已付款</v>
      </c>
      <c r="E314" t="str">
        <f>IF(ISBLANK(IFERROR(INDEX('2-3 引出列表'!$A$2:$CE$8700,$A314,MATCH(E$1,'2-3 引出列表'!$A$1:$CD$1,0)),"")),"",IFERROR(INDEX('2-3 引出列表'!$A$2:$CE$8700,$A314,MATCH(E$1,'2-3 引出列表'!$A$1:$CD$1,0)),""))</f>
        <v>2025-07-10</v>
      </c>
      <c r="F314" s="30" t="str">
        <f t="shared" si="4"/>
        <v>2025-07</v>
      </c>
      <c r="G314" t="str">
        <f>IF(ISBLANK(IFERROR(INDEX('2-3 引出列表'!$A$2:$CE$8700,$A314,MATCH(G$1,'2-3 引出列表'!$A$1:$CD$1,0)),"")),"",IFERROR(INDEX('2-3 引出列表'!$A$2:$CE$8700,$A314,MATCH(G$1,'2-3 引出列表'!$A$1:$CD$1,0)),""))</f>
        <v>物料消耗.物料消耗</v>
      </c>
      <c r="H314" t="str">
        <f>IF(ISBLANK(IFERROR(INDEX('2-3 引出列表'!$A$2:$CE$8700,$A314,MATCH(H$1,'2-3 引出列表'!$A$1:$CD$1,0)),"")),"",IFERROR(INDEX('2-3 引出列表'!$A$2:$CE$8700,$A314,MATCH(H$1,'2-3 引出列表'!$A$1:$CD$1,0)),""))</f>
        <v>ZB20210901JCWZ02</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FK250512000610</v>
      </c>
      <c r="C315">
        <f>IF(ISBLANK(IFERROR(INDEX('2-3 引出列表'!$A$2:$CE$8700,$A315,MATCH(C$1,'2-3 引出列表'!$A$1:$CD$1,0)),"")),"",IFERROR(INDEX('2-3 引出列表'!$A$2:$CE$8700,$A315,MATCH(C$1,'2-3 引出列表'!$A$1:$CD$1,0)),""))</f>
        <v>13176.9</v>
      </c>
      <c r="D315" t="str">
        <f>IF(ISBLANK(IFERROR(INDEX('2-3 引出列表'!$A$2:$CE$8700,$A315,MATCH(D$1,'2-3 引出列表'!$A$1:$CD$1,0)),"")),"",IFERROR(INDEX('2-3 引出列表'!$A$2:$CE$8700,$A315,MATCH(D$1,'2-3 引出列表'!$A$1:$CD$1,0)),""))</f>
        <v>已付款</v>
      </c>
      <c r="E315" t="str">
        <f>IF(ISBLANK(IFERROR(INDEX('2-3 引出列表'!$A$2:$CE$8700,$A315,MATCH(E$1,'2-3 引出列表'!$A$1:$CD$1,0)),"")),"",IFERROR(INDEX('2-3 引出列表'!$A$2:$CE$8700,$A315,MATCH(E$1,'2-3 引出列表'!$A$1:$CD$1,0)),""))</f>
        <v>2025-07-10</v>
      </c>
      <c r="F315" s="30" t="str">
        <f t="shared" si="4"/>
        <v>2025-07</v>
      </c>
      <c r="G315" t="str">
        <f>IF(ISBLANK(IFERROR(INDEX('2-3 引出列表'!$A$2:$CE$8700,$A315,MATCH(G$1,'2-3 引出列表'!$A$1:$CD$1,0)),"")),"",IFERROR(INDEX('2-3 引出列表'!$A$2:$CE$8700,$A315,MATCH(G$1,'2-3 引出列表'!$A$1:$CD$1,0)),""))</f>
        <v>物料消耗.物料消耗</v>
      </c>
      <c r="H315" t="str">
        <f>IF(ISBLANK(IFERROR(INDEX('2-3 引出列表'!$A$2:$CE$8700,$A315,MATCH(H$1,'2-3 引出列表'!$A$1:$CD$1,0)),"")),"",IFERROR(INDEX('2-3 引出列表'!$A$2:$CE$8700,$A315,MATCH(H$1,'2-3 引出列表'!$A$1:$CD$1,0)),""))</f>
        <v>ZB20210901JCWZ02</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FK250512000610</v>
      </c>
      <c r="C316">
        <f>IF(ISBLANK(IFERROR(INDEX('2-3 引出列表'!$A$2:$CE$8700,$A316,MATCH(C$1,'2-3 引出列表'!$A$1:$CD$1,0)),"")),"",IFERROR(INDEX('2-3 引出列表'!$A$2:$CE$8700,$A316,MATCH(C$1,'2-3 引出列表'!$A$1:$CD$1,0)),""))</f>
        <v>13176.9</v>
      </c>
      <c r="D316" t="str">
        <f>IF(ISBLANK(IFERROR(INDEX('2-3 引出列表'!$A$2:$CE$8700,$A316,MATCH(D$1,'2-3 引出列表'!$A$1:$CD$1,0)),"")),"",IFERROR(INDEX('2-3 引出列表'!$A$2:$CE$8700,$A316,MATCH(D$1,'2-3 引出列表'!$A$1:$CD$1,0)),""))</f>
        <v>已付款</v>
      </c>
      <c r="E316" t="str">
        <f>IF(ISBLANK(IFERROR(INDEX('2-3 引出列表'!$A$2:$CE$8700,$A316,MATCH(E$1,'2-3 引出列表'!$A$1:$CD$1,0)),"")),"",IFERROR(INDEX('2-3 引出列表'!$A$2:$CE$8700,$A316,MATCH(E$1,'2-3 引出列表'!$A$1:$CD$1,0)),""))</f>
        <v>2025-07-10</v>
      </c>
      <c r="F316" s="30" t="str">
        <f t="shared" si="4"/>
        <v>2025-07</v>
      </c>
      <c r="G316" t="str">
        <f>IF(ISBLANK(IFERROR(INDEX('2-3 引出列表'!$A$2:$CE$8700,$A316,MATCH(G$1,'2-3 引出列表'!$A$1:$CD$1,0)),"")),"",IFERROR(INDEX('2-3 引出列表'!$A$2:$CE$8700,$A316,MATCH(G$1,'2-3 引出列表'!$A$1:$CD$1,0)),""))</f>
        <v>物料消耗.物料消耗</v>
      </c>
      <c r="H316" t="str">
        <f>IF(ISBLANK(IFERROR(INDEX('2-3 引出列表'!$A$2:$CE$8700,$A316,MATCH(H$1,'2-3 引出列表'!$A$1:$CD$1,0)),"")),"",IFERROR(INDEX('2-3 引出列表'!$A$2:$CE$8700,$A316,MATCH(H$1,'2-3 引出列表'!$A$1:$CD$1,0)),""))</f>
        <v>ZB20210901JCWZ02</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FK250512000610</v>
      </c>
      <c r="C317">
        <f>IF(ISBLANK(IFERROR(INDEX('2-3 引出列表'!$A$2:$CE$8700,$A317,MATCH(C$1,'2-3 引出列表'!$A$1:$CD$1,0)),"")),"",IFERROR(INDEX('2-3 引出列表'!$A$2:$CE$8700,$A317,MATCH(C$1,'2-3 引出列表'!$A$1:$CD$1,0)),""))</f>
        <v>13176.9</v>
      </c>
      <c r="D317" t="str">
        <f>IF(ISBLANK(IFERROR(INDEX('2-3 引出列表'!$A$2:$CE$8700,$A317,MATCH(D$1,'2-3 引出列表'!$A$1:$CD$1,0)),"")),"",IFERROR(INDEX('2-3 引出列表'!$A$2:$CE$8700,$A317,MATCH(D$1,'2-3 引出列表'!$A$1:$CD$1,0)),""))</f>
        <v>已付款</v>
      </c>
      <c r="E317" t="str">
        <f>IF(ISBLANK(IFERROR(INDEX('2-3 引出列表'!$A$2:$CE$8700,$A317,MATCH(E$1,'2-3 引出列表'!$A$1:$CD$1,0)),"")),"",IFERROR(INDEX('2-3 引出列表'!$A$2:$CE$8700,$A317,MATCH(E$1,'2-3 引出列表'!$A$1:$CD$1,0)),""))</f>
        <v>2025-07-10</v>
      </c>
      <c r="F317" s="30" t="str">
        <f t="shared" si="4"/>
        <v>2025-07</v>
      </c>
      <c r="G317" t="str">
        <f>IF(ISBLANK(IFERROR(INDEX('2-3 引出列表'!$A$2:$CE$8700,$A317,MATCH(G$1,'2-3 引出列表'!$A$1:$CD$1,0)),"")),"",IFERROR(INDEX('2-3 引出列表'!$A$2:$CE$8700,$A317,MATCH(G$1,'2-3 引出列表'!$A$1:$CD$1,0)),""))</f>
        <v>物料消耗.物料消耗</v>
      </c>
      <c r="H317" t="str">
        <f>IF(ISBLANK(IFERROR(INDEX('2-3 引出列表'!$A$2:$CE$8700,$A317,MATCH(H$1,'2-3 引出列表'!$A$1:$CD$1,0)),"")),"",IFERROR(INDEX('2-3 引出列表'!$A$2:$CE$8700,$A317,MATCH(H$1,'2-3 引出列表'!$A$1:$CD$1,0)),""))</f>
        <v>ZB20210901JCWZ02</v>
      </c>
      <c r="I317" t="str">
        <f>IF(ISBLANK(IFERROR(INDEX('2-3 引出列表'!$A$2:$CE$8700,$A317,MATCH(I$1,'2-3 引出列表'!$A$1:$CD$1,0)),"")),"",IFERROR(INDEX('2-3 引出列表'!$A$2:$CE$8700,$A317,MATCH(I$1,'2-3 引出列表'!$A$1:$CD$1,0)),""))</f>
        <v>金采易购</v>
      </c>
    </row>
    <row r="318" spans="1:9">
      <c r="A318">
        <v>317</v>
      </c>
      <c r="B318" t="str">
        <f>IF(ISBLANK(IFERROR(INDEX('2-3 引出列表'!$A$2:$CE$8700,$A318,MATCH(B$1,'2-3 引出列表'!$A$1:$CD$1,0)),"")),"",IFERROR(INDEX('2-3 引出列表'!$A$2:$CE$8700,$A318,MATCH(B$1,'2-3 引出列表'!$A$1:$CD$1,0)),""))</f>
        <v>FK250512000610</v>
      </c>
      <c r="C318">
        <f>IF(ISBLANK(IFERROR(INDEX('2-3 引出列表'!$A$2:$CE$8700,$A318,MATCH(C$1,'2-3 引出列表'!$A$1:$CD$1,0)),"")),"",IFERROR(INDEX('2-3 引出列表'!$A$2:$CE$8700,$A318,MATCH(C$1,'2-3 引出列表'!$A$1:$CD$1,0)),""))</f>
        <v>13176.9</v>
      </c>
      <c r="D318" t="str">
        <f>IF(ISBLANK(IFERROR(INDEX('2-3 引出列表'!$A$2:$CE$8700,$A318,MATCH(D$1,'2-3 引出列表'!$A$1:$CD$1,0)),"")),"",IFERROR(INDEX('2-3 引出列表'!$A$2:$CE$8700,$A318,MATCH(D$1,'2-3 引出列表'!$A$1:$CD$1,0)),""))</f>
        <v>已付款</v>
      </c>
      <c r="E318" t="str">
        <f>IF(ISBLANK(IFERROR(INDEX('2-3 引出列表'!$A$2:$CE$8700,$A318,MATCH(E$1,'2-3 引出列表'!$A$1:$CD$1,0)),"")),"",IFERROR(INDEX('2-3 引出列表'!$A$2:$CE$8700,$A318,MATCH(E$1,'2-3 引出列表'!$A$1:$CD$1,0)),""))</f>
        <v>2025-07-10</v>
      </c>
      <c r="F318" s="30" t="str">
        <f t="shared" si="4"/>
        <v>2025-07</v>
      </c>
      <c r="G318" t="str">
        <f>IF(ISBLANK(IFERROR(INDEX('2-3 引出列表'!$A$2:$CE$8700,$A318,MATCH(G$1,'2-3 引出列表'!$A$1:$CD$1,0)),"")),"",IFERROR(INDEX('2-3 引出列表'!$A$2:$CE$8700,$A318,MATCH(G$1,'2-3 引出列表'!$A$1:$CD$1,0)),""))</f>
        <v>物料消耗.物料消耗</v>
      </c>
      <c r="H318" t="str">
        <f>IF(ISBLANK(IFERROR(INDEX('2-3 引出列表'!$A$2:$CE$8700,$A318,MATCH(H$1,'2-3 引出列表'!$A$1:$CD$1,0)),"")),"",IFERROR(INDEX('2-3 引出列表'!$A$2:$CE$8700,$A318,MATCH(H$1,'2-3 引出列表'!$A$1:$CD$1,0)),""))</f>
        <v>ZB20210901JCWZ02</v>
      </c>
      <c r="I318" t="str">
        <f>IF(ISBLANK(IFERROR(INDEX('2-3 引出列表'!$A$2:$CE$8700,$A318,MATCH(I$1,'2-3 引出列表'!$A$1:$CD$1,0)),"")),"",IFERROR(INDEX('2-3 引出列表'!$A$2:$CE$8700,$A318,MATCH(I$1,'2-3 引出列表'!$A$1:$CD$1,0)),""))</f>
        <v>金采易购</v>
      </c>
    </row>
    <row r="319" spans="1:9">
      <c r="A319">
        <v>318</v>
      </c>
      <c r="B319" t="str">
        <f>IF(ISBLANK(IFERROR(INDEX('2-3 引出列表'!$A$2:$CE$8700,$A319,MATCH(B$1,'2-3 引出列表'!$A$1:$CD$1,0)),"")),"",IFERROR(INDEX('2-3 引出列表'!$A$2:$CE$8700,$A319,MATCH(B$1,'2-3 引出列表'!$A$1:$CD$1,0)),""))</f>
        <v>FK250512000610</v>
      </c>
      <c r="C319">
        <f>IF(ISBLANK(IFERROR(INDEX('2-3 引出列表'!$A$2:$CE$8700,$A319,MATCH(C$1,'2-3 引出列表'!$A$1:$CD$1,0)),"")),"",IFERROR(INDEX('2-3 引出列表'!$A$2:$CE$8700,$A319,MATCH(C$1,'2-3 引出列表'!$A$1:$CD$1,0)),""))</f>
        <v>13176.9</v>
      </c>
      <c r="D319" t="str">
        <f>IF(ISBLANK(IFERROR(INDEX('2-3 引出列表'!$A$2:$CE$8700,$A319,MATCH(D$1,'2-3 引出列表'!$A$1:$CD$1,0)),"")),"",IFERROR(INDEX('2-3 引出列表'!$A$2:$CE$8700,$A319,MATCH(D$1,'2-3 引出列表'!$A$1:$CD$1,0)),""))</f>
        <v>已付款</v>
      </c>
      <c r="E319" t="str">
        <f>IF(ISBLANK(IFERROR(INDEX('2-3 引出列表'!$A$2:$CE$8700,$A319,MATCH(E$1,'2-3 引出列表'!$A$1:$CD$1,0)),"")),"",IFERROR(INDEX('2-3 引出列表'!$A$2:$CE$8700,$A319,MATCH(E$1,'2-3 引出列表'!$A$1:$CD$1,0)),""))</f>
        <v>2025-07-10</v>
      </c>
      <c r="F319" s="30" t="str">
        <f t="shared" si="4"/>
        <v>2025-07</v>
      </c>
      <c r="G319" t="str">
        <f>IF(ISBLANK(IFERROR(INDEX('2-3 引出列表'!$A$2:$CE$8700,$A319,MATCH(G$1,'2-3 引出列表'!$A$1:$CD$1,0)),"")),"",IFERROR(INDEX('2-3 引出列表'!$A$2:$CE$8700,$A319,MATCH(G$1,'2-3 引出列表'!$A$1:$CD$1,0)),""))</f>
        <v>物料消耗.物料消耗</v>
      </c>
      <c r="H319" t="str">
        <f>IF(ISBLANK(IFERROR(INDEX('2-3 引出列表'!$A$2:$CE$8700,$A319,MATCH(H$1,'2-3 引出列表'!$A$1:$CD$1,0)),"")),"",IFERROR(INDEX('2-3 引出列表'!$A$2:$CE$8700,$A319,MATCH(H$1,'2-3 引出列表'!$A$1:$CD$1,0)),""))</f>
        <v>ZB20210901JCWZ02</v>
      </c>
      <c r="I319" t="str">
        <f>IF(ISBLANK(IFERROR(INDEX('2-3 引出列表'!$A$2:$CE$8700,$A319,MATCH(I$1,'2-3 引出列表'!$A$1:$CD$1,0)),"")),"",IFERROR(INDEX('2-3 引出列表'!$A$2:$CE$8700,$A319,MATCH(I$1,'2-3 引出列表'!$A$1:$CD$1,0)),""))</f>
        <v>金采易购</v>
      </c>
    </row>
    <row r="320" spans="1:9">
      <c r="A320">
        <v>319</v>
      </c>
      <c r="B320" t="str">
        <f>IF(ISBLANK(IFERROR(INDEX('2-3 引出列表'!$A$2:$CE$8700,$A320,MATCH(B$1,'2-3 引出列表'!$A$1:$CD$1,0)),"")),"",IFERROR(INDEX('2-3 引出列表'!$A$2:$CE$8700,$A320,MATCH(B$1,'2-3 引出列表'!$A$1:$CD$1,0)),""))</f>
        <v>FK250512000610</v>
      </c>
      <c r="C320">
        <f>IF(ISBLANK(IFERROR(INDEX('2-3 引出列表'!$A$2:$CE$8700,$A320,MATCH(C$1,'2-3 引出列表'!$A$1:$CD$1,0)),"")),"",IFERROR(INDEX('2-3 引出列表'!$A$2:$CE$8700,$A320,MATCH(C$1,'2-3 引出列表'!$A$1:$CD$1,0)),""))</f>
        <v>13176.9</v>
      </c>
      <c r="D320" t="str">
        <f>IF(ISBLANK(IFERROR(INDEX('2-3 引出列表'!$A$2:$CE$8700,$A320,MATCH(D$1,'2-3 引出列表'!$A$1:$CD$1,0)),"")),"",IFERROR(INDEX('2-3 引出列表'!$A$2:$CE$8700,$A320,MATCH(D$1,'2-3 引出列表'!$A$1:$CD$1,0)),""))</f>
        <v>已付款</v>
      </c>
      <c r="E320" t="str">
        <f>IF(ISBLANK(IFERROR(INDEX('2-3 引出列表'!$A$2:$CE$8700,$A320,MATCH(E$1,'2-3 引出列表'!$A$1:$CD$1,0)),"")),"",IFERROR(INDEX('2-3 引出列表'!$A$2:$CE$8700,$A320,MATCH(E$1,'2-3 引出列表'!$A$1:$CD$1,0)),""))</f>
        <v>2025-07-10</v>
      </c>
      <c r="F320" s="30" t="str">
        <f t="shared" si="4"/>
        <v>2025-07</v>
      </c>
      <c r="G320" t="str">
        <f>IF(ISBLANK(IFERROR(INDEX('2-3 引出列表'!$A$2:$CE$8700,$A320,MATCH(G$1,'2-3 引出列表'!$A$1:$CD$1,0)),"")),"",IFERROR(INDEX('2-3 引出列表'!$A$2:$CE$8700,$A320,MATCH(G$1,'2-3 引出列表'!$A$1:$CD$1,0)),""))</f>
        <v>物料消耗.物料消耗</v>
      </c>
      <c r="H320" t="str">
        <f>IF(ISBLANK(IFERROR(INDEX('2-3 引出列表'!$A$2:$CE$8700,$A320,MATCH(H$1,'2-3 引出列表'!$A$1:$CD$1,0)),"")),"",IFERROR(INDEX('2-3 引出列表'!$A$2:$CE$8700,$A320,MATCH(H$1,'2-3 引出列表'!$A$1:$CD$1,0)),""))</f>
        <v>ZB20210901JCWZ02</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FK250512000610</v>
      </c>
      <c r="C321">
        <f>IF(ISBLANK(IFERROR(INDEX('2-3 引出列表'!$A$2:$CE$8700,$A321,MATCH(C$1,'2-3 引出列表'!$A$1:$CD$1,0)),"")),"",IFERROR(INDEX('2-3 引出列表'!$A$2:$CE$8700,$A321,MATCH(C$1,'2-3 引出列表'!$A$1:$CD$1,0)),""))</f>
        <v>13176.9</v>
      </c>
      <c r="D321" t="str">
        <f>IF(ISBLANK(IFERROR(INDEX('2-3 引出列表'!$A$2:$CE$8700,$A321,MATCH(D$1,'2-3 引出列表'!$A$1:$CD$1,0)),"")),"",IFERROR(INDEX('2-3 引出列表'!$A$2:$CE$8700,$A321,MATCH(D$1,'2-3 引出列表'!$A$1:$CD$1,0)),""))</f>
        <v>已付款</v>
      </c>
      <c r="E321" t="str">
        <f>IF(ISBLANK(IFERROR(INDEX('2-3 引出列表'!$A$2:$CE$8700,$A321,MATCH(E$1,'2-3 引出列表'!$A$1:$CD$1,0)),"")),"",IFERROR(INDEX('2-3 引出列表'!$A$2:$CE$8700,$A321,MATCH(E$1,'2-3 引出列表'!$A$1:$CD$1,0)),""))</f>
        <v>2025-07-10</v>
      </c>
      <c r="F321" s="30" t="str">
        <f t="shared" si="4"/>
        <v>2025-07</v>
      </c>
      <c r="G321" t="str">
        <f>IF(ISBLANK(IFERROR(INDEX('2-3 引出列表'!$A$2:$CE$8700,$A321,MATCH(G$1,'2-3 引出列表'!$A$1:$CD$1,0)),"")),"",IFERROR(INDEX('2-3 引出列表'!$A$2:$CE$8700,$A321,MATCH(G$1,'2-3 引出列表'!$A$1:$CD$1,0)),""))</f>
        <v>物料消耗.物料消耗</v>
      </c>
      <c r="H321" t="str">
        <f>IF(ISBLANK(IFERROR(INDEX('2-3 引出列表'!$A$2:$CE$8700,$A321,MATCH(H$1,'2-3 引出列表'!$A$1:$CD$1,0)),"")),"",IFERROR(INDEX('2-3 引出列表'!$A$2:$CE$8700,$A321,MATCH(H$1,'2-3 引出列表'!$A$1:$CD$1,0)),""))</f>
        <v>ZB20210901JCWZ02</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FK250512000610</v>
      </c>
      <c r="C322">
        <f>IF(ISBLANK(IFERROR(INDEX('2-3 引出列表'!$A$2:$CE$8700,$A322,MATCH(C$1,'2-3 引出列表'!$A$1:$CD$1,0)),"")),"",IFERROR(INDEX('2-3 引出列表'!$A$2:$CE$8700,$A322,MATCH(C$1,'2-3 引出列表'!$A$1:$CD$1,0)),""))</f>
        <v>13176.9</v>
      </c>
      <c r="D322" t="str">
        <f>IF(ISBLANK(IFERROR(INDEX('2-3 引出列表'!$A$2:$CE$8700,$A322,MATCH(D$1,'2-3 引出列表'!$A$1:$CD$1,0)),"")),"",IFERROR(INDEX('2-3 引出列表'!$A$2:$CE$8700,$A322,MATCH(D$1,'2-3 引出列表'!$A$1:$CD$1,0)),""))</f>
        <v>已付款</v>
      </c>
      <c r="E322" t="str">
        <f>IF(ISBLANK(IFERROR(INDEX('2-3 引出列表'!$A$2:$CE$8700,$A322,MATCH(E$1,'2-3 引出列表'!$A$1:$CD$1,0)),"")),"",IFERROR(INDEX('2-3 引出列表'!$A$2:$CE$8700,$A322,MATCH(E$1,'2-3 引出列表'!$A$1:$CD$1,0)),""))</f>
        <v>2025-07-10</v>
      </c>
      <c r="F322" s="30" t="str">
        <f t="shared" si="4"/>
        <v>2025-07</v>
      </c>
      <c r="G322" t="str">
        <f>IF(ISBLANK(IFERROR(INDEX('2-3 引出列表'!$A$2:$CE$8700,$A322,MATCH(G$1,'2-3 引出列表'!$A$1:$CD$1,0)),"")),"",IFERROR(INDEX('2-3 引出列表'!$A$2:$CE$8700,$A322,MATCH(G$1,'2-3 引出列表'!$A$1:$CD$1,0)),""))</f>
        <v>物料消耗.物料消耗</v>
      </c>
      <c r="H322" t="str">
        <f>IF(ISBLANK(IFERROR(INDEX('2-3 引出列表'!$A$2:$CE$8700,$A322,MATCH(H$1,'2-3 引出列表'!$A$1:$CD$1,0)),"")),"",IFERROR(INDEX('2-3 引出列表'!$A$2:$CE$8700,$A322,MATCH(H$1,'2-3 引出列表'!$A$1:$CD$1,0)),""))</f>
        <v>ZB20210901JCWZ02</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FK250512000610</v>
      </c>
      <c r="C323">
        <f>IF(ISBLANK(IFERROR(INDEX('2-3 引出列表'!$A$2:$CE$8700,$A323,MATCH(C$1,'2-3 引出列表'!$A$1:$CD$1,0)),"")),"",IFERROR(INDEX('2-3 引出列表'!$A$2:$CE$8700,$A323,MATCH(C$1,'2-3 引出列表'!$A$1:$CD$1,0)),""))</f>
        <v>13176.9</v>
      </c>
      <c r="D323" t="str">
        <f>IF(ISBLANK(IFERROR(INDEX('2-3 引出列表'!$A$2:$CE$8700,$A323,MATCH(D$1,'2-3 引出列表'!$A$1:$CD$1,0)),"")),"",IFERROR(INDEX('2-3 引出列表'!$A$2:$CE$8700,$A323,MATCH(D$1,'2-3 引出列表'!$A$1:$CD$1,0)),""))</f>
        <v>已付款</v>
      </c>
      <c r="E323" t="str">
        <f>IF(ISBLANK(IFERROR(INDEX('2-3 引出列表'!$A$2:$CE$8700,$A323,MATCH(E$1,'2-3 引出列表'!$A$1:$CD$1,0)),"")),"",IFERROR(INDEX('2-3 引出列表'!$A$2:$CE$8700,$A323,MATCH(E$1,'2-3 引出列表'!$A$1:$CD$1,0)),""))</f>
        <v>2025-07-10</v>
      </c>
      <c r="F323" s="30" t="str">
        <f t="shared" ref="F323:F386" si="5">LEFT(E323,7)</f>
        <v>2025-07</v>
      </c>
      <c r="G323" t="str">
        <f>IF(ISBLANK(IFERROR(INDEX('2-3 引出列表'!$A$2:$CE$8700,$A323,MATCH(G$1,'2-3 引出列表'!$A$1:$CD$1,0)),"")),"",IFERROR(INDEX('2-3 引出列表'!$A$2:$CE$8700,$A323,MATCH(G$1,'2-3 引出列表'!$A$1:$CD$1,0)),""))</f>
        <v>物料消耗.物料消耗</v>
      </c>
      <c r="H323" t="str">
        <f>IF(ISBLANK(IFERROR(INDEX('2-3 引出列表'!$A$2:$CE$8700,$A323,MATCH(H$1,'2-3 引出列表'!$A$1:$CD$1,0)),"")),"",IFERROR(INDEX('2-3 引出列表'!$A$2:$CE$8700,$A323,MATCH(H$1,'2-3 引出列表'!$A$1:$CD$1,0)),""))</f>
        <v>ZB20210901JCWZ02</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FK250509001203</v>
      </c>
      <c r="C324">
        <f>IF(ISBLANK(IFERROR(INDEX('2-3 引出列表'!$A$2:$CE$8700,$A324,MATCH(C$1,'2-3 引出列表'!$A$1:$CD$1,0)),"")),"",IFERROR(INDEX('2-3 引出列表'!$A$2:$CE$8700,$A324,MATCH(C$1,'2-3 引出列表'!$A$1:$CD$1,0)),""))</f>
        <v>30329.26</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2025-07-10</v>
      </c>
      <c r="F324" s="30" t="str">
        <f t="shared" si="5"/>
        <v>2025-07</v>
      </c>
      <c r="G324" t="str">
        <f>IF(ISBLANK(IFERROR(INDEX('2-3 引出列表'!$A$2:$CE$8700,$A324,MATCH(G$1,'2-3 引出列表'!$A$1:$CD$1,0)),"")),"",IFERROR(INDEX('2-3 引出列表'!$A$2:$CE$8700,$A324,MATCH(G$1,'2-3 引出列表'!$A$1:$CD$1,0)),""))</f>
        <v>物料消耗.物料消耗</v>
      </c>
      <c r="H324">
        <f>IF(ISBLANK(IFERROR(INDEX('2-3 引出列表'!$A$2:$CE$8700,$A324,MATCH(H$1,'2-3 引出列表'!$A$1:$CD$1,0)),"")),"",IFERROR(INDEX('2-3 引出列表'!$A$2:$CE$8700,$A324,MATCH(H$1,'2-3 引出列表'!$A$1:$CD$1,0)),""))</f>
        <v>0</v>
      </c>
      <c r="I324" t="str">
        <f>IF(ISBLANK(IFERROR(INDEX('2-3 引出列表'!$A$2:$CE$8700,$A324,MATCH(I$1,'2-3 引出列表'!$A$1:$CD$1,0)),"")),"",IFERROR(INDEX('2-3 引出列表'!$A$2:$CE$8700,$A324,MATCH(I$1,'2-3 引出列表'!$A$1:$CD$1,0)),""))</f>
        <v>金采易购</v>
      </c>
    </row>
    <row r="325" spans="1:9">
      <c r="A325">
        <v>324</v>
      </c>
      <c r="B325" t="str">
        <f>IF(ISBLANK(IFERROR(INDEX('2-3 引出列表'!$A$2:$CE$8700,$A325,MATCH(B$1,'2-3 引出列表'!$A$1:$CD$1,0)),"")),"",IFERROR(INDEX('2-3 引出列表'!$A$2:$CE$8700,$A325,MATCH(B$1,'2-3 引出列表'!$A$1:$CD$1,0)),""))</f>
        <v>FK250509001203</v>
      </c>
      <c r="C325">
        <f>IF(ISBLANK(IFERROR(INDEX('2-3 引出列表'!$A$2:$CE$8700,$A325,MATCH(C$1,'2-3 引出列表'!$A$1:$CD$1,0)),"")),"",IFERROR(INDEX('2-3 引出列表'!$A$2:$CE$8700,$A325,MATCH(C$1,'2-3 引出列表'!$A$1:$CD$1,0)),""))</f>
        <v>30329.26</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2025-07-10</v>
      </c>
      <c r="F325" s="30" t="str">
        <f t="shared" si="5"/>
        <v>2025-07</v>
      </c>
      <c r="G325" t="str">
        <f>IF(ISBLANK(IFERROR(INDEX('2-3 引出列表'!$A$2:$CE$8700,$A325,MATCH(G$1,'2-3 引出列表'!$A$1:$CD$1,0)),"")),"",IFERROR(INDEX('2-3 引出列表'!$A$2:$CE$8700,$A325,MATCH(G$1,'2-3 引出列表'!$A$1:$CD$1,0)),""))</f>
        <v>物料消耗.物料消耗</v>
      </c>
      <c r="H325">
        <f>IF(ISBLANK(IFERROR(INDEX('2-3 引出列表'!$A$2:$CE$8700,$A325,MATCH(H$1,'2-3 引出列表'!$A$1:$CD$1,0)),"")),"",IFERROR(INDEX('2-3 引出列表'!$A$2:$CE$8700,$A325,MATCH(H$1,'2-3 引出列表'!$A$1:$CD$1,0)),""))</f>
        <v>0</v>
      </c>
      <c r="I325" t="str">
        <f>IF(ISBLANK(IFERROR(INDEX('2-3 引出列表'!$A$2:$CE$8700,$A325,MATCH(I$1,'2-3 引出列表'!$A$1:$CD$1,0)),"")),"",IFERROR(INDEX('2-3 引出列表'!$A$2:$CE$8700,$A325,MATCH(I$1,'2-3 引出列表'!$A$1:$CD$1,0)),""))</f>
        <v>金采易购</v>
      </c>
    </row>
    <row r="326" spans="1:9">
      <c r="A326">
        <v>325</v>
      </c>
      <c r="B326" t="str">
        <f>IF(ISBLANK(IFERROR(INDEX('2-3 引出列表'!$A$2:$CE$8700,$A326,MATCH(B$1,'2-3 引出列表'!$A$1:$CD$1,0)),"")),"",IFERROR(INDEX('2-3 引出列表'!$A$2:$CE$8700,$A326,MATCH(B$1,'2-3 引出列表'!$A$1:$CD$1,0)),""))</f>
        <v>FK250509001179</v>
      </c>
      <c r="C326">
        <f>IF(ISBLANK(IFERROR(INDEX('2-3 引出列表'!$A$2:$CE$8700,$A326,MATCH(C$1,'2-3 引出列表'!$A$1:$CD$1,0)),"")),"",IFERROR(INDEX('2-3 引出列表'!$A$2:$CE$8700,$A326,MATCH(C$1,'2-3 引出列表'!$A$1:$CD$1,0)),""))</f>
        <v>10943.6</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2025-07-10</v>
      </c>
      <c r="F326" s="30" t="str">
        <f t="shared" si="5"/>
        <v>2025-07</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XHWZ-Z-2024-0076</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FK250509001179</v>
      </c>
      <c r="C327">
        <f>IF(ISBLANK(IFERROR(INDEX('2-3 引出列表'!$A$2:$CE$8700,$A327,MATCH(C$1,'2-3 引出列表'!$A$1:$CD$1,0)),"")),"",IFERROR(INDEX('2-3 引出列表'!$A$2:$CE$8700,$A327,MATCH(C$1,'2-3 引出列表'!$A$1:$CD$1,0)),""))</f>
        <v>10943.6</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2025-07-10</v>
      </c>
      <c r="F327" s="30" t="str">
        <f t="shared" si="5"/>
        <v>2025-07</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XHWZ-Z-2024-0076</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FK250509001179</v>
      </c>
      <c r="C328">
        <f>IF(ISBLANK(IFERROR(INDEX('2-3 引出列表'!$A$2:$CE$8700,$A328,MATCH(C$1,'2-3 引出列表'!$A$1:$CD$1,0)),"")),"",IFERROR(INDEX('2-3 引出列表'!$A$2:$CE$8700,$A328,MATCH(C$1,'2-3 引出列表'!$A$1:$CD$1,0)),""))</f>
        <v>10943.6</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2025-07-10</v>
      </c>
      <c r="F328" s="30" t="str">
        <f t="shared" si="5"/>
        <v>2025-07</v>
      </c>
      <c r="G328" t="str">
        <f>IF(ISBLANK(IFERROR(INDEX('2-3 引出列表'!$A$2:$CE$8700,$A328,MATCH(G$1,'2-3 引出列表'!$A$1:$CD$1,0)),"")),"",IFERROR(INDEX('2-3 引出列表'!$A$2:$CE$8700,$A328,MATCH(G$1,'2-3 引出列表'!$A$1:$CD$1,0)),""))</f>
        <v>物料消耗.物料消耗</v>
      </c>
      <c r="H328" t="str">
        <f>IF(ISBLANK(IFERROR(INDEX('2-3 引出列表'!$A$2:$CE$8700,$A328,MATCH(H$1,'2-3 引出列表'!$A$1:$CD$1,0)),"")),"",IFERROR(INDEX('2-3 引出列表'!$A$2:$CE$8700,$A328,MATCH(H$1,'2-3 引出列表'!$A$1:$CD$1,0)),""))</f>
        <v>XHWZ-Z-2024-0076</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FK250509001179</v>
      </c>
      <c r="C329">
        <f>IF(ISBLANK(IFERROR(INDEX('2-3 引出列表'!$A$2:$CE$8700,$A329,MATCH(C$1,'2-3 引出列表'!$A$1:$CD$1,0)),"")),"",IFERROR(INDEX('2-3 引出列表'!$A$2:$CE$8700,$A329,MATCH(C$1,'2-3 引出列表'!$A$1:$CD$1,0)),""))</f>
        <v>10943.6</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2025-07-10</v>
      </c>
      <c r="F329" s="30" t="str">
        <f t="shared" si="5"/>
        <v>2025-07</v>
      </c>
      <c r="G329" t="str">
        <f>IF(ISBLANK(IFERROR(INDEX('2-3 引出列表'!$A$2:$CE$8700,$A329,MATCH(G$1,'2-3 引出列表'!$A$1:$CD$1,0)),"")),"",IFERROR(INDEX('2-3 引出列表'!$A$2:$CE$8700,$A329,MATCH(G$1,'2-3 引出列表'!$A$1:$CD$1,0)),""))</f>
        <v>物料消耗.物料消耗</v>
      </c>
      <c r="H329" t="str">
        <f>IF(ISBLANK(IFERROR(INDEX('2-3 引出列表'!$A$2:$CE$8700,$A329,MATCH(H$1,'2-3 引出列表'!$A$1:$CD$1,0)),"")),"",IFERROR(INDEX('2-3 引出列表'!$A$2:$CE$8700,$A329,MATCH(H$1,'2-3 引出列表'!$A$1:$CD$1,0)),""))</f>
        <v>XHWZ-Z-2024-0076</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FK250509001179</v>
      </c>
      <c r="C330">
        <f>IF(ISBLANK(IFERROR(INDEX('2-3 引出列表'!$A$2:$CE$8700,$A330,MATCH(C$1,'2-3 引出列表'!$A$1:$CD$1,0)),"")),"",IFERROR(INDEX('2-3 引出列表'!$A$2:$CE$8700,$A330,MATCH(C$1,'2-3 引出列表'!$A$1:$CD$1,0)),""))</f>
        <v>10943.6</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2025-07-10</v>
      </c>
      <c r="F330" s="30" t="str">
        <f t="shared" si="5"/>
        <v>2025-07</v>
      </c>
      <c r="G330" t="str">
        <f>IF(ISBLANK(IFERROR(INDEX('2-3 引出列表'!$A$2:$CE$8700,$A330,MATCH(G$1,'2-3 引出列表'!$A$1:$CD$1,0)),"")),"",IFERROR(INDEX('2-3 引出列表'!$A$2:$CE$8700,$A330,MATCH(G$1,'2-3 引出列表'!$A$1:$CD$1,0)),""))</f>
        <v>物料消耗.物料消耗</v>
      </c>
      <c r="H330" t="str">
        <f>IF(ISBLANK(IFERROR(INDEX('2-3 引出列表'!$A$2:$CE$8700,$A330,MATCH(H$1,'2-3 引出列表'!$A$1:$CD$1,0)),"")),"",IFERROR(INDEX('2-3 引出列表'!$A$2:$CE$8700,$A330,MATCH(H$1,'2-3 引出列表'!$A$1:$CD$1,0)),""))</f>
        <v>XHWZ-Z-2024-0076</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FK250509001179</v>
      </c>
      <c r="C331">
        <f>IF(ISBLANK(IFERROR(INDEX('2-3 引出列表'!$A$2:$CE$8700,$A331,MATCH(C$1,'2-3 引出列表'!$A$1:$CD$1,0)),"")),"",IFERROR(INDEX('2-3 引出列表'!$A$2:$CE$8700,$A331,MATCH(C$1,'2-3 引出列表'!$A$1:$CD$1,0)),""))</f>
        <v>10943.6</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2025-07-10</v>
      </c>
      <c r="F331" s="30" t="str">
        <f t="shared" si="5"/>
        <v>2025-07</v>
      </c>
      <c r="G331" t="str">
        <f>IF(ISBLANK(IFERROR(INDEX('2-3 引出列表'!$A$2:$CE$8700,$A331,MATCH(G$1,'2-3 引出列表'!$A$1:$CD$1,0)),"")),"",IFERROR(INDEX('2-3 引出列表'!$A$2:$CE$8700,$A331,MATCH(G$1,'2-3 引出列表'!$A$1:$CD$1,0)),""))</f>
        <v>物料消耗.物料消耗</v>
      </c>
      <c r="H331" t="str">
        <f>IF(ISBLANK(IFERROR(INDEX('2-3 引出列表'!$A$2:$CE$8700,$A331,MATCH(H$1,'2-3 引出列表'!$A$1:$CD$1,0)),"")),"",IFERROR(INDEX('2-3 引出列表'!$A$2:$CE$8700,$A331,MATCH(H$1,'2-3 引出列表'!$A$1:$CD$1,0)),""))</f>
        <v>XHWZ-Z-2024-0076</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FK250509001179</v>
      </c>
      <c r="C332">
        <f>IF(ISBLANK(IFERROR(INDEX('2-3 引出列表'!$A$2:$CE$8700,$A332,MATCH(C$1,'2-3 引出列表'!$A$1:$CD$1,0)),"")),"",IFERROR(INDEX('2-3 引出列表'!$A$2:$CE$8700,$A332,MATCH(C$1,'2-3 引出列表'!$A$1:$CD$1,0)),""))</f>
        <v>10943.6</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2025-07-10</v>
      </c>
      <c r="F332" s="30" t="str">
        <f t="shared" si="5"/>
        <v>2025-07</v>
      </c>
      <c r="G332" t="str">
        <f>IF(ISBLANK(IFERROR(INDEX('2-3 引出列表'!$A$2:$CE$8700,$A332,MATCH(G$1,'2-3 引出列表'!$A$1:$CD$1,0)),"")),"",IFERROR(INDEX('2-3 引出列表'!$A$2:$CE$8700,$A332,MATCH(G$1,'2-3 引出列表'!$A$1:$CD$1,0)),""))</f>
        <v>物料消耗.物料消耗</v>
      </c>
      <c r="H332" t="str">
        <f>IF(ISBLANK(IFERROR(INDEX('2-3 引出列表'!$A$2:$CE$8700,$A332,MATCH(H$1,'2-3 引出列表'!$A$1:$CD$1,0)),"")),"",IFERROR(INDEX('2-3 引出列表'!$A$2:$CE$8700,$A332,MATCH(H$1,'2-3 引出列表'!$A$1:$CD$1,0)),""))</f>
        <v>XHWZ-Z-2024-0076</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FK250509001179</v>
      </c>
      <c r="C333">
        <f>IF(ISBLANK(IFERROR(INDEX('2-3 引出列表'!$A$2:$CE$8700,$A333,MATCH(C$1,'2-3 引出列表'!$A$1:$CD$1,0)),"")),"",IFERROR(INDEX('2-3 引出列表'!$A$2:$CE$8700,$A333,MATCH(C$1,'2-3 引出列表'!$A$1:$CD$1,0)),""))</f>
        <v>10943.6</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2025-07-10</v>
      </c>
      <c r="F333" s="30" t="str">
        <f t="shared" si="5"/>
        <v>2025-07</v>
      </c>
      <c r="G333" t="str">
        <f>IF(ISBLANK(IFERROR(INDEX('2-3 引出列表'!$A$2:$CE$8700,$A333,MATCH(G$1,'2-3 引出列表'!$A$1:$CD$1,0)),"")),"",IFERROR(INDEX('2-3 引出列表'!$A$2:$CE$8700,$A333,MATCH(G$1,'2-3 引出列表'!$A$1:$CD$1,0)),""))</f>
        <v>物料消耗.物料消耗</v>
      </c>
      <c r="H333" t="str">
        <f>IF(ISBLANK(IFERROR(INDEX('2-3 引出列表'!$A$2:$CE$8700,$A333,MATCH(H$1,'2-3 引出列表'!$A$1:$CD$1,0)),"")),"",IFERROR(INDEX('2-3 引出列表'!$A$2:$CE$8700,$A333,MATCH(H$1,'2-3 引出列表'!$A$1:$CD$1,0)),""))</f>
        <v>XHWZ-Z-2024-0076</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FK250510000189</v>
      </c>
      <c r="C334">
        <f>IF(ISBLANK(IFERROR(INDEX('2-3 引出列表'!$A$2:$CE$8700,$A334,MATCH(C$1,'2-3 引出列表'!$A$1:$CD$1,0)),"")),"",IFERROR(INDEX('2-3 引出列表'!$A$2:$CE$8700,$A334,MATCH(C$1,'2-3 引出列表'!$A$1:$CD$1,0)),""))</f>
        <v>30391.23</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2025-07-10</v>
      </c>
      <c r="F334" s="30" t="str">
        <f t="shared" si="5"/>
        <v>2025-07</v>
      </c>
      <c r="G334" t="str">
        <f>IF(ISBLANK(IFERROR(INDEX('2-3 引出列表'!$A$2:$CE$8700,$A334,MATCH(G$1,'2-3 引出列表'!$A$1:$CD$1,0)),"")),"",IFERROR(INDEX('2-3 引出列表'!$A$2:$CE$8700,$A334,MATCH(G$1,'2-3 引出列表'!$A$1:$CD$1,0)),""))</f>
        <v>物料消耗.物料消耗</v>
      </c>
      <c r="H334">
        <f>IF(ISBLANK(IFERROR(INDEX('2-3 引出列表'!$A$2:$CE$8700,$A334,MATCH(H$1,'2-3 引出列表'!$A$1:$CD$1,0)),"")),"",IFERROR(INDEX('2-3 引出列表'!$A$2:$CE$8700,$A334,MATCH(H$1,'2-3 引出列表'!$A$1:$CD$1,0)),""))</f>
        <v>0</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FK250509000282</v>
      </c>
      <c r="C335">
        <f>IF(ISBLANK(IFERROR(INDEX('2-3 引出列表'!$A$2:$CE$8700,$A335,MATCH(C$1,'2-3 引出列表'!$A$1:$CD$1,0)),"")),"",IFERROR(INDEX('2-3 引出列表'!$A$2:$CE$8700,$A335,MATCH(C$1,'2-3 引出列表'!$A$1:$CD$1,0)),""))</f>
        <v>2893.59</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2025-07-10</v>
      </c>
      <c r="F335" s="30" t="str">
        <f t="shared" si="5"/>
        <v>2025-07</v>
      </c>
      <c r="G335" t="str">
        <f>IF(ISBLANK(IFERROR(INDEX('2-3 引出列表'!$A$2:$CE$8700,$A335,MATCH(G$1,'2-3 引出列表'!$A$1:$CD$1,0)),"")),"",IFERROR(INDEX('2-3 引出列表'!$A$2:$CE$8700,$A335,MATCH(G$1,'2-3 引出列表'!$A$1:$CD$1,0)),""))</f>
        <v>物料消耗.物料消耗</v>
      </c>
      <c r="H335">
        <f>IF(ISBLANK(IFERROR(INDEX('2-3 引出列表'!$A$2:$CE$8700,$A335,MATCH(H$1,'2-3 引出列表'!$A$1:$CD$1,0)),"")),"",IFERROR(INDEX('2-3 引出列表'!$A$2:$CE$8700,$A335,MATCH(H$1,'2-3 引出列表'!$A$1:$CD$1,0)),""))</f>
        <v>0</v>
      </c>
      <c r="I335" t="str">
        <f>IF(ISBLANK(IFERROR(INDEX('2-3 引出列表'!$A$2:$CE$8700,$A335,MATCH(I$1,'2-3 引出列表'!$A$1:$CD$1,0)),"")),"",IFERROR(INDEX('2-3 引出列表'!$A$2:$CE$8700,$A335,MATCH(I$1,'2-3 引出列表'!$A$1:$CD$1,0)),""))</f>
        <v>金采易购</v>
      </c>
    </row>
    <row r="336" spans="1:9">
      <c r="A336">
        <v>335</v>
      </c>
      <c r="B336" t="str">
        <f>IF(ISBLANK(IFERROR(INDEX('2-3 引出列表'!$A$2:$CE$8700,$A336,MATCH(B$1,'2-3 引出列表'!$A$1:$CD$1,0)),"")),"",IFERROR(INDEX('2-3 引出列表'!$A$2:$CE$8700,$A336,MATCH(B$1,'2-3 引出列表'!$A$1:$CD$1,0)),""))</f>
        <v>FK250509000282</v>
      </c>
      <c r="C336">
        <f>IF(ISBLANK(IFERROR(INDEX('2-3 引出列表'!$A$2:$CE$8700,$A336,MATCH(C$1,'2-3 引出列表'!$A$1:$CD$1,0)),"")),"",IFERROR(INDEX('2-3 引出列表'!$A$2:$CE$8700,$A336,MATCH(C$1,'2-3 引出列表'!$A$1:$CD$1,0)),""))</f>
        <v>2893.59</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2025-07-10</v>
      </c>
      <c r="F336" s="30" t="str">
        <f t="shared" si="5"/>
        <v>2025-07</v>
      </c>
      <c r="G336" t="str">
        <f>IF(ISBLANK(IFERROR(INDEX('2-3 引出列表'!$A$2:$CE$8700,$A336,MATCH(G$1,'2-3 引出列表'!$A$1:$CD$1,0)),"")),"",IFERROR(INDEX('2-3 引出列表'!$A$2:$CE$8700,$A336,MATCH(G$1,'2-3 引出列表'!$A$1:$CD$1,0)),""))</f>
        <v>物料消耗.物料消耗</v>
      </c>
      <c r="H336">
        <f>IF(ISBLANK(IFERROR(INDEX('2-3 引出列表'!$A$2:$CE$8700,$A336,MATCH(H$1,'2-3 引出列表'!$A$1:$CD$1,0)),"")),"",IFERROR(INDEX('2-3 引出列表'!$A$2:$CE$8700,$A336,MATCH(H$1,'2-3 引出列表'!$A$1:$CD$1,0)),""))</f>
        <v>0</v>
      </c>
      <c r="I336" t="str">
        <f>IF(ISBLANK(IFERROR(INDEX('2-3 引出列表'!$A$2:$CE$8700,$A336,MATCH(I$1,'2-3 引出列表'!$A$1:$CD$1,0)),"")),"",IFERROR(INDEX('2-3 引出列表'!$A$2:$CE$8700,$A336,MATCH(I$1,'2-3 引出列表'!$A$1:$CD$1,0)),""))</f>
        <v>金采易购</v>
      </c>
    </row>
    <row r="337" spans="1:9">
      <c r="A337">
        <v>336</v>
      </c>
      <c r="B337" t="str">
        <f>IF(ISBLANK(IFERROR(INDEX('2-3 引出列表'!$A$2:$CE$8700,$A337,MATCH(B$1,'2-3 引出列表'!$A$1:$CD$1,0)),"")),"",IFERROR(INDEX('2-3 引出列表'!$A$2:$CE$8700,$A337,MATCH(B$1,'2-3 引出列表'!$A$1:$CD$1,0)),""))</f>
        <v>FK250509000282</v>
      </c>
      <c r="C337">
        <f>IF(ISBLANK(IFERROR(INDEX('2-3 引出列表'!$A$2:$CE$8700,$A337,MATCH(C$1,'2-3 引出列表'!$A$1:$CD$1,0)),"")),"",IFERROR(INDEX('2-3 引出列表'!$A$2:$CE$8700,$A337,MATCH(C$1,'2-3 引出列表'!$A$1:$CD$1,0)),""))</f>
        <v>2893.59</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2025-07-10</v>
      </c>
      <c r="F337" s="30" t="str">
        <f t="shared" si="5"/>
        <v>2025-07</v>
      </c>
      <c r="G337" t="str">
        <f>IF(ISBLANK(IFERROR(INDEX('2-3 引出列表'!$A$2:$CE$8700,$A337,MATCH(G$1,'2-3 引出列表'!$A$1:$CD$1,0)),"")),"",IFERROR(INDEX('2-3 引出列表'!$A$2:$CE$8700,$A337,MATCH(G$1,'2-3 引出列表'!$A$1:$CD$1,0)),""))</f>
        <v>物料消耗.物料消耗</v>
      </c>
      <c r="H337">
        <f>IF(ISBLANK(IFERROR(INDEX('2-3 引出列表'!$A$2:$CE$8700,$A337,MATCH(H$1,'2-3 引出列表'!$A$1:$CD$1,0)),"")),"",IFERROR(INDEX('2-3 引出列表'!$A$2:$CE$8700,$A337,MATCH(H$1,'2-3 引出列表'!$A$1:$CD$1,0)),""))</f>
        <v>0</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FK250509000282</v>
      </c>
      <c r="C338">
        <f>IF(ISBLANK(IFERROR(INDEX('2-3 引出列表'!$A$2:$CE$8700,$A338,MATCH(C$1,'2-3 引出列表'!$A$1:$CD$1,0)),"")),"",IFERROR(INDEX('2-3 引出列表'!$A$2:$CE$8700,$A338,MATCH(C$1,'2-3 引出列表'!$A$1:$CD$1,0)),""))</f>
        <v>2893.59</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2025-07-10</v>
      </c>
      <c r="F338" s="30" t="str">
        <f t="shared" si="5"/>
        <v>2025-07</v>
      </c>
      <c r="G338" t="str">
        <f>IF(ISBLANK(IFERROR(INDEX('2-3 引出列表'!$A$2:$CE$8700,$A338,MATCH(G$1,'2-3 引出列表'!$A$1:$CD$1,0)),"")),"",IFERROR(INDEX('2-3 引出列表'!$A$2:$CE$8700,$A338,MATCH(G$1,'2-3 引出列表'!$A$1:$CD$1,0)),""))</f>
        <v>物料消耗.物料消耗</v>
      </c>
      <c r="H338">
        <f>IF(ISBLANK(IFERROR(INDEX('2-3 引出列表'!$A$2:$CE$8700,$A338,MATCH(H$1,'2-3 引出列表'!$A$1:$CD$1,0)),"")),"",IFERROR(INDEX('2-3 引出列表'!$A$2:$CE$8700,$A338,MATCH(H$1,'2-3 引出列表'!$A$1:$CD$1,0)),""))</f>
        <v>0</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FK250509000282</v>
      </c>
      <c r="C339">
        <f>IF(ISBLANK(IFERROR(INDEX('2-3 引出列表'!$A$2:$CE$8700,$A339,MATCH(C$1,'2-3 引出列表'!$A$1:$CD$1,0)),"")),"",IFERROR(INDEX('2-3 引出列表'!$A$2:$CE$8700,$A339,MATCH(C$1,'2-3 引出列表'!$A$1:$CD$1,0)),""))</f>
        <v>2893.59</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2025-07-10</v>
      </c>
      <c r="F339" s="30" t="str">
        <f t="shared" si="5"/>
        <v>2025-07</v>
      </c>
      <c r="G339" t="str">
        <f>IF(ISBLANK(IFERROR(INDEX('2-3 引出列表'!$A$2:$CE$8700,$A339,MATCH(G$1,'2-3 引出列表'!$A$1:$CD$1,0)),"")),"",IFERROR(INDEX('2-3 引出列表'!$A$2:$CE$8700,$A339,MATCH(G$1,'2-3 引出列表'!$A$1:$CD$1,0)),""))</f>
        <v>物料消耗.物料消耗</v>
      </c>
      <c r="H339">
        <f>IF(ISBLANK(IFERROR(INDEX('2-3 引出列表'!$A$2:$CE$8700,$A339,MATCH(H$1,'2-3 引出列表'!$A$1:$CD$1,0)),"")),"",IFERROR(INDEX('2-3 引出列表'!$A$2:$CE$8700,$A339,MATCH(H$1,'2-3 引出列表'!$A$1:$CD$1,0)),""))</f>
        <v>0</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FK250509000282</v>
      </c>
      <c r="C340">
        <f>IF(ISBLANK(IFERROR(INDEX('2-3 引出列表'!$A$2:$CE$8700,$A340,MATCH(C$1,'2-3 引出列表'!$A$1:$CD$1,0)),"")),"",IFERROR(INDEX('2-3 引出列表'!$A$2:$CE$8700,$A340,MATCH(C$1,'2-3 引出列表'!$A$1:$CD$1,0)),""))</f>
        <v>2893.59</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2025-07-10</v>
      </c>
      <c r="F340" s="30" t="str">
        <f t="shared" si="5"/>
        <v>2025-07</v>
      </c>
      <c r="G340" t="str">
        <f>IF(ISBLANK(IFERROR(INDEX('2-3 引出列表'!$A$2:$CE$8700,$A340,MATCH(G$1,'2-3 引出列表'!$A$1:$CD$1,0)),"")),"",IFERROR(INDEX('2-3 引出列表'!$A$2:$CE$8700,$A340,MATCH(G$1,'2-3 引出列表'!$A$1:$CD$1,0)),""))</f>
        <v>物料消耗.物料消耗</v>
      </c>
      <c r="H340">
        <f>IF(ISBLANK(IFERROR(INDEX('2-3 引出列表'!$A$2:$CE$8700,$A340,MATCH(H$1,'2-3 引出列表'!$A$1:$CD$1,0)),"")),"",IFERROR(INDEX('2-3 引出列表'!$A$2:$CE$8700,$A340,MATCH(H$1,'2-3 引出列表'!$A$1:$CD$1,0)),""))</f>
        <v>0</v>
      </c>
      <c r="I340" t="str">
        <f>IF(ISBLANK(IFERROR(INDEX('2-3 引出列表'!$A$2:$CE$8700,$A340,MATCH(I$1,'2-3 引出列表'!$A$1:$CD$1,0)),"")),"",IFERROR(INDEX('2-3 引出列表'!$A$2:$CE$8700,$A340,MATCH(I$1,'2-3 引出列表'!$A$1:$CD$1,0)),""))</f>
        <v>金采易购</v>
      </c>
    </row>
    <row r="341" spans="1:9">
      <c r="A341">
        <v>340</v>
      </c>
      <c r="B341" t="str">
        <f>IF(ISBLANK(IFERROR(INDEX('2-3 引出列表'!$A$2:$CE$8700,$A341,MATCH(B$1,'2-3 引出列表'!$A$1:$CD$1,0)),"")),"",IFERROR(INDEX('2-3 引出列表'!$A$2:$CE$8700,$A341,MATCH(B$1,'2-3 引出列表'!$A$1:$CD$1,0)),""))</f>
        <v>FK250510000200</v>
      </c>
      <c r="C341">
        <f>IF(ISBLANK(IFERROR(INDEX('2-3 引出列表'!$A$2:$CE$8700,$A341,MATCH(C$1,'2-3 引出列表'!$A$1:$CD$1,0)),"")),"",IFERROR(INDEX('2-3 引出列表'!$A$2:$CE$8700,$A341,MATCH(C$1,'2-3 引出列表'!$A$1:$CD$1,0)),""))</f>
        <v>1260</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2025-07-10</v>
      </c>
      <c r="F341" s="30" t="str">
        <f t="shared" si="5"/>
        <v>2025-07</v>
      </c>
      <c r="G341" t="str">
        <f>IF(ISBLANK(IFERROR(INDEX('2-3 引出列表'!$A$2:$CE$8700,$A341,MATCH(G$1,'2-3 引出列表'!$A$1:$CD$1,0)),"")),"",IFERROR(INDEX('2-3 引出列表'!$A$2:$CE$8700,$A341,MATCH(G$1,'2-3 引出列表'!$A$1:$CD$1,0)),""))</f>
        <v>物料消耗.物料消耗</v>
      </c>
      <c r="H341" t="str">
        <f>IF(ISBLANK(IFERROR(INDEX('2-3 引出列表'!$A$2:$CE$8700,$A341,MATCH(H$1,'2-3 引出列表'!$A$1:$CD$1,0)),"")),"",IFERROR(INDEX('2-3 引出列表'!$A$2:$CE$8700,$A341,MATCH(H$1,'2-3 引出列表'!$A$1:$CD$1,0)),""))</f>
        <v>XHWZ-Z-2024-0232</v>
      </c>
      <c r="I341" t="str">
        <f>IF(ISBLANK(IFERROR(INDEX('2-3 引出列表'!$A$2:$CE$8700,$A341,MATCH(I$1,'2-3 引出列表'!$A$1:$CD$1,0)),"")),"",IFERROR(INDEX('2-3 引出列表'!$A$2:$CE$8700,$A341,MATCH(I$1,'2-3 引出列表'!$A$1:$CD$1,0)),""))</f>
        <v>金采易购</v>
      </c>
    </row>
    <row r="342" spans="1:9">
      <c r="A342">
        <v>341</v>
      </c>
      <c r="B342" t="str">
        <f>IF(ISBLANK(IFERROR(INDEX('2-3 引出列表'!$A$2:$CE$8700,$A342,MATCH(B$1,'2-3 引出列表'!$A$1:$CD$1,0)),"")),"",IFERROR(INDEX('2-3 引出列表'!$A$2:$CE$8700,$A342,MATCH(B$1,'2-3 引出列表'!$A$1:$CD$1,0)),""))</f>
        <v>FK250512001223</v>
      </c>
      <c r="C342">
        <f>IF(ISBLANK(IFERROR(INDEX('2-3 引出列表'!$A$2:$CE$8700,$A342,MATCH(C$1,'2-3 引出列表'!$A$1:$CD$1,0)),"")),"",IFERROR(INDEX('2-3 引出列表'!$A$2:$CE$8700,$A342,MATCH(C$1,'2-3 引出列表'!$A$1:$CD$1,0)),""))</f>
        <v>1130</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2025-07-10</v>
      </c>
      <c r="F342" s="30" t="str">
        <f t="shared" si="5"/>
        <v>2025-07</v>
      </c>
      <c r="G342" t="str">
        <f>IF(ISBLANK(IFERROR(INDEX('2-3 引出列表'!$A$2:$CE$8700,$A342,MATCH(G$1,'2-3 引出列表'!$A$1:$CD$1,0)),"")),"",IFERROR(INDEX('2-3 引出列表'!$A$2:$CE$8700,$A342,MATCH(G$1,'2-3 引出列表'!$A$1:$CD$1,0)),""))</f>
        <v>物料消耗.物料消耗</v>
      </c>
      <c r="H342">
        <f>IF(ISBLANK(IFERROR(INDEX('2-3 引出列表'!$A$2:$CE$8700,$A342,MATCH(H$1,'2-3 引出列表'!$A$1:$CD$1,0)),"")),"",IFERROR(INDEX('2-3 引出列表'!$A$2:$CE$8700,$A342,MATCH(H$1,'2-3 引出列表'!$A$1:$CD$1,0)),""))</f>
        <v>0</v>
      </c>
      <c r="I342" t="str">
        <f>IF(ISBLANK(IFERROR(INDEX('2-3 引出列表'!$A$2:$CE$8700,$A342,MATCH(I$1,'2-3 引出列表'!$A$1:$CD$1,0)),"")),"",IFERROR(INDEX('2-3 引出列表'!$A$2:$CE$8700,$A342,MATCH(I$1,'2-3 引出列表'!$A$1:$CD$1,0)),""))</f>
        <v>金采易购</v>
      </c>
    </row>
    <row r="343" spans="1:9">
      <c r="A343">
        <v>342</v>
      </c>
      <c r="B343" t="str">
        <f>IF(ISBLANK(IFERROR(INDEX('2-3 引出列表'!$A$2:$CE$8700,$A343,MATCH(B$1,'2-3 引出列表'!$A$1:$CD$1,0)),"")),"",IFERROR(INDEX('2-3 引出列表'!$A$2:$CE$8700,$A343,MATCH(B$1,'2-3 引出列表'!$A$1:$CD$1,0)),""))</f>
        <v>FK250427000616</v>
      </c>
      <c r="C343">
        <f>IF(ISBLANK(IFERROR(INDEX('2-3 引出列表'!$A$2:$CE$8700,$A343,MATCH(C$1,'2-3 引出列表'!$A$1:$CD$1,0)),"")),"",IFERROR(INDEX('2-3 引出列表'!$A$2:$CE$8700,$A343,MATCH(C$1,'2-3 引出列表'!$A$1:$CD$1,0)),""))</f>
        <v>29187.4</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2025-07-10</v>
      </c>
      <c r="F343" s="30" t="str">
        <f t="shared" si="5"/>
        <v>2025-07</v>
      </c>
      <c r="G343" t="str">
        <f>IF(ISBLANK(IFERROR(INDEX('2-3 引出列表'!$A$2:$CE$8700,$A343,MATCH(G$1,'2-3 引出列表'!$A$1:$CD$1,0)),"")),"",IFERROR(INDEX('2-3 引出列表'!$A$2:$CE$8700,$A343,MATCH(G$1,'2-3 引出列表'!$A$1:$CD$1,0)),""))</f>
        <v>物料消耗.物料消耗</v>
      </c>
      <c r="H343">
        <f>IF(ISBLANK(IFERROR(INDEX('2-3 引出列表'!$A$2:$CE$8700,$A343,MATCH(H$1,'2-3 引出列表'!$A$1:$CD$1,0)),"")),"",IFERROR(INDEX('2-3 引出列表'!$A$2:$CE$8700,$A343,MATCH(H$1,'2-3 引出列表'!$A$1:$CD$1,0)),""))</f>
        <v>0</v>
      </c>
      <c r="I343" t="str">
        <f>IF(ISBLANK(IFERROR(INDEX('2-3 引出列表'!$A$2:$CE$8700,$A343,MATCH(I$1,'2-3 引出列表'!$A$1:$CD$1,0)),"")),"",IFERROR(INDEX('2-3 引出列表'!$A$2:$CE$8700,$A343,MATCH(I$1,'2-3 引出列表'!$A$1:$CD$1,0)),""))</f>
        <v>金采易购</v>
      </c>
    </row>
    <row r="344" spans="1:9">
      <c r="A344">
        <v>343</v>
      </c>
      <c r="B344" t="str">
        <f>IF(ISBLANK(IFERROR(INDEX('2-3 引出列表'!$A$2:$CE$8700,$A344,MATCH(B$1,'2-3 引出列表'!$A$1:$CD$1,0)),"")),"",IFERROR(INDEX('2-3 引出列表'!$A$2:$CE$8700,$A344,MATCH(B$1,'2-3 引出列表'!$A$1:$CD$1,0)),""))</f>
        <v>FK250428000054</v>
      </c>
      <c r="C344">
        <f>IF(ISBLANK(IFERROR(INDEX('2-3 引出列表'!$A$2:$CE$8700,$A344,MATCH(C$1,'2-3 引出列表'!$A$1:$CD$1,0)),"")),"",IFERROR(INDEX('2-3 引出列表'!$A$2:$CE$8700,$A344,MATCH(C$1,'2-3 引出列表'!$A$1:$CD$1,0)),""))</f>
        <v>6136</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2025-07-10</v>
      </c>
      <c r="F344" s="30" t="str">
        <f t="shared" si="5"/>
        <v>2025-07</v>
      </c>
      <c r="G344" t="str">
        <f>IF(ISBLANK(IFERROR(INDEX('2-3 引出列表'!$A$2:$CE$8700,$A344,MATCH(G$1,'2-3 引出列表'!$A$1:$CD$1,0)),"")),"",IFERROR(INDEX('2-3 引出列表'!$A$2:$CE$8700,$A344,MATCH(G$1,'2-3 引出列表'!$A$1:$CD$1,0)),""))</f>
        <v>物料消耗.物料消耗</v>
      </c>
      <c r="H344" t="str">
        <f>IF(ISBLANK(IFERROR(INDEX('2-3 引出列表'!$A$2:$CE$8700,$A344,MATCH(H$1,'2-3 引出列表'!$A$1:$CD$1,0)),"")),"",IFERROR(INDEX('2-3 引出列表'!$A$2:$CE$8700,$A344,MATCH(H$1,'2-3 引出列表'!$A$1:$CD$1,0)),""))</f>
        <v>XHWZ-Z-2023-0020</v>
      </c>
      <c r="I344" t="str">
        <f>IF(ISBLANK(IFERROR(INDEX('2-3 引出列表'!$A$2:$CE$8700,$A344,MATCH(I$1,'2-3 引出列表'!$A$1:$CD$1,0)),"")),"",IFERROR(INDEX('2-3 引出列表'!$A$2:$CE$8700,$A344,MATCH(I$1,'2-3 引出列表'!$A$1:$CD$1,0)),""))</f>
        <v>金采易购</v>
      </c>
    </row>
    <row r="345" spans="1:9">
      <c r="A345">
        <v>344</v>
      </c>
      <c r="B345" t="str">
        <f>IF(ISBLANK(IFERROR(INDEX('2-3 引出列表'!$A$2:$CE$8700,$A345,MATCH(B$1,'2-3 引出列表'!$A$1:$CD$1,0)),"")),"",IFERROR(INDEX('2-3 引出列表'!$A$2:$CE$8700,$A345,MATCH(B$1,'2-3 引出列表'!$A$1:$CD$1,0)),""))</f>
        <v>FK250428000054</v>
      </c>
      <c r="C345">
        <f>IF(ISBLANK(IFERROR(INDEX('2-3 引出列表'!$A$2:$CE$8700,$A345,MATCH(C$1,'2-3 引出列表'!$A$1:$CD$1,0)),"")),"",IFERROR(INDEX('2-3 引出列表'!$A$2:$CE$8700,$A345,MATCH(C$1,'2-3 引出列表'!$A$1:$CD$1,0)),""))</f>
        <v>6136</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2025-07-10</v>
      </c>
      <c r="F345" s="30" t="str">
        <f t="shared" si="5"/>
        <v>2025-07</v>
      </c>
      <c r="G345" t="str">
        <f>IF(ISBLANK(IFERROR(INDEX('2-3 引出列表'!$A$2:$CE$8700,$A345,MATCH(G$1,'2-3 引出列表'!$A$1:$CD$1,0)),"")),"",IFERROR(INDEX('2-3 引出列表'!$A$2:$CE$8700,$A345,MATCH(G$1,'2-3 引出列表'!$A$1:$CD$1,0)),""))</f>
        <v>物料消耗.物料消耗</v>
      </c>
      <c r="H345" t="str">
        <f>IF(ISBLANK(IFERROR(INDEX('2-3 引出列表'!$A$2:$CE$8700,$A345,MATCH(H$1,'2-3 引出列表'!$A$1:$CD$1,0)),"")),"",IFERROR(INDEX('2-3 引出列表'!$A$2:$CE$8700,$A345,MATCH(H$1,'2-3 引出列表'!$A$1:$CD$1,0)),""))</f>
        <v>XHWZ-Z-2023-0020</v>
      </c>
      <c r="I345" t="str">
        <f>IF(ISBLANK(IFERROR(INDEX('2-3 引出列表'!$A$2:$CE$8700,$A345,MATCH(I$1,'2-3 引出列表'!$A$1:$CD$1,0)),"")),"",IFERROR(INDEX('2-3 引出列表'!$A$2:$CE$8700,$A345,MATCH(I$1,'2-3 引出列表'!$A$1:$CD$1,0)),""))</f>
        <v>金采易购</v>
      </c>
    </row>
    <row r="346" spans="1:9">
      <c r="A346">
        <v>345</v>
      </c>
      <c r="B346" t="str">
        <f>IF(ISBLANK(IFERROR(INDEX('2-3 引出列表'!$A$2:$CE$8700,$A346,MATCH(B$1,'2-3 引出列表'!$A$1:$CD$1,0)),"")),"",IFERROR(INDEX('2-3 引出列表'!$A$2:$CE$8700,$A346,MATCH(B$1,'2-3 引出列表'!$A$1:$CD$1,0)),""))</f>
        <v>FK250428000054</v>
      </c>
      <c r="C346">
        <f>IF(ISBLANK(IFERROR(INDEX('2-3 引出列表'!$A$2:$CE$8700,$A346,MATCH(C$1,'2-3 引出列表'!$A$1:$CD$1,0)),"")),"",IFERROR(INDEX('2-3 引出列表'!$A$2:$CE$8700,$A346,MATCH(C$1,'2-3 引出列表'!$A$1:$CD$1,0)),""))</f>
        <v>6136</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2025-07-10</v>
      </c>
      <c r="F346" s="30" t="str">
        <f t="shared" si="5"/>
        <v>2025-07</v>
      </c>
      <c r="G346" t="str">
        <f>IF(ISBLANK(IFERROR(INDEX('2-3 引出列表'!$A$2:$CE$8700,$A346,MATCH(G$1,'2-3 引出列表'!$A$1:$CD$1,0)),"")),"",IFERROR(INDEX('2-3 引出列表'!$A$2:$CE$8700,$A346,MATCH(G$1,'2-3 引出列表'!$A$1:$CD$1,0)),""))</f>
        <v>物料消耗.物料消耗</v>
      </c>
      <c r="H346" t="str">
        <f>IF(ISBLANK(IFERROR(INDEX('2-3 引出列表'!$A$2:$CE$8700,$A346,MATCH(H$1,'2-3 引出列表'!$A$1:$CD$1,0)),"")),"",IFERROR(INDEX('2-3 引出列表'!$A$2:$CE$8700,$A346,MATCH(H$1,'2-3 引出列表'!$A$1:$CD$1,0)),""))</f>
        <v>XHWZ-Z-2023-0020</v>
      </c>
      <c r="I346" t="str">
        <f>IF(ISBLANK(IFERROR(INDEX('2-3 引出列表'!$A$2:$CE$8700,$A346,MATCH(I$1,'2-3 引出列表'!$A$1:$CD$1,0)),"")),"",IFERROR(INDEX('2-3 引出列表'!$A$2:$CE$8700,$A346,MATCH(I$1,'2-3 引出列表'!$A$1:$CD$1,0)),""))</f>
        <v>金采易购</v>
      </c>
    </row>
    <row r="347" spans="1:9">
      <c r="A347">
        <v>346</v>
      </c>
      <c r="B347" t="str">
        <f>IF(ISBLANK(IFERROR(INDEX('2-3 引出列表'!$A$2:$CE$8700,$A347,MATCH(B$1,'2-3 引出列表'!$A$1:$CD$1,0)),"")),"",IFERROR(INDEX('2-3 引出列表'!$A$2:$CE$8700,$A347,MATCH(B$1,'2-3 引出列表'!$A$1:$CD$1,0)),""))</f>
        <v>FK250427000483</v>
      </c>
      <c r="C347">
        <f>IF(ISBLANK(IFERROR(INDEX('2-3 引出列表'!$A$2:$CE$8700,$A347,MATCH(C$1,'2-3 引出列表'!$A$1:$CD$1,0)),"")),"",IFERROR(INDEX('2-3 引出列表'!$A$2:$CE$8700,$A347,MATCH(C$1,'2-3 引出列表'!$A$1:$CD$1,0)),""))</f>
        <v>13292.62</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2025-07-10</v>
      </c>
      <c r="F347" s="30" t="str">
        <f t="shared" si="5"/>
        <v>2025-07</v>
      </c>
      <c r="G347" t="str">
        <f>IF(ISBLANK(IFERROR(INDEX('2-3 引出列表'!$A$2:$CE$8700,$A347,MATCH(G$1,'2-3 引出列表'!$A$1:$CD$1,0)),"")),"",IFERROR(INDEX('2-3 引出列表'!$A$2:$CE$8700,$A347,MATCH(G$1,'2-3 引出列表'!$A$1:$CD$1,0)),""))</f>
        <v>物料消耗.物料消耗</v>
      </c>
      <c r="H347" t="str">
        <f>IF(ISBLANK(IFERROR(INDEX('2-3 引出列表'!$A$2:$CE$8700,$A347,MATCH(H$1,'2-3 引出列表'!$A$1:$CD$1,0)),"")),"",IFERROR(INDEX('2-3 引出列表'!$A$2:$CE$8700,$A347,MATCH(H$1,'2-3 引出列表'!$A$1:$CD$1,0)),""))</f>
        <v>XHWZ-Z-2024-0076</v>
      </c>
      <c r="I347" t="str">
        <f>IF(ISBLANK(IFERROR(INDEX('2-3 引出列表'!$A$2:$CE$8700,$A347,MATCH(I$1,'2-3 引出列表'!$A$1:$CD$1,0)),"")),"",IFERROR(INDEX('2-3 引出列表'!$A$2:$CE$8700,$A347,MATCH(I$1,'2-3 引出列表'!$A$1:$CD$1,0)),""))</f>
        <v>金采易购</v>
      </c>
    </row>
    <row r="348" spans="1:9">
      <c r="A348">
        <v>347</v>
      </c>
      <c r="B348" t="str">
        <f>IF(ISBLANK(IFERROR(INDEX('2-3 引出列表'!$A$2:$CE$8700,$A348,MATCH(B$1,'2-3 引出列表'!$A$1:$CD$1,0)),"")),"",IFERROR(INDEX('2-3 引出列表'!$A$2:$CE$8700,$A348,MATCH(B$1,'2-3 引出列表'!$A$1:$CD$1,0)),""))</f>
        <v>FK250427000483</v>
      </c>
      <c r="C348">
        <f>IF(ISBLANK(IFERROR(INDEX('2-3 引出列表'!$A$2:$CE$8700,$A348,MATCH(C$1,'2-3 引出列表'!$A$1:$CD$1,0)),"")),"",IFERROR(INDEX('2-3 引出列表'!$A$2:$CE$8700,$A348,MATCH(C$1,'2-3 引出列表'!$A$1:$CD$1,0)),""))</f>
        <v>13292.62</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2025-07-10</v>
      </c>
      <c r="F348" s="30" t="str">
        <f t="shared" si="5"/>
        <v>2025-07</v>
      </c>
      <c r="G348" t="str">
        <f>IF(ISBLANK(IFERROR(INDEX('2-3 引出列表'!$A$2:$CE$8700,$A348,MATCH(G$1,'2-3 引出列表'!$A$1:$CD$1,0)),"")),"",IFERROR(INDEX('2-3 引出列表'!$A$2:$CE$8700,$A348,MATCH(G$1,'2-3 引出列表'!$A$1:$CD$1,0)),""))</f>
        <v>物料消耗.物料消耗</v>
      </c>
      <c r="H348" t="str">
        <f>IF(ISBLANK(IFERROR(INDEX('2-3 引出列表'!$A$2:$CE$8700,$A348,MATCH(H$1,'2-3 引出列表'!$A$1:$CD$1,0)),"")),"",IFERROR(INDEX('2-3 引出列表'!$A$2:$CE$8700,$A348,MATCH(H$1,'2-3 引出列表'!$A$1:$CD$1,0)),""))</f>
        <v>XHWZ-Z-2024-0076</v>
      </c>
      <c r="I348" t="str">
        <f>IF(ISBLANK(IFERROR(INDEX('2-3 引出列表'!$A$2:$CE$8700,$A348,MATCH(I$1,'2-3 引出列表'!$A$1:$CD$1,0)),"")),"",IFERROR(INDEX('2-3 引出列表'!$A$2:$CE$8700,$A348,MATCH(I$1,'2-3 引出列表'!$A$1:$CD$1,0)),""))</f>
        <v>金采易购</v>
      </c>
    </row>
    <row r="349" spans="1:9">
      <c r="A349">
        <v>348</v>
      </c>
      <c r="B349" t="str">
        <f>IF(ISBLANK(IFERROR(INDEX('2-3 引出列表'!$A$2:$CE$8700,$A349,MATCH(B$1,'2-3 引出列表'!$A$1:$CD$1,0)),"")),"",IFERROR(INDEX('2-3 引出列表'!$A$2:$CE$8700,$A349,MATCH(B$1,'2-3 引出列表'!$A$1:$CD$1,0)),""))</f>
        <v>FK250427000483</v>
      </c>
      <c r="C349">
        <f>IF(ISBLANK(IFERROR(INDEX('2-3 引出列表'!$A$2:$CE$8700,$A349,MATCH(C$1,'2-3 引出列表'!$A$1:$CD$1,0)),"")),"",IFERROR(INDEX('2-3 引出列表'!$A$2:$CE$8700,$A349,MATCH(C$1,'2-3 引出列表'!$A$1:$CD$1,0)),""))</f>
        <v>13292.62</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2025-07-10</v>
      </c>
      <c r="F349" s="30" t="str">
        <f t="shared" si="5"/>
        <v>2025-07</v>
      </c>
      <c r="G349" t="str">
        <f>IF(ISBLANK(IFERROR(INDEX('2-3 引出列表'!$A$2:$CE$8700,$A349,MATCH(G$1,'2-3 引出列表'!$A$1:$CD$1,0)),"")),"",IFERROR(INDEX('2-3 引出列表'!$A$2:$CE$8700,$A349,MATCH(G$1,'2-3 引出列表'!$A$1:$CD$1,0)),""))</f>
        <v>物料消耗.物料消耗</v>
      </c>
      <c r="H349" t="str">
        <f>IF(ISBLANK(IFERROR(INDEX('2-3 引出列表'!$A$2:$CE$8700,$A349,MATCH(H$1,'2-3 引出列表'!$A$1:$CD$1,0)),"")),"",IFERROR(INDEX('2-3 引出列表'!$A$2:$CE$8700,$A349,MATCH(H$1,'2-3 引出列表'!$A$1:$CD$1,0)),""))</f>
        <v>XHWZ-Z-2024-0076</v>
      </c>
      <c r="I349" t="str">
        <f>IF(ISBLANK(IFERROR(INDEX('2-3 引出列表'!$A$2:$CE$8700,$A349,MATCH(I$1,'2-3 引出列表'!$A$1:$CD$1,0)),"")),"",IFERROR(INDEX('2-3 引出列表'!$A$2:$CE$8700,$A349,MATCH(I$1,'2-3 引出列表'!$A$1:$CD$1,0)),""))</f>
        <v>金采易购</v>
      </c>
    </row>
    <row r="350" spans="1:9">
      <c r="A350">
        <v>349</v>
      </c>
      <c r="B350" t="str">
        <f>IF(ISBLANK(IFERROR(INDEX('2-3 引出列表'!$A$2:$CE$8700,$A350,MATCH(B$1,'2-3 引出列表'!$A$1:$CD$1,0)),"")),"",IFERROR(INDEX('2-3 引出列表'!$A$2:$CE$8700,$A350,MATCH(B$1,'2-3 引出列表'!$A$1:$CD$1,0)),""))</f>
        <v>FK250427000483</v>
      </c>
      <c r="C350">
        <f>IF(ISBLANK(IFERROR(INDEX('2-3 引出列表'!$A$2:$CE$8700,$A350,MATCH(C$1,'2-3 引出列表'!$A$1:$CD$1,0)),"")),"",IFERROR(INDEX('2-3 引出列表'!$A$2:$CE$8700,$A350,MATCH(C$1,'2-3 引出列表'!$A$1:$CD$1,0)),""))</f>
        <v>13292.62</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2025-07-10</v>
      </c>
      <c r="F350" s="30" t="str">
        <f t="shared" si="5"/>
        <v>2025-07</v>
      </c>
      <c r="G350" t="str">
        <f>IF(ISBLANK(IFERROR(INDEX('2-3 引出列表'!$A$2:$CE$8700,$A350,MATCH(G$1,'2-3 引出列表'!$A$1:$CD$1,0)),"")),"",IFERROR(INDEX('2-3 引出列表'!$A$2:$CE$8700,$A350,MATCH(G$1,'2-3 引出列表'!$A$1:$CD$1,0)),""))</f>
        <v>物料消耗.物料消耗</v>
      </c>
      <c r="H350" t="str">
        <f>IF(ISBLANK(IFERROR(INDEX('2-3 引出列表'!$A$2:$CE$8700,$A350,MATCH(H$1,'2-3 引出列表'!$A$1:$CD$1,0)),"")),"",IFERROR(INDEX('2-3 引出列表'!$A$2:$CE$8700,$A350,MATCH(H$1,'2-3 引出列表'!$A$1:$CD$1,0)),""))</f>
        <v>XHWZ-Z-2024-0076</v>
      </c>
      <c r="I350" t="str">
        <f>IF(ISBLANK(IFERROR(INDEX('2-3 引出列表'!$A$2:$CE$8700,$A350,MATCH(I$1,'2-3 引出列表'!$A$1:$CD$1,0)),"")),"",IFERROR(INDEX('2-3 引出列表'!$A$2:$CE$8700,$A350,MATCH(I$1,'2-3 引出列表'!$A$1:$CD$1,0)),""))</f>
        <v>金采易购</v>
      </c>
    </row>
    <row r="351" spans="1:9">
      <c r="A351">
        <v>350</v>
      </c>
      <c r="B351" t="str">
        <f>IF(ISBLANK(IFERROR(INDEX('2-3 引出列表'!$A$2:$CE$8700,$A351,MATCH(B$1,'2-3 引出列表'!$A$1:$CD$1,0)),"")),"",IFERROR(INDEX('2-3 引出列表'!$A$2:$CE$8700,$A351,MATCH(B$1,'2-3 引出列表'!$A$1:$CD$1,0)),""))</f>
        <v>FK250427000483</v>
      </c>
      <c r="C351">
        <f>IF(ISBLANK(IFERROR(INDEX('2-3 引出列表'!$A$2:$CE$8700,$A351,MATCH(C$1,'2-3 引出列表'!$A$1:$CD$1,0)),"")),"",IFERROR(INDEX('2-3 引出列表'!$A$2:$CE$8700,$A351,MATCH(C$1,'2-3 引出列表'!$A$1:$CD$1,0)),""))</f>
        <v>13292.62</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2025-07-10</v>
      </c>
      <c r="F351" s="30" t="str">
        <f t="shared" si="5"/>
        <v>2025-07</v>
      </c>
      <c r="G351" t="str">
        <f>IF(ISBLANK(IFERROR(INDEX('2-3 引出列表'!$A$2:$CE$8700,$A351,MATCH(G$1,'2-3 引出列表'!$A$1:$CD$1,0)),"")),"",IFERROR(INDEX('2-3 引出列表'!$A$2:$CE$8700,$A351,MATCH(G$1,'2-3 引出列表'!$A$1:$CD$1,0)),""))</f>
        <v>物料消耗.物料消耗</v>
      </c>
      <c r="H351" t="str">
        <f>IF(ISBLANK(IFERROR(INDEX('2-3 引出列表'!$A$2:$CE$8700,$A351,MATCH(H$1,'2-3 引出列表'!$A$1:$CD$1,0)),"")),"",IFERROR(INDEX('2-3 引出列表'!$A$2:$CE$8700,$A351,MATCH(H$1,'2-3 引出列表'!$A$1:$CD$1,0)),""))</f>
        <v>XHWZ-Z-2024-0076</v>
      </c>
      <c r="I351" t="str">
        <f>IF(ISBLANK(IFERROR(INDEX('2-3 引出列表'!$A$2:$CE$8700,$A351,MATCH(I$1,'2-3 引出列表'!$A$1:$CD$1,0)),"")),"",IFERROR(INDEX('2-3 引出列表'!$A$2:$CE$8700,$A351,MATCH(I$1,'2-3 引出列表'!$A$1:$CD$1,0)),""))</f>
        <v>金采易购</v>
      </c>
    </row>
    <row r="352" spans="1:9">
      <c r="A352">
        <v>351</v>
      </c>
      <c r="B352" t="str">
        <f>IF(ISBLANK(IFERROR(INDEX('2-3 引出列表'!$A$2:$CE$8700,$A352,MATCH(B$1,'2-3 引出列表'!$A$1:$CD$1,0)),"")),"",IFERROR(INDEX('2-3 引出列表'!$A$2:$CE$8700,$A352,MATCH(B$1,'2-3 引出列表'!$A$1:$CD$1,0)),""))</f>
        <v>FK250427000483</v>
      </c>
      <c r="C352">
        <f>IF(ISBLANK(IFERROR(INDEX('2-3 引出列表'!$A$2:$CE$8700,$A352,MATCH(C$1,'2-3 引出列表'!$A$1:$CD$1,0)),"")),"",IFERROR(INDEX('2-3 引出列表'!$A$2:$CE$8700,$A352,MATCH(C$1,'2-3 引出列表'!$A$1:$CD$1,0)),""))</f>
        <v>13292.62</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2025-07-10</v>
      </c>
      <c r="F352" s="30" t="str">
        <f t="shared" si="5"/>
        <v>2025-07</v>
      </c>
      <c r="G352" t="str">
        <f>IF(ISBLANK(IFERROR(INDEX('2-3 引出列表'!$A$2:$CE$8700,$A352,MATCH(G$1,'2-3 引出列表'!$A$1:$CD$1,0)),"")),"",IFERROR(INDEX('2-3 引出列表'!$A$2:$CE$8700,$A352,MATCH(G$1,'2-3 引出列表'!$A$1:$CD$1,0)),""))</f>
        <v>物料消耗.物料消耗</v>
      </c>
      <c r="H352" t="str">
        <f>IF(ISBLANK(IFERROR(INDEX('2-3 引出列表'!$A$2:$CE$8700,$A352,MATCH(H$1,'2-3 引出列表'!$A$1:$CD$1,0)),"")),"",IFERROR(INDEX('2-3 引出列表'!$A$2:$CE$8700,$A352,MATCH(H$1,'2-3 引出列表'!$A$1:$CD$1,0)),""))</f>
        <v>XHWZ-Z-2024-0076</v>
      </c>
      <c r="I352" t="str">
        <f>IF(ISBLANK(IFERROR(INDEX('2-3 引出列表'!$A$2:$CE$8700,$A352,MATCH(I$1,'2-3 引出列表'!$A$1:$CD$1,0)),"")),"",IFERROR(INDEX('2-3 引出列表'!$A$2:$CE$8700,$A352,MATCH(I$1,'2-3 引出列表'!$A$1:$CD$1,0)),""))</f>
        <v>金采易购</v>
      </c>
    </row>
    <row r="353" spans="1:9">
      <c r="A353">
        <v>352</v>
      </c>
      <c r="B353" t="str">
        <f>IF(ISBLANK(IFERROR(INDEX('2-3 引出列表'!$A$2:$CE$8700,$A353,MATCH(B$1,'2-3 引出列表'!$A$1:$CD$1,0)),"")),"",IFERROR(INDEX('2-3 引出列表'!$A$2:$CE$8700,$A353,MATCH(B$1,'2-3 引出列表'!$A$1:$CD$1,0)),""))</f>
        <v>FK250427000483</v>
      </c>
      <c r="C353">
        <f>IF(ISBLANK(IFERROR(INDEX('2-3 引出列表'!$A$2:$CE$8700,$A353,MATCH(C$1,'2-3 引出列表'!$A$1:$CD$1,0)),"")),"",IFERROR(INDEX('2-3 引出列表'!$A$2:$CE$8700,$A353,MATCH(C$1,'2-3 引出列表'!$A$1:$CD$1,0)),""))</f>
        <v>13292.62</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2025-07-10</v>
      </c>
      <c r="F353" s="30" t="str">
        <f t="shared" si="5"/>
        <v>2025-07</v>
      </c>
      <c r="G353" t="str">
        <f>IF(ISBLANK(IFERROR(INDEX('2-3 引出列表'!$A$2:$CE$8700,$A353,MATCH(G$1,'2-3 引出列表'!$A$1:$CD$1,0)),"")),"",IFERROR(INDEX('2-3 引出列表'!$A$2:$CE$8700,$A353,MATCH(G$1,'2-3 引出列表'!$A$1:$CD$1,0)),""))</f>
        <v>物料消耗.物料消耗</v>
      </c>
      <c r="H353" t="str">
        <f>IF(ISBLANK(IFERROR(INDEX('2-3 引出列表'!$A$2:$CE$8700,$A353,MATCH(H$1,'2-3 引出列表'!$A$1:$CD$1,0)),"")),"",IFERROR(INDEX('2-3 引出列表'!$A$2:$CE$8700,$A353,MATCH(H$1,'2-3 引出列表'!$A$1:$CD$1,0)),""))</f>
        <v>XHWZ-Z-2024-0076</v>
      </c>
      <c r="I353" t="str">
        <f>IF(ISBLANK(IFERROR(INDEX('2-3 引出列表'!$A$2:$CE$8700,$A353,MATCH(I$1,'2-3 引出列表'!$A$1:$CD$1,0)),"")),"",IFERROR(INDEX('2-3 引出列表'!$A$2:$CE$8700,$A353,MATCH(I$1,'2-3 引出列表'!$A$1:$CD$1,0)),""))</f>
        <v>金采易购</v>
      </c>
    </row>
    <row r="354" spans="1:9">
      <c r="A354">
        <v>353</v>
      </c>
      <c r="B354" t="str">
        <f>IF(ISBLANK(IFERROR(INDEX('2-3 引出列表'!$A$2:$CE$8700,$A354,MATCH(B$1,'2-3 引出列表'!$A$1:$CD$1,0)),"")),"",IFERROR(INDEX('2-3 引出列表'!$A$2:$CE$8700,$A354,MATCH(B$1,'2-3 引出列表'!$A$1:$CD$1,0)),""))</f>
        <v>FK250427000483</v>
      </c>
      <c r="C354">
        <f>IF(ISBLANK(IFERROR(INDEX('2-3 引出列表'!$A$2:$CE$8700,$A354,MATCH(C$1,'2-3 引出列表'!$A$1:$CD$1,0)),"")),"",IFERROR(INDEX('2-3 引出列表'!$A$2:$CE$8700,$A354,MATCH(C$1,'2-3 引出列表'!$A$1:$CD$1,0)),""))</f>
        <v>13292.62</v>
      </c>
      <c r="D354" t="str">
        <f>IF(ISBLANK(IFERROR(INDEX('2-3 引出列表'!$A$2:$CE$8700,$A354,MATCH(D$1,'2-3 引出列表'!$A$1:$CD$1,0)),"")),"",IFERROR(INDEX('2-3 引出列表'!$A$2:$CE$8700,$A354,MATCH(D$1,'2-3 引出列表'!$A$1:$CD$1,0)),""))</f>
        <v>已付款</v>
      </c>
      <c r="E354" t="str">
        <f>IF(ISBLANK(IFERROR(INDEX('2-3 引出列表'!$A$2:$CE$8700,$A354,MATCH(E$1,'2-3 引出列表'!$A$1:$CD$1,0)),"")),"",IFERROR(INDEX('2-3 引出列表'!$A$2:$CE$8700,$A354,MATCH(E$1,'2-3 引出列表'!$A$1:$CD$1,0)),""))</f>
        <v>2025-07-10</v>
      </c>
      <c r="F354" s="30" t="str">
        <f t="shared" si="5"/>
        <v>2025-07</v>
      </c>
      <c r="G354" t="str">
        <f>IF(ISBLANK(IFERROR(INDEX('2-3 引出列表'!$A$2:$CE$8700,$A354,MATCH(G$1,'2-3 引出列表'!$A$1:$CD$1,0)),"")),"",IFERROR(INDEX('2-3 引出列表'!$A$2:$CE$8700,$A354,MATCH(G$1,'2-3 引出列表'!$A$1:$CD$1,0)),""))</f>
        <v>物料消耗.物料消耗</v>
      </c>
      <c r="H354" t="str">
        <f>IF(ISBLANK(IFERROR(INDEX('2-3 引出列表'!$A$2:$CE$8700,$A354,MATCH(H$1,'2-3 引出列表'!$A$1:$CD$1,0)),"")),"",IFERROR(INDEX('2-3 引出列表'!$A$2:$CE$8700,$A354,MATCH(H$1,'2-3 引出列表'!$A$1:$CD$1,0)),""))</f>
        <v>XHWZ-Z-2024-0076</v>
      </c>
      <c r="I354" t="str">
        <f>IF(ISBLANK(IFERROR(INDEX('2-3 引出列表'!$A$2:$CE$8700,$A354,MATCH(I$1,'2-3 引出列表'!$A$1:$CD$1,0)),"")),"",IFERROR(INDEX('2-3 引出列表'!$A$2:$CE$8700,$A354,MATCH(I$1,'2-3 引出列表'!$A$1:$CD$1,0)),""))</f>
        <v>金采易购</v>
      </c>
    </row>
    <row r="355" spans="1:9">
      <c r="A355">
        <v>354</v>
      </c>
      <c r="B355" t="str">
        <f>IF(ISBLANK(IFERROR(INDEX('2-3 引出列表'!$A$2:$CE$8700,$A355,MATCH(B$1,'2-3 引出列表'!$A$1:$CD$1,0)),"")),"",IFERROR(INDEX('2-3 引出列表'!$A$2:$CE$8700,$A355,MATCH(B$1,'2-3 引出列表'!$A$1:$CD$1,0)),""))</f>
        <v>FK250427000483</v>
      </c>
      <c r="C355">
        <f>IF(ISBLANK(IFERROR(INDEX('2-3 引出列表'!$A$2:$CE$8700,$A355,MATCH(C$1,'2-3 引出列表'!$A$1:$CD$1,0)),"")),"",IFERROR(INDEX('2-3 引出列表'!$A$2:$CE$8700,$A355,MATCH(C$1,'2-3 引出列表'!$A$1:$CD$1,0)),""))</f>
        <v>13292.62</v>
      </c>
      <c r="D355" t="str">
        <f>IF(ISBLANK(IFERROR(INDEX('2-3 引出列表'!$A$2:$CE$8700,$A355,MATCH(D$1,'2-3 引出列表'!$A$1:$CD$1,0)),"")),"",IFERROR(INDEX('2-3 引出列表'!$A$2:$CE$8700,$A355,MATCH(D$1,'2-3 引出列表'!$A$1:$CD$1,0)),""))</f>
        <v>已付款</v>
      </c>
      <c r="E355" t="str">
        <f>IF(ISBLANK(IFERROR(INDEX('2-3 引出列表'!$A$2:$CE$8700,$A355,MATCH(E$1,'2-3 引出列表'!$A$1:$CD$1,0)),"")),"",IFERROR(INDEX('2-3 引出列表'!$A$2:$CE$8700,$A355,MATCH(E$1,'2-3 引出列表'!$A$1:$CD$1,0)),""))</f>
        <v>2025-07-10</v>
      </c>
      <c r="F355" s="30" t="str">
        <f t="shared" si="5"/>
        <v>2025-07</v>
      </c>
      <c r="G355" t="str">
        <f>IF(ISBLANK(IFERROR(INDEX('2-3 引出列表'!$A$2:$CE$8700,$A355,MATCH(G$1,'2-3 引出列表'!$A$1:$CD$1,0)),"")),"",IFERROR(INDEX('2-3 引出列表'!$A$2:$CE$8700,$A355,MATCH(G$1,'2-3 引出列表'!$A$1:$CD$1,0)),""))</f>
        <v>物料消耗.物料消耗</v>
      </c>
      <c r="H355" t="str">
        <f>IF(ISBLANK(IFERROR(INDEX('2-3 引出列表'!$A$2:$CE$8700,$A355,MATCH(H$1,'2-3 引出列表'!$A$1:$CD$1,0)),"")),"",IFERROR(INDEX('2-3 引出列表'!$A$2:$CE$8700,$A355,MATCH(H$1,'2-3 引出列表'!$A$1:$CD$1,0)),""))</f>
        <v>XHWZ-Z-2024-0076</v>
      </c>
      <c r="I355" t="str">
        <f>IF(ISBLANK(IFERROR(INDEX('2-3 引出列表'!$A$2:$CE$8700,$A355,MATCH(I$1,'2-3 引出列表'!$A$1:$CD$1,0)),"")),"",IFERROR(INDEX('2-3 引出列表'!$A$2:$CE$8700,$A355,MATCH(I$1,'2-3 引出列表'!$A$1:$CD$1,0)),""))</f>
        <v>金采易购</v>
      </c>
    </row>
    <row r="356" spans="1:9">
      <c r="A356">
        <v>355</v>
      </c>
      <c r="B356" t="str">
        <f>IF(ISBLANK(IFERROR(INDEX('2-3 引出列表'!$A$2:$CE$8700,$A356,MATCH(B$1,'2-3 引出列表'!$A$1:$CD$1,0)),"")),"",IFERROR(INDEX('2-3 引出列表'!$A$2:$CE$8700,$A356,MATCH(B$1,'2-3 引出列表'!$A$1:$CD$1,0)),""))</f>
        <v>FK250427000483</v>
      </c>
      <c r="C356">
        <f>IF(ISBLANK(IFERROR(INDEX('2-3 引出列表'!$A$2:$CE$8700,$A356,MATCH(C$1,'2-3 引出列表'!$A$1:$CD$1,0)),"")),"",IFERROR(INDEX('2-3 引出列表'!$A$2:$CE$8700,$A356,MATCH(C$1,'2-3 引出列表'!$A$1:$CD$1,0)),""))</f>
        <v>13292.62</v>
      </c>
      <c r="D356" t="str">
        <f>IF(ISBLANK(IFERROR(INDEX('2-3 引出列表'!$A$2:$CE$8700,$A356,MATCH(D$1,'2-3 引出列表'!$A$1:$CD$1,0)),"")),"",IFERROR(INDEX('2-3 引出列表'!$A$2:$CE$8700,$A356,MATCH(D$1,'2-3 引出列表'!$A$1:$CD$1,0)),""))</f>
        <v>已付款</v>
      </c>
      <c r="E356" t="str">
        <f>IF(ISBLANK(IFERROR(INDEX('2-3 引出列表'!$A$2:$CE$8700,$A356,MATCH(E$1,'2-3 引出列表'!$A$1:$CD$1,0)),"")),"",IFERROR(INDEX('2-3 引出列表'!$A$2:$CE$8700,$A356,MATCH(E$1,'2-3 引出列表'!$A$1:$CD$1,0)),""))</f>
        <v>2025-07-10</v>
      </c>
      <c r="F356" s="30" t="str">
        <f t="shared" si="5"/>
        <v>2025-07</v>
      </c>
      <c r="G356" t="str">
        <f>IF(ISBLANK(IFERROR(INDEX('2-3 引出列表'!$A$2:$CE$8700,$A356,MATCH(G$1,'2-3 引出列表'!$A$1:$CD$1,0)),"")),"",IFERROR(INDEX('2-3 引出列表'!$A$2:$CE$8700,$A356,MATCH(G$1,'2-3 引出列表'!$A$1:$CD$1,0)),""))</f>
        <v>物料消耗.物料消耗</v>
      </c>
      <c r="H356" t="str">
        <f>IF(ISBLANK(IFERROR(INDEX('2-3 引出列表'!$A$2:$CE$8700,$A356,MATCH(H$1,'2-3 引出列表'!$A$1:$CD$1,0)),"")),"",IFERROR(INDEX('2-3 引出列表'!$A$2:$CE$8700,$A356,MATCH(H$1,'2-3 引出列表'!$A$1:$CD$1,0)),""))</f>
        <v>XHWZ-Z-2024-0076</v>
      </c>
      <c r="I356" t="str">
        <f>IF(ISBLANK(IFERROR(INDEX('2-3 引出列表'!$A$2:$CE$8700,$A356,MATCH(I$1,'2-3 引出列表'!$A$1:$CD$1,0)),"")),"",IFERROR(INDEX('2-3 引出列表'!$A$2:$CE$8700,$A356,MATCH(I$1,'2-3 引出列表'!$A$1:$CD$1,0)),""))</f>
        <v>金采易购</v>
      </c>
    </row>
    <row r="357" spans="1:9">
      <c r="A357">
        <v>356</v>
      </c>
      <c r="B357" t="str">
        <f>IF(ISBLANK(IFERROR(INDEX('2-3 引出列表'!$A$2:$CE$8700,$A357,MATCH(B$1,'2-3 引出列表'!$A$1:$CD$1,0)),"")),"",IFERROR(INDEX('2-3 引出列表'!$A$2:$CE$8700,$A357,MATCH(B$1,'2-3 引出列表'!$A$1:$CD$1,0)),""))</f>
        <v>FK250427000483</v>
      </c>
      <c r="C357">
        <f>IF(ISBLANK(IFERROR(INDEX('2-3 引出列表'!$A$2:$CE$8700,$A357,MATCH(C$1,'2-3 引出列表'!$A$1:$CD$1,0)),"")),"",IFERROR(INDEX('2-3 引出列表'!$A$2:$CE$8700,$A357,MATCH(C$1,'2-3 引出列表'!$A$1:$CD$1,0)),""))</f>
        <v>13292.62</v>
      </c>
      <c r="D357" t="str">
        <f>IF(ISBLANK(IFERROR(INDEX('2-3 引出列表'!$A$2:$CE$8700,$A357,MATCH(D$1,'2-3 引出列表'!$A$1:$CD$1,0)),"")),"",IFERROR(INDEX('2-3 引出列表'!$A$2:$CE$8700,$A357,MATCH(D$1,'2-3 引出列表'!$A$1:$CD$1,0)),""))</f>
        <v>已付款</v>
      </c>
      <c r="E357" t="str">
        <f>IF(ISBLANK(IFERROR(INDEX('2-3 引出列表'!$A$2:$CE$8700,$A357,MATCH(E$1,'2-3 引出列表'!$A$1:$CD$1,0)),"")),"",IFERROR(INDEX('2-3 引出列表'!$A$2:$CE$8700,$A357,MATCH(E$1,'2-3 引出列表'!$A$1:$CD$1,0)),""))</f>
        <v>2025-07-10</v>
      </c>
      <c r="F357" s="30" t="str">
        <f t="shared" si="5"/>
        <v>2025-07</v>
      </c>
      <c r="G357" t="str">
        <f>IF(ISBLANK(IFERROR(INDEX('2-3 引出列表'!$A$2:$CE$8700,$A357,MATCH(G$1,'2-3 引出列表'!$A$1:$CD$1,0)),"")),"",IFERROR(INDEX('2-3 引出列表'!$A$2:$CE$8700,$A357,MATCH(G$1,'2-3 引出列表'!$A$1:$CD$1,0)),""))</f>
        <v>物料消耗.物料消耗</v>
      </c>
      <c r="H357" t="str">
        <f>IF(ISBLANK(IFERROR(INDEX('2-3 引出列表'!$A$2:$CE$8700,$A357,MATCH(H$1,'2-3 引出列表'!$A$1:$CD$1,0)),"")),"",IFERROR(INDEX('2-3 引出列表'!$A$2:$CE$8700,$A357,MATCH(H$1,'2-3 引出列表'!$A$1:$CD$1,0)),""))</f>
        <v>XHWZ-Z-2024-0076</v>
      </c>
      <c r="I357" t="str">
        <f>IF(ISBLANK(IFERROR(INDEX('2-3 引出列表'!$A$2:$CE$8700,$A357,MATCH(I$1,'2-3 引出列表'!$A$1:$CD$1,0)),"")),"",IFERROR(INDEX('2-3 引出列表'!$A$2:$CE$8700,$A357,MATCH(I$1,'2-3 引出列表'!$A$1:$CD$1,0)),""))</f>
        <v>金采易购</v>
      </c>
    </row>
    <row r="358" spans="1:9">
      <c r="A358">
        <v>357</v>
      </c>
      <c r="B358" t="str">
        <f>IF(ISBLANK(IFERROR(INDEX('2-3 引出列表'!$A$2:$CE$8700,$A358,MATCH(B$1,'2-3 引出列表'!$A$1:$CD$1,0)),"")),"",IFERROR(INDEX('2-3 引出列表'!$A$2:$CE$8700,$A358,MATCH(B$1,'2-3 引出列表'!$A$1:$CD$1,0)),""))</f>
        <v>FK250427000483</v>
      </c>
      <c r="C358">
        <f>IF(ISBLANK(IFERROR(INDEX('2-3 引出列表'!$A$2:$CE$8700,$A358,MATCH(C$1,'2-3 引出列表'!$A$1:$CD$1,0)),"")),"",IFERROR(INDEX('2-3 引出列表'!$A$2:$CE$8700,$A358,MATCH(C$1,'2-3 引出列表'!$A$1:$CD$1,0)),""))</f>
        <v>13292.62</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2025-07-10</v>
      </c>
      <c r="F358" s="30" t="str">
        <f t="shared" si="5"/>
        <v>2025-07</v>
      </c>
      <c r="G358" t="str">
        <f>IF(ISBLANK(IFERROR(INDEX('2-3 引出列表'!$A$2:$CE$8700,$A358,MATCH(G$1,'2-3 引出列表'!$A$1:$CD$1,0)),"")),"",IFERROR(INDEX('2-3 引出列表'!$A$2:$CE$8700,$A358,MATCH(G$1,'2-3 引出列表'!$A$1:$CD$1,0)),""))</f>
        <v>物料消耗.物料消耗</v>
      </c>
      <c r="H358" t="str">
        <f>IF(ISBLANK(IFERROR(INDEX('2-3 引出列表'!$A$2:$CE$8700,$A358,MATCH(H$1,'2-3 引出列表'!$A$1:$CD$1,0)),"")),"",IFERROR(INDEX('2-3 引出列表'!$A$2:$CE$8700,$A358,MATCH(H$1,'2-3 引出列表'!$A$1:$CD$1,0)),""))</f>
        <v>XHWZ-Z-2024-0076</v>
      </c>
      <c r="I358" t="str">
        <f>IF(ISBLANK(IFERROR(INDEX('2-3 引出列表'!$A$2:$CE$8700,$A358,MATCH(I$1,'2-3 引出列表'!$A$1:$CD$1,0)),"")),"",IFERROR(INDEX('2-3 引出列表'!$A$2:$CE$8700,$A358,MATCH(I$1,'2-3 引出列表'!$A$1:$CD$1,0)),""))</f>
        <v>金采易购</v>
      </c>
    </row>
    <row r="359" spans="1:9">
      <c r="A359">
        <v>358</v>
      </c>
      <c r="B359" t="str">
        <f>IF(ISBLANK(IFERROR(INDEX('2-3 引出列表'!$A$2:$CE$8700,$A359,MATCH(B$1,'2-3 引出列表'!$A$1:$CD$1,0)),"")),"",IFERROR(INDEX('2-3 引出列表'!$A$2:$CE$8700,$A359,MATCH(B$1,'2-3 引出列表'!$A$1:$CD$1,0)),""))</f>
        <v>FK250427000483</v>
      </c>
      <c r="C359">
        <f>IF(ISBLANK(IFERROR(INDEX('2-3 引出列表'!$A$2:$CE$8700,$A359,MATCH(C$1,'2-3 引出列表'!$A$1:$CD$1,0)),"")),"",IFERROR(INDEX('2-3 引出列表'!$A$2:$CE$8700,$A359,MATCH(C$1,'2-3 引出列表'!$A$1:$CD$1,0)),""))</f>
        <v>13292.62</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2025-07-10</v>
      </c>
      <c r="F359" s="30" t="str">
        <f t="shared" si="5"/>
        <v>2025-07</v>
      </c>
      <c r="G359" t="str">
        <f>IF(ISBLANK(IFERROR(INDEX('2-3 引出列表'!$A$2:$CE$8700,$A359,MATCH(G$1,'2-3 引出列表'!$A$1:$CD$1,0)),"")),"",IFERROR(INDEX('2-3 引出列表'!$A$2:$CE$8700,$A359,MATCH(G$1,'2-3 引出列表'!$A$1:$CD$1,0)),""))</f>
        <v>物料消耗.物料消耗</v>
      </c>
      <c r="H359" t="str">
        <f>IF(ISBLANK(IFERROR(INDEX('2-3 引出列表'!$A$2:$CE$8700,$A359,MATCH(H$1,'2-3 引出列表'!$A$1:$CD$1,0)),"")),"",IFERROR(INDEX('2-3 引出列表'!$A$2:$CE$8700,$A359,MATCH(H$1,'2-3 引出列表'!$A$1:$CD$1,0)),""))</f>
        <v>XHWZ-Z-2024-0076</v>
      </c>
      <c r="I359" t="str">
        <f>IF(ISBLANK(IFERROR(INDEX('2-3 引出列表'!$A$2:$CE$8700,$A359,MATCH(I$1,'2-3 引出列表'!$A$1:$CD$1,0)),"")),"",IFERROR(INDEX('2-3 引出列表'!$A$2:$CE$8700,$A359,MATCH(I$1,'2-3 引出列表'!$A$1:$CD$1,0)),""))</f>
        <v>金采易购</v>
      </c>
    </row>
    <row r="360" spans="1:9">
      <c r="A360">
        <v>359</v>
      </c>
      <c r="B360" t="str">
        <f>IF(ISBLANK(IFERROR(INDEX('2-3 引出列表'!$A$2:$CE$8700,$A360,MATCH(B$1,'2-3 引出列表'!$A$1:$CD$1,0)),"")),"",IFERROR(INDEX('2-3 引出列表'!$A$2:$CE$8700,$A360,MATCH(B$1,'2-3 引出列表'!$A$1:$CD$1,0)),""))</f>
        <v>FK250427000403</v>
      </c>
      <c r="C360">
        <f>IF(ISBLANK(IFERROR(INDEX('2-3 引出列表'!$A$2:$CE$8700,$A360,MATCH(C$1,'2-3 引出列表'!$A$1:$CD$1,0)),"")),"",IFERROR(INDEX('2-3 引出列表'!$A$2:$CE$8700,$A360,MATCH(C$1,'2-3 引出列表'!$A$1:$CD$1,0)),""))</f>
        <v>16853.05</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2025-07-10</v>
      </c>
      <c r="F360" s="30" t="str">
        <f t="shared" si="5"/>
        <v>2025-07</v>
      </c>
      <c r="G360" t="str">
        <f>IF(ISBLANK(IFERROR(INDEX('2-3 引出列表'!$A$2:$CE$8700,$A360,MATCH(G$1,'2-3 引出列表'!$A$1:$CD$1,0)),"")),"",IFERROR(INDEX('2-3 引出列表'!$A$2:$CE$8700,$A360,MATCH(G$1,'2-3 引出列表'!$A$1:$CD$1,0)),""))</f>
        <v>物料消耗.物料消耗</v>
      </c>
      <c r="H360" t="str">
        <f>IF(ISBLANK(IFERROR(INDEX('2-3 引出列表'!$A$2:$CE$8700,$A360,MATCH(H$1,'2-3 引出列表'!$A$1:$CD$1,0)),"")),"",IFERROR(INDEX('2-3 引出列表'!$A$2:$CE$8700,$A360,MATCH(H$1,'2-3 引出列表'!$A$1:$CD$1,0)),""))</f>
        <v>ZB20210901JCWZ02</v>
      </c>
      <c r="I360" t="str">
        <f>IF(ISBLANK(IFERROR(INDEX('2-3 引出列表'!$A$2:$CE$8700,$A360,MATCH(I$1,'2-3 引出列表'!$A$1:$CD$1,0)),"")),"",IFERROR(INDEX('2-3 引出列表'!$A$2:$CE$8700,$A360,MATCH(I$1,'2-3 引出列表'!$A$1:$CD$1,0)),""))</f>
        <v>金采易购</v>
      </c>
    </row>
    <row r="361" spans="1:9">
      <c r="A361">
        <v>360</v>
      </c>
      <c r="B361" t="str">
        <f>IF(ISBLANK(IFERROR(INDEX('2-3 引出列表'!$A$2:$CE$8700,$A361,MATCH(B$1,'2-3 引出列表'!$A$1:$CD$1,0)),"")),"",IFERROR(INDEX('2-3 引出列表'!$A$2:$CE$8700,$A361,MATCH(B$1,'2-3 引出列表'!$A$1:$CD$1,0)),""))</f>
        <v>FK250427000403</v>
      </c>
      <c r="C361">
        <f>IF(ISBLANK(IFERROR(INDEX('2-3 引出列表'!$A$2:$CE$8700,$A361,MATCH(C$1,'2-3 引出列表'!$A$1:$CD$1,0)),"")),"",IFERROR(INDEX('2-3 引出列表'!$A$2:$CE$8700,$A361,MATCH(C$1,'2-3 引出列表'!$A$1:$CD$1,0)),""))</f>
        <v>16853.05</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2025-07-10</v>
      </c>
      <c r="F361" s="30" t="str">
        <f t="shared" si="5"/>
        <v>2025-07</v>
      </c>
      <c r="G361" t="str">
        <f>IF(ISBLANK(IFERROR(INDEX('2-3 引出列表'!$A$2:$CE$8700,$A361,MATCH(G$1,'2-3 引出列表'!$A$1:$CD$1,0)),"")),"",IFERROR(INDEX('2-3 引出列表'!$A$2:$CE$8700,$A361,MATCH(G$1,'2-3 引出列表'!$A$1:$CD$1,0)),""))</f>
        <v>物料消耗.物料消耗</v>
      </c>
      <c r="H361" t="str">
        <f>IF(ISBLANK(IFERROR(INDEX('2-3 引出列表'!$A$2:$CE$8700,$A361,MATCH(H$1,'2-3 引出列表'!$A$1:$CD$1,0)),"")),"",IFERROR(INDEX('2-3 引出列表'!$A$2:$CE$8700,$A361,MATCH(H$1,'2-3 引出列表'!$A$1:$CD$1,0)),""))</f>
        <v>ZB20210901JCWZ02</v>
      </c>
      <c r="I361" t="str">
        <f>IF(ISBLANK(IFERROR(INDEX('2-3 引出列表'!$A$2:$CE$8700,$A361,MATCH(I$1,'2-3 引出列表'!$A$1:$CD$1,0)),"")),"",IFERROR(INDEX('2-3 引出列表'!$A$2:$CE$8700,$A361,MATCH(I$1,'2-3 引出列表'!$A$1:$CD$1,0)),""))</f>
        <v>金采易购</v>
      </c>
    </row>
    <row r="362" spans="1:9">
      <c r="A362">
        <v>361</v>
      </c>
      <c r="B362" t="str">
        <f>IF(ISBLANK(IFERROR(INDEX('2-3 引出列表'!$A$2:$CE$8700,$A362,MATCH(B$1,'2-3 引出列表'!$A$1:$CD$1,0)),"")),"",IFERROR(INDEX('2-3 引出列表'!$A$2:$CE$8700,$A362,MATCH(B$1,'2-3 引出列表'!$A$1:$CD$1,0)),""))</f>
        <v>FK250427000403</v>
      </c>
      <c r="C362">
        <f>IF(ISBLANK(IFERROR(INDEX('2-3 引出列表'!$A$2:$CE$8700,$A362,MATCH(C$1,'2-3 引出列表'!$A$1:$CD$1,0)),"")),"",IFERROR(INDEX('2-3 引出列表'!$A$2:$CE$8700,$A362,MATCH(C$1,'2-3 引出列表'!$A$1:$CD$1,0)),""))</f>
        <v>16853.05</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2025-07-10</v>
      </c>
      <c r="F362" s="30" t="str">
        <f t="shared" si="5"/>
        <v>2025-07</v>
      </c>
      <c r="G362" t="str">
        <f>IF(ISBLANK(IFERROR(INDEX('2-3 引出列表'!$A$2:$CE$8700,$A362,MATCH(G$1,'2-3 引出列表'!$A$1:$CD$1,0)),"")),"",IFERROR(INDEX('2-3 引出列表'!$A$2:$CE$8700,$A362,MATCH(G$1,'2-3 引出列表'!$A$1:$CD$1,0)),""))</f>
        <v>物料消耗.物料消耗</v>
      </c>
      <c r="H362" t="str">
        <f>IF(ISBLANK(IFERROR(INDEX('2-3 引出列表'!$A$2:$CE$8700,$A362,MATCH(H$1,'2-3 引出列表'!$A$1:$CD$1,0)),"")),"",IFERROR(INDEX('2-3 引出列表'!$A$2:$CE$8700,$A362,MATCH(H$1,'2-3 引出列表'!$A$1:$CD$1,0)),""))</f>
        <v>ZB20210901JCWZ02</v>
      </c>
      <c r="I362" t="str">
        <f>IF(ISBLANK(IFERROR(INDEX('2-3 引出列表'!$A$2:$CE$8700,$A362,MATCH(I$1,'2-3 引出列表'!$A$1:$CD$1,0)),"")),"",IFERROR(INDEX('2-3 引出列表'!$A$2:$CE$8700,$A362,MATCH(I$1,'2-3 引出列表'!$A$1:$CD$1,0)),""))</f>
        <v>金采易购</v>
      </c>
    </row>
    <row r="363" spans="1:9">
      <c r="A363">
        <v>362</v>
      </c>
      <c r="B363" t="str">
        <f>IF(ISBLANK(IFERROR(INDEX('2-3 引出列表'!$A$2:$CE$8700,$A363,MATCH(B$1,'2-3 引出列表'!$A$1:$CD$1,0)),"")),"",IFERROR(INDEX('2-3 引出列表'!$A$2:$CE$8700,$A363,MATCH(B$1,'2-3 引出列表'!$A$1:$CD$1,0)),""))</f>
        <v>FK250427000403</v>
      </c>
      <c r="C363">
        <f>IF(ISBLANK(IFERROR(INDEX('2-3 引出列表'!$A$2:$CE$8700,$A363,MATCH(C$1,'2-3 引出列表'!$A$1:$CD$1,0)),"")),"",IFERROR(INDEX('2-3 引出列表'!$A$2:$CE$8700,$A363,MATCH(C$1,'2-3 引出列表'!$A$1:$CD$1,0)),""))</f>
        <v>16853.05</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2025-07-10</v>
      </c>
      <c r="F363" s="30" t="str">
        <f t="shared" si="5"/>
        <v>2025-07</v>
      </c>
      <c r="G363" t="str">
        <f>IF(ISBLANK(IFERROR(INDEX('2-3 引出列表'!$A$2:$CE$8700,$A363,MATCH(G$1,'2-3 引出列表'!$A$1:$CD$1,0)),"")),"",IFERROR(INDEX('2-3 引出列表'!$A$2:$CE$8700,$A363,MATCH(G$1,'2-3 引出列表'!$A$1:$CD$1,0)),""))</f>
        <v>物料消耗.物料消耗</v>
      </c>
      <c r="H363" t="str">
        <f>IF(ISBLANK(IFERROR(INDEX('2-3 引出列表'!$A$2:$CE$8700,$A363,MATCH(H$1,'2-3 引出列表'!$A$1:$CD$1,0)),"")),"",IFERROR(INDEX('2-3 引出列表'!$A$2:$CE$8700,$A363,MATCH(H$1,'2-3 引出列表'!$A$1:$CD$1,0)),""))</f>
        <v>ZB20210901JCWZ02</v>
      </c>
      <c r="I363" t="str">
        <f>IF(ISBLANK(IFERROR(INDEX('2-3 引出列表'!$A$2:$CE$8700,$A363,MATCH(I$1,'2-3 引出列表'!$A$1:$CD$1,0)),"")),"",IFERROR(INDEX('2-3 引出列表'!$A$2:$CE$8700,$A363,MATCH(I$1,'2-3 引出列表'!$A$1:$CD$1,0)),""))</f>
        <v>金采易购</v>
      </c>
    </row>
    <row r="364" spans="1:9">
      <c r="A364">
        <v>363</v>
      </c>
      <c r="B364" t="str">
        <f>IF(ISBLANK(IFERROR(INDEX('2-3 引出列表'!$A$2:$CE$8700,$A364,MATCH(B$1,'2-3 引出列表'!$A$1:$CD$1,0)),"")),"",IFERROR(INDEX('2-3 引出列表'!$A$2:$CE$8700,$A364,MATCH(B$1,'2-3 引出列表'!$A$1:$CD$1,0)),""))</f>
        <v>FK250427000403</v>
      </c>
      <c r="C364">
        <f>IF(ISBLANK(IFERROR(INDEX('2-3 引出列表'!$A$2:$CE$8700,$A364,MATCH(C$1,'2-3 引出列表'!$A$1:$CD$1,0)),"")),"",IFERROR(INDEX('2-3 引出列表'!$A$2:$CE$8700,$A364,MATCH(C$1,'2-3 引出列表'!$A$1:$CD$1,0)),""))</f>
        <v>16853.05</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2025-07-10</v>
      </c>
      <c r="F364" s="30" t="str">
        <f t="shared" si="5"/>
        <v>2025-07</v>
      </c>
      <c r="G364" t="str">
        <f>IF(ISBLANK(IFERROR(INDEX('2-3 引出列表'!$A$2:$CE$8700,$A364,MATCH(G$1,'2-3 引出列表'!$A$1:$CD$1,0)),"")),"",IFERROR(INDEX('2-3 引出列表'!$A$2:$CE$8700,$A364,MATCH(G$1,'2-3 引出列表'!$A$1:$CD$1,0)),""))</f>
        <v>物料消耗.物料消耗</v>
      </c>
      <c r="H364" t="str">
        <f>IF(ISBLANK(IFERROR(INDEX('2-3 引出列表'!$A$2:$CE$8700,$A364,MATCH(H$1,'2-3 引出列表'!$A$1:$CD$1,0)),"")),"",IFERROR(INDEX('2-3 引出列表'!$A$2:$CE$8700,$A364,MATCH(H$1,'2-3 引出列表'!$A$1:$CD$1,0)),""))</f>
        <v>ZB20210901JCWZ02</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FK250427000403</v>
      </c>
      <c r="C365">
        <f>IF(ISBLANK(IFERROR(INDEX('2-3 引出列表'!$A$2:$CE$8700,$A365,MATCH(C$1,'2-3 引出列表'!$A$1:$CD$1,0)),"")),"",IFERROR(INDEX('2-3 引出列表'!$A$2:$CE$8700,$A365,MATCH(C$1,'2-3 引出列表'!$A$1:$CD$1,0)),""))</f>
        <v>16853.05</v>
      </c>
      <c r="D365" t="str">
        <f>IF(ISBLANK(IFERROR(INDEX('2-3 引出列表'!$A$2:$CE$8700,$A365,MATCH(D$1,'2-3 引出列表'!$A$1:$CD$1,0)),"")),"",IFERROR(INDEX('2-3 引出列表'!$A$2:$CE$8700,$A365,MATCH(D$1,'2-3 引出列表'!$A$1:$CD$1,0)),""))</f>
        <v>已付款</v>
      </c>
      <c r="E365" t="str">
        <f>IF(ISBLANK(IFERROR(INDEX('2-3 引出列表'!$A$2:$CE$8700,$A365,MATCH(E$1,'2-3 引出列表'!$A$1:$CD$1,0)),"")),"",IFERROR(INDEX('2-3 引出列表'!$A$2:$CE$8700,$A365,MATCH(E$1,'2-3 引出列表'!$A$1:$CD$1,0)),""))</f>
        <v>2025-07-10</v>
      </c>
      <c r="F365" s="30" t="str">
        <f t="shared" si="5"/>
        <v>2025-07</v>
      </c>
      <c r="G365" t="str">
        <f>IF(ISBLANK(IFERROR(INDEX('2-3 引出列表'!$A$2:$CE$8700,$A365,MATCH(G$1,'2-3 引出列表'!$A$1:$CD$1,0)),"")),"",IFERROR(INDEX('2-3 引出列表'!$A$2:$CE$8700,$A365,MATCH(G$1,'2-3 引出列表'!$A$1:$CD$1,0)),""))</f>
        <v>物料消耗.物料消耗</v>
      </c>
      <c r="H365" t="str">
        <f>IF(ISBLANK(IFERROR(INDEX('2-3 引出列表'!$A$2:$CE$8700,$A365,MATCH(H$1,'2-3 引出列表'!$A$1:$CD$1,0)),"")),"",IFERROR(INDEX('2-3 引出列表'!$A$2:$CE$8700,$A365,MATCH(H$1,'2-3 引出列表'!$A$1:$CD$1,0)),""))</f>
        <v>ZB20210901JCWZ02</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FK250427000403</v>
      </c>
      <c r="C366">
        <f>IF(ISBLANK(IFERROR(INDEX('2-3 引出列表'!$A$2:$CE$8700,$A366,MATCH(C$1,'2-3 引出列表'!$A$1:$CD$1,0)),"")),"",IFERROR(INDEX('2-3 引出列表'!$A$2:$CE$8700,$A366,MATCH(C$1,'2-3 引出列表'!$A$1:$CD$1,0)),""))</f>
        <v>16853.05</v>
      </c>
      <c r="D366" t="str">
        <f>IF(ISBLANK(IFERROR(INDEX('2-3 引出列表'!$A$2:$CE$8700,$A366,MATCH(D$1,'2-3 引出列表'!$A$1:$CD$1,0)),"")),"",IFERROR(INDEX('2-3 引出列表'!$A$2:$CE$8700,$A366,MATCH(D$1,'2-3 引出列表'!$A$1:$CD$1,0)),""))</f>
        <v>已付款</v>
      </c>
      <c r="E366" t="str">
        <f>IF(ISBLANK(IFERROR(INDEX('2-3 引出列表'!$A$2:$CE$8700,$A366,MATCH(E$1,'2-3 引出列表'!$A$1:$CD$1,0)),"")),"",IFERROR(INDEX('2-3 引出列表'!$A$2:$CE$8700,$A366,MATCH(E$1,'2-3 引出列表'!$A$1:$CD$1,0)),""))</f>
        <v>2025-07-10</v>
      </c>
      <c r="F366" s="30" t="str">
        <f t="shared" si="5"/>
        <v>2025-07</v>
      </c>
      <c r="G366" t="str">
        <f>IF(ISBLANK(IFERROR(INDEX('2-3 引出列表'!$A$2:$CE$8700,$A366,MATCH(G$1,'2-3 引出列表'!$A$1:$CD$1,0)),"")),"",IFERROR(INDEX('2-3 引出列表'!$A$2:$CE$8700,$A366,MATCH(G$1,'2-3 引出列表'!$A$1:$CD$1,0)),""))</f>
        <v>物料消耗.物料消耗</v>
      </c>
      <c r="H366" t="str">
        <f>IF(ISBLANK(IFERROR(INDEX('2-3 引出列表'!$A$2:$CE$8700,$A366,MATCH(H$1,'2-3 引出列表'!$A$1:$CD$1,0)),"")),"",IFERROR(INDEX('2-3 引出列表'!$A$2:$CE$8700,$A366,MATCH(H$1,'2-3 引出列表'!$A$1:$CD$1,0)),""))</f>
        <v>ZB20210901JCWZ02</v>
      </c>
      <c r="I366" t="str">
        <f>IF(ISBLANK(IFERROR(INDEX('2-3 引出列表'!$A$2:$CE$8700,$A366,MATCH(I$1,'2-3 引出列表'!$A$1:$CD$1,0)),"")),"",IFERROR(INDEX('2-3 引出列表'!$A$2:$CE$8700,$A366,MATCH(I$1,'2-3 引出列表'!$A$1:$CD$1,0)),""))</f>
        <v>金采易购</v>
      </c>
    </row>
    <row r="367" spans="1:9">
      <c r="A367">
        <v>366</v>
      </c>
      <c r="B367" t="str">
        <f>IF(ISBLANK(IFERROR(INDEX('2-3 引出列表'!$A$2:$CE$8700,$A367,MATCH(B$1,'2-3 引出列表'!$A$1:$CD$1,0)),"")),"",IFERROR(INDEX('2-3 引出列表'!$A$2:$CE$8700,$A367,MATCH(B$1,'2-3 引出列表'!$A$1:$CD$1,0)),""))</f>
        <v>FK250427000403</v>
      </c>
      <c r="C367">
        <f>IF(ISBLANK(IFERROR(INDEX('2-3 引出列表'!$A$2:$CE$8700,$A367,MATCH(C$1,'2-3 引出列表'!$A$1:$CD$1,0)),"")),"",IFERROR(INDEX('2-3 引出列表'!$A$2:$CE$8700,$A367,MATCH(C$1,'2-3 引出列表'!$A$1:$CD$1,0)),""))</f>
        <v>16853.05</v>
      </c>
      <c r="D367" t="str">
        <f>IF(ISBLANK(IFERROR(INDEX('2-3 引出列表'!$A$2:$CE$8700,$A367,MATCH(D$1,'2-3 引出列表'!$A$1:$CD$1,0)),"")),"",IFERROR(INDEX('2-3 引出列表'!$A$2:$CE$8700,$A367,MATCH(D$1,'2-3 引出列表'!$A$1:$CD$1,0)),""))</f>
        <v>已付款</v>
      </c>
      <c r="E367" t="str">
        <f>IF(ISBLANK(IFERROR(INDEX('2-3 引出列表'!$A$2:$CE$8700,$A367,MATCH(E$1,'2-3 引出列表'!$A$1:$CD$1,0)),"")),"",IFERROR(INDEX('2-3 引出列表'!$A$2:$CE$8700,$A367,MATCH(E$1,'2-3 引出列表'!$A$1:$CD$1,0)),""))</f>
        <v>2025-07-10</v>
      </c>
      <c r="F367" s="30" t="str">
        <f t="shared" si="5"/>
        <v>2025-07</v>
      </c>
      <c r="G367" t="str">
        <f>IF(ISBLANK(IFERROR(INDEX('2-3 引出列表'!$A$2:$CE$8700,$A367,MATCH(G$1,'2-3 引出列表'!$A$1:$CD$1,0)),"")),"",IFERROR(INDEX('2-3 引出列表'!$A$2:$CE$8700,$A367,MATCH(G$1,'2-3 引出列表'!$A$1:$CD$1,0)),""))</f>
        <v>物料消耗.物料消耗</v>
      </c>
      <c r="H367" t="str">
        <f>IF(ISBLANK(IFERROR(INDEX('2-3 引出列表'!$A$2:$CE$8700,$A367,MATCH(H$1,'2-3 引出列表'!$A$1:$CD$1,0)),"")),"",IFERROR(INDEX('2-3 引出列表'!$A$2:$CE$8700,$A367,MATCH(H$1,'2-3 引出列表'!$A$1:$CD$1,0)),""))</f>
        <v>ZB20210901JCWZ02</v>
      </c>
      <c r="I367" t="str">
        <f>IF(ISBLANK(IFERROR(INDEX('2-3 引出列表'!$A$2:$CE$8700,$A367,MATCH(I$1,'2-3 引出列表'!$A$1:$CD$1,0)),"")),"",IFERROR(INDEX('2-3 引出列表'!$A$2:$CE$8700,$A367,MATCH(I$1,'2-3 引出列表'!$A$1:$CD$1,0)),""))</f>
        <v>金采易购</v>
      </c>
    </row>
    <row r="368" spans="1:9">
      <c r="A368">
        <v>367</v>
      </c>
      <c r="B368" t="str">
        <f>IF(ISBLANK(IFERROR(INDEX('2-3 引出列表'!$A$2:$CE$8700,$A368,MATCH(B$1,'2-3 引出列表'!$A$1:$CD$1,0)),"")),"",IFERROR(INDEX('2-3 引出列表'!$A$2:$CE$8700,$A368,MATCH(B$1,'2-3 引出列表'!$A$1:$CD$1,0)),""))</f>
        <v>FK250427000403</v>
      </c>
      <c r="C368">
        <f>IF(ISBLANK(IFERROR(INDEX('2-3 引出列表'!$A$2:$CE$8700,$A368,MATCH(C$1,'2-3 引出列表'!$A$1:$CD$1,0)),"")),"",IFERROR(INDEX('2-3 引出列表'!$A$2:$CE$8700,$A368,MATCH(C$1,'2-3 引出列表'!$A$1:$CD$1,0)),""))</f>
        <v>16853.05</v>
      </c>
      <c r="D368" t="str">
        <f>IF(ISBLANK(IFERROR(INDEX('2-3 引出列表'!$A$2:$CE$8700,$A368,MATCH(D$1,'2-3 引出列表'!$A$1:$CD$1,0)),"")),"",IFERROR(INDEX('2-3 引出列表'!$A$2:$CE$8700,$A368,MATCH(D$1,'2-3 引出列表'!$A$1:$CD$1,0)),""))</f>
        <v>已付款</v>
      </c>
      <c r="E368" t="str">
        <f>IF(ISBLANK(IFERROR(INDEX('2-3 引出列表'!$A$2:$CE$8700,$A368,MATCH(E$1,'2-3 引出列表'!$A$1:$CD$1,0)),"")),"",IFERROR(INDEX('2-3 引出列表'!$A$2:$CE$8700,$A368,MATCH(E$1,'2-3 引出列表'!$A$1:$CD$1,0)),""))</f>
        <v>2025-07-10</v>
      </c>
      <c r="F368" s="30" t="str">
        <f t="shared" si="5"/>
        <v>2025-07</v>
      </c>
      <c r="G368" t="str">
        <f>IF(ISBLANK(IFERROR(INDEX('2-3 引出列表'!$A$2:$CE$8700,$A368,MATCH(G$1,'2-3 引出列表'!$A$1:$CD$1,0)),"")),"",IFERROR(INDEX('2-3 引出列表'!$A$2:$CE$8700,$A368,MATCH(G$1,'2-3 引出列表'!$A$1:$CD$1,0)),""))</f>
        <v>物料消耗.物料消耗</v>
      </c>
      <c r="H368" t="str">
        <f>IF(ISBLANK(IFERROR(INDEX('2-3 引出列表'!$A$2:$CE$8700,$A368,MATCH(H$1,'2-3 引出列表'!$A$1:$CD$1,0)),"")),"",IFERROR(INDEX('2-3 引出列表'!$A$2:$CE$8700,$A368,MATCH(H$1,'2-3 引出列表'!$A$1:$CD$1,0)),""))</f>
        <v>ZB20210901JCWZ02</v>
      </c>
      <c r="I368" t="str">
        <f>IF(ISBLANK(IFERROR(INDEX('2-3 引出列表'!$A$2:$CE$8700,$A368,MATCH(I$1,'2-3 引出列表'!$A$1:$CD$1,0)),"")),"",IFERROR(INDEX('2-3 引出列表'!$A$2:$CE$8700,$A368,MATCH(I$1,'2-3 引出列表'!$A$1:$CD$1,0)),""))</f>
        <v>金采易购</v>
      </c>
    </row>
    <row r="369" spans="1:9">
      <c r="A369">
        <v>368</v>
      </c>
      <c r="B369" t="str">
        <f>IF(ISBLANK(IFERROR(INDEX('2-3 引出列表'!$A$2:$CE$8700,$A369,MATCH(B$1,'2-3 引出列表'!$A$1:$CD$1,0)),"")),"",IFERROR(INDEX('2-3 引出列表'!$A$2:$CE$8700,$A369,MATCH(B$1,'2-3 引出列表'!$A$1:$CD$1,0)),""))</f>
        <v>FK250427000403</v>
      </c>
      <c r="C369">
        <f>IF(ISBLANK(IFERROR(INDEX('2-3 引出列表'!$A$2:$CE$8700,$A369,MATCH(C$1,'2-3 引出列表'!$A$1:$CD$1,0)),"")),"",IFERROR(INDEX('2-3 引出列表'!$A$2:$CE$8700,$A369,MATCH(C$1,'2-3 引出列表'!$A$1:$CD$1,0)),""))</f>
        <v>16853.05</v>
      </c>
      <c r="D369" t="str">
        <f>IF(ISBLANK(IFERROR(INDEX('2-3 引出列表'!$A$2:$CE$8700,$A369,MATCH(D$1,'2-3 引出列表'!$A$1:$CD$1,0)),"")),"",IFERROR(INDEX('2-3 引出列表'!$A$2:$CE$8700,$A369,MATCH(D$1,'2-3 引出列表'!$A$1:$CD$1,0)),""))</f>
        <v>已付款</v>
      </c>
      <c r="E369" t="str">
        <f>IF(ISBLANK(IFERROR(INDEX('2-3 引出列表'!$A$2:$CE$8700,$A369,MATCH(E$1,'2-3 引出列表'!$A$1:$CD$1,0)),"")),"",IFERROR(INDEX('2-3 引出列表'!$A$2:$CE$8700,$A369,MATCH(E$1,'2-3 引出列表'!$A$1:$CD$1,0)),""))</f>
        <v>2025-07-10</v>
      </c>
      <c r="F369" s="30" t="str">
        <f t="shared" si="5"/>
        <v>2025-07</v>
      </c>
      <c r="G369" t="str">
        <f>IF(ISBLANK(IFERROR(INDEX('2-3 引出列表'!$A$2:$CE$8700,$A369,MATCH(G$1,'2-3 引出列表'!$A$1:$CD$1,0)),"")),"",IFERROR(INDEX('2-3 引出列表'!$A$2:$CE$8700,$A369,MATCH(G$1,'2-3 引出列表'!$A$1:$CD$1,0)),""))</f>
        <v>物料消耗.物料消耗</v>
      </c>
      <c r="H369" t="str">
        <f>IF(ISBLANK(IFERROR(INDEX('2-3 引出列表'!$A$2:$CE$8700,$A369,MATCH(H$1,'2-3 引出列表'!$A$1:$CD$1,0)),"")),"",IFERROR(INDEX('2-3 引出列表'!$A$2:$CE$8700,$A369,MATCH(H$1,'2-3 引出列表'!$A$1:$CD$1,0)),""))</f>
        <v>ZB20210901JCWZ02</v>
      </c>
      <c r="I369" t="str">
        <f>IF(ISBLANK(IFERROR(INDEX('2-3 引出列表'!$A$2:$CE$8700,$A369,MATCH(I$1,'2-3 引出列表'!$A$1:$CD$1,0)),"")),"",IFERROR(INDEX('2-3 引出列表'!$A$2:$CE$8700,$A369,MATCH(I$1,'2-3 引出列表'!$A$1:$CD$1,0)),""))</f>
        <v>金采易购</v>
      </c>
    </row>
    <row r="370" spans="1:9">
      <c r="A370">
        <v>369</v>
      </c>
      <c r="B370" t="str">
        <f>IF(ISBLANK(IFERROR(INDEX('2-3 引出列表'!$A$2:$CE$8700,$A370,MATCH(B$1,'2-3 引出列表'!$A$1:$CD$1,0)),"")),"",IFERROR(INDEX('2-3 引出列表'!$A$2:$CE$8700,$A370,MATCH(B$1,'2-3 引出列表'!$A$1:$CD$1,0)),""))</f>
        <v>FK250427000403</v>
      </c>
      <c r="C370">
        <f>IF(ISBLANK(IFERROR(INDEX('2-3 引出列表'!$A$2:$CE$8700,$A370,MATCH(C$1,'2-3 引出列表'!$A$1:$CD$1,0)),"")),"",IFERROR(INDEX('2-3 引出列表'!$A$2:$CE$8700,$A370,MATCH(C$1,'2-3 引出列表'!$A$1:$CD$1,0)),""))</f>
        <v>16853.05</v>
      </c>
      <c r="D370" t="str">
        <f>IF(ISBLANK(IFERROR(INDEX('2-3 引出列表'!$A$2:$CE$8700,$A370,MATCH(D$1,'2-3 引出列表'!$A$1:$CD$1,0)),"")),"",IFERROR(INDEX('2-3 引出列表'!$A$2:$CE$8700,$A370,MATCH(D$1,'2-3 引出列表'!$A$1:$CD$1,0)),""))</f>
        <v>已付款</v>
      </c>
      <c r="E370" t="str">
        <f>IF(ISBLANK(IFERROR(INDEX('2-3 引出列表'!$A$2:$CE$8700,$A370,MATCH(E$1,'2-3 引出列表'!$A$1:$CD$1,0)),"")),"",IFERROR(INDEX('2-3 引出列表'!$A$2:$CE$8700,$A370,MATCH(E$1,'2-3 引出列表'!$A$1:$CD$1,0)),""))</f>
        <v>2025-07-10</v>
      </c>
      <c r="F370" s="30" t="str">
        <f t="shared" si="5"/>
        <v>2025-07</v>
      </c>
      <c r="G370" t="str">
        <f>IF(ISBLANK(IFERROR(INDEX('2-3 引出列表'!$A$2:$CE$8700,$A370,MATCH(G$1,'2-3 引出列表'!$A$1:$CD$1,0)),"")),"",IFERROR(INDEX('2-3 引出列表'!$A$2:$CE$8700,$A370,MATCH(G$1,'2-3 引出列表'!$A$1:$CD$1,0)),""))</f>
        <v>物料消耗.物料消耗</v>
      </c>
      <c r="H370" t="str">
        <f>IF(ISBLANK(IFERROR(INDEX('2-3 引出列表'!$A$2:$CE$8700,$A370,MATCH(H$1,'2-3 引出列表'!$A$1:$CD$1,0)),"")),"",IFERROR(INDEX('2-3 引出列表'!$A$2:$CE$8700,$A370,MATCH(H$1,'2-3 引出列表'!$A$1:$CD$1,0)),""))</f>
        <v>ZB20210901JCWZ02</v>
      </c>
      <c r="I370" t="str">
        <f>IF(ISBLANK(IFERROR(INDEX('2-3 引出列表'!$A$2:$CE$8700,$A370,MATCH(I$1,'2-3 引出列表'!$A$1:$CD$1,0)),"")),"",IFERROR(INDEX('2-3 引出列表'!$A$2:$CE$8700,$A370,MATCH(I$1,'2-3 引出列表'!$A$1:$CD$1,0)),""))</f>
        <v>金采易购</v>
      </c>
    </row>
    <row r="371" spans="1:9">
      <c r="A371">
        <v>370</v>
      </c>
      <c r="B371" t="str">
        <f>IF(ISBLANK(IFERROR(INDEX('2-3 引出列表'!$A$2:$CE$8700,$A371,MATCH(B$1,'2-3 引出列表'!$A$1:$CD$1,0)),"")),"",IFERROR(INDEX('2-3 引出列表'!$A$2:$CE$8700,$A371,MATCH(B$1,'2-3 引出列表'!$A$1:$CD$1,0)),""))</f>
        <v>FK250427000403</v>
      </c>
      <c r="C371">
        <f>IF(ISBLANK(IFERROR(INDEX('2-3 引出列表'!$A$2:$CE$8700,$A371,MATCH(C$1,'2-3 引出列表'!$A$1:$CD$1,0)),"")),"",IFERROR(INDEX('2-3 引出列表'!$A$2:$CE$8700,$A371,MATCH(C$1,'2-3 引出列表'!$A$1:$CD$1,0)),""))</f>
        <v>16853.05</v>
      </c>
      <c r="D371" t="str">
        <f>IF(ISBLANK(IFERROR(INDEX('2-3 引出列表'!$A$2:$CE$8700,$A371,MATCH(D$1,'2-3 引出列表'!$A$1:$CD$1,0)),"")),"",IFERROR(INDEX('2-3 引出列表'!$A$2:$CE$8700,$A371,MATCH(D$1,'2-3 引出列表'!$A$1:$CD$1,0)),""))</f>
        <v>已付款</v>
      </c>
      <c r="E371" t="str">
        <f>IF(ISBLANK(IFERROR(INDEX('2-3 引出列表'!$A$2:$CE$8700,$A371,MATCH(E$1,'2-3 引出列表'!$A$1:$CD$1,0)),"")),"",IFERROR(INDEX('2-3 引出列表'!$A$2:$CE$8700,$A371,MATCH(E$1,'2-3 引出列表'!$A$1:$CD$1,0)),""))</f>
        <v>2025-07-10</v>
      </c>
      <c r="F371" s="30" t="str">
        <f t="shared" si="5"/>
        <v>2025-07</v>
      </c>
      <c r="G371" t="str">
        <f>IF(ISBLANK(IFERROR(INDEX('2-3 引出列表'!$A$2:$CE$8700,$A371,MATCH(G$1,'2-3 引出列表'!$A$1:$CD$1,0)),"")),"",IFERROR(INDEX('2-3 引出列表'!$A$2:$CE$8700,$A371,MATCH(G$1,'2-3 引出列表'!$A$1:$CD$1,0)),""))</f>
        <v>物料消耗.物料消耗</v>
      </c>
      <c r="H371" t="str">
        <f>IF(ISBLANK(IFERROR(INDEX('2-3 引出列表'!$A$2:$CE$8700,$A371,MATCH(H$1,'2-3 引出列表'!$A$1:$CD$1,0)),"")),"",IFERROR(INDEX('2-3 引出列表'!$A$2:$CE$8700,$A371,MATCH(H$1,'2-3 引出列表'!$A$1:$CD$1,0)),""))</f>
        <v>ZB20210901JCWZ02</v>
      </c>
      <c r="I371" t="str">
        <f>IF(ISBLANK(IFERROR(INDEX('2-3 引出列表'!$A$2:$CE$8700,$A371,MATCH(I$1,'2-3 引出列表'!$A$1:$CD$1,0)),"")),"",IFERROR(INDEX('2-3 引出列表'!$A$2:$CE$8700,$A371,MATCH(I$1,'2-3 引出列表'!$A$1:$CD$1,0)),""))</f>
        <v>金采易购</v>
      </c>
    </row>
    <row r="372" spans="1:9">
      <c r="A372">
        <v>371</v>
      </c>
      <c r="B372" t="str">
        <f>IF(ISBLANK(IFERROR(INDEX('2-3 引出列表'!$A$2:$CE$8700,$A372,MATCH(B$1,'2-3 引出列表'!$A$1:$CD$1,0)),"")),"",IFERROR(INDEX('2-3 引出列表'!$A$2:$CE$8700,$A372,MATCH(B$1,'2-3 引出列表'!$A$1:$CD$1,0)),""))</f>
        <v>FK250427000403</v>
      </c>
      <c r="C372">
        <f>IF(ISBLANK(IFERROR(INDEX('2-3 引出列表'!$A$2:$CE$8700,$A372,MATCH(C$1,'2-3 引出列表'!$A$1:$CD$1,0)),"")),"",IFERROR(INDEX('2-3 引出列表'!$A$2:$CE$8700,$A372,MATCH(C$1,'2-3 引出列表'!$A$1:$CD$1,0)),""))</f>
        <v>16853.05</v>
      </c>
      <c r="D372" t="str">
        <f>IF(ISBLANK(IFERROR(INDEX('2-3 引出列表'!$A$2:$CE$8700,$A372,MATCH(D$1,'2-3 引出列表'!$A$1:$CD$1,0)),"")),"",IFERROR(INDEX('2-3 引出列表'!$A$2:$CE$8700,$A372,MATCH(D$1,'2-3 引出列表'!$A$1:$CD$1,0)),""))</f>
        <v>已付款</v>
      </c>
      <c r="E372" t="str">
        <f>IF(ISBLANK(IFERROR(INDEX('2-3 引出列表'!$A$2:$CE$8700,$A372,MATCH(E$1,'2-3 引出列表'!$A$1:$CD$1,0)),"")),"",IFERROR(INDEX('2-3 引出列表'!$A$2:$CE$8700,$A372,MATCH(E$1,'2-3 引出列表'!$A$1:$CD$1,0)),""))</f>
        <v>2025-07-10</v>
      </c>
      <c r="F372" s="30" t="str">
        <f t="shared" si="5"/>
        <v>2025-07</v>
      </c>
      <c r="G372" t="str">
        <f>IF(ISBLANK(IFERROR(INDEX('2-3 引出列表'!$A$2:$CE$8700,$A372,MATCH(G$1,'2-3 引出列表'!$A$1:$CD$1,0)),"")),"",IFERROR(INDEX('2-3 引出列表'!$A$2:$CE$8700,$A372,MATCH(G$1,'2-3 引出列表'!$A$1:$CD$1,0)),""))</f>
        <v>物料消耗.物料消耗</v>
      </c>
      <c r="H372" t="str">
        <f>IF(ISBLANK(IFERROR(INDEX('2-3 引出列表'!$A$2:$CE$8700,$A372,MATCH(H$1,'2-3 引出列表'!$A$1:$CD$1,0)),"")),"",IFERROR(INDEX('2-3 引出列表'!$A$2:$CE$8700,$A372,MATCH(H$1,'2-3 引出列表'!$A$1:$CD$1,0)),""))</f>
        <v>ZB20210901JCWZ02</v>
      </c>
      <c r="I372" t="str">
        <f>IF(ISBLANK(IFERROR(INDEX('2-3 引出列表'!$A$2:$CE$8700,$A372,MATCH(I$1,'2-3 引出列表'!$A$1:$CD$1,0)),"")),"",IFERROR(INDEX('2-3 引出列表'!$A$2:$CE$8700,$A372,MATCH(I$1,'2-3 引出列表'!$A$1:$CD$1,0)),""))</f>
        <v>金采易购</v>
      </c>
    </row>
    <row r="373" spans="1:9">
      <c r="A373">
        <v>372</v>
      </c>
      <c r="B373" t="str">
        <f>IF(ISBLANK(IFERROR(INDEX('2-3 引出列表'!$A$2:$CE$8700,$A373,MATCH(B$1,'2-3 引出列表'!$A$1:$CD$1,0)),"")),"",IFERROR(INDEX('2-3 引出列表'!$A$2:$CE$8700,$A373,MATCH(B$1,'2-3 引出列表'!$A$1:$CD$1,0)),""))</f>
        <v>FK250427000403</v>
      </c>
      <c r="C373">
        <f>IF(ISBLANK(IFERROR(INDEX('2-3 引出列表'!$A$2:$CE$8700,$A373,MATCH(C$1,'2-3 引出列表'!$A$1:$CD$1,0)),"")),"",IFERROR(INDEX('2-3 引出列表'!$A$2:$CE$8700,$A373,MATCH(C$1,'2-3 引出列表'!$A$1:$CD$1,0)),""))</f>
        <v>16853.05</v>
      </c>
      <c r="D373" t="str">
        <f>IF(ISBLANK(IFERROR(INDEX('2-3 引出列表'!$A$2:$CE$8700,$A373,MATCH(D$1,'2-3 引出列表'!$A$1:$CD$1,0)),"")),"",IFERROR(INDEX('2-3 引出列表'!$A$2:$CE$8700,$A373,MATCH(D$1,'2-3 引出列表'!$A$1:$CD$1,0)),""))</f>
        <v>已付款</v>
      </c>
      <c r="E373" t="str">
        <f>IF(ISBLANK(IFERROR(INDEX('2-3 引出列表'!$A$2:$CE$8700,$A373,MATCH(E$1,'2-3 引出列表'!$A$1:$CD$1,0)),"")),"",IFERROR(INDEX('2-3 引出列表'!$A$2:$CE$8700,$A373,MATCH(E$1,'2-3 引出列表'!$A$1:$CD$1,0)),""))</f>
        <v>2025-07-10</v>
      </c>
      <c r="F373" s="30" t="str">
        <f t="shared" si="5"/>
        <v>2025-07</v>
      </c>
      <c r="G373" t="str">
        <f>IF(ISBLANK(IFERROR(INDEX('2-3 引出列表'!$A$2:$CE$8700,$A373,MATCH(G$1,'2-3 引出列表'!$A$1:$CD$1,0)),"")),"",IFERROR(INDEX('2-3 引出列表'!$A$2:$CE$8700,$A373,MATCH(G$1,'2-3 引出列表'!$A$1:$CD$1,0)),""))</f>
        <v>物料消耗.物料消耗</v>
      </c>
      <c r="H373" t="str">
        <f>IF(ISBLANK(IFERROR(INDEX('2-3 引出列表'!$A$2:$CE$8700,$A373,MATCH(H$1,'2-3 引出列表'!$A$1:$CD$1,0)),"")),"",IFERROR(INDEX('2-3 引出列表'!$A$2:$CE$8700,$A373,MATCH(H$1,'2-3 引出列表'!$A$1:$CD$1,0)),""))</f>
        <v>ZB20210901JCWZ02</v>
      </c>
      <c r="I373" t="str">
        <f>IF(ISBLANK(IFERROR(INDEX('2-3 引出列表'!$A$2:$CE$8700,$A373,MATCH(I$1,'2-3 引出列表'!$A$1:$CD$1,0)),"")),"",IFERROR(INDEX('2-3 引出列表'!$A$2:$CE$8700,$A373,MATCH(I$1,'2-3 引出列表'!$A$1:$CD$1,0)),""))</f>
        <v>金采易购</v>
      </c>
    </row>
    <row r="374" spans="1:9">
      <c r="A374">
        <v>373</v>
      </c>
      <c r="B374" t="str">
        <f>IF(ISBLANK(IFERROR(INDEX('2-3 引出列表'!$A$2:$CE$8700,$A374,MATCH(B$1,'2-3 引出列表'!$A$1:$CD$1,0)),"")),"",IFERROR(INDEX('2-3 引出列表'!$A$2:$CE$8700,$A374,MATCH(B$1,'2-3 引出列表'!$A$1:$CD$1,0)),""))</f>
        <v>FK250427000403</v>
      </c>
      <c r="C374">
        <f>IF(ISBLANK(IFERROR(INDEX('2-3 引出列表'!$A$2:$CE$8700,$A374,MATCH(C$1,'2-3 引出列表'!$A$1:$CD$1,0)),"")),"",IFERROR(INDEX('2-3 引出列表'!$A$2:$CE$8700,$A374,MATCH(C$1,'2-3 引出列表'!$A$1:$CD$1,0)),""))</f>
        <v>16853.05</v>
      </c>
      <c r="D374" t="str">
        <f>IF(ISBLANK(IFERROR(INDEX('2-3 引出列表'!$A$2:$CE$8700,$A374,MATCH(D$1,'2-3 引出列表'!$A$1:$CD$1,0)),"")),"",IFERROR(INDEX('2-3 引出列表'!$A$2:$CE$8700,$A374,MATCH(D$1,'2-3 引出列表'!$A$1:$CD$1,0)),""))</f>
        <v>已付款</v>
      </c>
      <c r="E374" t="str">
        <f>IF(ISBLANK(IFERROR(INDEX('2-3 引出列表'!$A$2:$CE$8700,$A374,MATCH(E$1,'2-3 引出列表'!$A$1:$CD$1,0)),"")),"",IFERROR(INDEX('2-3 引出列表'!$A$2:$CE$8700,$A374,MATCH(E$1,'2-3 引出列表'!$A$1:$CD$1,0)),""))</f>
        <v>2025-07-10</v>
      </c>
      <c r="F374" s="30" t="str">
        <f t="shared" si="5"/>
        <v>2025-07</v>
      </c>
      <c r="G374" t="str">
        <f>IF(ISBLANK(IFERROR(INDEX('2-3 引出列表'!$A$2:$CE$8700,$A374,MATCH(G$1,'2-3 引出列表'!$A$1:$CD$1,0)),"")),"",IFERROR(INDEX('2-3 引出列表'!$A$2:$CE$8700,$A374,MATCH(G$1,'2-3 引出列表'!$A$1:$CD$1,0)),""))</f>
        <v>物料消耗.物料消耗</v>
      </c>
      <c r="H374" t="str">
        <f>IF(ISBLANK(IFERROR(INDEX('2-3 引出列表'!$A$2:$CE$8700,$A374,MATCH(H$1,'2-3 引出列表'!$A$1:$CD$1,0)),"")),"",IFERROR(INDEX('2-3 引出列表'!$A$2:$CE$8700,$A374,MATCH(H$1,'2-3 引出列表'!$A$1:$CD$1,0)),""))</f>
        <v>ZB20210901JCWZ02</v>
      </c>
      <c r="I374" t="str">
        <f>IF(ISBLANK(IFERROR(INDEX('2-3 引出列表'!$A$2:$CE$8700,$A374,MATCH(I$1,'2-3 引出列表'!$A$1:$CD$1,0)),"")),"",IFERROR(INDEX('2-3 引出列表'!$A$2:$CE$8700,$A374,MATCH(I$1,'2-3 引出列表'!$A$1:$CD$1,0)),""))</f>
        <v>金采易购</v>
      </c>
    </row>
    <row r="375" spans="1:9">
      <c r="A375">
        <v>374</v>
      </c>
      <c r="B375" t="str">
        <f>IF(ISBLANK(IFERROR(INDEX('2-3 引出列表'!$A$2:$CE$8700,$A375,MATCH(B$1,'2-3 引出列表'!$A$1:$CD$1,0)),"")),"",IFERROR(INDEX('2-3 引出列表'!$A$2:$CE$8700,$A375,MATCH(B$1,'2-3 引出列表'!$A$1:$CD$1,0)),""))</f>
        <v>FK250427000403</v>
      </c>
      <c r="C375">
        <f>IF(ISBLANK(IFERROR(INDEX('2-3 引出列表'!$A$2:$CE$8700,$A375,MATCH(C$1,'2-3 引出列表'!$A$1:$CD$1,0)),"")),"",IFERROR(INDEX('2-3 引出列表'!$A$2:$CE$8700,$A375,MATCH(C$1,'2-3 引出列表'!$A$1:$CD$1,0)),""))</f>
        <v>16853.05</v>
      </c>
      <c r="D375" t="str">
        <f>IF(ISBLANK(IFERROR(INDEX('2-3 引出列表'!$A$2:$CE$8700,$A375,MATCH(D$1,'2-3 引出列表'!$A$1:$CD$1,0)),"")),"",IFERROR(INDEX('2-3 引出列表'!$A$2:$CE$8700,$A375,MATCH(D$1,'2-3 引出列表'!$A$1:$CD$1,0)),""))</f>
        <v>已付款</v>
      </c>
      <c r="E375" t="str">
        <f>IF(ISBLANK(IFERROR(INDEX('2-3 引出列表'!$A$2:$CE$8700,$A375,MATCH(E$1,'2-3 引出列表'!$A$1:$CD$1,0)),"")),"",IFERROR(INDEX('2-3 引出列表'!$A$2:$CE$8700,$A375,MATCH(E$1,'2-3 引出列表'!$A$1:$CD$1,0)),""))</f>
        <v>2025-07-10</v>
      </c>
      <c r="F375" s="30" t="str">
        <f t="shared" si="5"/>
        <v>2025-07</v>
      </c>
      <c r="G375" t="str">
        <f>IF(ISBLANK(IFERROR(INDEX('2-3 引出列表'!$A$2:$CE$8700,$A375,MATCH(G$1,'2-3 引出列表'!$A$1:$CD$1,0)),"")),"",IFERROR(INDEX('2-3 引出列表'!$A$2:$CE$8700,$A375,MATCH(G$1,'2-3 引出列表'!$A$1:$CD$1,0)),""))</f>
        <v>物料消耗.物料消耗</v>
      </c>
      <c r="H375" t="str">
        <f>IF(ISBLANK(IFERROR(INDEX('2-3 引出列表'!$A$2:$CE$8700,$A375,MATCH(H$1,'2-3 引出列表'!$A$1:$CD$1,0)),"")),"",IFERROR(INDEX('2-3 引出列表'!$A$2:$CE$8700,$A375,MATCH(H$1,'2-3 引出列表'!$A$1:$CD$1,0)),""))</f>
        <v>ZB20210901JCWZ02</v>
      </c>
      <c r="I375" t="str">
        <f>IF(ISBLANK(IFERROR(INDEX('2-3 引出列表'!$A$2:$CE$8700,$A375,MATCH(I$1,'2-3 引出列表'!$A$1:$CD$1,0)),"")),"",IFERROR(INDEX('2-3 引出列表'!$A$2:$CE$8700,$A375,MATCH(I$1,'2-3 引出列表'!$A$1:$CD$1,0)),""))</f>
        <v>金采易购</v>
      </c>
    </row>
    <row r="376" spans="1:9">
      <c r="A376">
        <v>375</v>
      </c>
      <c r="B376" t="str">
        <f>IF(ISBLANK(IFERROR(INDEX('2-3 引出列表'!$A$2:$CE$8700,$A376,MATCH(B$1,'2-3 引出列表'!$A$1:$CD$1,0)),"")),"",IFERROR(INDEX('2-3 引出列表'!$A$2:$CE$8700,$A376,MATCH(B$1,'2-3 引出列表'!$A$1:$CD$1,0)),""))</f>
        <v>FK250427000403</v>
      </c>
      <c r="C376">
        <f>IF(ISBLANK(IFERROR(INDEX('2-3 引出列表'!$A$2:$CE$8700,$A376,MATCH(C$1,'2-3 引出列表'!$A$1:$CD$1,0)),"")),"",IFERROR(INDEX('2-3 引出列表'!$A$2:$CE$8700,$A376,MATCH(C$1,'2-3 引出列表'!$A$1:$CD$1,0)),""))</f>
        <v>16853.05</v>
      </c>
      <c r="D376" t="str">
        <f>IF(ISBLANK(IFERROR(INDEX('2-3 引出列表'!$A$2:$CE$8700,$A376,MATCH(D$1,'2-3 引出列表'!$A$1:$CD$1,0)),"")),"",IFERROR(INDEX('2-3 引出列表'!$A$2:$CE$8700,$A376,MATCH(D$1,'2-3 引出列表'!$A$1:$CD$1,0)),""))</f>
        <v>已付款</v>
      </c>
      <c r="E376" t="str">
        <f>IF(ISBLANK(IFERROR(INDEX('2-3 引出列表'!$A$2:$CE$8700,$A376,MATCH(E$1,'2-3 引出列表'!$A$1:$CD$1,0)),"")),"",IFERROR(INDEX('2-3 引出列表'!$A$2:$CE$8700,$A376,MATCH(E$1,'2-3 引出列表'!$A$1:$CD$1,0)),""))</f>
        <v>2025-07-10</v>
      </c>
      <c r="F376" s="30" t="str">
        <f t="shared" si="5"/>
        <v>2025-07</v>
      </c>
      <c r="G376" t="str">
        <f>IF(ISBLANK(IFERROR(INDEX('2-3 引出列表'!$A$2:$CE$8700,$A376,MATCH(G$1,'2-3 引出列表'!$A$1:$CD$1,0)),"")),"",IFERROR(INDEX('2-3 引出列表'!$A$2:$CE$8700,$A376,MATCH(G$1,'2-3 引出列表'!$A$1:$CD$1,0)),""))</f>
        <v>物料消耗.物料消耗</v>
      </c>
      <c r="H376" t="str">
        <f>IF(ISBLANK(IFERROR(INDEX('2-3 引出列表'!$A$2:$CE$8700,$A376,MATCH(H$1,'2-3 引出列表'!$A$1:$CD$1,0)),"")),"",IFERROR(INDEX('2-3 引出列表'!$A$2:$CE$8700,$A376,MATCH(H$1,'2-3 引出列表'!$A$1:$CD$1,0)),""))</f>
        <v>ZB20210901JCWZ02</v>
      </c>
      <c r="I376" t="str">
        <f>IF(ISBLANK(IFERROR(INDEX('2-3 引出列表'!$A$2:$CE$8700,$A376,MATCH(I$1,'2-3 引出列表'!$A$1:$CD$1,0)),"")),"",IFERROR(INDEX('2-3 引出列表'!$A$2:$CE$8700,$A376,MATCH(I$1,'2-3 引出列表'!$A$1:$CD$1,0)),""))</f>
        <v>金采易购</v>
      </c>
    </row>
    <row r="377" spans="1:9">
      <c r="A377">
        <v>376</v>
      </c>
      <c r="B377" t="str">
        <f>IF(ISBLANK(IFERROR(INDEX('2-3 引出列表'!$A$2:$CE$8700,$A377,MATCH(B$1,'2-3 引出列表'!$A$1:$CD$1,0)),"")),"",IFERROR(INDEX('2-3 引出列表'!$A$2:$CE$8700,$A377,MATCH(B$1,'2-3 引出列表'!$A$1:$CD$1,0)),""))</f>
        <v>FK250427000403</v>
      </c>
      <c r="C377">
        <f>IF(ISBLANK(IFERROR(INDEX('2-3 引出列表'!$A$2:$CE$8700,$A377,MATCH(C$1,'2-3 引出列表'!$A$1:$CD$1,0)),"")),"",IFERROR(INDEX('2-3 引出列表'!$A$2:$CE$8700,$A377,MATCH(C$1,'2-3 引出列表'!$A$1:$CD$1,0)),""))</f>
        <v>16853.05</v>
      </c>
      <c r="D377" t="str">
        <f>IF(ISBLANK(IFERROR(INDEX('2-3 引出列表'!$A$2:$CE$8700,$A377,MATCH(D$1,'2-3 引出列表'!$A$1:$CD$1,0)),"")),"",IFERROR(INDEX('2-3 引出列表'!$A$2:$CE$8700,$A377,MATCH(D$1,'2-3 引出列表'!$A$1:$CD$1,0)),""))</f>
        <v>已付款</v>
      </c>
      <c r="E377" t="str">
        <f>IF(ISBLANK(IFERROR(INDEX('2-3 引出列表'!$A$2:$CE$8700,$A377,MATCH(E$1,'2-3 引出列表'!$A$1:$CD$1,0)),"")),"",IFERROR(INDEX('2-3 引出列表'!$A$2:$CE$8700,$A377,MATCH(E$1,'2-3 引出列表'!$A$1:$CD$1,0)),""))</f>
        <v>2025-07-10</v>
      </c>
      <c r="F377" s="30" t="str">
        <f t="shared" si="5"/>
        <v>2025-07</v>
      </c>
      <c r="G377" t="str">
        <f>IF(ISBLANK(IFERROR(INDEX('2-3 引出列表'!$A$2:$CE$8700,$A377,MATCH(G$1,'2-3 引出列表'!$A$1:$CD$1,0)),"")),"",IFERROR(INDEX('2-3 引出列表'!$A$2:$CE$8700,$A377,MATCH(G$1,'2-3 引出列表'!$A$1:$CD$1,0)),""))</f>
        <v>物料消耗.物料消耗</v>
      </c>
      <c r="H377" t="str">
        <f>IF(ISBLANK(IFERROR(INDEX('2-3 引出列表'!$A$2:$CE$8700,$A377,MATCH(H$1,'2-3 引出列表'!$A$1:$CD$1,0)),"")),"",IFERROR(INDEX('2-3 引出列表'!$A$2:$CE$8700,$A377,MATCH(H$1,'2-3 引出列表'!$A$1:$CD$1,0)),""))</f>
        <v>ZB20210901JCWZ02</v>
      </c>
      <c r="I377" t="str">
        <f>IF(ISBLANK(IFERROR(INDEX('2-3 引出列表'!$A$2:$CE$8700,$A377,MATCH(I$1,'2-3 引出列表'!$A$1:$CD$1,0)),"")),"",IFERROR(INDEX('2-3 引出列表'!$A$2:$CE$8700,$A377,MATCH(I$1,'2-3 引出列表'!$A$1:$CD$1,0)),""))</f>
        <v>金采易购</v>
      </c>
    </row>
    <row r="378" spans="1:9">
      <c r="A378">
        <v>377</v>
      </c>
      <c r="B378" t="str">
        <f>IF(ISBLANK(IFERROR(INDEX('2-3 引出列表'!$A$2:$CE$8700,$A378,MATCH(B$1,'2-3 引出列表'!$A$1:$CD$1,0)),"")),"",IFERROR(INDEX('2-3 引出列表'!$A$2:$CE$8700,$A378,MATCH(B$1,'2-3 引出列表'!$A$1:$CD$1,0)),""))</f>
        <v>FK250427000403</v>
      </c>
      <c r="C378">
        <f>IF(ISBLANK(IFERROR(INDEX('2-3 引出列表'!$A$2:$CE$8700,$A378,MATCH(C$1,'2-3 引出列表'!$A$1:$CD$1,0)),"")),"",IFERROR(INDEX('2-3 引出列表'!$A$2:$CE$8700,$A378,MATCH(C$1,'2-3 引出列表'!$A$1:$CD$1,0)),""))</f>
        <v>16853.05</v>
      </c>
      <c r="D378" t="str">
        <f>IF(ISBLANK(IFERROR(INDEX('2-3 引出列表'!$A$2:$CE$8700,$A378,MATCH(D$1,'2-3 引出列表'!$A$1:$CD$1,0)),"")),"",IFERROR(INDEX('2-3 引出列表'!$A$2:$CE$8700,$A378,MATCH(D$1,'2-3 引出列表'!$A$1:$CD$1,0)),""))</f>
        <v>已付款</v>
      </c>
      <c r="E378" t="str">
        <f>IF(ISBLANK(IFERROR(INDEX('2-3 引出列表'!$A$2:$CE$8700,$A378,MATCH(E$1,'2-3 引出列表'!$A$1:$CD$1,0)),"")),"",IFERROR(INDEX('2-3 引出列表'!$A$2:$CE$8700,$A378,MATCH(E$1,'2-3 引出列表'!$A$1:$CD$1,0)),""))</f>
        <v>2025-07-10</v>
      </c>
      <c r="F378" s="30" t="str">
        <f t="shared" si="5"/>
        <v>2025-07</v>
      </c>
      <c r="G378" t="str">
        <f>IF(ISBLANK(IFERROR(INDEX('2-3 引出列表'!$A$2:$CE$8700,$A378,MATCH(G$1,'2-3 引出列表'!$A$1:$CD$1,0)),"")),"",IFERROR(INDEX('2-3 引出列表'!$A$2:$CE$8700,$A378,MATCH(G$1,'2-3 引出列表'!$A$1:$CD$1,0)),""))</f>
        <v>物料消耗.物料消耗</v>
      </c>
      <c r="H378" t="str">
        <f>IF(ISBLANK(IFERROR(INDEX('2-3 引出列表'!$A$2:$CE$8700,$A378,MATCH(H$1,'2-3 引出列表'!$A$1:$CD$1,0)),"")),"",IFERROR(INDEX('2-3 引出列表'!$A$2:$CE$8700,$A378,MATCH(H$1,'2-3 引出列表'!$A$1:$CD$1,0)),""))</f>
        <v>ZB20210901JCWZ02</v>
      </c>
      <c r="I378" t="str">
        <f>IF(ISBLANK(IFERROR(INDEX('2-3 引出列表'!$A$2:$CE$8700,$A378,MATCH(I$1,'2-3 引出列表'!$A$1:$CD$1,0)),"")),"",IFERROR(INDEX('2-3 引出列表'!$A$2:$CE$8700,$A378,MATCH(I$1,'2-3 引出列表'!$A$1:$CD$1,0)),""))</f>
        <v>金采易购</v>
      </c>
    </row>
    <row r="379" spans="1:9">
      <c r="A379">
        <v>378</v>
      </c>
      <c r="B379" t="str">
        <f>IF(ISBLANK(IFERROR(INDEX('2-3 引出列表'!$A$2:$CE$8700,$A379,MATCH(B$1,'2-3 引出列表'!$A$1:$CD$1,0)),"")),"",IFERROR(INDEX('2-3 引出列表'!$A$2:$CE$8700,$A379,MATCH(B$1,'2-3 引出列表'!$A$1:$CD$1,0)),""))</f>
        <v>FK250427000403</v>
      </c>
      <c r="C379">
        <f>IF(ISBLANK(IFERROR(INDEX('2-3 引出列表'!$A$2:$CE$8700,$A379,MATCH(C$1,'2-3 引出列表'!$A$1:$CD$1,0)),"")),"",IFERROR(INDEX('2-3 引出列表'!$A$2:$CE$8700,$A379,MATCH(C$1,'2-3 引出列表'!$A$1:$CD$1,0)),""))</f>
        <v>16853.05</v>
      </c>
      <c r="D379" t="str">
        <f>IF(ISBLANK(IFERROR(INDEX('2-3 引出列表'!$A$2:$CE$8700,$A379,MATCH(D$1,'2-3 引出列表'!$A$1:$CD$1,0)),"")),"",IFERROR(INDEX('2-3 引出列表'!$A$2:$CE$8700,$A379,MATCH(D$1,'2-3 引出列表'!$A$1:$CD$1,0)),""))</f>
        <v>已付款</v>
      </c>
      <c r="E379" t="str">
        <f>IF(ISBLANK(IFERROR(INDEX('2-3 引出列表'!$A$2:$CE$8700,$A379,MATCH(E$1,'2-3 引出列表'!$A$1:$CD$1,0)),"")),"",IFERROR(INDEX('2-3 引出列表'!$A$2:$CE$8700,$A379,MATCH(E$1,'2-3 引出列表'!$A$1:$CD$1,0)),""))</f>
        <v>2025-07-10</v>
      </c>
      <c r="F379" s="30" t="str">
        <f t="shared" si="5"/>
        <v>2025-07</v>
      </c>
      <c r="G379" t="str">
        <f>IF(ISBLANK(IFERROR(INDEX('2-3 引出列表'!$A$2:$CE$8700,$A379,MATCH(G$1,'2-3 引出列表'!$A$1:$CD$1,0)),"")),"",IFERROR(INDEX('2-3 引出列表'!$A$2:$CE$8700,$A379,MATCH(G$1,'2-3 引出列表'!$A$1:$CD$1,0)),""))</f>
        <v>物料消耗.物料消耗</v>
      </c>
      <c r="H379" t="str">
        <f>IF(ISBLANK(IFERROR(INDEX('2-3 引出列表'!$A$2:$CE$8700,$A379,MATCH(H$1,'2-3 引出列表'!$A$1:$CD$1,0)),"")),"",IFERROR(INDEX('2-3 引出列表'!$A$2:$CE$8700,$A379,MATCH(H$1,'2-3 引出列表'!$A$1:$CD$1,0)),""))</f>
        <v>ZB20210901JCWZ02</v>
      </c>
      <c r="I379" t="str">
        <f>IF(ISBLANK(IFERROR(INDEX('2-3 引出列表'!$A$2:$CE$8700,$A379,MATCH(I$1,'2-3 引出列表'!$A$1:$CD$1,0)),"")),"",IFERROR(INDEX('2-3 引出列表'!$A$2:$CE$8700,$A379,MATCH(I$1,'2-3 引出列表'!$A$1:$CD$1,0)),""))</f>
        <v>金采易购</v>
      </c>
    </row>
    <row r="380" spans="1:9">
      <c r="A380">
        <v>379</v>
      </c>
      <c r="B380" t="str">
        <f>IF(ISBLANK(IFERROR(INDEX('2-3 引出列表'!$A$2:$CE$8700,$A380,MATCH(B$1,'2-3 引出列表'!$A$1:$CD$1,0)),"")),"",IFERROR(INDEX('2-3 引出列表'!$A$2:$CE$8700,$A380,MATCH(B$1,'2-3 引出列表'!$A$1:$CD$1,0)),""))</f>
        <v>FK250427000403</v>
      </c>
      <c r="C380">
        <f>IF(ISBLANK(IFERROR(INDEX('2-3 引出列表'!$A$2:$CE$8700,$A380,MATCH(C$1,'2-3 引出列表'!$A$1:$CD$1,0)),"")),"",IFERROR(INDEX('2-3 引出列表'!$A$2:$CE$8700,$A380,MATCH(C$1,'2-3 引出列表'!$A$1:$CD$1,0)),""))</f>
        <v>16853.05</v>
      </c>
      <c r="D380" t="str">
        <f>IF(ISBLANK(IFERROR(INDEX('2-3 引出列表'!$A$2:$CE$8700,$A380,MATCH(D$1,'2-3 引出列表'!$A$1:$CD$1,0)),"")),"",IFERROR(INDEX('2-3 引出列表'!$A$2:$CE$8700,$A380,MATCH(D$1,'2-3 引出列表'!$A$1:$CD$1,0)),""))</f>
        <v>已付款</v>
      </c>
      <c r="E380" t="str">
        <f>IF(ISBLANK(IFERROR(INDEX('2-3 引出列表'!$A$2:$CE$8700,$A380,MATCH(E$1,'2-3 引出列表'!$A$1:$CD$1,0)),"")),"",IFERROR(INDEX('2-3 引出列表'!$A$2:$CE$8700,$A380,MATCH(E$1,'2-3 引出列表'!$A$1:$CD$1,0)),""))</f>
        <v>2025-07-10</v>
      </c>
      <c r="F380" s="30" t="str">
        <f t="shared" si="5"/>
        <v>2025-07</v>
      </c>
      <c r="G380" t="str">
        <f>IF(ISBLANK(IFERROR(INDEX('2-3 引出列表'!$A$2:$CE$8700,$A380,MATCH(G$1,'2-3 引出列表'!$A$1:$CD$1,0)),"")),"",IFERROR(INDEX('2-3 引出列表'!$A$2:$CE$8700,$A380,MATCH(G$1,'2-3 引出列表'!$A$1:$CD$1,0)),""))</f>
        <v>物料消耗.物料消耗</v>
      </c>
      <c r="H380" t="str">
        <f>IF(ISBLANK(IFERROR(INDEX('2-3 引出列表'!$A$2:$CE$8700,$A380,MATCH(H$1,'2-3 引出列表'!$A$1:$CD$1,0)),"")),"",IFERROR(INDEX('2-3 引出列表'!$A$2:$CE$8700,$A380,MATCH(H$1,'2-3 引出列表'!$A$1:$CD$1,0)),""))</f>
        <v>ZB20210901JCWZ02</v>
      </c>
      <c r="I380" t="str">
        <f>IF(ISBLANK(IFERROR(INDEX('2-3 引出列表'!$A$2:$CE$8700,$A380,MATCH(I$1,'2-3 引出列表'!$A$1:$CD$1,0)),"")),"",IFERROR(INDEX('2-3 引出列表'!$A$2:$CE$8700,$A380,MATCH(I$1,'2-3 引出列表'!$A$1:$CD$1,0)),""))</f>
        <v>金采易购</v>
      </c>
    </row>
    <row r="381" spans="1:9">
      <c r="A381">
        <v>380</v>
      </c>
      <c r="B381" t="str">
        <f>IF(ISBLANK(IFERROR(INDEX('2-3 引出列表'!$A$2:$CE$8700,$A381,MATCH(B$1,'2-3 引出列表'!$A$1:$CD$1,0)),"")),"",IFERROR(INDEX('2-3 引出列表'!$A$2:$CE$8700,$A381,MATCH(B$1,'2-3 引出列表'!$A$1:$CD$1,0)),""))</f>
        <v>FK250427000403</v>
      </c>
      <c r="C381">
        <f>IF(ISBLANK(IFERROR(INDEX('2-3 引出列表'!$A$2:$CE$8700,$A381,MATCH(C$1,'2-3 引出列表'!$A$1:$CD$1,0)),"")),"",IFERROR(INDEX('2-3 引出列表'!$A$2:$CE$8700,$A381,MATCH(C$1,'2-3 引出列表'!$A$1:$CD$1,0)),""))</f>
        <v>16853.05</v>
      </c>
      <c r="D381" t="str">
        <f>IF(ISBLANK(IFERROR(INDEX('2-3 引出列表'!$A$2:$CE$8700,$A381,MATCH(D$1,'2-3 引出列表'!$A$1:$CD$1,0)),"")),"",IFERROR(INDEX('2-3 引出列表'!$A$2:$CE$8700,$A381,MATCH(D$1,'2-3 引出列表'!$A$1:$CD$1,0)),""))</f>
        <v>已付款</v>
      </c>
      <c r="E381" t="str">
        <f>IF(ISBLANK(IFERROR(INDEX('2-3 引出列表'!$A$2:$CE$8700,$A381,MATCH(E$1,'2-3 引出列表'!$A$1:$CD$1,0)),"")),"",IFERROR(INDEX('2-3 引出列表'!$A$2:$CE$8700,$A381,MATCH(E$1,'2-3 引出列表'!$A$1:$CD$1,0)),""))</f>
        <v>2025-07-10</v>
      </c>
      <c r="F381" s="30" t="str">
        <f t="shared" si="5"/>
        <v>2025-07</v>
      </c>
      <c r="G381" t="str">
        <f>IF(ISBLANK(IFERROR(INDEX('2-3 引出列表'!$A$2:$CE$8700,$A381,MATCH(G$1,'2-3 引出列表'!$A$1:$CD$1,0)),"")),"",IFERROR(INDEX('2-3 引出列表'!$A$2:$CE$8700,$A381,MATCH(G$1,'2-3 引出列表'!$A$1:$CD$1,0)),""))</f>
        <v>物料消耗.物料消耗</v>
      </c>
      <c r="H381" t="str">
        <f>IF(ISBLANK(IFERROR(INDEX('2-3 引出列表'!$A$2:$CE$8700,$A381,MATCH(H$1,'2-3 引出列表'!$A$1:$CD$1,0)),"")),"",IFERROR(INDEX('2-3 引出列表'!$A$2:$CE$8700,$A381,MATCH(H$1,'2-3 引出列表'!$A$1:$CD$1,0)),""))</f>
        <v>ZB20210901JCWZ02</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FK250427000403</v>
      </c>
      <c r="C382">
        <f>IF(ISBLANK(IFERROR(INDEX('2-3 引出列表'!$A$2:$CE$8700,$A382,MATCH(C$1,'2-3 引出列表'!$A$1:$CD$1,0)),"")),"",IFERROR(INDEX('2-3 引出列表'!$A$2:$CE$8700,$A382,MATCH(C$1,'2-3 引出列表'!$A$1:$CD$1,0)),""))</f>
        <v>16853.05</v>
      </c>
      <c r="D382" t="str">
        <f>IF(ISBLANK(IFERROR(INDEX('2-3 引出列表'!$A$2:$CE$8700,$A382,MATCH(D$1,'2-3 引出列表'!$A$1:$CD$1,0)),"")),"",IFERROR(INDEX('2-3 引出列表'!$A$2:$CE$8700,$A382,MATCH(D$1,'2-3 引出列表'!$A$1:$CD$1,0)),""))</f>
        <v>已付款</v>
      </c>
      <c r="E382" t="str">
        <f>IF(ISBLANK(IFERROR(INDEX('2-3 引出列表'!$A$2:$CE$8700,$A382,MATCH(E$1,'2-3 引出列表'!$A$1:$CD$1,0)),"")),"",IFERROR(INDEX('2-3 引出列表'!$A$2:$CE$8700,$A382,MATCH(E$1,'2-3 引出列表'!$A$1:$CD$1,0)),""))</f>
        <v>2025-07-10</v>
      </c>
      <c r="F382" s="30" t="str">
        <f t="shared" si="5"/>
        <v>2025-07</v>
      </c>
      <c r="G382" t="str">
        <f>IF(ISBLANK(IFERROR(INDEX('2-3 引出列表'!$A$2:$CE$8700,$A382,MATCH(G$1,'2-3 引出列表'!$A$1:$CD$1,0)),"")),"",IFERROR(INDEX('2-3 引出列表'!$A$2:$CE$8700,$A382,MATCH(G$1,'2-3 引出列表'!$A$1:$CD$1,0)),""))</f>
        <v>物料消耗.物料消耗</v>
      </c>
      <c r="H382" t="str">
        <f>IF(ISBLANK(IFERROR(INDEX('2-3 引出列表'!$A$2:$CE$8700,$A382,MATCH(H$1,'2-3 引出列表'!$A$1:$CD$1,0)),"")),"",IFERROR(INDEX('2-3 引出列表'!$A$2:$CE$8700,$A382,MATCH(H$1,'2-3 引出列表'!$A$1:$CD$1,0)),""))</f>
        <v>ZB20210901JCWZ02</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FK250427000403</v>
      </c>
      <c r="C383">
        <f>IF(ISBLANK(IFERROR(INDEX('2-3 引出列表'!$A$2:$CE$8700,$A383,MATCH(C$1,'2-3 引出列表'!$A$1:$CD$1,0)),"")),"",IFERROR(INDEX('2-3 引出列表'!$A$2:$CE$8700,$A383,MATCH(C$1,'2-3 引出列表'!$A$1:$CD$1,0)),""))</f>
        <v>16853.05</v>
      </c>
      <c r="D383" t="str">
        <f>IF(ISBLANK(IFERROR(INDEX('2-3 引出列表'!$A$2:$CE$8700,$A383,MATCH(D$1,'2-3 引出列表'!$A$1:$CD$1,0)),"")),"",IFERROR(INDEX('2-3 引出列表'!$A$2:$CE$8700,$A383,MATCH(D$1,'2-3 引出列表'!$A$1:$CD$1,0)),""))</f>
        <v>已付款</v>
      </c>
      <c r="E383" t="str">
        <f>IF(ISBLANK(IFERROR(INDEX('2-3 引出列表'!$A$2:$CE$8700,$A383,MATCH(E$1,'2-3 引出列表'!$A$1:$CD$1,0)),"")),"",IFERROR(INDEX('2-3 引出列表'!$A$2:$CE$8700,$A383,MATCH(E$1,'2-3 引出列表'!$A$1:$CD$1,0)),""))</f>
        <v>2025-07-10</v>
      </c>
      <c r="F383" s="30" t="str">
        <f t="shared" si="5"/>
        <v>2025-07</v>
      </c>
      <c r="G383" t="str">
        <f>IF(ISBLANK(IFERROR(INDEX('2-3 引出列表'!$A$2:$CE$8700,$A383,MATCH(G$1,'2-3 引出列表'!$A$1:$CD$1,0)),"")),"",IFERROR(INDEX('2-3 引出列表'!$A$2:$CE$8700,$A383,MATCH(G$1,'2-3 引出列表'!$A$1:$CD$1,0)),""))</f>
        <v>物料消耗.物料消耗</v>
      </c>
      <c r="H383" t="str">
        <f>IF(ISBLANK(IFERROR(INDEX('2-3 引出列表'!$A$2:$CE$8700,$A383,MATCH(H$1,'2-3 引出列表'!$A$1:$CD$1,0)),"")),"",IFERROR(INDEX('2-3 引出列表'!$A$2:$CE$8700,$A383,MATCH(H$1,'2-3 引出列表'!$A$1:$CD$1,0)),""))</f>
        <v>ZB20210901JCWZ02</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FK250427000403</v>
      </c>
      <c r="C384">
        <f>IF(ISBLANK(IFERROR(INDEX('2-3 引出列表'!$A$2:$CE$8700,$A384,MATCH(C$1,'2-3 引出列表'!$A$1:$CD$1,0)),"")),"",IFERROR(INDEX('2-3 引出列表'!$A$2:$CE$8700,$A384,MATCH(C$1,'2-3 引出列表'!$A$1:$CD$1,0)),""))</f>
        <v>16853.05</v>
      </c>
      <c r="D384" t="str">
        <f>IF(ISBLANK(IFERROR(INDEX('2-3 引出列表'!$A$2:$CE$8700,$A384,MATCH(D$1,'2-3 引出列表'!$A$1:$CD$1,0)),"")),"",IFERROR(INDEX('2-3 引出列表'!$A$2:$CE$8700,$A384,MATCH(D$1,'2-3 引出列表'!$A$1:$CD$1,0)),""))</f>
        <v>已付款</v>
      </c>
      <c r="E384" t="str">
        <f>IF(ISBLANK(IFERROR(INDEX('2-3 引出列表'!$A$2:$CE$8700,$A384,MATCH(E$1,'2-3 引出列表'!$A$1:$CD$1,0)),"")),"",IFERROR(INDEX('2-3 引出列表'!$A$2:$CE$8700,$A384,MATCH(E$1,'2-3 引出列表'!$A$1:$CD$1,0)),""))</f>
        <v>2025-07-10</v>
      </c>
      <c r="F384" s="30" t="str">
        <f t="shared" si="5"/>
        <v>2025-07</v>
      </c>
      <c r="G384" t="str">
        <f>IF(ISBLANK(IFERROR(INDEX('2-3 引出列表'!$A$2:$CE$8700,$A384,MATCH(G$1,'2-3 引出列表'!$A$1:$CD$1,0)),"")),"",IFERROR(INDEX('2-3 引出列表'!$A$2:$CE$8700,$A384,MATCH(G$1,'2-3 引出列表'!$A$1:$CD$1,0)),""))</f>
        <v>物料消耗.物料消耗</v>
      </c>
      <c r="H384" t="str">
        <f>IF(ISBLANK(IFERROR(INDEX('2-3 引出列表'!$A$2:$CE$8700,$A384,MATCH(H$1,'2-3 引出列表'!$A$1:$CD$1,0)),"")),"",IFERROR(INDEX('2-3 引出列表'!$A$2:$CE$8700,$A384,MATCH(H$1,'2-3 引出列表'!$A$1:$CD$1,0)),""))</f>
        <v>ZB20210901JCWZ02</v>
      </c>
      <c r="I384" t="str">
        <f>IF(ISBLANK(IFERROR(INDEX('2-3 引出列表'!$A$2:$CE$8700,$A384,MATCH(I$1,'2-3 引出列表'!$A$1:$CD$1,0)),"")),"",IFERROR(INDEX('2-3 引出列表'!$A$2:$CE$8700,$A384,MATCH(I$1,'2-3 引出列表'!$A$1:$CD$1,0)),""))</f>
        <v>金采易购</v>
      </c>
    </row>
    <row r="385" spans="1:9">
      <c r="A385">
        <v>384</v>
      </c>
      <c r="B385" t="str">
        <f>IF(ISBLANK(IFERROR(INDEX('2-3 引出列表'!$A$2:$CE$8700,$A385,MATCH(B$1,'2-3 引出列表'!$A$1:$CD$1,0)),"")),"",IFERROR(INDEX('2-3 引出列表'!$A$2:$CE$8700,$A385,MATCH(B$1,'2-3 引出列表'!$A$1:$CD$1,0)),""))</f>
        <v>FK250427000403</v>
      </c>
      <c r="C385">
        <f>IF(ISBLANK(IFERROR(INDEX('2-3 引出列表'!$A$2:$CE$8700,$A385,MATCH(C$1,'2-3 引出列表'!$A$1:$CD$1,0)),"")),"",IFERROR(INDEX('2-3 引出列表'!$A$2:$CE$8700,$A385,MATCH(C$1,'2-3 引出列表'!$A$1:$CD$1,0)),""))</f>
        <v>16853.05</v>
      </c>
      <c r="D385" t="str">
        <f>IF(ISBLANK(IFERROR(INDEX('2-3 引出列表'!$A$2:$CE$8700,$A385,MATCH(D$1,'2-3 引出列表'!$A$1:$CD$1,0)),"")),"",IFERROR(INDEX('2-3 引出列表'!$A$2:$CE$8700,$A385,MATCH(D$1,'2-3 引出列表'!$A$1:$CD$1,0)),""))</f>
        <v>已付款</v>
      </c>
      <c r="E385" t="str">
        <f>IF(ISBLANK(IFERROR(INDEX('2-3 引出列表'!$A$2:$CE$8700,$A385,MATCH(E$1,'2-3 引出列表'!$A$1:$CD$1,0)),"")),"",IFERROR(INDEX('2-3 引出列表'!$A$2:$CE$8700,$A385,MATCH(E$1,'2-3 引出列表'!$A$1:$CD$1,0)),""))</f>
        <v>2025-07-10</v>
      </c>
      <c r="F385" s="30" t="str">
        <f t="shared" si="5"/>
        <v>2025-07</v>
      </c>
      <c r="G385" t="str">
        <f>IF(ISBLANK(IFERROR(INDEX('2-3 引出列表'!$A$2:$CE$8700,$A385,MATCH(G$1,'2-3 引出列表'!$A$1:$CD$1,0)),"")),"",IFERROR(INDEX('2-3 引出列表'!$A$2:$CE$8700,$A385,MATCH(G$1,'2-3 引出列表'!$A$1:$CD$1,0)),""))</f>
        <v>物料消耗.物料消耗</v>
      </c>
      <c r="H385" t="str">
        <f>IF(ISBLANK(IFERROR(INDEX('2-3 引出列表'!$A$2:$CE$8700,$A385,MATCH(H$1,'2-3 引出列表'!$A$1:$CD$1,0)),"")),"",IFERROR(INDEX('2-3 引出列表'!$A$2:$CE$8700,$A385,MATCH(H$1,'2-3 引出列表'!$A$1:$CD$1,0)),""))</f>
        <v>ZB20210901JCWZ02</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FK250427000403</v>
      </c>
      <c r="C386">
        <f>IF(ISBLANK(IFERROR(INDEX('2-3 引出列表'!$A$2:$CE$8700,$A386,MATCH(C$1,'2-3 引出列表'!$A$1:$CD$1,0)),"")),"",IFERROR(INDEX('2-3 引出列表'!$A$2:$CE$8700,$A386,MATCH(C$1,'2-3 引出列表'!$A$1:$CD$1,0)),""))</f>
        <v>16853.05</v>
      </c>
      <c r="D386" t="str">
        <f>IF(ISBLANK(IFERROR(INDEX('2-3 引出列表'!$A$2:$CE$8700,$A386,MATCH(D$1,'2-3 引出列表'!$A$1:$CD$1,0)),"")),"",IFERROR(INDEX('2-3 引出列表'!$A$2:$CE$8700,$A386,MATCH(D$1,'2-3 引出列表'!$A$1:$CD$1,0)),""))</f>
        <v>已付款</v>
      </c>
      <c r="E386" t="str">
        <f>IF(ISBLANK(IFERROR(INDEX('2-3 引出列表'!$A$2:$CE$8700,$A386,MATCH(E$1,'2-3 引出列表'!$A$1:$CD$1,0)),"")),"",IFERROR(INDEX('2-3 引出列表'!$A$2:$CE$8700,$A386,MATCH(E$1,'2-3 引出列表'!$A$1:$CD$1,0)),""))</f>
        <v>2025-07-10</v>
      </c>
      <c r="F386" s="30" t="str">
        <f t="shared" si="5"/>
        <v>2025-07</v>
      </c>
      <c r="G386" t="str">
        <f>IF(ISBLANK(IFERROR(INDEX('2-3 引出列表'!$A$2:$CE$8700,$A386,MATCH(G$1,'2-3 引出列表'!$A$1:$CD$1,0)),"")),"",IFERROR(INDEX('2-3 引出列表'!$A$2:$CE$8700,$A386,MATCH(G$1,'2-3 引出列表'!$A$1:$CD$1,0)),""))</f>
        <v>物料消耗.物料消耗</v>
      </c>
      <c r="H386" t="str">
        <f>IF(ISBLANK(IFERROR(INDEX('2-3 引出列表'!$A$2:$CE$8700,$A386,MATCH(H$1,'2-3 引出列表'!$A$1:$CD$1,0)),"")),"",IFERROR(INDEX('2-3 引出列表'!$A$2:$CE$8700,$A386,MATCH(H$1,'2-3 引出列表'!$A$1:$CD$1,0)),""))</f>
        <v>ZB20210901JCWZ02</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FK250427000403</v>
      </c>
      <c r="C387">
        <f>IF(ISBLANK(IFERROR(INDEX('2-3 引出列表'!$A$2:$CE$8700,$A387,MATCH(C$1,'2-3 引出列表'!$A$1:$CD$1,0)),"")),"",IFERROR(INDEX('2-3 引出列表'!$A$2:$CE$8700,$A387,MATCH(C$1,'2-3 引出列表'!$A$1:$CD$1,0)),""))</f>
        <v>16853.05</v>
      </c>
      <c r="D387" t="str">
        <f>IF(ISBLANK(IFERROR(INDEX('2-3 引出列表'!$A$2:$CE$8700,$A387,MATCH(D$1,'2-3 引出列表'!$A$1:$CD$1,0)),"")),"",IFERROR(INDEX('2-3 引出列表'!$A$2:$CE$8700,$A387,MATCH(D$1,'2-3 引出列表'!$A$1:$CD$1,0)),""))</f>
        <v>已付款</v>
      </c>
      <c r="E387" t="str">
        <f>IF(ISBLANK(IFERROR(INDEX('2-3 引出列表'!$A$2:$CE$8700,$A387,MATCH(E$1,'2-3 引出列表'!$A$1:$CD$1,0)),"")),"",IFERROR(INDEX('2-3 引出列表'!$A$2:$CE$8700,$A387,MATCH(E$1,'2-3 引出列表'!$A$1:$CD$1,0)),""))</f>
        <v>2025-07-10</v>
      </c>
      <c r="F387" s="30" t="str">
        <f t="shared" ref="F387:F450" si="6">LEFT(E387,7)</f>
        <v>2025-07</v>
      </c>
      <c r="G387" t="str">
        <f>IF(ISBLANK(IFERROR(INDEX('2-3 引出列表'!$A$2:$CE$8700,$A387,MATCH(G$1,'2-3 引出列表'!$A$1:$CD$1,0)),"")),"",IFERROR(INDEX('2-3 引出列表'!$A$2:$CE$8700,$A387,MATCH(G$1,'2-3 引出列表'!$A$1:$CD$1,0)),""))</f>
        <v>物料消耗.物料消耗</v>
      </c>
      <c r="H387" t="str">
        <f>IF(ISBLANK(IFERROR(INDEX('2-3 引出列表'!$A$2:$CE$8700,$A387,MATCH(H$1,'2-3 引出列表'!$A$1:$CD$1,0)),"")),"",IFERROR(INDEX('2-3 引出列表'!$A$2:$CE$8700,$A387,MATCH(H$1,'2-3 引出列表'!$A$1:$CD$1,0)),""))</f>
        <v>ZB20210901JCWZ02</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FK250427000403</v>
      </c>
      <c r="C388">
        <f>IF(ISBLANK(IFERROR(INDEX('2-3 引出列表'!$A$2:$CE$8700,$A388,MATCH(C$1,'2-3 引出列表'!$A$1:$CD$1,0)),"")),"",IFERROR(INDEX('2-3 引出列表'!$A$2:$CE$8700,$A388,MATCH(C$1,'2-3 引出列表'!$A$1:$CD$1,0)),""))</f>
        <v>16853.05</v>
      </c>
      <c r="D388" t="str">
        <f>IF(ISBLANK(IFERROR(INDEX('2-3 引出列表'!$A$2:$CE$8700,$A388,MATCH(D$1,'2-3 引出列表'!$A$1:$CD$1,0)),"")),"",IFERROR(INDEX('2-3 引出列表'!$A$2:$CE$8700,$A388,MATCH(D$1,'2-3 引出列表'!$A$1:$CD$1,0)),""))</f>
        <v>已付款</v>
      </c>
      <c r="E388" t="str">
        <f>IF(ISBLANK(IFERROR(INDEX('2-3 引出列表'!$A$2:$CE$8700,$A388,MATCH(E$1,'2-3 引出列表'!$A$1:$CD$1,0)),"")),"",IFERROR(INDEX('2-3 引出列表'!$A$2:$CE$8700,$A388,MATCH(E$1,'2-3 引出列表'!$A$1:$CD$1,0)),""))</f>
        <v>2025-07-10</v>
      </c>
      <c r="F388" s="30" t="str">
        <f t="shared" si="6"/>
        <v>2025-07</v>
      </c>
      <c r="G388" t="str">
        <f>IF(ISBLANK(IFERROR(INDEX('2-3 引出列表'!$A$2:$CE$8700,$A388,MATCH(G$1,'2-3 引出列表'!$A$1:$CD$1,0)),"")),"",IFERROR(INDEX('2-3 引出列表'!$A$2:$CE$8700,$A388,MATCH(G$1,'2-3 引出列表'!$A$1:$CD$1,0)),""))</f>
        <v>物料消耗.物料消耗</v>
      </c>
      <c r="H388" t="str">
        <f>IF(ISBLANK(IFERROR(INDEX('2-3 引出列表'!$A$2:$CE$8700,$A388,MATCH(H$1,'2-3 引出列表'!$A$1:$CD$1,0)),"")),"",IFERROR(INDEX('2-3 引出列表'!$A$2:$CE$8700,$A388,MATCH(H$1,'2-3 引出列表'!$A$1:$CD$1,0)),""))</f>
        <v>ZB20210901JCWZ02</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FK250427000403</v>
      </c>
      <c r="C389">
        <f>IF(ISBLANK(IFERROR(INDEX('2-3 引出列表'!$A$2:$CE$8700,$A389,MATCH(C$1,'2-3 引出列表'!$A$1:$CD$1,0)),"")),"",IFERROR(INDEX('2-3 引出列表'!$A$2:$CE$8700,$A389,MATCH(C$1,'2-3 引出列表'!$A$1:$CD$1,0)),""))</f>
        <v>16853.05</v>
      </c>
      <c r="D389" t="str">
        <f>IF(ISBLANK(IFERROR(INDEX('2-3 引出列表'!$A$2:$CE$8700,$A389,MATCH(D$1,'2-3 引出列表'!$A$1:$CD$1,0)),"")),"",IFERROR(INDEX('2-3 引出列表'!$A$2:$CE$8700,$A389,MATCH(D$1,'2-3 引出列表'!$A$1:$CD$1,0)),""))</f>
        <v>已付款</v>
      </c>
      <c r="E389" t="str">
        <f>IF(ISBLANK(IFERROR(INDEX('2-3 引出列表'!$A$2:$CE$8700,$A389,MATCH(E$1,'2-3 引出列表'!$A$1:$CD$1,0)),"")),"",IFERROR(INDEX('2-3 引出列表'!$A$2:$CE$8700,$A389,MATCH(E$1,'2-3 引出列表'!$A$1:$CD$1,0)),""))</f>
        <v>2025-07-10</v>
      </c>
      <c r="F389" s="30" t="str">
        <f t="shared" si="6"/>
        <v>2025-07</v>
      </c>
      <c r="G389" t="str">
        <f>IF(ISBLANK(IFERROR(INDEX('2-3 引出列表'!$A$2:$CE$8700,$A389,MATCH(G$1,'2-3 引出列表'!$A$1:$CD$1,0)),"")),"",IFERROR(INDEX('2-3 引出列表'!$A$2:$CE$8700,$A389,MATCH(G$1,'2-3 引出列表'!$A$1:$CD$1,0)),""))</f>
        <v>物料消耗.物料消耗</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FK250427000403</v>
      </c>
      <c r="C390">
        <f>IF(ISBLANK(IFERROR(INDEX('2-3 引出列表'!$A$2:$CE$8700,$A390,MATCH(C$1,'2-3 引出列表'!$A$1:$CD$1,0)),"")),"",IFERROR(INDEX('2-3 引出列表'!$A$2:$CE$8700,$A390,MATCH(C$1,'2-3 引出列表'!$A$1:$CD$1,0)),""))</f>
        <v>16853.05</v>
      </c>
      <c r="D390" t="str">
        <f>IF(ISBLANK(IFERROR(INDEX('2-3 引出列表'!$A$2:$CE$8700,$A390,MATCH(D$1,'2-3 引出列表'!$A$1:$CD$1,0)),"")),"",IFERROR(INDEX('2-3 引出列表'!$A$2:$CE$8700,$A390,MATCH(D$1,'2-3 引出列表'!$A$1:$CD$1,0)),""))</f>
        <v>已付款</v>
      </c>
      <c r="E390" t="str">
        <f>IF(ISBLANK(IFERROR(INDEX('2-3 引出列表'!$A$2:$CE$8700,$A390,MATCH(E$1,'2-3 引出列表'!$A$1:$CD$1,0)),"")),"",IFERROR(INDEX('2-3 引出列表'!$A$2:$CE$8700,$A390,MATCH(E$1,'2-3 引出列表'!$A$1:$CD$1,0)),""))</f>
        <v>2025-07-10</v>
      </c>
      <c r="F390" s="30" t="str">
        <f t="shared" si="6"/>
        <v>2025-07</v>
      </c>
      <c r="G390" t="str">
        <f>IF(ISBLANK(IFERROR(INDEX('2-3 引出列表'!$A$2:$CE$8700,$A390,MATCH(G$1,'2-3 引出列表'!$A$1:$CD$1,0)),"")),"",IFERROR(INDEX('2-3 引出列表'!$A$2:$CE$8700,$A390,MATCH(G$1,'2-3 引出列表'!$A$1:$CD$1,0)),""))</f>
        <v>物料消耗.物料消耗</v>
      </c>
      <c r="H390" t="str">
        <f>IF(ISBLANK(IFERROR(INDEX('2-3 引出列表'!$A$2:$CE$8700,$A390,MATCH(H$1,'2-3 引出列表'!$A$1:$CD$1,0)),"")),"",IFERROR(INDEX('2-3 引出列表'!$A$2:$CE$8700,$A390,MATCH(H$1,'2-3 引出列表'!$A$1:$CD$1,0)),""))</f>
        <v>ZB20210901JCWZ02</v>
      </c>
      <c r="I390" t="str">
        <f>IF(ISBLANK(IFERROR(INDEX('2-3 引出列表'!$A$2:$CE$8700,$A390,MATCH(I$1,'2-3 引出列表'!$A$1:$CD$1,0)),"")),"",IFERROR(INDEX('2-3 引出列表'!$A$2:$CE$8700,$A390,MATCH(I$1,'2-3 引出列表'!$A$1:$CD$1,0)),""))</f>
        <v>金采易购</v>
      </c>
    </row>
    <row r="391" spans="1:9">
      <c r="A391">
        <v>390</v>
      </c>
      <c r="B391" t="str">
        <f>IF(ISBLANK(IFERROR(INDEX('2-3 引出列表'!$A$2:$CE$8700,$A391,MATCH(B$1,'2-3 引出列表'!$A$1:$CD$1,0)),"")),"",IFERROR(INDEX('2-3 引出列表'!$A$2:$CE$8700,$A391,MATCH(B$1,'2-3 引出列表'!$A$1:$CD$1,0)),""))</f>
        <v>FK250427000403</v>
      </c>
      <c r="C391">
        <f>IF(ISBLANK(IFERROR(INDEX('2-3 引出列表'!$A$2:$CE$8700,$A391,MATCH(C$1,'2-3 引出列表'!$A$1:$CD$1,0)),"")),"",IFERROR(INDEX('2-3 引出列表'!$A$2:$CE$8700,$A391,MATCH(C$1,'2-3 引出列表'!$A$1:$CD$1,0)),""))</f>
        <v>16853.05</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2025-07-10</v>
      </c>
      <c r="F391" s="30" t="str">
        <f t="shared" si="6"/>
        <v>2025-07</v>
      </c>
      <c r="G391" t="str">
        <f>IF(ISBLANK(IFERROR(INDEX('2-3 引出列表'!$A$2:$CE$8700,$A391,MATCH(G$1,'2-3 引出列表'!$A$1:$CD$1,0)),"")),"",IFERROR(INDEX('2-3 引出列表'!$A$2:$CE$8700,$A391,MATCH(G$1,'2-3 引出列表'!$A$1:$CD$1,0)),""))</f>
        <v>物料消耗.物料消耗</v>
      </c>
      <c r="H391" t="str">
        <f>IF(ISBLANK(IFERROR(INDEX('2-3 引出列表'!$A$2:$CE$8700,$A391,MATCH(H$1,'2-3 引出列表'!$A$1:$CD$1,0)),"")),"",IFERROR(INDEX('2-3 引出列表'!$A$2:$CE$8700,$A391,MATCH(H$1,'2-3 引出列表'!$A$1:$CD$1,0)),""))</f>
        <v>ZB20210901JCWZ02</v>
      </c>
      <c r="I391" t="str">
        <f>IF(ISBLANK(IFERROR(INDEX('2-3 引出列表'!$A$2:$CE$8700,$A391,MATCH(I$1,'2-3 引出列表'!$A$1:$CD$1,0)),"")),"",IFERROR(INDEX('2-3 引出列表'!$A$2:$CE$8700,$A391,MATCH(I$1,'2-3 引出列表'!$A$1:$CD$1,0)),""))</f>
        <v>金采易购</v>
      </c>
    </row>
    <row r="392" spans="1:9">
      <c r="A392">
        <v>391</v>
      </c>
      <c r="B392" t="str">
        <f>IF(ISBLANK(IFERROR(INDEX('2-3 引出列表'!$A$2:$CE$8700,$A392,MATCH(B$1,'2-3 引出列表'!$A$1:$CD$1,0)),"")),"",IFERROR(INDEX('2-3 引出列表'!$A$2:$CE$8700,$A392,MATCH(B$1,'2-3 引出列表'!$A$1:$CD$1,0)),""))</f>
        <v>FK250427000403</v>
      </c>
      <c r="C392">
        <f>IF(ISBLANK(IFERROR(INDEX('2-3 引出列表'!$A$2:$CE$8700,$A392,MATCH(C$1,'2-3 引出列表'!$A$1:$CD$1,0)),"")),"",IFERROR(INDEX('2-3 引出列表'!$A$2:$CE$8700,$A392,MATCH(C$1,'2-3 引出列表'!$A$1:$CD$1,0)),""))</f>
        <v>16853.05</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2025-07-10</v>
      </c>
      <c r="F392" s="30" t="str">
        <f t="shared" si="6"/>
        <v>2025-07</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ZB20210901JCWZ02</v>
      </c>
      <c r="I392" t="str">
        <f>IF(ISBLANK(IFERROR(INDEX('2-3 引出列表'!$A$2:$CE$8700,$A392,MATCH(I$1,'2-3 引出列表'!$A$1:$CD$1,0)),"")),"",IFERROR(INDEX('2-3 引出列表'!$A$2:$CE$8700,$A392,MATCH(I$1,'2-3 引出列表'!$A$1:$CD$1,0)),""))</f>
        <v>金采易购</v>
      </c>
    </row>
    <row r="393" spans="1:9">
      <c r="A393">
        <v>392</v>
      </c>
      <c r="B393" t="str">
        <f>IF(ISBLANK(IFERROR(INDEX('2-3 引出列表'!$A$2:$CE$8700,$A393,MATCH(B$1,'2-3 引出列表'!$A$1:$CD$1,0)),"")),"",IFERROR(INDEX('2-3 引出列表'!$A$2:$CE$8700,$A393,MATCH(B$1,'2-3 引出列表'!$A$1:$CD$1,0)),""))</f>
        <v>FK250427000403</v>
      </c>
      <c r="C393">
        <f>IF(ISBLANK(IFERROR(INDEX('2-3 引出列表'!$A$2:$CE$8700,$A393,MATCH(C$1,'2-3 引出列表'!$A$1:$CD$1,0)),"")),"",IFERROR(INDEX('2-3 引出列表'!$A$2:$CE$8700,$A393,MATCH(C$1,'2-3 引出列表'!$A$1:$CD$1,0)),""))</f>
        <v>16853.05</v>
      </c>
      <c r="D393" t="str">
        <f>IF(ISBLANK(IFERROR(INDEX('2-3 引出列表'!$A$2:$CE$8700,$A393,MATCH(D$1,'2-3 引出列表'!$A$1:$CD$1,0)),"")),"",IFERROR(INDEX('2-3 引出列表'!$A$2:$CE$8700,$A393,MATCH(D$1,'2-3 引出列表'!$A$1:$CD$1,0)),""))</f>
        <v>已付款</v>
      </c>
      <c r="E393" t="str">
        <f>IF(ISBLANK(IFERROR(INDEX('2-3 引出列表'!$A$2:$CE$8700,$A393,MATCH(E$1,'2-3 引出列表'!$A$1:$CD$1,0)),"")),"",IFERROR(INDEX('2-3 引出列表'!$A$2:$CE$8700,$A393,MATCH(E$1,'2-3 引出列表'!$A$1:$CD$1,0)),""))</f>
        <v>2025-07-10</v>
      </c>
      <c r="F393" s="30" t="str">
        <f t="shared" si="6"/>
        <v>2025-07</v>
      </c>
      <c r="G393" t="str">
        <f>IF(ISBLANK(IFERROR(INDEX('2-3 引出列表'!$A$2:$CE$8700,$A393,MATCH(G$1,'2-3 引出列表'!$A$1:$CD$1,0)),"")),"",IFERROR(INDEX('2-3 引出列表'!$A$2:$CE$8700,$A393,MATCH(G$1,'2-3 引出列表'!$A$1:$CD$1,0)),""))</f>
        <v>物料消耗.物料消耗</v>
      </c>
      <c r="H393" t="str">
        <f>IF(ISBLANK(IFERROR(INDEX('2-3 引出列表'!$A$2:$CE$8700,$A393,MATCH(H$1,'2-3 引出列表'!$A$1:$CD$1,0)),"")),"",IFERROR(INDEX('2-3 引出列表'!$A$2:$CE$8700,$A393,MATCH(H$1,'2-3 引出列表'!$A$1:$CD$1,0)),""))</f>
        <v>ZB20210901JCWZ02</v>
      </c>
      <c r="I393" t="str">
        <f>IF(ISBLANK(IFERROR(INDEX('2-3 引出列表'!$A$2:$CE$8700,$A393,MATCH(I$1,'2-3 引出列表'!$A$1:$CD$1,0)),"")),"",IFERROR(INDEX('2-3 引出列表'!$A$2:$CE$8700,$A393,MATCH(I$1,'2-3 引出列表'!$A$1:$CD$1,0)),""))</f>
        <v>金采易购</v>
      </c>
    </row>
    <row r="394" spans="1:9">
      <c r="A394">
        <v>393</v>
      </c>
      <c r="B394" t="str">
        <f>IF(ISBLANK(IFERROR(INDEX('2-3 引出列表'!$A$2:$CE$8700,$A394,MATCH(B$1,'2-3 引出列表'!$A$1:$CD$1,0)),"")),"",IFERROR(INDEX('2-3 引出列表'!$A$2:$CE$8700,$A394,MATCH(B$1,'2-3 引出列表'!$A$1:$CD$1,0)),""))</f>
        <v>FK250427000403</v>
      </c>
      <c r="C394">
        <f>IF(ISBLANK(IFERROR(INDEX('2-3 引出列表'!$A$2:$CE$8700,$A394,MATCH(C$1,'2-3 引出列表'!$A$1:$CD$1,0)),"")),"",IFERROR(INDEX('2-3 引出列表'!$A$2:$CE$8700,$A394,MATCH(C$1,'2-3 引出列表'!$A$1:$CD$1,0)),""))</f>
        <v>16853.05</v>
      </c>
      <c r="D394" t="str">
        <f>IF(ISBLANK(IFERROR(INDEX('2-3 引出列表'!$A$2:$CE$8700,$A394,MATCH(D$1,'2-3 引出列表'!$A$1:$CD$1,0)),"")),"",IFERROR(INDEX('2-3 引出列表'!$A$2:$CE$8700,$A394,MATCH(D$1,'2-3 引出列表'!$A$1:$CD$1,0)),""))</f>
        <v>已付款</v>
      </c>
      <c r="E394" t="str">
        <f>IF(ISBLANK(IFERROR(INDEX('2-3 引出列表'!$A$2:$CE$8700,$A394,MATCH(E$1,'2-3 引出列表'!$A$1:$CD$1,0)),"")),"",IFERROR(INDEX('2-3 引出列表'!$A$2:$CE$8700,$A394,MATCH(E$1,'2-3 引出列表'!$A$1:$CD$1,0)),""))</f>
        <v>2025-07-10</v>
      </c>
      <c r="F394" s="30" t="str">
        <f t="shared" si="6"/>
        <v>2025-07</v>
      </c>
      <c r="G394" t="str">
        <f>IF(ISBLANK(IFERROR(INDEX('2-3 引出列表'!$A$2:$CE$8700,$A394,MATCH(G$1,'2-3 引出列表'!$A$1:$CD$1,0)),"")),"",IFERROR(INDEX('2-3 引出列表'!$A$2:$CE$8700,$A394,MATCH(G$1,'2-3 引出列表'!$A$1:$CD$1,0)),""))</f>
        <v>物料消耗.物料消耗</v>
      </c>
      <c r="H394" t="str">
        <f>IF(ISBLANK(IFERROR(INDEX('2-3 引出列表'!$A$2:$CE$8700,$A394,MATCH(H$1,'2-3 引出列表'!$A$1:$CD$1,0)),"")),"",IFERROR(INDEX('2-3 引出列表'!$A$2:$CE$8700,$A394,MATCH(H$1,'2-3 引出列表'!$A$1:$CD$1,0)),""))</f>
        <v>ZB20210901JCWZ02</v>
      </c>
      <c r="I394" t="str">
        <f>IF(ISBLANK(IFERROR(INDEX('2-3 引出列表'!$A$2:$CE$8700,$A394,MATCH(I$1,'2-3 引出列表'!$A$1:$CD$1,0)),"")),"",IFERROR(INDEX('2-3 引出列表'!$A$2:$CE$8700,$A394,MATCH(I$1,'2-3 引出列表'!$A$1:$CD$1,0)),""))</f>
        <v>金采易购</v>
      </c>
    </row>
    <row r="395" spans="1:9">
      <c r="A395">
        <v>394</v>
      </c>
      <c r="B395" t="str">
        <f>IF(ISBLANK(IFERROR(INDEX('2-3 引出列表'!$A$2:$CE$8700,$A395,MATCH(B$1,'2-3 引出列表'!$A$1:$CD$1,0)),"")),"",IFERROR(INDEX('2-3 引出列表'!$A$2:$CE$8700,$A395,MATCH(B$1,'2-3 引出列表'!$A$1:$CD$1,0)),""))</f>
        <v>FK250427000403</v>
      </c>
      <c r="C395">
        <f>IF(ISBLANK(IFERROR(INDEX('2-3 引出列表'!$A$2:$CE$8700,$A395,MATCH(C$1,'2-3 引出列表'!$A$1:$CD$1,0)),"")),"",IFERROR(INDEX('2-3 引出列表'!$A$2:$CE$8700,$A395,MATCH(C$1,'2-3 引出列表'!$A$1:$CD$1,0)),""))</f>
        <v>16853.05</v>
      </c>
      <c r="D395" t="str">
        <f>IF(ISBLANK(IFERROR(INDEX('2-3 引出列表'!$A$2:$CE$8700,$A395,MATCH(D$1,'2-3 引出列表'!$A$1:$CD$1,0)),"")),"",IFERROR(INDEX('2-3 引出列表'!$A$2:$CE$8700,$A395,MATCH(D$1,'2-3 引出列表'!$A$1:$CD$1,0)),""))</f>
        <v>已付款</v>
      </c>
      <c r="E395" t="str">
        <f>IF(ISBLANK(IFERROR(INDEX('2-3 引出列表'!$A$2:$CE$8700,$A395,MATCH(E$1,'2-3 引出列表'!$A$1:$CD$1,0)),"")),"",IFERROR(INDEX('2-3 引出列表'!$A$2:$CE$8700,$A395,MATCH(E$1,'2-3 引出列表'!$A$1:$CD$1,0)),""))</f>
        <v>2025-07-10</v>
      </c>
      <c r="F395" s="30" t="str">
        <f t="shared" si="6"/>
        <v>2025-07</v>
      </c>
      <c r="G395" t="str">
        <f>IF(ISBLANK(IFERROR(INDEX('2-3 引出列表'!$A$2:$CE$8700,$A395,MATCH(G$1,'2-3 引出列表'!$A$1:$CD$1,0)),"")),"",IFERROR(INDEX('2-3 引出列表'!$A$2:$CE$8700,$A395,MATCH(G$1,'2-3 引出列表'!$A$1:$CD$1,0)),""))</f>
        <v>物料消耗.物料消耗</v>
      </c>
      <c r="H395" t="str">
        <f>IF(ISBLANK(IFERROR(INDEX('2-3 引出列表'!$A$2:$CE$8700,$A395,MATCH(H$1,'2-3 引出列表'!$A$1:$CD$1,0)),"")),"",IFERROR(INDEX('2-3 引出列表'!$A$2:$CE$8700,$A395,MATCH(H$1,'2-3 引出列表'!$A$1:$CD$1,0)),""))</f>
        <v>ZB20210901JCWZ02</v>
      </c>
      <c r="I395" t="str">
        <f>IF(ISBLANK(IFERROR(INDEX('2-3 引出列表'!$A$2:$CE$8700,$A395,MATCH(I$1,'2-3 引出列表'!$A$1:$CD$1,0)),"")),"",IFERROR(INDEX('2-3 引出列表'!$A$2:$CE$8700,$A395,MATCH(I$1,'2-3 引出列表'!$A$1:$CD$1,0)),""))</f>
        <v>金采易购</v>
      </c>
    </row>
    <row r="396" spans="1:9">
      <c r="A396">
        <v>395</v>
      </c>
      <c r="B396" t="str">
        <f>IF(ISBLANK(IFERROR(INDEX('2-3 引出列表'!$A$2:$CE$8700,$A396,MATCH(B$1,'2-3 引出列表'!$A$1:$CD$1,0)),"")),"",IFERROR(INDEX('2-3 引出列表'!$A$2:$CE$8700,$A396,MATCH(B$1,'2-3 引出列表'!$A$1:$CD$1,0)),""))</f>
        <v>FK250427000403</v>
      </c>
      <c r="C396">
        <f>IF(ISBLANK(IFERROR(INDEX('2-3 引出列表'!$A$2:$CE$8700,$A396,MATCH(C$1,'2-3 引出列表'!$A$1:$CD$1,0)),"")),"",IFERROR(INDEX('2-3 引出列表'!$A$2:$CE$8700,$A396,MATCH(C$1,'2-3 引出列表'!$A$1:$CD$1,0)),""))</f>
        <v>16853.05</v>
      </c>
      <c r="D396" t="str">
        <f>IF(ISBLANK(IFERROR(INDEX('2-3 引出列表'!$A$2:$CE$8700,$A396,MATCH(D$1,'2-3 引出列表'!$A$1:$CD$1,0)),"")),"",IFERROR(INDEX('2-3 引出列表'!$A$2:$CE$8700,$A396,MATCH(D$1,'2-3 引出列表'!$A$1:$CD$1,0)),""))</f>
        <v>已付款</v>
      </c>
      <c r="E396" t="str">
        <f>IF(ISBLANK(IFERROR(INDEX('2-3 引出列表'!$A$2:$CE$8700,$A396,MATCH(E$1,'2-3 引出列表'!$A$1:$CD$1,0)),"")),"",IFERROR(INDEX('2-3 引出列表'!$A$2:$CE$8700,$A396,MATCH(E$1,'2-3 引出列表'!$A$1:$CD$1,0)),""))</f>
        <v>2025-07-10</v>
      </c>
      <c r="F396" s="30" t="str">
        <f t="shared" si="6"/>
        <v>2025-07</v>
      </c>
      <c r="G396" t="str">
        <f>IF(ISBLANK(IFERROR(INDEX('2-3 引出列表'!$A$2:$CE$8700,$A396,MATCH(G$1,'2-3 引出列表'!$A$1:$CD$1,0)),"")),"",IFERROR(INDEX('2-3 引出列表'!$A$2:$CE$8700,$A396,MATCH(G$1,'2-3 引出列表'!$A$1:$CD$1,0)),""))</f>
        <v>物料消耗.物料消耗</v>
      </c>
      <c r="H396" t="str">
        <f>IF(ISBLANK(IFERROR(INDEX('2-3 引出列表'!$A$2:$CE$8700,$A396,MATCH(H$1,'2-3 引出列表'!$A$1:$CD$1,0)),"")),"",IFERROR(INDEX('2-3 引出列表'!$A$2:$CE$8700,$A396,MATCH(H$1,'2-3 引出列表'!$A$1:$CD$1,0)),""))</f>
        <v>ZB20210901JCWZ02</v>
      </c>
      <c r="I396" t="str">
        <f>IF(ISBLANK(IFERROR(INDEX('2-3 引出列表'!$A$2:$CE$8700,$A396,MATCH(I$1,'2-3 引出列表'!$A$1:$CD$1,0)),"")),"",IFERROR(INDEX('2-3 引出列表'!$A$2:$CE$8700,$A396,MATCH(I$1,'2-3 引出列表'!$A$1:$CD$1,0)),""))</f>
        <v>金采易购</v>
      </c>
    </row>
    <row r="397" spans="1:9">
      <c r="A397">
        <v>396</v>
      </c>
      <c r="B397" t="str">
        <f>IF(ISBLANK(IFERROR(INDEX('2-3 引出列表'!$A$2:$CE$8700,$A397,MATCH(B$1,'2-3 引出列表'!$A$1:$CD$1,0)),"")),"",IFERROR(INDEX('2-3 引出列表'!$A$2:$CE$8700,$A397,MATCH(B$1,'2-3 引出列表'!$A$1:$CD$1,0)),""))</f>
        <v>FK250427000403</v>
      </c>
      <c r="C397">
        <f>IF(ISBLANK(IFERROR(INDEX('2-3 引出列表'!$A$2:$CE$8700,$A397,MATCH(C$1,'2-3 引出列表'!$A$1:$CD$1,0)),"")),"",IFERROR(INDEX('2-3 引出列表'!$A$2:$CE$8700,$A397,MATCH(C$1,'2-3 引出列表'!$A$1:$CD$1,0)),""))</f>
        <v>16853.05</v>
      </c>
      <c r="D397" t="str">
        <f>IF(ISBLANK(IFERROR(INDEX('2-3 引出列表'!$A$2:$CE$8700,$A397,MATCH(D$1,'2-3 引出列表'!$A$1:$CD$1,0)),"")),"",IFERROR(INDEX('2-3 引出列表'!$A$2:$CE$8700,$A397,MATCH(D$1,'2-3 引出列表'!$A$1:$CD$1,0)),""))</f>
        <v>已付款</v>
      </c>
      <c r="E397" t="str">
        <f>IF(ISBLANK(IFERROR(INDEX('2-3 引出列表'!$A$2:$CE$8700,$A397,MATCH(E$1,'2-3 引出列表'!$A$1:$CD$1,0)),"")),"",IFERROR(INDEX('2-3 引出列表'!$A$2:$CE$8700,$A397,MATCH(E$1,'2-3 引出列表'!$A$1:$CD$1,0)),""))</f>
        <v>2025-07-10</v>
      </c>
      <c r="F397" s="30" t="str">
        <f t="shared" si="6"/>
        <v>2025-07</v>
      </c>
      <c r="G397" t="str">
        <f>IF(ISBLANK(IFERROR(INDEX('2-3 引出列表'!$A$2:$CE$8700,$A397,MATCH(G$1,'2-3 引出列表'!$A$1:$CD$1,0)),"")),"",IFERROR(INDEX('2-3 引出列表'!$A$2:$CE$8700,$A397,MATCH(G$1,'2-3 引出列表'!$A$1:$CD$1,0)),""))</f>
        <v>物料消耗.物料消耗</v>
      </c>
      <c r="H397" t="str">
        <f>IF(ISBLANK(IFERROR(INDEX('2-3 引出列表'!$A$2:$CE$8700,$A397,MATCH(H$1,'2-3 引出列表'!$A$1:$CD$1,0)),"")),"",IFERROR(INDEX('2-3 引出列表'!$A$2:$CE$8700,$A397,MATCH(H$1,'2-3 引出列表'!$A$1:$CD$1,0)),""))</f>
        <v>ZB20210901JCWZ02</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FK250427000403</v>
      </c>
      <c r="C398">
        <f>IF(ISBLANK(IFERROR(INDEX('2-3 引出列表'!$A$2:$CE$8700,$A398,MATCH(C$1,'2-3 引出列表'!$A$1:$CD$1,0)),"")),"",IFERROR(INDEX('2-3 引出列表'!$A$2:$CE$8700,$A398,MATCH(C$1,'2-3 引出列表'!$A$1:$CD$1,0)),""))</f>
        <v>16853.05</v>
      </c>
      <c r="D398" t="str">
        <f>IF(ISBLANK(IFERROR(INDEX('2-3 引出列表'!$A$2:$CE$8700,$A398,MATCH(D$1,'2-3 引出列表'!$A$1:$CD$1,0)),"")),"",IFERROR(INDEX('2-3 引出列表'!$A$2:$CE$8700,$A398,MATCH(D$1,'2-3 引出列表'!$A$1:$CD$1,0)),""))</f>
        <v>已付款</v>
      </c>
      <c r="E398" t="str">
        <f>IF(ISBLANK(IFERROR(INDEX('2-3 引出列表'!$A$2:$CE$8700,$A398,MATCH(E$1,'2-3 引出列表'!$A$1:$CD$1,0)),"")),"",IFERROR(INDEX('2-3 引出列表'!$A$2:$CE$8700,$A398,MATCH(E$1,'2-3 引出列表'!$A$1:$CD$1,0)),""))</f>
        <v>2025-07-10</v>
      </c>
      <c r="F398" s="30" t="str">
        <f t="shared" si="6"/>
        <v>2025-07</v>
      </c>
      <c r="G398" t="str">
        <f>IF(ISBLANK(IFERROR(INDEX('2-3 引出列表'!$A$2:$CE$8700,$A398,MATCH(G$1,'2-3 引出列表'!$A$1:$CD$1,0)),"")),"",IFERROR(INDEX('2-3 引出列表'!$A$2:$CE$8700,$A398,MATCH(G$1,'2-3 引出列表'!$A$1:$CD$1,0)),""))</f>
        <v>物料消耗.物料消耗</v>
      </c>
      <c r="H398" t="str">
        <f>IF(ISBLANK(IFERROR(INDEX('2-3 引出列表'!$A$2:$CE$8700,$A398,MATCH(H$1,'2-3 引出列表'!$A$1:$CD$1,0)),"")),"",IFERROR(INDEX('2-3 引出列表'!$A$2:$CE$8700,$A398,MATCH(H$1,'2-3 引出列表'!$A$1:$CD$1,0)),""))</f>
        <v>ZB20210901JCWZ02</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FK250427000403</v>
      </c>
      <c r="C399">
        <f>IF(ISBLANK(IFERROR(INDEX('2-3 引出列表'!$A$2:$CE$8700,$A399,MATCH(C$1,'2-3 引出列表'!$A$1:$CD$1,0)),"")),"",IFERROR(INDEX('2-3 引出列表'!$A$2:$CE$8700,$A399,MATCH(C$1,'2-3 引出列表'!$A$1:$CD$1,0)),""))</f>
        <v>16853.05</v>
      </c>
      <c r="D399" t="str">
        <f>IF(ISBLANK(IFERROR(INDEX('2-3 引出列表'!$A$2:$CE$8700,$A399,MATCH(D$1,'2-3 引出列表'!$A$1:$CD$1,0)),"")),"",IFERROR(INDEX('2-3 引出列表'!$A$2:$CE$8700,$A399,MATCH(D$1,'2-3 引出列表'!$A$1:$CD$1,0)),""))</f>
        <v>已付款</v>
      </c>
      <c r="E399" t="str">
        <f>IF(ISBLANK(IFERROR(INDEX('2-3 引出列表'!$A$2:$CE$8700,$A399,MATCH(E$1,'2-3 引出列表'!$A$1:$CD$1,0)),"")),"",IFERROR(INDEX('2-3 引出列表'!$A$2:$CE$8700,$A399,MATCH(E$1,'2-3 引出列表'!$A$1:$CD$1,0)),""))</f>
        <v>2025-07-10</v>
      </c>
      <c r="F399" s="30" t="str">
        <f t="shared" si="6"/>
        <v>2025-07</v>
      </c>
      <c r="G399" t="str">
        <f>IF(ISBLANK(IFERROR(INDEX('2-3 引出列表'!$A$2:$CE$8700,$A399,MATCH(G$1,'2-3 引出列表'!$A$1:$CD$1,0)),"")),"",IFERROR(INDEX('2-3 引出列表'!$A$2:$CE$8700,$A399,MATCH(G$1,'2-3 引出列表'!$A$1:$CD$1,0)),""))</f>
        <v>物料消耗.物料消耗</v>
      </c>
      <c r="H399" t="str">
        <f>IF(ISBLANK(IFERROR(INDEX('2-3 引出列表'!$A$2:$CE$8700,$A399,MATCH(H$1,'2-3 引出列表'!$A$1:$CD$1,0)),"")),"",IFERROR(INDEX('2-3 引出列表'!$A$2:$CE$8700,$A399,MATCH(H$1,'2-3 引出列表'!$A$1:$CD$1,0)),""))</f>
        <v>ZB20210901JCWZ02</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FK250427000403</v>
      </c>
      <c r="C400">
        <f>IF(ISBLANK(IFERROR(INDEX('2-3 引出列表'!$A$2:$CE$8700,$A400,MATCH(C$1,'2-3 引出列表'!$A$1:$CD$1,0)),"")),"",IFERROR(INDEX('2-3 引出列表'!$A$2:$CE$8700,$A400,MATCH(C$1,'2-3 引出列表'!$A$1:$CD$1,0)),""))</f>
        <v>16853.05</v>
      </c>
      <c r="D400" t="str">
        <f>IF(ISBLANK(IFERROR(INDEX('2-3 引出列表'!$A$2:$CE$8700,$A400,MATCH(D$1,'2-3 引出列表'!$A$1:$CD$1,0)),"")),"",IFERROR(INDEX('2-3 引出列表'!$A$2:$CE$8700,$A400,MATCH(D$1,'2-3 引出列表'!$A$1:$CD$1,0)),""))</f>
        <v>已付款</v>
      </c>
      <c r="E400" t="str">
        <f>IF(ISBLANK(IFERROR(INDEX('2-3 引出列表'!$A$2:$CE$8700,$A400,MATCH(E$1,'2-3 引出列表'!$A$1:$CD$1,0)),"")),"",IFERROR(INDEX('2-3 引出列表'!$A$2:$CE$8700,$A400,MATCH(E$1,'2-3 引出列表'!$A$1:$CD$1,0)),""))</f>
        <v>2025-07-10</v>
      </c>
      <c r="F400" s="30" t="str">
        <f t="shared" si="6"/>
        <v>2025-07</v>
      </c>
      <c r="G400" t="str">
        <f>IF(ISBLANK(IFERROR(INDEX('2-3 引出列表'!$A$2:$CE$8700,$A400,MATCH(G$1,'2-3 引出列表'!$A$1:$CD$1,0)),"")),"",IFERROR(INDEX('2-3 引出列表'!$A$2:$CE$8700,$A400,MATCH(G$1,'2-3 引出列表'!$A$1:$CD$1,0)),""))</f>
        <v>物料消耗.物料消耗</v>
      </c>
      <c r="H400" t="str">
        <f>IF(ISBLANK(IFERROR(INDEX('2-3 引出列表'!$A$2:$CE$8700,$A400,MATCH(H$1,'2-3 引出列表'!$A$1:$CD$1,0)),"")),"",IFERROR(INDEX('2-3 引出列表'!$A$2:$CE$8700,$A400,MATCH(H$1,'2-3 引出列表'!$A$1:$CD$1,0)),""))</f>
        <v>ZB20210901JCWZ02</v>
      </c>
      <c r="I400" t="str">
        <f>IF(ISBLANK(IFERROR(INDEX('2-3 引出列表'!$A$2:$CE$8700,$A400,MATCH(I$1,'2-3 引出列表'!$A$1:$CD$1,0)),"")),"",IFERROR(INDEX('2-3 引出列表'!$A$2:$CE$8700,$A400,MATCH(I$1,'2-3 引出列表'!$A$1:$CD$1,0)),""))</f>
        <v>金采易购</v>
      </c>
    </row>
    <row r="401" spans="1:9">
      <c r="A401">
        <v>400</v>
      </c>
      <c r="B401" t="str">
        <f>IF(ISBLANK(IFERROR(INDEX('2-3 引出列表'!$A$2:$CE$8700,$A401,MATCH(B$1,'2-3 引出列表'!$A$1:$CD$1,0)),"")),"",IFERROR(INDEX('2-3 引出列表'!$A$2:$CE$8700,$A401,MATCH(B$1,'2-3 引出列表'!$A$1:$CD$1,0)),""))</f>
        <v>FK250428000070</v>
      </c>
      <c r="C401">
        <f>IF(ISBLANK(IFERROR(INDEX('2-3 引出列表'!$A$2:$CE$8700,$A401,MATCH(C$1,'2-3 引出列表'!$A$1:$CD$1,0)),"")),"",IFERROR(INDEX('2-3 引出列表'!$A$2:$CE$8700,$A401,MATCH(C$1,'2-3 引出列表'!$A$1:$CD$1,0)),""))</f>
        <v>27426.97</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2025-07-10</v>
      </c>
      <c r="F401" s="30" t="str">
        <f t="shared" si="6"/>
        <v>2025-07</v>
      </c>
      <c r="G401" t="str">
        <f>IF(ISBLANK(IFERROR(INDEX('2-3 引出列表'!$A$2:$CE$8700,$A401,MATCH(G$1,'2-3 引出列表'!$A$1:$CD$1,0)),"")),"",IFERROR(INDEX('2-3 引出列表'!$A$2:$CE$8700,$A401,MATCH(G$1,'2-3 引出列表'!$A$1:$CD$1,0)),""))</f>
        <v>物料消耗.物料消耗</v>
      </c>
      <c r="H401">
        <f>IF(ISBLANK(IFERROR(INDEX('2-3 引出列表'!$A$2:$CE$8700,$A401,MATCH(H$1,'2-3 引出列表'!$A$1:$CD$1,0)),"")),"",IFERROR(INDEX('2-3 引出列表'!$A$2:$CE$8700,$A401,MATCH(H$1,'2-3 引出列表'!$A$1:$CD$1,0)),""))</f>
        <v>0</v>
      </c>
      <c r="I401" t="str">
        <f>IF(ISBLANK(IFERROR(INDEX('2-3 引出列表'!$A$2:$CE$8700,$A401,MATCH(I$1,'2-3 引出列表'!$A$1:$CD$1,0)),"")),"",IFERROR(INDEX('2-3 引出列表'!$A$2:$CE$8700,$A401,MATCH(I$1,'2-3 引出列表'!$A$1:$CD$1,0)),""))</f>
        <v>金采易购</v>
      </c>
    </row>
    <row r="402" spans="1:9">
      <c r="A402">
        <v>401</v>
      </c>
      <c r="B402" t="str">
        <f>IF(ISBLANK(IFERROR(INDEX('2-3 引出列表'!$A$2:$CE$8700,$A402,MATCH(B$1,'2-3 引出列表'!$A$1:$CD$1,0)),"")),"",IFERROR(INDEX('2-3 引出列表'!$A$2:$CE$8700,$A402,MATCH(B$1,'2-3 引出列表'!$A$1:$CD$1,0)),""))</f>
        <v>FK250427000754</v>
      </c>
      <c r="C402">
        <f>IF(ISBLANK(IFERROR(INDEX('2-3 引出列表'!$A$2:$CE$8700,$A402,MATCH(C$1,'2-3 引出列表'!$A$1:$CD$1,0)),"")),"",IFERROR(INDEX('2-3 引出列表'!$A$2:$CE$8700,$A402,MATCH(C$1,'2-3 引出列表'!$A$1:$CD$1,0)),""))</f>
        <v>192.1</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2025-07-10</v>
      </c>
      <c r="F402" s="30" t="str">
        <f t="shared" si="6"/>
        <v>2025-07</v>
      </c>
      <c r="G402" t="str">
        <f>IF(ISBLANK(IFERROR(INDEX('2-3 引出列表'!$A$2:$CE$8700,$A402,MATCH(G$1,'2-3 引出列表'!$A$1:$CD$1,0)),"")),"",IFERROR(INDEX('2-3 引出列表'!$A$2:$CE$8700,$A402,MATCH(G$1,'2-3 引出列表'!$A$1:$CD$1,0)),""))</f>
        <v>物料消耗.物料消耗</v>
      </c>
      <c r="H402" t="str">
        <f>IF(ISBLANK(IFERROR(INDEX('2-3 引出列表'!$A$2:$CE$8700,$A402,MATCH(H$1,'2-3 引出列表'!$A$1:$CD$1,0)),"")),"",IFERROR(INDEX('2-3 引出列表'!$A$2:$CE$8700,$A402,MATCH(H$1,'2-3 引出列表'!$A$1:$CD$1,0)),""))</f>
        <v>XHWZ-Z-2023-0095</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FK250427000733</v>
      </c>
      <c r="C403">
        <f>IF(ISBLANK(IFERROR(INDEX('2-3 引出列表'!$A$2:$CE$8700,$A403,MATCH(C$1,'2-3 引出列表'!$A$1:$CD$1,0)),"")),"",IFERROR(INDEX('2-3 引出列表'!$A$2:$CE$8700,$A403,MATCH(C$1,'2-3 引出列表'!$A$1:$CD$1,0)),""))</f>
        <v>938.52</v>
      </c>
      <c r="D403" t="str">
        <f>IF(ISBLANK(IFERROR(INDEX('2-3 引出列表'!$A$2:$CE$8700,$A403,MATCH(D$1,'2-3 引出列表'!$A$1:$CD$1,0)),"")),"",IFERROR(INDEX('2-3 引出列表'!$A$2:$CE$8700,$A403,MATCH(D$1,'2-3 引出列表'!$A$1:$CD$1,0)),""))</f>
        <v>已付款</v>
      </c>
      <c r="E403" t="str">
        <f>IF(ISBLANK(IFERROR(INDEX('2-3 引出列表'!$A$2:$CE$8700,$A403,MATCH(E$1,'2-3 引出列表'!$A$1:$CD$1,0)),"")),"",IFERROR(INDEX('2-3 引出列表'!$A$2:$CE$8700,$A403,MATCH(E$1,'2-3 引出列表'!$A$1:$CD$1,0)),""))</f>
        <v>2025-07-10</v>
      </c>
      <c r="F403" s="30" t="str">
        <f t="shared" si="6"/>
        <v>2025-07</v>
      </c>
      <c r="G403" t="str">
        <f>IF(ISBLANK(IFERROR(INDEX('2-3 引出列表'!$A$2:$CE$8700,$A403,MATCH(G$1,'2-3 引出列表'!$A$1:$CD$1,0)),"")),"",IFERROR(INDEX('2-3 引出列表'!$A$2:$CE$8700,$A403,MATCH(G$1,'2-3 引出列表'!$A$1:$CD$1,0)),""))</f>
        <v>物料消耗.物料消耗</v>
      </c>
      <c r="H403">
        <f>IF(ISBLANK(IFERROR(INDEX('2-3 引出列表'!$A$2:$CE$8700,$A403,MATCH(H$1,'2-3 引出列表'!$A$1:$CD$1,0)),"")),"",IFERROR(INDEX('2-3 引出列表'!$A$2:$CE$8700,$A403,MATCH(H$1,'2-3 引出列表'!$A$1:$CD$1,0)),""))</f>
        <v>0</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FK250427000733</v>
      </c>
      <c r="C404">
        <f>IF(ISBLANK(IFERROR(INDEX('2-3 引出列表'!$A$2:$CE$8700,$A404,MATCH(C$1,'2-3 引出列表'!$A$1:$CD$1,0)),"")),"",IFERROR(INDEX('2-3 引出列表'!$A$2:$CE$8700,$A404,MATCH(C$1,'2-3 引出列表'!$A$1:$CD$1,0)),""))</f>
        <v>938.52</v>
      </c>
      <c r="D404" t="str">
        <f>IF(ISBLANK(IFERROR(INDEX('2-3 引出列表'!$A$2:$CE$8700,$A404,MATCH(D$1,'2-3 引出列表'!$A$1:$CD$1,0)),"")),"",IFERROR(INDEX('2-3 引出列表'!$A$2:$CE$8700,$A404,MATCH(D$1,'2-3 引出列表'!$A$1:$CD$1,0)),""))</f>
        <v>已付款</v>
      </c>
      <c r="E404" t="str">
        <f>IF(ISBLANK(IFERROR(INDEX('2-3 引出列表'!$A$2:$CE$8700,$A404,MATCH(E$1,'2-3 引出列表'!$A$1:$CD$1,0)),"")),"",IFERROR(INDEX('2-3 引出列表'!$A$2:$CE$8700,$A404,MATCH(E$1,'2-3 引出列表'!$A$1:$CD$1,0)),""))</f>
        <v>2025-07-10</v>
      </c>
      <c r="F404" s="30" t="str">
        <f t="shared" si="6"/>
        <v>2025-07</v>
      </c>
      <c r="G404" t="str">
        <f>IF(ISBLANK(IFERROR(INDEX('2-3 引出列表'!$A$2:$CE$8700,$A404,MATCH(G$1,'2-3 引出列表'!$A$1:$CD$1,0)),"")),"",IFERROR(INDEX('2-3 引出列表'!$A$2:$CE$8700,$A404,MATCH(G$1,'2-3 引出列表'!$A$1:$CD$1,0)),""))</f>
        <v>物料消耗.物料消耗</v>
      </c>
      <c r="H404">
        <f>IF(ISBLANK(IFERROR(INDEX('2-3 引出列表'!$A$2:$CE$8700,$A404,MATCH(H$1,'2-3 引出列表'!$A$1:$CD$1,0)),"")),"",IFERROR(INDEX('2-3 引出列表'!$A$2:$CE$8700,$A404,MATCH(H$1,'2-3 引出列表'!$A$1:$CD$1,0)),""))</f>
        <v>0</v>
      </c>
      <c r="I404" t="str">
        <f>IF(ISBLANK(IFERROR(INDEX('2-3 引出列表'!$A$2:$CE$8700,$A404,MATCH(I$1,'2-3 引出列表'!$A$1:$CD$1,0)),"")),"",IFERROR(INDEX('2-3 引出列表'!$A$2:$CE$8700,$A404,MATCH(I$1,'2-3 引出列表'!$A$1:$CD$1,0)),""))</f>
        <v>金采易购</v>
      </c>
    </row>
    <row r="405" spans="1:9">
      <c r="A405">
        <v>404</v>
      </c>
      <c r="B405" t="str">
        <f>IF(ISBLANK(IFERROR(INDEX('2-3 引出列表'!$A$2:$CE$8700,$A405,MATCH(B$1,'2-3 引出列表'!$A$1:$CD$1,0)),"")),"",IFERROR(INDEX('2-3 引出列表'!$A$2:$CE$8700,$A405,MATCH(B$1,'2-3 引出列表'!$A$1:$CD$1,0)),""))</f>
        <v>FK250427000733</v>
      </c>
      <c r="C405">
        <f>IF(ISBLANK(IFERROR(INDEX('2-3 引出列表'!$A$2:$CE$8700,$A405,MATCH(C$1,'2-3 引出列表'!$A$1:$CD$1,0)),"")),"",IFERROR(INDEX('2-3 引出列表'!$A$2:$CE$8700,$A405,MATCH(C$1,'2-3 引出列表'!$A$1:$CD$1,0)),""))</f>
        <v>938.52</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2025-07-10</v>
      </c>
      <c r="F405" s="30" t="str">
        <f t="shared" si="6"/>
        <v>2025-07</v>
      </c>
      <c r="G405" t="str">
        <f>IF(ISBLANK(IFERROR(INDEX('2-3 引出列表'!$A$2:$CE$8700,$A405,MATCH(G$1,'2-3 引出列表'!$A$1:$CD$1,0)),"")),"",IFERROR(INDEX('2-3 引出列表'!$A$2:$CE$8700,$A405,MATCH(G$1,'2-3 引出列表'!$A$1:$CD$1,0)),""))</f>
        <v>物料消耗.物料消耗</v>
      </c>
      <c r="H405">
        <f>IF(ISBLANK(IFERROR(INDEX('2-3 引出列表'!$A$2:$CE$8700,$A405,MATCH(H$1,'2-3 引出列表'!$A$1:$CD$1,0)),"")),"",IFERROR(INDEX('2-3 引出列表'!$A$2:$CE$8700,$A405,MATCH(H$1,'2-3 引出列表'!$A$1:$CD$1,0)),""))</f>
        <v>0</v>
      </c>
      <c r="I405" t="str">
        <f>IF(ISBLANK(IFERROR(INDEX('2-3 引出列表'!$A$2:$CE$8700,$A405,MATCH(I$1,'2-3 引出列表'!$A$1:$CD$1,0)),"")),"",IFERROR(INDEX('2-3 引出列表'!$A$2:$CE$8700,$A405,MATCH(I$1,'2-3 引出列表'!$A$1:$CD$1,0)),""))</f>
        <v>金采易购</v>
      </c>
    </row>
    <row r="406" spans="1:9">
      <c r="A406">
        <v>405</v>
      </c>
      <c r="B406" t="str">
        <f>IF(ISBLANK(IFERROR(INDEX('2-3 引出列表'!$A$2:$CE$8700,$A406,MATCH(B$1,'2-3 引出列表'!$A$1:$CD$1,0)),"")),"",IFERROR(INDEX('2-3 引出列表'!$A$2:$CE$8700,$A406,MATCH(B$1,'2-3 引出列表'!$A$1:$CD$1,0)),""))</f>
        <v>FK250427000452</v>
      </c>
      <c r="C406">
        <f>IF(ISBLANK(IFERROR(INDEX('2-3 引出列表'!$A$2:$CE$8700,$A406,MATCH(C$1,'2-3 引出列表'!$A$1:$CD$1,0)),"")),"",IFERROR(INDEX('2-3 引出列表'!$A$2:$CE$8700,$A406,MATCH(C$1,'2-3 引出列表'!$A$1:$CD$1,0)),""))</f>
        <v>1660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2025-07-10</v>
      </c>
      <c r="F406" s="30" t="str">
        <f t="shared" si="6"/>
        <v>2025-07</v>
      </c>
      <c r="G406" t="str">
        <f>IF(ISBLANK(IFERROR(INDEX('2-3 引出列表'!$A$2:$CE$8700,$A406,MATCH(G$1,'2-3 引出列表'!$A$1:$CD$1,0)),"")),"",IFERROR(INDEX('2-3 引出列表'!$A$2:$CE$8700,$A406,MATCH(G$1,'2-3 引出列表'!$A$1:$CD$1,0)),""))</f>
        <v>物料消耗.物料消耗</v>
      </c>
      <c r="H406">
        <f>IF(ISBLANK(IFERROR(INDEX('2-3 引出列表'!$A$2:$CE$8700,$A406,MATCH(H$1,'2-3 引出列表'!$A$1:$CD$1,0)),"")),"",IFERROR(INDEX('2-3 引出列表'!$A$2:$CE$8700,$A406,MATCH(H$1,'2-3 引出列表'!$A$1:$CD$1,0)),""))</f>
        <v>0</v>
      </c>
      <c r="I406" t="str">
        <f>IF(ISBLANK(IFERROR(INDEX('2-3 引出列表'!$A$2:$CE$8700,$A406,MATCH(I$1,'2-3 引出列表'!$A$1:$CD$1,0)),"")),"",IFERROR(INDEX('2-3 引出列表'!$A$2:$CE$8700,$A406,MATCH(I$1,'2-3 引出列表'!$A$1:$CD$1,0)),""))</f>
        <v>金采易购</v>
      </c>
    </row>
    <row r="407" spans="1:9">
      <c r="A407">
        <v>406</v>
      </c>
      <c r="B407" t="str">
        <f>IF(ISBLANK(IFERROR(INDEX('2-3 引出列表'!$A$2:$CE$8700,$A407,MATCH(B$1,'2-3 引出列表'!$A$1:$CD$1,0)),"")),"",IFERROR(INDEX('2-3 引出列表'!$A$2:$CE$8700,$A407,MATCH(B$1,'2-3 引出列表'!$A$1:$CD$1,0)),""))</f>
        <v>FK250427000452</v>
      </c>
      <c r="C407">
        <f>IF(ISBLANK(IFERROR(INDEX('2-3 引出列表'!$A$2:$CE$8700,$A407,MATCH(C$1,'2-3 引出列表'!$A$1:$CD$1,0)),"")),"",IFERROR(INDEX('2-3 引出列表'!$A$2:$CE$8700,$A407,MATCH(C$1,'2-3 引出列表'!$A$1:$CD$1,0)),""))</f>
        <v>1660</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2025-07-10</v>
      </c>
      <c r="F407" s="30" t="str">
        <f t="shared" si="6"/>
        <v>2025-07</v>
      </c>
      <c r="G407" t="str">
        <f>IF(ISBLANK(IFERROR(INDEX('2-3 引出列表'!$A$2:$CE$8700,$A407,MATCH(G$1,'2-3 引出列表'!$A$1:$CD$1,0)),"")),"",IFERROR(INDEX('2-3 引出列表'!$A$2:$CE$8700,$A407,MATCH(G$1,'2-3 引出列表'!$A$1:$CD$1,0)),""))</f>
        <v>物料消耗.物料消耗</v>
      </c>
      <c r="H407">
        <f>IF(ISBLANK(IFERROR(INDEX('2-3 引出列表'!$A$2:$CE$8700,$A407,MATCH(H$1,'2-3 引出列表'!$A$1:$CD$1,0)),"")),"",IFERROR(INDEX('2-3 引出列表'!$A$2:$CE$8700,$A407,MATCH(H$1,'2-3 引出列表'!$A$1:$CD$1,0)),""))</f>
        <v>0</v>
      </c>
      <c r="I407" t="str">
        <f>IF(ISBLANK(IFERROR(INDEX('2-3 引出列表'!$A$2:$CE$8700,$A407,MATCH(I$1,'2-3 引出列表'!$A$1:$CD$1,0)),"")),"",IFERROR(INDEX('2-3 引出列表'!$A$2:$CE$8700,$A407,MATCH(I$1,'2-3 引出列表'!$A$1:$CD$1,0)),""))</f>
        <v>金采易购</v>
      </c>
    </row>
    <row r="408" spans="1:9">
      <c r="A408">
        <v>407</v>
      </c>
      <c r="B408" t="str">
        <f>IF(ISBLANK(IFERROR(INDEX('2-3 引出列表'!$A$2:$CE$8700,$A408,MATCH(B$1,'2-3 引出列表'!$A$1:$CD$1,0)),"")),"",IFERROR(INDEX('2-3 引出列表'!$A$2:$CE$8700,$A408,MATCH(B$1,'2-3 引出列表'!$A$1:$CD$1,0)),""))</f>
        <v>FK250427000597</v>
      </c>
      <c r="C408">
        <f>IF(ISBLANK(IFERROR(INDEX('2-3 引出列表'!$A$2:$CE$8700,$A408,MATCH(C$1,'2-3 引出列表'!$A$1:$CD$1,0)),"")),"",IFERROR(INDEX('2-3 引出列表'!$A$2:$CE$8700,$A408,MATCH(C$1,'2-3 引出列表'!$A$1:$CD$1,0)),""))</f>
        <v>270</v>
      </c>
      <c r="D408" t="str">
        <f>IF(ISBLANK(IFERROR(INDEX('2-3 引出列表'!$A$2:$CE$8700,$A408,MATCH(D$1,'2-3 引出列表'!$A$1:$CD$1,0)),"")),"",IFERROR(INDEX('2-3 引出列表'!$A$2:$CE$8700,$A408,MATCH(D$1,'2-3 引出列表'!$A$1:$CD$1,0)),""))</f>
        <v>已付款</v>
      </c>
      <c r="E408" t="str">
        <f>IF(ISBLANK(IFERROR(INDEX('2-3 引出列表'!$A$2:$CE$8700,$A408,MATCH(E$1,'2-3 引出列表'!$A$1:$CD$1,0)),"")),"",IFERROR(INDEX('2-3 引出列表'!$A$2:$CE$8700,$A408,MATCH(E$1,'2-3 引出列表'!$A$1:$CD$1,0)),""))</f>
        <v>2025-07-10</v>
      </c>
      <c r="F408" s="30" t="str">
        <f t="shared" si="6"/>
        <v>2025-07</v>
      </c>
      <c r="G408" t="str">
        <f>IF(ISBLANK(IFERROR(INDEX('2-3 引出列表'!$A$2:$CE$8700,$A408,MATCH(G$1,'2-3 引出列表'!$A$1:$CD$1,0)),"")),"",IFERROR(INDEX('2-3 引出列表'!$A$2:$CE$8700,$A408,MATCH(G$1,'2-3 引出列表'!$A$1:$CD$1,0)),""))</f>
        <v>物料消耗.物料消耗</v>
      </c>
      <c r="H408" t="str">
        <f>IF(ISBLANK(IFERROR(INDEX('2-3 引出列表'!$A$2:$CE$8700,$A408,MATCH(H$1,'2-3 引出列表'!$A$1:$CD$1,0)),"")),"",IFERROR(INDEX('2-3 引出列表'!$A$2:$CE$8700,$A408,MATCH(H$1,'2-3 引出列表'!$A$1:$CD$1,0)),""))</f>
        <v>XHWZ-Z-2024-0232</v>
      </c>
      <c r="I408" t="str">
        <f>IF(ISBLANK(IFERROR(INDEX('2-3 引出列表'!$A$2:$CE$8700,$A408,MATCH(I$1,'2-3 引出列表'!$A$1:$CD$1,0)),"")),"",IFERROR(INDEX('2-3 引出列表'!$A$2:$CE$8700,$A408,MATCH(I$1,'2-3 引出列表'!$A$1:$CD$1,0)),""))</f>
        <v>金采易购</v>
      </c>
    </row>
    <row r="409" spans="1:9">
      <c r="A409">
        <v>408</v>
      </c>
      <c r="B409" t="str">
        <f>IF(ISBLANK(IFERROR(INDEX('2-3 引出列表'!$A$2:$CE$8700,$A409,MATCH(B$1,'2-3 引出列表'!$A$1:$CD$1,0)),"")),"",IFERROR(INDEX('2-3 引出列表'!$A$2:$CE$8700,$A409,MATCH(B$1,'2-3 引出列表'!$A$1:$CD$1,0)),""))</f>
        <v>FK250704000511</v>
      </c>
      <c r="C409">
        <f>IF(ISBLANK(IFERROR(INDEX('2-3 引出列表'!$A$2:$CE$8700,$A409,MATCH(C$1,'2-3 引出列表'!$A$1:$CD$1,0)),"")),"",IFERROR(INDEX('2-3 引出列表'!$A$2:$CE$8700,$A409,MATCH(C$1,'2-3 引出列表'!$A$1:$CD$1,0)),""))</f>
        <v>36528</v>
      </c>
      <c r="D409" t="str">
        <f>IF(ISBLANK(IFERROR(INDEX('2-3 引出列表'!$A$2:$CE$8700,$A409,MATCH(D$1,'2-3 引出列表'!$A$1:$CD$1,0)),"")),"",IFERROR(INDEX('2-3 引出列表'!$A$2:$CE$8700,$A409,MATCH(D$1,'2-3 引出列表'!$A$1:$CD$1,0)),""))</f>
        <v>已提交</v>
      </c>
      <c r="E409" t="str">
        <f>IF(ISBLANK(IFERROR(INDEX('2-3 引出列表'!$A$2:$CE$8700,$A409,MATCH(E$1,'2-3 引出列表'!$A$1:$CD$1,0)),"")),"",IFERROR(INDEX('2-3 引出列表'!$A$2:$CE$8700,$A409,MATCH(E$1,'2-3 引出列表'!$A$1:$CD$1,0)),""))</f>
        <v>2025-07-04</v>
      </c>
      <c r="F409" s="30" t="str">
        <f t="shared" si="6"/>
        <v>2025-07</v>
      </c>
      <c r="G409" t="str">
        <f>IF(ISBLANK(IFERROR(INDEX('2-3 引出列表'!$A$2:$CE$8700,$A409,MATCH(G$1,'2-3 引出列表'!$A$1:$CD$1,0)),"")),"",IFERROR(INDEX('2-3 引出列表'!$A$2:$CE$8700,$A409,MATCH(G$1,'2-3 引出列表'!$A$1:$CD$1,0)),""))</f>
        <v>外包服务费.工程施工外包</v>
      </c>
      <c r="H409" t="str">
        <f>IF(ISBLANK(IFERROR(INDEX('2-3 引出列表'!$A$2:$CE$8700,$A409,MATCH(H$1,'2-3 引出列表'!$A$1:$CD$1,0)),"")),"",IFERROR(INDEX('2-3 引出列表'!$A$2:$CE$8700,$A409,MATCH(H$1,'2-3 引出列表'!$A$1:$CD$1,0)),""))</f>
        <v>QTFW-Z-2024-0632</v>
      </c>
      <c r="I409" t="str">
        <f>IF(ISBLANK(IFERROR(INDEX('2-3 引出列表'!$A$2:$CE$8700,$A409,MATCH(I$1,'2-3 引出列表'!$A$1:$CD$1,0)),"")),"",IFERROR(INDEX('2-3 引出列表'!$A$2:$CE$8700,$A409,MATCH(I$1,'2-3 引出列表'!$A$1:$CD$1,0)),""))</f>
        <v>金采易购</v>
      </c>
    </row>
    <row r="410" spans="1:9">
      <c r="A410">
        <v>409</v>
      </c>
      <c r="B410" t="str">
        <f>IF(ISBLANK(IFERROR(INDEX('2-3 引出列表'!$A$2:$CE$8700,$A410,MATCH(B$1,'2-3 引出列表'!$A$1:$CD$1,0)),"")),"",IFERROR(INDEX('2-3 引出列表'!$A$2:$CE$8700,$A410,MATCH(B$1,'2-3 引出列表'!$A$1:$CD$1,0)),""))</f>
        <v>FK250703000509</v>
      </c>
      <c r="C410">
        <f>IF(ISBLANK(IFERROR(INDEX('2-3 引出列表'!$A$2:$CE$8700,$A410,MATCH(C$1,'2-3 引出列表'!$A$1:$CD$1,0)),"")),"",IFERROR(INDEX('2-3 引出列表'!$A$2:$CE$8700,$A410,MATCH(C$1,'2-3 引出列表'!$A$1:$CD$1,0)),""))</f>
        <v>24506.84</v>
      </c>
      <c r="D410" t="str">
        <f>IF(ISBLANK(IFERROR(INDEX('2-3 引出列表'!$A$2:$CE$8700,$A410,MATCH(D$1,'2-3 引出列表'!$A$1:$CD$1,0)),"")),"",IFERROR(INDEX('2-3 引出列表'!$A$2:$CE$8700,$A410,MATCH(D$1,'2-3 引出列表'!$A$1:$CD$1,0)),""))</f>
        <v>已提交</v>
      </c>
      <c r="E410" t="str">
        <f>IF(ISBLANK(IFERROR(INDEX('2-3 引出列表'!$A$2:$CE$8700,$A410,MATCH(E$1,'2-3 引出列表'!$A$1:$CD$1,0)),"")),"",IFERROR(INDEX('2-3 引出列表'!$A$2:$CE$8700,$A410,MATCH(E$1,'2-3 引出列表'!$A$1:$CD$1,0)),""))</f>
        <v>2025-07-03</v>
      </c>
      <c r="F410" s="30" t="str">
        <f t="shared" si="6"/>
        <v>2025-07</v>
      </c>
      <c r="G410" t="str">
        <f>IF(ISBLANK(IFERROR(INDEX('2-3 引出列表'!$A$2:$CE$8700,$A410,MATCH(G$1,'2-3 引出列表'!$A$1:$CD$1,0)),"")),"",IFERROR(INDEX('2-3 引出列表'!$A$2:$CE$8700,$A410,MATCH(G$1,'2-3 引出列表'!$A$1:$CD$1,0)),""))</f>
        <v>物料消耗.物料消耗</v>
      </c>
      <c r="H410">
        <f>IF(ISBLANK(IFERROR(INDEX('2-3 引出列表'!$A$2:$CE$8700,$A410,MATCH(H$1,'2-3 引出列表'!$A$1:$CD$1,0)),"")),"",IFERROR(INDEX('2-3 引出列表'!$A$2:$CE$8700,$A410,MATCH(H$1,'2-3 引出列表'!$A$1:$CD$1,0)),""))</f>
        <v>0</v>
      </c>
      <c r="I410" t="str">
        <f>IF(ISBLANK(IFERROR(INDEX('2-3 引出列表'!$A$2:$CE$8700,$A410,MATCH(I$1,'2-3 引出列表'!$A$1:$CD$1,0)),"")),"",IFERROR(INDEX('2-3 引出列表'!$A$2:$CE$8700,$A410,MATCH(I$1,'2-3 引出列表'!$A$1:$CD$1,0)),""))</f>
        <v>金采易购</v>
      </c>
    </row>
    <row r="411" spans="1:9">
      <c r="A411">
        <v>410</v>
      </c>
      <c r="B411" t="str">
        <f>IF(ISBLANK(IFERROR(INDEX('2-3 引出列表'!$A$2:$CE$8700,$A411,MATCH(B$1,'2-3 引出列表'!$A$1:$CD$1,0)),"")),"",IFERROR(INDEX('2-3 引出列表'!$A$2:$CE$8700,$A411,MATCH(B$1,'2-3 引出列表'!$A$1:$CD$1,0)),""))</f>
        <v>FK250703000509</v>
      </c>
      <c r="C411">
        <f>IF(ISBLANK(IFERROR(INDEX('2-3 引出列表'!$A$2:$CE$8700,$A411,MATCH(C$1,'2-3 引出列表'!$A$1:$CD$1,0)),"")),"",IFERROR(INDEX('2-3 引出列表'!$A$2:$CE$8700,$A411,MATCH(C$1,'2-3 引出列表'!$A$1:$CD$1,0)),""))</f>
        <v>24506.84</v>
      </c>
      <c r="D411" t="str">
        <f>IF(ISBLANK(IFERROR(INDEX('2-3 引出列表'!$A$2:$CE$8700,$A411,MATCH(D$1,'2-3 引出列表'!$A$1:$CD$1,0)),"")),"",IFERROR(INDEX('2-3 引出列表'!$A$2:$CE$8700,$A411,MATCH(D$1,'2-3 引出列表'!$A$1:$CD$1,0)),""))</f>
        <v>已提交</v>
      </c>
      <c r="E411" t="str">
        <f>IF(ISBLANK(IFERROR(INDEX('2-3 引出列表'!$A$2:$CE$8700,$A411,MATCH(E$1,'2-3 引出列表'!$A$1:$CD$1,0)),"")),"",IFERROR(INDEX('2-3 引出列表'!$A$2:$CE$8700,$A411,MATCH(E$1,'2-3 引出列表'!$A$1:$CD$1,0)),""))</f>
        <v>2025-07-03</v>
      </c>
      <c r="F411" s="30" t="str">
        <f t="shared" si="6"/>
        <v>2025-07</v>
      </c>
      <c r="G411" t="str">
        <f>IF(ISBLANK(IFERROR(INDEX('2-3 引出列表'!$A$2:$CE$8700,$A411,MATCH(G$1,'2-3 引出列表'!$A$1:$CD$1,0)),"")),"",IFERROR(INDEX('2-3 引出列表'!$A$2:$CE$8700,$A411,MATCH(G$1,'2-3 引出列表'!$A$1:$CD$1,0)),""))</f>
        <v>物料消耗.物料消耗</v>
      </c>
      <c r="H411">
        <f>IF(ISBLANK(IFERROR(INDEX('2-3 引出列表'!$A$2:$CE$8700,$A411,MATCH(H$1,'2-3 引出列表'!$A$1:$CD$1,0)),"")),"",IFERROR(INDEX('2-3 引出列表'!$A$2:$CE$8700,$A411,MATCH(H$1,'2-3 引出列表'!$A$1:$CD$1,0)),""))</f>
        <v>0</v>
      </c>
      <c r="I411" t="str">
        <f>IF(ISBLANK(IFERROR(INDEX('2-3 引出列表'!$A$2:$CE$8700,$A411,MATCH(I$1,'2-3 引出列表'!$A$1:$CD$1,0)),"")),"",IFERROR(INDEX('2-3 引出列表'!$A$2:$CE$8700,$A411,MATCH(I$1,'2-3 引出列表'!$A$1:$CD$1,0)),""))</f>
        <v>金采易购</v>
      </c>
    </row>
    <row r="412" spans="1:9">
      <c r="A412">
        <v>411</v>
      </c>
      <c r="B412" t="str">
        <f>IF(ISBLANK(IFERROR(INDEX('2-3 引出列表'!$A$2:$CE$8700,$A412,MATCH(B$1,'2-3 引出列表'!$A$1:$CD$1,0)),"")),"",IFERROR(INDEX('2-3 引出列表'!$A$2:$CE$8700,$A412,MATCH(B$1,'2-3 引出列表'!$A$1:$CD$1,0)),""))</f>
        <v>FK250703000509</v>
      </c>
      <c r="C412">
        <f>IF(ISBLANK(IFERROR(INDEX('2-3 引出列表'!$A$2:$CE$8700,$A412,MATCH(C$1,'2-3 引出列表'!$A$1:$CD$1,0)),"")),"",IFERROR(INDEX('2-3 引出列表'!$A$2:$CE$8700,$A412,MATCH(C$1,'2-3 引出列表'!$A$1:$CD$1,0)),""))</f>
        <v>24506.84</v>
      </c>
      <c r="D412" t="str">
        <f>IF(ISBLANK(IFERROR(INDEX('2-3 引出列表'!$A$2:$CE$8700,$A412,MATCH(D$1,'2-3 引出列表'!$A$1:$CD$1,0)),"")),"",IFERROR(INDEX('2-3 引出列表'!$A$2:$CE$8700,$A412,MATCH(D$1,'2-3 引出列表'!$A$1:$CD$1,0)),""))</f>
        <v>已提交</v>
      </c>
      <c r="E412" t="str">
        <f>IF(ISBLANK(IFERROR(INDEX('2-3 引出列表'!$A$2:$CE$8700,$A412,MATCH(E$1,'2-3 引出列表'!$A$1:$CD$1,0)),"")),"",IFERROR(INDEX('2-3 引出列表'!$A$2:$CE$8700,$A412,MATCH(E$1,'2-3 引出列表'!$A$1:$CD$1,0)),""))</f>
        <v>2025-07-03</v>
      </c>
      <c r="F412" s="30" t="str">
        <f t="shared" si="6"/>
        <v>2025-07</v>
      </c>
      <c r="G412" t="str">
        <f>IF(ISBLANK(IFERROR(INDEX('2-3 引出列表'!$A$2:$CE$8700,$A412,MATCH(G$1,'2-3 引出列表'!$A$1:$CD$1,0)),"")),"",IFERROR(INDEX('2-3 引出列表'!$A$2:$CE$8700,$A412,MATCH(G$1,'2-3 引出列表'!$A$1:$CD$1,0)),""))</f>
        <v>物料消耗.物料消耗</v>
      </c>
      <c r="H412">
        <f>IF(ISBLANK(IFERROR(INDEX('2-3 引出列表'!$A$2:$CE$8700,$A412,MATCH(H$1,'2-3 引出列表'!$A$1:$CD$1,0)),"")),"",IFERROR(INDEX('2-3 引出列表'!$A$2:$CE$8700,$A412,MATCH(H$1,'2-3 引出列表'!$A$1:$CD$1,0)),""))</f>
        <v>0</v>
      </c>
      <c r="I412" t="str">
        <f>IF(ISBLANK(IFERROR(INDEX('2-3 引出列表'!$A$2:$CE$8700,$A412,MATCH(I$1,'2-3 引出列表'!$A$1:$CD$1,0)),"")),"",IFERROR(INDEX('2-3 引出列表'!$A$2:$CE$8700,$A412,MATCH(I$1,'2-3 引出列表'!$A$1:$CD$1,0)),""))</f>
        <v>金采易购</v>
      </c>
    </row>
    <row r="413" spans="1:9">
      <c r="A413">
        <v>412</v>
      </c>
      <c r="B413" t="str">
        <f>IF(ISBLANK(IFERROR(INDEX('2-3 引出列表'!$A$2:$CE$8700,$A413,MATCH(B$1,'2-3 引出列表'!$A$1:$CD$1,0)),"")),"",IFERROR(INDEX('2-3 引出列表'!$A$2:$CE$8700,$A413,MATCH(B$1,'2-3 引出列表'!$A$1:$CD$1,0)),""))</f>
        <v>FK250702000055</v>
      </c>
      <c r="C413">
        <f>IF(ISBLANK(IFERROR(INDEX('2-3 引出列表'!$A$2:$CE$8700,$A413,MATCH(C$1,'2-3 引出列表'!$A$1:$CD$1,0)),"")),"",IFERROR(INDEX('2-3 引出列表'!$A$2:$CE$8700,$A413,MATCH(C$1,'2-3 引出列表'!$A$1:$CD$1,0)),""))</f>
        <v>3891.5</v>
      </c>
      <c r="D413" t="str">
        <f>IF(ISBLANK(IFERROR(INDEX('2-3 引出列表'!$A$2:$CE$8700,$A413,MATCH(D$1,'2-3 引出列表'!$A$1:$CD$1,0)),"")),"",IFERROR(INDEX('2-3 引出列表'!$A$2:$CE$8700,$A413,MATCH(D$1,'2-3 引出列表'!$A$1:$CD$1,0)),""))</f>
        <v>已提交</v>
      </c>
      <c r="E413" t="str">
        <f>IF(ISBLANK(IFERROR(INDEX('2-3 引出列表'!$A$2:$CE$8700,$A413,MATCH(E$1,'2-3 引出列表'!$A$1:$CD$1,0)),"")),"",IFERROR(INDEX('2-3 引出列表'!$A$2:$CE$8700,$A413,MATCH(E$1,'2-3 引出列表'!$A$1:$CD$1,0)),""))</f>
        <v>2025-07-02</v>
      </c>
      <c r="F413" s="30" t="str">
        <f t="shared" si="6"/>
        <v>2025-07</v>
      </c>
      <c r="G413" t="str">
        <f>IF(ISBLANK(IFERROR(INDEX('2-3 引出列表'!$A$2:$CE$8700,$A413,MATCH(G$1,'2-3 引出列表'!$A$1:$CD$1,0)),"")),"",IFERROR(INDEX('2-3 引出列表'!$A$2:$CE$8700,$A413,MATCH(G$1,'2-3 引出列表'!$A$1:$CD$1,0)),""))</f>
        <v>物料消耗.物料消耗</v>
      </c>
      <c r="H413">
        <f>IF(ISBLANK(IFERROR(INDEX('2-3 引出列表'!$A$2:$CE$8700,$A413,MATCH(H$1,'2-3 引出列表'!$A$1:$CD$1,0)),"")),"",IFERROR(INDEX('2-3 引出列表'!$A$2:$CE$8700,$A413,MATCH(H$1,'2-3 引出列表'!$A$1:$CD$1,0)),""))</f>
        <v>0</v>
      </c>
      <c r="I413" t="str">
        <f>IF(ISBLANK(IFERROR(INDEX('2-3 引出列表'!$A$2:$CE$8700,$A413,MATCH(I$1,'2-3 引出列表'!$A$1:$CD$1,0)),"")),"",IFERROR(INDEX('2-3 引出列表'!$A$2:$CE$8700,$A413,MATCH(I$1,'2-3 引出列表'!$A$1:$CD$1,0)),""))</f>
        <v>金采易购</v>
      </c>
    </row>
    <row r="414" spans="1:9">
      <c r="A414">
        <v>413</v>
      </c>
      <c r="B414" t="str">
        <f>IF(ISBLANK(IFERROR(INDEX('2-3 引出列表'!$A$2:$CE$8700,$A414,MATCH(B$1,'2-3 引出列表'!$A$1:$CD$1,0)),"")),"",IFERROR(INDEX('2-3 引出列表'!$A$2:$CE$8700,$A414,MATCH(B$1,'2-3 引出列表'!$A$1:$CD$1,0)),""))</f>
        <v>FK250701000490</v>
      </c>
      <c r="C414">
        <f>IF(ISBLANK(IFERROR(INDEX('2-3 引出列表'!$A$2:$CE$8700,$A414,MATCH(C$1,'2-3 引出列表'!$A$1:$CD$1,0)),"")),"",IFERROR(INDEX('2-3 引出列表'!$A$2:$CE$8700,$A414,MATCH(C$1,'2-3 引出列表'!$A$1:$CD$1,0)),""))</f>
        <v>7587.61</v>
      </c>
      <c r="D414" t="str">
        <f>IF(ISBLANK(IFERROR(INDEX('2-3 引出列表'!$A$2:$CE$8700,$A414,MATCH(D$1,'2-3 引出列表'!$A$1:$CD$1,0)),"")),"",IFERROR(INDEX('2-3 引出列表'!$A$2:$CE$8700,$A414,MATCH(D$1,'2-3 引出列表'!$A$1:$CD$1,0)),""))</f>
        <v>已提交</v>
      </c>
      <c r="E414" t="str">
        <f>IF(ISBLANK(IFERROR(INDEX('2-3 引出列表'!$A$2:$CE$8700,$A414,MATCH(E$1,'2-3 引出列表'!$A$1:$CD$1,0)),"")),"",IFERROR(INDEX('2-3 引出列表'!$A$2:$CE$8700,$A414,MATCH(E$1,'2-3 引出列表'!$A$1:$CD$1,0)),""))</f>
        <v>2025-07-01</v>
      </c>
      <c r="F414" s="30" t="str">
        <f t="shared" si="6"/>
        <v>2025-07</v>
      </c>
      <c r="G414" t="str">
        <f>IF(ISBLANK(IFERROR(INDEX('2-3 引出列表'!$A$2:$CE$8700,$A414,MATCH(G$1,'2-3 引出列表'!$A$1:$CD$1,0)),"")),"",IFERROR(INDEX('2-3 引出列表'!$A$2:$CE$8700,$A414,MATCH(G$1,'2-3 引出列表'!$A$1:$CD$1,0)),""))</f>
        <v>物料消耗.物料消耗</v>
      </c>
      <c r="H414" t="str">
        <f>IF(ISBLANK(IFERROR(INDEX('2-3 引出列表'!$A$2:$CE$8700,$A414,MATCH(H$1,'2-3 引出列表'!$A$1:$CD$1,0)),"")),"",IFERROR(INDEX('2-3 引出列表'!$A$2:$CE$8700,$A414,MATCH(H$1,'2-3 引出列表'!$A$1:$CD$1,0)),""))</f>
        <v>ZB20210901JCWZ02</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FK250701000490</v>
      </c>
      <c r="C415">
        <f>IF(ISBLANK(IFERROR(INDEX('2-3 引出列表'!$A$2:$CE$8700,$A415,MATCH(C$1,'2-3 引出列表'!$A$1:$CD$1,0)),"")),"",IFERROR(INDEX('2-3 引出列表'!$A$2:$CE$8700,$A415,MATCH(C$1,'2-3 引出列表'!$A$1:$CD$1,0)),""))</f>
        <v>7587.61</v>
      </c>
      <c r="D415" t="str">
        <f>IF(ISBLANK(IFERROR(INDEX('2-3 引出列表'!$A$2:$CE$8700,$A415,MATCH(D$1,'2-3 引出列表'!$A$1:$CD$1,0)),"")),"",IFERROR(INDEX('2-3 引出列表'!$A$2:$CE$8700,$A415,MATCH(D$1,'2-3 引出列表'!$A$1:$CD$1,0)),""))</f>
        <v>已提交</v>
      </c>
      <c r="E415" t="str">
        <f>IF(ISBLANK(IFERROR(INDEX('2-3 引出列表'!$A$2:$CE$8700,$A415,MATCH(E$1,'2-3 引出列表'!$A$1:$CD$1,0)),"")),"",IFERROR(INDEX('2-3 引出列表'!$A$2:$CE$8700,$A415,MATCH(E$1,'2-3 引出列表'!$A$1:$CD$1,0)),""))</f>
        <v>2025-07-01</v>
      </c>
      <c r="F415" s="30" t="str">
        <f t="shared" si="6"/>
        <v>2025-07</v>
      </c>
      <c r="G415" t="str">
        <f>IF(ISBLANK(IFERROR(INDEX('2-3 引出列表'!$A$2:$CE$8700,$A415,MATCH(G$1,'2-3 引出列表'!$A$1:$CD$1,0)),"")),"",IFERROR(INDEX('2-3 引出列表'!$A$2:$CE$8700,$A415,MATCH(G$1,'2-3 引出列表'!$A$1:$CD$1,0)),""))</f>
        <v>物料消耗.物料消耗</v>
      </c>
      <c r="H415" t="str">
        <f>IF(ISBLANK(IFERROR(INDEX('2-3 引出列表'!$A$2:$CE$8700,$A415,MATCH(H$1,'2-3 引出列表'!$A$1:$CD$1,0)),"")),"",IFERROR(INDEX('2-3 引出列表'!$A$2:$CE$8700,$A415,MATCH(H$1,'2-3 引出列表'!$A$1:$CD$1,0)),""))</f>
        <v>ZB20210901JCWZ02</v>
      </c>
      <c r="I415" t="str">
        <f>IF(ISBLANK(IFERROR(INDEX('2-3 引出列表'!$A$2:$CE$8700,$A415,MATCH(I$1,'2-3 引出列表'!$A$1:$CD$1,0)),"")),"",IFERROR(INDEX('2-3 引出列表'!$A$2:$CE$8700,$A415,MATCH(I$1,'2-3 引出列表'!$A$1:$CD$1,0)),""))</f>
        <v>金采易购</v>
      </c>
    </row>
    <row r="416" spans="1:9">
      <c r="A416">
        <v>415</v>
      </c>
      <c r="B416" t="str">
        <f>IF(ISBLANK(IFERROR(INDEX('2-3 引出列表'!$A$2:$CE$8700,$A416,MATCH(B$1,'2-3 引出列表'!$A$1:$CD$1,0)),"")),"",IFERROR(INDEX('2-3 引出列表'!$A$2:$CE$8700,$A416,MATCH(B$1,'2-3 引出列表'!$A$1:$CD$1,0)),""))</f>
        <v>FK250701000490</v>
      </c>
      <c r="C416">
        <f>IF(ISBLANK(IFERROR(INDEX('2-3 引出列表'!$A$2:$CE$8700,$A416,MATCH(C$1,'2-3 引出列表'!$A$1:$CD$1,0)),"")),"",IFERROR(INDEX('2-3 引出列表'!$A$2:$CE$8700,$A416,MATCH(C$1,'2-3 引出列表'!$A$1:$CD$1,0)),""))</f>
        <v>7587.61</v>
      </c>
      <c r="D416" t="str">
        <f>IF(ISBLANK(IFERROR(INDEX('2-3 引出列表'!$A$2:$CE$8700,$A416,MATCH(D$1,'2-3 引出列表'!$A$1:$CD$1,0)),"")),"",IFERROR(INDEX('2-3 引出列表'!$A$2:$CE$8700,$A416,MATCH(D$1,'2-3 引出列表'!$A$1:$CD$1,0)),""))</f>
        <v>已提交</v>
      </c>
      <c r="E416" t="str">
        <f>IF(ISBLANK(IFERROR(INDEX('2-3 引出列表'!$A$2:$CE$8700,$A416,MATCH(E$1,'2-3 引出列表'!$A$1:$CD$1,0)),"")),"",IFERROR(INDEX('2-3 引出列表'!$A$2:$CE$8700,$A416,MATCH(E$1,'2-3 引出列表'!$A$1:$CD$1,0)),""))</f>
        <v>2025-07-01</v>
      </c>
      <c r="F416" s="30" t="str">
        <f t="shared" si="6"/>
        <v>2025-07</v>
      </c>
      <c r="G416" t="str">
        <f>IF(ISBLANK(IFERROR(INDEX('2-3 引出列表'!$A$2:$CE$8700,$A416,MATCH(G$1,'2-3 引出列表'!$A$1:$CD$1,0)),"")),"",IFERROR(INDEX('2-3 引出列表'!$A$2:$CE$8700,$A416,MATCH(G$1,'2-3 引出列表'!$A$1:$CD$1,0)),""))</f>
        <v>物料消耗.物料消耗</v>
      </c>
      <c r="H416" t="str">
        <f>IF(ISBLANK(IFERROR(INDEX('2-3 引出列表'!$A$2:$CE$8700,$A416,MATCH(H$1,'2-3 引出列表'!$A$1:$CD$1,0)),"")),"",IFERROR(INDEX('2-3 引出列表'!$A$2:$CE$8700,$A416,MATCH(H$1,'2-3 引出列表'!$A$1:$CD$1,0)),""))</f>
        <v>ZB20210901JCWZ02</v>
      </c>
      <c r="I416" t="str">
        <f>IF(ISBLANK(IFERROR(INDEX('2-3 引出列表'!$A$2:$CE$8700,$A416,MATCH(I$1,'2-3 引出列表'!$A$1:$CD$1,0)),"")),"",IFERROR(INDEX('2-3 引出列表'!$A$2:$CE$8700,$A416,MATCH(I$1,'2-3 引出列表'!$A$1:$CD$1,0)),""))</f>
        <v>金采易购</v>
      </c>
    </row>
    <row r="417" spans="1:9">
      <c r="A417">
        <v>416</v>
      </c>
      <c r="B417" t="str">
        <f>IF(ISBLANK(IFERROR(INDEX('2-3 引出列表'!$A$2:$CE$8700,$A417,MATCH(B$1,'2-3 引出列表'!$A$1:$CD$1,0)),"")),"",IFERROR(INDEX('2-3 引出列表'!$A$2:$CE$8700,$A417,MATCH(B$1,'2-3 引出列表'!$A$1:$CD$1,0)),""))</f>
        <v>FK250701000490</v>
      </c>
      <c r="C417">
        <f>IF(ISBLANK(IFERROR(INDEX('2-3 引出列表'!$A$2:$CE$8700,$A417,MATCH(C$1,'2-3 引出列表'!$A$1:$CD$1,0)),"")),"",IFERROR(INDEX('2-3 引出列表'!$A$2:$CE$8700,$A417,MATCH(C$1,'2-3 引出列表'!$A$1:$CD$1,0)),""))</f>
        <v>7587.61</v>
      </c>
      <c r="D417" t="str">
        <f>IF(ISBLANK(IFERROR(INDEX('2-3 引出列表'!$A$2:$CE$8700,$A417,MATCH(D$1,'2-3 引出列表'!$A$1:$CD$1,0)),"")),"",IFERROR(INDEX('2-3 引出列表'!$A$2:$CE$8700,$A417,MATCH(D$1,'2-3 引出列表'!$A$1:$CD$1,0)),""))</f>
        <v>已提交</v>
      </c>
      <c r="E417" t="str">
        <f>IF(ISBLANK(IFERROR(INDEX('2-3 引出列表'!$A$2:$CE$8700,$A417,MATCH(E$1,'2-3 引出列表'!$A$1:$CD$1,0)),"")),"",IFERROR(INDEX('2-3 引出列表'!$A$2:$CE$8700,$A417,MATCH(E$1,'2-3 引出列表'!$A$1:$CD$1,0)),""))</f>
        <v>2025-07-01</v>
      </c>
      <c r="F417" s="30" t="str">
        <f t="shared" si="6"/>
        <v>2025-07</v>
      </c>
      <c r="G417" t="str">
        <f>IF(ISBLANK(IFERROR(INDEX('2-3 引出列表'!$A$2:$CE$8700,$A417,MATCH(G$1,'2-3 引出列表'!$A$1:$CD$1,0)),"")),"",IFERROR(INDEX('2-3 引出列表'!$A$2:$CE$8700,$A417,MATCH(G$1,'2-3 引出列表'!$A$1:$CD$1,0)),""))</f>
        <v>物料消耗.物料消耗</v>
      </c>
      <c r="H417" t="str">
        <f>IF(ISBLANK(IFERROR(INDEX('2-3 引出列表'!$A$2:$CE$8700,$A417,MATCH(H$1,'2-3 引出列表'!$A$1:$CD$1,0)),"")),"",IFERROR(INDEX('2-3 引出列表'!$A$2:$CE$8700,$A417,MATCH(H$1,'2-3 引出列表'!$A$1:$CD$1,0)),""))</f>
        <v>ZB20210901JCWZ02</v>
      </c>
      <c r="I417" t="str">
        <f>IF(ISBLANK(IFERROR(INDEX('2-3 引出列表'!$A$2:$CE$8700,$A417,MATCH(I$1,'2-3 引出列表'!$A$1:$CD$1,0)),"")),"",IFERROR(INDEX('2-3 引出列表'!$A$2:$CE$8700,$A417,MATCH(I$1,'2-3 引出列表'!$A$1:$CD$1,0)),""))</f>
        <v>金采易购</v>
      </c>
    </row>
    <row r="418" spans="1:9">
      <c r="A418">
        <v>417</v>
      </c>
      <c r="B418" t="str">
        <f>IF(ISBLANK(IFERROR(INDEX('2-3 引出列表'!$A$2:$CE$8700,$A418,MATCH(B$1,'2-3 引出列表'!$A$1:$CD$1,0)),"")),"",IFERROR(INDEX('2-3 引出列表'!$A$2:$CE$8700,$A418,MATCH(B$1,'2-3 引出列表'!$A$1:$CD$1,0)),""))</f>
        <v>FK250701000490</v>
      </c>
      <c r="C418">
        <f>IF(ISBLANK(IFERROR(INDEX('2-3 引出列表'!$A$2:$CE$8700,$A418,MATCH(C$1,'2-3 引出列表'!$A$1:$CD$1,0)),"")),"",IFERROR(INDEX('2-3 引出列表'!$A$2:$CE$8700,$A418,MATCH(C$1,'2-3 引出列表'!$A$1:$CD$1,0)),""))</f>
        <v>7587.61</v>
      </c>
      <c r="D418" t="str">
        <f>IF(ISBLANK(IFERROR(INDEX('2-3 引出列表'!$A$2:$CE$8700,$A418,MATCH(D$1,'2-3 引出列表'!$A$1:$CD$1,0)),"")),"",IFERROR(INDEX('2-3 引出列表'!$A$2:$CE$8700,$A418,MATCH(D$1,'2-3 引出列表'!$A$1:$CD$1,0)),""))</f>
        <v>已提交</v>
      </c>
      <c r="E418" t="str">
        <f>IF(ISBLANK(IFERROR(INDEX('2-3 引出列表'!$A$2:$CE$8700,$A418,MATCH(E$1,'2-3 引出列表'!$A$1:$CD$1,0)),"")),"",IFERROR(INDEX('2-3 引出列表'!$A$2:$CE$8700,$A418,MATCH(E$1,'2-3 引出列表'!$A$1:$CD$1,0)),""))</f>
        <v>2025-07-01</v>
      </c>
      <c r="F418" s="30" t="str">
        <f t="shared" si="6"/>
        <v>2025-07</v>
      </c>
      <c r="G418" t="str">
        <f>IF(ISBLANK(IFERROR(INDEX('2-3 引出列表'!$A$2:$CE$8700,$A418,MATCH(G$1,'2-3 引出列表'!$A$1:$CD$1,0)),"")),"",IFERROR(INDEX('2-3 引出列表'!$A$2:$CE$8700,$A418,MATCH(G$1,'2-3 引出列表'!$A$1:$CD$1,0)),""))</f>
        <v>物料消耗.物料消耗</v>
      </c>
      <c r="H418" t="str">
        <f>IF(ISBLANK(IFERROR(INDEX('2-3 引出列表'!$A$2:$CE$8700,$A418,MATCH(H$1,'2-3 引出列表'!$A$1:$CD$1,0)),"")),"",IFERROR(INDEX('2-3 引出列表'!$A$2:$CE$8700,$A418,MATCH(H$1,'2-3 引出列表'!$A$1:$CD$1,0)),""))</f>
        <v>ZB20210901JCWZ02</v>
      </c>
      <c r="I418" t="str">
        <f>IF(ISBLANK(IFERROR(INDEX('2-3 引出列表'!$A$2:$CE$8700,$A418,MATCH(I$1,'2-3 引出列表'!$A$1:$CD$1,0)),"")),"",IFERROR(INDEX('2-3 引出列表'!$A$2:$CE$8700,$A418,MATCH(I$1,'2-3 引出列表'!$A$1:$CD$1,0)),""))</f>
        <v>金采易购</v>
      </c>
    </row>
    <row r="419" spans="1:9">
      <c r="A419">
        <v>418</v>
      </c>
      <c r="B419" t="str">
        <f>IF(ISBLANK(IFERROR(INDEX('2-3 引出列表'!$A$2:$CE$8700,$A419,MATCH(B$1,'2-3 引出列表'!$A$1:$CD$1,0)),"")),"",IFERROR(INDEX('2-3 引出列表'!$A$2:$CE$8700,$A419,MATCH(B$1,'2-3 引出列表'!$A$1:$CD$1,0)),""))</f>
        <v>FK250701000490</v>
      </c>
      <c r="C419">
        <f>IF(ISBLANK(IFERROR(INDEX('2-3 引出列表'!$A$2:$CE$8700,$A419,MATCH(C$1,'2-3 引出列表'!$A$1:$CD$1,0)),"")),"",IFERROR(INDEX('2-3 引出列表'!$A$2:$CE$8700,$A419,MATCH(C$1,'2-3 引出列表'!$A$1:$CD$1,0)),""))</f>
        <v>7587.61</v>
      </c>
      <c r="D419" t="str">
        <f>IF(ISBLANK(IFERROR(INDEX('2-3 引出列表'!$A$2:$CE$8700,$A419,MATCH(D$1,'2-3 引出列表'!$A$1:$CD$1,0)),"")),"",IFERROR(INDEX('2-3 引出列表'!$A$2:$CE$8700,$A419,MATCH(D$1,'2-3 引出列表'!$A$1:$CD$1,0)),""))</f>
        <v>已提交</v>
      </c>
      <c r="E419" t="str">
        <f>IF(ISBLANK(IFERROR(INDEX('2-3 引出列表'!$A$2:$CE$8700,$A419,MATCH(E$1,'2-3 引出列表'!$A$1:$CD$1,0)),"")),"",IFERROR(INDEX('2-3 引出列表'!$A$2:$CE$8700,$A419,MATCH(E$1,'2-3 引出列表'!$A$1:$CD$1,0)),""))</f>
        <v>2025-07-01</v>
      </c>
      <c r="F419" s="30" t="str">
        <f t="shared" si="6"/>
        <v>2025-07</v>
      </c>
      <c r="G419" t="str">
        <f>IF(ISBLANK(IFERROR(INDEX('2-3 引出列表'!$A$2:$CE$8700,$A419,MATCH(G$1,'2-3 引出列表'!$A$1:$CD$1,0)),"")),"",IFERROR(INDEX('2-3 引出列表'!$A$2:$CE$8700,$A419,MATCH(G$1,'2-3 引出列表'!$A$1:$CD$1,0)),""))</f>
        <v>物料消耗.物料消耗</v>
      </c>
      <c r="H419" t="str">
        <f>IF(ISBLANK(IFERROR(INDEX('2-3 引出列表'!$A$2:$CE$8700,$A419,MATCH(H$1,'2-3 引出列表'!$A$1:$CD$1,0)),"")),"",IFERROR(INDEX('2-3 引出列表'!$A$2:$CE$8700,$A419,MATCH(H$1,'2-3 引出列表'!$A$1:$CD$1,0)),""))</f>
        <v>ZB20210901JCWZ02</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FK250701000490</v>
      </c>
      <c r="C420">
        <f>IF(ISBLANK(IFERROR(INDEX('2-3 引出列表'!$A$2:$CE$8700,$A420,MATCH(C$1,'2-3 引出列表'!$A$1:$CD$1,0)),"")),"",IFERROR(INDEX('2-3 引出列表'!$A$2:$CE$8700,$A420,MATCH(C$1,'2-3 引出列表'!$A$1:$CD$1,0)),""))</f>
        <v>7587.61</v>
      </c>
      <c r="D420" t="str">
        <f>IF(ISBLANK(IFERROR(INDEX('2-3 引出列表'!$A$2:$CE$8700,$A420,MATCH(D$1,'2-3 引出列表'!$A$1:$CD$1,0)),"")),"",IFERROR(INDEX('2-3 引出列表'!$A$2:$CE$8700,$A420,MATCH(D$1,'2-3 引出列表'!$A$1:$CD$1,0)),""))</f>
        <v>已提交</v>
      </c>
      <c r="E420" t="str">
        <f>IF(ISBLANK(IFERROR(INDEX('2-3 引出列表'!$A$2:$CE$8700,$A420,MATCH(E$1,'2-3 引出列表'!$A$1:$CD$1,0)),"")),"",IFERROR(INDEX('2-3 引出列表'!$A$2:$CE$8700,$A420,MATCH(E$1,'2-3 引出列表'!$A$1:$CD$1,0)),""))</f>
        <v>2025-07-01</v>
      </c>
      <c r="F420" s="30" t="str">
        <f t="shared" si="6"/>
        <v>2025-07</v>
      </c>
      <c r="G420" t="str">
        <f>IF(ISBLANK(IFERROR(INDEX('2-3 引出列表'!$A$2:$CE$8700,$A420,MATCH(G$1,'2-3 引出列表'!$A$1:$CD$1,0)),"")),"",IFERROR(INDEX('2-3 引出列表'!$A$2:$CE$8700,$A420,MATCH(G$1,'2-3 引出列表'!$A$1:$CD$1,0)),""))</f>
        <v>物料消耗.物料消耗</v>
      </c>
      <c r="H420" t="str">
        <f>IF(ISBLANK(IFERROR(INDEX('2-3 引出列表'!$A$2:$CE$8700,$A420,MATCH(H$1,'2-3 引出列表'!$A$1:$CD$1,0)),"")),"",IFERROR(INDEX('2-3 引出列表'!$A$2:$CE$8700,$A420,MATCH(H$1,'2-3 引出列表'!$A$1:$CD$1,0)),""))</f>
        <v>ZB20210901JCWZ02</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FK250701000490</v>
      </c>
      <c r="C421">
        <f>IF(ISBLANK(IFERROR(INDEX('2-3 引出列表'!$A$2:$CE$8700,$A421,MATCH(C$1,'2-3 引出列表'!$A$1:$CD$1,0)),"")),"",IFERROR(INDEX('2-3 引出列表'!$A$2:$CE$8700,$A421,MATCH(C$1,'2-3 引出列表'!$A$1:$CD$1,0)),""))</f>
        <v>7587.61</v>
      </c>
      <c r="D421" t="str">
        <f>IF(ISBLANK(IFERROR(INDEX('2-3 引出列表'!$A$2:$CE$8700,$A421,MATCH(D$1,'2-3 引出列表'!$A$1:$CD$1,0)),"")),"",IFERROR(INDEX('2-3 引出列表'!$A$2:$CE$8700,$A421,MATCH(D$1,'2-3 引出列表'!$A$1:$CD$1,0)),""))</f>
        <v>已提交</v>
      </c>
      <c r="E421" t="str">
        <f>IF(ISBLANK(IFERROR(INDEX('2-3 引出列表'!$A$2:$CE$8700,$A421,MATCH(E$1,'2-3 引出列表'!$A$1:$CD$1,0)),"")),"",IFERROR(INDEX('2-3 引出列表'!$A$2:$CE$8700,$A421,MATCH(E$1,'2-3 引出列表'!$A$1:$CD$1,0)),""))</f>
        <v>2025-07-01</v>
      </c>
      <c r="F421" s="30" t="str">
        <f t="shared" si="6"/>
        <v>2025-07</v>
      </c>
      <c r="G421" t="str">
        <f>IF(ISBLANK(IFERROR(INDEX('2-3 引出列表'!$A$2:$CE$8700,$A421,MATCH(G$1,'2-3 引出列表'!$A$1:$CD$1,0)),"")),"",IFERROR(INDEX('2-3 引出列表'!$A$2:$CE$8700,$A421,MATCH(G$1,'2-3 引出列表'!$A$1:$CD$1,0)),""))</f>
        <v>物料消耗.物料消耗</v>
      </c>
      <c r="H421" t="str">
        <f>IF(ISBLANK(IFERROR(INDEX('2-3 引出列表'!$A$2:$CE$8700,$A421,MATCH(H$1,'2-3 引出列表'!$A$1:$CD$1,0)),"")),"",IFERROR(INDEX('2-3 引出列表'!$A$2:$CE$8700,$A421,MATCH(H$1,'2-3 引出列表'!$A$1:$CD$1,0)),""))</f>
        <v>ZB20210901JCWZ02</v>
      </c>
      <c r="I421" t="str">
        <f>IF(ISBLANK(IFERROR(INDEX('2-3 引出列表'!$A$2:$CE$8700,$A421,MATCH(I$1,'2-3 引出列表'!$A$1:$CD$1,0)),"")),"",IFERROR(INDEX('2-3 引出列表'!$A$2:$CE$8700,$A421,MATCH(I$1,'2-3 引出列表'!$A$1:$CD$1,0)),""))</f>
        <v>金采易购</v>
      </c>
    </row>
    <row r="422" spans="1:9">
      <c r="A422">
        <v>421</v>
      </c>
      <c r="B422" t="str">
        <f>IF(ISBLANK(IFERROR(INDEX('2-3 引出列表'!$A$2:$CE$8700,$A422,MATCH(B$1,'2-3 引出列表'!$A$1:$CD$1,0)),"")),"",IFERROR(INDEX('2-3 引出列表'!$A$2:$CE$8700,$A422,MATCH(B$1,'2-3 引出列表'!$A$1:$CD$1,0)),""))</f>
        <v>FK250701000490</v>
      </c>
      <c r="C422">
        <f>IF(ISBLANK(IFERROR(INDEX('2-3 引出列表'!$A$2:$CE$8700,$A422,MATCH(C$1,'2-3 引出列表'!$A$1:$CD$1,0)),"")),"",IFERROR(INDEX('2-3 引出列表'!$A$2:$CE$8700,$A422,MATCH(C$1,'2-3 引出列表'!$A$1:$CD$1,0)),""))</f>
        <v>7587.61</v>
      </c>
      <c r="D422" t="str">
        <f>IF(ISBLANK(IFERROR(INDEX('2-3 引出列表'!$A$2:$CE$8700,$A422,MATCH(D$1,'2-3 引出列表'!$A$1:$CD$1,0)),"")),"",IFERROR(INDEX('2-3 引出列表'!$A$2:$CE$8700,$A422,MATCH(D$1,'2-3 引出列表'!$A$1:$CD$1,0)),""))</f>
        <v>已提交</v>
      </c>
      <c r="E422" t="str">
        <f>IF(ISBLANK(IFERROR(INDEX('2-3 引出列表'!$A$2:$CE$8700,$A422,MATCH(E$1,'2-3 引出列表'!$A$1:$CD$1,0)),"")),"",IFERROR(INDEX('2-3 引出列表'!$A$2:$CE$8700,$A422,MATCH(E$1,'2-3 引出列表'!$A$1:$CD$1,0)),""))</f>
        <v>2025-07-01</v>
      </c>
      <c r="F422" s="30" t="str">
        <f t="shared" si="6"/>
        <v>2025-07</v>
      </c>
      <c r="G422" t="str">
        <f>IF(ISBLANK(IFERROR(INDEX('2-3 引出列表'!$A$2:$CE$8700,$A422,MATCH(G$1,'2-3 引出列表'!$A$1:$CD$1,0)),"")),"",IFERROR(INDEX('2-3 引出列表'!$A$2:$CE$8700,$A422,MATCH(G$1,'2-3 引出列表'!$A$1:$CD$1,0)),""))</f>
        <v>物料消耗.物料消耗</v>
      </c>
      <c r="H422" t="str">
        <f>IF(ISBLANK(IFERROR(INDEX('2-3 引出列表'!$A$2:$CE$8700,$A422,MATCH(H$1,'2-3 引出列表'!$A$1:$CD$1,0)),"")),"",IFERROR(INDEX('2-3 引出列表'!$A$2:$CE$8700,$A422,MATCH(H$1,'2-3 引出列表'!$A$1:$CD$1,0)),""))</f>
        <v>ZB20210901JCWZ02</v>
      </c>
      <c r="I422" t="str">
        <f>IF(ISBLANK(IFERROR(INDEX('2-3 引出列表'!$A$2:$CE$8700,$A422,MATCH(I$1,'2-3 引出列表'!$A$1:$CD$1,0)),"")),"",IFERROR(INDEX('2-3 引出列表'!$A$2:$CE$8700,$A422,MATCH(I$1,'2-3 引出列表'!$A$1:$CD$1,0)),""))</f>
        <v>金采易购</v>
      </c>
    </row>
    <row r="423" spans="1:9">
      <c r="A423">
        <v>422</v>
      </c>
      <c r="B423" t="str">
        <f>IF(ISBLANK(IFERROR(INDEX('2-3 引出列表'!$A$2:$CE$8700,$A423,MATCH(B$1,'2-3 引出列表'!$A$1:$CD$1,0)),"")),"",IFERROR(INDEX('2-3 引出列表'!$A$2:$CE$8700,$A423,MATCH(B$1,'2-3 引出列表'!$A$1:$CD$1,0)),""))</f>
        <v>FK250701000490</v>
      </c>
      <c r="C423">
        <f>IF(ISBLANK(IFERROR(INDEX('2-3 引出列表'!$A$2:$CE$8700,$A423,MATCH(C$1,'2-3 引出列表'!$A$1:$CD$1,0)),"")),"",IFERROR(INDEX('2-3 引出列表'!$A$2:$CE$8700,$A423,MATCH(C$1,'2-3 引出列表'!$A$1:$CD$1,0)),""))</f>
        <v>7587.61</v>
      </c>
      <c r="D423" t="str">
        <f>IF(ISBLANK(IFERROR(INDEX('2-3 引出列表'!$A$2:$CE$8700,$A423,MATCH(D$1,'2-3 引出列表'!$A$1:$CD$1,0)),"")),"",IFERROR(INDEX('2-3 引出列表'!$A$2:$CE$8700,$A423,MATCH(D$1,'2-3 引出列表'!$A$1:$CD$1,0)),""))</f>
        <v>已提交</v>
      </c>
      <c r="E423" t="str">
        <f>IF(ISBLANK(IFERROR(INDEX('2-3 引出列表'!$A$2:$CE$8700,$A423,MATCH(E$1,'2-3 引出列表'!$A$1:$CD$1,0)),"")),"",IFERROR(INDEX('2-3 引出列表'!$A$2:$CE$8700,$A423,MATCH(E$1,'2-3 引出列表'!$A$1:$CD$1,0)),""))</f>
        <v>2025-07-01</v>
      </c>
      <c r="F423" s="30" t="str">
        <f t="shared" si="6"/>
        <v>2025-07</v>
      </c>
      <c r="G423" t="str">
        <f>IF(ISBLANK(IFERROR(INDEX('2-3 引出列表'!$A$2:$CE$8700,$A423,MATCH(G$1,'2-3 引出列表'!$A$1:$CD$1,0)),"")),"",IFERROR(INDEX('2-3 引出列表'!$A$2:$CE$8700,$A423,MATCH(G$1,'2-3 引出列表'!$A$1:$CD$1,0)),""))</f>
        <v>物料消耗.物料消耗</v>
      </c>
      <c r="H423" t="str">
        <f>IF(ISBLANK(IFERROR(INDEX('2-3 引出列表'!$A$2:$CE$8700,$A423,MATCH(H$1,'2-3 引出列表'!$A$1:$CD$1,0)),"")),"",IFERROR(INDEX('2-3 引出列表'!$A$2:$CE$8700,$A423,MATCH(H$1,'2-3 引出列表'!$A$1:$CD$1,0)),""))</f>
        <v>ZB20210901JCWZ02</v>
      </c>
      <c r="I423" t="str">
        <f>IF(ISBLANK(IFERROR(INDEX('2-3 引出列表'!$A$2:$CE$8700,$A423,MATCH(I$1,'2-3 引出列表'!$A$1:$CD$1,0)),"")),"",IFERROR(INDEX('2-3 引出列表'!$A$2:$CE$8700,$A423,MATCH(I$1,'2-3 引出列表'!$A$1:$CD$1,0)),""))</f>
        <v>金采易购</v>
      </c>
    </row>
    <row r="424" spans="1:9">
      <c r="A424">
        <v>423</v>
      </c>
      <c r="B424" t="str">
        <f>IF(ISBLANK(IFERROR(INDEX('2-3 引出列表'!$A$2:$CE$8700,$A424,MATCH(B$1,'2-3 引出列表'!$A$1:$CD$1,0)),"")),"",IFERROR(INDEX('2-3 引出列表'!$A$2:$CE$8700,$A424,MATCH(B$1,'2-3 引出列表'!$A$1:$CD$1,0)),""))</f>
        <v>FK250701000490</v>
      </c>
      <c r="C424">
        <f>IF(ISBLANK(IFERROR(INDEX('2-3 引出列表'!$A$2:$CE$8700,$A424,MATCH(C$1,'2-3 引出列表'!$A$1:$CD$1,0)),"")),"",IFERROR(INDEX('2-3 引出列表'!$A$2:$CE$8700,$A424,MATCH(C$1,'2-3 引出列表'!$A$1:$CD$1,0)),""))</f>
        <v>7587.61</v>
      </c>
      <c r="D424" t="str">
        <f>IF(ISBLANK(IFERROR(INDEX('2-3 引出列表'!$A$2:$CE$8700,$A424,MATCH(D$1,'2-3 引出列表'!$A$1:$CD$1,0)),"")),"",IFERROR(INDEX('2-3 引出列表'!$A$2:$CE$8700,$A424,MATCH(D$1,'2-3 引出列表'!$A$1:$CD$1,0)),""))</f>
        <v>已提交</v>
      </c>
      <c r="E424" t="str">
        <f>IF(ISBLANK(IFERROR(INDEX('2-3 引出列表'!$A$2:$CE$8700,$A424,MATCH(E$1,'2-3 引出列表'!$A$1:$CD$1,0)),"")),"",IFERROR(INDEX('2-3 引出列表'!$A$2:$CE$8700,$A424,MATCH(E$1,'2-3 引出列表'!$A$1:$CD$1,0)),""))</f>
        <v>2025-07-01</v>
      </c>
      <c r="F424" s="30" t="str">
        <f t="shared" si="6"/>
        <v>2025-07</v>
      </c>
      <c r="G424" t="str">
        <f>IF(ISBLANK(IFERROR(INDEX('2-3 引出列表'!$A$2:$CE$8700,$A424,MATCH(G$1,'2-3 引出列表'!$A$1:$CD$1,0)),"")),"",IFERROR(INDEX('2-3 引出列表'!$A$2:$CE$8700,$A424,MATCH(G$1,'2-3 引出列表'!$A$1:$CD$1,0)),""))</f>
        <v>物料消耗.物料消耗</v>
      </c>
      <c r="H424" t="str">
        <f>IF(ISBLANK(IFERROR(INDEX('2-3 引出列表'!$A$2:$CE$8700,$A424,MATCH(H$1,'2-3 引出列表'!$A$1:$CD$1,0)),"")),"",IFERROR(INDEX('2-3 引出列表'!$A$2:$CE$8700,$A424,MATCH(H$1,'2-3 引出列表'!$A$1:$CD$1,0)),""))</f>
        <v>ZB20210901JCWZ02</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FK250630000542</v>
      </c>
      <c r="C425">
        <f>IF(ISBLANK(IFERROR(INDEX('2-3 引出列表'!$A$2:$CE$8700,$A425,MATCH(C$1,'2-3 引出列表'!$A$1:$CD$1,0)),"")),"",IFERROR(INDEX('2-3 引出列表'!$A$2:$CE$8700,$A425,MATCH(C$1,'2-3 引出列表'!$A$1:$CD$1,0)),""))</f>
        <v>45880</v>
      </c>
      <c r="D425" t="str">
        <f>IF(ISBLANK(IFERROR(INDEX('2-3 引出列表'!$A$2:$CE$8700,$A425,MATCH(D$1,'2-3 引出列表'!$A$1:$CD$1,0)),"")),"",IFERROR(INDEX('2-3 引出列表'!$A$2:$CE$8700,$A425,MATCH(D$1,'2-3 引出列表'!$A$1:$CD$1,0)),""))</f>
        <v>已提交</v>
      </c>
      <c r="E425" t="str">
        <f>IF(ISBLANK(IFERROR(INDEX('2-3 引出列表'!$A$2:$CE$8700,$A425,MATCH(E$1,'2-3 引出列表'!$A$1:$CD$1,0)),"")),"",IFERROR(INDEX('2-3 引出列表'!$A$2:$CE$8700,$A425,MATCH(E$1,'2-3 引出列表'!$A$1:$CD$1,0)),""))</f>
        <v>2025-06-30</v>
      </c>
      <c r="F425" s="30" t="str">
        <f t="shared" si="6"/>
        <v>2025-06</v>
      </c>
      <c r="G425" t="str">
        <f>IF(ISBLANK(IFERROR(INDEX('2-3 引出列表'!$A$2:$CE$8700,$A425,MATCH(G$1,'2-3 引出列表'!$A$1:$CD$1,0)),"")),"",IFERROR(INDEX('2-3 引出列表'!$A$2:$CE$8700,$A425,MATCH(G$1,'2-3 引出列表'!$A$1:$CD$1,0)),""))</f>
        <v>物料消耗.物料消耗</v>
      </c>
      <c r="H425">
        <f>IF(ISBLANK(IFERROR(INDEX('2-3 引出列表'!$A$2:$CE$8700,$A425,MATCH(H$1,'2-3 引出列表'!$A$1:$CD$1,0)),"")),"",IFERROR(INDEX('2-3 引出列表'!$A$2:$CE$8700,$A425,MATCH(H$1,'2-3 引出列表'!$A$1:$CD$1,0)),""))</f>
        <v>0</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FK250630000399</v>
      </c>
      <c r="C426">
        <f>IF(ISBLANK(IFERROR(INDEX('2-3 引出列表'!$A$2:$CE$8700,$A426,MATCH(C$1,'2-3 引出列表'!$A$1:$CD$1,0)),"")),"",IFERROR(INDEX('2-3 引出列表'!$A$2:$CE$8700,$A426,MATCH(C$1,'2-3 引出列表'!$A$1:$CD$1,0)),""))</f>
        <v>11063.49</v>
      </c>
      <c r="D426" t="str">
        <f>IF(ISBLANK(IFERROR(INDEX('2-3 引出列表'!$A$2:$CE$8700,$A426,MATCH(D$1,'2-3 引出列表'!$A$1:$CD$1,0)),"")),"",IFERROR(INDEX('2-3 引出列表'!$A$2:$CE$8700,$A426,MATCH(D$1,'2-3 引出列表'!$A$1:$CD$1,0)),""))</f>
        <v>已提交</v>
      </c>
      <c r="E426" t="str">
        <f>IF(ISBLANK(IFERROR(INDEX('2-3 引出列表'!$A$2:$CE$8700,$A426,MATCH(E$1,'2-3 引出列表'!$A$1:$CD$1,0)),"")),"",IFERROR(INDEX('2-3 引出列表'!$A$2:$CE$8700,$A426,MATCH(E$1,'2-3 引出列表'!$A$1:$CD$1,0)),""))</f>
        <v>2025-06-30</v>
      </c>
      <c r="F426" s="30" t="str">
        <f t="shared" si="6"/>
        <v>2025-06</v>
      </c>
      <c r="G426" t="str">
        <f>IF(ISBLANK(IFERROR(INDEX('2-3 引出列表'!$A$2:$CE$8700,$A426,MATCH(G$1,'2-3 引出列表'!$A$1:$CD$1,0)),"")),"",IFERROR(INDEX('2-3 引出列表'!$A$2:$CE$8700,$A426,MATCH(G$1,'2-3 引出列表'!$A$1:$CD$1,0)),""))</f>
        <v>物料消耗.物料消耗</v>
      </c>
      <c r="H426" t="str">
        <f>IF(ISBLANK(IFERROR(INDEX('2-3 引出列表'!$A$2:$CE$8700,$A426,MATCH(H$1,'2-3 引出列表'!$A$1:$CD$1,0)),"")),"",IFERROR(INDEX('2-3 引出列表'!$A$2:$CE$8700,$A426,MATCH(H$1,'2-3 引出列表'!$A$1:$CD$1,0)),""))</f>
        <v>XHWZ-Z-2024-0076</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FK250630000399</v>
      </c>
      <c r="C427">
        <f>IF(ISBLANK(IFERROR(INDEX('2-3 引出列表'!$A$2:$CE$8700,$A427,MATCH(C$1,'2-3 引出列表'!$A$1:$CD$1,0)),"")),"",IFERROR(INDEX('2-3 引出列表'!$A$2:$CE$8700,$A427,MATCH(C$1,'2-3 引出列表'!$A$1:$CD$1,0)),""))</f>
        <v>11063.49</v>
      </c>
      <c r="D427" t="str">
        <f>IF(ISBLANK(IFERROR(INDEX('2-3 引出列表'!$A$2:$CE$8700,$A427,MATCH(D$1,'2-3 引出列表'!$A$1:$CD$1,0)),"")),"",IFERROR(INDEX('2-3 引出列表'!$A$2:$CE$8700,$A427,MATCH(D$1,'2-3 引出列表'!$A$1:$CD$1,0)),""))</f>
        <v>已提交</v>
      </c>
      <c r="E427" t="str">
        <f>IF(ISBLANK(IFERROR(INDEX('2-3 引出列表'!$A$2:$CE$8700,$A427,MATCH(E$1,'2-3 引出列表'!$A$1:$CD$1,0)),"")),"",IFERROR(INDEX('2-3 引出列表'!$A$2:$CE$8700,$A427,MATCH(E$1,'2-3 引出列表'!$A$1:$CD$1,0)),""))</f>
        <v>2025-06-30</v>
      </c>
      <c r="F427" s="30" t="str">
        <f t="shared" si="6"/>
        <v>2025-06</v>
      </c>
      <c r="G427" t="str">
        <f>IF(ISBLANK(IFERROR(INDEX('2-3 引出列表'!$A$2:$CE$8700,$A427,MATCH(G$1,'2-3 引出列表'!$A$1:$CD$1,0)),"")),"",IFERROR(INDEX('2-3 引出列表'!$A$2:$CE$8700,$A427,MATCH(G$1,'2-3 引出列表'!$A$1:$CD$1,0)),""))</f>
        <v>物料消耗.物料消耗</v>
      </c>
      <c r="H427" t="str">
        <f>IF(ISBLANK(IFERROR(INDEX('2-3 引出列表'!$A$2:$CE$8700,$A427,MATCH(H$1,'2-3 引出列表'!$A$1:$CD$1,0)),"")),"",IFERROR(INDEX('2-3 引出列表'!$A$2:$CE$8700,$A427,MATCH(H$1,'2-3 引出列表'!$A$1:$CD$1,0)),""))</f>
        <v>XHWZ-Z-2024-0076</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FK250630000399</v>
      </c>
      <c r="C428">
        <f>IF(ISBLANK(IFERROR(INDEX('2-3 引出列表'!$A$2:$CE$8700,$A428,MATCH(C$1,'2-3 引出列表'!$A$1:$CD$1,0)),"")),"",IFERROR(INDEX('2-3 引出列表'!$A$2:$CE$8700,$A428,MATCH(C$1,'2-3 引出列表'!$A$1:$CD$1,0)),""))</f>
        <v>11063.49</v>
      </c>
      <c r="D428" t="str">
        <f>IF(ISBLANK(IFERROR(INDEX('2-3 引出列表'!$A$2:$CE$8700,$A428,MATCH(D$1,'2-3 引出列表'!$A$1:$CD$1,0)),"")),"",IFERROR(INDEX('2-3 引出列表'!$A$2:$CE$8700,$A428,MATCH(D$1,'2-3 引出列表'!$A$1:$CD$1,0)),""))</f>
        <v>已提交</v>
      </c>
      <c r="E428" t="str">
        <f>IF(ISBLANK(IFERROR(INDEX('2-3 引出列表'!$A$2:$CE$8700,$A428,MATCH(E$1,'2-3 引出列表'!$A$1:$CD$1,0)),"")),"",IFERROR(INDEX('2-3 引出列表'!$A$2:$CE$8700,$A428,MATCH(E$1,'2-3 引出列表'!$A$1:$CD$1,0)),""))</f>
        <v>2025-06-30</v>
      </c>
      <c r="F428" s="30" t="str">
        <f t="shared" si="6"/>
        <v>2025-06</v>
      </c>
      <c r="G428" t="str">
        <f>IF(ISBLANK(IFERROR(INDEX('2-3 引出列表'!$A$2:$CE$8700,$A428,MATCH(G$1,'2-3 引出列表'!$A$1:$CD$1,0)),"")),"",IFERROR(INDEX('2-3 引出列表'!$A$2:$CE$8700,$A428,MATCH(G$1,'2-3 引出列表'!$A$1:$CD$1,0)),""))</f>
        <v>物料消耗.物料消耗</v>
      </c>
      <c r="H428" t="str">
        <f>IF(ISBLANK(IFERROR(INDEX('2-3 引出列表'!$A$2:$CE$8700,$A428,MATCH(H$1,'2-3 引出列表'!$A$1:$CD$1,0)),"")),"",IFERROR(INDEX('2-3 引出列表'!$A$2:$CE$8700,$A428,MATCH(H$1,'2-3 引出列表'!$A$1:$CD$1,0)),""))</f>
        <v>XHWZ-Z-2024-0076</v>
      </c>
      <c r="I428" t="str">
        <f>IF(ISBLANK(IFERROR(INDEX('2-3 引出列表'!$A$2:$CE$8700,$A428,MATCH(I$1,'2-3 引出列表'!$A$1:$CD$1,0)),"")),"",IFERROR(INDEX('2-3 引出列表'!$A$2:$CE$8700,$A428,MATCH(I$1,'2-3 引出列表'!$A$1:$CD$1,0)),""))</f>
        <v>金采易购</v>
      </c>
    </row>
    <row r="429" spans="1:9">
      <c r="A429">
        <v>428</v>
      </c>
      <c r="B429" t="str">
        <f>IF(ISBLANK(IFERROR(INDEX('2-3 引出列表'!$A$2:$CE$8700,$A429,MATCH(B$1,'2-3 引出列表'!$A$1:$CD$1,0)),"")),"",IFERROR(INDEX('2-3 引出列表'!$A$2:$CE$8700,$A429,MATCH(B$1,'2-3 引出列表'!$A$1:$CD$1,0)),""))</f>
        <v>FK250630000399</v>
      </c>
      <c r="C429">
        <f>IF(ISBLANK(IFERROR(INDEX('2-3 引出列表'!$A$2:$CE$8700,$A429,MATCH(C$1,'2-3 引出列表'!$A$1:$CD$1,0)),"")),"",IFERROR(INDEX('2-3 引出列表'!$A$2:$CE$8700,$A429,MATCH(C$1,'2-3 引出列表'!$A$1:$CD$1,0)),""))</f>
        <v>11063.49</v>
      </c>
      <c r="D429" t="str">
        <f>IF(ISBLANK(IFERROR(INDEX('2-3 引出列表'!$A$2:$CE$8700,$A429,MATCH(D$1,'2-3 引出列表'!$A$1:$CD$1,0)),"")),"",IFERROR(INDEX('2-3 引出列表'!$A$2:$CE$8700,$A429,MATCH(D$1,'2-3 引出列表'!$A$1:$CD$1,0)),""))</f>
        <v>已提交</v>
      </c>
      <c r="E429" t="str">
        <f>IF(ISBLANK(IFERROR(INDEX('2-3 引出列表'!$A$2:$CE$8700,$A429,MATCH(E$1,'2-3 引出列表'!$A$1:$CD$1,0)),"")),"",IFERROR(INDEX('2-3 引出列表'!$A$2:$CE$8700,$A429,MATCH(E$1,'2-3 引出列表'!$A$1:$CD$1,0)),""))</f>
        <v>2025-06-30</v>
      </c>
      <c r="F429" s="30" t="str">
        <f t="shared" si="6"/>
        <v>2025-06</v>
      </c>
      <c r="G429" t="str">
        <f>IF(ISBLANK(IFERROR(INDEX('2-3 引出列表'!$A$2:$CE$8700,$A429,MATCH(G$1,'2-3 引出列表'!$A$1:$CD$1,0)),"")),"",IFERROR(INDEX('2-3 引出列表'!$A$2:$CE$8700,$A429,MATCH(G$1,'2-3 引出列表'!$A$1:$CD$1,0)),""))</f>
        <v>物料消耗.物料消耗</v>
      </c>
      <c r="H429" t="str">
        <f>IF(ISBLANK(IFERROR(INDEX('2-3 引出列表'!$A$2:$CE$8700,$A429,MATCH(H$1,'2-3 引出列表'!$A$1:$CD$1,0)),"")),"",IFERROR(INDEX('2-3 引出列表'!$A$2:$CE$8700,$A429,MATCH(H$1,'2-3 引出列表'!$A$1:$CD$1,0)),""))</f>
        <v>XHWZ-Z-2024-0076</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FK250630000399</v>
      </c>
      <c r="C430">
        <f>IF(ISBLANK(IFERROR(INDEX('2-3 引出列表'!$A$2:$CE$8700,$A430,MATCH(C$1,'2-3 引出列表'!$A$1:$CD$1,0)),"")),"",IFERROR(INDEX('2-3 引出列表'!$A$2:$CE$8700,$A430,MATCH(C$1,'2-3 引出列表'!$A$1:$CD$1,0)),""))</f>
        <v>11063.49</v>
      </c>
      <c r="D430" t="str">
        <f>IF(ISBLANK(IFERROR(INDEX('2-3 引出列表'!$A$2:$CE$8700,$A430,MATCH(D$1,'2-3 引出列表'!$A$1:$CD$1,0)),"")),"",IFERROR(INDEX('2-3 引出列表'!$A$2:$CE$8700,$A430,MATCH(D$1,'2-3 引出列表'!$A$1:$CD$1,0)),""))</f>
        <v>已提交</v>
      </c>
      <c r="E430" t="str">
        <f>IF(ISBLANK(IFERROR(INDEX('2-3 引出列表'!$A$2:$CE$8700,$A430,MATCH(E$1,'2-3 引出列表'!$A$1:$CD$1,0)),"")),"",IFERROR(INDEX('2-3 引出列表'!$A$2:$CE$8700,$A430,MATCH(E$1,'2-3 引出列表'!$A$1:$CD$1,0)),""))</f>
        <v>2025-06-30</v>
      </c>
      <c r="F430" s="30" t="str">
        <f t="shared" si="6"/>
        <v>2025-06</v>
      </c>
      <c r="G430" t="str">
        <f>IF(ISBLANK(IFERROR(INDEX('2-3 引出列表'!$A$2:$CE$8700,$A430,MATCH(G$1,'2-3 引出列表'!$A$1:$CD$1,0)),"")),"",IFERROR(INDEX('2-3 引出列表'!$A$2:$CE$8700,$A430,MATCH(G$1,'2-3 引出列表'!$A$1:$CD$1,0)),""))</f>
        <v>物料消耗.物料消耗</v>
      </c>
      <c r="H430" t="str">
        <f>IF(ISBLANK(IFERROR(INDEX('2-3 引出列表'!$A$2:$CE$8700,$A430,MATCH(H$1,'2-3 引出列表'!$A$1:$CD$1,0)),"")),"",IFERROR(INDEX('2-3 引出列表'!$A$2:$CE$8700,$A430,MATCH(H$1,'2-3 引出列表'!$A$1:$CD$1,0)),""))</f>
        <v>XHWZ-Z-2024-0076</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FK250630000399</v>
      </c>
      <c r="C431">
        <f>IF(ISBLANK(IFERROR(INDEX('2-3 引出列表'!$A$2:$CE$8700,$A431,MATCH(C$1,'2-3 引出列表'!$A$1:$CD$1,0)),"")),"",IFERROR(INDEX('2-3 引出列表'!$A$2:$CE$8700,$A431,MATCH(C$1,'2-3 引出列表'!$A$1:$CD$1,0)),""))</f>
        <v>11063.49</v>
      </c>
      <c r="D431" t="str">
        <f>IF(ISBLANK(IFERROR(INDEX('2-3 引出列表'!$A$2:$CE$8700,$A431,MATCH(D$1,'2-3 引出列表'!$A$1:$CD$1,0)),"")),"",IFERROR(INDEX('2-3 引出列表'!$A$2:$CE$8700,$A431,MATCH(D$1,'2-3 引出列表'!$A$1:$CD$1,0)),""))</f>
        <v>已提交</v>
      </c>
      <c r="E431" t="str">
        <f>IF(ISBLANK(IFERROR(INDEX('2-3 引出列表'!$A$2:$CE$8700,$A431,MATCH(E$1,'2-3 引出列表'!$A$1:$CD$1,0)),"")),"",IFERROR(INDEX('2-3 引出列表'!$A$2:$CE$8700,$A431,MATCH(E$1,'2-3 引出列表'!$A$1:$CD$1,0)),""))</f>
        <v>2025-06-30</v>
      </c>
      <c r="F431" s="30" t="str">
        <f t="shared" si="6"/>
        <v>2025-06</v>
      </c>
      <c r="G431" t="str">
        <f>IF(ISBLANK(IFERROR(INDEX('2-3 引出列表'!$A$2:$CE$8700,$A431,MATCH(G$1,'2-3 引出列表'!$A$1:$CD$1,0)),"")),"",IFERROR(INDEX('2-3 引出列表'!$A$2:$CE$8700,$A431,MATCH(G$1,'2-3 引出列表'!$A$1:$CD$1,0)),""))</f>
        <v>物料消耗.物料消耗</v>
      </c>
      <c r="H431" t="str">
        <f>IF(ISBLANK(IFERROR(INDEX('2-3 引出列表'!$A$2:$CE$8700,$A431,MATCH(H$1,'2-3 引出列表'!$A$1:$CD$1,0)),"")),"",IFERROR(INDEX('2-3 引出列表'!$A$2:$CE$8700,$A431,MATCH(H$1,'2-3 引出列表'!$A$1:$CD$1,0)),""))</f>
        <v>XHWZ-Z-2024-0076</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FK250630000399</v>
      </c>
      <c r="C432">
        <f>IF(ISBLANK(IFERROR(INDEX('2-3 引出列表'!$A$2:$CE$8700,$A432,MATCH(C$1,'2-3 引出列表'!$A$1:$CD$1,0)),"")),"",IFERROR(INDEX('2-3 引出列表'!$A$2:$CE$8700,$A432,MATCH(C$1,'2-3 引出列表'!$A$1:$CD$1,0)),""))</f>
        <v>11063.49</v>
      </c>
      <c r="D432" t="str">
        <f>IF(ISBLANK(IFERROR(INDEX('2-3 引出列表'!$A$2:$CE$8700,$A432,MATCH(D$1,'2-3 引出列表'!$A$1:$CD$1,0)),"")),"",IFERROR(INDEX('2-3 引出列表'!$A$2:$CE$8700,$A432,MATCH(D$1,'2-3 引出列表'!$A$1:$CD$1,0)),""))</f>
        <v>已提交</v>
      </c>
      <c r="E432" t="str">
        <f>IF(ISBLANK(IFERROR(INDEX('2-3 引出列表'!$A$2:$CE$8700,$A432,MATCH(E$1,'2-3 引出列表'!$A$1:$CD$1,0)),"")),"",IFERROR(INDEX('2-3 引出列表'!$A$2:$CE$8700,$A432,MATCH(E$1,'2-3 引出列表'!$A$1:$CD$1,0)),""))</f>
        <v>2025-06-30</v>
      </c>
      <c r="F432" s="30" t="str">
        <f t="shared" si="6"/>
        <v>2025-06</v>
      </c>
      <c r="G432" t="str">
        <f>IF(ISBLANK(IFERROR(INDEX('2-3 引出列表'!$A$2:$CE$8700,$A432,MATCH(G$1,'2-3 引出列表'!$A$1:$CD$1,0)),"")),"",IFERROR(INDEX('2-3 引出列表'!$A$2:$CE$8700,$A432,MATCH(G$1,'2-3 引出列表'!$A$1:$CD$1,0)),""))</f>
        <v>物料消耗.物料消耗</v>
      </c>
      <c r="H432" t="str">
        <f>IF(ISBLANK(IFERROR(INDEX('2-3 引出列表'!$A$2:$CE$8700,$A432,MATCH(H$1,'2-3 引出列表'!$A$1:$CD$1,0)),"")),"",IFERROR(INDEX('2-3 引出列表'!$A$2:$CE$8700,$A432,MATCH(H$1,'2-3 引出列表'!$A$1:$CD$1,0)),""))</f>
        <v>XHWZ-Z-2024-0076</v>
      </c>
      <c r="I432" t="str">
        <f>IF(ISBLANK(IFERROR(INDEX('2-3 引出列表'!$A$2:$CE$8700,$A432,MATCH(I$1,'2-3 引出列表'!$A$1:$CD$1,0)),"")),"",IFERROR(INDEX('2-3 引出列表'!$A$2:$CE$8700,$A432,MATCH(I$1,'2-3 引出列表'!$A$1:$CD$1,0)),""))</f>
        <v>金采易购</v>
      </c>
    </row>
    <row r="433" spans="1:9">
      <c r="A433">
        <v>432</v>
      </c>
      <c r="B433" t="str">
        <f>IF(ISBLANK(IFERROR(INDEX('2-3 引出列表'!$A$2:$CE$8700,$A433,MATCH(B$1,'2-3 引出列表'!$A$1:$CD$1,0)),"")),"",IFERROR(INDEX('2-3 引出列表'!$A$2:$CE$8700,$A433,MATCH(B$1,'2-3 引出列表'!$A$1:$CD$1,0)),""))</f>
        <v>FK250630000399</v>
      </c>
      <c r="C433">
        <f>IF(ISBLANK(IFERROR(INDEX('2-3 引出列表'!$A$2:$CE$8700,$A433,MATCH(C$1,'2-3 引出列表'!$A$1:$CD$1,0)),"")),"",IFERROR(INDEX('2-3 引出列表'!$A$2:$CE$8700,$A433,MATCH(C$1,'2-3 引出列表'!$A$1:$CD$1,0)),""))</f>
        <v>11063.49</v>
      </c>
      <c r="D433" t="str">
        <f>IF(ISBLANK(IFERROR(INDEX('2-3 引出列表'!$A$2:$CE$8700,$A433,MATCH(D$1,'2-3 引出列表'!$A$1:$CD$1,0)),"")),"",IFERROR(INDEX('2-3 引出列表'!$A$2:$CE$8700,$A433,MATCH(D$1,'2-3 引出列表'!$A$1:$CD$1,0)),""))</f>
        <v>已提交</v>
      </c>
      <c r="E433" t="str">
        <f>IF(ISBLANK(IFERROR(INDEX('2-3 引出列表'!$A$2:$CE$8700,$A433,MATCH(E$1,'2-3 引出列表'!$A$1:$CD$1,0)),"")),"",IFERROR(INDEX('2-3 引出列表'!$A$2:$CE$8700,$A433,MATCH(E$1,'2-3 引出列表'!$A$1:$CD$1,0)),""))</f>
        <v>2025-06-30</v>
      </c>
      <c r="F433" s="30" t="str">
        <f t="shared" si="6"/>
        <v>2025-06</v>
      </c>
      <c r="G433" t="str">
        <f>IF(ISBLANK(IFERROR(INDEX('2-3 引出列表'!$A$2:$CE$8700,$A433,MATCH(G$1,'2-3 引出列表'!$A$1:$CD$1,0)),"")),"",IFERROR(INDEX('2-3 引出列表'!$A$2:$CE$8700,$A433,MATCH(G$1,'2-3 引出列表'!$A$1:$CD$1,0)),""))</f>
        <v>物料消耗.物料消耗</v>
      </c>
      <c r="H433" t="str">
        <f>IF(ISBLANK(IFERROR(INDEX('2-3 引出列表'!$A$2:$CE$8700,$A433,MATCH(H$1,'2-3 引出列表'!$A$1:$CD$1,0)),"")),"",IFERROR(INDEX('2-3 引出列表'!$A$2:$CE$8700,$A433,MATCH(H$1,'2-3 引出列表'!$A$1:$CD$1,0)),""))</f>
        <v>XHWZ-Z-2024-0076</v>
      </c>
      <c r="I433" t="str">
        <f>IF(ISBLANK(IFERROR(INDEX('2-3 引出列表'!$A$2:$CE$8700,$A433,MATCH(I$1,'2-3 引出列表'!$A$1:$CD$1,0)),"")),"",IFERROR(INDEX('2-3 引出列表'!$A$2:$CE$8700,$A433,MATCH(I$1,'2-3 引出列表'!$A$1:$CD$1,0)),""))</f>
        <v>金采易购</v>
      </c>
    </row>
    <row r="434" spans="1:9">
      <c r="A434">
        <v>433</v>
      </c>
      <c r="B434" t="str">
        <f>IF(ISBLANK(IFERROR(INDEX('2-3 引出列表'!$A$2:$CE$8700,$A434,MATCH(B$1,'2-3 引出列表'!$A$1:$CD$1,0)),"")),"",IFERROR(INDEX('2-3 引出列表'!$A$2:$CE$8700,$A434,MATCH(B$1,'2-3 引出列表'!$A$1:$CD$1,0)),""))</f>
        <v>FK250630000399</v>
      </c>
      <c r="C434">
        <f>IF(ISBLANK(IFERROR(INDEX('2-3 引出列表'!$A$2:$CE$8700,$A434,MATCH(C$1,'2-3 引出列表'!$A$1:$CD$1,0)),"")),"",IFERROR(INDEX('2-3 引出列表'!$A$2:$CE$8700,$A434,MATCH(C$1,'2-3 引出列表'!$A$1:$CD$1,0)),""))</f>
        <v>11063.49</v>
      </c>
      <c r="D434" t="str">
        <f>IF(ISBLANK(IFERROR(INDEX('2-3 引出列表'!$A$2:$CE$8700,$A434,MATCH(D$1,'2-3 引出列表'!$A$1:$CD$1,0)),"")),"",IFERROR(INDEX('2-3 引出列表'!$A$2:$CE$8700,$A434,MATCH(D$1,'2-3 引出列表'!$A$1:$CD$1,0)),""))</f>
        <v>已提交</v>
      </c>
      <c r="E434" t="str">
        <f>IF(ISBLANK(IFERROR(INDEX('2-3 引出列表'!$A$2:$CE$8700,$A434,MATCH(E$1,'2-3 引出列表'!$A$1:$CD$1,0)),"")),"",IFERROR(INDEX('2-3 引出列表'!$A$2:$CE$8700,$A434,MATCH(E$1,'2-3 引出列表'!$A$1:$CD$1,0)),""))</f>
        <v>2025-06-30</v>
      </c>
      <c r="F434" s="30" t="str">
        <f t="shared" si="6"/>
        <v>2025-06</v>
      </c>
      <c r="G434" t="str">
        <f>IF(ISBLANK(IFERROR(INDEX('2-3 引出列表'!$A$2:$CE$8700,$A434,MATCH(G$1,'2-3 引出列表'!$A$1:$CD$1,0)),"")),"",IFERROR(INDEX('2-3 引出列表'!$A$2:$CE$8700,$A434,MATCH(G$1,'2-3 引出列表'!$A$1:$CD$1,0)),""))</f>
        <v>物料消耗.物料消耗</v>
      </c>
      <c r="H434" t="str">
        <f>IF(ISBLANK(IFERROR(INDEX('2-3 引出列表'!$A$2:$CE$8700,$A434,MATCH(H$1,'2-3 引出列表'!$A$1:$CD$1,0)),"")),"",IFERROR(INDEX('2-3 引出列表'!$A$2:$CE$8700,$A434,MATCH(H$1,'2-3 引出列表'!$A$1:$CD$1,0)),""))</f>
        <v>XHWZ-Z-2024-0076</v>
      </c>
      <c r="I434" t="str">
        <f>IF(ISBLANK(IFERROR(INDEX('2-3 引出列表'!$A$2:$CE$8700,$A434,MATCH(I$1,'2-3 引出列表'!$A$1:$CD$1,0)),"")),"",IFERROR(INDEX('2-3 引出列表'!$A$2:$CE$8700,$A434,MATCH(I$1,'2-3 引出列表'!$A$1:$CD$1,0)),""))</f>
        <v>金采易购</v>
      </c>
    </row>
    <row r="435" spans="1:9">
      <c r="A435">
        <v>434</v>
      </c>
      <c r="B435" t="str">
        <f>IF(ISBLANK(IFERROR(INDEX('2-3 引出列表'!$A$2:$CE$8700,$A435,MATCH(B$1,'2-3 引出列表'!$A$1:$CD$1,0)),"")),"",IFERROR(INDEX('2-3 引出列表'!$A$2:$CE$8700,$A435,MATCH(B$1,'2-3 引出列表'!$A$1:$CD$1,0)),""))</f>
        <v>FK250630000399</v>
      </c>
      <c r="C435">
        <f>IF(ISBLANK(IFERROR(INDEX('2-3 引出列表'!$A$2:$CE$8700,$A435,MATCH(C$1,'2-3 引出列表'!$A$1:$CD$1,0)),"")),"",IFERROR(INDEX('2-3 引出列表'!$A$2:$CE$8700,$A435,MATCH(C$1,'2-3 引出列表'!$A$1:$CD$1,0)),""))</f>
        <v>11063.49</v>
      </c>
      <c r="D435" t="str">
        <f>IF(ISBLANK(IFERROR(INDEX('2-3 引出列表'!$A$2:$CE$8700,$A435,MATCH(D$1,'2-3 引出列表'!$A$1:$CD$1,0)),"")),"",IFERROR(INDEX('2-3 引出列表'!$A$2:$CE$8700,$A435,MATCH(D$1,'2-3 引出列表'!$A$1:$CD$1,0)),""))</f>
        <v>已提交</v>
      </c>
      <c r="E435" t="str">
        <f>IF(ISBLANK(IFERROR(INDEX('2-3 引出列表'!$A$2:$CE$8700,$A435,MATCH(E$1,'2-3 引出列表'!$A$1:$CD$1,0)),"")),"",IFERROR(INDEX('2-3 引出列表'!$A$2:$CE$8700,$A435,MATCH(E$1,'2-3 引出列表'!$A$1:$CD$1,0)),""))</f>
        <v>2025-06-30</v>
      </c>
      <c r="F435" s="30" t="str">
        <f t="shared" si="6"/>
        <v>2025-06</v>
      </c>
      <c r="G435" t="str">
        <f>IF(ISBLANK(IFERROR(INDEX('2-3 引出列表'!$A$2:$CE$8700,$A435,MATCH(G$1,'2-3 引出列表'!$A$1:$CD$1,0)),"")),"",IFERROR(INDEX('2-3 引出列表'!$A$2:$CE$8700,$A435,MATCH(G$1,'2-3 引出列表'!$A$1:$CD$1,0)),""))</f>
        <v>物料消耗.物料消耗</v>
      </c>
      <c r="H435" t="str">
        <f>IF(ISBLANK(IFERROR(INDEX('2-3 引出列表'!$A$2:$CE$8700,$A435,MATCH(H$1,'2-3 引出列表'!$A$1:$CD$1,0)),"")),"",IFERROR(INDEX('2-3 引出列表'!$A$2:$CE$8700,$A435,MATCH(H$1,'2-3 引出列表'!$A$1:$CD$1,0)),""))</f>
        <v>XHWZ-Z-2024-0076</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FK250630000399</v>
      </c>
      <c r="C436">
        <f>IF(ISBLANK(IFERROR(INDEX('2-3 引出列表'!$A$2:$CE$8700,$A436,MATCH(C$1,'2-3 引出列表'!$A$1:$CD$1,0)),"")),"",IFERROR(INDEX('2-3 引出列表'!$A$2:$CE$8700,$A436,MATCH(C$1,'2-3 引出列表'!$A$1:$CD$1,0)),""))</f>
        <v>11063.49</v>
      </c>
      <c r="D436" t="str">
        <f>IF(ISBLANK(IFERROR(INDEX('2-3 引出列表'!$A$2:$CE$8700,$A436,MATCH(D$1,'2-3 引出列表'!$A$1:$CD$1,0)),"")),"",IFERROR(INDEX('2-3 引出列表'!$A$2:$CE$8700,$A436,MATCH(D$1,'2-3 引出列表'!$A$1:$CD$1,0)),""))</f>
        <v>已提交</v>
      </c>
      <c r="E436" t="str">
        <f>IF(ISBLANK(IFERROR(INDEX('2-3 引出列表'!$A$2:$CE$8700,$A436,MATCH(E$1,'2-3 引出列表'!$A$1:$CD$1,0)),"")),"",IFERROR(INDEX('2-3 引出列表'!$A$2:$CE$8700,$A436,MATCH(E$1,'2-3 引出列表'!$A$1:$CD$1,0)),""))</f>
        <v>2025-06-30</v>
      </c>
      <c r="F436" s="30" t="str">
        <f t="shared" si="6"/>
        <v>2025-06</v>
      </c>
      <c r="G436" t="str">
        <f>IF(ISBLANK(IFERROR(INDEX('2-3 引出列表'!$A$2:$CE$8700,$A436,MATCH(G$1,'2-3 引出列表'!$A$1:$CD$1,0)),"")),"",IFERROR(INDEX('2-3 引出列表'!$A$2:$CE$8700,$A436,MATCH(G$1,'2-3 引出列表'!$A$1:$CD$1,0)),""))</f>
        <v>物料消耗.物料消耗</v>
      </c>
      <c r="H436" t="str">
        <f>IF(ISBLANK(IFERROR(INDEX('2-3 引出列表'!$A$2:$CE$8700,$A436,MATCH(H$1,'2-3 引出列表'!$A$1:$CD$1,0)),"")),"",IFERROR(INDEX('2-3 引出列表'!$A$2:$CE$8700,$A436,MATCH(H$1,'2-3 引出列表'!$A$1:$CD$1,0)),""))</f>
        <v>XHWZ-Z-2024-0076</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FK250630000399</v>
      </c>
      <c r="C437">
        <f>IF(ISBLANK(IFERROR(INDEX('2-3 引出列表'!$A$2:$CE$8700,$A437,MATCH(C$1,'2-3 引出列表'!$A$1:$CD$1,0)),"")),"",IFERROR(INDEX('2-3 引出列表'!$A$2:$CE$8700,$A437,MATCH(C$1,'2-3 引出列表'!$A$1:$CD$1,0)),""))</f>
        <v>11063.49</v>
      </c>
      <c r="D437" t="str">
        <f>IF(ISBLANK(IFERROR(INDEX('2-3 引出列表'!$A$2:$CE$8700,$A437,MATCH(D$1,'2-3 引出列表'!$A$1:$CD$1,0)),"")),"",IFERROR(INDEX('2-3 引出列表'!$A$2:$CE$8700,$A437,MATCH(D$1,'2-3 引出列表'!$A$1:$CD$1,0)),""))</f>
        <v>已提交</v>
      </c>
      <c r="E437" t="str">
        <f>IF(ISBLANK(IFERROR(INDEX('2-3 引出列表'!$A$2:$CE$8700,$A437,MATCH(E$1,'2-3 引出列表'!$A$1:$CD$1,0)),"")),"",IFERROR(INDEX('2-3 引出列表'!$A$2:$CE$8700,$A437,MATCH(E$1,'2-3 引出列表'!$A$1:$CD$1,0)),""))</f>
        <v>2025-06-30</v>
      </c>
      <c r="F437" s="30" t="str">
        <f t="shared" si="6"/>
        <v>2025-06</v>
      </c>
      <c r="G437" t="str">
        <f>IF(ISBLANK(IFERROR(INDEX('2-3 引出列表'!$A$2:$CE$8700,$A437,MATCH(G$1,'2-3 引出列表'!$A$1:$CD$1,0)),"")),"",IFERROR(INDEX('2-3 引出列表'!$A$2:$CE$8700,$A437,MATCH(G$1,'2-3 引出列表'!$A$1:$CD$1,0)),""))</f>
        <v>物料消耗.物料消耗</v>
      </c>
      <c r="H437" t="str">
        <f>IF(ISBLANK(IFERROR(INDEX('2-3 引出列表'!$A$2:$CE$8700,$A437,MATCH(H$1,'2-3 引出列表'!$A$1:$CD$1,0)),"")),"",IFERROR(INDEX('2-3 引出列表'!$A$2:$CE$8700,$A437,MATCH(H$1,'2-3 引出列表'!$A$1:$CD$1,0)),""))</f>
        <v>XHWZ-Z-2024-0076</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FK250630000399</v>
      </c>
      <c r="C438">
        <f>IF(ISBLANK(IFERROR(INDEX('2-3 引出列表'!$A$2:$CE$8700,$A438,MATCH(C$1,'2-3 引出列表'!$A$1:$CD$1,0)),"")),"",IFERROR(INDEX('2-3 引出列表'!$A$2:$CE$8700,$A438,MATCH(C$1,'2-3 引出列表'!$A$1:$CD$1,0)),""))</f>
        <v>11063.49</v>
      </c>
      <c r="D438" t="str">
        <f>IF(ISBLANK(IFERROR(INDEX('2-3 引出列表'!$A$2:$CE$8700,$A438,MATCH(D$1,'2-3 引出列表'!$A$1:$CD$1,0)),"")),"",IFERROR(INDEX('2-3 引出列表'!$A$2:$CE$8700,$A438,MATCH(D$1,'2-3 引出列表'!$A$1:$CD$1,0)),""))</f>
        <v>已提交</v>
      </c>
      <c r="E438" t="str">
        <f>IF(ISBLANK(IFERROR(INDEX('2-3 引出列表'!$A$2:$CE$8700,$A438,MATCH(E$1,'2-3 引出列表'!$A$1:$CD$1,0)),"")),"",IFERROR(INDEX('2-3 引出列表'!$A$2:$CE$8700,$A438,MATCH(E$1,'2-3 引出列表'!$A$1:$CD$1,0)),""))</f>
        <v>2025-06-30</v>
      </c>
      <c r="F438" s="30" t="str">
        <f t="shared" si="6"/>
        <v>2025-06</v>
      </c>
      <c r="G438" t="str">
        <f>IF(ISBLANK(IFERROR(INDEX('2-3 引出列表'!$A$2:$CE$8700,$A438,MATCH(G$1,'2-3 引出列表'!$A$1:$CD$1,0)),"")),"",IFERROR(INDEX('2-3 引出列表'!$A$2:$CE$8700,$A438,MATCH(G$1,'2-3 引出列表'!$A$1:$CD$1,0)),""))</f>
        <v>物料消耗.物料消耗</v>
      </c>
      <c r="H438" t="str">
        <f>IF(ISBLANK(IFERROR(INDEX('2-3 引出列表'!$A$2:$CE$8700,$A438,MATCH(H$1,'2-3 引出列表'!$A$1:$CD$1,0)),"")),"",IFERROR(INDEX('2-3 引出列表'!$A$2:$CE$8700,$A438,MATCH(H$1,'2-3 引出列表'!$A$1:$CD$1,0)),""))</f>
        <v>XHWZ-Z-2024-0076</v>
      </c>
      <c r="I438" t="str">
        <f>IF(ISBLANK(IFERROR(INDEX('2-3 引出列表'!$A$2:$CE$8700,$A438,MATCH(I$1,'2-3 引出列表'!$A$1:$CD$1,0)),"")),"",IFERROR(INDEX('2-3 引出列表'!$A$2:$CE$8700,$A438,MATCH(I$1,'2-3 引出列表'!$A$1:$CD$1,0)),""))</f>
        <v>金采易购</v>
      </c>
    </row>
    <row r="439" spans="1:9">
      <c r="A439">
        <v>438</v>
      </c>
      <c r="B439" t="str">
        <f>IF(ISBLANK(IFERROR(INDEX('2-3 引出列表'!$A$2:$CE$8700,$A439,MATCH(B$1,'2-3 引出列表'!$A$1:$CD$1,0)),"")),"",IFERROR(INDEX('2-3 引出列表'!$A$2:$CE$8700,$A439,MATCH(B$1,'2-3 引出列表'!$A$1:$CD$1,0)),""))</f>
        <v>FK250630000399</v>
      </c>
      <c r="C439">
        <f>IF(ISBLANK(IFERROR(INDEX('2-3 引出列表'!$A$2:$CE$8700,$A439,MATCH(C$1,'2-3 引出列表'!$A$1:$CD$1,0)),"")),"",IFERROR(INDEX('2-3 引出列表'!$A$2:$CE$8700,$A439,MATCH(C$1,'2-3 引出列表'!$A$1:$CD$1,0)),""))</f>
        <v>11063.49</v>
      </c>
      <c r="D439" t="str">
        <f>IF(ISBLANK(IFERROR(INDEX('2-3 引出列表'!$A$2:$CE$8700,$A439,MATCH(D$1,'2-3 引出列表'!$A$1:$CD$1,0)),"")),"",IFERROR(INDEX('2-3 引出列表'!$A$2:$CE$8700,$A439,MATCH(D$1,'2-3 引出列表'!$A$1:$CD$1,0)),""))</f>
        <v>已提交</v>
      </c>
      <c r="E439" t="str">
        <f>IF(ISBLANK(IFERROR(INDEX('2-3 引出列表'!$A$2:$CE$8700,$A439,MATCH(E$1,'2-3 引出列表'!$A$1:$CD$1,0)),"")),"",IFERROR(INDEX('2-3 引出列表'!$A$2:$CE$8700,$A439,MATCH(E$1,'2-3 引出列表'!$A$1:$CD$1,0)),""))</f>
        <v>2025-06-30</v>
      </c>
      <c r="F439" s="30" t="str">
        <f t="shared" si="6"/>
        <v>2025-06</v>
      </c>
      <c r="G439" t="str">
        <f>IF(ISBLANK(IFERROR(INDEX('2-3 引出列表'!$A$2:$CE$8700,$A439,MATCH(G$1,'2-3 引出列表'!$A$1:$CD$1,0)),"")),"",IFERROR(INDEX('2-3 引出列表'!$A$2:$CE$8700,$A439,MATCH(G$1,'2-3 引出列表'!$A$1:$CD$1,0)),""))</f>
        <v>物料消耗.物料消耗</v>
      </c>
      <c r="H439" t="str">
        <f>IF(ISBLANK(IFERROR(INDEX('2-3 引出列表'!$A$2:$CE$8700,$A439,MATCH(H$1,'2-3 引出列表'!$A$1:$CD$1,0)),"")),"",IFERROR(INDEX('2-3 引出列表'!$A$2:$CE$8700,$A439,MATCH(H$1,'2-3 引出列表'!$A$1:$CD$1,0)),""))</f>
        <v>XHWZ-Z-2024-0076</v>
      </c>
      <c r="I439" t="str">
        <f>IF(ISBLANK(IFERROR(INDEX('2-3 引出列表'!$A$2:$CE$8700,$A439,MATCH(I$1,'2-3 引出列表'!$A$1:$CD$1,0)),"")),"",IFERROR(INDEX('2-3 引出列表'!$A$2:$CE$8700,$A439,MATCH(I$1,'2-3 引出列表'!$A$1:$CD$1,0)),""))</f>
        <v>金采易购</v>
      </c>
    </row>
    <row r="440" spans="1:9">
      <c r="A440">
        <v>439</v>
      </c>
      <c r="B440" t="str">
        <f>IF(ISBLANK(IFERROR(INDEX('2-3 引出列表'!$A$2:$CE$8700,$A440,MATCH(B$1,'2-3 引出列表'!$A$1:$CD$1,0)),"")),"",IFERROR(INDEX('2-3 引出列表'!$A$2:$CE$8700,$A440,MATCH(B$1,'2-3 引出列表'!$A$1:$CD$1,0)),""))</f>
        <v>FK250630000351</v>
      </c>
      <c r="C440">
        <f>IF(ISBLANK(IFERROR(INDEX('2-3 引出列表'!$A$2:$CE$8700,$A440,MATCH(C$1,'2-3 引出列表'!$A$1:$CD$1,0)),"")),"",IFERROR(INDEX('2-3 引出列表'!$A$2:$CE$8700,$A440,MATCH(C$1,'2-3 引出列表'!$A$1:$CD$1,0)),""))</f>
        <v>7187.93</v>
      </c>
      <c r="D440" t="str">
        <f>IF(ISBLANK(IFERROR(INDEX('2-3 引出列表'!$A$2:$CE$8700,$A440,MATCH(D$1,'2-3 引出列表'!$A$1:$CD$1,0)),"")),"",IFERROR(INDEX('2-3 引出列表'!$A$2:$CE$8700,$A440,MATCH(D$1,'2-3 引出列表'!$A$1:$CD$1,0)),""))</f>
        <v>已提交</v>
      </c>
      <c r="E440" t="str">
        <f>IF(ISBLANK(IFERROR(INDEX('2-3 引出列表'!$A$2:$CE$8700,$A440,MATCH(E$1,'2-3 引出列表'!$A$1:$CD$1,0)),"")),"",IFERROR(INDEX('2-3 引出列表'!$A$2:$CE$8700,$A440,MATCH(E$1,'2-3 引出列表'!$A$1:$CD$1,0)),""))</f>
        <v>2025-06-30</v>
      </c>
      <c r="F440" s="30" t="str">
        <f t="shared" si="6"/>
        <v>2025-06</v>
      </c>
      <c r="G440" t="str">
        <f>IF(ISBLANK(IFERROR(INDEX('2-3 引出列表'!$A$2:$CE$8700,$A440,MATCH(G$1,'2-3 引出列表'!$A$1:$CD$1,0)),"")),"",IFERROR(INDEX('2-3 引出列表'!$A$2:$CE$8700,$A440,MATCH(G$1,'2-3 引出列表'!$A$1:$CD$1,0)),""))</f>
        <v>物料消耗.物料消耗</v>
      </c>
      <c r="H440">
        <f>IF(ISBLANK(IFERROR(INDEX('2-3 引出列表'!$A$2:$CE$8700,$A440,MATCH(H$1,'2-3 引出列表'!$A$1:$CD$1,0)),"")),"",IFERROR(INDEX('2-3 引出列表'!$A$2:$CE$8700,$A440,MATCH(H$1,'2-3 引出列表'!$A$1:$CD$1,0)),""))</f>
        <v>0</v>
      </c>
      <c r="I440" t="str">
        <f>IF(ISBLANK(IFERROR(INDEX('2-3 引出列表'!$A$2:$CE$8700,$A440,MATCH(I$1,'2-3 引出列表'!$A$1:$CD$1,0)),"")),"",IFERROR(INDEX('2-3 引出列表'!$A$2:$CE$8700,$A440,MATCH(I$1,'2-3 引出列表'!$A$1:$CD$1,0)),""))</f>
        <v>金采易购</v>
      </c>
    </row>
    <row r="441" spans="1:9">
      <c r="A441">
        <v>440</v>
      </c>
      <c r="B441" t="str">
        <f>IF(ISBLANK(IFERROR(INDEX('2-3 引出列表'!$A$2:$CE$8700,$A441,MATCH(B$1,'2-3 引出列表'!$A$1:$CD$1,0)),"")),"",IFERROR(INDEX('2-3 引出列表'!$A$2:$CE$8700,$A441,MATCH(B$1,'2-3 引出列表'!$A$1:$CD$1,0)),""))</f>
        <v>FK250630000281</v>
      </c>
      <c r="C441">
        <f>IF(ISBLANK(IFERROR(INDEX('2-3 引出列表'!$A$2:$CE$8700,$A441,MATCH(C$1,'2-3 引出列表'!$A$1:$CD$1,0)),"")),"",IFERROR(INDEX('2-3 引出列表'!$A$2:$CE$8700,$A441,MATCH(C$1,'2-3 引出列表'!$A$1:$CD$1,0)),""))</f>
        <v>184000</v>
      </c>
      <c r="D441" t="str">
        <f>IF(ISBLANK(IFERROR(INDEX('2-3 引出列表'!$A$2:$CE$8700,$A441,MATCH(D$1,'2-3 引出列表'!$A$1:$CD$1,0)),"")),"",IFERROR(INDEX('2-3 引出列表'!$A$2:$CE$8700,$A441,MATCH(D$1,'2-3 引出列表'!$A$1:$CD$1,0)),""))</f>
        <v>已提交</v>
      </c>
      <c r="E441" t="str">
        <f>IF(ISBLANK(IFERROR(INDEX('2-3 引出列表'!$A$2:$CE$8700,$A441,MATCH(E$1,'2-3 引出列表'!$A$1:$CD$1,0)),"")),"",IFERROR(INDEX('2-3 引出列表'!$A$2:$CE$8700,$A441,MATCH(E$1,'2-3 引出列表'!$A$1:$CD$1,0)),""))</f>
        <v>2025-06-30</v>
      </c>
      <c r="F441" s="30" t="str">
        <f t="shared" si="6"/>
        <v>2025-06</v>
      </c>
      <c r="G441" t="str">
        <f>IF(ISBLANK(IFERROR(INDEX('2-3 引出列表'!$A$2:$CE$8700,$A441,MATCH(G$1,'2-3 引出列表'!$A$1:$CD$1,0)),"")),"",IFERROR(INDEX('2-3 引出列表'!$A$2:$CE$8700,$A441,MATCH(G$1,'2-3 引出列表'!$A$1:$CD$1,0)),""))</f>
        <v>外包服务费.保洁外包</v>
      </c>
      <c r="H441" t="str">
        <f>IF(ISBLANK(IFERROR(INDEX('2-3 引出列表'!$A$2:$CE$8700,$A441,MATCH(H$1,'2-3 引出列表'!$A$1:$CD$1,0)),"")),"",IFERROR(INDEX('2-3 引出列表'!$A$2:$CE$8700,$A441,MATCH(H$1,'2-3 引出列表'!$A$1:$CD$1,0)),""))</f>
        <v>HJFW-Z-2025-01069</v>
      </c>
      <c r="I441" t="str">
        <f>IF(ISBLANK(IFERROR(INDEX('2-3 引出列表'!$A$2:$CE$8700,$A441,MATCH(I$1,'2-3 引出列表'!$A$1:$CD$1,0)),"")),"",IFERROR(INDEX('2-3 引出列表'!$A$2:$CE$8700,$A441,MATCH(I$1,'2-3 引出列表'!$A$1:$CD$1,0)),""))</f>
        <v>金采易购</v>
      </c>
    </row>
    <row r="442" spans="1:9">
      <c r="A442">
        <v>441</v>
      </c>
      <c r="B442" t="str">
        <f>IF(ISBLANK(IFERROR(INDEX('2-3 引出列表'!$A$2:$CE$8700,$A442,MATCH(B$1,'2-3 引出列表'!$A$1:$CD$1,0)),"")),"",IFERROR(INDEX('2-3 引出列表'!$A$2:$CE$8700,$A442,MATCH(B$1,'2-3 引出列表'!$A$1:$CD$1,0)),""))</f>
        <v>FK250630000167</v>
      </c>
      <c r="C442">
        <f>IF(ISBLANK(IFERROR(INDEX('2-3 引出列表'!$A$2:$CE$8700,$A442,MATCH(C$1,'2-3 引出列表'!$A$1:$CD$1,0)),"")),"",IFERROR(INDEX('2-3 引出列表'!$A$2:$CE$8700,$A442,MATCH(C$1,'2-3 引出列表'!$A$1:$CD$1,0)),""))</f>
        <v>31840.8</v>
      </c>
      <c r="D442" t="str">
        <f>IF(ISBLANK(IFERROR(INDEX('2-3 引出列表'!$A$2:$CE$8700,$A442,MATCH(D$1,'2-3 引出列表'!$A$1:$CD$1,0)),"")),"",IFERROR(INDEX('2-3 引出列表'!$A$2:$CE$8700,$A442,MATCH(D$1,'2-3 引出列表'!$A$1:$CD$1,0)),""))</f>
        <v>已提交</v>
      </c>
      <c r="E442" t="str">
        <f>IF(ISBLANK(IFERROR(INDEX('2-3 引出列表'!$A$2:$CE$8700,$A442,MATCH(E$1,'2-3 引出列表'!$A$1:$CD$1,0)),"")),"",IFERROR(INDEX('2-3 引出列表'!$A$2:$CE$8700,$A442,MATCH(E$1,'2-3 引出列表'!$A$1:$CD$1,0)),""))</f>
        <v>2025-06-30</v>
      </c>
      <c r="F442" s="30" t="str">
        <f t="shared" si="6"/>
        <v>2025-06</v>
      </c>
      <c r="G442" t="str">
        <f>IF(ISBLANK(IFERROR(INDEX('2-3 引出列表'!$A$2:$CE$8700,$A442,MATCH(G$1,'2-3 引出列表'!$A$1:$CD$1,0)),"")),"",IFERROR(INDEX('2-3 引出列表'!$A$2:$CE$8700,$A442,MATCH(G$1,'2-3 引出列表'!$A$1:$CD$1,0)),""))</f>
        <v>物料消耗.物料消耗</v>
      </c>
      <c r="H442">
        <f>IF(ISBLANK(IFERROR(INDEX('2-3 引出列表'!$A$2:$CE$8700,$A442,MATCH(H$1,'2-3 引出列表'!$A$1:$CD$1,0)),"")),"",IFERROR(INDEX('2-3 引出列表'!$A$2:$CE$8700,$A442,MATCH(H$1,'2-3 引出列表'!$A$1:$CD$1,0)),""))</f>
        <v>0</v>
      </c>
      <c r="I442" t="str">
        <f>IF(ISBLANK(IFERROR(INDEX('2-3 引出列表'!$A$2:$CE$8700,$A442,MATCH(I$1,'2-3 引出列表'!$A$1:$CD$1,0)),"")),"",IFERROR(INDEX('2-3 引出列表'!$A$2:$CE$8700,$A442,MATCH(I$1,'2-3 引出列表'!$A$1:$CD$1,0)),""))</f>
        <v>金采易购</v>
      </c>
    </row>
    <row r="443" spans="1:9">
      <c r="A443">
        <v>442</v>
      </c>
      <c r="B443" t="str">
        <f>IF(ISBLANK(IFERROR(INDEX('2-3 引出列表'!$A$2:$CE$8700,$A443,MATCH(B$1,'2-3 引出列表'!$A$1:$CD$1,0)),"")),"",IFERROR(INDEX('2-3 引出列表'!$A$2:$CE$8700,$A443,MATCH(B$1,'2-3 引出列表'!$A$1:$CD$1,0)),""))</f>
        <v>FK250630000146</v>
      </c>
      <c r="C443">
        <f>IF(ISBLANK(IFERROR(INDEX('2-3 引出列表'!$A$2:$CE$8700,$A443,MATCH(C$1,'2-3 引出列表'!$A$1:$CD$1,0)),"")),"",IFERROR(INDEX('2-3 引出列表'!$A$2:$CE$8700,$A443,MATCH(C$1,'2-3 引出列表'!$A$1:$CD$1,0)),""))</f>
        <v>32300</v>
      </c>
      <c r="D443" t="str">
        <f>IF(ISBLANK(IFERROR(INDEX('2-3 引出列表'!$A$2:$CE$8700,$A443,MATCH(D$1,'2-3 引出列表'!$A$1:$CD$1,0)),"")),"",IFERROR(INDEX('2-3 引出列表'!$A$2:$CE$8700,$A443,MATCH(D$1,'2-3 引出列表'!$A$1:$CD$1,0)),""))</f>
        <v>已提交</v>
      </c>
      <c r="E443" t="str">
        <f>IF(ISBLANK(IFERROR(INDEX('2-3 引出列表'!$A$2:$CE$8700,$A443,MATCH(E$1,'2-3 引出列表'!$A$1:$CD$1,0)),"")),"",IFERROR(INDEX('2-3 引出列表'!$A$2:$CE$8700,$A443,MATCH(E$1,'2-3 引出列表'!$A$1:$CD$1,0)),""))</f>
        <v>2025-06-30</v>
      </c>
      <c r="F443" s="30" t="str">
        <f t="shared" si="6"/>
        <v>2025-06</v>
      </c>
      <c r="G443" t="str">
        <f>IF(ISBLANK(IFERROR(INDEX('2-3 引出列表'!$A$2:$CE$8700,$A443,MATCH(G$1,'2-3 引出列表'!$A$1:$CD$1,0)),"")),"",IFERROR(INDEX('2-3 引出列表'!$A$2:$CE$8700,$A443,MATCH(G$1,'2-3 引出列表'!$A$1:$CD$1,0)),""))</f>
        <v>物料消耗.物料消耗</v>
      </c>
      <c r="H443">
        <f>IF(ISBLANK(IFERROR(INDEX('2-3 引出列表'!$A$2:$CE$8700,$A443,MATCH(H$1,'2-3 引出列表'!$A$1:$CD$1,0)),"")),"",IFERROR(INDEX('2-3 引出列表'!$A$2:$CE$8700,$A443,MATCH(H$1,'2-3 引出列表'!$A$1:$CD$1,0)),""))</f>
        <v>0</v>
      </c>
      <c r="I443" t="str">
        <f>IF(ISBLANK(IFERROR(INDEX('2-3 引出列表'!$A$2:$CE$8700,$A443,MATCH(I$1,'2-3 引出列表'!$A$1:$CD$1,0)),"")),"",IFERROR(INDEX('2-3 引出列表'!$A$2:$CE$8700,$A443,MATCH(I$1,'2-3 引出列表'!$A$1:$CD$1,0)),""))</f>
        <v>金采易购</v>
      </c>
    </row>
    <row r="444" spans="1:9">
      <c r="A444">
        <v>443</v>
      </c>
      <c r="B444" t="str">
        <f>IF(ISBLANK(IFERROR(INDEX('2-3 引出列表'!$A$2:$CE$8700,$A444,MATCH(B$1,'2-3 引出列表'!$A$1:$CD$1,0)),"")),"",IFERROR(INDEX('2-3 引出列表'!$A$2:$CE$8700,$A444,MATCH(B$1,'2-3 引出列表'!$A$1:$CD$1,0)),""))</f>
        <v>FK250630000118</v>
      </c>
      <c r="C444">
        <f>IF(ISBLANK(IFERROR(INDEX('2-3 引出列表'!$A$2:$CE$8700,$A444,MATCH(C$1,'2-3 引出列表'!$A$1:$CD$1,0)),"")),"",IFERROR(INDEX('2-3 引出列表'!$A$2:$CE$8700,$A444,MATCH(C$1,'2-3 引出列表'!$A$1:$CD$1,0)),""))</f>
        <v>19200</v>
      </c>
      <c r="D444" t="str">
        <f>IF(ISBLANK(IFERROR(INDEX('2-3 引出列表'!$A$2:$CE$8700,$A444,MATCH(D$1,'2-3 引出列表'!$A$1:$CD$1,0)),"")),"",IFERROR(INDEX('2-3 引出列表'!$A$2:$CE$8700,$A444,MATCH(D$1,'2-3 引出列表'!$A$1:$CD$1,0)),""))</f>
        <v>已提交</v>
      </c>
      <c r="E444" t="str">
        <f>IF(ISBLANK(IFERROR(INDEX('2-3 引出列表'!$A$2:$CE$8700,$A444,MATCH(E$1,'2-3 引出列表'!$A$1:$CD$1,0)),"")),"",IFERROR(INDEX('2-3 引出列表'!$A$2:$CE$8700,$A444,MATCH(E$1,'2-3 引出列表'!$A$1:$CD$1,0)),""))</f>
        <v>2025-06-30</v>
      </c>
      <c r="F444" s="30" t="str">
        <f t="shared" si="6"/>
        <v>2025-06</v>
      </c>
      <c r="G444" t="str">
        <f>IF(ISBLANK(IFERROR(INDEX('2-3 引出列表'!$A$2:$CE$8700,$A444,MATCH(G$1,'2-3 引出列表'!$A$1:$CD$1,0)),"")),"",IFERROR(INDEX('2-3 引出列表'!$A$2:$CE$8700,$A444,MATCH(G$1,'2-3 引出列表'!$A$1:$CD$1,0)),""))</f>
        <v>物料消耗.物料消耗</v>
      </c>
      <c r="H444">
        <f>IF(ISBLANK(IFERROR(INDEX('2-3 引出列表'!$A$2:$CE$8700,$A444,MATCH(H$1,'2-3 引出列表'!$A$1:$CD$1,0)),"")),"",IFERROR(INDEX('2-3 引出列表'!$A$2:$CE$8700,$A444,MATCH(H$1,'2-3 引出列表'!$A$1:$CD$1,0)),""))</f>
        <v>0</v>
      </c>
      <c r="I444" t="str">
        <f>IF(ISBLANK(IFERROR(INDEX('2-3 引出列表'!$A$2:$CE$8700,$A444,MATCH(I$1,'2-3 引出列表'!$A$1:$CD$1,0)),"")),"",IFERROR(INDEX('2-3 引出列表'!$A$2:$CE$8700,$A444,MATCH(I$1,'2-3 引出列表'!$A$1:$CD$1,0)),""))</f>
        <v>金采易购</v>
      </c>
    </row>
    <row r="445" spans="1:9">
      <c r="A445">
        <v>444</v>
      </c>
      <c r="B445" t="str">
        <f>IF(ISBLANK(IFERROR(INDEX('2-3 引出列表'!$A$2:$CE$8700,$A445,MATCH(B$1,'2-3 引出列表'!$A$1:$CD$1,0)),"")),"",IFERROR(INDEX('2-3 引出列表'!$A$2:$CE$8700,$A445,MATCH(B$1,'2-3 引出列表'!$A$1:$CD$1,0)),""))</f>
        <v>FK250628000196</v>
      </c>
      <c r="C445">
        <f>IF(ISBLANK(IFERROR(INDEX('2-3 引出列表'!$A$2:$CE$8700,$A445,MATCH(C$1,'2-3 引出列表'!$A$1:$CD$1,0)),"")),"",IFERROR(INDEX('2-3 引出列表'!$A$2:$CE$8700,$A445,MATCH(C$1,'2-3 引出列表'!$A$1:$CD$1,0)),""))</f>
        <v>2520</v>
      </c>
      <c r="D445" t="str">
        <f>IF(ISBLANK(IFERROR(INDEX('2-3 引出列表'!$A$2:$CE$8700,$A445,MATCH(D$1,'2-3 引出列表'!$A$1:$CD$1,0)),"")),"",IFERROR(INDEX('2-3 引出列表'!$A$2:$CE$8700,$A445,MATCH(D$1,'2-3 引出列表'!$A$1:$CD$1,0)),""))</f>
        <v>已提交</v>
      </c>
      <c r="E445" t="str">
        <f>IF(ISBLANK(IFERROR(INDEX('2-3 引出列表'!$A$2:$CE$8700,$A445,MATCH(E$1,'2-3 引出列表'!$A$1:$CD$1,0)),"")),"",IFERROR(INDEX('2-3 引出列表'!$A$2:$CE$8700,$A445,MATCH(E$1,'2-3 引出列表'!$A$1:$CD$1,0)),""))</f>
        <v>2025-06-28</v>
      </c>
      <c r="F445" s="30" t="str">
        <f t="shared" si="6"/>
        <v>2025-06</v>
      </c>
      <c r="G445" t="str">
        <f>IF(ISBLANK(IFERROR(INDEX('2-3 引出列表'!$A$2:$CE$8700,$A445,MATCH(G$1,'2-3 引出列表'!$A$1:$CD$1,0)),"")),"",IFERROR(INDEX('2-3 引出列表'!$A$2:$CE$8700,$A445,MATCH(G$1,'2-3 引出列表'!$A$1:$CD$1,0)),""))</f>
        <v>物料消耗.物料消耗</v>
      </c>
      <c r="H445" t="str">
        <f>IF(ISBLANK(IFERROR(INDEX('2-3 引出列表'!$A$2:$CE$8700,$A445,MATCH(H$1,'2-3 引出列表'!$A$1:$CD$1,0)),"")),"",IFERROR(INDEX('2-3 引出列表'!$A$2:$CE$8700,$A445,MATCH(H$1,'2-3 引出列表'!$A$1:$CD$1,0)),""))</f>
        <v>XHWZ-Z-2024-0232</v>
      </c>
      <c r="I445" t="str">
        <f>IF(ISBLANK(IFERROR(INDEX('2-3 引出列表'!$A$2:$CE$8700,$A445,MATCH(I$1,'2-3 引出列表'!$A$1:$CD$1,0)),"")),"",IFERROR(INDEX('2-3 引出列表'!$A$2:$CE$8700,$A445,MATCH(I$1,'2-3 引出列表'!$A$1:$CD$1,0)),""))</f>
        <v>金采易购</v>
      </c>
    </row>
    <row r="446" spans="1:9">
      <c r="A446">
        <v>445</v>
      </c>
      <c r="B446" t="str">
        <f>IF(ISBLANK(IFERROR(INDEX('2-3 引出列表'!$A$2:$CE$8700,$A446,MATCH(B$1,'2-3 引出列表'!$A$1:$CD$1,0)),"")),"",IFERROR(INDEX('2-3 引出列表'!$A$2:$CE$8700,$A446,MATCH(B$1,'2-3 引出列表'!$A$1:$CD$1,0)),""))</f>
        <v>FK250628000196</v>
      </c>
      <c r="C446">
        <f>IF(ISBLANK(IFERROR(INDEX('2-3 引出列表'!$A$2:$CE$8700,$A446,MATCH(C$1,'2-3 引出列表'!$A$1:$CD$1,0)),"")),"",IFERROR(INDEX('2-3 引出列表'!$A$2:$CE$8700,$A446,MATCH(C$1,'2-3 引出列表'!$A$1:$CD$1,0)),""))</f>
        <v>2520</v>
      </c>
      <c r="D446" t="str">
        <f>IF(ISBLANK(IFERROR(INDEX('2-3 引出列表'!$A$2:$CE$8700,$A446,MATCH(D$1,'2-3 引出列表'!$A$1:$CD$1,0)),"")),"",IFERROR(INDEX('2-3 引出列表'!$A$2:$CE$8700,$A446,MATCH(D$1,'2-3 引出列表'!$A$1:$CD$1,0)),""))</f>
        <v>已提交</v>
      </c>
      <c r="E446" t="str">
        <f>IF(ISBLANK(IFERROR(INDEX('2-3 引出列表'!$A$2:$CE$8700,$A446,MATCH(E$1,'2-3 引出列表'!$A$1:$CD$1,0)),"")),"",IFERROR(INDEX('2-3 引出列表'!$A$2:$CE$8700,$A446,MATCH(E$1,'2-3 引出列表'!$A$1:$CD$1,0)),""))</f>
        <v>2025-06-28</v>
      </c>
      <c r="F446" s="30" t="str">
        <f t="shared" si="6"/>
        <v>2025-06</v>
      </c>
      <c r="G446" t="str">
        <f>IF(ISBLANK(IFERROR(INDEX('2-3 引出列表'!$A$2:$CE$8700,$A446,MATCH(G$1,'2-3 引出列表'!$A$1:$CD$1,0)),"")),"",IFERROR(INDEX('2-3 引出列表'!$A$2:$CE$8700,$A446,MATCH(G$1,'2-3 引出列表'!$A$1:$CD$1,0)),""))</f>
        <v>物料消耗.物料消耗</v>
      </c>
      <c r="H446" t="str">
        <f>IF(ISBLANK(IFERROR(INDEX('2-3 引出列表'!$A$2:$CE$8700,$A446,MATCH(H$1,'2-3 引出列表'!$A$1:$CD$1,0)),"")),"",IFERROR(INDEX('2-3 引出列表'!$A$2:$CE$8700,$A446,MATCH(H$1,'2-3 引出列表'!$A$1:$CD$1,0)),""))</f>
        <v>XHWZ-Z-2024-0232</v>
      </c>
      <c r="I446" t="str">
        <f>IF(ISBLANK(IFERROR(INDEX('2-3 引出列表'!$A$2:$CE$8700,$A446,MATCH(I$1,'2-3 引出列表'!$A$1:$CD$1,0)),"")),"",IFERROR(INDEX('2-3 引出列表'!$A$2:$CE$8700,$A446,MATCH(I$1,'2-3 引出列表'!$A$1:$CD$1,0)),""))</f>
        <v>金采易购</v>
      </c>
    </row>
    <row r="447" spans="1:9">
      <c r="A447">
        <v>446</v>
      </c>
      <c r="B447" t="str">
        <f>IF(ISBLANK(IFERROR(INDEX('2-3 引出列表'!$A$2:$CE$8700,$A447,MATCH(B$1,'2-3 引出列表'!$A$1:$CD$1,0)),"")),"",IFERROR(INDEX('2-3 引出列表'!$A$2:$CE$8700,$A447,MATCH(B$1,'2-3 引出列表'!$A$1:$CD$1,0)),""))</f>
        <v>FK250628000194</v>
      </c>
      <c r="C447">
        <f>IF(ISBLANK(IFERROR(INDEX('2-3 引出列表'!$A$2:$CE$8700,$A447,MATCH(C$1,'2-3 引出列表'!$A$1:$CD$1,0)),"")),"",IFERROR(INDEX('2-3 引出列表'!$A$2:$CE$8700,$A447,MATCH(C$1,'2-3 引出列表'!$A$1:$CD$1,0)),""))</f>
        <v>14250</v>
      </c>
      <c r="D447" t="str">
        <f>IF(ISBLANK(IFERROR(INDEX('2-3 引出列表'!$A$2:$CE$8700,$A447,MATCH(D$1,'2-3 引出列表'!$A$1:$CD$1,0)),"")),"",IFERROR(INDEX('2-3 引出列表'!$A$2:$CE$8700,$A447,MATCH(D$1,'2-3 引出列表'!$A$1:$CD$1,0)),""))</f>
        <v>已提交</v>
      </c>
      <c r="E447" t="str">
        <f>IF(ISBLANK(IFERROR(INDEX('2-3 引出列表'!$A$2:$CE$8700,$A447,MATCH(E$1,'2-3 引出列表'!$A$1:$CD$1,0)),"")),"",IFERROR(INDEX('2-3 引出列表'!$A$2:$CE$8700,$A447,MATCH(E$1,'2-3 引出列表'!$A$1:$CD$1,0)),""))</f>
        <v>2025-06-28</v>
      </c>
      <c r="F447" s="30" t="str">
        <f t="shared" si="6"/>
        <v>2025-06</v>
      </c>
      <c r="G447" t="str">
        <f>IF(ISBLANK(IFERROR(INDEX('2-3 引出列表'!$A$2:$CE$8700,$A447,MATCH(G$1,'2-3 引出列表'!$A$1:$CD$1,0)),"")),"",IFERROR(INDEX('2-3 引出列表'!$A$2:$CE$8700,$A447,MATCH(G$1,'2-3 引出列表'!$A$1:$CD$1,0)),""))</f>
        <v>物料消耗.物料消耗</v>
      </c>
      <c r="H447">
        <f>IF(ISBLANK(IFERROR(INDEX('2-3 引出列表'!$A$2:$CE$8700,$A447,MATCH(H$1,'2-3 引出列表'!$A$1:$CD$1,0)),"")),"",IFERROR(INDEX('2-3 引出列表'!$A$2:$CE$8700,$A447,MATCH(H$1,'2-3 引出列表'!$A$1:$CD$1,0)),""))</f>
        <v>0</v>
      </c>
      <c r="I447" t="str">
        <f>IF(ISBLANK(IFERROR(INDEX('2-3 引出列表'!$A$2:$CE$8700,$A447,MATCH(I$1,'2-3 引出列表'!$A$1:$CD$1,0)),"")),"",IFERROR(INDEX('2-3 引出列表'!$A$2:$CE$8700,$A447,MATCH(I$1,'2-3 引出列表'!$A$1:$CD$1,0)),""))</f>
        <v>金采易购</v>
      </c>
    </row>
    <row r="448" spans="1:9">
      <c r="A448">
        <v>447</v>
      </c>
      <c r="B448" t="str">
        <f>IF(ISBLANK(IFERROR(INDEX('2-3 引出列表'!$A$2:$CE$8700,$A448,MATCH(B$1,'2-3 引出列表'!$A$1:$CD$1,0)),"")),"",IFERROR(INDEX('2-3 引出列表'!$A$2:$CE$8700,$A448,MATCH(B$1,'2-3 引出列表'!$A$1:$CD$1,0)),""))</f>
        <v>FK250628000192</v>
      </c>
      <c r="C448">
        <f>IF(ISBLANK(IFERROR(INDEX('2-3 引出列表'!$A$2:$CE$8700,$A448,MATCH(C$1,'2-3 引出列表'!$A$1:$CD$1,0)),"")),"",IFERROR(INDEX('2-3 引出列表'!$A$2:$CE$8700,$A448,MATCH(C$1,'2-3 引出列表'!$A$1:$CD$1,0)),""))</f>
        <v>3028.4</v>
      </c>
      <c r="D448" t="str">
        <f>IF(ISBLANK(IFERROR(INDEX('2-3 引出列表'!$A$2:$CE$8700,$A448,MATCH(D$1,'2-3 引出列表'!$A$1:$CD$1,0)),"")),"",IFERROR(INDEX('2-3 引出列表'!$A$2:$CE$8700,$A448,MATCH(D$1,'2-3 引出列表'!$A$1:$CD$1,0)),""))</f>
        <v>已提交</v>
      </c>
      <c r="E448" t="str">
        <f>IF(ISBLANK(IFERROR(INDEX('2-3 引出列表'!$A$2:$CE$8700,$A448,MATCH(E$1,'2-3 引出列表'!$A$1:$CD$1,0)),"")),"",IFERROR(INDEX('2-3 引出列表'!$A$2:$CE$8700,$A448,MATCH(E$1,'2-3 引出列表'!$A$1:$CD$1,0)),""))</f>
        <v>2025-06-28</v>
      </c>
      <c r="F448" s="30" t="str">
        <f t="shared" si="6"/>
        <v>2025-06</v>
      </c>
      <c r="G448" t="str">
        <f>IF(ISBLANK(IFERROR(INDEX('2-3 引出列表'!$A$2:$CE$8700,$A448,MATCH(G$1,'2-3 引出列表'!$A$1:$CD$1,0)),"")),"",IFERROR(INDEX('2-3 引出列表'!$A$2:$CE$8700,$A448,MATCH(G$1,'2-3 引出列表'!$A$1:$CD$1,0)),""))</f>
        <v>物料消耗.物料消耗</v>
      </c>
      <c r="H448" t="str">
        <f>IF(ISBLANK(IFERROR(INDEX('2-3 引出列表'!$A$2:$CE$8700,$A448,MATCH(H$1,'2-3 引出列表'!$A$1:$CD$1,0)),"")),"",IFERROR(INDEX('2-3 引出列表'!$A$2:$CE$8700,$A448,MATCH(H$1,'2-3 引出列表'!$A$1:$CD$1,0)),""))</f>
        <v>XHWZ-Z-2024-0138</v>
      </c>
      <c r="I448" t="str">
        <f>IF(ISBLANK(IFERROR(INDEX('2-3 引出列表'!$A$2:$CE$8700,$A448,MATCH(I$1,'2-3 引出列表'!$A$1:$CD$1,0)),"")),"",IFERROR(INDEX('2-3 引出列表'!$A$2:$CE$8700,$A448,MATCH(I$1,'2-3 引出列表'!$A$1:$CD$1,0)),""))</f>
        <v>金采易购</v>
      </c>
    </row>
    <row r="449" spans="1:9">
      <c r="A449">
        <v>448</v>
      </c>
      <c r="B449" t="str">
        <f>IF(ISBLANK(IFERROR(INDEX('2-3 引出列表'!$A$2:$CE$8700,$A449,MATCH(B$1,'2-3 引出列表'!$A$1:$CD$1,0)),"")),"",IFERROR(INDEX('2-3 引出列表'!$A$2:$CE$8700,$A449,MATCH(B$1,'2-3 引出列表'!$A$1:$CD$1,0)),""))</f>
        <v>FK250628000192</v>
      </c>
      <c r="C449">
        <f>IF(ISBLANK(IFERROR(INDEX('2-3 引出列表'!$A$2:$CE$8700,$A449,MATCH(C$1,'2-3 引出列表'!$A$1:$CD$1,0)),"")),"",IFERROR(INDEX('2-3 引出列表'!$A$2:$CE$8700,$A449,MATCH(C$1,'2-3 引出列表'!$A$1:$CD$1,0)),""))</f>
        <v>3028.4</v>
      </c>
      <c r="D449" t="str">
        <f>IF(ISBLANK(IFERROR(INDEX('2-3 引出列表'!$A$2:$CE$8700,$A449,MATCH(D$1,'2-3 引出列表'!$A$1:$CD$1,0)),"")),"",IFERROR(INDEX('2-3 引出列表'!$A$2:$CE$8700,$A449,MATCH(D$1,'2-3 引出列表'!$A$1:$CD$1,0)),""))</f>
        <v>已提交</v>
      </c>
      <c r="E449" t="str">
        <f>IF(ISBLANK(IFERROR(INDEX('2-3 引出列表'!$A$2:$CE$8700,$A449,MATCH(E$1,'2-3 引出列表'!$A$1:$CD$1,0)),"")),"",IFERROR(INDEX('2-3 引出列表'!$A$2:$CE$8700,$A449,MATCH(E$1,'2-3 引出列表'!$A$1:$CD$1,0)),""))</f>
        <v>2025-06-28</v>
      </c>
      <c r="F449" s="30" t="str">
        <f t="shared" si="6"/>
        <v>2025-06</v>
      </c>
      <c r="G449" t="str">
        <f>IF(ISBLANK(IFERROR(INDEX('2-3 引出列表'!$A$2:$CE$8700,$A449,MATCH(G$1,'2-3 引出列表'!$A$1:$CD$1,0)),"")),"",IFERROR(INDEX('2-3 引出列表'!$A$2:$CE$8700,$A449,MATCH(G$1,'2-3 引出列表'!$A$1:$CD$1,0)),""))</f>
        <v>物料消耗.物料消耗</v>
      </c>
      <c r="H449" t="str">
        <f>IF(ISBLANK(IFERROR(INDEX('2-3 引出列表'!$A$2:$CE$8700,$A449,MATCH(H$1,'2-3 引出列表'!$A$1:$CD$1,0)),"")),"",IFERROR(INDEX('2-3 引出列表'!$A$2:$CE$8700,$A449,MATCH(H$1,'2-3 引出列表'!$A$1:$CD$1,0)),""))</f>
        <v>XHWZ-Z-2024-0138</v>
      </c>
      <c r="I449" t="str">
        <f>IF(ISBLANK(IFERROR(INDEX('2-3 引出列表'!$A$2:$CE$8700,$A449,MATCH(I$1,'2-3 引出列表'!$A$1:$CD$1,0)),"")),"",IFERROR(INDEX('2-3 引出列表'!$A$2:$CE$8700,$A449,MATCH(I$1,'2-3 引出列表'!$A$1:$CD$1,0)),""))</f>
        <v>金采易购</v>
      </c>
    </row>
    <row r="450" spans="1:9">
      <c r="A450">
        <v>449</v>
      </c>
      <c r="B450" t="str">
        <f>IF(ISBLANK(IFERROR(INDEX('2-3 引出列表'!$A$2:$CE$8700,$A450,MATCH(B$1,'2-3 引出列表'!$A$1:$CD$1,0)),"")),"",IFERROR(INDEX('2-3 引出列表'!$A$2:$CE$8700,$A450,MATCH(B$1,'2-3 引出列表'!$A$1:$CD$1,0)),""))</f>
        <v>FK250628000192</v>
      </c>
      <c r="C450">
        <f>IF(ISBLANK(IFERROR(INDEX('2-3 引出列表'!$A$2:$CE$8700,$A450,MATCH(C$1,'2-3 引出列表'!$A$1:$CD$1,0)),"")),"",IFERROR(INDEX('2-3 引出列表'!$A$2:$CE$8700,$A450,MATCH(C$1,'2-3 引出列表'!$A$1:$CD$1,0)),""))</f>
        <v>3028.4</v>
      </c>
      <c r="D450" t="str">
        <f>IF(ISBLANK(IFERROR(INDEX('2-3 引出列表'!$A$2:$CE$8700,$A450,MATCH(D$1,'2-3 引出列表'!$A$1:$CD$1,0)),"")),"",IFERROR(INDEX('2-3 引出列表'!$A$2:$CE$8700,$A450,MATCH(D$1,'2-3 引出列表'!$A$1:$CD$1,0)),""))</f>
        <v>已提交</v>
      </c>
      <c r="E450" t="str">
        <f>IF(ISBLANK(IFERROR(INDEX('2-3 引出列表'!$A$2:$CE$8700,$A450,MATCH(E$1,'2-3 引出列表'!$A$1:$CD$1,0)),"")),"",IFERROR(INDEX('2-3 引出列表'!$A$2:$CE$8700,$A450,MATCH(E$1,'2-3 引出列表'!$A$1:$CD$1,0)),""))</f>
        <v>2025-06-28</v>
      </c>
      <c r="F450" s="30" t="str">
        <f t="shared" si="6"/>
        <v>2025-06</v>
      </c>
      <c r="G450" t="str">
        <f>IF(ISBLANK(IFERROR(INDEX('2-3 引出列表'!$A$2:$CE$8700,$A450,MATCH(G$1,'2-3 引出列表'!$A$1:$CD$1,0)),"")),"",IFERROR(INDEX('2-3 引出列表'!$A$2:$CE$8700,$A450,MATCH(G$1,'2-3 引出列表'!$A$1:$CD$1,0)),""))</f>
        <v>物料消耗.物料消耗</v>
      </c>
      <c r="H450" t="str">
        <f>IF(ISBLANK(IFERROR(INDEX('2-3 引出列表'!$A$2:$CE$8700,$A450,MATCH(H$1,'2-3 引出列表'!$A$1:$CD$1,0)),"")),"",IFERROR(INDEX('2-3 引出列表'!$A$2:$CE$8700,$A450,MATCH(H$1,'2-3 引出列表'!$A$1:$CD$1,0)),""))</f>
        <v>XHWZ-Z-2024-0138</v>
      </c>
      <c r="I450" t="str">
        <f>IF(ISBLANK(IFERROR(INDEX('2-3 引出列表'!$A$2:$CE$8700,$A450,MATCH(I$1,'2-3 引出列表'!$A$1:$CD$1,0)),"")),"",IFERROR(INDEX('2-3 引出列表'!$A$2:$CE$8700,$A450,MATCH(I$1,'2-3 引出列表'!$A$1:$CD$1,0)),""))</f>
        <v>金采易购</v>
      </c>
    </row>
    <row r="451" spans="1:9">
      <c r="A451">
        <v>450</v>
      </c>
      <c r="B451" t="str">
        <f>IF(ISBLANK(IFERROR(INDEX('2-3 引出列表'!$A$2:$CE$8700,$A451,MATCH(B$1,'2-3 引出列表'!$A$1:$CD$1,0)),"")),"",IFERROR(INDEX('2-3 引出列表'!$A$2:$CE$8700,$A451,MATCH(B$1,'2-3 引出列表'!$A$1:$CD$1,0)),""))</f>
        <v>FK250628000192</v>
      </c>
      <c r="C451">
        <f>IF(ISBLANK(IFERROR(INDEX('2-3 引出列表'!$A$2:$CE$8700,$A451,MATCH(C$1,'2-3 引出列表'!$A$1:$CD$1,0)),"")),"",IFERROR(INDEX('2-3 引出列表'!$A$2:$CE$8700,$A451,MATCH(C$1,'2-3 引出列表'!$A$1:$CD$1,0)),""))</f>
        <v>3028.4</v>
      </c>
      <c r="D451" t="str">
        <f>IF(ISBLANK(IFERROR(INDEX('2-3 引出列表'!$A$2:$CE$8700,$A451,MATCH(D$1,'2-3 引出列表'!$A$1:$CD$1,0)),"")),"",IFERROR(INDEX('2-3 引出列表'!$A$2:$CE$8700,$A451,MATCH(D$1,'2-3 引出列表'!$A$1:$CD$1,0)),""))</f>
        <v>已提交</v>
      </c>
      <c r="E451" t="str">
        <f>IF(ISBLANK(IFERROR(INDEX('2-3 引出列表'!$A$2:$CE$8700,$A451,MATCH(E$1,'2-3 引出列表'!$A$1:$CD$1,0)),"")),"",IFERROR(INDEX('2-3 引出列表'!$A$2:$CE$8700,$A451,MATCH(E$1,'2-3 引出列表'!$A$1:$CD$1,0)),""))</f>
        <v>2025-06-28</v>
      </c>
      <c r="F451" s="30" t="str">
        <f t="shared" ref="F451:F514" si="7">LEFT(E451,7)</f>
        <v>2025-06</v>
      </c>
      <c r="G451" t="str">
        <f>IF(ISBLANK(IFERROR(INDEX('2-3 引出列表'!$A$2:$CE$8700,$A451,MATCH(G$1,'2-3 引出列表'!$A$1:$CD$1,0)),"")),"",IFERROR(INDEX('2-3 引出列表'!$A$2:$CE$8700,$A451,MATCH(G$1,'2-3 引出列表'!$A$1:$CD$1,0)),""))</f>
        <v>物料消耗.物料消耗</v>
      </c>
      <c r="H451" t="str">
        <f>IF(ISBLANK(IFERROR(INDEX('2-3 引出列表'!$A$2:$CE$8700,$A451,MATCH(H$1,'2-3 引出列表'!$A$1:$CD$1,0)),"")),"",IFERROR(INDEX('2-3 引出列表'!$A$2:$CE$8700,$A451,MATCH(H$1,'2-3 引出列表'!$A$1:$CD$1,0)),""))</f>
        <v>XHWZ-Z-2024-0138</v>
      </c>
      <c r="I451" t="str">
        <f>IF(ISBLANK(IFERROR(INDEX('2-3 引出列表'!$A$2:$CE$8700,$A451,MATCH(I$1,'2-3 引出列表'!$A$1:$CD$1,0)),"")),"",IFERROR(INDEX('2-3 引出列表'!$A$2:$CE$8700,$A451,MATCH(I$1,'2-3 引出列表'!$A$1:$CD$1,0)),""))</f>
        <v>金采易购</v>
      </c>
    </row>
    <row r="452" spans="1:9">
      <c r="A452">
        <v>451</v>
      </c>
      <c r="B452" t="str">
        <f>IF(ISBLANK(IFERROR(INDEX('2-3 引出列表'!$A$2:$CE$8700,$A452,MATCH(B$1,'2-3 引出列表'!$A$1:$CD$1,0)),"")),"",IFERROR(INDEX('2-3 引出列表'!$A$2:$CE$8700,$A452,MATCH(B$1,'2-3 引出列表'!$A$1:$CD$1,0)),""))</f>
        <v>FK250628000189</v>
      </c>
      <c r="C452">
        <f>IF(ISBLANK(IFERROR(INDEX('2-3 引出列表'!$A$2:$CE$8700,$A452,MATCH(C$1,'2-3 引出列表'!$A$1:$CD$1,0)),"")),"",IFERROR(INDEX('2-3 引出列表'!$A$2:$CE$8700,$A452,MATCH(C$1,'2-3 引出列表'!$A$1:$CD$1,0)),""))</f>
        <v>975</v>
      </c>
      <c r="D452" t="str">
        <f>IF(ISBLANK(IFERROR(INDEX('2-3 引出列表'!$A$2:$CE$8700,$A452,MATCH(D$1,'2-3 引出列表'!$A$1:$CD$1,0)),"")),"",IFERROR(INDEX('2-3 引出列表'!$A$2:$CE$8700,$A452,MATCH(D$1,'2-3 引出列表'!$A$1:$CD$1,0)),""))</f>
        <v>已提交</v>
      </c>
      <c r="E452" t="str">
        <f>IF(ISBLANK(IFERROR(INDEX('2-3 引出列表'!$A$2:$CE$8700,$A452,MATCH(E$1,'2-3 引出列表'!$A$1:$CD$1,0)),"")),"",IFERROR(INDEX('2-3 引出列表'!$A$2:$CE$8700,$A452,MATCH(E$1,'2-3 引出列表'!$A$1:$CD$1,0)),""))</f>
        <v>2025-06-28</v>
      </c>
      <c r="F452" s="30" t="str">
        <f t="shared" si="7"/>
        <v>2025-06</v>
      </c>
      <c r="G452" t="str">
        <f>IF(ISBLANK(IFERROR(INDEX('2-3 引出列表'!$A$2:$CE$8700,$A452,MATCH(G$1,'2-3 引出列表'!$A$1:$CD$1,0)),"")),"",IFERROR(INDEX('2-3 引出列表'!$A$2:$CE$8700,$A452,MATCH(G$1,'2-3 引出列表'!$A$1:$CD$1,0)),""))</f>
        <v>物料消耗.物料消耗</v>
      </c>
      <c r="H452" t="str">
        <f>IF(ISBLANK(IFERROR(INDEX('2-3 引出列表'!$A$2:$CE$8700,$A452,MATCH(H$1,'2-3 引出列表'!$A$1:$CD$1,0)),"")),"",IFERROR(INDEX('2-3 引出列表'!$A$2:$CE$8700,$A452,MATCH(H$1,'2-3 引出列表'!$A$1:$CD$1,0)),""))</f>
        <v>ZB20230601JCWZ01-01</v>
      </c>
      <c r="I452" t="str">
        <f>IF(ISBLANK(IFERROR(INDEX('2-3 引出列表'!$A$2:$CE$8700,$A452,MATCH(I$1,'2-3 引出列表'!$A$1:$CD$1,0)),"")),"",IFERROR(INDEX('2-3 引出列表'!$A$2:$CE$8700,$A452,MATCH(I$1,'2-3 引出列表'!$A$1:$CD$1,0)),""))</f>
        <v>金采易购</v>
      </c>
    </row>
    <row r="453" spans="1:9">
      <c r="A453">
        <v>452</v>
      </c>
      <c r="B453" t="str">
        <f>IF(ISBLANK(IFERROR(INDEX('2-3 引出列表'!$A$2:$CE$8700,$A453,MATCH(B$1,'2-3 引出列表'!$A$1:$CD$1,0)),"")),"",IFERROR(INDEX('2-3 引出列表'!$A$2:$CE$8700,$A453,MATCH(B$1,'2-3 引出列表'!$A$1:$CD$1,0)),""))</f>
        <v>FK250628000186</v>
      </c>
      <c r="C453">
        <f>IF(ISBLANK(IFERROR(INDEX('2-3 引出列表'!$A$2:$CE$8700,$A453,MATCH(C$1,'2-3 引出列表'!$A$1:$CD$1,0)),"")),"",IFERROR(INDEX('2-3 引出列表'!$A$2:$CE$8700,$A453,MATCH(C$1,'2-3 引出列表'!$A$1:$CD$1,0)),""))</f>
        <v>1335</v>
      </c>
      <c r="D453" t="str">
        <f>IF(ISBLANK(IFERROR(INDEX('2-3 引出列表'!$A$2:$CE$8700,$A453,MATCH(D$1,'2-3 引出列表'!$A$1:$CD$1,0)),"")),"",IFERROR(INDEX('2-3 引出列表'!$A$2:$CE$8700,$A453,MATCH(D$1,'2-3 引出列表'!$A$1:$CD$1,0)),""))</f>
        <v>已提交</v>
      </c>
      <c r="E453" t="str">
        <f>IF(ISBLANK(IFERROR(INDEX('2-3 引出列表'!$A$2:$CE$8700,$A453,MATCH(E$1,'2-3 引出列表'!$A$1:$CD$1,0)),"")),"",IFERROR(INDEX('2-3 引出列表'!$A$2:$CE$8700,$A453,MATCH(E$1,'2-3 引出列表'!$A$1:$CD$1,0)),""))</f>
        <v>2025-06-28</v>
      </c>
      <c r="F453" s="30" t="str">
        <f t="shared" si="7"/>
        <v>2025-06</v>
      </c>
      <c r="G453" t="str">
        <f>IF(ISBLANK(IFERROR(INDEX('2-3 引出列表'!$A$2:$CE$8700,$A453,MATCH(G$1,'2-3 引出列表'!$A$1:$CD$1,0)),"")),"",IFERROR(INDEX('2-3 引出列表'!$A$2:$CE$8700,$A453,MATCH(G$1,'2-3 引出列表'!$A$1:$CD$1,0)),""))</f>
        <v>物料消耗.物料消耗</v>
      </c>
      <c r="H453" t="str">
        <f>IF(ISBLANK(IFERROR(INDEX('2-3 引出列表'!$A$2:$CE$8700,$A453,MATCH(H$1,'2-3 引出列表'!$A$1:$CD$1,0)),"")),"",IFERROR(INDEX('2-3 引出列表'!$A$2:$CE$8700,$A453,MATCH(H$1,'2-3 引出列表'!$A$1:$CD$1,0)),""))</f>
        <v>XHWZ-Z-2023-0020</v>
      </c>
      <c r="I453" t="str">
        <f>IF(ISBLANK(IFERROR(INDEX('2-3 引出列表'!$A$2:$CE$8700,$A453,MATCH(I$1,'2-3 引出列表'!$A$1:$CD$1,0)),"")),"",IFERROR(INDEX('2-3 引出列表'!$A$2:$CE$8700,$A453,MATCH(I$1,'2-3 引出列表'!$A$1:$CD$1,0)),""))</f>
        <v>金采易购</v>
      </c>
    </row>
    <row r="454" spans="1:9">
      <c r="A454">
        <v>453</v>
      </c>
      <c r="B454" t="str">
        <f>IF(ISBLANK(IFERROR(INDEX('2-3 引出列表'!$A$2:$CE$8700,$A454,MATCH(B$1,'2-3 引出列表'!$A$1:$CD$1,0)),"")),"",IFERROR(INDEX('2-3 引出列表'!$A$2:$CE$8700,$A454,MATCH(B$1,'2-3 引出列表'!$A$1:$CD$1,0)),""))</f>
        <v>FK250606000451</v>
      </c>
      <c r="C454">
        <f>IF(ISBLANK(IFERROR(INDEX('2-3 引出列表'!$A$2:$CE$8700,$A454,MATCH(C$1,'2-3 引出列表'!$A$1:$CD$1,0)),"")),"",IFERROR(INDEX('2-3 引出列表'!$A$2:$CE$8700,$A454,MATCH(C$1,'2-3 引出列表'!$A$1:$CD$1,0)),""))</f>
        <v>22500</v>
      </c>
      <c r="D454" t="str">
        <f>IF(ISBLANK(IFERROR(INDEX('2-3 引出列表'!$A$2:$CE$8700,$A454,MATCH(D$1,'2-3 引出列表'!$A$1:$CD$1,0)),"")),"",IFERROR(INDEX('2-3 引出列表'!$A$2:$CE$8700,$A454,MATCH(D$1,'2-3 引出列表'!$A$1:$CD$1,0)),""))</f>
        <v>已付款</v>
      </c>
      <c r="E454" t="str">
        <f>IF(ISBLANK(IFERROR(INDEX('2-3 引出列表'!$A$2:$CE$8700,$A454,MATCH(E$1,'2-3 引出列表'!$A$1:$CD$1,0)),"")),"",IFERROR(INDEX('2-3 引出列表'!$A$2:$CE$8700,$A454,MATCH(E$1,'2-3 引出列表'!$A$1:$CD$1,0)),""))</f>
        <v>2025-06-27</v>
      </c>
      <c r="F454" s="30" t="str">
        <f t="shared" si="7"/>
        <v>2025-06</v>
      </c>
      <c r="G454" t="str">
        <f>IF(ISBLANK(IFERROR(INDEX('2-3 引出列表'!$A$2:$CE$8700,$A454,MATCH(G$1,'2-3 引出列表'!$A$1:$CD$1,0)),"")),"",IFERROR(INDEX('2-3 引出列表'!$A$2:$CE$8700,$A454,MATCH(G$1,'2-3 引出列表'!$A$1:$CD$1,0)),""))</f>
        <v>外包服务费.消杀外包</v>
      </c>
      <c r="H454" t="str">
        <f>IF(ISBLANK(IFERROR(INDEX('2-3 引出列表'!$A$2:$CE$8700,$A454,MATCH(H$1,'2-3 引出列表'!$A$1:$CD$1,0)),"")),"",IFERROR(INDEX('2-3 引出列表'!$A$2:$CE$8700,$A454,MATCH(H$1,'2-3 引出列表'!$A$1:$CD$1,0)),""))</f>
        <v>HJFW-Z-2025-00774</v>
      </c>
      <c r="I454" t="str">
        <f>IF(ISBLANK(IFERROR(INDEX('2-3 引出列表'!$A$2:$CE$8700,$A454,MATCH(I$1,'2-3 引出列表'!$A$1:$CD$1,0)),"")),"",IFERROR(INDEX('2-3 引出列表'!$A$2:$CE$8700,$A454,MATCH(I$1,'2-3 引出列表'!$A$1:$CD$1,0)),""))</f>
        <v>金采易购</v>
      </c>
    </row>
    <row r="455" spans="1:9">
      <c r="A455">
        <v>454</v>
      </c>
      <c r="B455" t="str">
        <f>IF(ISBLANK(IFERROR(INDEX('2-3 引出列表'!$A$2:$CE$8700,$A455,MATCH(B$1,'2-3 引出列表'!$A$1:$CD$1,0)),"")),"",IFERROR(INDEX('2-3 引出列表'!$A$2:$CE$8700,$A455,MATCH(B$1,'2-3 引出列表'!$A$1:$CD$1,0)),""))</f>
        <v>FK250606000451</v>
      </c>
      <c r="C455">
        <f>IF(ISBLANK(IFERROR(INDEX('2-3 引出列表'!$A$2:$CE$8700,$A455,MATCH(C$1,'2-3 引出列表'!$A$1:$CD$1,0)),"")),"",IFERROR(INDEX('2-3 引出列表'!$A$2:$CE$8700,$A455,MATCH(C$1,'2-3 引出列表'!$A$1:$CD$1,0)),""))</f>
        <v>22500</v>
      </c>
      <c r="D455" t="str">
        <f>IF(ISBLANK(IFERROR(INDEX('2-3 引出列表'!$A$2:$CE$8700,$A455,MATCH(D$1,'2-3 引出列表'!$A$1:$CD$1,0)),"")),"",IFERROR(INDEX('2-3 引出列表'!$A$2:$CE$8700,$A455,MATCH(D$1,'2-3 引出列表'!$A$1:$CD$1,0)),""))</f>
        <v>已付款</v>
      </c>
      <c r="E455" t="str">
        <f>IF(ISBLANK(IFERROR(INDEX('2-3 引出列表'!$A$2:$CE$8700,$A455,MATCH(E$1,'2-3 引出列表'!$A$1:$CD$1,0)),"")),"",IFERROR(INDEX('2-3 引出列表'!$A$2:$CE$8700,$A455,MATCH(E$1,'2-3 引出列表'!$A$1:$CD$1,0)),""))</f>
        <v>2025-06-27</v>
      </c>
      <c r="F455" s="30" t="str">
        <f t="shared" si="7"/>
        <v>2025-06</v>
      </c>
      <c r="G455" t="str">
        <f>IF(ISBLANK(IFERROR(INDEX('2-3 引出列表'!$A$2:$CE$8700,$A455,MATCH(G$1,'2-3 引出列表'!$A$1:$CD$1,0)),"")),"",IFERROR(INDEX('2-3 引出列表'!$A$2:$CE$8700,$A455,MATCH(G$1,'2-3 引出列表'!$A$1:$CD$1,0)),""))</f>
        <v>外包服务费.消杀外包</v>
      </c>
      <c r="H455" t="str">
        <f>IF(ISBLANK(IFERROR(INDEX('2-3 引出列表'!$A$2:$CE$8700,$A455,MATCH(H$1,'2-3 引出列表'!$A$1:$CD$1,0)),"")),"",IFERROR(INDEX('2-3 引出列表'!$A$2:$CE$8700,$A455,MATCH(H$1,'2-3 引出列表'!$A$1:$CD$1,0)),""))</f>
        <v>HJFW-Z-2025-00774</v>
      </c>
      <c r="I455" t="str">
        <f>IF(ISBLANK(IFERROR(INDEX('2-3 引出列表'!$A$2:$CE$8700,$A455,MATCH(I$1,'2-3 引出列表'!$A$1:$CD$1,0)),"")),"",IFERROR(INDEX('2-3 引出列表'!$A$2:$CE$8700,$A455,MATCH(I$1,'2-3 引出列表'!$A$1:$CD$1,0)),""))</f>
        <v>金采易购</v>
      </c>
    </row>
    <row r="456" spans="1:9">
      <c r="A456">
        <v>455</v>
      </c>
      <c r="B456" t="str">
        <f>IF(ISBLANK(IFERROR(INDEX('2-3 引出列表'!$A$2:$CE$8700,$A456,MATCH(B$1,'2-3 引出列表'!$A$1:$CD$1,0)),"")),"",IFERROR(INDEX('2-3 引出列表'!$A$2:$CE$8700,$A456,MATCH(B$1,'2-3 引出列表'!$A$1:$CD$1,0)),""))</f>
        <v>FK250606000451</v>
      </c>
      <c r="C456">
        <f>IF(ISBLANK(IFERROR(INDEX('2-3 引出列表'!$A$2:$CE$8700,$A456,MATCH(C$1,'2-3 引出列表'!$A$1:$CD$1,0)),"")),"",IFERROR(INDEX('2-3 引出列表'!$A$2:$CE$8700,$A456,MATCH(C$1,'2-3 引出列表'!$A$1:$CD$1,0)),""))</f>
        <v>22500</v>
      </c>
      <c r="D456" t="str">
        <f>IF(ISBLANK(IFERROR(INDEX('2-3 引出列表'!$A$2:$CE$8700,$A456,MATCH(D$1,'2-3 引出列表'!$A$1:$CD$1,0)),"")),"",IFERROR(INDEX('2-3 引出列表'!$A$2:$CE$8700,$A456,MATCH(D$1,'2-3 引出列表'!$A$1:$CD$1,0)),""))</f>
        <v>已付款</v>
      </c>
      <c r="E456" t="str">
        <f>IF(ISBLANK(IFERROR(INDEX('2-3 引出列表'!$A$2:$CE$8700,$A456,MATCH(E$1,'2-3 引出列表'!$A$1:$CD$1,0)),"")),"",IFERROR(INDEX('2-3 引出列表'!$A$2:$CE$8700,$A456,MATCH(E$1,'2-3 引出列表'!$A$1:$CD$1,0)),""))</f>
        <v>2025-06-27</v>
      </c>
      <c r="F456" s="30" t="str">
        <f t="shared" si="7"/>
        <v>2025-06</v>
      </c>
      <c r="G456" t="str">
        <f>IF(ISBLANK(IFERROR(INDEX('2-3 引出列表'!$A$2:$CE$8700,$A456,MATCH(G$1,'2-3 引出列表'!$A$1:$CD$1,0)),"")),"",IFERROR(INDEX('2-3 引出列表'!$A$2:$CE$8700,$A456,MATCH(G$1,'2-3 引出列表'!$A$1:$CD$1,0)),""))</f>
        <v>外包服务费.消杀外包</v>
      </c>
      <c r="H456" t="str">
        <f>IF(ISBLANK(IFERROR(INDEX('2-3 引出列表'!$A$2:$CE$8700,$A456,MATCH(H$1,'2-3 引出列表'!$A$1:$CD$1,0)),"")),"",IFERROR(INDEX('2-3 引出列表'!$A$2:$CE$8700,$A456,MATCH(H$1,'2-3 引出列表'!$A$1:$CD$1,0)),""))</f>
        <v>HJFW-Z-2025-00774</v>
      </c>
      <c r="I456" t="str">
        <f>IF(ISBLANK(IFERROR(INDEX('2-3 引出列表'!$A$2:$CE$8700,$A456,MATCH(I$1,'2-3 引出列表'!$A$1:$CD$1,0)),"")),"",IFERROR(INDEX('2-3 引出列表'!$A$2:$CE$8700,$A456,MATCH(I$1,'2-3 引出列表'!$A$1:$CD$1,0)),""))</f>
        <v>金采易购</v>
      </c>
    </row>
    <row r="457" spans="1:9">
      <c r="A457">
        <v>456</v>
      </c>
      <c r="B457">
        <f>IF(ISBLANK(IFERROR(INDEX('2-3 引出列表'!$A$2:$CE$8700,$A457,MATCH(B$1,'2-3 引出列表'!$A$1:$CD$1,0)),"")),"",IFERROR(INDEX('2-3 引出列表'!$A$2:$CE$8700,$A457,MATCH(B$1,'2-3 引出列表'!$A$1:$CD$1,0)),""))</f>
        <v>0</v>
      </c>
      <c r="C457">
        <f>IF(ISBLANK(IFERROR(INDEX('2-3 引出列表'!$A$2:$CE$8700,$A457,MATCH(C$1,'2-3 引出列表'!$A$1:$CD$1,0)),"")),"",IFERROR(INDEX('2-3 引出列表'!$A$2:$CE$8700,$A457,MATCH(C$1,'2-3 引出列表'!$A$1:$CD$1,0)),""))</f>
        <v>7970</v>
      </c>
      <c r="D457" t="str">
        <f>IF(ISBLANK(IFERROR(INDEX('2-3 引出列表'!$A$2:$CE$8700,$A457,MATCH(D$1,'2-3 引出列表'!$A$1:$CD$1,0)),"")),"",IFERROR(INDEX('2-3 引出列表'!$A$2:$CE$8700,$A457,MATCH(D$1,'2-3 引出列表'!$A$1:$CD$1,0)),""))</f>
        <v>已付款</v>
      </c>
      <c r="E457" t="str">
        <f>IF(ISBLANK(IFERROR(INDEX('2-3 引出列表'!$A$2:$CE$8700,$A457,MATCH(E$1,'2-3 引出列表'!$A$1:$CD$1,0)),"")),"",IFERROR(INDEX('2-3 引出列表'!$A$2:$CE$8700,$A457,MATCH(E$1,'2-3 引出列表'!$A$1:$CD$1,0)),""))</f>
        <v>2025-06-27</v>
      </c>
      <c r="F457" s="30" t="str">
        <f t="shared" si="7"/>
        <v>2025-06</v>
      </c>
      <c r="G457" t="str">
        <f>IF(ISBLANK(IFERROR(INDEX('2-3 引出列表'!$A$2:$CE$8700,$A457,MATCH(G$1,'2-3 引出列表'!$A$1:$CD$1,0)),"")),"",IFERROR(INDEX('2-3 引出列表'!$A$2:$CE$8700,$A457,MATCH(G$1,'2-3 引出列表'!$A$1:$CD$1,0)),""))</f>
        <v>人工费用.宿舍费</v>
      </c>
      <c r="H457" t="str">
        <f>IF(ISBLANK(IFERROR(INDEX('2-3 引出列表'!$A$2:$CE$8700,$A457,MATCH(H$1,'2-3 引出列表'!$A$1:$CD$1,0)),"")),"",IFERROR(INDEX('2-3 引出列表'!$A$2:$CE$8700,$A457,MATCH(H$1,'2-3 引出列表'!$A$1:$CD$1,0)),""))</f>
        <v>FWL-Z-2025-00269</v>
      </c>
      <c r="I457">
        <f>IF(ISBLANK(IFERROR(INDEX('2-3 引出列表'!$A$2:$CE$8700,$A457,MATCH(I$1,'2-3 引出列表'!$A$1:$CD$1,0)),"")),"",IFERROR(INDEX('2-3 引出列表'!$A$2:$CE$8700,$A457,MATCH(I$1,'2-3 引出列表'!$A$1:$CD$1,0)),""))</f>
        <v>0</v>
      </c>
    </row>
    <row r="458" spans="1:9">
      <c r="A458">
        <v>457</v>
      </c>
      <c r="B458" t="str">
        <f>IF(ISBLANK(IFERROR(INDEX('2-3 引出列表'!$A$2:$CE$8700,$A458,MATCH(B$1,'2-3 引出列表'!$A$1:$CD$1,0)),"")),"",IFERROR(INDEX('2-3 引出列表'!$A$2:$CE$8700,$A458,MATCH(B$1,'2-3 引出列表'!$A$1:$CD$1,0)),""))</f>
        <v>FK250523000496</v>
      </c>
      <c r="C458">
        <f>IF(ISBLANK(IFERROR(INDEX('2-3 引出列表'!$A$2:$CE$8700,$A458,MATCH(C$1,'2-3 引出列表'!$A$1:$CD$1,0)),"")),"",IFERROR(INDEX('2-3 引出列表'!$A$2:$CE$8700,$A458,MATCH(C$1,'2-3 引出列表'!$A$1:$CD$1,0)),""))</f>
        <v>484468.13</v>
      </c>
      <c r="D458" t="str">
        <f>IF(ISBLANK(IFERROR(INDEX('2-3 引出列表'!$A$2:$CE$8700,$A458,MATCH(D$1,'2-3 引出列表'!$A$1:$CD$1,0)),"")),"",IFERROR(INDEX('2-3 引出列表'!$A$2:$CE$8700,$A458,MATCH(D$1,'2-3 引出列表'!$A$1:$CD$1,0)),""))</f>
        <v>已付款</v>
      </c>
      <c r="E458" t="str">
        <f>IF(ISBLANK(IFERROR(INDEX('2-3 引出列表'!$A$2:$CE$8700,$A458,MATCH(E$1,'2-3 引出列表'!$A$1:$CD$1,0)),"")),"",IFERROR(INDEX('2-3 引出列表'!$A$2:$CE$8700,$A458,MATCH(E$1,'2-3 引出列表'!$A$1:$CD$1,0)),""))</f>
        <v>2025-06-27</v>
      </c>
      <c r="F458" s="30" t="str">
        <f t="shared" si="7"/>
        <v>2025-06</v>
      </c>
      <c r="G458" t="str">
        <f>IF(ISBLANK(IFERROR(INDEX('2-3 引出列表'!$A$2:$CE$8700,$A458,MATCH(G$1,'2-3 引出列表'!$A$1:$CD$1,0)),"")),"",IFERROR(INDEX('2-3 引出列表'!$A$2:$CE$8700,$A458,MATCH(G$1,'2-3 引出列表'!$A$1:$CD$1,0)),""))</f>
        <v>外包服务费.保洁外包</v>
      </c>
      <c r="H458" t="str">
        <f>IF(ISBLANK(IFERROR(INDEX('2-3 引出列表'!$A$2:$CE$8700,$A458,MATCH(H$1,'2-3 引出列表'!$A$1:$CD$1,0)),"")),"",IFERROR(INDEX('2-3 引出列表'!$A$2:$CE$8700,$A458,MATCH(H$1,'2-3 引出列表'!$A$1:$CD$1,0)),""))</f>
        <v>HJFW-Z-2025-00673</v>
      </c>
      <c r="I458" t="str">
        <f>IF(ISBLANK(IFERROR(INDEX('2-3 引出列表'!$A$2:$CE$8700,$A458,MATCH(I$1,'2-3 引出列表'!$A$1:$CD$1,0)),"")),"",IFERROR(INDEX('2-3 引出列表'!$A$2:$CE$8700,$A458,MATCH(I$1,'2-3 引出列表'!$A$1:$CD$1,0)),""))</f>
        <v>金采易购</v>
      </c>
    </row>
    <row r="459" spans="1:9">
      <c r="A459">
        <v>458</v>
      </c>
      <c r="B459" t="str">
        <f>IF(ISBLANK(IFERROR(INDEX('2-3 引出列表'!$A$2:$CE$8700,$A459,MATCH(B$1,'2-3 引出列表'!$A$1:$CD$1,0)),"")),"",IFERROR(INDEX('2-3 引出列表'!$A$2:$CE$8700,$A459,MATCH(B$1,'2-3 引出列表'!$A$1:$CD$1,0)),""))</f>
        <v>FK250523000283</v>
      </c>
      <c r="C459">
        <f>IF(ISBLANK(IFERROR(INDEX('2-3 引出列表'!$A$2:$CE$8700,$A459,MATCH(C$1,'2-3 引出列表'!$A$1:$CD$1,0)),"")),"",IFERROR(INDEX('2-3 引出列表'!$A$2:$CE$8700,$A459,MATCH(C$1,'2-3 引出列表'!$A$1:$CD$1,0)),""))</f>
        <v>9500</v>
      </c>
      <c r="D459" t="str">
        <f>IF(ISBLANK(IFERROR(INDEX('2-3 引出列表'!$A$2:$CE$8700,$A459,MATCH(D$1,'2-3 引出列表'!$A$1:$CD$1,0)),"")),"",IFERROR(INDEX('2-3 引出列表'!$A$2:$CE$8700,$A459,MATCH(D$1,'2-3 引出列表'!$A$1:$CD$1,0)),""))</f>
        <v>已付款</v>
      </c>
      <c r="E459" t="str">
        <f>IF(ISBLANK(IFERROR(INDEX('2-3 引出列表'!$A$2:$CE$8700,$A459,MATCH(E$1,'2-3 引出列表'!$A$1:$CD$1,0)),"")),"",IFERROR(INDEX('2-3 引出列表'!$A$2:$CE$8700,$A459,MATCH(E$1,'2-3 引出列表'!$A$1:$CD$1,0)),""))</f>
        <v>2025-06-27</v>
      </c>
      <c r="F459" s="30" t="str">
        <f t="shared" si="7"/>
        <v>2025-06</v>
      </c>
      <c r="G459" t="str">
        <f>IF(ISBLANK(IFERROR(INDEX('2-3 引出列表'!$A$2:$CE$8700,$A459,MATCH(G$1,'2-3 引出列表'!$A$1:$CD$1,0)),"")),"",IFERROR(INDEX('2-3 引出列表'!$A$2:$CE$8700,$A459,MATCH(G$1,'2-3 引出列表'!$A$1:$CD$1,0)),""))</f>
        <v>外包服务费.生活垃圾清运外包</v>
      </c>
      <c r="H459" t="str">
        <f>IF(ISBLANK(IFERROR(INDEX('2-3 引出列表'!$A$2:$CE$8700,$A459,MATCH(H$1,'2-3 引出列表'!$A$1:$CD$1,0)),"")),"",IFERROR(INDEX('2-3 引出列表'!$A$2:$CE$8700,$A459,MATCH(H$1,'2-3 引出列表'!$A$1:$CD$1,0)),""))</f>
        <v>HJFW-Z-2025-00229</v>
      </c>
      <c r="I459" t="str">
        <f>IF(ISBLANK(IFERROR(INDEX('2-3 引出列表'!$A$2:$CE$8700,$A459,MATCH(I$1,'2-3 引出列表'!$A$1:$CD$1,0)),"")),"",IFERROR(INDEX('2-3 引出列表'!$A$2:$CE$8700,$A459,MATCH(I$1,'2-3 引出列表'!$A$1:$CD$1,0)),""))</f>
        <v>金采易购</v>
      </c>
    </row>
    <row r="460" spans="1:9">
      <c r="A460">
        <v>459</v>
      </c>
      <c r="B460" t="str">
        <f>IF(ISBLANK(IFERROR(INDEX('2-3 引出列表'!$A$2:$CE$8700,$A460,MATCH(B$1,'2-3 引出列表'!$A$1:$CD$1,0)),"")),"",IFERROR(INDEX('2-3 引出列表'!$A$2:$CE$8700,$A460,MATCH(B$1,'2-3 引出列表'!$A$1:$CD$1,0)),""))</f>
        <v>FK250523000384</v>
      </c>
      <c r="C460">
        <f>IF(ISBLANK(IFERROR(INDEX('2-3 引出列表'!$A$2:$CE$8700,$A460,MATCH(C$1,'2-3 引出列表'!$A$1:$CD$1,0)),"")),"",IFERROR(INDEX('2-3 引出列表'!$A$2:$CE$8700,$A460,MATCH(C$1,'2-3 引出列表'!$A$1:$CD$1,0)),""))</f>
        <v>12262</v>
      </c>
      <c r="D460" t="str">
        <f>IF(ISBLANK(IFERROR(INDEX('2-3 引出列表'!$A$2:$CE$8700,$A460,MATCH(D$1,'2-3 引出列表'!$A$1:$CD$1,0)),"")),"",IFERROR(INDEX('2-3 引出列表'!$A$2:$CE$8700,$A460,MATCH(D$1,'2-3 引出列表'!$A$1:$CD$1,0)),""))</f>
        <v>已付款</v>
      </c>
      <c r="E460" t="str">
        <f>IF(ISBLANK(IFERROR(INDEX('2-3 引出列表'!$A$2:$CE$8700,$A460,MATCH(E$1,'2-3 引出列表'!$A$1:$CD$1,0)),"")),"",IFERROR(INDEX('2-3 引出列表'!$A$2:$CE$8700,$A460,MATCH(E$1,'2-3 引出列表'!$A$1:$CD$1,0)),""))</f>
        <v>2025-06-27</v>
      </c>
      <c r="F460" s="30" t="str">
        <f t="shared" si="7"/>
        <v>2025-06</v>
      </c>
      <c r="G460" t="str">
        <f>IF(ISBLANK(IFERROR(INDEX('2-3 引出列表'!$A$2:$CE$8700,$A460,MATCH(G$1,'2-3 引出列表'!$A$1:$CD$1,0)),"")),"",IFERROR(INDEX('2-3 引出列表'!$A$2:$CE$8700,$A460,MATCH(G$1,'2-3 引出列表'!$A$1:$CD$1,0)),""))</f>
        <v>外包服务费.保洁外包</v>
      </c>
      <c r="H460" t="str">
        <f>IF(ISBLANK(IFERROR(INDEX('2-3 引出列表'!$A$2:$CE$8700,$A460,MATCH(H$1,'2-3 引出列表'!$A$1:$CD$1,0)),"")),"",IFERROR(INDEX('2-3 引出列表'!$A$2:$CE$8700,$A460,MATCH(H$1,'2-3 引出列表'!$A$1:$CD$1,0)),""))</f>
        <v>HJFW-Z-2025-00483</v>
      </c>
      <c r="I460" t="str">
        <f>IF(ISBLANK(IFERROR(INDEX('2-3 引出列表'!$A$2:$CE$8700,$A460,MATCH(I$1,'2-3 引出列表'!$A$1:$CD$1,0)),"")),"",IFERROR(INDEX('2-3 引出列表'!$A$2:$CE$8700,$A460,MATCH(I$1,'2-3 引出列表'!$A$1:$CD$1,0)),""))</f>
        <v>金采易购</v>
      </c>
    </row>
    <row r="461" spans="1:9">
      <c r="A461">
        <v>460</v>
      </c>
      <c r="B461" t="str">
        <f>IF(ISBLANK(IFERROR(INDEX('2-3 引出列表'!$A$2:$CE$8700,$A461,MATCH(B$1,'2-3 引出列表'!$A$1:$CD$1,0)),"")),"",IFERROR(INDEX('2-3 引出列表'!$A$2:$CE$8700,$A461,MATCH(B$1,'2-3 引出列表'!$A$1:$CD$1,0)),""))</f>
        <v>FK250509000497</v>
      </c>
      <c r="C461">
        <f>IF(ISBLANK(IFERROR(INDEX('2-3 引出列表'!$A$2:$CE$8700,$A461,MATCH(C$1,'2-3 引出列表'!$A$1:$CD$1,0)),"")),"",IFERROR(INDEX('2-3 引出列表'!$A$2:$CE$8700,$A461,MATCH(C$1,'2-3 引出列表'!$A$1:$CD$1,0)),""))</f>
        <v>39482.2</v>
      </c>
      <c r="D461" t="str">
        <f>IF(ISBLANK(IFERROR(INDEX('2-3 引出列表'!$A$2:$CE$8700,$A461,MATCH(D$1,'2-3 引出列表'!$A$1:$CD$1,0)),"")),"",IFERROR(INDEX('2-3 引出列表'!$A$2:$CE$8700,$A461,MATCH(D$1,'2-3 引出列表'!$A$1:$CD$1,0)),""))</f>
        <v>已付款</v>
      </c>
      <c r="E461" t="str">
        <f>IF(ISBLANK(IFERROR(INDEX('2-3 引出列表'!$A$2:$CE$8700,$A461,MATCH(E$1,'2-3 引出列表'!$A$1:$CD$1,0)),"")),"",IFERROR(INDEX('2-3 引出列表'!$A$2:$CE$8700,$A461,MATCH(E$1,'2-3 引出列表'!$A$1:$CD$1,0)),""))</f>
        <v>2025-06-27</v>
      </c>
      <c r="F461" s="30" t="str">
        <f t="shared" si="7"/>
        <v>2025-06</v>
      </c>
      <c r="G461" t="str">
        <f>IF(ISBLANK(IFERROR(INDEX('2-3 引出列表'!$A$2:$CE$8700,$A461,MATCH(G$1,'2-3 引出列表'!$A$1:$CD$1,0)),"")),"",IFERROR(INDEX('2-3 引出列表'!$A$2:$CE$8700,$A461,MATCH(G$1,'2-3 引出列表'!$A$1:$CD$1,0)),""))</f>
        <v>外包服务费.工程施工外包</v>
      </c>
      <c r="H461" t="str">
        <f>IF(ISBLANK(IFERROR(INDEX('2-3 引出列表'!$A$2:$CE$8700,$A461,MATCH(H$1,'2-3 引出列表'!$A$1:$CD$1,0)),"")),"",IFERROR(INDEX('2-3 引出列表'!$A$2:$CE$8700,$A461,MATCH(H$1,'2-3 引出列表'!$A$1:$CD$1,0)),""))</f>
        <v>GCFW-Z-2024-4221</v>
      </c>
      <c r="I461" t="str">
        <f>IF(ISBLANK(IFERROR(INDEX('2-3 引出列表'!$A$2:$CE$8700,$A461,MATCH(I$1,'2-3 引出列表'!$A$1:$CD$1,0)),"")),"",IFERROR(INDEX('2-3 引出列表'!$A$2:$CE$8700,$A461,MATCH(I$1,'2-3 引出列表'!$A$1:$CD$1,0)),""))</f>
        <v>金采易购</v>
      </c>
    </row>
    <row r="462" spans="1:9">
      <c r="A462">
        <v>461</v>
      </c>
      <c r="B462" t="str">
        <f>IF(ISBLANK(IFERROR(INDEX('2-3 引出列表'!$A$2:$CE$8700,$A462,MATCH(B$1,'2-3 引出列表'!$A$1:$CD$1,0)),"")),"",IFERROR(INDEX('2-3 引出列表'!$A$2:$CE$8700,$A462,MATCH(B$1,'2-3 引出列表'!$A$1:$CD$1,0)),""))</f>
        <v>FK250509000497</v>
      </c>
      <c r="C462">
        <f>IF(ISBLANK(IFERROR(INDEX('2-3 引出列表'!$A$2:$CE$8700,$A462,MATCH(C$1,'2-3 引出列表'!$A$1:$CD$1,0)),"")),"",IFERROR(INDEX('2-3 引出列表'!$A$2:$CE$8700,$A462,MATCH(C$1,'2-3 引出列表'!$A$1:$CD$1,0)),""))</f>
        <v>39482.2</v>
      </c>
      <c r="D462" t="str">
        <f>IF(ISBLANK(IFERROR(INDEX('2-3 引出列表'!$A$2:$CE$8700,$A462,MATCH(D$1,'2-3 引出列表'!$A$1:$CD$1,0)),"")),"",IFERROR(INDEX('2-3 引出列表'!$A$2:$CE$8700,$A462,MATCH(D$1,'2-3 引出列表'!$A$1:$CD$1,0)),""))</f>
        <v>已付款</v>
      </c>
      <c r="E462" t="str">
        <f>IF(ISBLANK(IFERROR(INDEX('2-3 引出列表'!$A$2:$CE$8700,$A462,MATCH(E$1,'2-3 引出列表'!$A$1:$CD$1,0)),"")),"",IFERROR(INDEX('2-3 引出列表'!$A$2:$CE$8700,$A462,MATCH(E$1,'2-3 引出列表'!$A$1:$CD$1,0)),""))</f>
        <v>2025-06-27</v>
      </c>
      <c r="F462" s="30" t="str">
        <f t="shared" si="7"/>
        <v>2025-06</v>
      </c>
      <c r="G462" t="str">
        <f>IF(ISBLANK(IFERROR(INDEX('2-3 引出列表'!$A$2:$CE$8700,$A462,MATCH(G$1,'2-3 引出列表'!$A$1:$CD$1,0)),"")),"",IFERROR(INDEX('2-3 引出列表'!$A$2:$CE$8700,$A462,MATCH(G$1,'2-3 引出列表'!$A$1:$CD$1,0)),""))</f>
        <v>外包服务费.工程施工外包</v>
      </c>
      <c r="H462" t="str">
        <f>IF(ISBLANK(IFERROR(INDEX('2-3 引出列表'!$A$2:$CE$8700,$A462,MATCH(H$1,'2-3 引出列表'!$A$1:$CD$1,0)),"")),"",IFERROR(INDEX('2-3 引出列表'!$A$2:$CE$8700,$A462,MATCH(H$1,'2-3 引出列表'!$A$1:$CD$1,0)),""))</f>
        <v>GCFW-Z-2024-4221</v>
      </c>
      <c r="I462" t="str">
        <f>IF(ISBLANK(IFERROR(INDEX('2-3 引出列表'!$A$2:$CE$8700,$A462,MATCH(I$1,'2-3 引出列表'!$A$1:$CD$1,0)),"")),"",IFERROR(INDEX('2-3 引出列表'!$A$2:$CE$8700,$A462,MATCH(I$1,'2-3 引出列表'!$A$1:$CD$1,0)),""))</f>
        <v>金采易购</v>
      </c>
    </row>
    <row r="463" spans="1:9">
      <c r="A463">
        <v>462</v>
      </c>
      <c r="B463" t="str">
        <f>IF(ISBLANK(IFERROR(INDEX('2-3 引出列表'!$A$2:$CE$8700,$A463,MATCH(B$1,'2-3 引出列表'!$A$1:$CD$1,0)),"")),"",IFERROR(INDEX('2-3 引出列表'!$A$2:$CE$8700,$A463,MATCH(B$1,'2-3 引出列表'!$A$1:$CD$1,0)),""))</f>
        <v>FK250509000458</v>
      </c>
      <c r="C463">
        <f>IF(ISBLANK(IFERROR(INDEX('2-3 引出列表'!$A$2:$CE$8700,$A463,MATCH(C$1,'2-3 引出列表'!$A$1:$CD$1,0)),"")),"",IFERROR(INDEX('2-3 引出列表'!$A$2:$CE$8700,$A463,MATCH(C$1,'2-3 引出列表'!$A$1:$CD$1,0)),""))</f>
        <v>23700</v>
      </c>
      <c r="D463" t="str">
        <f>IF(ISBLANK(IFERROR(INDEX('2-3 引出列表'!$A$2:$CE$8700,$A463,MATCH(D$1,'2-3 引出列表'!$A$1:$CD$1,0)),"")),"",IFERROR(INDEX('2-3 引出列表'!$A$2:$CE$8700,$A463,MATCH(D$1,'2-3 引出列表'!$A$1:$CD$1,0)),""))</f>
        <v>已付款</v>
      </c>
      <c r="E463" t="str">
        <f>IF(ISBLANK(IFERROR(INDEX('2-3 引出列表'!$A$2:$CE$8700,$A463,MATCH(E$1,'2-3 引出列表'!$A$1:$CD$1,0)),"")),"",IFERROR(INDEX('2-3 引出列表'!$A$2:$CE$8700,$A463,MATCH(E$1,'2-3 引出列表'!$A$1:$CD$1,0)),""))</f>
        <v>2025-06-27</v>
      </c>
      <c r="F463" s="30" t="str">
        <f t="shared" si="7"/>
        <v>2025-06</v>
      </c>
      <c r="G463" t="str">
        <f>IF(ISBLANK(IFERROR(INDEX('2-3 引出列表'!$A$2:$CE$8700,$A463,MATCH(G$1,'2-3 引出列表'!$A$1:$CD$1,0)),"")),"",IFERROR(INDEX('2-3 引出列表'!$A$2:$CE$8700,$A463,MATCH(G$1,'2-3 引出列表'!$A$1:$CD$1,0)),""))</f>
        <v>外包服务费.设备设施维保外包</v>
      </c>
      <c r="H463" t="str">
        <f>IF(ISBLANK(IFERROR(INDEX('2-3 引出列表'!$A$2:$CE$8700,$A463,MATCH(H$1,'2-3 引出列表'!$A$1:$CD$1,0)),"")),"",IFERROR(INDEX('2-3 引出列表'!$A$2:$CE$8700,$A463,MATCH(H$1,'2-3 引出列表'!$A$1:$CD$1,0)),""))</f>
        <v>GCFW-Z-2025-00652</v>
      </c>
      <c r="I463" t="str">
        <f>IF(ISBLANK(IFERROR(INDEX('2-3 引出列表'!$A$2:$CE$8700,$A463,MATCH(I$1,'2-3 引出列表'!$A$1:$CD$1,0)),"")),"",IFERROR(INDEX('2-3 引出列表'!$A$2:$CE$8700,$A463,MATCH(I$1,'2-3 引出列表'!$A$1:$CD$1,0)),""))</f>
        <v>金采易购</v>
      </c>
    </row>
    <row r="464" spans="1:9">
      <c r="A464">
        <v>463</v>
      </c>
      <c r="B464" t="str">
        <f>IF(ISBLANK(IFERROR(INDEX('2-3 引出列表'!$A$2:$CE$8700,$A464,MATCH(B$1,'2-3 引出列表'!$A$1:$CD$1,0)),"")),"",IFERROR(INDEX('2-3 引出列表'!$A$2:$CE$8700,$A464,MATCH(B$1,'2-3 引出列表'!$A$1:$CD$1,0)),""))</f>
        <v>FK250509000458</v>
      </c>
      <c r="C464">
        <f>IF(ISBLANK(IFERROR(INDEX('2-3 引出列表'!$A$2:$CE$8700,$A464,MATCH(C$1,'2-3 引出列表'!$A$1:$CD$1,0)),"")),"",IFERROR(INDEX('2-3 引出列表'!$A$2:$CE$8700,$A464,MATCH(C$1,'2-3 引出列表'!$A$1:$CD$1,0)),""))</f>
        <v>23700</v>
      </c>
      <c r="D464" t="str">
        <f>IF(ISBLANK(IFERROR(INDEX('2-3 引出列表'!$A$2:$CE$8700,$A464,MATCH(D$1,'2-3 引出列表'!$A$1:$CD$1,0)),"")),"",IFERROR(INDEX('2-3 引出列表'!$A$2:$CE$8700,$A464,MATCH(D$1,'2-3 引出列表'!$A$1:$CD$1,0)),""))</f>
        <v>已付款</v>
      </c>
      <c r="E464" t="str">
        <f>IF(ISBLANK(IFERROR(INDEX('2-3 引出列表'!$A$2:$CE$8700,$A464,MATCH(E$1,'2-3 引出列表'!$A$1:$CD$1,0)),"")),"",IFERROR(INDEX('2-3 引出列表'!$A$2:$CE$8700,$A464,MATCH(E$1,'2-3 引出列表'!$A$1:$CD$1,0)),""))</f>
        <v>2025-06-27</v>
      </c>
      <c r="F464" s="30" t="str">
        <f t="shared" si="7"/>
        <v>2025-06</v>
      </c>
      <c r="G464" t="str">
        <f>IF(ISBLANK(IFERROR(INDEX('2-3 引出列表'!$A$2:$CE$8700,$A464,MATCH(G$1,'2-3 引出列表'!$A$1:$CD$1,0)),"")),"",IFERROR(INDEX('2-3 引出列表'!$A$2:$CE$8700,$A464,MATCH(G$1,'2-3 引出列表'!$A$1:$CD$1,0)),""))</f>
        <v>外包服务费.设备设施维保外包</v>
      </c>
      <c r="H464" t="str">
        <f>IF(ISBLANK(IFERROR(INDEX('2-3 引出列表'!$A$2:$CE$8700,$A464,MATCH(H$1,'2-3 引出列表'!$A$1:$CD$1,0)),"")),"",IFERROR(INDEX('2-3 引出列表'!$A$2:$CE$8700,$A464,MATCH(H$1,'2-3 引出列表'!$A$1:$CD$1,0)),""))</f>
        <v>GCFW-Z-2025-00652</v>
      </c>
      <c r="I464" t="str">
        <f>IF(ISBLANK(IFERROR(INDEX('2-3 引出列表'!$A$2:$CE$8700,$A464,MATCH(I$1,'2-3 引出列表'!$A$1:$CD$1,0)),"")),"",IFERROR(INDEX('2-3 引出列表'!$A$2:$CE$8700,$A464,MATCH(I$1,'2-3 引出列表'!$A$1:$CD$1,0)),""))</f>
        <v>金采易购</v>
      </c>
    </row>
    <row r="465" spans="1:9">
      <c r="A465">
        <v>464</v>
      </c>
      <c r="B465" t="str">
        <f>IF(ISBLANK(IFERROR(INDEX('2-3 引出列表'!$A$2:$CE$8700,$A465,MATCH(B$1,'2-3 引出列表'!$A$1:$CD$1,0)),"")),"",IFERROR(INDEX('2-3 引出列表'!$A$2:$CE$8700,$A465,MATCH(B$1,'2-3 引出列表'!$A$1:$CD$1,0)),""))</f>
        <v>FK250509000458</v>
      </c>
      <c r="C465">
        <f>IF(ISBLANK(IFERROR(INDEX('2-3 引出列表'!$A$2:$CE$8700,$A465,MATCH(C$1,'2-3 引出列表'!$A$1:$CD$1,0)),"")),"",IFERROR(INDEX('2-3 引出列表'!$A$2:$CE$8700,$A465,MATCH(C$1,'2-3 引出列表'!$A$1:$CD$1,0)),""))</f>
        <v>23700</v>
      </c>
      <c r="D465" t="str">
        <f>IF(ISBLANK(IFERROR(INDEX('2-3 引出列表'!$A$2:$CE$8700,$A465,MATCH(D$1,'2-3 引出列表'!$A$1:$CD$1,0)),"")),"",IFERROR(INDEX('2-3 引出列表'!$A$2:$CE$8700,$A465,MATCH(D$1,'2-3 引出列表'!$A$1:$CD$1,0)),""))</f>
        <v>已付款</v>
      </c>
      <c r="E465" t="str">
        <f>IF(ISBLANK(IFERROR(INDEX('2-3 引出列表'!$A$2:$CE$8700,$A465,MATCH(E$1,'2-3 引出列表'!$A$1:$CD$1,0)),"")),"",IFERROR(INDEX('2-3 引出列表'!$A$2:$CE$8700,$A465,MATCH(E$1,'2-3 引出列表'!$A$1:$CD$1,0)),""))</f>
        <v>2025-06-27</v>
      </c>
      <c r="F465" s="30" t="str">
        <f t="shared" si="7"/>
        <v>2025-06</v>
      </c>
      <c r="G465" t="str">
        <f>IF(ISBLANK(IFERROR(INDEX('2-3 引出列表'!$A$2:$CE$8700,$A465,MATCH(G$1,'2-3 引出列表'!$A$1:$CD$1,0)),"")),"",IFERROR(INDEX('2-3 引出列表'!$A$2:$CE$8700,$A465,MATCH(G$1,'2-3 引出列表'!$A$1:$CD$1,0)),""))</f>
        <v>外包服务费.设备设施维保外包</v>
      </c>
      <c r="H465" t="str">
        <f>IF(ISBLANK(IFERROR(INDEX('2-3 引出列表'!$A$2:$CE$8700,$A465,MATCH(H$1,'2-3 引出列表'!$A$1:$CD$1,0)),"")),"",IFERROR(INDEX('2-3 引出列表'!$A$2:$CE$8700,$A465,MATCH(H$1,'2-3 引出列表'!$A$1:$CD$1,0)),""))</f>
        <v>GCFW-Z-2025-00652</v>
      </c>
      <c r="I465" t="str">
        <f>IF(ISBLANK(IFERROR(INDEX('2-3 引出列表'!$A$2:$CE$8700,$A465,MATCH(I$1,'2-3 引出列表'!$A$1:$CD$1,0)),"")),"",IFERROR(INDEX('2-3 引出列表'!$A$2:$CE$8700,$A465,MATCH(I$1,'2-3 引出列表'!$A$1:$CD$1,0)),""))</f>
        <v>金采易购</v>
      </c>
    </row>
    <row r="466" spans="1:9">
      <c r="A466">
        <v>465</v>
      </c>
      <c r="B466" t="str">
        <f>IF(ISBLANK(IFERROR(INDEX('2-3 引出列表'!$A$2:$CE$8700,$A466,MATCH(B$1,'2-3 引出列表'!$A$1:$CD$1,0)),"")),"",IFERROR(INDEX('2-3 引出列表'!$A$2:$CE$8700,$A466,MATCH(B$1,'2-3 引出列表'!$A$1:$CD$1,0)),""))</f>
        <v>FK250324000190</v>
      </c>
      <c r="C466">
        <f>IF(ISBLANK(IFERROR(INDEX('2-3 引出列表'!$A$2:$CE$8700,$A466,MATCH(C$1,'2-3 引出列表'!$A$1:$CD$1,0)),"")),"",IFERROR(INDEX('2-3 引出列表'!$A$2:$CE$8700,$A466,MATCH(C$1,'2-3 引出列表'!$A$1:$CD$1,0)),""))</f>
        <v>60072</v>
      </c>
      <c r="D466" t="str">
        <f>IF(ISBLANK(IFERROR(INDEX('2-3 引出列表'!$A$2:$CE$8700,$A466,MATCH(D$1,'2-3 引出列表'!$A$1:$CD$1,0)),"")),"",IFERROR(INDEX('2-3 引出列表'!$A$2:$CE$8700,$A466,MATCH(D$1,'2-3 引出列表'!$A$1:$CD$1,0)),""))</f>
        <v>已付款</v>
      </c>
      <c r="E466" t="str">
        <f>IF(ISBLANK(IFERROR(INDEX('2-3 引出列表'!$A$2:$CE$8700,$A466,MATCH(E$1,'2-3 引出列表'!$A$1:$CD$1,0)),"")),"",IFERROR(INDEX('2-3 引出列表'!$A$2:$CE$8700,$A466,MATCH(E$1,'2-3 引出列表'!$A$1:$CD$1,0)),""))</f>
        <v>2025-06-27</v>
      </c>
      <c r="F466" s="30" t="str">
        <f t="shared" si="7"/>
        <v>2025-06</v>
      </c>
      <c r="G466" t="str">
        <f>IF(ISBLANK(IFERROR(INDEX('2-3 引出列表'!$A$2:$CE$8700,$A466,MATCH(G$1,'2-3 引出列表'!$A$1:$CD$1,0)),"")),"",IFERROR(INDEX('2-3 引出列表'!$A$2:$CE$8700,$A466,MATCH(G$1,'2-3 引出列表'!$A$1:$CD$1,0)),""))</f>
        <v>物料消耗.物料消耗</v>
      </c>
      <c r="H466">
        <f>IF(ISBLANK(IFERROR(INDEX('2-3 引出列表'!$A$2:$CE$8700,$A466,MATCH(H$1,'2-3 引出列表'!$A$1:$CD$1,0)),"")),"",IFERROR(INDEX('2-3 引出列表'!$A$2:$CE$8700,$A466,MATCH(H$1,'2-3 引出列表'!$A$1:$CD$1,0)),""))</f>
        <v>0</v>
      </c>
      <c r="I466" t="str">
        <f>IF(ISBLANK(IFERROR(INDEX('2-3 引出列表'!$A$2:$CE$8700,$A466,MATCH(I$1,'2-3 引出列表'!$A$1:$CD$1,0)),"")),"",IFERROR(INDEX('2-3 引出列表'!$A$2:$CE$8700,$A466,MATCH(I$1,'2-3 引出列表'!$A$1:$CD$1,0)),""))</f>
        <v>金采易购</v>
      </c>
    </row>
    <row r="467" spans="1:9">
      <c r="A467">
        <v>466</v>
      </c>
      <c r="B467" t="str">
        <f>IF(ISBLANK(IFERROR(INDEX('2-3 引出列表'!$A$2:$CE$8700,$A467,MATCH(B$1,'2-3 引出列表'!$A$1:$CD$1,0)),"")),"",IFERROR(INDEX('2-3 引出列表'!$A$2:$CE$8700,$A467,MATCH(B$1,'2-3 引出列表'!$A$1:$CD$1,0)),""))</f>
        <v>FK250324000190</v>
      </c>
      <c r="C467">
        <f>IF(ISBLANK(IFERROR(INDEX('2-3 引出列表'!$A$2:$CE$8700,$A467,MATCH(C$1,'2-3 引出列表'!$A$1:$CD$1,0)),"")),"",IFERROR(INDEX('2-3 引出列表'!$A$2:$CE$8700,$A467,MATCH(C$1,'2-3 引出列表'!$A$1:$CD$1,0)),""))</f>
        <v>60072</v>
      </c>
      <c r="D467" t="str">
        <f>IF(ISBLANK(IFERROR(INDEX('2-3 引出列表'!$A$2:$CE$8700,$A467,MATCH(D$1,'2-3 引出列表'!$A$1:$CD$1,0)),"")),"",IFERROR(INDEX('2-3 引出列表'!$A$2:$CE$8700,$A467,MATCH(D$1,'2-3 引出列表'!$A$1:$CD$1,0)),""))</f>
        <v>已付款</v>
      </c>
      <c r="E467" t="str">
        <f>IF(ISBLANK(IFERROR(INDEX('2-3 引出列表'!$A$2:$CE$8700,$A467,MATCH(E$1,'2-3 引出列表'!$A$1:$CD$1,0)),"")),"",IFERROR(INDEX('2-3 引出列表'!$A$2:$CE$8700,$A467,MATCH(E$1,'2-3 引出列表'!$A$1:$CD$1,0)),""))</f>
        <v>2025-06-27</v>
      </c>
      <c r="F467" s="30" t="str">
        <f t="shared" si="7"/>
        <v>2025-06</v>
      </c>
      <c r="G467" t="str">
        <f>IF(ISBLANK(IFERROR(INDEX('2-3 引出列表'!$A$2:$CE$8700,$A467,MATCH(G$1,'2-3 引出列表'!$A$1:$CD$1,0)),"")),"",IFERROR(INDEX('2-3 引出列表'!$A$2:$CE$8700,$A467,MATCH(G$1,'2-3 引出列表'!$A$1:$CD$1,0)),""))</f>
        <v>物料消耗.物料消耗</v>
      </c>
      <c r="H467">
        <f>IF(ISBLANK(IFERROR(INDEX('2-3 引出列表'!$A$2:$CE$8700,$A467,MATCH(H$1,'2-3 引出列表'!$A$1:$CD$1,0)),"")),"",IFERROR(INDEX('2-3 引出列表'!$A$2:$CE$8700,$A467,MATCH(H$1,'2-3 引出列表'!$A$1:$CD$1,0)),""))</f>
        <v>0</v>
      </c>
      <c r="I467" t="str">
        <f>IF(ISBLANK(IFERROR(INDEX('2-3 引出列表'!$A$2:$CE$8700,$A467,MATCH(I$1,'2-3 引出列表'!$A$1:$CD$1,0)),"")),"",IFERROR(INDEX('2-3 引出列表'!$A$2:$CE$8700,$A467,MATCH(I$1,'2-3 引出列表'!$A$1:$CD$1,0)),""))</f>
        <v>金采易购</v>
      </c>
    </row>
    <row r="468" spans="1:9">
      <c r="A468">
        <v>467</v>
      </c>
      <c r="B468" t="str">
        <f>IF(ISBLANK(IFERROR(INDEX('2-3 引出列表'!$A$2:$CE$8700,$A468,MATCH(B$1,'2-3 引出列表'!$A$1:$CD$1,0)),"")),"",IFERROR(INDEX('2-3 引出列表'!$A$2:$CE$8700,$A468,MATCH(B$1,'2-3 引出列表'!$A$1:$CD$1,0)),""))</f>
        <v>FK250324000190</v>
      </c>
      <c r="C468">
        <f>IF(ISBLANK(IFERROR(INDEX('2-3 引出列表'!$A$2:$CE$8700,$A468,MATCH(C$1,'2-3 引出列表'!$A$1:$CD$1,0)),"")),"",IFERROR(INDEX('2-3 引出列表'!$A$2:$CE$8700,$A468,MATCH(C$1,'2-3 引出列表'!$A$1:$CD$1,0)),""))</f>
        <v>60072</v>
      </c>
      <c r="D468" t="str">
        <f>IF(ISBLANK(IFERROR(INDEX('2-3 引出列表'!$A$2:$CE$8700,$A468,MATCH(D$1,'2-3 引出列表'!$A$1:$CD$1,0)),"")),"",IFERROR(INDEX('2-3 引出列表'!$A$2:$CE$8700,$A468,MATCH(D$1,'2-3 引出列表'!$A$1:$CD$1,0)),""))</f>
        <v>已付款</v>
      </c>
      <c r="E468" t="str">
        <f>IF(ISBLANK(IFERROR(INDEX('2-3 引出列表'!$A$2:$CE$8700,$A468,MATCH(E$1,'2-3 引出列表'!$A$1:$CD$1,0)),"")),"",IFERROR(INDEX('2-3 引出列表'!$A$2:$CE$8700,$A468,MATCH(E$1,'2-3 引出列表'!$A$1:$CD$1,0)),""))</f>
        <v>2025-06-27</v>
      </c>
      <c r="F468" s="30" t="str">
        <f t="shared" si="7"/>
        <v>2025-06</v>
      </c>
      <c r="G468" t="str">
        <f>IF(ISBLANK(IFERROR(INDEX('2-3 引出列表'!$A$2:$CE$8700,$A468,MATCH(G$1,'2-3 引出列表'!$A$1:$CD$1,0)),"")),"",IFERROR(INDEX('2-3 引出列表'!$A$2:$CE$8700,$A468,MATCH(G$1,'2-3 引出列表'!$A$1:$CD$1,0)),""))</f>
        <v>物料消耗.物料消耗</v>
      </c>
      <c r="H468">
        <f>IF(ISBLANK(IFERROR(INDEX('2-3 引出列表'!$A$2:$CE$8700,$A468,MATCH(H$1,'2-3 引出列表'!$A$1:$CD$1,0)),"")),"",IFERROR(INDEX('2-3 引出列表'!$A$2:$CE$8700,$A468,MATCH(H$1,'2-3 引出列表'!$A$1:$CD$1,0)),""))</f>
        <v>0</v>
      </c>
      <c r="I468" t="str">
        <f>IF(ISBLANK(IFERROR(INDEX('2-3 引出列表'!$A$2:$CE$8700,$A468,MATCH(I$1,'2-3 引出列表'!$A$1:$CD$1,0)),"")),"",IFERROR(INDEX('2-3 引出列表'!$A$2:$CE$8700,$A468,MATCH(I$1,'2-3 引出列表'!$A$1:$CD$1,0)),""))</f>
        <v>金采易购</v>
      </c>
    </row>
    <row r="469" spans="1:9">
      <c r="A469">
        <v>468</v>
      </c>
      <c r="B469" t="str">
        <f>IF(ISBLANK(IFERROR(INDEX('2-3 引出列表'!$A$2:$CE$8700,$A469,MATCH(B$1,'2-3 引出列表'!$A$1:$CD$1,0)),"")),"",IFERROR(INDEX('2-3 引出列表'!$A$2:$CE$8700,$A469,MATCH(B$1,'2-3 引出列表'!$A$1:$CD$1,0)),""))</f>
        <v>FK250226000850</v>
      </c>
      <c r="C469">
        <f>IF(ISBLANK(IFERROR(INDEX('2-3 引出列表'!$A$2:$CE$8700,$A469,MATCH(C$1,'2-3 引出列表'!$A$1:$CD$1,0)),"")),"",IFERROR(INDEX('2-3 引出列表'!$A$2:$CE$8700,$A469,MATCH(C$1,'2-3 引出列表'!$A$1:$CD$1,0)),""))</f>
        <v>7200</v>
      </c>
      <c r="D469" t="str">
        <f>IF(ISBLANK(IFERROR(INDEX('2-3 引出列表'!$A$2:$CE$8700,$A469,MATCH(D$1,'2-3 引出列表'!$A$1:$CD$1,0)),"")),"",IFERROR(INDEX('2-3 引出列表'!$A$2:$CE$8700,$A469,MATCH(D$1,'2-3 引出列表'!$A$1:$CD$1,0)),""))</f>
        <v>已付款</v>
      </c>
      <c r="E469" t="str">
        <f>IF(ISBLANK(IFERROR(INDEX('2-3 引出列表'!$A$2:$CE$8700,$A469,MATCH(E$1,'2-3 引出列表'!$A$1:$CD$1,0)),"")),"",IFERROR(INDEX('2-3 引出列表'!$A$2:$CE$8700,$A469,MATCH(E$1,'2-3 引出列表'!$A$1:$CD$1,0)),""))</f>
        <v>2025-06-27</v>
      </c>
      <c r="F469" s="30" t="str">
        <f t="shared" si="7"/>
        <v>2025-06</v>
      </c>
      <c r="G469" t="str">
        <f>IF(ISBLANK(IFERROR(INDEX('2-3 引出列表'!$A$2:$CE$8700,$A469,MATCH(G$1,'2-3 引出列表'!$A$1:$CD$1,0)),"")),"",IFERROR(INDEX('2-3 引出列表'!$A$2:$CE$8700,$A469,MATCH(G$1,'2-3 引出列表'!$A$1:$CD$1,0)),""))</f>
        <v>物料消耗.物料消耗</v>
      </c>
      <c r="H469">
        <f>IF(ISBLANK(IFERROR(INDEX('2-3 引出列表'!$A$2:$CE$8700,$A469,MATCH(H$1,'2-3 引出列表'!$A$1:$CD$1,0)),"")),"",IFERROR(INDEX('2-3 引出列表'!$A$2:$CE$8700,$A469,MATCH(H$1,'2-3 引出列表'!$A$1:$CD$1,0)),""))</f>
        <v>0</v>
      </c>
      <c r="I469" t="str">
        <f>IF(ISBLANK(IFERROR(INDEX('2-3 引出列表'!$A$2:$CE$8700,$A469,MATCH(I$1,'2-3 引出列表'!$A$1:$CD$1,0)),"")),"",IFERROR(INDEX('2-3 引出列表'!$A$2:$CE$8700,$A469,MATCH(I$1,'2-3 引出列表'!$A$1:$CD$1,0)),""))</f>
        <v>金采易购</v>
      </c>
    </row>
    <row r="470" spans="1:9">
      <c r="A470">
        <v>469</v>
      </c>
      <c r="B470" t="str">
        <f>IF(ISBLANK(IFERROR(INDEX('2-3 引出列表'!$A$2:$CE$8700,$A470,MATCH(B$1,'2-3 引出列表'!$A$1:$CD$1,0)),"")),"",IFERROR(INDEX('2-3 引出列表'!$A$2:$CE$8700,$A470,MATCH(B$1,'2-3 引出列表'!$A$1:$CD$1,0)),""))</f>
        <v>FK250226000845</v>
      </c>
      <c r="C470">
        <f>IF(ISBLANK(IFERROR(INDEX('2-3 引出列表'!$A$2:$CE$8700,$A470,MATCH(C$1,'2-3 引出列表'!$A$1:$CD$1,0)),"")),"",IFERROR(INDEX('2-3 引出列表'!$A$2:$CE$8700,$A470,MATCH(C$1,'2-3 引出列表'!$A$1:$CD$1,0)),""))</f>
        <v>41588.9</v>
      </c>
      <c r="D470" t="str">
        <f>IF(ISBLANK(IFERROR(INDEX('2-3 引出列表'!$A$2:$CE$8700,$A470,MATCH(D$1,'2-3 引出列表'!$A$1:$CD$1,0)),"")),"",IFERROR(INDEX('2-3 引出列表'!$A$2:$CE$8700,$A470,MATCH(D$1,'2-3 引出列表'!$A$1:$CD$1,0)),""))</f>
        <v>已付款</v>
      </c>
      <c r="E470" t="str">
        <f>IF(ISBLANK(IFERROR(INDEX('2-3 引出列表'!$A$2:$CE$8700,$A470,MATCH(E$1,'2-3 引出列表'!$A$1:$CD$1,0)),"")),"",IFERROR(INDEX('2-3 引出列表'!$A$2:$CE$8700,$A470,MATCH(E$1,'2-3 引出列表'!$A$1:$CD$1,0)),""))</f>
        <v>2025-06-27</v>
      </c>
      <c r="F470" s="30" t="str">
        <f t="shared" si="7"/>
        <v>2025-06</v>
      </c>
      <c r="G470" t="str">
        <f>IF(ISBLANK(IFERROR(INDEX('2-3 引出列表'!$A$2:$CE$8700,$A470,MATCH(G$1,'2-3 引出列表'!$A$1:$CD$1,0)),"")),"",IFERROR(INDEX('2-3 引出列表'!$A$2:$CE$8700,$A470,MATCH(G$1,'2-3 引出列表'!$A$1:$CD$1,0)),""))</f>
        <v>物料消耗.物料消耗</v>
      </c>
      <c r="H470">
        <f>IF(ISBLANK(IFERROR(INDEX('2-3 引出列表'!$A$2:$CE$8700,$A470,MATCH(H$1,'2-3 引出列表'!$A$1:$CD$1,0)),"")),"",IFERROR(INDEX('2-3 引出列表'!$A$2:$CE$8700,$A470,MATCH(H$1,'2-3 引出列表'!$A$1:$CD$1,0)),""))</f>
        <v>0</v>
      </c>
      <c r="I470" t="str">
        <f>IF(ISBLANK(IFERROR(INDEX('2-3 引出列表'!$A$2:$CE$8700,$A470,MATCH(I$1,'2-3 引出列表'!$A$1:$CD$1,0)),"")),"",IFERROR(INDEX('2-3 引出列表'!$A$2:$CE$8700,$A470,MATCH(I$1,'2-3 引出列表'!$A$1:$CD$1,0)),""))</f>
        <v>金采易购</v>
      </c>
    </row>
    <row r="471" spans="1:9">
      <c r="A471">
        <v>470</v>
      </c>
      <c r="B471" t="str">
        <f>IF(ISBLANK(IFERROR(INDEX('2-3 引出列表'!$A$2:$CE$8700,$A471,MATCH(B$1,'2-3 引出列表'!$A$1:$CD$1,0)),"")),"",IFERROR(INDEX('2-3 引出列表'!$A$2:$CE$8700,$A471,MATCH(B$1,'2-3 引出列表'!$A$1:$CD$1,0)),""))</f>
        <v>FK250226000845</v>
      </c>
      <c r="C471">
        <f>IF(ISBLANK(IFERROR(INDEX('2-3 引出列表'!$A$2:$CE$8700,$A471,MATCH(C$1,'2-3 引出列表'!$A$1:$CD$1,0)),"")),"",IFERROR(INDEX('2-3 引出列表'!$A$2:$CE$8700,$A471,MATCH(C$1,'2-3 引出列表'!$A$1:$CD$1,0)),""))</f>
        <v>41588.9</v>
      </c>
      <c r="D471" t="str">
        <f>IF(ISBLANK(IFERROR(INDEX('2-3 引出列表'!$A$2:$CE$8700,$A471,MATCH(D$1,'2-3 引出列表'!$A$1:$CD$1,0)),"")),"",IFERROR(INDEX('2-3 引出列表'!$A$2:$CE$8700,$A471,MATCH(D$1,'2-3 引出列表'!$A$1:$CD$1,0)),""))</f>
        <v>已付款</v>
      </c>
      <c r="E471" t="str">
        <f>IF(ISBLANK(IFERROR(INDEX('2-3 引出列表'!$A$2:$CE$8700,$A471,MATCH(E$1,'2-3 引出列表'!$A$1:$CD$1,0)),"")),"",IFERROR(INDEX('2-3 引出列表'!$A$2:$CE$8700,$A471,MATCH(E$1,'2-3 引出列表'!$A$1:$CD$1,0)),""))</f>
        <v>2025-06-27</v>
      </c>
      <c r="F471" s="30" t="str">
        <f t="shared" si="7"/>
        <v>2025-06</v>
      </c>
      <c r="G471" t="str">
        <f>IF(ISBLANK(IFERROR(INDEX('2-3 引出列表'!$A$2:$CE$8700,$A471,MATCH(G$1,'2-3 引出列表'!$A$1:$CD$1,0)),"")),"",IFERROR(INDEX('2-3 引出列表'!$A$2:$CE$8700,$A471,MATCH(G$1,'2-3 引出列表'!$A$1:$CD$1,0)),""))</f>
        <v>物料消耗.物料消耗</v>
      </c>
      <c r="H471">
        <f>IF(ISBLANK(IFERROR(INDEX('2-3 引出列表'!$A$2:$CE$8700,$A471,MATCH(H$1,'2-3 引出列表'!$A$1:$CD$1,0)),"")),"",IFERROR(INDEX('2-3 引出列表'!$A$2:$CE$8700,$A471,MATCH(H$1,'2-3 引出列表'!$A$1:$CD$1,0)),""))</f>
        <v>0</v>
      </c>
      <c r="I471" t="str">
        <f>IF(ISBLANK(IFERROR(INDEX('2-3 引出列表'!$A$2:$CE$8700,$A471,MATCH(I$1,'2-3 引出列表'!$A$1:$CD$1,0)),"")),"",IFERROR(INDEX('2-3 引出列表'!$A$2:$CE$8700,$A471,MATCH(I$1,'2-3 引出列表'!$A$1:$CD$1,0)),""))</f>
        <v>金采易购</v>
      </c>
    </row>
    <row r="472" spans="1:9">
      <c r="A472">
        <v>471</v>
      </c>
      <c r="B472" t="str">
        <f>IF(ISBLANK(IFERROR(INDEX('2-3 引出列表'!$A$2:$CE$8700,$A472,MATCH(B$1,'2-3 引出列表'!$A$1:$CD$1,0)),"")),"",IFERROR(INDEX('2-3 引出列表'!$A$2:$CE$8700,$A472,MATCH(B$1,'2-3 引出列表'!$A$1:$CD$1,0)),""))</f>
        <v>FK250226000845</v>
      </c>
      <c r="C472">
        <f>IF(ISBLANK(IFERROR(INDEX('2-3 引出列表'!$A$2:$CE$8700,$A472,MATCH(C$1,'2-3 引出列表'!$A$1:$CD$1,0)),"")),"",IFERROR(INDEX('2-3 引出列表'!$A$2:$CE$8700,$A472,MATCH(C$1,'2-3 引出列表'!$A$1:$CD$1,0)),""))</f>
        <v>41588.9</v>
      </c>
      <c r="D472" t="str">
        <f>IF(ISBLANK(IFERROR(INDEX('2-3 引出列表'!$A$2:$CE$8700,$A472,MATCH(D$1,'2-3 引出列表'!$A$1:$CD$1,0)),"")),"",IFERROR(INDEX('2-3 引出列表'!$A$2:$CE$8700,$A472,MATCH(D$1,'2-3 引出列表'!$A$1:$CD$1,0)),""))</f>
        <v>已付款</v>
      </c>
      <c r="E472" t="str">
        <f>IF(ISBLANK(IFERROR(INDEX('2-3 引出列表'!$A$2:$CE$8700,$A472,MATCH(E$1,'2-3 引出列表'!$A$1:$CD$1,0)),"")),"",IFERROR(INDEX('2-3 引出列表'!$A$2:$CE$8700,$A472,MATCH(E$1,'2-3 引出列表'!$A$1:$CD$1,0)),""))</f>
        <v>2025-06-27</v>
      </c>
      <c r="F472" s="30" t="str">
        <f t="shared" si="7"/>
        <v>2025-06</v>
      </c>
      <c r="G472" t="str">
        <f>IF(ISBLANK(IFERROR(INDEX('2-3 引出列表'!$A$2:$CE$8700,$A472,MATCH(G$1,'2-3 引出列表'!$A$1:$CD$1,0)),"")),"",IFERROR(INDEX('2-3 引出列表'!$A$2:$CE$8700,$A472,MATCH(G$1,'2-3 引出列表'!$A$1:$CD$1,0)),""))</f>
        <v>物料消耗.物料消耗</v>
      </c>
      <c r="H472">
        <f>IF(ISBLANK(IFERROR(INDEX('2-3 引出列表'!$A$2:$CE$8700,$A472,MATCH(H$1,'2-3 引出列表'!$A$1:$CD$1,0)),"")),"",IFERROR(INDEX('2-3 引出列表'!$A$2:$CE$8700,$A472,MATCH(H$1,'2-3 引出列表'!$A$1:$CD$1,0)),""))</f>
        <v>0</v>
      </c>
      <c r="I472" t="str">
        <f>IF(ISBLANK(IFERROR(INDEX('2-3 引出列表'!$A$2:$CE$8700,$A472,MATCH(I$1,'2-3 引出列表'!$A$1:$CD$1,0)),"")),"",IFERROR(INDEX('2-3 引出列表'!$A$2:$CE$8700,$A472,MATCH(I$1,'2-3 引出列表'!$A$1:$CD$1,0)),""))</f>
        <v>金采易购</v>
      </c>
    </row>
    <row r="473" spans="1:9">
      <c r="A473">
        <v>472</v>
      </c>
      <c r="B473" t="str">
        <f>IF(ISBLANK(IFERROR(INDEX('2-3 引出列表'!$A$2:$CE$8700,$A473,MATCH(B$1,'2-3 引出列表'!$A$1:$CD$1,0)),"")),"",IFERROR(INDEX('2-3 引出列表'!$A$2:$CE$8700,$A473,MATCH(B$1,'2-3 引出列表'!$A$1:$CD$1,0)),""))</f>
        <v>FK250226000845</v>
      </c>
      <c r="C473">
        <f>IF(ISBLANK(IFERROR(INDEX('2-3 引出列表'!$A$2:$CE$8700,$A473,MATCH(C$1,'2-3 引出列表'!$A$1:$CD$1,0)),"")),"",IFERROR(INDEX('2-3 引出列表'!$A$2:$CE$8700,$A473,MATCH(C$1,'2-3 引出列表'!$A$1:$CD$1,0)),""))</f>
        <v>41588.9</v>
      </c>
      <c r="D473" t="str">
        <f>IF(ISBLANK(IFERROR(INDEX('2-3 引出列表'!$A$2:$CE$8700,$A473,MATCH(D$1,'2-3 引出列表'!$A$1:$CD$1,0)),"")),"",IFERROR(INDEX('2-3 引出列表'!$A$2:$CE$8700,$A473,MATCH(D$1,'2-3 引出列表'!$A$1:$CD$1,0)),""))</f>
        <v>已付款</v>
      </c>
      <c r="E473" t="str">
        <f>IF(ISBLANK(IFERROR(INDEX('2-3 引出列表'!$A$2:$CE$8700,$A473,MATCH(E$1,'2-3 引出列表'!$A$1:$CD$1,0)),"")),"",IFERROR(INDEX('2-3 引出列表'!$A$2:$CE$8700,$A473,MATCH(E$1,'2-3 引出列表'!$A$1:$CD$1,0)),""))</f>
        <v>2025-06-27</v>
      </c>
      <c r="F473" s="30" t="str">
        <f t="shared" si="7"/>
        <v>2025-06</v>
      </c>
      <c r="G473" t="str">
        <f>IF(ISBLANK(IFERROR(INDEX('2-3 引出列表'!$A$2:$CE$8700,$A473,MATCH(G$1,'2-3 引出列表'!$A$1:$CD$1,0)),"")),"",IFERROR(INDEX('2-3 引出列表'!$A$2:$CE$8700,$A473,MATCH(G$1,'2-3 引出列表'!$A$1:$CD$1,0)),""))</f>
        <v>物料消耗.物料消耗</v>
      </c>
      <c r="H473">
        <f>IF(ISBLANK(IFERROR(INDEX('2-3 引出列表'!$A$2:$CE$8700,$A473,MATCH(H$1,'2-3 引出列表'!$A$1:$CD$1,0)),"")),"",IFERROR(INDEX('2-3 引出列表'!$A$2:$CE$8700,$A473,MATCH(H$1,'2-3 引出列表'!$A$1:$CD$1,0)),""))</f>
        <v>0</v>
      </c>
      <c r="I473" t="str">
        <f>IF(ISBLANK(IFERROR(INDEX('2-3 引出列表'!$A$2:$CE$8700,$A473,MATCH(I$1,'2-3 引出列表'!$A$1:$CD$1,0)),"")),"",IFERROR(INDEX('2-3 引出列表'!$A$2:$CE$8700,$A473,MATCH(I$1,'2-3 引出列表'!$A$1:$CD$1,0)),""))</f>
        <v>金采易购</v>
      </c>
    </row>
    <row r="474" spans="1:9">
      <c r="A474">
        <v>473</v>
      </c>
      <c r="B474" t="str">
        <f>IF(ISBLANK(IFERROR(INDEX('2-3 引出列表'!$A$2:$CE$8700,$A474,MATCH(B$1,'2-3 引出列表'!$A$1:$CD$1,0)),"")),"",IFERROR(INDEX('2-3 引出列表'!$A$2:$CE$8700,$A474,MATCH(B$1,'2-3 引出列表'!$A$1:$CD$1,0)),""))</f>
        <v>FK250226000845</v>
      </c>
      <c r="C474">
        <f>IF(ISBLANK(IFERROR(INDEX('2-3 引出列表'!$A$2:$CE$8700,$A474,MATCH(C$1,'2-3 引出列表'!$A$1:$CD$1,0)),"")),"",IFERROR(INDEX('2-3 引出列表'!$A$2:$CE$8700,$A474,MATCH(C$1,'2-3 引出列表'!$A$1:$CD$1,0)),""))</f>
        <v>41588.9</v>
      </c>
      <c r="D474" t="str">
        <f>IF(ISBLANK(IFERROR(INDEX('2-3 引出列表'!$A$2:$CE$8700,$A474,MATCH(D$1,'2-3 引出列表'!$A$1:$CD$1,0)),"")),"",IFERROR(INDEX('2-3 引出列表'!$A$2:$CE$8700,$A474,MATCH(D$1,'2-3 引出列表'!$A$1:$CD$1,0)),""))</f>
        <v>已付款</v>
      </c>
      <c r="E474" t="str">
        <f>IF(ISBLANK(IFERROR(INDEX('2-3 引出列表'!$A$2:$CE$8700,$A474,MATCH(E$1,'2-3 引出列表'!$A$1:$CD$1,0)),"")),"",IFERROR(INDEX('2-3 引出列表'!$A$2:$CE$8700,$A474,MATCH(E$1,'2-3 引出列表'!$A$1:$CD$1,0)),""))</f>
        <v>2025-06-27</v>
      </c>
      <c r="F474" s="30" t="str">
        <f t="shared" si="7"/>
        <v>2025-06</v>
      </c>
      <c r="G474" t="str">
        <f>IF(ISBLANK(IFERROR(INDEX('2-3 引出列表'!$A$2:$CE$8700,$A474,MATCH(G$1,'2-3 引出列表'!$A$1:$CD$1,0)),"")),"",IFERROR(INDEX('2-3 引出列表'!$A$2:$CE$8700,$A474,MATCH(G$1,'2-3 引出列表'!$A$1:$CD$1,0)),""))</f>
        <v>物料消耗.物料消耗</v>
      </c>
      <c r="H474">
        <f>IF(ISBLANK(IFERROR(INDEX('2-3 引出列表'!$A$2:$CE$8700,$A474,MATCH(H$1,'2-3 引出列表'!$A$1:$CD$1,0)),"")),"",IFERROR(INDEX('2-3 引出列表'!$A$2:$CE$8700,$A474,MATCH(H$1,'2-3 引出列表'!$A$1:$CD$1,0)),""))</f>
        <v>0</v>
      </c>
      <c r="I474" t="str">
        <f>IF(ISBLANK(IFERROR(INDEX('2-3 引出列表'!$A$2:$CE$8700,$A474,MATCH(I$1,'2-3 引出列表'!$A$1:$CD$1,0)),"")),"",IFERROR(INDEX('2-3 引出列表'!$A$2:$CE$8700,$A474,MATCH(I$1,'2-3 引出列表'!$A$1:$CD$1,0)),""))</f>
        <v>金采易购</v>
      </c>
    </row>
    <row r="475" spans="1:9">
      <c r="A475">
        <v>474</v>
      </c>
      <c r="B475" t="str">
        <f>IF(ISBLANK(IFERROR(INDEX('2-3 引出列表'!$A$2:$CE$8700,$A475,MATCH(B$1,'2-3 引出列表'!$A$1:$CD$1,0)),"")),"",IFERROR(INDEX('2-3 引出列表'!$A$2:$CE$8700,$A475,MATCH(B$1,'2-3 引出列表'!$A$1:$CD$1,0)),""))</f>
        <v>FK250226000845</v>
      </c>
      <c r="C475">
        <f>IF(ISBLANK(IFERROR(INDEX('2-3 引出列表'!$A$2:$CE$8700,$A475,MATCH(C$1,'2-3 引出列表'!$A$1:$CD$1,0)),"")),"",IFERROR(INDEX('2-3 引出列表'!$A$2:$CE$8700,$A475,MATCH(C$1,'2-3 引出列表'!$A$1:$CD$1,0)),""))</f>
        <v>41588.9</v>
      </c>
      <c r="D475" t="str">
        <f>IF(ISBLANK(IFERROR(INDEX('2-3 引出列表'!$A$2:$CE$8700,$A475,MATCH(D$1,'2-3 引出列表'!$A$1:$CD$1,0)),"")),"",IFERROR(INDEX('2-3 引出列表'!$A$2:$CE$8700,$A475,MATCH(D$1,'2-3 引出列表'!$A$1:$CD$1,0)),""))</f>
        <v>已付款</v>
      </c>
      <c r="E475" t="str">
        <f>IF(ISBLANK(IFERROR(INDEX('2-3 引出列表'!$A$2:$CE$8700,$A475,MATCH(E$1,'2-3 引出列表'!$A$1:$CD$1,0)),"")),"",IFERROR(INDEX('2-3 引出列表'!$A$2:$CE$8700,$A475,MATCH(E$1,'2-3 引出列表'!$A$1:$CD$1,0)),""))</f>
        <v>2025-06-27</v>
      </c>
      <c r="F475" s="30" t="str">
        <f t="shared" si="7"/>
        <v>2025-06</v>
      </c>
      <c r="G475" t="str">
        <f>IF(ISBLANK(IFERROR(INDEX('2-3 引出列表'!$A$2:$CE$8700,$A475,MATCH(G$1,'2-3 引出列表'!$A$1:$CD$1,0)),"")),"",IFERROR(INDEX('2-3 引出列表'!$A$2:$CE$8700,$A475,MATCH(G$1,'2-3 引出列表'!$A$1:$CD$1,0)),""))</f>
        <v>物料消耗.物料消耗</v>
      </c>
      <c r="H475">
        <f>IF(ISBLANK(IFERROR(INDEX('2-3 引出列表'!$A$2:$CE$8700,$A475,MATCH(H$1,'2-3 引出列表'!$A$1:$CD$1,0)),"")),"",IFERROR(INDEX('2-3 引出列表'!$A$2:$CE$8700,$A475,MATCH(H$1,'2-3 引出列表'!$A$1:$CD$1,0)),""))</f>
        <v>0</v>
      </c>
      <c r="I475" t="str">
        <f>IF(ISBLANK(IFERROR(INDEX('2-3 引出列表'!$A$2:$CE$8700,$A475,MATCH(I$1,'2-3 引出列表'!$A$1:$CD$1,0)),"")),"",IFERROR(INDEX('2-3 引出列表'!$A$2:$CE$8700,$A475,MATCH(I$1,'2-3 引出列表'!$A$1:$CD$1,0)),""))</f>
        <v>金采易购</v>
      </c>
    </row>
    <row r="476" spans="1:9">
      <c r="A476">
        <v>475</v>
      </c>
      <c r="B476" t="str">
        <f>IF(ISBLANK(IFERROR(INDEX('2-3 引出列表'!$A$2:$CE$8700,$A476,MATCH(B$1,'2-3 引出列表'!$A$1:$CD$1,0)),"")),"",IFERROR(INDEX('2-3 引出列表'!$A$2:$CE$8700,$A476,MATCH(B$1,'2-3 引出列表'!$A$1:$CD$1,0)),""))</f>
        <v>FK250226000845</v>
      </c>
      <c r="C476">
        <f>IF(ISBLANK(IFERROR(INDEX('2-3 引出列表'!$A$2:$CE$8700,$A476,MATCH(C$1,'2-3 引出列表'!$A$1:$CD$1,0)),"")),"",IFERROR(INDEX('2-3 引出列表'!$A$2:$CE$8700,$A476,MATCH(C$1,'2-3 引出列表'!$A$1:$CD$1,0)),""))</f>
        <v>41588.9</v>
      </c>
      <c r="D476" t="str">
        <f>IF(ISBLANK(IFERROR(INDEX('2-3 引出列表'!$A$2:$CE$8700,$A476,MATCH(D$1,'2-3 引出列表'!$A$1:$CD$1,0)),"")),"",IFERROR(INDEX('2-3 引出列表'!$A$2:$CE$8700,$A476,MATCH(D$1,'2-3 引出列表'!$A$1:$CD$1,0)),""))</f>
        <v>已付款</v>
      </c>
      <c r="E476" t="str">
        <f>IF(ISBLANK(IFERROR(INDEX('2-3 引出列表'!$A$2:$CE$8700,$A476,MATCH(E$1,'2-3 引出列表'!$A$1:$CD$1,0)),"")),"",IFERROR(INDEX('2-3 引出列表'!$A$2:$CE$8700,$A476,MATCH(E$1,'2-3 引出列表'!$A$1:$CD$1,0)),""))</f>
        <v>2025-06-27</v>
      </c>
      <c r="F476" s="30" t="str">
        <f t="shared" si="7"/>
        <v>2025-06</v>
      </c>
      <c r="G476" t="str">
        <f>IF(ISBLANK(IFERROR(INDEX('2-3 引出列表'!$A$2:$CE$8700,$A476,MATCH(G$1,'2-3 引出列表'!$A$1:$CD$1,0)),"")),"",IFERROR(INDEX('2-3 引出列表'!$A$2:$CE$8700,$A476,MATCH(G$1,'2-3 引出列表'!$A$1:$CD$1,0)),""))</f>
        <v>物料消耗.物料消耗</v>
      </c>
      <c r="H476">
        <f>IF(ISBLANK(IFERROR(INDEX('2-3 引出列表'!$A$2:$CE$8700,$A476,MATCH(H$1,'2-3 引出列表'!$A$1:$CD$1,0)),"")),"",IFERROR(INDEX('2-3 引出列表'!$A$2:$CE$8700,$A476,MATCH(H$1,'2-3 引出列表'!$A$1:$CD$1,0)),""))</f>
        <v>0</v>
      </c>
      <c r="I476" t="str">
        <f>IF(ISBLANK(IFERROR(INDEX('2-3 引出列表'!$A$2:$CE$8700,$A476,MATCH(I$1,'2-3 引出列表'!$A$1:$CD$1,0)),"")),"",IFERROR(INDEX('2-3 引出列表'!$A$2:$CE$8700,$A476,MATCH(I$1,'2-3 引出列表'!$A$1:$CD$1,0)),""))</f>
        <v>金采易购</v>
      </c>
    </row>
    <row r="477" spans="1:9">
      <c r="A477">
        <v>476</v>
      </c>
      <c r="B477" t="str">
        <f>IF(ISBLANK(IFERROR(INDEX('2-3 引出列表'!$A$2:$CE$8700,$A477,MATCH(B$1,'2-3 引出列表'!$A$1:$CD$1,0)),"")),"",IFERROR(INDEX('2-3 引出列表'!$A$2:$CE$8700,$A477,MATCH(B$1,'2-3 引出列表'!$A$1:$CD$1,0)),""))</f>
        <v>FK250226000845</v>
      </c>
      <c r="C477">
        <f>IF(ISBLANK(IFERROR(INDEX('2-3 引出列表'!$A$2:$CE$8700,$A477,MATCH(C$1,'2-3 引出列表'!$A$1:$CD$1,0)),"")),"",IFERROR(INDEX('2-3 引出列表'!$A$2:$CE$8700,$A477,MATCH(C$1,'2-3 引出列表'!$A$1:$CD$1,0)),""))</f>
        <v>41588.9</v>
      </c>
      <c r="D477" t="str">
        <f>IF(ISBLANK(IFERROR(INDEX('2-3 引出列表'!$A$2:$CE$8700,$A477,MATCH(D$1,'2-3 引出列表'!$A$1:$CD$1,0)),"")),"",IFERROR(INDEX('2-3 引出列表'!$A$2:$CE$8700,$A477,MATCH(D$1,'2-3 引出列表'!$A$1:$CD$1,0)),""))</f>
        <v>已付款</v>
      </c>
      <c r="E477" t="str">
        <f>IF(ISBLANK(IFERROR(INDEX('2-3 引出列表'!$A$2:$CE$8700,$A477,MATCH(E$1,'2-3 引出列表'!$A$1:$CD$1,0)),"")),"",IFERROR(INDEX('2-3 引出列表'!$A$2:$CE$8700,$A477,MATCH(E$1,'2-3 引出列表'!$A$1:$CD$1,0)),""))</f>
        <v>2025-06-27</v>
      </c>
      <c r="F477" s="30" t="str">
        <f t="shared" si="7"/>
        <v>2025-06</v>
      </c>
      <c r="G477" t="str">
        <f>IF(ISBLANK(IFERROR(INDEX('2-3 引出列表'!$A$2:$CE$8700,$A477,MATCH(G$1,'2-3 引出列表'!$A$1:$CD$1,0)),"")),"",IFERROR(INDEX('2-3 引出列表'!$A$2:$CE$8700,$A477,MATCH(G$1,'2-3 引出列表'!$A$1:$CD$1,0)),""))</f>
        <v>物料消耗.物料消耗</v>
      </c>
      <c r="H477">
        <f>IF(ISBLANK(IFERROR(INDEX('2-3 引出列表'!$A$2:$CE$8700,$A477,MATCH(H$1,'2-3 引出列表'!$A$1:$CD$1,0)),"")),"",IFERROR(INDEX('2-3 引出列表'!$A$2:$CE$8700,$A477,MATCH(H$1,'2-3 引出列表'!$A$1:$CD$1,0)),""))</f>
        <v>0</v>
      </c>
      <c r="I477" t="str">
        <f>IF(ISBLANK(IFERROR(INDEX('2-3 引出列表'!$A$2:$CE$8700,$A477,MATCH(I$1,'2-3 引出列表'!$A$1:$CD$1,0)),"")),"",IFERROR(INDEX('2-3 引出列表'!$A$2:$CE$8700,$A477,MATCH(I$1,'2-3 引出列表'!$A$1:$CD$1,0)),""))</f>
        <v>金采易购</v>
      </c>
    </row>
    <row r="478" spans="1:9">
      <c r="A478">
        <v>477</v>
      </c>
      <c r="B478" t="str">
        <f>IF(ISBLANK(IFERROR(INDEX('2-3 引出列表'!$A$2:$CE$8700,$A478,MATCH(B$1,'2-3 引出列表'!$A$1:$CD$1,0)),"")),"",IFERROR(INDEX('2-3 引出列表'!$A$2:$CE$8700,$A478,MATCH(B$1,'2-3 引出列表'!$A$1:$CD$1,0)),""))</f>
        <v>FK250226000845</v>
      </c>
      <c r="C478">
        <f>IF(ISBLANK(IFERROR(INDEX('2-3 引出列表'!$A$2:$CE$8700,$A478,MATCH(C$1,'2-3 引出列表'!$A$1:$CD$1,0)),"")),"",IFERROR(INDEX('2-3 引出列表'!$A$2:$CE$8700,$A478,MATCH(C$1,'2-3 引出列表'!$A$1:$CD$1,0)),""))</f>
        <v>41588.9</v>
      </c>
      <c r="D478" t="str">
        <f>IF(ISBLANK(IFERROR(INDEX('2-3 引出列表'!$A$2:$CE$8700,$A478,MATCH(D$1,'2-3 引出列表'!$A$1:$CD$1,0)),"")),"",IFERROR(INDEX('2-3 引出列表'!$A$2:$CE$8700,$A478,MATCH(D$1,'2-3 引出列表'!$A$1:$CD$1,0)),""))</f>
        <v>已付款</v>
      </c>
      <c r="E478" t="str">
        <f>IF(ISBLANK(IFERROR(INDEX('2-3 引出列表'!$A$2:$CE$8700,$A478,MATCH(E$1,'2-3 引出列表'!$A$1:$CD$1,0)),"")),"",IFERROR(INDEX('2-3 引出列表'!$A$2:$CE$8700,$A478,MATCH(E$1,'2-3 引出列表'!$A$1:$CD$1,0)),""))</f>
        <v>2025-06-27</v>
      </c>
      <c r="F478" s="30" t="str">
        <f t="shared" si="7"/>
        <v>2025-06</v>
      </c>
      <c r="G478" t="str">
        <f>IF(ISBLANK(IFERROR(INDEX('2-3 引出列表'!$A$2:$CE$8700,$A478,MATCH(G$1,'2-3 引出列表'!$A$1:$CD$1,0)),"")),"",IFERROR(INDEX('2-3 引出列表'!$A$2:$CE$8700,$A478,MATCH(G$1,'2-3 引出列表'!$A$1:$CD$1,0)),""))</f>
        <v>物料消耗.物料消耗</v>
      </c>
      <c r="H478">
        <f>IF(ISBLANK(IFERROR(INDEX('2-3 引出列表'!$A$2:$CE$8700,$A478,MATCH(H$1,'2-3 引出列表'!$A$1:$CD$1,0)),"")),"",IFERROR(INDEX('2-3 引出列表'!$A$2:$CE$8700,$A478,MATCH(H$1,'2-3 引出列表'!$A$1:$CD$1,0)),""))</f>
        <v>0</v>
      </c>
      <c r="I478" t="str">
        <f>IF(ISBLANK(IFERROR(INDEX('2-3 引出列表'!$A$2:$CE$8700,$A478,MATCH(I$1,'2-3 引出列表'!$A$1:$CD$1,0)),"")),"",IFERROR(INDEX('2-3 引出列表'!$A$2:$CE$8700,$A478,MATCH(I$1,'2-3 引出列表'!$A$1:$CD$1,0)),""))</f>
        <v>金采易购</v>
      </c>
    </row>
    <row r="479" spans="1:9">
      <c r="A479">
        <v>478</v>
      </c>
      <c r="B479" t="str">
        <f>IF(ISBLANK(IFERROR(INDEX('2-3 引出列表'!$A$2:$CE$8700,$A479,MATCH(B$1,'2-3 引出列表'!$A$1:$CD$1,0)),"")),"",IFERROR(INDEX('2-3 引出列表'!$A$2:$CE$8700,$A479,MATCH(B$1,'2-3 引出列表'!$A$1:$CD$1,0)),""))</f>
        <v>FK250226000845</v>
      </c>
      <c r="C479">
        <f>IF(ISBLANK(IFERROR(INDEX('2-3 引出列表'!$A$2:$CE$8700,$A479,MATCH(C$1,'2-3 引出列表'!$A$1:$CD$1,0)),"")),"",IFERROR(INDEX('2-3 引出列表'!$A$2:$CE$8700,$A479,MATCH(C$1,'2-3 引出列表'!$A$1:$CD$1,0)),""))</f>
        <v>41588.9</v>
      </c>
      <c r="D479" t="str">
        <f>IF(ISBLANK(IFERROR(INDEX('2-3 引出列表'!$A$2:$CE$8700,$A479,MATCH(D$1,'2-3 引出列表'!$A$1:$CD$1,0)),"")),"",IFERROR(INDEX('2-3 引出列表'!$A$2:$CE$8700,$A479,MATCH(D$1,'2-3 引出列表'!$A$1:$CD$1,0)),""))</f>
        <v>已付款</v>
      </c>
      <c r="E479" t="str">
        <f>IF(ISBLANK(IFERROR(INDEX('2-3 引出列表'!$A$2:$CE$8700,$A479,MATCH(E$1,'2-3 引出列表'!$A$1:$CD$1,0)),"")),"",IFERROR(INDEX('2-3 引出列表'!$A$2:$CE$8700,$A479,MATCH(E$1,'2-3 引出列表'!$A$1:$CD$1,0)),""))</f>
        <v>2025-06-27</v>
      </c>
      <c r="F479" s="30" t="str">
        <f t="shared" si="7"/>
        <v>2025-06</v>
      </c>
      <c r="G479" t="str">
        <f>IF(ISBLANK(IFERROR(INDEX('2-3 引出列表'!$A$2:$CE$8700,$A479,MATCH(G$1,'2-3 引出列表'!$A$1:$CD$1,0)),"")),"",IFERROR(INDEX('2-3 引出列表'!$A$2:$CE$8700,$A479,MATCH(G$1,'2-3 引出列表'!$A$1:$CD$1,0)),""))</f>
        <v>物料消耗.物料消耗</v>
      </c>
      <c r="H479">
        <f>IF(ISBLANK(IFERROR(INDEX('2-3 引出列表'!$A$2:$CE$8700,$A479,MATCH(H$1,'2-3 引出列表'!$A$1:$CD$1,0)),"")),"",IFERROR(INDEX('2-3 引出列表'!$A$2:$CE$8700,$A479,MATCH(H$1,'2-3 引出列表'!$A$1:$CD$1,0)),""))</f>
        <v>0</v>
      </c>
      <c r="I479" t="str">
        <f>IF(ISBLANK(IFERROR(INDEX('2-3 引出列表'!$A$2:$CE$8700,$A479,MATCH(I$1,'2-3 引出列表'!$A$1:$CD$1,0)),"")),"",IFERROR(INDEX('2-3 引出列表'!$A$2:$CE$8700,$A479,MATCH(I$1,'2-3 引出列表'!$A$1:$CD$1,0)),""))</f>
        <v>金采易购</v>
      </c>
    </row>
    <row r="480" spans="1:9">
      <c r="A480">
        <v>479</v>
      </c>
      <c r="B480" t="str">
        <f>IF(ISBLANK(IFERROR(INDEX('2-3 引出列表'!$A$2:$CE$8700,$A480,MATCH(B$1,'2-3 引出列表'!$A$1:$CD$1,0)),"")),"",IFERROR(INDEX('2-3 引出列表'!$A$2:$CE$8700,$A480,MATCH(B$1,'2-3 引出列表'!$A$1:$CD$1,0)),""))</f>
        <v>FK250226000845</v>
      </c>
      <c r="C480">
        <f>IF(ISBLANK(IFERROR(INDEX('2-3 引出列表'!$A$2:$CE$8700,$A480,MATCH(C$1,'2-3 引出列表'!$A$1:$CD$1,0)),"")),"",IFERROR(INDEX('2-3 引出列表'!$A$2:$CE$8700,$A480,MATCH(C$1,'2-3 引出列表'!$A$1:$CD$1,0)),""))</f>
        <v>41588.9</v>
      </c>
      <c r="D480" t="str">
        <f>IF(ISBLANK(IFERROR(INDEX('2-3 引出列表'!$A$2:$CE$8700,$A480,MATCH(D$1,'2-3 引出列表'!$A$1:$CD$1,0)),"")),"",IFERROR(INDEX('2-3 引出列表'!$A$2:$CE$8700,$A480,MATCH(D$1,'2-3 引出列表'!$A$1:$CD$1,0)),""))</f>
        <v>已付款</v>
      </c>
      <c r="E480" t="str">
        <f>IF(ISBLANK(IFERROR(INDEX('2-3 引出列表'!$A$2:$CE$8700,$A480,MATCH(E$1,'2-3 引出列表'!$A$1:$CD$1,0)),"")),"",IFERROR(INDEX('2-3 引出列表'!$A$2:$CE$8700,$A480,MATCH(E$1,'2-3 引出列表'!$A$1:$CD$1,0)),""))</f>
        <v>2025-06-27</v>
      </c>
      <c r="F480" s="30" t="str">
        <f t="shared" si="7"/>
        <v>2025-06</v>
      </c>
      <c r="G480" t="str">
        <f>IF(ISBLANK(IFERROR(INDEX('2-3 引出列表'!$A$2:$CE$8700,$A480,MATCH(G$1,'2-3 引出列表'!$A$1:$CD$1,0)),"")),"",IFERROR(INDEX('2-3 引出列表'!$A$2:$CE$8700,$A480,MATCH(G$1,'2-3 引出列表'!$A$1:$CD$1,0)),""))</f>
        <v>物料消耗.物料消耗</v>
      </c>
      <c r="H480">
        <f>IF(ISBLANK(IFERROR(INDEX('2-3 引出列表'!$A$2:$CE$8700,$A480,MATCH(H$1,'2-3 引出列表'!$A$1:$CD$1,0)),"")),"",IFERROR(INDEX('2-3 引出列表'!$A$2:$CE$8700,$A480,MATCH(H$1,'2-3 引出列表'!$A$1:$CD$1,0)),""))</f>
        <v>0</v>
      </c>
      <c r="I480" t="str">
        <f>IF(ISBLANK(IFERROR(INDEX('2-3 引出列表'!$A$2:$CE$8700,$A480,MATCH(I$1,'2-3 引出列表'!$A$1:$CD$1,0)),"")),"",IFERROR(INDEX('2-3 引出列表'!$A$2:$CE$8700,$A480,MATCH(I$1,'2-3 引出列表'!$A$1:$CD$1,0)),""))</f>
        <v>金采易购</v>
      </c>
    </row>
    <row r="481" spans="1:9">
      <c r="A481">
        <v>480</v>
      </c>
      <c r="B481" t="str">
        <f>IF(ISBLANK(IFERROR(INDEX('2-3 引出列表'!$A$2:$CE$8700,$A481,MATCH(B$1,'2-3 引出列表'!$A$1:$CD$1,0)),"")),"",IFERROR(INDEX('2-3 引出列表'!$A$2:$CE$8700,$A481,MATCH(B$1,'2-3 引出列表'!$A$1:$CD$1,0)),""))</f>
        <v>FK250226000869</v>
      </c>
      <c r="C481">
        <f>IF(ISBLANK(IFERROR(INDEX('2-3 引出列表'!$A$2:$CE$8700,$A481,MATCH(C$1,'2-3 引出列表'!$A$1:$CD$1,0)),"")),"",IFERROR(INDEX('2-3 引出列表'!$A$2:$CE$8700,$A481,MATCH(C$1,'2-3 引出列表'!$A$1:$CD$1,0)),""))</f>
        <v>53068</v>
      </c>
      <c r="D481" t="str">
        <f>IF(ISBLANK(IFERROR(INDEX('2-3 引出列表'!$A$2:$CE$8700,$A481,MATCH(D$1,'2-3 引出列表'!$A$1:$CD$1,0)),"")),"",IFERROR(INDEX('2-3 引出列表'!$A$2:$CE$8700,$A481,MATCH(D$1,'2-3 引出列表'!$A$1:$CD$1,0)),""))</f>
        <v>已付款</v>
      </c>
      <c r="E481" t="str">
        <f>IF(ISBLANK(IFERROR(INDEX('2-3 引出列表'!$A$2:$CE$8700,$A481,MATCH(E$1,'2-3 引出列表'!$A$1:$CD$1,0)),"")),"",IFERROR(INDEX('2-3 引出列表'!$A$2:$CE$8700,$A481,MATCH(E$1,'2-3 引出列表'!$A$1:$CD$1,0)),""))</f>
        <v>2025-06-27</v>
      </c>
      <c r="F481" s="30" t="str">
        <f t="shared" si="7"/>
        <v>2025-06</v>
      </c>
      <c r="G481" t="str">
        <f>IF(ISBLANK(IFERROR(INDEX('2-3 引出列表'!$A$2:$CE$8700,$A481,MATCH(G$1,'2-3 引出列表'!$A$1:$CD$1,0)),"")),"",IFERROR(INDEX('2-3 引出列表'!$A$2:$CE$8700,$A481,MATCH(G$1,'2-3 引出列表'!$A$1:$CD$1,0)),""))</f>
        <v>物料消耗.物料消耗</v>
      </c>
      <c r="H481">
        <f>IF(ISBLANK(IFERROR(INDEX('2-3 引出列表'!$A$2:$CE$8700,$A481,MATCH(H$1,'2-3 引出列表'!$A$1:$CD$1,0)),"")),"",IFERROR(INDEX('2-3 引出列表'!$A$2:$CE$8700,$A481,MATCH(H$1,'2-3 引出列表'!$A$1:$CD$1,0)),""))</f>
        <v>0</v>
      </c>
      <c r="I481" t="str">
        <f>IF(ISBLANK(IFERROR(INDEX('2-3 引出列表'!$A$2:$CE$8700,$A481,MATCH(I$1,'2-3 引出列表'!$A$1:$CD$1,0)),"")),"",IFERROR(INDEX('2-3 引出列表'!$A$2:$CE$8700,$A481,MATCH(I$1,'2-3 引出列表'!$A$1:$CD$1,0)),""))</f>
        <v>金采易购</v>
      </c>
    </row>
    <row r="482" spans="1:9">
      <c r="A482">
        <v>481</v>
      </c>
      <c r="B482" t="str">
        <f>IF(ISBLANK(IFERROR(INDEX('2-3 引出列表'!$A$2:$CE$8700,$A482,MATCH(B$1,'2-3 引出列表'!$A$1:$CD$1,0)),"")),"",IFERROR(INDEX('2-3 引出列表'!$A$2:$CE$8700,$A482,MATCH(B$1,'2-3 引出列表'!$A$1:$CD$1,0)),""))</f>
        <v>FK250219000549</v>
      </c>
      <c r="C482">
        <f>IF(ISBLANK(IFERROR(INDEX('2-3 引出列表'!$A$2:$CE$8700,$A482,MATCH(C$1,'2-3 引出列表'!$A$1:$CD$1,0)),"")),"",IFERROR(INDEX('2-3 引出列表'!$A$2:$CE$8700,$A482,MATCH(C$1,'2-3 引出列表'!$A$1:$CD$1,0)),""))</f>
        <v>40833.33</v>
      </c>
      <c r="D482" t="str">
        <f>IF(ISBLANK(IFERROR(INDEX('2-3 引出列表'!$A$2:$CE$8700,$A482,MATCH(D$1,'2-3 引出列表'!$A$1:$CD$1,0)),"")),"",IFERROR(INDEX('2-3 引出列表'!$A$2:$CE$8700,$A482,MATCH(D$1,'2-3 引出列表'!$A$1:$CD$1,0)),""))</f>
        <v>已付款</v>
      </c>
      <c r="E482" t="str">
        <f>IF(ISBLANK(IFERROR(INDEX('2-3 引出列表'!$A$2:$CE$8700,$A482,MATCH(E$1,'2-3 引出列表'!$A$1:$CD$1,0)),"")),"",IFERROR(INDEX('2-3 引出列表'!$A$2:$CE$8700,$A482,MATCH(E$1,'2-3 引出列表'!$A$1:$CD$1,0)),""))</f>
        <v>2025-06-27</v>
      </c>
      <c r="F482" s="30" t="str">
        <f t="shared" si="7"/>
        <v>2025-06</v>
      </c>
      <c r="G482" t="str">
        <f>IF(ISBLANK(IFERROR(INDEX('2-3 引出列表'!$A$2:$CE$8700,$A482,MATCH(G$1,'2-3 引出列表'!$A$1:$CD$1,0)),"")),"",IFERROR(INDEX('2-3 引出列表'!$A$2:$CE$8700,$A482,MATCH(G$1,'2-3 引出列表'!$A$1:$CD$1,0)),""))</f>
        <v>外包服务费.设备设施维保外包</v>
      </c>
      <c r="H482" t="str">
        <f>IF(ISBLANK(IFERROR(INDEX('2-3 引出列表'!$A$2:$CE$8700,$A482,MATCH(H$1,'2-3 引出列表'!$A$1:$CD$1,0)),"")),"",IFERROR(INDEX('2-3 引出列表'!$A$2:$CE$8700,$A482,MATCH(H$1,'2-3 引出列表'!$A$1:$CD$1,0)),""))</f>
        <v>GCFW-Z-2024-3545</v>
      </c>
      <c r="I482" t="str">
        <f>IF(ISBLANK(IFERROR(INDEX('2-3 引出列表'!$A$2:$CE$8700,$A482,MATCH(I$1,'2-3 引出列表'!$A$1:$CD$1,0)),"")),"",IFERROR(INDEX('2-3 引出列表'!$A$2:$CE$8700,$A482,MATCH(I$1,'2-3 引出列表'!$A$1:$CD$1,0)),""))</f>
        <v>金采易购</v>
      </c>
    </row>
    <row r="483" spans="1:9">
      <c r="A483">
        <v>482</v>
      </c>
      <c r="B483" t="str">
        <f>IF(ISBLANK(IFERROR(INDEX('2-3 引出列表'!$A$2:$CE$8700,$A483,MATCH(B$1,'2-3 引出列表'!$A$1:$CD$1,0)),"")),"",IFERROR(INDEX('2-3 引出列表'!$A$2:$CE$8700,$A483,MATCH(B$1,'2-3 引出列表'!$A$1:$CD$1,0)),""))</f>
        <v>FK250213000708</v>
      </c>
      <c r="C483">
        <f>IF(ISBLANK(IFERROR(INDEX('2-3 引出列表'!$A$2:$CE$8700,$A483,MATCH(C$1,'2-3 引出列表'!$A$1:$CD$1,0)),"")),"",IFERROR(INDEX('2-3 引出列表'!$A$2:$CE$8700,$A483,MATCH(C$1,'2-3 引出列表'!$A$1:$CD$1,0)),""))</f>
        <v>23127.6</v>
      </c>
      <c r="D483" t="str">
        <f>IF(ISBLANK(IFERROR(INDEX('2-3 引出列表'!$A$2:$CE$8700,$A483,MATCH(D$1,'2-3 引出列表'!$A$1:$CD$1,0)),"")),"",IFERROR(INDEX('2-3 引出列表'!$A$2:$CE$8700,$A483,MATCH(D$1,'2-3 引出列表'!$A$1:$CD$1,0)),""))</f>
        <v>已付款</v>
      </c>
      <c r="E483" t="str">
        <f>IF(ISBLANK(IFERROR(INDEX('2-3 引出列表'!$A$2:$CE$8700,$A483,MATCH(E$1,'2-3 引出列表'!$A$1:$CD$1,0)),"")),"",IFERROR(INDEX('2-3 引出列表'!$A$2:$CE$8700,$A483,MATCH(E$1,'2-3 引出列表'!$A$1:$CD$1,0)),""))</f>
        <v>2025-06-27</v>
      </c>
      <c r="F483" s="30" t="str">
        <f t="shared" si="7"/>
        <v>2025-06</v>
      </c>
      <c r="G483" t="str">
        <f>IF(ISBLANK(IFERROR(INDEX('2-3 引出列表'!$A$2:$CE$8700,$A483,MATCH(G$1,'2-3 引出列表'!$A$1:$CD$1,0)),"")),"",IFERROR(INDEX('2-3 引出列表'!$A$2:$CE$8700,$A483,MATCH(G$1,'2-3 引出列表'!$A$1:$CD$1,0)),""))</f>
        <v>物料消耗.物料消耗</v>
      </c>
      <c r="H483" t="str">
        <f>IF(ISBLANK(IFERROR(INDEX('2-3 引出列表'!$A$2:$CE$8700,$A483,MATCH(H$1,'2-3 引出列表'!$A$1:$CD$1,0)),"")),"",IFERROR(INDEX('2-3 引出列表'!$A$2:$CE$8700,$A483,MATCH(H$1,'2-3 引出列表'!$A$1:$CD$1,0)),""))</f>
        <v>XHWZ-Z-2024-0076</v>
      </c>
      <c r="I483" t="str">
        <f>IF(ISBLANK(IFERROR(INDEX('2-3 引出列表'!$A$2:$CE$8700,$A483,MATCH(I$1,'2-3 引出列表'!$A$1:$CD$1,0)),"")),"",IFERROR(INDEX('2-3 引出列表'!$A$2:$CE$8700,$A483,MATCH(I$1,'2-3 引出列表'!$A$1:$CD$1,0)),""))</f>
        <v>金采易购</v>
      </c>
    </row>
    <row r="484" spans="1:9">
      <c r="A484">
        <v>483</v>
      </c>
      <c r="B484" t="str">
        <f>IF(ISBLANK(IFERROR(INDEX('2-3 引出列表'!$A$2:$CE$8700,$A484,MATCH(B$1,'2-3 引出列表'!$A$1:$CD$1,0)),"")),"",IFERROR(INDEX('2-3 引出列表'!$A$2:$CE$8700,$A484,MATCH(B$1,'2-3 引出列表'!$A$1:$CD$1,0)),""))</f>
        <v>FK250213000708</v>
      </c>
      <c r="C484">
        <f>IF(ISBLANK(IFERROR(INDEX('2-3 引出列表'!$A$2:$CE$8700,$A484,MATCH(C$1,'2-3 引出列表'!$A$1:$CD$1,0)),"")),"",IFERROR(INDEX('2-3 引出列表'!$A$2:$CE$8700,$A484,MATCH(C$1,'2-3 引出列表'!$A$1:$CD$1,0)),""))</f>
        <v>23127.6</v>
      </c>
      <c r="D484" t="str">
        <f>IF(ISBLANK(IFERROR(INDEX('2-3 引出列表'!$A$2:$CE$8700,$A484,MATCH(D$1,'2-3 引出列表'!$A$1:$CD$1,0)),"")),"",IFERROR(INDEX('2-3 引出列表'!$A$2:$CE$8700,$A484,MATCH(D$1,'2-3 引出列表'!$A$1:$CD$1,0)),""))</f>
        <v>已付款</v>
      </c>
      <c r="E484" t="str">
        <f>IF(ISBLANK(IFERROR(INDEX('2-3 引出列表'!$A$2:$CE$8700,$A484,MATCH(E$1,'2-3 引出列表'!$A$1:$CD$1,0)),"")),"",IFERROR(INDEX('2-3 引出列表'!$A$2:$CE$8700,$A484,MATCH(E$1,'2-3 引出列表'!$A$1:$CD$1,0)),""))</f>
        <v>2025-06-27</v>
      </c>
      <c r="F484" s="30" t="str">
        <f t="shared" si="7"/>
        <v>2025-06</v>
      </c>
      <c r="G484" t="str">
        <f>IF(ISBLANK(IFERROR(INDEX('2-3 引出列表'!$A$2:$CE$8700,$A484,MATCH(G$1,'2-3 引出列表'!$A$1:$CD$1,0)),"")),"",IFERROR(INDEX('2-3 引出列表'!$A$2:$CE$8700,$A484,MATCH(G$1,'2-3 引出列表'!$A$1:$CD$1,0)),""))</f>
        <v>物料消耗.物料消耗</v>
      </c>
      <c r="H484" t="str">
        <f>IF(ISBLANK(IFERROR(INDEX('2-3 引出列表'!$A$2:$CE$8700,$A484,MATCH(H$1,'2-3 引出列表'!$A$1:$CD$1,0)),"")),"",IFERROR(INDEX('2-3 引出列表'!$A$2:$CE$8700,$A484,MATCH(H$1,'2-3 引出列表'!$A$1:$CD$1,0)),""))</f>
        <v>XHWZ-Z-2024-0076</v>
      </c>
      <c r="I484" t="str">
        <f>IF(ISBLANK(IFERROR(INDEX('2-3 引出列表'!$A$2:$CE$8700,$A484,MATCH(I$1,'2-3 引出列表'!$A$1:$CD$1,0)),"")),"",IFERROR(INDEX('2-3 引出列表'!$A$2:$CE$8700,$A484,MATCH(I$1,'2-3 引出列表'!$A$1:$CD$1,0)),""))</f>
        <v>金采易购</v>
      </c>
    </row>
    <row r="485" spans="1:9">
      <c r="A485">
        <v>484</v>
      </c>
      <c r="B485" t="str">
        <f>IF(ISBLANK(IFERROR(INDEX('2-3 引出列表'!$A$2:$CE$8700,$A485,MATCH(B$1,'2-3 引出列表'!$A$1:$CD$1,0)),"")),"",IFERROR(INDEX('2-3 引出列表'!$A$2:$CE$8700,$A485,MATCH(B$1,'2-3 引出列表'!$A$1:$CD$1,0)),""))</f>
        <v>FK250213000708</v>
      </c>
      <c r="C485">
        <f>IF(ISBLANK(IFERROR(INDEX('2-3 引出列表'!$A$2:$CE$8700,$A485,MATCH(C$1,'2-3 引出列表'!$A$1:$CD$1,0)),"")),"",IFERROR(INDEX('2-3 引出列表'!$A$2:$CE$8700,$A485,MATCH(C$1,'2-3 引出列表'!$A$1:$CD$1,0)),""))</f>
        <v>23127.6</v>
      </c>
      <c r="D485" t="str">
        <f>IF(ISBLANK(IFERROR(INDEX('2-3 引出列表'!$A$2:$CE$8700,$A485,MATCH(D$1,'2-3 引出列表'!$A$1:$CD$1,0)),"")),"",IFERROR(INDEX('2-3 引出列表'!$A$2:$CE$8700,$A485,MATCH(D$1,'2-3 引出列表'!$A$1:$CD$1,0)),""))</f>
        <v>已付款</v>
      </c>
      <c r="E485" t="str">
        <f>IF(ISBLANK(IFERROR(INDEX('2-3 引出列表'!$A$2:$CE$8700,$A485,MATCH(E$1,'2-3 引出列表'!$A$1:$CD$1,0)),"")),"",IFERROR(INDEX('2-3 引出列表'!$A$2:$CE$8700,$A485,MATCH(E$1,'2-3 引出列表'!$A$1:$CD$1,0)),""))</f>
        <v>2025-06-27</v>
      </c>
      <c r="F485" s="30" t="str">
        <f t="shared" si="7"/>
        <v>2025-06</v>
      </c>
      <c r="G485" t="str">
        <f>IF(ISBLANK(IFERROR(INDEX('2-3 引出列表'!$A$2:$CE$8700,$A485,MATCH(G$1,'2-3 引出列表'!$A$1:$CD$1,0)),"")),"",IFERROR(INDEX('2-3 引出列表'!$A$2:$CE$8700,$A485,MATCH(G$1,'2-3 引出列表'!$A$1:$CD$1,0)),""))</f>
        <v>物料消耗.物料消耗</v>
      </c>
      <c r="H485" t="str">
        <f>IF(ISBLANK(IFERROR(INDEX('2-3 引出列表'!$A$2:$CE$8700,$A485,MATCH(H$1,'2-3 引出列表'!$A$1:$CD$1,0)),"")),"",IFERROR(INDEX('2-3 引出列表'!$A$2:$CE$8700,$A485,MATCH(H$1,'2-3 引出列表'!$A$1:$CD$1,0)),""))</f>
        <v>XHWZ-Z-2024-0076</v>
      </c>
      <c r="I485" t="str">
        <f>IF(ISBLANK(IFERROR(INDEX('2-3 引出列表'!$A$2:$CE$8700,$A485,MATCH(I$1,'2-3 引出列表'!$A$1:$CD$1,0)),"")),"",IFERROR(INDEX('2-3 引出列表'!$A$2:$CE$8700,$A485,MATCH(I$1,'2-3 引出列表'!$A$1:$CD$1,0)),""))</f>
        <v>金采易购</v>
      </c>
    </row>
    <row r="486" spans="1:9">
      <c r="A486">
        <v>485</v>
      </c>
      <c r="B486" t="str">
        <f>IF(ISBLANK(IFERROR(INDEX('2-3 引出列表'!$A$2:$CE$8700,$A486,MATCH(B$1,'2-3 引出列表'!$A$1:$CD$1,0)),"")),"",IFERROR(INDEX('2-3 引出列表'!$A$2:$CE$8700,$A486,MATCH(B$1,'2-3 引出列表'!$A$1:$CD$1,0)),""))</f>
        <v>FK250213000708</v>
      </c>
      <c r="C486">
        <f>IF(ISBLANK(IFERROR(INDEX('2-3 引出列表'!$A$2:$CE$8700,$A486,MATCH(C$1,'2-3 引出列表'!$A$1:$CD$1,0)),"")),"",IFERROR(INDEX('2-3 引出列表'!$A$2:$CE$8700,$A486,MATCH(C$1,'2-3 引出列表'!$A$1:$CD$1,0)),""))</f>
        <v>23127.6</v>
      </c>
      <c r="D486" t="str">
        <f>IF(ISBLANK(IFERROR(INDEX('2-3 引出列表'!$A$2:$CE$8700,$A486,MATCH(D$1,'2-3 引出列表'!$A$1:$CD$1,0)),"")),"",IFERROR(INDEX('2-3 引出列表'!$A$2:$CE$8700,$A486,MATCH(D$1,'2-3 引出列表'!$A$1:$CD$1,0)),""))</f>
        <v>已付款</v>
      </c>
      <c r="E486" t="str">
        <f>IF(ISBLANK(IFERROR(INDEX('2-3 引出列表'!$A$2:$CE$8700,$A486,MATCH(E$1,'2-3 引出列表'!$A$1:$CD$1,0)),"")),"",IFERROR(INDEX('2-3 引出列表'!$A$2:$CE$8700,$A486,MATCH(E$1,'2-3 引出列表'!$A$1:$CD$1,0)),""))</f>
        <v>2025-06-27</v>
      </c>
      <c r="F486" s="30" t="str">
        <f t="shared" si="7"/>
        <v>2025-06</v>
      </c>
      <c r="G486" t="str">
        <f>IF(ISBLANK(IFERROR(INDEX('2-3 引出列表'!$A$2:$CE$8700,$A486,MATCH(G$1,'2-3 引出列表'!$A$1:$CD$1,0)),"")),"",IFERROR(INDEX('2-3 引出列表'!$A$2:$CE$8700,$A486,MATCH(G$1,'2-3 引出列表'!$A$1:$CD$1,0)),""))</f>
        <v>物料消耗.物料消耗</v>
      </c>
      <c r="H486" t="str">
        <f>IF(ISBLANK(IFERROR(INDEX('2-3 引出列表'!$A$2:$CE$8700,$A486,MATCH(H$1,'2-3 引出列表'!$A$1:$CD$1,0)),"")),"",IFERROR(INDEX('2-3 引出列表'!$A$2:$CE$8700,$A486,MATCH(H$1,'2-3 引出列表'!$A$1:$CD$1,0)),""))</f>
        <v>XHWZ-Z-2024-0076</v>
      </c>
      <c r="I486" t="str">
        <f>IF(ISBLANK(IFERROR(INDEX('2-3 引出列表'!$A$2:$CE$8700,$A486,MATCH(I$1,'2-3 引出列表'!$A$1:$CD$1,0)),"")),"",IFERROR(INDEX('2-3 引出列表'!$A$2:$CE$8700,$A486,MATCH(I$1,'2-3 引出列表'!$A$1:$CD$1,0)),""))</f>
        <v>金采易购</v>
      </c>
    </row>
    <row r="487" spans="1:9">
      <c r="A487">
        <v>486</v>
      </c>
      <c r="B487" t="str">
        <f>IF(ISBLANK(IFERROR(INDEX('2-3 引出列表'!$A$2:$CE$8700,$A487,MATCH(B$1,'2-3 引出列表'!$A$1:$CD$1,0)),"")),"",IFERROR(INDEX('2-3 引出列表'!$A$2:$CE$8700,$A487,MATCH(B$1,'2-3 引出列表'!$A$1:$CD$1,0)),""))</f>
        <v>FK250213000708</v>
      </c>
      <c r="C487">
        <f>IF(ISBLANK(IFERROR(INDEX('2-3 引出列表'!$A$2:$CE$8700,$A487,MATCH(C$1,'2-3 引出列表'!$A$1:$CD$1,0)),"")),"",IFERROR(INDEX('2-3 引出列表'!$A$2:$CE$8700,$A487,MATCH(C$1,'2-3 引出列表'!$A$1:$CD$1,0)),""))</f>
        <v>23127.6</v>
      </c>
      <c r="D487" t="str">
        <f>IF(ISBLANK(IFERROR(INDEX('2-3 引出列表'!$A$2:$CE$8700,$A487,MATCH(D$1,'2-3 引出列表'!$A$1:$CD$1,0)),"")),"",IFERROR(INDEX('2-3 引出列表'!$A$2:$CE$8700,$A487,MATCH(D$1,'2-3 引出列表'!$A$1:$CD$1,0)),""))</f>
        <v>已付款</v>
      </c>
      <c r="E487" t="str">
        <f>IF(ISBLANK(IFERROR(INDEX('2-3 引出列表'!$A$2:$CE$8700,$A487,MATCH(E$1,'2-3 引出列表'!$A$1:$CD$1,0)),"")),"",IFERROR(INDEX('2-3 引出列表'!$A$2:$CE$8700,$A487,MATCH(E$1,'2-3 引出列表'!$A$1:$CD$1,0)),""))</f>
        <v>2025-06-27</v>
      </c>
      <c r="F487" s="30" t="str">
        <f t="shared" si="7"/>
        <v>2025-06</v>
      </c>
      <c r="G487" t="str">
        <f>IF(ISBLANK(IFERROR(INDEX('2-3 引出列表'!$A$2:$CE$8700,$A487,MATCH(G$1,'2-3 引出列表'!$A$1:$CD$1,0)),"")),"",IFERROR(INDEX('2-3 引出列表'!$A$2:$CE$8700,$A487,MATCH(G$1,'2-3 引出列表'!$A$1:$CD$1,0)),""))</f>
        <v>物料消耗.物料消耗</v>
      </c>
      <c r="H487" t="str">
        <f>IF(ISBLANK(IFERROR(INDEX('2-3 引出列表'!$A$2:$CE$8700,$A487,MATCH(H$1,'2-3 引出列表'!$A$1:$CD$1,0)),"")),"",IFERROR(INDEX('2-3 引出列表'!$A$2:$CE$8700,$A487,MATCH(H$1,'2-3 引出列表'!$A$1:$CD$1,0)),""))</f>
        <v>XHWZ-Z-2024-0076</v>
      </c>
      <c r="I487" t="str">
        <f>IF(ISBLANK(IFERROR(INDEX('2-3 引出列表'!$A$2:$CE$8700,$A487,MATCH(I$1,'2-3 引出列表'!$A$1:$CD$1,0)),"")),"",IFERROR(INDEX('2-3 引出列表'!$A$2:$CE$8700,$A487,MATCH(I$1,'2-3 引出列表'!$A$1:$CD$1,0)),""))</f>
        <v>金采易购</v>
      </c>
    </row>
    <row r="488" spans="1:9">
      <c r="A488">
        <v>487</v>
      </c>
      <c r="B488" t="str">
        <f>IF(ISBLANK(IFERROR(INDEX('2-3 引出列表'!$A$2:$CE$8700,$A488,MATCH(B$1,'2-3 引出列表'!$A$1:$CD$1,0)),"")),"",IFERROR(INDEX('2-3 引出列表'!$A$2:$CE$8700,$A488,MATCH(B$1,'2-3 引出列表'!$A$1:$CD$1,0)),""))</f>
        <v>FK250213000708</v>
      </c>
      <c r="C488">
        <f>IF(ISBLANK(IFERROR(INDEX('2-3 引出列表'!$A$2:$CE$8700,$A488,MATCH(C$1,'2-3 引出列表'!$A$1:$CD$1,0)),"")),"",IFERROR(INDEX('2-3 引出列表'!$A$2:$CE$8700,$A488,MATCH(C$1,'2-3 引出列表'!$A$1:$CD$1,0)),""))</f>
        <v>23127.6</v>
      </c>
      <c r="D488" t="str">
        <f>IF(ISBLANK(IFERROR(INDEX('2-3 引出列表'!$A$2:$CE$8700,$A488,MATCH(D$1,'2-3 引出列表'!$A$1:$CD$1,0)),"")),"",IFERROR(INDEX('2-3 引出列表'!$A$2:$CE$8700,$A488,MATCH(D$1,'2-3 引出列表'!$A$1:$CD$1,0)),""))</f>
        <v>已付款</v>
      </c>
      <c r="E488" t="str">
        <f>IF(ISBLANK(IFERROR(INDEX('2-3 引出列表'!$A$2:$CE$8700,$A488,MATCH(E$1,'2-3 引出列表'!$A$1:$CD$1,0)),"")),"",IFERROR(INDEX('2-3 引出列表'!$A$2:$CE$8700,$A488,MATCH(E$1,'2-3 引出列表'!$A$1:$CD$1,0)),""))</f>
        <v>2025-06-27</v>
      </c>
      <c r="F488" s="30" t="str">
        <f t="shared" si="7"/>
        <v>2025-06</v>
      </c>
      <c r="G488" t="str">
        <f>IF(ISBLANK(IFERROR(INDEX('2-3 引出列表'!$A$2:$CE$8700,$A488,MATCH(G$1,'2-3 引出列表'!$A$1:$CD$1,0)),"")),"",IFERROR(INDEX('2-3 引出列表'!$A$2:$CE$8700,$A488,MATCH(G$1,'2-3 引出列表'!$A$1:$CD$1,0)),""))</f>
        <v>物料消耗.物料消耗</v>
      </c>
      <c r="H488" t="str">
        <f>IF(ISBLANK(IFERROR(INDEX('2-3 引出列表'!$A$2:$CE$8700,$A488,MATCH(H$1,'2-3 引出列表'!$A$1:$CD$1,0)),"")),"",IFERROR(INDEX('2-3 引出列表'!$A$2:$CE$8700,$A488,MATCH(H$1,'2-3 引出列表'!$A$1:$CD$1,0)),""))</f>
        <v>XHWZ-Z-2024-0076</v>
      </c>
      <c r="I488" t="str">
        <f>IF(ISBLANK(IFERROR(INDEX('2-3 引出列表'!$A$2:$CE$8700,$A488,MATCH(I$1,'2-3 引出列表'!$A$1:$CD$1,0)),"")),"",IFERROR(INDEX('2-3 引出列表'!$A$2:$CE$8700,$A488,MATCH(I$1,'2-3 引出列表'!$A$1:$CD$1,0)),""))</f>
        <v>金采易购</v>
      </c>
    </row>
    <row r="489" spans="1:9">
      <c r="A489">
        <v>488</v>
      </c>
      <c r="B489" t="str">
        <f>IF(ISBLANK(IFERROR(INDEX('2-3 引出列表'!$A$2:$CE$8700,$A489,MATCH(B$1,'2-3 引出列表'!$A$1:$CD$1,0)),"")),"",IFERROR(INDEX('2-3 引出列表'!$A$2:$CE$8700,$A489,MATCH(B$1,'2-3 引出列表'!$A$1:$CD$1,0)),""))</f>
        <v>FK250213000708</v>
      </c>
      <c r="C489">
        <f>IF(ISBLANK(IFERROR(INDEX('2-3 引出列表'!$A$2:$CE$8700,$A489,MATCH(C$1,'2-3 引出列表'!$A$1:$CD$1,0)),"")),"",IFERROR(INDEX('2-3 引出列表'!$A$2:$CE$8700,$A489,MATCH(C$1,'2-3 引出列表'!$A$1:$CD$1,0)),""))</f>
        <v>23127.6</v>
      </c>
      <c r="D489" t="str">
        <f>IF(ISBLANK(IFERROR(INDEX('2-3 引出列表'!$A$2:$CE$8700,$A489,MATCH(D$1,'2-3 引出列表'!$A$1:$CD$1,0)),"")),"",IFERROR(INDEX('2-3 引出列表'!$A$2:$CE$8700,$A489,MATCH(D$1,'2-3 引出列表'!$A$1:$CD$1,0)),""))</f>
        <v>已付款</v>
      </c>
      <c r="E489" t="str">
        <f>IF(ISBLANK(IFERROR(INDEX('2-3 引出列表'!$A$2:$CE$8700,$A489,MATCH(E$1,'2-3 引出列表'!$A$1:$CD$1,0)),"")),"",IFERROR(INDEX('2-3 引出列表'!$A$2:$CE$8700,$A489,MATCH(E$1,'2-3 引出列表'!$A$1:$CD$1,0)),""))</f>
        <v>2025-06-27</v>
      </c>
      <c r="F489" s="30" t="str">
        <f t="shared" si="7"/>
        <v>2025-06</v>
      </c>
      <c r="G489" t="str">
        <f>IF(ISBLANK(IFERROR(INDEX('2-3 引出列表'!$A$2:$CE$8700,$A489,MATCH(G$1,'2-3 引出列表'!$A$1:$CD$1,0)),"")),"",IFERROR(INDEX('2-3 引出列表'!$A$2:$CE$8700,$A489,MATCH(G$1,'2-3 引出列表'!$A$1:$CD$1,0)),""))</f>
        <v>物料消耗.物料消耗</v>
      </c>
      <c r="H489" t="str">
        <f>IF(ISBLANK(IFERROR(INDEX('2-3 引出列表'!$A$2:$CE$8700,$A489,MATCH(H$1,'2-3 引出列表'!$A$1:$CD$1,0)),"")),"",IFERROR(INDEX('2-3 引出列表'!$A$2:$CE$8700,$A489,MATCH(H$1,'2-3 引出列表'!$A$1:$CD$1,0)),""))</f>
        <v>XHWZ-Z-2024-0076</v>
      </c>
      <c r="I489" t="str">
        <f>IF(ISBLANK(IFERROR(INDEX('2-3 引出列表'!$A$2:$CE$8700,$A489,MATCH(I$1,'2-3 引出列表'!$A$1:$CD$1,0)),"")),"",IFERROR(INDEX('2-3 引出列表'!$A$2:$CE$8700,$A489,MATCH(I$1,'2-3 引出列表'!$A$1:$CD$1,0)),""))</f>
        <v>金采易购</v>
      </c>
    </row>
    <row r="490" spans="1:9">
      <c r="A490">
        <v>489</v>
      </c>
      <c r="B490" t="str">
        <f>IF(ISBLANK(IFERROR(INDEX('2-3 引出列表'!$A$2:$CE$8700,$A490,MATCH(B$1,'2-3 引出列表'!$A$1:$CD$1,0)),"")),"",IFERROR(INDEX('2-3 引出列表'!$A$2:$CE$8700,$A490,MATCH(B$1,'2-3 引出列表'!$A$1:$CD$1,0)),""))</f>
        <v>FK250213000708</v>
      </c>
      <c r="C490">
        <f>IF(ISBLANK(IFERROR(INDEX('2-3 引出列表'!$A$2:$CE$8700,$A490,MATCH(C$1,'2-3 引出列表'!$A$1:$CD$1,0)),"")),"",IFERROR(INDEX('2-3 引出列表'!$A$2:$CE$8700,$A490,MATCH(C$1,'2-3 引出列表'!$A$1:$CD$1,0)),""))</f>
        <v>23127.6</v>
      </c>
      <c r="D490" t="str">
        <f>IF(ISBLANK(IFERROR(INDEX('2-3 引出列表'!$A$2:$CE$8700,$A490,MATCH(D$1,'2-3 引出列表'!$A$1:$CD$1,0)),"")),"",IFERROR(INDEX('2-3 引出列表'!$A$2:$CE$8700,$A490,MATCH(D$1,'2-3 引出列表'!$A$1:$CD$1,0)),""))</f>
        <v>已付款</v>
      </c>
      <c r="E490" t="str">
        <f>IF(ISBLANK(IFERROR(INDEX('2-3 引出列表'!$A$2:$CE$8700,$A490,MATCH(E$1,'2-3 引出列表'!$A$1:$CD$1,0)),"")),"",IFERROR(INDEX('2-3 引出列表'!$A$2:$CE$8700,$A490,MATCH(E$1,'2-3 引出列表'!$A$1:$CD$1,0)),""))</f>
        <v>2025-06-27</v>
      </c>
      <c r="F490" s="30" t="str">
        <f t="shared" si="7"/>
        <v>2025-06</v>
      </c>
      <c r="G490" t="str">
        <f>IF(ISBLANK(IFERROR(INDEX('2-3 引出列表'!$A$2:$CE$8700,$A490,MATCH(G$1,'2-3 引出列表'!$A$1:$CD$1,0)),"")),"",IFERROR(INDEX('2-3 引出列表'!$A$2:$CE$8700,$A490,MATCH(G$1,'2-3 引出列表'!$A$1:$CD$1,0)),""))</f>
        <v>物料消耗.物料消耗</v>
      </c>
      <c r="H490" t="str">
        <f>IF(ISBLANK(IFERROR(INDEX('2-3 引出列表'!$A$2:$CE$8700,$A490,MATCH(H$1,'2-3 引出列表'!$A$1:$CD$1,0)),"")),"",IFERROR(INDEX('2-3 引出列表'!$A$2:$CE$8700,$A490,MATCH(H$1,'2-3 引出列表'!$A$1:$CD$1,0)),""))</f>
        <v>XHWZ-Z-2024-0076</v>
      </c>
      <c r="I490" t="str">
        <f>IF(ISBLANK(IFERROR(INDEX('2-3 引出列表'!$A$2:$CE$8700,$A490,MATCH(I$1,'2-3 引出列表'!$A$1:$CD$1,0)),"")),"",IFERROR(INDEX('2-3 引出列表'!$A$2:$CE$8700,$A490,MATCH(I$1,'2-3 引出列表'!$A$1:$CD$1,0)),""))</f>
        <v>金采易购</v>
      </c>
    </row>
    <row r="491" spans="1:9">
      <c r="A491">
        <v>490</v>
      </c>
      <c r="B491" t="str">
        <f>IF(ISBLANK(IFERROR(INDEX('2-3 引出列表'!$A$2:$CE$8700,$A491,MATCH(B$1,'2-3 引出列表'!$A$1:$CD$1,0)),"")),"",IFERROR(INDEX('2-3 引出列表'!$A$2:$CE$8700,$A491,MATCH(B$1,'2-3 引出列表'!$A$1:$CD$1,0)),""))</f>
        <v>FK250213000708</v>
      </c>
      <c r="C491">
        <f>IF(ISBLANK(IFERROR(INDEX('2-3 引出列表'!$A$2:$CE$8700,$A491,MATCH(C$1,'2-3 引出列表'!$A$1:$CD$1,0)),"")),"",IFERROR(INDEX('2-3 引出列表'!$A$2:$CE$8700,$A491,MATCH(C$1,'2-3 引出列表'!$A$1:$CD$1,0)),""))</f>
        <v>23127.6</v>
      </c>
      <c r="D491" t="str">
        <f>IF(ISBLANK(IFERROR(INDEX('2-3 引出列表'!$A$2:$CE$8700,$A491,MATCH(D$1,'2-3 引出列表'!$A$1:$CD$1,0)),"")),"",IFERROR(INDEX('2-3 引出列表'!$A$2:$CE$8700,$A491,MATCH(D$1,'2-3 引出列表'!$A$1:$CD$1,0)),""))</f>
        <v>已付款</v>
      </c>
      <c r="E491" t="str">
        <f>IF(ISBLANK(IFERROR(INDEX('2-3 引出列表'!$A$2:$CE$8700,$A491,MATCH(E$1,'2-3 引出列表'!$A$1:$CD$1,0)),"")),"",IFERROR(INDEX('2-3 引出列表'!$A$2:$CE$8700,$A491,MATCH(E$1,'2-3 引出列表'!$A$1:$CD$1,0)),""))</f>
        <v>2025-06-27</v>
      </c>
      <c r="F491" s="30" t="str">
        <f t="shared" si="7"/>
        <v>2025-06</v>
      </c>
      <c r="G491" t="str">
        <f>IF(ISBLANK(IFERROR(INDEX('2-3 引出列表'!$A$2:$CE$8700,$A491,MATCH(G$1,'2-3 引出列表'!$A$1:$CD$1,0)),"")),"",IFERROR(INDEX('2-3 引出列表'!$A$2:$CE$8700,$A491,MATCH(G$1,'2-3 引出列表'!$A$1:$CD$1,0)),""))</f>
        <v>物料消耗.物料消耗</v>
      </c>
      <c r="H491" t="str">
        <f>IF(ISBLANK(IFERROR(INDEX('2-3 引出列表'!$A$2:$CE$8700,$A491,MATCH(H$1,'2-3 引出列表'!$A$1:$CD$1,0)),"")),"",IFERROR(INDEX('2-3 引出列表'!$A$2:$CE$8700,$A491,MATCH(H$1,'2-3 引出列表'!$A$1:$CD$1,0)),""))</f>
        <v>XHWZ-Z-2024-0076</v>
      </c>
      <c r="I491" t="str">
        <f>IF(ISBLANK(IFERROR(INDEX('2-3 引出列表'!$A$2:$CE$8700,$A491,MATCH(I$1,'2-3 引出列表'!$A$1:$CD$1,0)),"")),"",IFERROR(INDEX('2-3 引出列表'!$A$2:$CE$8700,$A491,MATCH(I$1,'2-3 引出列表'!$A$1:$CD$1,0)),""))</f>
        <v>金采易购</v>
      </c>
    </row>
    <row r="492" spans="1:9">
      <c r="A492">
        <v>491</v>
      </c>
      <c r="B492" t="str">
        <f>IF(ISBLANK(IFERROR(INDEX('2-3 引出列表'!$A$2:$CE$8700,$A492,MATCH(B$1,'2-3 引出列表'!$A$1:$CD$1,0)),"")),"",IFERROR(INDEX('2-3 引出列表'!$A$2:$CE$8700,$A492,MATCH(B$1,'2-3 引出列表'!$A$1:$CD$1,0)),""))</f>
        <v>FK250213000708</v>
      </c>
      <c r="C492">
        <f>IF(ISBLANK(IFERROR(INDEX('2-3 引出列表'!$A$2:$CE$8700,$A492,MATCH(C$1,'2-3 引出列表'!$A$1:$CD$1,0)),"")),"",IFERROR(INDEX('2-3 引出列表'!$A$2:$CE$8700,$A492,MATCH(C$1,'2-3 引出列表'!$A$1:$CD$1,0)),""))</f>
        <v>23127.6</v>
      </c>
      <c r="D492" t="str">
        <f>IF(ISBLANK(IFERROR(INDEX('2-3 引出列表'!$A$2:$CE$8700,$A492,MATCH(D$1,'2-3 引出列表'!$A$1:$CD$1,0)),"")),"",IFERROR(INDEX('2-3 引出列表'!$A$2:$CE$8700,$A492,MATCH(D$1,'2-3 引出列表'!$A$1:$CD$1,0)),""))</f>
        <v>已付款</v>
      </c>
      <c r="E492" t="str">
        <f>IF(ISBLANK(IFERROR(INDEX('2-3 引出列表'!$A$2:$CE$8700,$A492,MATCH(E$1,'2-3 引出列表'!$A$1:$CD$1,0)),"")),"",IFERROR(INDEX('2-3 引出列表'!$A$2:$CE$8700,$A492,MATCH(E$1,'2-3 引出列表'!$A$1:$CD$1,0)),""))</f>
        <v>2025-06-27</v>
      </c>
      <c r="F492" s="30" t="str">
        <f t="shared" si="7"/>
        <v>2025-06</v>
      </c>
      <c r="G492" t="str">
        <f>IF(ISBLANK(IFERROR(INDEX('2-3 引出列表'!$A$2:$CE$8700,$A492,MATCH(G$1,'2-3 引出列表'!$A$1:$CD$1,0)),"")),"",IFERROR(INDEX('2-3 引出列表'!$A$2:$CE$8700,$A492,MATCH(G$1,'2-3 引出列表'!$A$1:$CD$1,0)),""))</f>
        <v>物料消耗.物料消耗</v>
      </c>
      <c r="H492" t="str">
        <f>IF(ISBLANK(IFERROR(INDEX('2-3 引出列表'!$A$2:$CE$8700,$A492,MATCH(H$1,'2-3 引出列表'!$A$1:$CD$1,0)),"")),"",IFERROR(INDEX('2-3 引出列表'!$A$2:$CE$8700,$A492,MATCH(H$1,'2-3 引出列表'!$A$1:$CD$1,0)),""))</f>
        <v>XHWZ-Z-2024-0076</v>
      </c>
      <c r="I492" t="str">
        <f>IF(ISBLANK(IFERROR(INDEX('2-3 引出列表'!$A$2:$CE$8700,$A492,MATCH(I$1,'2-3 引出列表'!$A$1:$CD$1,0)),"")),"",IFERROR(INDEX('2-3 引出列表'!$A$2:$CE$8700,$A492,MATCH(I$1,'2-3 引出列表'!$A$1:$CD$1,0)),""))</f>
        <v>金采易购</v>
      </c>
    </row>
    <row r="493" spans="1:9">
      <c r="A493">
        <v>492</v>
      </c>
      <c r="B493" t="str">
        <f>IF(ISBLANK(IFERROR(INDEX('2-3 引出列表'!$A$2:$CE$8700,$A493,MATCH(B$1,'2-3 引出列表'!$A$1:$CD$1,0)),"")),"",IFERROR(INDEX('2-3 引出列表'!$A$2:$CE$8700,$A493,MATCH(B$1,'2-3 引出列表'!$A$1:$CD$1,0)),""))</f>
        <v>FK250213000708</v>
      </c>
      <c r="C493">
        <f>IF(ISBLANK(IFERROR(INDEX('2-3 引出列表'!$A$2:$CE$8700,$A493,MATCH(C$1,'2-3 引出列表'!$A$1:$CD$1,0)),"")),"",IFERROR(INDEX('2-3 引出列表'!$A$2:$CE$8700,$A493,MATCH(C$1,'2-3 引出列表'!$A$1:$CD$1,0)),""))</f>
        <v>23127.6</v>
      </c>
      <c r="D493" t="str">
        <f>IF(ISBLANK(IFERROR(INDEX('2-3 引出列表'!$A$2:$CE$8700,$A493,MATCH(D$1,'2-3 引出列表'!$A$1:$CD$1,0)),"")),"",IFERROR(INDEX('2-3 引出列表'!$A$2:$CE$8700,$A493,MATCH(D$1,'2-3 引出列表'!$A$1:$CD$1,0)),""))</f>
        <v>已付款</v>
      </c>
      <c r="E493" t="str">
        <f>IF(ISBLANK(IFERROR(INDEX('2-3 引出列表'!$A$2:$CE$8700,$A493,MATCH(E$1,'2-3 引出列表'!$A$1:$CD$1,0)),"")),"",IFERROR(INDEX('2-3 引出列表'!$A$2:$CE$8700,$A493,MATCH(E$1,'2-3 引出列表'!$A$1:$CD$1,0)),""))</f>
        <v>2025-06-27</v>
      </c>
      <c r="F493" s="30" t="str">
        <f t="shared" si="7"/>
        <v>2025-06</v>
      </c>
      <c r="G493" t="str">
        <f>IF(ISBLANK(IFERROR(INDEX('2-3 引出列表'!$A$2:$CE$8700,$A493,MATCH(G$1,'2-3 引出列表'!$A$1:$CD$1,0)),"")),"",IFERROR(INDEX('2-3 引出列表'!$A$2:$CE$8700,$A493,MATCH(G$1,'2-3 引出列表'!$A$1:$CD$1,0)),""))</f>
        <v>物料消耗.物料消耗</v>
      </c>
      <c r="H493" t="str">
        <f>IF(ISBLANK(IFERROR(INDEX('2-3 引出列表'!$A$2:$CE$8700,$A493,MATCH(H$1,'2-3 引出列表'!$A$1:$CD$1,0)),"")),"",IFERROR(INDEX('2-3 引出列表'!$A$2:$CE$8700,$A493,MATCH(H$1,'2-3 引出列表'!$A$1:$CD$1,0)),""))</f>
        <v>XHWZ-Z-2024-0076</v>
      </c>
      <c r="I493" t="str">
        <f>IF(ISBLANK(IFERROR(INDEX('2-3 引出列表'!$A$2:$CE$8700,$A493,MATCH(I$1,'2-3 引出列表'!$A$1:$CD$1,0)),"")),"",IFERROR(INDEX('2-3 引出列表'!$A$2:$CE$8700,$A493,MATCH(I$1,'2-3 引出列表'!$A$1:$CD$1,0)),""))</f>
        <v>金采易购</v>
      </c>
    </row>
    <row r="494" spans="1:9">
      <c r="A494">
        <v>493</v>
      </c>
      <c r="B494" t="str">
        <f>IF(ISBLANK(IFERROR(INDEX('2-3 引出列表'!$A$2:$CE$8700,$A494,MATCH(B$1,'2-3 引出列表'!$A$1:$CD$1,0)),"")),"",IFERROR(INDEX('2-3 引出列表'!$A$2:$CE$8700,$A494,MATCH(B$1,'2-3 引出列表'!$A$1:$CD$1,0)),""))</f>
        <v>FK250213000708</v>
      </c>
      <c r="C494">
        <f>IF(ISBLANK(IFERROR(INDEX('2-3 引出列表'!$A$2:$CE$8700,$A494,MATCH(C$1,'2-3 引出列表'!$A$1:$CD$1,0)),"")),"",IFERROR(INDEX('2-3 引出列表'!$A$2:$CE$8700,$A494,MATCH(C$1,'2-3 引出列表'!$A$1:$CD$1,0)),""))</f>
        <v>23127.6</v>
      </c>
      <c r="D494" t="str">
        <f>IF(ISBLANK(IFERROR(INDEX('2-3 引出列表'!$A$2:$CE$8700,$A494,MATCH(D$1,'2-3 引出列表'!$A$1:$CD$1,0)),"")),"",IFERROR(INDEX('2-3 引出列表'!$A$2:$CE$8700,$A494,MATCH(D$1,'2-3 引出列表'!$A$1:$CD$1,0)),""))</f>
        <v>已付款</v>
      </c>
      <c r="E494" t="str">
        <f>IF(ISBLANK(IFERROR(INDEX('2-3 引出列表'!$A$2:$CE$8700,$A494,MATCH(E$1,'2-3 引出列表'!$A$1:$CD$1,0)),"")),"",IFERROR(INDEX('2-3 引出列表'!$A$2:$CE$8700,$A494,MATCH(E$1,'2-3 引出列表'!$A$1:$CD$1,0)),""))</f>
        <v>2025-06-27</v>
      </c>
      <c r="F494" s="30" t="str">
        <f t="shared" si="7"/>
        <v>2025-06</v>
      </c>
      <c r="G494" t="str">
        <f>IF(ISBLANK(IFERROR(INDEX('2-3 引出列表'!$A$2:$CE$8700,$A494,MATCH(G$1,'2-3 引出列表'!$A$1:$CD$1,0)),"")),"",IFERROR(INDEX('2-3 引出列表'!$A$2:$CE$8700,$A494,MATCH(G$1,'2-3 引出列表'!$A$1:$CD$1,0)),""))</f>
        <v>物料消耗.物料消耗</v>
      </c>
      <c r="H494" t="str">
        <f>IF(ISBLANK(IFERROR(INDEX('2-3 引出列表'!$A$2:$CE$8700,$A494,MATCH(H$1,'2-3 引出列表'!$A$1:$CD$1,0)),"")),"",IFERROR(INDEX('2-3 引出列表'!$A$2:$CE$8700,$A494,MATCH(H$1,'2-3 引出列表'!$A$1:$CD$1,0)),""))</f>
        <v>XHWZ-Z-2024-0076</v>
      </c>
      <c r="I494" t="str">
        <f>IF(ISBLANK(IFERROR(INDEX('2-3 引出列表'!$A$2:$CE$8700,$A494,MATCH(I$1,'2-3 引出列表'!$A$1:$CD$1,0)),"")),"",IFERROR(INDEX('2-3 引出列表'!$A$2:$CE$8700,$A494,MATCH(I$1,'2-3 引出列表'!$A$1:$CD$1,0)),""))</f>
        <v>金采易购</v>
      </c>
    </row>
    <row r="495" spans="1:9">
      <c r="A495">
        <v>494</v>
      </c>
      <c r="B495" t="str">
        <f>IF(ISBLANK(IFERROR(INDEX('2-3 引出列表'!$A$2:$CE$8700,$A495,MATCH(B$1,'2-3 引出列表'!$A$1:$CD$1,0)),"")),"",IFERROR(INDEX('2-3 引出列表'!$A$2:$CE$8700,$A495,MATCH(B$1,'2-3 引出列表'!$A$1:$CD$1,0)),""))</f>
        <v>FK250213000708</v>
      </c>
      <c r="C495">
        <f>IF(ISBLANK(IFERROR(INDEX('2-3 引出列表'!$A$2:$CE$8700,$A495,MATCH(C$1,'2-3 引出列表'!$A$1:$CD$1,0)),"")),"",IFERROR(INDEX('2-3 引出列表'!$A$2:$CE$8700,$A495,MATCH(C$1,'2-3 引出列表'!$A$1:$CD$1,0)),""))</f>
        <v>23127.6</v>
      </c>
      <c r="D495" t="str">
        <f>IF(ISBLANK(IFERROR(INDEX('2-3 引出列表'!$A$2:$CE$8700,$A495,MATCH(D$1,'2-3 引出列表'!$A$1:$CD$1,0)),"")),"",IFERROR(INDEX('2-3 引出列表'!$A$2:$CE$8700,$A495,MATCH(D$1,'2-3 引出列表'!$A$1:$CD$1,0)),""))</f>
        <v>已付款</v>
      </c>
      <c r="E495" t="str">
        <f>IF(ISBLANK(IFERROR(INDEX('2-3 引出列表'!$A$2:$CE$8700,$A495,MATCH(E$1,'2-3 引出列表'!$A$1:$CD$1,0)),"")),"",IFERROR(INDEX('2-3 引出列表'!$A$2:$CE$8700,$A495,MATCH(E$1,'2-3 引出列表'!$A$1:$CD$1,0)),""))</f>
        <v>2025-06-27</v>
      </c>
      <c r="F495" s="30" t="str">
        <f t="shared" si="7"/>
        <v>2025-06</v>
      </c>
      <c r="G495" t="str">
        <f>IF(ISBLANK(IFERROR(INDEX('2-3 引出列表'!$A$2:$CE$8700,$A495,MATCH(G$1,'2-3 引出列表'!$A$1:$CD$1,0)),"")),"",IFERROR(INDEX('2-3 引出列表'!$A$2:$CE$8700,$A495,MATCH(G$1,'2-3 引出列表'!$A$1:$CD$1,0)),""))</f>
        <v>物料消耗.物料消耗</v>
      </c>
      <c r="H495" t="str">
        <f>IF(ISBLANK(IFERROR(INDEX('2-3 引出列表'!$A$2:$CE$8700,$A495,MATCH(H$1,'2-3 引出列表'!$A$1:$CD$1,0)),"")),"",IFERROR(INDEX('2-3 引出列表'!$A$2:$CE$8700,$A495,MATCH(H$1,'2-3 引出列表'!$A$1:$CD$1,0)),""))</f>
        <v>XHWZ-Z-2024-0076</v>
      </c>
      <c r="I495" t="str">
        <f>IF(ISBLANK(IFERROR(INDEX('2-3 引出列表'!$A$2:$CE$8700,$A495,MATCH(I$1,'2-3 引出列表'!$A$1:$CD$1,0)),"")),"",IFERROR(INDEX('2-3 引出列表'!$A$2:$CE$8700,$A495,MATCH(I$1,'2-3 引出列表'!$A$1:$CD$1,0)),""))</f>
        <v>金采易购</v>
      </c>
    </row>
    <row r="496" spans="1:9">
      <c r="A496">
        <v>495</v>
      </c>
      <c r="B496" t="str">
        <f>IF(ISBLANK(IFERROR(INDEX('2-3 引出列表'!$A$2:$CE$8700,$A496,MATCH(B$1,'2-3 引出列表'!$A$1:$CD$1,0)),"")),"",IFERROR(INDEX('2-3 引出列表'!$A$2:$CE$8700,$A496,MATCH(B$1,'2-3 引出列表'!$A$1:$CD$1,0)),""))</f>
        <v>FK250213000708</v>
      </c>
      <c r="C496">
        <f>IF(ISBLANK(IFERROR(INDEX('2-3 引出列表'!$A$2:$CE$8700,$A496,MATCH(C$1,'2-3 引出列表'!$A$1:$CD$1,0)),"")),"",IFERROR(INDEX('2-3 引出列表'!$A$2:$CE$8700,$A496,MATCH(C$1,'2-3 引出列表'!$A$1:$CD$1,0)),""))</f>
        <v>23127.6</v>
      </c>
      <c r="D496" t="str">
        <f>IF(ISBLANK(IFERROR(INDEX('2-3 引出列表'!$A$2:$CE$8700,$A496,MATCH(D$1,'2-3 引出列表'!$A$1:$CD$1,0)),"")),"",IFERROR(INDEX('2-3 引出列表'!$A$2:$CE$8700,$A496,MATCH(D$1,'2-3 引出列表'!$A$1:$CD$1,0)),""))</f>
        <v>已付款</v>
      </c>
      <c r="E496" t="str">
        <f>IF(ISBLANK(IFERROR(INDEX('2-3 引出列表'!$A$2:$CE$8700,$A496,MATCH(E$1,'2-3 引出列表'!$A$1:$CD$1,0)),"")),"",IFERROR(INDEX('2-3 引出列表'!$A$2:$CE$8700,$A496,MATCH(E$1,'2-3 引出列表'!$A$1:$CD$1,0)),""))</f>
        <v>2025-06-27</v>
      </c>
      <c r="F496" s="30" t="str">
        <f t="shared" si="7"/>
        <v>2025-06</v>
      </c>
      <c r="G496" t="str">
        <f>IF(ISBLANK(IFERROR(INDEX('2-3 引出列表'!$A$2:$CE$8700,$A496,MATCH(G$1,'2-3 引出列表'!$A$1:$CD$1,0)),"")),"",IFERROR(INDEX('2-3 引出列表'!$A$2:$CE$8700,$A496,MATCH(G$1,'2-3 引出列表'!$A$1:$CD$1,0)),""))</f>
        <v>物料消耗.物料消耗</v>
      </c>
      <c r="H496" t="str">
        <f>IF(ISBLANK(IFERROR(INDEX('2-3 引出列表'!$A$2:$CE$8700,$A496,MATCH(H$1,'2-3 引出列表'!$A$1:$CD$1,0)),"")),"",IFERROR(INDEX('2-3 引出列表'!$A$2:$CE$8700,$A496,MATCH(H$1,'2-3 引出列表'!$A$1:$CD$1,0)),""))</f>
        <v>XHWZ-Z-2024-0076</v>
      </c>
      <c r="I496" t="str">
        <f>IF(ISBLANK(IFERROR(INDEX('2-3 引出列表'!$A$2:$CE$8700,$A496,MATCH(I$1,'2-3 引出列表'!$A$1:$CD$1,0)),"")),"",IFERROR(INDEX('2-3 引出列表'!$A$2:$CE$8700,$A496,MATCH(I$1,'2-3 引出列表'!$A$1:$CD$1,0)),""))</f>
        <v>金采易购</v>
      </c>
    </row>
    <row r="497" spans="1:9">
      <c r="A497">
        <v>496</v>
      </c>
      <c r="B497" t="str">
        <f>IF(ISBLANK(IFERROR(INDEX('2-3 引出列表'!$A$2:$CE$8700,$A497,MATCH(B$1,'2-3 引出列表'!$A$1:$CD$1,0)),"")),"",IFERROR(INDEX('2-3 引出列表'!$A$2:$CE$8700,$A497,MATCH(B$1,'2-3 引出列表'!$A$1:$CD$1,0)),""))</f>
        <v>FK250121000785</v>
      </c>
      <c r="C497">
        <f>IF(ISBLANK(IFERROR(INDEX('2-3 引出列表'!$A$2:$CE$8700,$A497,MATCH(C$1,'2-3 引出列表'!$A$1:$CD$1,0)),"")),"",IFERROR(INDEX('2-3 引出列表'!$A$2:$CE$8700,$A497,MATCH(C$1,'2-3 引出列表'!$A$1:$CD$1,0)),""))</f>
        <v>20975.96</v>
      </c>
      <c r="D497" t="str">
        <f>IF(ISBLANK(IFERROR(INDEX('2-3 引出列表'!$A$2:$CE$8700,$A497,MATCH(D$1,'2-3 引出列表'!$A$1:$CD$1,0)),"")),"",IFERROR(INDEX('2-3 引出列表'!$A$2:$CE$8700,$A497,MATCH(D$1,'2-3 引出列表'!$A$1:$CD$1,0)),""))</f>
        <v>已付款</v>
      </c>
      <c r="E497" t="str">
        <f>IF(ISBLANK(IFERROR(INDEX('2-3 引出列表'!$A$2:$CE$8700,$A497,MATCH(E$1,'2-3 引出列表'!$A$1:$CD$1,0)),"")),"",IFERROR(INDEX('2-3 引出列表'!$A$2:$CE$8700,$A497,MATCH(E$1,'2-3 引出列表'!$A$1:$CD$1,0)),""))</f>
        <v>2025-06-27</v>
      </c>
      <c r="F497" s="30" t="str">
        <f t="shared" si="7"/>
        <v>2025-06</v>
      </c>
      <c r="G497" t="str">
        <f>IF(ISBLANK(IFERROR(INDEX('2-3 引出列表'!$A$2:$CE$8700,$A497,MATCH(G$1,'2-3 引出列表'!$A$1:$CD$1,0)),"")),"",IFERROR(INDEX('2-3 引出列表'!$A$2:$CE$8700,$A497,MATCH(G$1,'2-3 引出列表'!$A$1:$CD$1,0)),""))</f>
        <v>物料消耗.物料消耗</v>
      </c>
      <c r="H497">
        <f>IF(ISBLANK(IFERROR(INDEX('2-3 引出列表'!$A$2:$CE$8700,$A497,MATCH(H$1,'2-3 引出列表'!$A$1:$CD$1,0)),"")),"",IFERROR(INDEX('2-3 引出列表'!$A$2:$CE$8700,$A497,MATCH(H$1,'2-3 引出列表'!$A$1:$CD$1,0)),""))</f>
        <v>0</v>
      </c>
      <c r="I497" t="str">
        <f>IF(ISBLANK(IFERROR(INDEX('2-3 引出列表'!$A$2:$CE$8700,$A497,MATCH(I$1,'2-3 引出列表'!$A$1:$CD$1,0)),"")),"",IFERROR(INDEX('2-3 引出列表'!$A$2:$CE$8700,$A497,MATCH(I$1,'2-3 引出列表'!$A$1:$CD$1,0)),""))</f>
        <v>金采易购</v>
      </c>
    </row>
    <row r="498" spans="1:9">
      <c r="A498">
        <v>497</v>
      </c>
      <c r="B498" t="str">
        <f>IF(ISBLANK(IFERROR(INDEX('2-3 引出列表'!$A$2:$CE$8700,$A498,MATCH(B$1,'2-3 引出列表'!$A$1:$CD$1,0)),"")),"",IFERROR(INDEX('2-3 引出列表'!$A$2:$CE$8700,$A498,MATCH(B$1,'2-3 引出列表'!$A$1:$CD$1,0)),""))</f>
        <v>FK250121000785</v>
      </c>
      <c r="C498">
        <f>IF(ISBLANK(IFERROR(INDEX('2-3 引出列表'!$A$2:$CE$8700,$A498,MATCH(C$1,'2-3 引出列表'!$A$1:$CD$1,0)),"")),"",IFERROR(INDEX('2-3 引出列表'!$A$2:$CE$8700,$A498,MATCH(C$1,'2-3 引出列表'!$A$1:$CD$1,0)),""))</f>
        <v>20975.96</v>
      </c>
      <c r="D498" t="str">
        <f>IF(ISBLANK(IFERROR(INDEX('2-3 引出列表'!$A$2:$CE$8700,$A498,MATCH(D$1,'2-3 引出列表'!$A$1:$CD$1,0)),"")),"",IFERROR(INDEX('2-3 引出列表'!$A$2:$CE$8700,$A498,MATCH(D$1,'2-3 引出列表'!$A$1:$CD$1,0)),""))</f>
        <v>已付款</v>
      </c>
      <c r="E498" t="str">
        <f>IF(ISBLANK(IFERROR(INDEX('2-3 引出列表'!$A$2:$CE$8700,$A498,MATCH(E$1,'2-3 引出列表'!$A$1:$CD$1,0)),"")),"",IFERROR(INDEX('2-3 引出列表'!$A$2:$CE$8700,$A498,MATCH(E$1,'2-3 引出列表'!$A$1:$CD$1,0)),""))</f>
        <v>2025-06-27</v>
      </c>
      <c r="F498" s="30" t="str">
        <f t="shared" si="7"/>
        <v>2025-06</v>
      </c>
      <c r="G498" t="str">
        <f>IF(ISBLANK(IFERROR(INDEX('2-3 引出列表'!$A$2:$CE$8700,$A498,MATCH(G$1,'2-3 引出列表'!$A$1:$CD$1,0)),"")),"",IFERROR(INDEX('2-3 引出列表'!$A$2:$CE$8700,$A498,MATCH(G$1,'2-3 引出列表'!$A$1:$CD$1,0)),""))</f>
        <v>物料消耗.物料消耗</v>
      </c>
      <c r="H498">
        <f>IF(ISBLANK(IFERROR(INDEX('2-3 引出列表'!$A$2:$CE$8700,$A498,MATCH(H$1,'2-3 引出列表'!$A$1:$CD$1,0)),"")),"",IFERROR(INDEX('2-3 引出列表'!$A$2:$CE$8700,$A498,MATCH(H$1,'2-3 引出列表'!$A$1:$CD$1,0)),""))</f>
        <v>0</v>
      </c>
      <c r="I498" t="str">
        <f>IF(ISBLANK(IFERROR(INDEX('2-3 引出列表'!$A$2:$CE$8700,$A498,MATCH(I$1,'2-3 引出列表'!$A$1:$CD$1,0)),"")),"",IFERROR(INDEX('2-3 引出列表'!$A$2:$CE$8700,$A498,MATCH(I$1,'2-3 引出列表'!$A$1:$CD$1,0)),""))</f>
        <v>金采易购</v>
      </c>
    </row>
    <row r="499" spans="1:9">
      <c r="A499">
        <v>498</v>
      </c>
      <c r="B499" t="str">
        <f>IF(ISBLANK(IFERROR(INDEX('2-3 引出列表'!$A$2:$CE$8700,$A499,MATCH(B$1,'2-3 引出列表'!$A$1:$CD$1,0)),"")),"",IFERROR(INDEX('2-3 引出列表'!$A$2:$CE$8700,$A499,MATCH(B$1,'2-3 引出列表'!$A$1:$CD$1,0)),""))</f>
        <v>FK250121000785</v>
      </c>
      <c r="C499">
        <f>IF(ISBLANK(IFERROR(INDEX('2-3 引出列表'!$A$2:$CE$8700,$A499,MATCH(C$1,'2-3 引出列表'!$A$1:$CD$1,0)),"")),"",IFERROR(INDEX('2-3 引出列表'!$A$2:$CE$8700,$A499,MATCH(C$1,'2-3 引出列表'!$A$1:$CD$1,0)),""))</f>
        <v>20975.96</v>
      </c>
      <c r="D499" t="str">
        <f>IF(ISBLANK(IFERROR(INDEX('2-3 引出列表'!$A$2:$CE$8700,$A499,MATCH(D$1,'2-3 引出列表'!$A$1:$CD$1,0)),"")),"",IFERROR(INDEX('2-3 引出列表'!$A$2:$CE$8700,$A499,MATCH(D$1,'2-3 引出列表'!$A$1:$CD$1,0)),""))</f>
        <v>已付款</v>
      </c>
      <c r="E499" t="str">
        <f>IF(ISBLANK(IFERROR(INDEX('2-3 引出列表'!$A$2:$CE$8700,$A499,MATCH(E$1,'2-3 引出列表'!$A$1:$CD$1,0)),"")),"",IFERROR(INDEX('2-3 引出列表'!$A$2:$CE$8700,$A499,MATCH(E$1,'2-3 引出列表'!$A$1:$CD$1,0)),""))</f>
        <v>2025-06-27</v>
      </c>
      <c r="F499" s="30" t="str">
        <f t="shared" si="7"/>
        <v>2025-06</v>
      </c>
      <c r="G499" t="str">
        <f>IF(ISBLANK(IFERROR(INDEX('2-3 引出列表'!$A$2:$CE$8700,$A499,MATCH(G$1,'2-3 引出列表'!$A$1:$CD$1,0)),"")),"",IFERROR(INDEX('2-3 引出列表'!$A$2:$CE$8700,$A499,MATCH(G$1,'2-3 引出列表'!$A$1:$CD$1,0)),""))</f>
        <v>物料消耗.物料消耗</v>
      </c>
      <c r="H499">
        <f>IF(ISBLANK(IFERROR(INDEX('2-3 引出列表'!$A$2:$CE$8700,$A499,MATCH(H$1,'2-3 引出列表'!$A$1:$CD$1,0)),"")),"",IFERROR(INDEX('2-3 引出列表'!$A$2:$CE$8700,$A499,MATCH(H$1,'2-3 引出列表'!$A$1:$CD$1,0)),""))</f>
        <v>0</v>
      </c>
      <c r="I499" t="str">
        <f>IF(ISBLANK(IFERROR(INDEX('2-3 引出列表'!$A$2:$CE$8700,$A499,MATCH(I$1,'2-3 引出列表'!$A$1:$CD$1,0)),"")),"",IFERROR(INDEX('2-3 引出列表'!$A$2:$CE$8700,$A499,MATCH(I$1,'2-3 引出列表'!$A$1:$CD$1,0)),""))</f>
        <v>金采易购</v>
      </c>
    </row>
    <row r="500" spans="1:9">
      <c r="A500">
        <v>499</v>
      </c>
      <c r="B500" t="str">
        <f>IF(ISBLANK(IFERROR(INDEX('2-3 引出列表'!$A$2:$CE$8700,$A500,MATCH(B$1,'2-3 引出列表'!$A$1:$CD$1,0)),"")),"",IFERROR(INDEX('2-3 引出列表'!$A$2:$CE$8700,$A500,MATCH(B$1,'2-3 引出列表'!$A$1:$CD$1,0)),""))</f>
        <v>FK250121000785</v>
      </c>
      <c r="C500">
        <f>IF(ISBLANK(IFERROR(INDEX('2-3 引出列表'!$A$2:$CE$8700,$A500,MATCH(C$1,'2-3 引出列表'!$A$1:$CD$1,0)),"")),"",IFERROR(INDEX('2-3 引出列表'!$A$2:$CE$8700,$A500,MATCH(C$1,'2-3 引出列表'!$A$1:$CD$1,0)),""))</f>
        <v>20975.96</v>
      </c>
      <c r="D500" t="str">
        <f>IF(ISBLANK(IFERROR(INDEX('2-3 引出列表'!$A$2:$CE$8700,$A500,MATCH(D$1,'2-3 引出列表'!$A$1:$CD$1,0)),"")),"",IFERROR(INDEX('2-3 引出列表'!$A$2:$CE$8700,$A500,MATCH(D$1,'2-3 引出列表'!$A$1:$CD$1,0)),""))</f>
        <v>已付款</v>
      </c>
      <c r="E500" t="str">
        <f>IF(ISBLANK(IFERROR(INDEX('2-3 引出列表'!$A$2:$CE$8700,$A500,MATCH(E$1,'2-3 引出列表'!$A$1:$CD$1,0)),"")),"",IFERROR(INDEX('2-3 引出列表'!$A$2:$CE$8700,$A500,MATCH(E$1,'2-3 引出列表'!$A$1:$CD$1,0)),""))</f>
        <v>2025-06-27</v>
      </c>
      <c r="F500" s="30" t="str">
        <f t="shared" si="7"/>
        <v>2025-06</v>
      </c>
      <c r="G500" t="str">
        <f>IF(ISBLANK(IFERROR(INDEX('2-3 引出列表'!$A$2:$CE$8700,$A500,MATCH(G$1,'2-3 引出列表'!$A$1:$CD$1,0)),"")),"",IFERROR(INDEX('2-3 引出列表'!$A$2:$CE$8700,$A500,MATCH(G$1,'2-3 引出列表'!$A$1:$CD$1,0)),""))</f>
        <v>物料消耗.物料消耗</v>
      </c>
      <c r="H500">
        <f>IF(ISBLANK(IFERROR(INDEX('2-3 引出列表'!$A$2:$CE$8700,$A500,MATCH(H$1,'2-3 引出列表'!$A$1:$CD$1,0)),"")),"",IFERROR(INDEX('2-3 引出列表'!$A$2:$CE$8700,$A500,MATCH(H$1,'2-3 引出列表'!$A$1:$CD$1,0)),""))</f>
        <v>0</v>
      </c>
      <c r="I500" t="str">
        <f>IF(ISBLANK(IFERROR(INDEX('2-3 引出列表'!$A$2:$CE$8700,$A500,MATCH(I$1,'2-3 引出列表'!$A$1:$CD$1,0)),"")),"",IFERROR(INDEX('2-3 引出列表'!$A$2:$CE$8700,$A500,MATCH(I$1,'2-3 引出列表'!$A$1:$CD$1,0)),""))</f>
        <v>金采易购</v>
      </c>
    </row>
    <row r="501" spans="1:9">
      <c r="A501">
        <v>500</v>
      </c>
      <c r="B501" t="str">
        <f>IF(ISBLANK(IFERROR(INDEX('2-3 引出列表'!$A$2:$CE$8700,$A501,MATCH(B$1,'2-3 引出列表'!$A$1:$CD$1,0)),"")),"",IFERROR(INDEX('2-3 引出列表'!$A$2:$CE$8700,$A501,MATCH(B$1,'2-3 引出列表'!$A$1:$CD$1,0)),""))</f>
        <v>FK250121000785</v>
      </c>
      <c r="C501">
        <f>IF(ISBLANK(IFERROR(INDEX('2-3 引出列表'!$A$2:$CE$8700,$A501,MATCH(C$1,'2-3 引出列表'!$A$1:$CD$1,0)),"")),"",IFERROR(INDEX('2-3 引出列表'!$A$2:$CE$8700,$A501,MATCH(C$1,'2-3 引出列表'!$A$1:$CD$1,0)),""))</f>
        <v>20975.96</v>
      </c>
      <c r="D501" t="str">
        <f>IF(ISBLANK(IFERROR(INDEX('2-3 引出列表'!$A$2:$CE$8700,$A501,MATCH(D$1,'2-3 引出列表'!$A$1:$CD$1,0)),"")),"",IFERROR(INDEX('2-3 引出列表'!$A$2:$CE$8700,$A501,MATCH(D$1,'2-3 引出列表'!$A$1:$CD$1,0)),""))</f>
        <v>已付款</v>
      </c>
      <c r="E501" t="str">
        <f>IF(ISBLANK(IFERROR(INDEX('2-3 引出列表'!$A$2:$CE$8700,$A501,MATCH(E$1,'2-3 引出列表'!$A$1:$CD$1,0)),"")),"",IFERROR(INDEX('2-3 引出列表'!$A$2:$CE$8700,$A501,MATCH(E$1,'2-3 引出列表'!$A$1:$CD$1,0)),""))</f>
        <v>2025-06-27</v>
      </c>
      <c r="F501" s="30" t="str">
        <f t="shared" si="7"/>
        <v>2025-06</v>
      </c>
      <c r="G501" t="str">
        <f>IF(ISBLANK(IFERROR(INDEX('2-3 引出列表'!$A$2:$CE$8700,$A501,MATCH(G$1,'2-3 引出列表'!$A$1:$CD$1,0)),"")),"",IFERROR(INDEX('2-3 引出列表'!$A$2:$CE$8700,$A501,MATCH(G$1,'2-3 引出列表'!$A$1:$CD$1,0)),""))</f>
        <v>物料消耗.物料消耗</v>
      </c>
      <c r="H501">
        <f>IF(ISBLANK(IFERROR(INDEX('2-3 引出列表'!$A$2:$CE$8700,$A501,MATCH(H$1,'2-3 引出列表'!$A$1:$CD$1,0)),"")),"",IFERROR(INDEX('2-3 引出列表'!$A$2:$CE$8700,$A501,MATCH(H$1,'2-3 引出列表'!$A$1:$CD$1,0)),""))</f>
        <v>0</v>
      </c>
      <c r="I501" t="str">
        <f>IF(ISBLANK(IFERROR(INDEX('2-3 引出列表'!$A$2:$CE$8700,$A501,MATCH(I$1,'2-3 引出列表'!$A$1:$CD$1,0)),"")),"",IFERROR(INDEX('2-3 引出列表'!$A$2:$CE$8700,$A501,MATCH(I$1,'2-3 引出列表'!$A$1:$CD$1,0)),""))</f>
        <v>金采易购</v>
      </c>
    </row>
    <row r="502" spans="1:9">
      <c r="A502">
        <v>501</v>
      </c>
      <c r="B502" t="str">
        <f>IF(ISBLANK(IFERROR(INDEX('2-3 引出列表'!$A$2:$CE$8700,$A502,MATCH(B$1,'2-3 引出列表'!$A$1:$CD$1,0)),"")),"",IFERROR(INDEX('2-3 引出列表'!$A$2:$CE$8700,$A502,MATCH(B$1,'2-3 引出列表'!$A$1:$CD$1,0)),""))</f>
        <v>FK250121000785</v>
      </c>
      <c r="C502">
        <f>IF(ISBLANK(IFERROR(INDEX('2-3 引出列表'!$A$2:$CE$8700,$A502,MATCH(C$1,'2-3 引出列表'!$A$1:$CD$1,0)),"")),"",IFERROR(INDEX('2-3 引出列表'!$A$2:$CE$8700,$A502,MATCH(C$1,'2-3 引出列表'!$A$1:$CD$1,0)),""))</f>
        <v>20975.96</v>
      </c>
      <c r="D502" t="str">
        <f>IF(ISBLANK(IFERROR(INDEX('2-3 引出列表'!$A$2:$CE$8700,$A502,MATCH(D$1,'2-3 引出列表'!$A$1:$CD$1,0)),"")),"",IFERROR(INDEX('2-3 引出列表'!$A$2:$CE$8700,$A502,MATCH(D$1,'2-3 引出列表'!$A$1:$CD$1,0)),""))</f>
        <v>已付款</v>
      </c>
      <c r="E502" t="str">
        <f>IF(ISBLANK(IFERROR(INDEX('2-3 引出列表'!$A$2:$CE$8700,$A502,MATCH(E$1,'2-3 引出列表'!$A$1:$CD$1,0)),"")),"",IFERROR(INDEX('2-3 引出列表'!$A$2:$CE$8700,$A502,MATCH(E$1,'2-3 引出列表'!$A$1:$CD$1,0)),""))</f>
        <v>2025-06-27</v>
      </c>
      <c r="F502" s="30" t="str">
        <f t="shared" si="7"/>
        <v>2025-06</v>
      </c>
      <c r="G502" t="str">
        <f>IF(ISBLANK(IFERROR(INDEX('2-3 引出列表'!$A$2:$CE$8700,$A502,MATCH(G$1,'2-3 引出列表'!$A$1:$CD$1,0)),"")),"",IFERROR(INDEX('2-3 引出列表'!$A$2:$CE$8700,$A502,MATCH(G$1,'2-3 引出列表'!$A$1:$CD$1,0)),""))</f>
        <v>物料消耗.物料消耗</v>
      </c>
      <c r="H502">
        <f>IF(ISBLANK(IFERROR(INDEX('2-3 引出列表'!$A$2:$CE$8700,$A502,MATCH(H$1,'2-3 引出列表'!$A$1:$CD$1,0)),"")),"",IFERROR(INDEX('2-3 引出列表'!$A$2:$CE$8700,$A502,MATCH(H$1,'2-3 引出列表'!$A$1:$CD$1,0)),""))</f>
        <v>0</v>
      </c>
      <c r="I502" t="str">
        <f>IF(ISBLANK(IFERROR(INDEX('2-3 引出列表'!$A$2:$CE$8700,$A502,MATCH(I$1,'2-3 引出列表'!$A$1:$CD$1,0)),"")),"",IFERROR(INDEX('2-3 引出列表'!$A$2:$CE$8700,$A502,MATCH(I$1,'2-3 引出列表'!$A$1:$CD$1,0)),""))</f>
        <v>金采易购</v>
      </c>
    </row>
    <row r="503" spans="1:9">
      <c r="A503">
        <v>502</v>
      </c>
      <c r="B503" t="str">
        <f>IF(ISBLANK(IFERROR(INDEX('2-3 引出列表'!$A$2:$CE$8700,$A503,MATCH(B$1,'2-3 引出列表'!$A$1:$CD$1,0)),"")),"",IFERROR(INDEX('2-3 引出列表'!$A$2:$CE$8700,$A503,MATCH(B$1,'2-3 引出列表'!$A$1:$CD$1,0)),""))</f>
        <v>FK250121000785</v>
      </c>
      <c r="C503">
        <f>IF(ISBLANK(IFERROR(INDEX('2-3 引出列表'!$A$2:$CE$8700,$A503,MATCH(C$1,'2-3 引出列表'!$A$1:$CD$1,0)),"")),"",IFERROR(INDEX('2-3 引出列表'!$A$2:$CE$8700,$A503,MATCH(C$1,'2-3 引出列表'!$A$1:$CD$1,0)),""))</f>
        <v>20975.96</v>
      </c>
      <c r="D503" t="str">
        <f>IF(ISBLANK(IFERROR(INDEX('2-3 引出列表'!$A$2:$CE$8700,$A503,MATCH(D$1,'2-3 引出列表'!$A$1:$CD$1,0)),"")),"",IFERROR(INDEX('2-3 引出列表'!$A$2:$CE$8700,$A503,MATCH(D$1,'2-3 引出列表'!$A$1:$CD$1,0)),""))</f>
        <v>已付款</v>
      </c>
      <c r="E503" t="str">
        <f>IF(ISBLANK(IFERROR(INDEX('2-3 引出列表'!$A$2:$CE$8700,$A503,MATCH(E$1,'2-3 引出列表'!$A$1:$CD$1,0)),"")),"",IFERROR(INDEX('2-3 引出列表'!$A$2:$CE$8700,$A503,MATCH(E$1,'2-3 引出列表'!$A$1:$CD$1,0)),""))</f>
        <v>2025-06-27</v>
      </c>
      <c r="F503" s="30" t="str">
        <f t="shared" si="7"/>
        <v>2025-06</v>
      </c>
      <c r="G503" t="str">
        <f>IF(ISBLANK(IFERROR(INDEX('2-3 引出列表'!$A$2:$CE$8700,$A503,MATCH(G$1,'2-3 引出列表'!$A$1:$CD$1,0)),"")),"",IFERROR(INDEX('2-3 引出列表'!$A$2:$CE$8700,$A503,MATCH(G$1,'2-3 引出列表'!$A$1:$CD$1,0)),""))</f>
        <v>物料消耗.物料消耗</v>
      </c>
      <c r="H503">
        <f>IF(ISBLANK(IFERROR(INDEX('2-3 引出列表'!$A$2:$CE$8700,$A503,MATCH(H$1,'2-3 引出列表'!$A$1:$CD$1,0)),"")),"",IFERROR(INDEX('2-3 引出列表'!$A$2:$CE$8700,$A503,MATCH(H$1,'2-3 引出列表'!$A$1:$CD$1,0)),""))</f>
        <v>0</v>
      </c>
      <c r="I503" t="str">
        <f>IF(ISBLANK(IFERROR(INDEX('2-3 引出列表'!$A$2:$CE$8700,$A503,MATCH(I$1,'2-3 引出列表'!$A$1:$CD$1,0)),"")),"",IFERROR(INDEX('2-3 引出列表'!$A$2:$CE$8700,$A503,MATCH(I$1,'2-3 引出列表'!$A$1:$CD$1,0)),""))</f>
        <v>金采易购</v>
      </c>
    </row>
    <row r="504" spans="1:9">
      <c r="A504">
        <v>503</v>
      </c>
      <c r="B504" t="str">
        <f>IF(ISBLANK(IFERROR(INDEX('2-3 引出列表'!$A$2:$CE$8700,$A504,MATCH(B$1,'2-3 引出列表'!$A$1:$CD$1,0)),"")),"",IFERROR(INDEX('2-3 引出列表'!$A$2:$CE$8700,$A504,MATCH(B$1,'2-3 引出列表'!$A$1:$CD$1,0)),""))</f>
        <v>FK250121000785</v>
      </c>
      <c r="C504">
        <f>IF(ISBLANK(IFERROR(INDEX('2-3 引出列表'!$A$2:$CE$8700,$A504,MATCH(C$1,'2-3 引出列表'!$A$1:$CD$1,0)),"")),"",IFERROR(INDEX('2-3 引出列表'!$A$2:$CE$8700,$A504,MATCH(C$1,'2-3 引出列表'!$A$1:$CD$1,0)),""))</f>
        <v>20975.96</v>
      </c>
      <c r="D504" t="str">
        <f>IF(ISBLANK(IFERROR(INDEX('2-3 引出列表'!$A$2:$CE$8700,$A504,MATCH(D$1,'2-3 引出列表'!$A$1:$CD$1,0)),"")),"",IFERROR(INDEX('2-3 引出列表'!$A$2:$CE$8700,$A504,MATCH(D$1,'2-3 引出列表'!$A$1:$CD$1,0)),""))</f>
        <v>已付款</v>
      </c>
      <c r="E504" t="str">
        <f>IF(ISBLANK(IFERROR(INDEX('2-3 引出列表'!$A$2:$CE$8700,$A504,MATCH(E$1,'2-3 引出列表'!$A$1:$CD$1,0)),"")),"",IFERROR(INDEX('2-3 引出列表'!$A$2:$CE$8700,$A504,MATCH(E$1,'2-3 引出列表'!$A$1:$CD$1,0)),""))</f>
        <v>2025-06-27</v>
      </c>
      <c r="F504" s="30" t="str">
        <f t="shared" si="7"/>
        <v>2025-06</v>
      </c>
      <c r="G504" t="str">
        <f>IF(ISBLANK(IFERROR(INDEX('2-3 引出列表'!$A$2:$CE$8700,$A504,MATCH(G$1,'2-3 引出列表'!$A$1:$CD$1,0)),"")),"",IFERROR(INDEX('2-3 引出列表'!$A$2:$CE$8700,$A504,MATCH(G$1,'2-3 引出列表'!$A$1:$CD$1,0)),""))</f>
        <v>物料消耗.物料消耗</v>
      </c>
      <c r="H504">
        <f>IF(ISBLANK(IFERROR(INDEX('2-3 引出列表'!$A$2:$CE$8700,$A504,MATCH(H$1,'2-3 引出列表'!$A$1:$CD$1,0)),"")),"",IFERROR(INDEX('2-3 引出列表'!$A$2:$CE$8700,$A504,MATCH(H$1,'2-3 引出列表'!$A$1:$CD$1,0)),""))</f>
        <v>0</v>
      </c>
      <c r="I504" t="str">
        <f>IF(ISBLANK(IFERROR(INDEX('2-3 引出列表'!$A$2:$CE$8700,$A504,MATCH(I$1,'2-3 引出列表'!$A$1:$CD$1,0)),"")),"",IFERROR(INDEX('2-3 引出列表'!$A$2:$CE$8700,$A504,MATCH(I$1,'2-3 引出列表'!$A$1:$CD$1,0)),""))</f>
        <v>金采易购</v>
      </c>
    </row>
    <row r="505" spans="1:9">
      <c r="A505">
        <v>504</v>
      </c>
      <c r="B505" t="str">
        <f>IF(ISBLANK(IFERROR(INDEX('2-3 引出列表'!$A$2:$CE$8700,$A505,MATCH(B$1,'2-3 引出列表'!$A$1:$CD$1,0)),"")),"",IFERROR(INDEX('2-3 引出列表'!$A$2:$CE$8700,$A505,MATCH(B$1,'2-3 引出列表'!$A$1:$CD$1,0)),""))</f>
        <v>FK250121000785</v>
      </c>
      <c r="C505">
        <f>IF(ISBLANK(IFERROR(INDEX('2-3 引出列表'!$A$2:$CE$8700,$A505,MATCH(C$1,'2-3 引出列表'!$A$1:$CD$1,0)),"")),"",IFERROR(INDEX('2-3 引出列表'!$A$2:$CE$8700,$A505,MATCH(C$1,'2-3 引出列表'!$A$1:$CD$1,0)),""))</f>
        <v>20975.96</v>
      </c>
      <c r="D505" t="str">
        <f>IF(ISBLANK(IFERROR(INDEX('2-3 引出列表'!$A$2:$CE$8700,$A505,MATCH(D$1,'2-3 引出列表'!$A$1:$CD$1,0)),"")),"",IFERROR(INDEX('2-3 引出列表'!$A$2:$CE$8700,$A505,MATCH(D$1,'2-3 引出列表'!$A$1:$CD$1,0)),""))</f>
        <v>已付款</v>
      </c>
      <c r="E505" t="str">
        <f>IF(ISBLANK(IFERROR(INDEX('2-3 引出列表'!$A$2:$CE$8700,$A505,MATCH(E$1,'2-3 引出列表'!$A$1:$CD$1,0)),"")),"",IFERROR(INDEX('2-3 引出列表'!$A$2:$CE$8700,$A505,MATCH(E$1,'2-3 引出列表'!$A$1:$CD$1,0)),""))</f>
        <v>2025-06-27</v>
      </c>
      <c r="F505" s="30" t="str">
        <f t="shared" si="7"/>
        <v>2025-06</v>
      </c>
      <c r="G505" t="str">
        <f>IF(ISBLANK(IFERROR(INDEX('2-3 引出列表'!$A$2:$CE$8700,$A505,MATCH(G$1,'2-3 引出列表'!$A$1:$CD$1,0)),"")),"",IFERROR(INDEX('2-3 引出列表'!$A$2:$CE$8700,$A505,MATCH(G$1,'2-3 引出列表'!$A$1:$CD$1,0)),""))</f>
        <v>物料消耗.物料消耗</v>
      </c>
      <c r="H505">
        <f>IF(ISBLANK(IFERROR(INDEX('2-3 引出列表'!$A$2:$CE$8700,$A505,MATCH(H$1,'2-3 引出列表'!$A$1:$CD$1,0)),"")),"",IFERROR(INDEX('2-3 引出列表'!$A$2:$CE$8700,$A505,MATCH(H$1,'2-3 引出列表'!$A$1:$CD$1,0)),""))</f>
        <v>0</v>
      </c>
      <c r="I505" t="str">
        <f>IF(ISBLANK(IFERROR(INDEX('2-3 引出列表'!$A$2:$CE$8700,$A505,MATCH(I$1,'2-3 引出列表'!$A$1:$CD$1,0)),"")),"",IFERROR(INDEX('2-3 引出列表'!$A$2:$CE$8700,$A505,MATCH(I$1,'2-3 引出列表'!$A$1:$CD$1,0)),""))</f>
        <v>金采易购</v>
      </c>
    </row>
    <row r="506" spans="1:9">
      <c r="A506">
        <v>505</v>
      </c>
      <c r="B506" t="str">
        <f>IF(ISBLANK(IFERROR(INDEX('2-3 引出列表'!$A$2:$CE$8700,$A506,MATCH(B$1,'2-3 引出列表'!$A$1:$CD$1,0)),"")),"",IFERROR(INDEX('2-3 引出列表'!$A$2:$CE$8700,$A506,MATCH(B$1,'2-3 引出列表'!$A$1:$CD$1,0)),""))</f>
        <v>FK250121000785</v>
      </c>
      <c r="C506">
        <f>IF(ISBLANK(IFERROR(INDEX('2-3 引出列表'!$A$2:$CE$8700,$A506,MATCH(C$1,'2-3 引出列表'!$A$1:$CD$1,0)),"")),"",IFERROR(INDEX('2-3 引出列表'!$A$2:$CE$8700,$A506,MATCH(C$1,'2-3 引出列表'!$A$1:$CD$1,0)),""))</f>
        <v>20975.96</v>
      </c>
      <c r="D506" t="str">
        <f>IF(ISBLANK(IFERROR(INDEX('2-3 引出列表'!$A$2:$CE$8700,$A506,MATCH(D$1,'2-3 引出列表'!$A$1:$CD$1,0)),"")),"",IFERROR(INDEX('2-3 引出列表'!$A$2:$CE$8700,$A506,MATCH(D$1,'2-3 引出列表'!$A$1:$CD$1,0)),""))</f>
        <v>已付款</v>
      </c>
      <c r="E506" t="str">
        <f>IF(ISBLANK(IFERROR(INDEX('2-3 引出列表'!$A$2:$CE$8700,$A506,MATCH(E$1,'2-3 引出列表'!$A$1:$CD$1,0)),"")),"",IFERROR(INDEX('2-3 引出列表'!$A$2:$CE$8700,$A506,MATCH(E$1,'2-3 引出列表'!$A$1:$CD$1,0)),""))</f>
        <v>2025-06-27</v>
      </c>
      <c r="F506" s="30" t="str">
        <f t="shared" si="7"/>
        <v>2025-06</v>
      </c>
      <c r="G506" t="str">
        <f>IF(ISBLANK(IFERROR(INDEX('2-3 引出列表'!$A$2:$CE$8700,$A506,MATCH(G$1,'2-3 引出列表'!$A$1:$CD$1,0)),"")),"",IFERROR(INDEX('2-3 引出列表'!$A$2:$CE$8700,$A506,MATCH(G$1,'2-3 引出列表'!$A$1:$CD$1,0)),""))</f>
        <v>物料消耗.物料消耗</v>
      </c>
      <c r="H506">
        <f>IF(ISBLANK(IFERROR(INDEX('2-3 引出列表'!$A$2:$CE$8700,$A506,MATCH(H$1,'2-3 引出列表'!$A$1:$CD$1,0)),"")),"",IFERROR(INDEX('2-3 引出列表'!$A$2:$CE$8700,$A506,MATCH(H$1,'2-3 引出列表'!$A$1:$CD$1,0)),""))</f>
        <v>0</v>
      </c>
      <c r="I506" t="str">
        <f>IF(ISBLANK(IFERROR(INDEX('2-3 引出列表'!$A$2:$CE$8700,$A506,MATCH(I$1,'2-3 引出列表'!$A$1:$CD$1,0)),"")),"",IFERROR(INDEX('2-3 引出列表'!$A$2:$CE$8700,$A506,MATCH(I$1,'2-3 引出列表'!$A$1:$CD$1,0)),""))</f>
        <v>金采易购</v>
      </c>
    </row>
    <row r="507" spans="1:9">
      <c r="A507">
        <v>506</v>
      </c>
      <c r="B507" t="str">
        <f>IF(ISBLANK(IFERROR(INDEX('2-3 引出列表'!$A$2:$CE$8700,$A507,MATCH(B$1,'2-3 引出列表'!$A$1:$CD$1,0)),"")),"",IFERROR(INDEX('2-3 引出列表'!$A$2:$CE$8700,$A507,MATCH(B$1,'2-3 引出列表'!$A$1:$CD$1,0)),""))</f>
        <v>FK250121000785</v>
      </c>
      <c r="C507">
        <f>IF(ISBLANK(IFERROR(INDEX('2-3 引出列表'!$A$2:$CE$8700,$A507,MATCH(C$1,'2-3 引出列表'!$A$1:$CD$1,0)),"")),"",IFERROR(INDEX('2-3 引出列表'!$A$2:$CE$8700,$A507,MATCH(C$1,'2-3 引出列表'!$A$1:$CD$1,0)),""))</f>
        <v>20975.96</v>
      </c>
      <c r="D507" t="str">
        <f>IF(ISBLANK(IFERROR(INDEX('2-3 引出列表'!$A$2:$CE$8700,$A507,MATCH(D$1,'2-3 引出列表'!$A$1:$CD$1,0)),"")),"",IFERROR(INDEX('2-3 引出列表'!$A$2:$CE$8700,$A507,MATCH(D$1,'2-3 引出列表'!$A$1:$CD$1,0)),""))</f>
        <v>已付款</v>
      </c>
      <c r="E507" t="str">
        <f>IF(ISBLANK(IFERROR(INDEX('2-3 引出列表'!$A$2:$CE$8700,$A507,MATCH(E$1,'2-3 引出列表'!$A$1:$CD$1,0)),"")),"",IFERROR(INDEX('2-3 引出列表'!$A$2:$CE$8700,$A507,MATCH(E$1,'2-3 引出列表'!$A$1:$CD$1,0)),""))</f>
        <v>2025-06-27</v>
      </c>
      <c r="F507" s="30" t="str">
        <f t="shared" si="7"/>
        <v>2025-06</v>
      </c>
      <c r="G507" t="str">
        <f>IF(ISBLANK(IFERROR(INDEX('2-3 引出列表'!$A$2:$CE$8700,$A507,MATCH(G$1,'2-3 引出列表'!$A$1:$CD$1,0)),"")),"",IFERROR(INDEX('2-3 引出列表'!$A$2:$CE$8700,$A507,MATCH(G$1,'2-3 引出列表'!$A$1:$CD$1,0)),""))</f>
        <v>物料消耗.物料消耗</v>
      </c>
      <c r="H507">
        <f>IF(ISBLANK(IFERROR(INDEX('2-3 引出列表'!$A$2:$CE$8700,$A507,MATCH(H$1,'2-3 引出列表'!$A$1:$CD$1,0)),"")),"",IFERROR(INDEX('2-3 引出列表'!$A$2:$CE$8700,$A507,MATCH(H$1,'2-3 引出列表'!$A$1:$CD$1,0)),""))</f>
        <v>0</v>
      </c>
      <c r="I507" t="str">
        <f>IF(ISBLANK(IFERROR(INDEX('2-3 引出列表'!$A$2:$CE$8700,$A507,MATCH(I$1,'2-3 引出列表'!$A$1:$CD$1,0)),"")),"",IFERROR(INDEX('2-3 引出列表'!$A$2:$CE$8700,$A507,MATCH(I$1,'2-3 引出列表'!$A$1:$CD$1,0)),""))</f>
        <v>金采易购</v>
      </c>
    </row>
    <row r="508" spans="1:9">
      <c r="A508">
        <v>507</v>
      </c>
      <c r="B508" t="str">
        <f>IF(ISBLANK(IFERROR(INDEX('2-3 引出列表'!$A$2:$CE$8700,$A508,MATCH(B$1,'2-3 引出列表'!$A$1:$CD$1,0)),"")),"",IFERROR(INDEX('2-3 引出列表'!$A$2:$CE$8700,$A508,MATCH(B$1,'2-3 引出列表'!$A$1:$CD$1,0)),""))</f>
        <v>FK250121000785</v>
      </c>
      <c r="C508">
        <f>IF(ISBLANK(IFERROR(INDEX('2-3 引出列表'!$A$2:$CE$8700,$A508,MATCH(C$1,'2-3 引出列表'!$A$1:$CD$1,0)),"")),"",IFERROR(INDEX('2-3 引出列表'!$A$2:$CE$8700,$A508,MATCH(C$1,'2-3 引出列表'!$A$1:$CD$1,0)),""))</f>
        <v>20975.96</v>
      </c>
      <c r="D508" t="str">
        <f>IF(ISBLANK(IFERROR(INDEX('2-3 引出列表'!$A$2:$CE$8700,$A508,MATCH(D$1,'2-3 引出列表'!$A$1:$CD$1,0)),"")),"",IFERROR(INDEX('2-3 引出列表'!$A$2:$CE$8700,$A508,MATCH(D$1,'2-3 引出列表'!$A$1:$CD$1,0)),""))</f>
        <v>已付款</v>
      </c>
      <c r="E508" t="str">
        <f>IF(ISBLANK(IFERROR(INDEX('2-3 引出列表'!$A$2:$CE$8700,$A508,MATCH(E$1,'2-3 引出列表'!$A$1:$CD$1,0)),"")),"",IFERROR(INDEX('2-3 引出列表'!$A$2:$CE$8700,$A508,MATCH(E$1,'2-3 引出列表'!$A$1:$CD$1,0)),""))</f>
        <v>2025-06-27</v>
      </c>
      <c r="F508" s="30" t="str">
        <f t="shared" si="7"/>
        <v>2025-06</v>
      </c>
      <c r="G508" t="str">
        <f>IF(ISBLANK(IFERROR(INDEX('2-3 引出列表'!$A$2:$CE$8700,$A508,MATCH(G$1,'2-3 引出列表'!$A$1:$CD$1,0)),"")),"",IFERROR(INDEX('2-3 引出列表'!$A$2:$CE$8700,$A508,MATCH(G$1,'2-3 引出列表'!$A$1:$CD$1,0)),""))</f>
        <v>物料消耗.物料消耗</v>
      </c>
      <c r="H508">
        <f>IF(ISBLANK(IFERROR(INDEX('2-3 引出列表'!$A$2:$CE$8700,$A508,MATCH(H$1,'2-3 引出列表'!$A$1:$CD$1,0)),"")),"",IFERROR(INDEX('2-3 引出列表'!$A$2:$CE$8700,$A508,MATCH(H$1,'2-3 引出列表'!$A$1:$CD$1,0)),""))</f>
        <v>0</v>
      </c>
      <c r="I508" t="str">
        <f>IF(ISBLANK(IFERROR(INDEX('2-3 引出列表'!$A$2:$CE$8700,$A508,MATCH(I$1,'2-3 引出列表'!$A$1:$CD$1,0)),"")),"",IFERROR(INDEX('2-3 引出列表'!$A$2:$CE$8700,$A508,MATCH(I$1,'2-3 引出列表'!$A$1:$CD$1,0)),""))</f>
        <v>金采易购</v>
      </c>
    </row>
    <row r="509" spans="1:9">
      <c r="A509">
        <v>508</v>
      </c>
      <c r="B509" t="str">
        <f>IF(ISBLANK(IFERROR(INDEX('2-3 引出列表'!$A$2:$CE$8700,$A509,MATCH(B$1,'2-3 引出列表'!$A$1:$CD$1,0)),"")),"",IFERROR(INDEX('2-3 引出列表'!$A$2:$CE$8700,$A509,MATCH(B$1,'2-3 引出列表'!$A$1:$CD$1,0)),""))</f>
        <v>FK250121000785</v>
      </c>
      <c r="C509">
        <f>IF(ISBLANK(IFERROR(INDEX('2-3 引出列表'!$A$2:$CE$8700,$A509,MATCH(C$1,'2-3 引出列表'!$A$1:$CD$1,0)),"")),"",IFERROR(INDEX('2-3 引出列表'!$A$2:$CE$8700,$A509,MATCH(C$1,'2-3 引出列表'!$A$1:$CD$1,0)),""))</f>
        <v>20975.96</v>
      </c>
      <c r="D509" t="str">
        <f>IF(ISBLANK(IFERROR(INDEX('2-3 引出列表'!$A$2:$CE$8700,$A509,MATCH(D$1,'2-3 引出列表'!$A$1:$CD$1,0)),"")),"",IFERROR(INDEX('2-3 引出列表'!$A$2:$CE$8700,$A509,MATCH(D$1,'2-3 引出列表'!$A$1:$CD$1,0)),""))</f>
        <v>已付款</v>
      </c>
      <c r="E509" t="str">
        <f>IF(ISBLANK(IFERROR(INDEX('2-3 引出列表'!$A$2:$CE$8700,$A509,MATCH(E$1,'2-3 引出列表'!$A$1:$CD$1,0)),"")),"",IFERROR(INDEX('2-3 引出列表'!$A$2:$CE$8700,$A509,MATCH(E$1,'2-3 引出列表'!$A$1:$CD$1,0)),""))</f>
        <v>2025-06-27</v>
      </c>
      <c r="F509" s="30" t="str">
        <f t="shared" si="7"/>
        <v>2025-06</v>
      </c>
      <c r="G509" t="str">
        <f>IF(ISBLANK(IFERROR(INDEX('2-3 引出列表'!$A$2:$CE$8700,$A509,MATCH(G$1,'2-3 引出列表'!$A$1:$CD$1,0)),"")),"",IFERROR(INDEX('2-3 引出列表'!$A$2:$CE$8700,$A509,MATCH(G$1,'2-3 引出列表'!$A$1:$CD$1,0)),""))</f>
        <v>物料消耗.物料消耗</v>
      </c>
      <c r="H509">
        <f>IF(ISBLANK(IFERROR(INDEX('2-3 引出列表'!$A$2:$CE$8700,$A509,MATCH(H$1,'2-3 引出列表'!$A$1:$CD$1,0)),"")),"",IFERROR(INDEX('2-3 引出列表'!$A$2:$CE$8700,$A509,MATCH(H$1,'2-3 引出列表'!$A$1:$CD$1,0)),""))</f>
        <v>0</v>
      </c>
      <c r="I509" t="str">
        <f>IF(ISBLANK(IFERROR(INDEX('2-3 引出列表'!$A$2:$CE$8700,$A509,MATCH(I$1,'2-3 引出列表'!$A$1:$CD$1,0)),"")),"",IFERROR(INDEX('2-3 引出列表'!$A$2:$CE$8700,$A509,MATCH(I$1,'2-3 引出列表'!$A$1:$CD$1,0)),""))</f>
        <v>金采易购</v>
      </c>
    </row>
    <row r="510" spans="1:9">
      <c r="A510">
        <v>509</v>
      </c>
      <c r="B510" t="str">
        <f>IF(ISBLANK(IFERROR(INDEX('2-3 引出列表'!$A$2:$CE$8700,$A510,MATCH(B$1,'2-3 引出列表'!$A$1:$CD$1,0)),"")),"",IFERROR(INDEX('2-3 引出列表'!$A$2:$CE$8700,$A510,MATCH(B$1,'2-3 引出列表'!$A$1:$CD$1,0)),""))</f>
        <v>FK250121000785</v>
      </c>
      <c r="C510">
        <f>IF(ISBLANK(IFERROR(INDEX('2-3 引出列表'!$A$2:$CE$8700,$A510,MATCH(C$1,'2-3 引出列表'!$A$1:$CD$1,0)),"")),"",IFERROR(INDEX('2-3 引出列表'!$A$2:$CE$8700,$A510,MATCH(C$1,'2-3 引出列表'!$A$1:$CD$1,0)),""))</f>
        <v>20975.96</v>
      </c>
      <c r="D510" t="str">
        <f>IF(ISBLANK(IFERROR(INDEX('2-3 引出列表'!$A$2:$CE$8700,$A510,MATCH(D$1,'2-3 引出列表'!$A$1:$CD$1,0)),"")),"",IFERROR(INDEX('2-3 引出列表'!$A$2:$CE$8700,$A510,MATCH(D$1,'2-3 引出列表'!$A$1:$CD$1,0)),""))</f>
        <v>已付款</v>
      </c>
      <c r="E510" t="str">
        <f>IF(ISBLANK(IFERROR(INDEX('2-3 引出列表'!$A$2:$CE$8700,$A510,MATCH(E$1,'2-3 引出列表'!$A$1:$CD$1,0)),"")),"",IFERROR(INDEX('2-3 引出列表'!$A$2:$CE$8700,$A510,MATCH(E$1,'2-3 引出列表'!$A$1:$CD$1,0)),""))</f>
        <v>2025-06-27</v>
      </c>
      <c r="F510" s="30" t="str">
        <f t="shared" si="7"/>
        <v>2025-06</v>
      </c>
      <c r="G510" t="str">
        <f>IF(ISBLANK(IFERROR(INDEX('2-3 引出列表'!$A$2:$CE$8700,$A510,MATCH(G$1,'2-3 引出列表'!$A$1:$CD$1,0)),"")),"",IFERROR(INDEX('2-3 引出列表'!$A$2:$CE$8700,$A510,MATCH(G$1,'2-3 引出列表'!$A$1:$CD$1,0)),""))</f>
        <v>物料消耗.物料消耗</v>
      </c>
      <c r="H510">
        <f>IF(ISBLANK(IFERROR(INDEX('2-3 引出列表'!$A$2:$CE$8700,$A510,MATCH(H$1,'2-3 引出列表'!$A$1:$CD$1,0)),"")),"",IFERROR(INDEX('2-3 引出列表'!$A$2:$CE$8700,$A510,MATCH(H$1,'2-3 引出列表'!$A$1:$CD$1,0)),""))</f>
        <v>0</v>
      </c>
      <c r="I510" t="str">
        <f>IF(ISBLANK(IFERROR(INDEX('2-3 引出列表'!$A$2:$CE$8700,$A510,MATCH(I$1,'2-3 引出列表'!$A$1:$CD$1,0)),"")),"",IFERROR(INDEX('2-3 引出列表'!$A$2:$CE$8700,$A510,MATCH(I$1,'2-3 引出列表'!$A$1:$CD$1,0)),""))</f>
        <v>金采易购</v>
      </c>
    </row>
    <row r="511" spans="1:9">
      <c r="A511">
        <v>510</v>
      </c>
      <c r="B511" t="str">
        <f>IF(ISBLANK(IFERROR(INDEX('2-3 引出列表'!$A$2:$CE$8700,$A511,MATCH(B$1,'2-3 引出列表'!$A$1:$CD$1,0)),"")),"",IFERROR(INDEX('2-3 引出列表'!$A$2:$CE$8700,$A511,MATCH(B$1,'2-3 引出列表'!$A$1:$CD$1,0)),""))</f>
        <v>FK250121000785</v>
      </c>
      <c r="C511">
        <f>IF(ISBLANK(IFERROR(INDEX('2-3 引出列表'!$A$2:$CE$8700,$A511,MATCH(C$1,'2-3 引出列表'!$A$1:$CD$1,0)),"")),"",IFERROR(INDEX('2-3 引出列表'!$A$2:$CE$8700,$A511,MATCH(C$1,'2-3 引出列表'!$A$1:$CD$1,0)),""))</f>
        <v>20975.96</v>
      </c>
      <c r="D511" t="str">
        <f>IF(ISBLANK(IFERROR(INDEX('2-3 引出列表'!$A$2:$CE$8700,$A511,MATCH(D$1,'2-3 引出列表'!$A$1:$CD$1,0)),"")),"",IFERROR(INDEX('2-3 引出列表'!$A$2:$CE$8700,$A511,MATCH(D$1,'2-3 引出列表'!$A$1:$CD$1,0)),""))</f>
        <v>已付款</v>
      </c>
      <c r="E511" t="str">
        <f>IF(ISBLANK(IFERROR(INDEX('2-3 引出列表'!$A$2:$CE$8700,$A511,MATCH(E$1,'2-3 引出列表'!$A$1:$CD$1,0)),"")),"",IFERROR(INDEX('2-3 引出列表'!$A$2:$CE$8700,$A511,MATCH(E$1,'2-3 引出列表'!$A$1:$CD$1,0)),""))</f>
        <v>2025-06-27</v>
      </c>
      <c r="F511" s="30" t="str">
        <f t="shared" si="7"/>
        <v>2025-06</v>
      </c>
      <c r="G511" t="str">
        <f>IF(ISBLANK(IFERROR(INDEX('2-3 引出列表'!$A$2:$CE$8700,$A511,MATCH(G$1,'2-3 引出列表'!$A$1:$CD$1,0)),"")),"",IFERROR(INDEX('2-3 引出列表'!$A$2:$CE$8700,$A511,MATCH(G$1,'2-3 引出列表'!$A$1:$CD$1,0)),""))</f>
        <v>物料消耗.物料消耗</v>
      </c>
      <c r="H511">
        <f>IF(ISBLANK(IFERROR(INDEX('2-3 引出列表'!$A$2:$CE$8700,$A511,MATCH(H$1,'2-3 引出列表'!$A$1:$CD$1,0)),"")),"",IFERROR(INDEX('2-3 引出列表'!$A$2:$CE$8700,$A511,MATCH(H$1,'2-3 引出列表'!$A$1:$CD$1,0)),""))</f>
        <v>0</v>
      </c>
      <c r="I511" t="str">
        <f>IF(ISBLANK(IFERROR(INDEX('2-3 引出列表'!$A$2:$CE$8700,$A511,MATCH(I$1,'2-3 引出列表'!$A$1:$CD$1,0)),"")),"",IFERROR(INDEX('2-3 引出列表'!$A$2:$CE$8700,$A511,MATCH(I$1,'2-3 引出列表'!$A$1:$CD$1,0)),""))</f>
        <v>金采易购</v>
      </c>
    </row>
    <row r="512" spans="1:9">
      <c r="A512">
        <v>511</v>
      </c>
      <c r="B512" t="str">
        <f>IF(ISBLANK(IFERROR(INDEX('2-3 引出列表'!$A$2:$CE$8700,$A512,MATCH(B$1,'2-3 引出列表'!$A$1:$CD$1,0)),"")),"",IFERROR(INDEX('2-3 引出列表'!$A$2:$CE$8700,$A512,MATCH(B$1,'2-3 引出列表'!$A$1:$CD$1,0)),""))</f>
        <v>FK250121000785</v>
      </c>
      <c r="C512">
        <f>IF(ISBLANK(IFERROR(INDEX('2-3 引出列表'!$A$2:$CE$8700,$A512,MATCH(C$1,'2-3 引出列表'!$A$1:$CD$1,0)),"")),"",IFERROR(INDEX('2-3 引出列表'!$A$2:$CE$8700,$A512,MATCH(C$1,'2-3 引出列表'!$A$1:$CD$1,0)),""))</f>
        <v>20975.96</v>
      </c>
      <c r="D512" t="str">
        <f>IF(ISBLANK(IFERROR(INDEX('2-3 引出列表'!$A$2:$CE$8700,$A512,MATCH(D$1,'2-3 引出列表'!$A$1:$CD$1,0)),"")),"",IFERROR(INDEX('2-3 引出列表'!$A$2:$CE$8700,$A512,MATCH(D$1,'2-3 引出列表'!$A$1:$CD$1,0)),""))</f>
        <v>已付款</v>
      </c>
      <c r="E512" t="str">
        <f>IF(ISBLANK(IFERROR(INDEX('2-3 引出列表'!$A$2:$CE$8700,$A512,MATCH(E$1,'2-3 引出列表'!$A$1:$CD$1,0)),"")),"",IFERROR(INDEX('2-3 引出列表'!$A$2:$CE$8700,$A512,MATCH(E$1,'2-3 引出列表'!$A$1:$CD$1,0)),""))</f>
        <v>2025-06-27</v>
      </c>
      <c r="F512" s="30" t="str">
        <f t="shared" si="7"/>
        <v>2025-06</v>
      </c>
      <c r="G512" t="str">
        <f>IF(ISBLANK(IFERROR(INDEX('2-3 引出列表'!$A$2:$CE$8700,$A512,MATCH(G$1,'2-3 引出列表'!$A$1:$CD$1,0)),"")),"",IFERROR(INDEX('2-3 引出列表'!$A$2:$CE$8700,$A512,MATCH(G$1,'2-3 引出列表'!$A$1:$CD$1,0)),""))</f>
        <v>物料消耗.物料消耗</v>
      </c>
      <c r="H512">
        <f>IF(ISBLANK(IFERROR(INDEX('2-3 引出列表'!$A$2:$CE$8700,$A512,MATCH(H$1,'2-3 引出列表'!$A$1:$CD$1,0)),"")),"",IFERROR(INDEX('2-3 引出列表'!$A$2:$CE$8700,$A512,MATCH(H$1,'2-3 引出列表'!$A$1:$CD$1,0)),""))</f>
        <v>0</v>
      </c>
      <c r="I512" t="str">
        <f>IF(ISBLANK(IFERROR(INDEX('2-3 引出列表'!$A$2:$CE$8700,$A512,MATCH(I$1,'2-3 引出列表'!$A$1:$CD$1,0)),"")),"",IFERROR(INDEX('2-3 引出列表'!$A$2:$CE$8700,$A512,MATCH(I$1,'2-3 引出列表'!$A$1:$CD$1,0)),""))</f>
        <v>金采易购</v>
      </c>
    </row>
    <row r="513" spans="1:9">
      <c r="A513">
        <v>512</v>
      </c>
      <c r="B513" t="str">
        <f>IF(ISBLANK(IFERROR(INDEX('2-3 引出列表'!$A$2:$CE$8700,$A513,MATCH(B$1,'2-3 引出列表'!$A$1:$CD$1,0)),"")),"",IFERROR(INDEX('2-3 引出列表'!$A$2:$CE$8700,$A513,MATCH(B$1,'2-3 引出列表'!$A$1:$CD$1,0)),""))</f>
        <v>FK250121000785</v>
      </c>
      <c r="C513">
        <f>IF(ISBLANK(IFERROR(INDEX('2-3 引出列表'!$A$2:$CE$8700,$A513,MATCH(C$1,'2-3 引出列表'!$A$1:$CD$1,0)),"")),"",IFERROR(INDEX('2-3 引出列表'!$A$2:$CE$8700,$A513,MATCH(C$1,'2-3 引出列表'!$A$1:$CD$1,0)),""))</f>
        <v>20975.96</v>
      </c>
      <c r="D513" t="str">
        <f>IF(ISBLANK(IFERROR(INDEX('2-3 引出列表'!$A$2:$CE$8700,$A513,MATCH(D$1,'2-3 引出列表'!$A$1:$CD$1,0)),"")),"",IFERROR(INDEX('2-3 引出列表'!$A$2:$CE$8700,$A513,MATCH(D$1,'2-3 引出列表'!$A$1:$CD$1,0)),""))</f>
        <v>已付款</v>
      </c>
      <c r="E513" t="str">
        <f>IF(ISBLANK(IFERROR(INDEX('2-3 引出列表'!$A$2:$CE$8700,$A513,MATCH(E$1,'2-3 引出列表'!$A$1:$CD$1,0)),"")),"",IFERROR(INDEX('2-3 引出列表'!$A$2:$CE$8700,$A513,MATCH(E$1,'2-3 引出列表'!$A$1:$CD$1,0)),""))</f>
        <v>2025-06-27</v>
      </c>
      <c r="F513" s="30" t="str">
        <f t="shared" si="7"/>
        <v>2025-06</v>
      </c>
      <c r="G513" t="str">
        <f>IF(ISBLANK(IFERROR(INDEX('2-3 引出列表'!$A$2:$CE$8700,$A513,MATCH(G$1,'2-3 引出列表'!$A$1:$CD$1,0)),"")),"",IFERROR(INDEX('2-3 引出列表'!$A$2:$CE$8700,$A513,MATCH(G$1,'2-3 引出列表'!$A$1:$CD$1,0)),""))</f>
        <v>物料消耗.物料消耗</v>
      </c>
      <c r="H513">
        <f>IF(ISBLANK(IFERROR(INDEX('2-3 引出列表'!$A$2:$CE$8700,$A513,MATCH(H$1,'2-3 引出列表'!$A$1:$CD$1,0)),"")),"",IFERROR(INDEX('2-3 引出列表'!$A$2:$CE$8700,$A513,MATCH(H$1,'2-3 引出列表'!$A$1:$CD$1,0)),""))</f>
        <v>0</v>
      </c>
      <c r="I513" t="str">
        <f>IF(ISBLANK(IFERROR(INDEX('2-3 引出列表'!$A$2:$CE$8700,$A513,MATCH(I$1,'2-3 引出列表'!$A$1:$CD$1,0)),"")),"",IFERROR(INDEX('2-3 引出列表'!$A$2:$CE$8700,$A513,MATCH(I$1,'2-3 引出列表'!$A$1:$CD$1,0)),""))</f>
        <v>金采易购</v>
      </c>
    </row>
    <row r="514" spans="1:9">
      <c r="A514">
        <v>513</v>
      </c>
      <c r="B514" t="str">
        <f>IF(ISBLANK(IFERROR(INDEX('2-3 引出列表'!$A$2:$CE$8700,$A514,MATCH(B$1,'2-3 引出列表'!$A$1:$CD$1,0)),"")),"",IFERROR(INDEX('2-3 引出列表'!$A$2:$CE$8700,$A514,MATCH(B$1,'2-3 引出列表'!$A$1:$CD$1,0)),""))</f>
        <v>FK250121000785</v>
      </c>
      <c r="C514">
        <f>IF(ISBLANK(IFERROR(INDEX('2-3 引出列表'!$A$2:$CE$8700,$A514,MATCH(C$1,'2-3 引出列表'!$A$1:$CD$1,0)),"")),"",IFERROR(INDEX('2-3 引出列表'!$A$2:$CE$8700,$A514,MATCH(C$1,'2-3 引出列表'!$A$1:$CD$1,0)),""))</f>
        <v>20975.96</v>
      </c>
      <c r="D514" t="str">
        <f>IF(ISBLANK(IFERROR(INDEX('2-3 引出列表'!$A$2:$CE$8700,$A514,MATCH(D$1,'2-3 引出列表'!$A$1:$CD$1,0)),"")),"",IFERROR(INDEX('2-3 引出列表'!$A$2:$CE$8700,$A514,MATCH(D$1,'2-3 引出列表'!$A$1:$CD$1,0)),""))</f>
        <v>已付款</v>
      </c>
      <c r="E514" t="str">
        <f>IF(ISBLANK(IFERROR(INDEX('2-3 引出列表'!$A$2:$CE$8700,$A514,MATCH(E$1,'2-3 引出列表'!$A$1:$CD$1,0)),"")),"",IFERROR(INDEX('2-3 引出列表'!$A$2:$CE$8700,$A514,MATCH(E$1,'2-3 引出列表'!$A$1:$CD$1,0)),""))</f>
        <v>2025-06-27</v>
      </c>
      <c r="F514" s="30" t="str">
        <f t="shared" si="7"/>
        <v>2025-06</v>
      </c>
      <c r="G514" t="str">
        <f>IF(ISBLANK(IFERROR(INDEX('2-3 引出列表'!$A$2:$CE$8700,$A514,MATCH(G$1,'2-3 引出列表'!$A$1:$CD$1,0)),"")),"",IFERROR(INDEX('2-3 引出列表'!$A$2:$CE$8700,$A514,MATCH(G$1,'2-3 引出列表'!$A$1:$CD$1,0)),""))</f>
        <v>物料消耗.物料消耗</v>
      </c>
      <c r="H514">
        <f>IF(ISBLANK(IFERROR(INDEX('2-3 引出列表'!$A$2:$CE$8700,$A514,MATCH(H$1,'2-3 引出列表'!$A$1:$CD$1,0)),"")),"",IFERROR(INDEX('2-3 引出列表'!$A$2:$CE$8700,$A514,MATCH(H$1,'2-3 引出列表'!$A$1:$CD$1,0)),""))</f>
        <v>0</v>
      </c>
      <c r="I514" t="str">
        <f>IF(ISBLANK(IFERROR(INDEX('2-3 引出列表'!$A$2:$CE$8700,$A514,MATCH(I$1,'2-3 引出列表'!$A$1:$CD$1,0)),"")),"",IFERROR(INDEX('2-3 引出列表'!$A$2:$CE$8700,$A514,MATCH(I$1,'2-3 引出列表'!$A$1:$CD$1,0)),""))</f>
        <v>金采易购</v>
      </c>
    </row>
    <row r="515" spans="1:9">
      <c r="A515">
        <v>514</v>
      </c>
      <c r="B515" t="str">
        <f>IF(ISBLANK(IFERROR(INDEX('2-3 引出列表'!$A$2:$CE$8700,$A515,MATCH(B$1,'2-3 引出列表'!$A$1:$CD$1,0)),"")),"",IFERROR(INDEX('2-3 引出列表'!$A$2:$CE$8700,$A515,MATCH(B$1,'2-3 引出列表'!$A$1:$CD$1,0)),""))</f>
        <v>FK250120000554</v>
      </c>
      <c r="C515">
        <f>IF(ISBLANK(IFERROR(INDEX('2-3 引出列表'!$A$2:$CE$8700,$A515,MATCH(C$1,'2-3 引出列表'!$A$1:$CD$1,0)),"")),"",IFERROR(INDEX('2-3 引出列表'!$A$2:$CE$8700,$A515,MATCH(C$1,'2-3 引出列表'!$A$1:$CD$1,0)),""))</f>
        <v>17013</v>
      </c>
      <c r="D515" t="str">
        <f>IF(ISBLANK(IFERROR(INDEX('2-3 引出列表'!$A$2:$CE$8700,$A515,MATCH(D$1,'2-3 引出列表'!$A$1:$CD$1,0)),"")),"",IFERROR(INDEX('2-3 引出列表'!$A$2:$CE$8700,$A515,MATCH(D$1,'2-3 引出列表'!$A$1:$CD$1,0)),""))</f>
        <v>已付款</v>
      </c>
      <c r="E515" t="str">
        <f>IF(ISBLANK(IFERROR(INDEX('2-3 引出列表'!$A$2:$CE$8700,$A515,MATCH(E$1,'2-3 引出列表'!$A$1:$CD$1,0)),"")),"",IFERROR(INDEX('2-3 引出列表'!$A$2:$CE$8700,$A515,MATCH(E$1,'2-3 引出列表'!$A$1:$CD$1,0)),""))</f>
        <v>2025-06-27</v>
      </c>
      <c r="F515" s="30" t="str">
        <f t="shared" ref="F515:F578" si="8">LEFT(E515,7)</f>
        <v>2025-06</v>
      </c>
      <c r="G515" t="str">
        <f>IF(ISBLANK(IFERROR(INDEX('2-3 引出列表'!$A$2:$CE$8700,$A515,MATCH(G$1,'2-3 引出列表'!$A$1:$CD$1,0)),"")),"",IFERROR(INDEX('2-3 引出列表'!$A$2:$CE$8700,$A515,MATCH(G$1,'2-3 引出列表'!$A$1:$CD$1,0)),""))</f>
        <v>物料消耗.物料消耗</v>
      </c>
      <c r="H515" t="str">
        <f>IF(ISBLANK(IFERROR(INDEX('2-3 引出列表'!$A$2:$CE$8700,$A515,MATCH(H$1,'2-3 引出列表'!$A$1:$CD$1,0)),"")),"",IFERROR(INDEX('2-3 引出列表'!$A$2:$CE$8700,$A515,MATCH(H$1,'2-3 引出列表'!$A$1:$CD$1,0)),""))</f>
        <v>XHWZ-Z-2024-0060</v>
      </c>
      <c r="I515" t="str">
        <f>IF(ISBLANK(IFERROR(INDEX('2-3 引出列表'!$A$2:$CE$8700,$A515,MATCH(I$1,'2-3 引出列表'!$A$1:$CD$1,0)),"")),"",IFERROR(INDEX('2-3 引出列表'!$A$2:$CE$8700,$A515,MATCH(I$1,'2-3 引出列表'!$A$1:$CD$1,0)),""))</f>
        <v>金采易购</v>
      </c>
    </row>
    <row r="516" spans="1:9">
      <c r="A516">
        <v>515</v>
      </c>
      <c r="B516" t="str">
        <f>IF(ISBLANK(IFERROR(INDEX('2-3 引出列表'!$A$2:$CE$8700,$A516,MATCH(B$1,'2-3 引出列表'!$A$1:$CD$1,0)),"")),"",IFERROR(INDEX('2-3 引出列表'!$A$2:$CE$8700,$A516,MATCH(B$1,'2-3 引出列表'!$A$1:$CD$1,0)),""))</f>
        <v>FK250120000554</v>
      </c>
      <c r="C516">
        <f>IF(ISBLANK(IFERROR(INDEX('2-3 引出列表'!$A$2:$CE$8700,$A516,MATCH(C$1,'2-3 引出列表'!$A$1:$CD$1,0)),"")),"",IFERROR(INDEX('2-3 引出列表'!$A$2:$CE$8700,$A516,MATCH(C$1,'2-3 引出列表'!$A$1:$CD$1,0)),""))</f>
        <v>17013</v>
      </c>
      <c r="D516" t="str">
        <f>IF(ISBLANK(IFERROR(INDEX('2-3 引出列表'!$A$2:$CE$8700,$A516,MATCH(D$1,'2-3 引出列表'!$A$1:$CD$1,0)),"")),"",IFERROR(INDEX('2-3 引出列表'!$A$2:$CE$8700,$A516,MATCH(D$1,'2-3 引出列表'!$A$1:$CD$1,0)),""))</f>
        <v>已付款</v>
      </c>
      <c r="E516" t="str">
        <f>IF(ISBLANK(IFERROR(INDEX('2-3 引出列表'!$A$2:$CE$8700,$A516,MATCH(E$1,'2-3 引出列表'!$A$1:$CD$1,0)),"")),"",IFERROR(INDEX('2-3 引出列表'!$A$2:$CE$8700,$A516,MATCH(E$1,'2-3 引出列表'!$A$1:$CD$1,0)),""))</f>
        <v>2025-06-27</v>
      </c>
      <c r="F516" s="30" t="str">
        <f t="shared" si="8"/>
        <v>2025-06</v>
      </c>
      <c r="G516" t="str">
        <f>IF(ISBLANK(IFERROR(INDEX('2-3 引出列表'!$A$2:$CE$8700,$A516,MATCH(G$1,'2-3 引出列表'!$A$1:$CD$1,0)),"")),"",IFERROR(INDEX('2-3 引出列表'!$A$2:$CE$8700,$A516,MATCH(G$1,'2-3 引出列表'!$A$1:$CD$1,0)),""))</f>
        <v>物料消耗.物料消耗</v>
      </c>
      <c r="H516" t="str">
        <f>IF(ISBLANK(IFERROR(INDEX('2-3 引出列表'!$A$2:$CE$8700,$A516,MATCH(H$1,'2-3 引出列表'!$A$1:$CD$1,0)),"")),"",IFERROR(INDEX('2-3 引出列表'!$A$2:$CE$8700,$A516,MATCH(H$1,'2-3 引出列表'!$A$1:$CD$1,0)),""))</f>
        <v>XHWZ-Z-2024-0060</v>
      </c>
      <c r="I516" t="str">
        <f>IF(ISBLANK(IFERROR(INDEX('2-3 引出列表'!$A$2:$CE$8700,$A516,MATCH(I$1,'2-3 引出列表'!$A$1:$CD$1,0)),"")),"",IFERROR(INDEX('2-3 引出列表'!$A$2:$CE$8700,$A516,MATCH(I$1,'2-3 引出列表'!$A$1:$CD$1,0)),""))</f>
        <v>金采易购</v>
      </c>
    </row>
    <row r="517" spans="1:9">
      <c r="A517">
        <v>516</v>
      </c>
      <c r="B517" t="str">
        <f>IF(ISBLANK(IFERROR(INDEX('2-3 引出列表'!$A$2:$CE$8700,$A517,MATCH(B$1,'2-3 引出列表'!$A$1:$CD$1,0)),"")),"",IFERROR(INDEX('2-3 引出列表'!$A$2:$CE$8700,$A517,MATCH(B$1,'2-3 引出列表'!$A$1:$CD$1,0)),""))</f>
        <v>FK250120000554</v>
      </c>
      <c r="C517">
        <f>IF(ISBLANK(IFERROR(INDEX('2-3 引出列表'!$A$2:$CE$8700,$A517,MATCH(C$1,'2-3 引出列表'!$A$1:$CD$1,0)),"")),"",IFERROR(INDEX('2-3 引出列表'!$A$2:$CE$8700,$A517,MATCH(C$1,'2-3 引出列表'!$A$1:$CD$1,0)),""))</f>
        <v>17013</v>
      </c>
      <c r="D517" t="str">
        <f>IF(ISBLANK(IFERROR(INDEX('2-3 引出列表'!$A$2:$CE$8700,$A517,MATCH(D$1,'2-3 引出列表'!$A$1:$CD$1,0)),"")),"",IFERROR(INDEX('2-3 引出列表'!$A$2:$CE$8700,$A517,MATCH(D$1,'2-3 引出列表'!$A$1:$CD$1,0)),""))</f>
        <v>已付款</v>
      </c>
      <c r="E517" t="str">
        <f>IF(ISBLANK(IFERROR(INDEX('2-3 引出列表'!$A$2:$CE$8700,$A517,MATCH(E$1,'2-3 引出列表'!$A$1:$CD$1,0)),"")),"",IFERROR(INDEX('2-3 引出列表'!$A$2:$CE$8700,$A517,MATCH(E$1,'2-3 引出列表'!$A$1:$CD$1,0)),""))</f>
        <v>2025-06-27</v>
      </c>
      <c r="F517" s="30" t="str">
        <f t="shared" si="8"/>
        <v>2025-06</v>
      </c>
      <c r="G517" t="str">
        <f>IF(ISBLANK(IFERROR(INDEX('2-3 引出列表'!$A$2:$CE$8700,$A517,MATCH(G$1,'2-3 引出列表'!$A$1:$CD$1,0)),"")),"",IFERROR(INDEX('2-3 引出列表'!$A$2:$CE$8700,$A517,MATCH(G$1,'2-3 引出列表'!$A$1:$CD$1,0)),""))</f>
        <v>物料消耗.物料消耗</v>
      </c>
      <c r="H517" t="str">
        <f>IF(ISBLANK(IFERROR(INDEX('2-3 引出列表'!$A$2:$CE$8700,$A517,MATCH(H$1,'2-3 引出列表'!$A$1:$CD$1,0)),"")),"",IFERROR(INDEX('2-3 引出列表'!$A$2:$CE$8700,$A517,MATCH(H$1,'2-3 引出列表'!$A$1:$CD$1,0)),""))</f>
        <v>XHWZ-Z-2024-0060</v>
      </c>
      <c r="I517" t="str">
        <f>IF(ISBLANK(IFERROR(INDEX('2-3 引出列表'!$A$2:$CE$8700,$A517,MATCH(I$1,'2-3 引出列表'!$A$1:$CD$1,0)),"")),"",IFERROR(INDEX('2-3 引出列表'!$A$2:$CE$8700,$A517,MATCH(I$1,'2-3 引出列表'!$A$1:$CD$1,0)),""))</f>
        <v>金采易购</v>
      </c>
    </row>
    <row r="518" spans="1:9">
      <c r="A518">
        <v>517</v>
      </c>
      <c r="B518" t="str">
        <f>IF(ISBLANK(IFERROR(INDEX('2-3 引出列表'!$A$2:$CE$8700,$A518,MATCH(B$1,'2-3 引出列表'!$A$1:$CD$1,0)),"")),"",IFERROR(INDEX('2-3 引出列表'!$A$2:$CE$8700,$A518,MATCH(B$1,'2-3 引出列表'!$A$1:$CD$1,0)),""))</f>
        <v>FK250120000554</v>
      </c>
      <c r="C518">
        <f>IF(ISBLANK(IFERROR(INDEX('2-3 引出列表'!$A$2:$CE$8700,$A518,MATCH(C$1,'2-3 引出列表'!$A$1:$CD$1,0)),"")),"",IFERROR(INDEX('2-3 引出列表'!$A$2:$CE$8700,$A518,MATCH(C$1,'2-3 引出列表'!$A$1:$CD$1,0)),""))</f>
        <v>17013</v>
      </c>
      <c r="D518" t="str">
        <f>IF(ISBLANK(IFERROR(INDEX('2-3 引出列表'!$A$2:$CE$8700,$A518,MATCH(D$1,'2-3 引出列表'!$A$1:$CD$1,0)),"")),"",IFERROR(INDEX('2-3 引出列表'!$A$2:$CE$8700,$A518,MATCH(D$1,'2-3 引出列表'!$A$1:$CD$1,0)),""))</f>
        <v>已付款</v>
      </c>
      <c r="E518" t="str">
        <f>IF(ISBLANK(IFERROR(INDEX('2-3 引出列表'!$A$2:$CE$8700,$A518,MATCH(E$1,'2-3 引出列表'!$A$1:$CD$1,0)),"")),"",IFERROR(INDEX('2-3 引出列表'!$A$2:$CE$8700,$A518,MATCH(E$1,'2-3 引出列表'!$A$1:$CD$1,0)),""))</f>
        <v>2025-06-27</v>
      </c>
      <c r="F518" s="30" t="str">
        <f t="shared" si="8"/>
        <v>2025-06</v>
      </c>
      <c r="G518" t="str">
        <f>IF(ISBLANK(IFERROR(INDEX('2-3 引出列表'!$A$2:$CE$8700,$A518,MATCH(G$1,'2-3 引出列表'!$A$1:$CD$1,0)),"")),"",IFERROR(INDEX('2-3 引出列表'!$A$2:$CE$8700,$A518,MATCH(G$1,'2-3 引出列表'!$A$1:$CD$1,0)),""))</f>
        <v>物料消耗.物料消耗</v>
      </c>
      <c r="H518" t="str">
        <f>IF(ISBLANK(IFERROR(INDEX('2-3 引出列表'!$A$2:$CE$8700,$A518,MATCH(H$1,'2-3 引出列表'!$A$1:$CD$1,0)),"")),"",IFERROR(INDEX('2-3 引出列表'!$A$2:$CE$8700,$A518,MATCH(H$1,'2-3 引出列表'!$A$1:$CD$1,0)),""))</f>
        <v>XHWZ-Z-2024-0060</v>
      </c>
      <c r="I518" t="str">
        <f>IF(ISBLANK(IFERROR(INDEX('2-3 引出列表'!$A$2:$CE$8700,$A518,MATCH(I$1,'2-3 引出列表'!$A$1:$CD$1,0)),"")),"",IFERROR(INDEX('2-3 引出列表'!$A$2:$CE$8700,$A518,MATCH(I$1,'2-3 引出列表'!$A$1:$CD$1,0)),""))</f>
        <v>金采易购</v>
      </c>
    </row>
    <row r="519" spans="1:9">
      <c r="A519">
        <v>518</v>
      </c>
      <c r="B519" t="str">
        <f>IF(ISBLANK(IFERROR(INDEX('2-3 引出列表'!$A$2:$CE$8700,$A519,MATCH(B$1,'2-3 引出列表'!$A$1:$CD$1,0)),"")),"",IFERROR(INDEX('2-3 引出列表'!$A$2:$CE$8700,$A519,MATCH(B$1,'2-3 引出列表'!$A$1:$CD$1,0)),""))</f>
        <v>FK250120000554</v>
      </c>
      <c r="C519">
        <f>IF(ISBLANK(IFERROR(INDEX('2-3 引出列表'!$A$2:$CE$8700,$A519,MATCH(C$1,'2-3 引出列表'!$A$1:$CD$1,0)),"")),"",IFERROR(INDEX('2-3 引出列表'!$A$2:$CE$8700,$A519,MATCH(C$1,'2-3 引出列表'!$A$1:$CD$1,0)),""))</f>
        <v>17013</v>
      </c>
      <c r="D519" t="str">
        <f>IF(ISBLANK(IFERROR(INDEX('2-3 引出列表'!$A$2:$CE$8700,$A519,MATCH(D$1,'2-3 引出列表'!$A$1:$CD$1,0)),"")),"",IFERROR(INDEX('2-3 引出列表'!$A$2:$CE$8700,$A519,MATCH(D$1,'2-3 引出列表'!$A$1:$CD$1,0)),""))</f>
        <v>已付款</v>
      </c>
      <c r="E519" t="str">
        <f>IF(ISBLANK(IFERROR(INDEX('2-3 引出列表'!$A$2:$CE$8700,$A519,MATCH(E$1,'2-3 引出列表'!$A$1:$CD$1,0)),"")),"",IFERROR(INDEX('2-3 引出列表'!$A$2:$CE$8700,$A519,MATCH(E$1,'2-3 引出列表'!$A$1:$CD$1,0)),""))</f>
        <v>2025-06-27</v>
      </c>
      <c r="F519" s="30" t="str">
        <f t="shared" si="8"/>
        <v>2025-06</v>
      </c>
      <c r="G519" t="str">
        <f>IF(ISBLANK(IFERROR(INDEX('2-3 引出列表'!$A$2:$CE$8700,$A519,MATCH(G$1,'2-3 引出列表'!$A$1:$CD$1,0)),"")),"",IFERROR(INDEX('2-3 引出列表'!$A$2:$CE$8700,$A519,MATCH(G$1,'2-3 引出列表'!$A$1:$CD$1,0)),""))</f>
        <v>物料消耗.物料消耗</v>
      </c>
      <c r="H519" t="str">
        <f>IF(ISBLANK(IFERROR(INDEX('2-3 引出列表'!$A$2:$CE$8700,$A519,MATCH(H$1,'2-3 引出列表'!$A$1:$CD$1,0)),"")),"",IFERROR(INDEX('2-3 引出列表'!$A$2:$CE$8700,$A519,MATCH(H$1,'2-3 引出列表'!$A$1:$CD$1,0)),""))</f>
        <v>XHWZ-Z-2024-0060</v>
      </c>
      <c r="I519" t="str">
        <f>IF(ISBLANK(IFERROR(INDEX('2-3 引出列表'!$A$2:$CE$8700,$A519,MATCH(I$1,'2-3 引出列表'!$A$1:$CD$1,0)),"")),"",IFERROR(INDEX('2-3 引出列表'!$A$2:$CE$8700,$A519,MATCH(I$1,'2-3 引出列表'!$A$1:$CD$1,0)),""))</f>
        <v>金采易购</v>
      </c>
    </row>
    <row r="520" spans="1:9">
      <c r="A520">
        <v>519</v>
      </c>
      <c r="B520" t="str">
        <f>IF(ISBLANK(IFERROR(INDEX('2-3 引出列表'!$A$2:$CE$8700,$A520,MATCH(B$1,'2-3 引出列表'!$A$1:$CD$1,0)),"")),"",IFERROR(INDEX('2-3 引出列表'!$A$2:$CE$8700,$A520,MATCH(B$1,'2-3 引出列表'!$A$1:$CD$1,0)),""))</f>
        <v>FK250120000554</v>
      </c>
      <c r="C520">
        <f>IF(ISBLANK(IFERROR(INDEX('2-3 引出列表'!$A$2:$CE$8700,$A520,MATCH(C$1,'2-3 引出列表'!$A$1:$CD$1,0)),"")),"",IFERROR(INDEX('2-3 引出列表'!$A$2:$CE$8700,$A520,MATCH(C$1,'2-3 引出列表'!$A$1:$CD$1,0)),""))</f>
        <v>17013</v>
      </c>
      <c r="D520" t="str">
        <f>IF(ISBLANK(IFERROR(INDEX('2-3 引出列表'!$A$2:$CE$8700,$A520,MATCH(D$1,'2-3 引出列表'!$A$1:$CD$1,0)),"")),"",IFERROR(INDEX('2-3 引出列表'!$A$2:$CE$8700,$A520,MATCH(D$1,'2-3 引出列表'!$A$1:$CD$1,0)),""))</f>
        <v>已付款</v>
      </c>
      <c r="E520" t="str">
        <f>IF(ISBLANK(IFERROR(INDEX('2-3 引出列表'!$A$2:$CE$8700,$A520,MATCH(E$1,'2-3 引出列表'!$A$1:$CD$1,0)),"")),"",IFERROR(INDEX('2-3 引出列表'!$A$2:$CE$8700,$A520,MATCH(E$1,'2-3 引出列表'!$A$1:$CD$1,0)),""))</f>
        <v>2025-06-27</v>
      </c>
      <c r="F520" s="30" t="str">
        <f t="shared" si="8"/>
        <v>2025-06</v>
      </c>
      <c r="G520" t="str">
        <f>IF(ISBLANK(IFERROR(INDEX('2-3 引出列表'!$A$2:$CE$8700,$A520,MATCH(G$1,'2-3 引出列表'!$A$1:$CD$1,0)),"")),"",IFERROR(INDEX('2-3 引出列表'!$A$2:$CE$8700,$A520,MATCH(G$1,'2-3 引出列表'!$A$1:$CD$1,0)),""))</f>
        <v>物料消耗.物料消耗</v>
      </c>
      <c r="H520" t="str">
        <f>IF(ISBLANK(IFERROR(INDEX('2-3 引出列表'!$A$2:$CE$8700,$A520,MATCH(H$1,'2-3 引出列表'!$A$1:$CD$1,0)),"")),"",IFERROR(INDEX('2-3 引出列表'!$A$2:$CE$8700,$A520,MATCH(H$1,'2-3 引出列表'!$A$1:$CD$1,0)),""))</f>
        <v>XHWZ-Z-2024-0060</v>
      </c>
      <c r="I520" t="str">
        <f>IF(ISBLANK(IFERROR(INDEX('2-3 引出列表'!$A$2:$CE$8700,$A520,MATCH(I$1,'2-3 引出列表'!$A$1:$CD$1,0)),"")),"",IFERROR(INDEX('2-3 引出列表'!$A$2:$CE$8700,$A520,MATCH(I$1,'2-3 引出列表'!$A$1:$CD$1,0)),""))</f>
        <v>金采易购</v>
      </c>
    </row>
    <row r="521" spans="1:9">
      <c r="A521">
        <v>520</v>
      </c>
      <c r="B521" t="str">
        <f>IF(ISBLANK(IFERROR(INDEX('2-3 引出列表'!$A$2:$CE$8700,$A521,MATCH(B$1,'2-3 引出列表'!$A$1:$CD$1,0)),"")),"",IFERROR(INDEX('2-3 引出列表'!$A$2:$CE$8700,$A521,MATCH(B$1,'2-3 引出列表'!$A$1:$CD$1,0)),""))</f>
        <v>FK250120000554</v>
      </c>
      <c r="C521">
        <f>IF(ISBLANK(IFERROR(INDEX('2-3 引出列表'!$A$2:$CE$8700,$A521,MATCH(C$1,'2-3 引出列表'!$A$1:$CD$1,0)),"")),"",IFERROR(INDEX('2-3 引出列表'!$A$2:$CE$8700,$A521,MATCH(C$1,'2-3 引出列表'!$A$1:$CD$1,0)),""))</f>
        <v>17013</v>
      </c>
      <c r="D521" t="str">
        <f>IF(ISBLANK(IFERROR(INDEX('2-3 引出列表'!$A$2:$CE$8700,$A521,MATCH(D$1,'2-3 引出列表'!$A$1:$CD$1,0)),"")),"",IFERROR(INDEX('2-3 引出列表'!$A$2:$CE$8700,$A521,MATCH(D$1,'2-3 引出列表'!$A$1:$CD$1,0)),""))</f>
        <v>已付款</v>
      </c>
      <c r="E521" t="str">
        <f>IF(ISBLANK(IFERROR(INDEX('2-3 引出列表'!$A$2:$CE$8700,$A521,MATCH(E$1,'2-3 引出列表'!$A$1:$CD$1,0)),"")),"",IFERROR(INDEX('2-3 引出列表'!$A$2:$CE$8700,$A521,MATCH(E$1,'2-3 引出列表'!$A$1:$CD$1,0)),""))</f>
        <v>2025-06-27</v>
      </c>
      <c r="F521" s="30" t="str">
        <f t="shared" si="8"/>
        <v>2025-06</v>
      </c>
      <c r="G521" t="str">
        <f>IF(ISBLANK(IFERROR(INDEX('2-3 引出列表'!$A$2:$CE$8700,$A521,MATCH(G$1,'2-3 引出列表'!$A$1:$CD$1,0)),"")),"",IFERROR(INDEX('2-3 引出列表'!$A$2:$CE$8700,$A521,MATCH(G$1,'2-3 引出列表'!$A$1:$CD$1,0)),""))</f>
        <v>物料消耗.物料消耗</v>
      </c>
      <c r="H521" t="str">
        <f>IF(ISBLANK(IFERROR(INDEX('2-3 引出列表'!$A$2:$CE$8700,$A521,MATCH(H$1,'2-3 引出列表'!$A$1:$CD$1,0)),"")),"",IFERROR(INDEX('2-3 引出列表'!$A$2:$CE$8700,$A521,MATCH(H$1,'2-3 引出列表'!$A$1:$CD$1,0)),""))</f>
        <v>XHWZ-Z-2024-0060</v>
      </c>
      <c r="I521" t="str">
        <f>IF(ISBLANK(IFERROR(INDEX('2-3 引出列表'!$A$2:$CE$8700,$A521,MATCH(I$1,'2-3 引出列表'!$A$1:$CD$1,0)),"")),"",IFERROR(INDEX('2-3 引出列表'!$A$2:$CE$8700,$A521,MATCH(I$1,'2-3 引出列表'!$A$1:$CD$1,0)),""))</f>
        <v>金采易购</v>
      </c>
    </row>
    <row r="522" spans="1:9">
      <c r="A522">
        <v>521</v>
      </c>
      <c r="B522" t="str">
        <f>IF(ISBLANK(IFERROR(INDEX('2-3 引出列表'!$A$2:$CE$8700,$A522,MATCH(B$1,'2-3 引出列表'!$A$1:$CD$1,0)),"")),"",IFERROR(INDEX('2-3 引出列表'!$A$2:$CE$8700,$A522,MATCH(B$1,'2-3 引出列表'!$A$1:$CD$1,0)),""))</f>
        <v>FK250120000554</v>
      </c>
      <c r="C522">
        <f>IF(ISBLANK(IFERROR(INDEX('2-3 引出列表'!$A$2:$CE$8700,$A522,MATCH(C$1,'2-3 引出列表'!$A$1:$CD$1,0)),"")),"",IFERROR(INDEX('2-3 引出列表'!$A$2:$CE$8700,$A522,MATCH(C$1,'2-3 引出列表'!$A$1:$CD$1,0)),""))</f>
        <v>17013</v>
      </c>
      <c r="D522" t="str">
        <f>IF(ISBLANK(IFERROR(INDEX('2-3 引出列表'!$A$2:$CE$8700,$A522,MATCH(D$1,'2-3 引出列表'!$A$1:$CD$1,0)),"")),"",IFERROR(INDEX('2-3 引出列表'!$A$2:$CE$8700,$A522,MATCH(D$1,'2-3 引出列表'!$A$1:$CD$1,0)),""))</f>
        <v>已付款</v>
      </c>
      <c r="E522" t="str">
        <f>IF(ISBLANK(IFERROR(INDEX('2-3 引出列表'!$A$2:$CE$8700,$A522,MATCH(E$1,'2-3 引出列表'!$A$1:$CD$1,0)),"")),"",IFERROR(INDEX('2-3 引出列表'!$A$2:$CE$8700,$A522,MATCH(E$1,'2-3 引出列表'!$A$1:$CD$1,0)),""))</f>
        <v>2025-06-27</v>
      </c>
      <c r="F522" s="30" t="str">
        <f t="shared" si="8"/>
        <v>2025-06</v>
      </c>
      <c r="G522" t="str">
        <f>IF(ISBLANK(IFERROR(INDEX('2-3 引出列表'!$A$2:$CE$8700,$A522,MATCH(G$1,'2-3 引出列表'!$A$1:$CD$1,0)),"")),"",IFERROR(INDEX('2-3 引出列表'!$A$2:$CE$8700,$A522,MATCH(G$1,'2-3 引出列表'!$A$1:$CD$1,0)),""))</f>
        <v>物料消耗.物料消耗</v>
      </c>
      <c r="H522" t="str">
        <f>IF(ISBLANK(IFERROR(INDEX('2-3 引出列表'!$A$2:$CE$8700,$A522,MATCH(H$1,'2-3 引出列表'!$A$1:$CD$1,0)),"")),"",IFERROR(INDEX('2-3 引出列表'!$A$2:$CE$8700,$A522,MATCH(H$1,'2-3 引出列表'!$A$1:$CD$1,0)),""))</f>
        <v>XHWZ-Z-2024-0060</v>
      </c>
      <c r="I522" t="str">
        <f>IF(ISBLANK(IFERROR(INDEX('2-3 引出列表'!$A$2:$CE$8700,$A522,MATCH(I$1,'2-3 引出列表'!$A$1:$CD$1,0)),"")),"",IFERROR(INDEX('2-3 引出列表'!$A$2:$CE$8700,$A522,MATCH(I$1,'2-3 引出列表'!$A$1:$CD$1,0)),""))</f>
        <v>金采易购</v>
      </c>
    </row>
    <row r="523" spans="1:9">
      <c r="A523">
        <v>522</v>
      </c>
      <c r="B523" t="str">
        <f>IF(ISBLANK(IFERROR(INDEX('2-3 引出列表'!$A$2:$CE$8700,$A523,MATCH(B$1,'2-3 引出列表'!$A$1:$CD$1,0)),"")),"",IFERROR(INDEX('2-3 引出列表'!$A$2:$CE$8700,$A523,MATCH(B$1,'2-3 引出列表'!$A$1:$CD$1,0)),""))</f>
        <v>FK250120000554</v>
      </c>
      <c r="C523">
        <f>IF(ISBLANK(IFERROR(INDEX('2-3 引出列表'!$A$2:$CE$8700,$A523,MATCH(C$1,'2-3 引出列表'!$A$1:$CD$1,0)),"")),"",IFERROR(INDEX('2-3 引出列表'!$A$2:$CE$8700,$A523,MATCH(C$1,'2-3 引出列表'!$A$1:$CD$1,0)),""))</f>
        <v>17013</v>
      </c>
      <c r="D523" t="str">
        <f>IF(ISBLANK(IFERROR(INDEX('2-3 引出列表'!$A$2:$CE$8700,$A523,MATCH(D$1,'2-3 引出列表'!$A$1:$CD$1,0)),"")),"",IFERROR(INDEX('2-3 引出列表'!$A$2:$CE$8700,$A523,MATCH(D$1,'2-3 引出列表'!$A$1:$CD$1,0)),""))</f>
        <v>已付款</v>
      </c>
      <c r="E523" t="str">
        <f>IF(ISBLANK(IFERROR(INDEX('2-3 引出列表'!$A$2:$CE$8700,$A523,MATCH(E$1,'2-3 引出列表'!$A$1:$CD$1,0)),"")),"",IFERROR(INDEX('2-3 引出列表'!$A$2:$CE$8700,$A523,MATCH(E$1,'2-3 引出列表'!$A$1:$CD$1,0)),""))</f>
        <v>2025-06-27</v>
      </c>
      <c r="F523" s="30" t="str">
        <f t="shared" si="8"/>
        <v>2025-06</v>
      </c>
      <c r="G523" t="str">
        <f>IF(ISBLANK(IFERROR(INDEX('2-3 引出列表'!$A$2:$CE$8700,$A523,MATCH(G$1,'2-3 引出列表'!$A$1:$CD$1,0)),"")),"",IFERROR(INDEX('2-3 引出列表'!$A$2:$CE$8700,$A523,MATCH(G$1,'2-3 引出列表'!$A$1:$CD$1,0)),""))</f>
        <v>物料消耗.物料消耗</v>
      </c>
      <c r="H523" t="str">
        <f>IF(ISBLANK(IFERROR(INDEX('2-3 引出列表'!$A$2:$CE$8700,$A523,MATCH(H$1,'2-3 引出列表'!$A$1:$CD$1,0)),"")),"",IFERROR(INDEX('2-3 引出列表'!$A$2:$CE$8700,$A523,MATCH(H$1,'2-3 引出列表'!$A$1:$CD$1,0)),""))</f>
        <v>XHWZ-Z-2024-0060</v>
      </c>
      <c r="I523" t="str">
        <f>IF(ISBLANK(IFERROR(INDEX('2-3 引出列表'!$A$2:$CE$8700,$A523,MATCH(I$1,'2-3 引出列表'!$A$1:$CD$1,0)),"")),"",IFERROR(INDEX('2-3 引出列表'!$A$2:$CE$8700,$A523,MATCH(I$1,'2-3 引出列表'!$A$1:$CD$1,0)),""))</f>
        <v>金采易购</v>
      </c>
    </row>
    <row r="524" spans="1:9">
      <c r="A524">
        <v>523</v>
      </c>
      <c r="B524" t="str">
        <f>IF(ISBLANK(IFERROR(INDEX('2-3 引出列表'!$A$2:$CE$8700,$A524,MATCH(B$1,'2-3 引出列表'!$A$1:$CD$1,0)),"")),"",IFERROR(INDEX('2-3 引出列表'!$A$2:$CE$8700,$A524,MATCH(B$1,'2-3 引出列表'!$A$1:$CD$1,0)),""))</f>
        <v>FK250120000554</v>
      </c>
      <c r="C524">
        <f>IF(ISBLANK(IFERROR(INDEX('2-3 引出列表'!$A$2:$CE$8700,$A524,MATCH(C$1,'2-3 引出列表'!$A$1:$CD$1,0)),"")),"",IFERROR(INDEX('2-3 引出列表'!$A$2:$CE$8700,$A524,MATCH(C$1,'2-3 引出列表'!$A$1:$CD$1,0)),""))</f>
        <v>17013</v>
      </c>
      <c r="D524" t="str">
        <f>IF(ISBLANK(IFERROR(INDEX('2-3 引出列表'!$A$2:$CE$8700,$A524,MATCH(D$1,'2-3 引出列表'!$A$1:$CD$1,0)),"")),"",IFERROR(INDEX('2-3 引出列表'!$A$2:$CE$8700,$A524,MATCH(D$1,'2-3 引出列表'!$A$1:$CD$1,0)),""))</f>
        <v>已付款</v>
      </c>
      <c r="E524" t="str">
        <f>IF(ISBLANK(IFERROR(INDEX('2-3 引出列表'!$A$2:$CE$8700,$A524,MATCH(E$1,'2-3 引出列表'!$A$1:$CD$1,0)),"")),"",IFERROR(INDEX('2-3 引出列表'!$A$2:$CE$8700,$A524,MATCH(E$1,'2-3 引出列表'!$A$1:$CD$1,0)),""))</f>
        <v>2025-06-27</v>
      </c>
      <c r="F524" s="30" t="str">
        <f t="shared" si="8"/>
        <v>2025-06</v>
      </c>
      <c r="G524" t="str">
        <f>IF(ISBLANK(IFERROR(INDEX('2-3 引出列表'!$A$2:$CE$8700,$A524,MATCH(G$1,'2-3 引出列表'!$A$1:$CD$1,0)),"")),"",IFERROR(INDEX('2-3 引出列表'!$A$2:$CE$8700,$A524,MATCH(G$1,'2-3 引出列表'!$A$1:$CD$1,0)),""))</f>
        <v>物料消耗.物料消耗</v>
      </c>
      <c r="H524" t="str">
        <f>IF(ISBLANK(IFERROR(INDEX('2-3 引出列表'!$A$2:$CE$8700,$A524,MATCH(H$1,'2-3 引出列表'!$A$1:$CD$1,0)),"")),"",IFERROR(INDEX('2-3 引出列表'!$A$2:$CE$8700,$A524,MATCH(H$1,'2-3 引出列表'!$A$1:$CD$1,0)),""))</f>
        <v>XHWZ-Z-2024-0060</v>
      </c>
      <c r="I524" t="str">
        <f>IF(ISBLANK(IFERROR(INDEX('2-3 引出列表'!$A$2:$CE$8700,$A524,MATCH(I$1,'2-3 引出列表'!$A$1:$CD$1,0)),"")),"",IFERROR(INDEX('2-3 引出列表'!$A$2:$CE$8700,$A524,MATCH(I$1,'2-3 引出列表'!$A$1:$CD$1,0)),""))</f>
        <v>金采易购</v>
      </c>
    </row>
    <row r="525" spans="1:9">
      <c r="A525">
        <v>524</v>
      </c>
      <c r="B525" t="str">
        <f>IF(ISBLANK(IFERROR(INDEX('2-3 引出列表'!$A$2:$CE$8700,$A525,MATCH(B$1,'2-3 引出列表'!$A$1:$CD$1,0)),"")),"",IFERROR(INDEX('2-3 引出列表'!$A$2:$CE$8700,$A525,MATCH(B$1,'2-3 引出列表'!$A$1:$CD$1,0)),""))</f>
        <v>FK250120000554</v>
      </c>
      <c r="C525">
        <f>IF(ISBLANK(IFERROR(INDEX('2-3 引出列表'!$A$2:$CE$8700,$A525,MATCH(C$1,'2-3 引出列表'!$A$1:$CD$1,0)),"")),"",IFERROR(INDEX('2-3 引出列表'!$A$2:$CE$8700,$A525,MATCH(C$1,'2-3 引出列表'!$A$1:$CD$1,0)),""))</f>
        <v>17013</v>
      </c>
      <c r="D525" t="str">
        <f>IF(ISBLANK(IFERROR(INDEX('2-3 引出列表'!$A$2:$CE$8700,$A525,MATCH(D$1,'2-3 引出列表'!$A$1:$CD$1,0)),"")),"",IFERROR(INDEX('2-3 引出列表'!$A$2:$CE$8700,$A525,MATCH(D$1,'2-3 引出列表'!$A$1:$CD$1,0)),""))</f>
        <v>已付款</v>
      </c>
      <c r="E525" t="str">
        <f>IF(ISBLANK(IFERROR(INDEX('2-3 引出列表'!$A$2:$CE$8700,$A525,MATCH(E$1,'2-3 引出列表'!$A$1:$CD$1,0)),"")),"",IFERROR(INDEX('2-3 引出列表'!$A$2:$CE$8700,$A525,MATCH(E$1,'2-3 引出列表'!$A$1:$CD$1,0)),""))</f>
        <v>2025-06-27</v>
      </c>
      <c r="F525" s="30" t="str">
        <f t="shared" si="8"/>
        <v>2025-06</v>
      </c>
      <c r="G525" t="str">
        <f>IF(ISBLANK(IFERROR(INDEX('2-3 引出列表'!$A$2:$CE$8700,$A525,MATCH(G$1,'2-3 引出列表'!$A$1:$CD$1,0)),"")),"",IFERROR(INDEX('2-3 引出列表'!$A$2:$CE$8700,$A525,MATCH(G$1,'2-3 引出列表'!$A$1:$CD$1,0)),""))</f>
        <v>物料消耗.物料消耗</v>
      </c>
      <c r="H525" t="str">
        <f>IF(ISBLANK(IFERROR(INDEX('2-3 引出列表'!$A$2:$CE$8700,$A525,MATCH(H$1,'2-3 引出列表'!$A$1:$CD$1,0)),"")),"",IFERROR(INDEX('2-3 引出列表'!$A$2:$CE$8700,$A525,MATCH(H$1,'2-3 引出列表'!$A$1:$CD$1,0)),""))</f>
        <v>XHWZ-Z-2024-0060</v>
      </c>
      <c r="I525" t="str">
        <f>IF(ISBLANK(IFERROR(INDEX('2-3 引出列表'!$A$2:$CE$8700,$A525,MATCH(I$1,'2-3 引出列表'!$A$1:$CD$1,0)),"")),"",IFERROR(INDEX('2-3 引出列表'!$A$2:$CE$8700,$A525,MATCH(I$1,'2-3 引出列表'!$A$1:$CD$1,0)),""))</f>
        <v>金采易购</v>
      </c>
    </row>
    <row r="526" spans="1:9">
      <c r="A526">
        <v>525</v>
      </c>
      <c r="B526">
        <f>IF(ISBLANK(IFERROR(INDEX('2-3 引出列表'!$A$2:$CE$8700,$A526,MATCH(B$1,'2-3 引出列表'!$A$1:$CD$1,0)),"")),"",IFERROR(INDEX('2-3 引出列表'!$A$2:$CE$8700,$A526,MATCH(B$1,'2-3 引出列表'!$A$1:$CD$1,0)),""))</f>
        <v>0</v>
      </c>
      <c r="C526">
        <f>IF(ISBLANK(IFERROR(INDEX('2-3 引出列表'!$A$2:$CE$8700,$A526,MATCH(C$1,'2-3 引出列表'!$A$1:$CD$1,0)),"")),"",IFERROR(INDEX('2-3 引出列表'!$A$2:$CE$8700,$A526,MATCH(C$1,'2-3 引出列表'!$A$1:$CD$1,0)),""))</f>
        <v>90600</v>
      </c>
      <c r="D526" t="str">
        <f>IF(ISBLANK(IFERROR(INDEX('2-3 引出列表'!$A$2:$CE$8700,$A526,MATCH(D$1,'2-3 引出列表'!$A$1:$CD$1,0)),"")),"",IFERROR(INDEX('2-3 引出列表'!$A$2:$CE$8700,$A526,MATCH(D$1,'2-3 引出列表'!$A$1:$CD$1,0)),""))</f>
        <v>已付款</v>
      </c>
      <c r="E526" t="str">
        <f>IF(ISBLANK(IFERROR(INDEX('2-3 引出列表'!$A$2:$CE$8700,$A526,MATCH(E$1,'2-3 引出列表'!$A$1:$CD$1,0)),"")),"",IFERROR(INDEX('2-3 引出列表'!$A$2:$CE$8700,$A526,MATCH(E$1,'2-3 引出列表'!$A$1:$CD$1,0)),""))</f>
        <v>2025-04-30</v>
      </c>
      <c r="F526" s="30" t="str">
        <f t="shared" si="8"/>
        <v>2025-04</v>
      </c>
      <c r="G526" t="str">
        <f>IF(ISBLANK(IFERROR(INDEX('2-3 引出列表'!$A$2:$CE$8700,$A526,MATCH(G$1,'2-3 引出列表'!$A$1:$CD$1,0)),"")),"",IFERROR(INDEX('2-3 引出列表'!$A$2:$CE$8700,$A526,MATCH(G$1,'2-3 引出列表'!$A$1:$CD$1,0)),""))</f>
        <v>业务活动.咨询服务费</v>
      </c>
      <c r="H526" t="str">
        <f>IF(ISBLANK(IFERROR(INDEX('2-3 引出列表'!$A$2:$CE$8700,$A526,MATCH(H$1,'2-3 引出列表'!$A$1:$CD$1,0)),"")),"",IFERROR(INDEX('2-3 引出列表'!$A$2:$CE$8700,$A526,MATCH(H$1,'2-3 引出列表'!$A$1:$CD$1,0)),""))</f>
        <v>ZXFW-Z-2023-0014</v>
      </c>
      <c r="I526" t="str">
        <f>IF(ISBLANK(IFERROR(INDEX('2-3 引出列表'!$A$2:$CE$8700,$A526,MATCH(I$1,'2-3 引出列表'!$A$1:$CD$1,0)),"")),"",IFERROR(INDEX('2-3 引出列表'!$A$2:$CE$8700,$A526,MATCH(I$1,'2-3 引出列表'!$A$1:$CD$1,0)),""))</f>
        <v>金采易购</v>
      </c>
    </row>
    <row r="527" spans="1:9">
      <c r="A527">
        <v>526</v>
      </c>
      <c r="B527" t="str">
        <f>IF(ISBLANK(IFERROR(INDEX('2-3 引出列表'!$A$2:$CE$8700,$A527,MATCH(B$1,'2-3 引出列表'!$A$1:$CD$1,0)),"")),"",IFERROR(INDEX('2-3 引出列表'!$A$2:$CE$8700,$A527,MATCH(B$1,'2-3 引出列表'!$A$1:$CD$1,0)),""))</f>
        <v>FK250213000917</v>
      </c>
      <c r="C527">
        <f>IF(ISBLANK(IFERROR(INDEX('2-3 引出列表'!$A$2:$CE$8700,$A527,MATCH(C$1,'2-3 引出列表'!$A$1:$CD$1,0)),"")),"",IFERROR(INDEX('2-3 引出列表'!$A$2:$CE$8700,$A527,MATCH(C$1,'2-3 引出列表'!$A$1:$CD$1,0)),""))</f>
        <v>60166</v>
      </c>
      <c r="D527" t="str">
        <f>IF(ISBLANK(IFERROR(INDEX('2-3 引出列表'!$A$2:$CE$8700,$A527,MATCH(D$1,'2-3 引出列表'!$A$1:$CD$1,0)),"")),"",IFERROR(INDEX('2-3 引出列表'!$A$2:$CE$8700,$A527,MATCH(D$1,'2-3 引出列表'!$A$1:$CD$1,0)),""))</f>
        <v>已付款</v>
      </c>
      <c r="E527" t="str">
        <f>IF(ISBLANK(IFERROR(INDEX('2-3 引出列表'!$A$2:$CE$8700,$A527,MATCH(E$1,'2-3 引出列表'!$A$1:$CD$1,0)),"")),"",IFERROR(INDEX('2-3 引出列表'!$A$2:$CE$8700,$A527,MATCH(E$1,'2-3 引出列表'!$A$1:$CD$1,0)),""))</f>
        <v>2025-04-30</v>
      </c>
      <c r="F527" s="30" t="str">
        <f t="shared" si="8"/>
        <v>2025-04</v>
      </c>
      <c r="G527" t="str">
        <f>IF(ISBLANK(IFERROR(INDEX('2-3 引出列表'!$A$2:$CE$8700,$A527,MATCH(G$1,'2-3 引出列表'!$A$1:$CD$1,0)),"")),"",IFERROR(INDEX('2-3 引出列表'!$A$2:$CE$8700,$A527,MATCH(G$1,'2-3 引出列表'!$A$1:$CD$1,0)),""))</f>
        <v>外包服务费.工程施工外包</v>
      </c>
      <c r="H527" t="str">
        <f>IF(ISBLANK(IFERROR(INDEX('2-3 引出列表'!$A$2:$CE$8700,$A527,MATCH(H$1,'2-3 引出列表'!$A$1:$CD$1,0)),"")),"",IFERROR(INDEX('2-3 引出列表'!$A$2:$CE$8700,$A527,MATCH(H$1,'2-3 引出列表'!$A$1:$CD$1,0)),""))</f>
        <v>GCFW-Z-2024-8928</v>
      </c>
      <c r="I527" t="str">
        <f>IF(ISBLANK(IFERROR(INDEX('2-3 引出列表'!$A$2:$CE$8700,$A527,MATCH(I$1,'2-3 引出列表'!$A$1:$CD$1,0)),"")),"",IFERROR(INDEX('2-3 引出列表'!$A$2:$CE$8700,$A527,MATCH(I$1,'2-3 引出列表'!$A$1:$CD$1,0)),""))</f>
        <v>金采易购</v>
      </c>
    </row>
    <row r="528" spans="1:9">
      <c r="A528">
        <v>527</v>
      </c>
      <c r="B528" t="str">
        <f>IF(ISBLANK(IFERROR(INDEX('2-3 引出列表'!$A$2:$CE$8700,$A528,MATCH(B$1,'2-3 引出列表'!$A$1:$CD$1,0)),"")),"",IFERROR(INDEX('2-3 引出列表'!$A$2:$CE$8700,$A528,MATCH(B$1,'2-3 引出列表'!$A$1:$CD$1,0)),""))</f>
        <v>FK250226000636</v>
      </c>
      <c r="C528">
        <f>IF(ISBLANK(IFERROR(INDEX('2-3 引出列表'!$A$2:$CE$8700,$A528,MATCH(C$1,'2-3 引出列表'!$A$1:$CD$1,0)),"")),"",IFERROR(INDEX('2-3 引出列表'!$A$2:$CE$8700,$A528,MATCH(C$1,'2-3 引出列表'!$A$1:$CD$1,0)),""))</f>
        <v>169435.7</v>
      </c>
      <c r="D528" t="str">
        <f>IF(ISBLANK(IFERROR(INDEX('2-3 引出列表'!$A$2:$CE$8700,$A528,MATCH(D$1,'2-3 引出列表'!$A$1:$CD$1,0)),"")),"",IFERROR(INDEX('2-3 引出列表'!$A$2:$CE$8700,$A528,MATCH(D$1,'2-3 引出列表'!$A$1:$CD$1,0)),""))</f>
        <v>已付款</v>
      </c>
      <c r="E528" t="str">
        <f>IF(ISBLANK(IFERROR(INDEX('2-3 引出列表'!$A$2:$CE$8700,$A528,MATCH(E$1,'2-3 引出列表'!$A$1:$CD$1,0)),"")),"",IFERROR(INDEX('2-3 引出列表'!$A$2:$CE$8700,$A528,MATCH(E$1,'2-3 引出列表'!$A$1:$CD$1,0)),""))</f>
        <v>2025-04-30</v>
      </c>
      <c r="F528" s="30" t="str">
        <f t="shared" si="8"/>
        <v>2025-04</v>
      </c>
      <c r="G528" t="str">
        <f>IF(ISBLANK(IFERROR(INDEX('2-3 引出列表'!$A$2:$CE$8700,$A528,MATCH(G$1,'2-3 引出列表'!$A$1:$CD$1,0)),"")),"",IFERROR(INDEX('2-3 引出列表'!$A$2:$CE$8700,$A528,MATCH(G$1,'2-3 引出列表'!$A$1:$CD$1,0)),""))</f>
        <v>外包服务费.工程施工外包</v>
      </c>
      <c r="H528" t="str">
        <f>IF(ISBLANK(IFERROR(INDEX('2-3 引出列表'!$A$2:$CE$8700,$A528,MATCH(H$1,'2-3 引出列表'!$A$1:$CD$1,0)),"")),"",IFERROR(INDEX('2-3 引出列表'!$A$2:$CE$8700,$A528,MATCH(H$1,'2-3 引出列表'!$A$1:$CD$1,0)),""))</f>
        <v>GCFW-Z-2024-4356</v>
      </c>
      <c r="I528" t="str">
        <f>IF(ISBLANK(IFERROR(INDEX('2-3 引出列表'!$A$2:$CE$8700,$A528,MATCH(I$1,'2-3 引出列表'!$A$1:$CD$1,0)),"")),"",IFERROR(INDEX('2-3 引出列表'!$A$2:$CE$8700,$A528,MATCH(I$1,'2-3 引出列表'!$A$1:$CD$1,0)),""))</f>
        <v>金采易购</v>
      </c>
    </row>
    <row r="529" spans="1:9">
      <c r="A529">
        <v>528</v>
      </c>
      <c r="B529" t="str">
        <f>IF(ISBLANK(IFERROR(INDEX('2-3 引出列表'!$A$2:$CE$8700,$A529,MATCH(B$1,'2-3 引出列表'!$A$1:$CD$1,0)),"")),"",IFERROR(INDEX('2-3 引出列表'!$A$2:$CE$8700,$A529,MATCH(B$1,'2-3 引出列表'!$A$1:$CD$1,0)),""))</f>
        <v>FK250226000636</v>
      </c>
      <c r="C529">
        <f>IF(ISBLANK(IFERROR(INDEX('2-3 引出列表'!$A$2:$CE$8700,$A529,MATCH(C$1,'2-3 引出列表'!$A$1:$CD$1,0)),"")),"",IFERROR(INDEX('2-3 引出列表'!$A$2:$CE$8700,$A529,MATCH(C$1,'2-3 引出列表'!$A$1:$CD$1,0)),""))</f>
        <v>169435.7</v>
      </c>
      <c r="D529" t="str">
        <f>IF(ISBLANK(IFERROR(INDEX('2-3 引出列表'!$A$2:$CE$8700,$A529,MATCH(D$1,'2-3 引出列表'!$A$1:$CD$1,0)),"")),"",IFERROR(INDEX('2-3 引出列表'!$A$2:$CE$8700,$A529,MATCH(D$1,'2-3 引出列表'!$A$1:$CD$1,0)),""))</f>
        <v>已付款</v>
      </c>
      <c r="E529" t="str">
        <f>IF(ISBLANK(IFERROR(INDEX('2-3 引出列表'!$A$2:$CE$8700,$A529,MATCH(E$1,'2-3 引出列表'!$A$1:$CD$1,0)),"")),"",IFERROR(INDEX('2-3 引出列表'!$A$2:$CE$8700,$A529,MATCH(E$1,'2-3 引出列表'!$A$1:$CD$1,0)),""))</f>
        <v>2025-04-30</v>
      </c>
      <c r="F529" s="30" t="str">
        <f t="shared" si="8"/>
        <v>2025-04</v>
      </c>
      <c r="G529" t="str">
        <f>IF(ISBLANK(IFERROR(INDEX('2-3 引出列表'!$A$2:$CE$8700,$A529,MATCH(G$1,'2-3 引出列表'!$A$1:$CD$1,0)),"")),"",IFERROR(INDEX('2-3 引出列表'!$A$2:$CE$8700,$A529,MATCH(G$1,'2-3 引出列表'!$A$1:$CD$1,0)),""))</f>
        <v>外包服务费.工程施工外包</v>
      </c>
      <c r="H529" t="str">
        <f>IF(ISBLANK(IFERROR(INDEX('2-3 引出列表'!$A$2:$CE$8700,$A529,MATCH(H$1,'2-3 引出列表'!$A$1:$CD$1,0)),"")),"",IFERROR(INDEX('2-3 引出列表'!$A$2:$CE$8700,$A529,MATCH(H$1,'2-3 引出列表'!$A$1:$CD$1,0)),""))</f>
        <v>GCFW-Z-2024-4356</v>
      </c>
      <c r="I529" t="str">
        <f>IF(ISBLANK(IFERROR(INDEX('2-3 引出列表'!$A$2:$CE$8700,$A529,MATCH(I$1,'2-3 引出列表'!$A$1:$CD$1,0)),"")),"",IFERROR(INDEX('2-3 引出列表'!$A$2:$CE$8700,$A529,MATCH(I$1,'2-3 引出列表'!$A$1:$CD$1,0)),""))</f>
        <v>金采易购</v>
      </c>
    </row>
    <row r="530" spans="1:9">
      <c r="A530">
        <v>529</v>
      </c>
      <c r="B530" t="str">
        <f>IF(ISBLANK(IFERROR(INDEX('2-3 引出列表'!$A$2:$CE$8700,$A530,MATCH(B$1,'2-3 引出列表'!$A$1:$CD$1,0)),"")),"",IFERROR(INDEX('2-3 引出列表'!$A$2:$CE$8700,$A530,MATCH(B$1,'2-3 引出列表'!$A$1:$CD$1,0)),""))</f>
        <v>FK250415001179</v>
      </c>
      <c r="C530">
        <f>IF(ISBLANK(IFERROR(INDEX('2-3 引出列表'!$A$2:$CE$8700,$A530,MATCH(C$1,'2-3 引出列表'!$A$1:$CD$1,0)),"")),"",IFERROR(INDEX('2-3 引出列表'!$A$2:$CE$8700,$A530,MATCH(C$1,'2-3 引出列表'!$A$1:$CD$1,0)),""))</f>
        <v>119800</v>
      </c>
      <c r="D530" t="str">
        <f>IF(ISBLANK(IFERROR(INDEX('2-3 引出列表'!$A$2:$CE$8700,$A530,MATCH(D$1,'2-3 引出列表'!$A$1:$CD$1,0)),"")),"",IFERROR(INDEX('2-3 引出列表'!$A$2:$CE$8700,$A530,MATCH(D$1,'2-3 引出列表'!$A$1:$CD$1,0)),""))</f>
        <v>已付款</v>
      </c>
      <c r="E530" t="str">
        <f>IF(ISBLANK(IFERROR(INDEX('2-3 引出列表'!$A$2:$CE$8700,$A530,MATCH(E$1,'2-3 引出列表'!$A$1:$CD$1,0)),"")),"",IFERROR(INDEX('2-3 引出列表'!$A$2:$CE$8700,$A530,MATCH(E$1,'2-3 引出列表'!$A$1:$CD$1,0)),""))</f>
        <v>2025-04-29</v>
      </c>
      <c r="F530" s="30" t="str">
        <f t="shared" si="8"/>
        <v>2025-04</v>
      </c>
      <c r="G530" t="str">
        <f>IF(ISBLANK(IFERROR(INDEX('2-3 引出列表'!$A$2:$CE$8700,$A530,MATCH(G$1,'2-3 引出列表'!$A$1:$CD$1,0)),"")),"",IFERROR(INDEX('2-3 引出列表'!$A$2:$CE$8700,$A530,MATCH(G$1,'2-3 引出列表'!$A$1:$CD$1,0)),""))</f>
        <v>外包服务费.工程施工外包</v>
      </c>
      <c r="H530" t="str">
        <f>IF(ISBLANK(IFERROR(INDEX('2-3 引出列表'!$A$2:$CE$8700,$A530,MATCH(H$1,'2-3 引出列表'!$A$1:$CD$1,0)),"")),"",IFERROR(INDEX('2-3 引出列表'!$A$2:$CE$8700,$A530,MATCH(H$1,'2-3 引出列表'!$A$1:$CD$1,0)),""))</f>
        <v>QTFW-Z-2025-00108</v>
      </c>
      <c r="I530" t="str">
        <f>IF(ISBLANK(IFERROR(INDEX('2-3 引出列表'!$A$2:$CE$8700,$A530,MATCH(I$1,'2-3 引出列表'!$A$1:$CD$1,0)),"")),"",IFERROR(INDEX('2-3 引出列表'!$A$2:$CE$8700,$A530,MATCH(I$1,'2-3 引出列表'!$A$1:$CD$1,0)),""))</f>
        <v>金采易购</v>
      </c>
    </row>
    <row r="531" spans="1:9">
      <c r="A531">
        <v>530</v>
      </c>
      <c r="B531">
        <f>IF(ISBLANK(IFERROR(INDEX('2-3 引出列表'!$A$2:$CE$8700,$A531,MATCH(B$1,'2-3 引出列表'!$A$1:$CD$1,0)),"")),"",IFERROR(INDEX('2-3 引出列表'!$A$2:$CE$8700,$A531,MATCH(B$1,'2-3 引出列表'!$A$1:$CD$1,0)),""))</f>
        <v>0</v>
      </c>
      <c r="C531">
        <f>IF(ISBLANK(IFERROR(INDEX('2-3 引出列表'!$A$2:$CE$8700,$A531,MATCH(C$1,'2-3 引出列表'!$A$1:$CD$1,0)),"")),"",IFERROR(INDEX('2-3 引出列表'!$A$2:$CE$8700,$A531,MATCH(C$1,'2-3 引出列表'!$A$1:$CD$1,0)),""))</f>
        <v>31358</v>
      </c>
      <c r="D531" t="str">
        <f>IF(ISBLANK(IFERROR(INDEX('2-3 引出列表'!$A$2:$CE$8700,$A531,MATCH(D$1,'2-3 引出列表'!$A$1:$CD$1,0)),"")),"",IFERROR(INDEX('2-3 引出列表'!$A$2:$CE$8700,$A531,MATCH(D$1,'2-3 引出列表'!$A$1:$CD$1,0)),""))</f>
        <v>已付款</v>
      </c>
      <c r="E531" t="str">
        <f>IF(ISBLANK(IFERROR(INDEX('2-3 引出列表'!$A$2:$CE$8700,$A531,MATCH(E$1,'2-3 引出列表'!$A$1:$CD$1,0)),"")),"",IFERROR(INDEX('2-3 引出列表'!$A$2:$CE$8700,$A531,MATCH(E$1,'2-3 引出列表'!$A$1:$CD$1,0)),""))</f>
        <v>2025-04-29</v>
      </c>
      <c r="F531" s="30" t="str">
        <f t="shared" si="8"/>
        <v>2025-04</v>
      </c>
      <c r="G531" t="str">
        <f>IF(ISBLANK(IFERROR(INDEX('2-3 引出列表'!$A$2:$CE$8700,$A531,MATCH(G$1,'2-3 引出列表'!$A$1:$CD$1,0)),"")),"",IFERROR(INDEX('2-3 引出列表'!$A$2:$CE$8700,$A531,MATCH(G$1,'2-3 引出列表'!$A$1:$CD$1,0)),""))</f>
        <v>人工费用.宿舍费</v>
      </c>
      <c r="H531" t="str">
        <f>IF(ISBLANK(IFERROR(INDEX('2-3 引出列表'!$A$2:$CE$8700,$A531,MATCH(H$1,'2-3 引出列表'!$A$1:$CD$1,0)),"")),"",IFERROR(INDEX('2-3 引出列表'!$A$2:$CE$8700,$A531,MATCH(H$1,'2-3 引出列表'!$A$1:$CD$1,0)),""))</f>
        <v>FWL-Z-2024-0942</v>
      </c>
      <c r="I531">
        <f>IF(ISBLANK(IFERROR(INDEX('2-3 引出列表'!$A$2:$CE$8700,$A531,MATCH(I$1,'2-3 引出列表'!$A$1:$CD$1,0)),"")),"",IFERROR(INDEX('2-3 引出列表'!$A$2:$CE$8700,$A531,MATCH(I$1,'2-3 引出列表'!$A$1:$CD$1,0)),""))</f>
        <v>0</v>
      </c>
    </row>
    <row r="532" spans="1:9">
      <c r="A532">
        <v>531</v>
      </c>
      <c r="B532">
        <f>IF(ISBLANK(IFERROR(INDEX('2-3 引出列表'!$A$2:$CE$8700,$A532,MATCH(B$1,'2-3 引出列表'!$A$1:$CD$1,0)),"")),"",IFERROR(INDEX('2-3 引出列表'!$A$2:$CE$8700,$A532,MATCH(B$1,'2-3 引出列表'!$A$1:$CD$1,0)),""))</f>
        <v>0</v>
      </c>
      <c r="C532">
        <f>IF(ISBLANK(IFERROR(INDEX('2-3 引出列表'!$A$2:$CE$8700,$A532,MATCH(C$1,'2-3 引出列表'!$A$1:$CD$1,0)),"")),"",IFERROR(INDEX('2-3 引出列表'!$A$2:$CE$8700,$A532,MATCH(C$1,'2-3 引出列表'!$A$1:$CD$1,0)),""))</f>
        <v>40980</v>
      </c>
      <c r="D532" t="str">
        <f>IF(ISBLANK(IFERROR(INDEX('2-3 引出列表'!$A$2:$CE$8700,$A532,MATCH(D$1,'2-3 引出列表'!$A$1:$CD$1,0)),"")),"",IFERROR(INDEX('2-3 引出列表'!$A$2:$CE$8700,$A532,MATCH(D$1,'2-3 引出列表'!$A$1:$CD$1,0)),""))</f>
        <v>已付款</v>
      </c>
      <c r="E532" t="str">
        <f>IF(ISBLANK(IFERROR(INDEX('2-3 引出列表'!$A$2:$CE$8700,$A532,MATCH(E$1,'2-3 引出列表'!$A$1:$CD$1,0)),"")),"",IFERROR(INDEX('2-3 引出列表'!$A$2:$CE$8700,$A532,MATCH(E$1,'2-3 引出列表'!$A$1:$CD$1,0)),""))</f>
        <v>2025-04-29</v>
      </c>
      <c r="F532" s="30" t="str">
        <f t="shared" si="8"/>
        <v>2025-04</v>
      </c>
      <c r="G532" t="str">
        <f>IF(ISBLANK(IFERROR(INDEX('2-3 引出列表'!$A$2:$CE$8700,$A532,MATCH(G$1,'2-3 引出列表'!$A$1:$CD$1,0)),"")),"",IFERROR(INDEX('2-3 引出列表'!$A$2:$CE$8700,$A532,MATCH(G$1,'2-3 引出列表'!$A$1:$CD$1,0)),""))</f>
        <v>人工费用.宿舍费</v>
      </c>
      <c r="H532" t="str">
        <f>IF(ISBLANK(IFERROR(INDEX('2-3 引出列表'!$A$2:$CE$8700,$A532,MATCH(H$1,'2-3 引出列表'!$A$1:$CD$1,0)),"")),"",IFERROR(INDEX('2-3 引出列表'!$A$2:$CE$8700,$A532,MATCH(H$1,'2-3 引出列表'!$A$1:$CD$1,0)),""))</f>
        <v>FWL-Z-2025-00136</v>
      </c>
      <c r="I532">
        <f>IF(ISBLANK(IFERROR(INDEX('2-3 引出列表'!$A$2:$CE$8700,$A532,MATCH(I$1,'2-3 引出列表'!$A$1:$CD$1,0)),"")),"",IFERROR(INDEX('2-3 引出列表'!$A$2:$CE$8700,$A532,MATCH(I$1,'2-3 引出列表'!$A$1:$CD$1,0)),""))</f>
        <v>0</v>
      </c>
    </row>
    <row r="533" spans="1:9">
      <c r="A533">
        <v>532</v>
      </c>
      <c r="B533" t="str">
        <f>IF(ISBLANK(IFERROR(INDEX('2-3 引出列表'!$A$2:$CE$8700,$A533,MATCH(B$1,'2-3 引出列表'!$A$1:$CD$1,0)),"")),"",IFERROR(INDEX('2-3 引出列表'!$A$2:$CE$8700,$A533,MATCH(B$1,'2-3 引出列表'!$A$1:$CD$1,0)),""))</f>
        <v>FK250226000683</v>
      </c>
      <c r="C533">
        <f>IF(ISBLANK(IFERROR(INDEX('2-3 引出列表'!$A$2:$CE$8700,$A533,MATCH(C$1,'2-3 引出列表'!$A$1:$CD$1,0)),"")),"",IFERROR(INDEX('2-3 引出列表'!$A$2:$CE$8700,$A533,MATCH(C$1,'2-3 引出列表'!$A$1:$CD$1,0)),""))</f>
        <v>19780</v>
      </c>
      <c r="D533" t="str">
        <f>IF(ISBLANK(IFERROR(INDEX('2-3 引出列表'!$A$2:$CE$8700,$A533,MATCH(D$1,'2-3 引出列表'!$A$1:$CD$1,0)),"")),"",IFERROR(INDEX('2-3 引出列表'!$A$2:$CE$8700,$A533,MATCH(D$1,'2-3 引出列表'!$A$1:$CD$1,0)),""))</f>
        <v>已付款</v>
      </c>
      <c r="E533" t="str">
        <f>IF(ISBLANK(IFERROR(INDEX('2-3 引出列表'!$A$2:$CE$8700,$A533,MATCH(E$1,'2-3 引出列表'!$A$1:$CD$1,0)),"")),"",IFERROR(INDEX('2-3 引出列表'!$A$2:$CE$8700,$A533,MATCH(E$1,'2-3 引出列表'!$A$1:$CD$1,0)),""))</f>
        <v>2025-04-29</v>
      </c>
      <c r="F533" s="30" t="str">
        <f t="shared" si="8"/>
        <v>2025-04</v>
      </c>
      <c r="G533" t="str">
        <f>IF(ISBLANK(IFERROR(INDEX('2-3 引出列表'!$A$2:$CE$8700,$A533,MATCH(G$1,'2-3 引出列表'!$A$1:$CD$1,0)),"")),"",IFERROR(INDEX('2-3 引出列表'!$A$2:$CE$8700,$A533,MATCH(G$1,'2-3 引出列表'!$A$1:$CD$1,0)),""))</f>
        <v>外包服务费.其他外包费</v>
      </c>
      <c r="H533" t="str">
        <f>IF(ISBLANK(IFERROR(INDEX('2-3 引出列表'!$A$2:$CE$8700,$A533,MATCH(H$1,'2-3 引出列表'!$A$1:$CD$1,0)),"")),"",IFERROR(INDEX('2-3 引出列表'!$A$2:$CE$8700,$A533,MATCH(H$1,'2-3 引出列表'!$A$1:$CD$1,0)),""))</f>
        <v>AQFW-Z-2024-1258</v>
      </c>
      <c r="I533" t="str">
        <f>IF(ISBLANK(IFERROR(INDEX('2-3 引出列表'!$A$2:$CE$8700,$A533,MATCH(I$1,'2-3 引出列表'!$A$1:$CD$1,0)),"")),"",IFERROR(INDEX('2-3 引出列表'!$A$2:$CE$8700,$A533,MATCH(I$1,'2-3 引出列表'!$A$1:$CD$1,0)),""))</f>
        <v>金采易购</v>
      </c>
    </row>
    <row r="534" spans="1:9">
      <c r="A534">
        <v>533</v>
      </c>
      <c r="B534" t="str">
        <f>IF(ISBLANK(IFERROR(INDEX('2-3 引出列表'!$A$2:$CE$8700,$A534,MATCH(B$1,'2-3 引出列表'!$A$1:$CD$1,0)),"")),"",IFERROR(INDEX('2-3 引出列表'!$A$2:$CE$8700,$A534,MATCH(B$1,'2-3 引出列表'!$A$1:$CD$1,0)),""))</f>
        <v>FK250219000564</v>
      </c>
      <c r="C534">
        <f>IF(ISBLANK(IFERROR(INDEX('2-3 引出列表'!$A$2:$CE$8700,$A534,MATCH(C$1,'2-3 引出列表'!$A$1:$CD$1,0)),"")),"",IFERROR(INDEX('2-3 引出列表'!$A$2:$CE$8700,$A534,MATCH(C$1,'2-3 引出列表'!$A$1:$CD$1,0)),""))</f>
        <v>7102</v>
      </c>
      <c r="D534" t="str">
        <f>IF(ISBLANK(IFERROR(INDEX('2-3 引出列表'!$A$2:$CE$8700,$A534,MATCH(D$1,'2-3 引出列表'!$A$1:$CD$1,0)),"")),"",IFERROR(INDEX('2-3 引出列表'!$A$2:$CE$8700,$A534,MATCH(D$1,'2-3 引出列表'!$A$1:$CD$1,0)),""))</f>
        <v>已付款</v>
      </c>
      <c r="E534" t="str">
        <f>IF(ISBLANK(IFERROR(INDEX('2-3 引出列表'!$A$2:$CE$8700,$A534,MATCH(E$1,'2-3 引出列表'!$A$1:$CD$1,0)),"")),"",IFERROR(INDEX('2-3 引出列表'!$A$2:$CE$8700,$A534,MATCH(E$1,'2-3 引出列表'!$A$1:$CD$1,0)),""))</f>
        <v>2025-04-29</v>
      </c>
      <c r="F534" s="30" t="str">
        <f t="shared" si="8"/>
        <v>2025-04</v>
      </c>
      <c r="G534" t="str">
        <f>IF(ISBLANK(IFERROR(INDEX('2-3 引出列表'!$A$2:$CE$8700,$A534,MATCH(G$1,'2-3 引出列表'!$A$1:$CD$1,0)),"")),"",IFERROR(INDEX('2-3 引出列表'!$A$2:$CE$8700,$A534,MATCH(G$1,'2-3 引出列表'!$A$1:$CD$1,0)),""))</f>
        <v>外包服务费.工程施工外包</v>
      </c>
      <c r="H534" t="str">
        <f>IF(ISBLANK(IFERROR(INDEX('2-3 引出列表'!$A$2:$CE$8700,$A534,MATCH(H$1,'2-3 引出列表'!$A$1:$CD$1,0)),"")),"",IFERROR(INDEX('2-3 引出列表'!$A$2:$CE$8700,$A534,MATCH(H$1,'2-3 引出列表'!$A$1:$CD$1,0)),""))</f>
        <v>GCFW-Z-2024-7656</v>
      </c>
      <c r="I534" t="str">
        <f>IF(ISBLANK(IFERROR(INDEX('2-3 引出列表'!$A$2:$CE$8700,$A534,MATCH(I$1,'2-3 引出列表'!$A$1:$CD$1,0)),"")),"",IFERROR(INDEX('2-3 引出列表'!$A$2:$CE$8700,$A534,MATCH(I$1,'2-3 引出列表'!$A$1:$CD$1,0)),""))</f>
        <v>金采易购</v>
      </c>
    </row>
    <row r="535" spans="1:9">
      <c r="A535">
        <v>534</v>
      </c>
      <c r="B535" t="str">
        <f>IF(ISBLANK(IFERROR(INDEX('2-3 引出列表'!$A$2:$CE$8700,$A535,MATCH(B$1,'2-3 引出列表'!$A$1:$CD$1,0)),"")),"",IFERROR(INDEX('2-3 引出列表'!$A$2:$CE$8700,$A535,MATCH(B$1,'2-3 引出列表'!$A$1:$CD$1,0)),""))</f>
        <v>FK250213000599</v>
      </c>
      <c r="C535">
        <f>IF(ISBLANK(IFERROR(INDEX('2-3 引出列表'!$A$2:$CE$8700,$A535,MATCH(C$1,'2-3 引出列表'!$A$1:$CD$1,0)),"")),"",IFERROR(INDEX('2-3 引出列表'!$A$2:$CE$8700,$A535,MATCH(C$1,'2-3 引出列表'!$A$1:$CD$1,0)),""))</f>
        <v>15642</v>
      </c>
      <c r="D535" t="str">
        <f>IF(ISBLANK(IFERROR(INDEX('2-3 引出列表'!$A$2:$CE$8700,$A535,MATCH(D$1,'2-3 引出列表'!$A$1:$CD$1,0)),"")),"",IFERROR(INDEX('2-3 引出列表'!$A$2:$CE$8700,$A535,MATCH(D$1,'2-3 引出列表'!$A$1:$CD$1,0)),""))</f>
        <v>已付款</v>
      </c>
      <c r="E535" t="str">
        <f>IF(ISBLANK(IFERROR(INDEX('2-3 引出列表'!$A$2:$CE$8700,$A535,MATCH(E$1,'2-3 引出列表'!$A$1:$CD$1,0)),"")),"",IFERROR(INDEX('2-3 引出列表'!$A$2:$CE$8700,$A535,MATCH(E$1,'2-3 引出列表'!$A$1:$CD$1,0)),""))</f>
        <v>2025-04-29</v>
      </c>
      <c r="F535" s="30" t="str">
        <f t="shared" si="8"/>
        <v>2025-04</v>
      </c>
      <c r="G535" t="str">
        <f>IF(ISBLANK(IFERROR(INDEX('2-3 引出列表'!$A$2:$CE$8700,$A535,MATCH(G$1,'2-3 引出列表'!$A$1:$CD$1,0)),"")),"",IFERROR(INDEX('2-3 引出列表'!$A$2:$CE$8700,$A535,MATCH(G$1,'2-3 引出列表'!$A$1:$CD$1,0)),""))</f>
        <v>外包服务费.工程施工外包</v>
      </c>
      <c r="H535" t="str">
        <f>IF(ISBLANK(IFERROR(INDEX('2-3 引出列表'!$A$2:$CE$8700,$A535,MATCH(H$1,'2-3 引出列表'!$A$1:$CD$1,0)),"")),"",IFERROR(INDEX('2-3 引出列表'!$A$2:$CE$8700,$A535,MATCH(H$1,'2-3 引出列表'!$A$1:$CD$1,0)),""))</f>
        <v>GCFW-Z-2024-10916</v>
      </c>
      <c r="I535" t="str">
        <f>IF(ISBLANK(IFERROR(INDEX('2-3 引出列表'!$A$2:$CE$8700,$A535,MATCH(I$1,'2-3 引出列表'!$A$1:$CD$1,0)),"")),"",IFERROR(INDEX('2-3 引出列表'!$A$2:$CE$8700,$A535,MATCH(I$1,'2-3 引出列表'!$A$1:$CD$1,0)),""))</f>
        <v>金采易购</v>
      </c>
    </row>
    <row r="536" spans="1:9">
      <c r="A536">
        <v>535</v>
      </c>
      <c r="B536" t="str">
        <f>IF(ISBLANK(IFERROR(INDEX('2-3 引出列表'!$A$2:$CE$8700,$A536,MATCH(B$1,'2-3 引出列表'!$A$1:$CD$1,0)),"")),"",IFERROR(INDEX('2-3 引出列表'!$A$2:$CE$8700,$A536,MATCH(B$1,'2-3 引出列表'!$A$1:$CD$1,0)),""))</f>
        <v>FK250213000623</v>
      </c>
      <c r="C536">
        <f>IF(ISBLANK(IFERROR(INDEX('2-3 引出列表'!$A$2:$CE$8700,$A536,MATCH(C$1,'2-3 引出列表'!$A$1:$CD$1,0)),"")),"",IFERROR(INDEX('2-3 引出列表'!$A$2:$CE$8700,$A536,MATCH(C$1,'2-3 引出列表'!$A$1:$CD$1,0)),""))</f>
        <v>5820</v>
      </c>
      <c r="D536" t="str">
        <f>IF(ISBLANK(IFERROR(INDEX('2-3 引出列表'!$A$2:$CE$8700,$A536,MATCH(D$1,'2-3 引出列表'!$A$1:$CD$1,0)),"")),"",IFERROR(INDEX('2-3 引出列表'!$A$2:$CE$8700,$A536,MATCH(D$1,'2-3 引出列表'!$A$1:$CD$1,0)),""))</f>
        <v>已付款</v>
      </c>
      <c r="E536" t="str">
        <f>IF(ISBLANK(IFERROR(INDEX('2-3 引出列表'!$A$2:$CE$8700,$A536,MATCH(E$1,'2-3 引出列表'!$A$1:$CD$1,0)),"")),"",IFERROR(INDEX('2-3 引出列表'!$A$2:$CE$8700,$A536,MATCH(E$1,'2-3 引出列表'!$A$1:$CD$1,0)),""))</f>
        <v>2025-04-29</v>
      </c>
      <c r="F536" s="30" t="str">
        <f t="shared" si="8"/>
        <v>2025-04</v>
      </c>
      <c r="G536" t="str">
        <f>IF(ISBLANK(IFERROR(INDEX('2-3 引出列表'!$A$2:$CE$8700,$A536,MATCH(G$1,'2-3 引出列表'!$A$1:$CD$1,0)),"")),"",IFERROR(INDEX('2-3 引出列表'!$A$2:$CE$8700,$A536,MATCH(G$1,'2-3 引出列表'!$A$1:$CD$1,0)),""))</f>
        <v>外包服务费.工程施工外包</v>
      </c>
      <c r="H536" t="str">
        <f>IF(ISBLANK(IFERROR(INDEX('2-3 引出列表'!$A$2:$CE$8700,$A536,MATCH(H$1,'2-3 引出列表'!$A$1:$CD$1,0)),"")),"",IFERROR(INDEX('2-3 引出列表'!$A$2:$CE$8700,$A536,MATCH(H$1,'2-3 引出列表'!$A$1:$CD$1,0)),""))</f>
        <v>GCFW-Z-2024-10268</v>
      </c>
      <c r="I536" t="str">
        <f>IF(ISBLANK(IFERROR(INDEX('2-3 引出列表'!$A$2:$CE$8700,$A536,MATCH(I$1,'2-3 引出列表'!$A$1:$CD$1,0)),"")),"",IFERROR(INDEX('2-3 引出列表'!$A$2:$CE$8700,$A536,MATCH(I$1,'2-3 引出列表'!$A$1:$CD$1,0)),""))</f>
        <v>金采易购</v>
      </c>
    </row>
    <row r="537" spans="1:9">
      <c r="A537">
        <v>536</v>
      </c>
      <c r="B537" t="str">
        <f>IF(ISBLANK(IFERROR(INDEX('2-3 引出列表'!$A$2:$CE$8700,$A537,MATCH(B$1,'2-3 引出列表'!$A$1:$CD$1,0)),"")),"",IFERROR(INDEX('2-3 引出列表'!$A$2:$CE$8700,$A537,MATCH(B$1,'2-3 引出列表'!$A$1:$CD$1,0)),""))</f>
        <v>FK250213000331</v>
      </c>
      <c r="C537">
        <f>IF(ISBLANK(IFERROR(INDEX('2-3 引出列表'!$A$2:$CE$8700,$A537,MATCH(C$1,'2-3 引出列表'!$A$1:$CD$1,0)),"")),"",IFERROR(INDEX('2-3 引出列表'!$A$2:$CE$8700,$A537,MATCH(C$1,'2-3 引出列表'!$A$1:$CD$1,0)),""))</f>
        <v>48512</v>
      </c>
      <c r="D537" t="str">
        <f>IF(ISBLANK(IFERROR(INDEX('2-3 引出列表'!$A$2:$CE$8700,$A537,MATCH(D$1,'2-3 引出列表'!$A$1:$CD$1,0)),"")),"",IFERROR(INDEX('2-3 引出列表'!$A$2:$CE$8700,$A537,MATCH(D$1,'2-3 引出列表'!$A$1:$CD$1,0)),""))</f>
        <v>已付款</v>
      </c>
      <c r="E537" t="str">
        <f>IF(ISBLANK(IFERROR(INDEX('2-3 引出列表'!$A$2:$CE$8700,$A537,MATCH(E$1,'2-3 引出列表'!$A$1:$CD$1,0)),"")),"",IFERROR(INDEX('2-3 引出列表'!$A$2:$CE$8700,$A537,MATCH(E$1,'2-3 引出列表'!$A$1:$CD$1,0)),""))</f>
        <v>2025-04-29</v>
      </c>
      <c r="F537" s="30" t="str">
        <f t="shared" si="8"/>
        <v>2025-04</v>
      </c>
      <c r="G537" t="str">
        <f>IF(ISBLANK(IFERROR(INDEX('2-3 引出列表'!$A$2:$CE$8700,$A537,MATCH(G$1,'2-3 引出列表'!$A$1:$CD$1,0)),"")),"",IFERROR(INDEX('2-3 引出列表'!$A$2:$CE$8700,$A537,MATCH(G$1,'2-3 引出列表'!$A$1:$CD$1,0)),""))</f>
        <v>物料消耗.物料消耗</v>
      </c>
      <c r="H537">
        <f>IF(ISBLANK(IFERROR(INDEX('2-3 引出列表'!$A$2:$CE$8700,$A537,MATCH(H$1,'2-3 引出列表'!$A$1:$CD$1,0)),"")),"",IFERROR(INDEX('2-3 引出列表'!$A$2:$CE$8700,$A537,MATCH(H$1,'2-3 引出列表'!$A$1:$CD$1,0)),""))</f>
        <v>0</v>
      </c>
      <c r="I537" t="str">
        <f>IF(ISBLANK(IFERROR(INDEX('2-3 引出列表'!$A$2:$CE$8700,$A537,MATCH(I$1,'2-3 引出列表'!$A$1:$CD$1,0)),"")),"",IFERROR(INDEX('2-3 引出列表'!$A$2:$CE$8700,$A537,MATCH(I$1,'2-3 引出列表'!$A$1:$CD$1,0)),""))</f>
        <v>金采易购</v>
      </c>
    </row>
    <row r="538" spans="1:9">
      <c r="A538">
        <v>537</v>
      </c>
      <c r="B538" t="str">
        <f>IF(ISBLANK(IFERROR(INDEX('2-3 引出列表'!$A$2:$CE$8700,$A538,MATCH(B$1,'2-3 引出列表'!$A$1:$CD$1,0)),"")),"",IFERROR(INDEX('2-3 引出列表'!$A$2:$CE$8700,$A538,MATCH(B$1,'2-3 引出列表'!$A$1:$CD$1,0)),""))</f>
        <v>FK250213000331</v>
      </c>
      <c r="C538">
        <f>IF(ISBLANK(IFERROR(INDEX('2-3 引出列表'!$A$2:$CE$8700,$A538,MATCH(C$1,'2-3 引出列表'!$A$1:$CD$1,0)),"")),"",IFERROR(INDEX('2-3 引出列表'!$A$2:$CE$8700,$A538,MATCH(C$1,'2-3 引出列表'!$A$1:$CD$1,0)),""))</f>
        <v>48512</v>
      </c>
      <c r="D538" t="str">
        <f>IF(ISBLANK(IFERROR(INDEX('2-3 引出列表'!$A$2:$CE$8700,$A538,MATCH(D$1,'2-3 引出列表'!$A$1:$CD$1,0)),"")),"",IFERROR(INDEX('2-3 引出列表'!$A$2:$CE$8700,$A538,MATCH(D$1,'2-3 引出列表'!$A$1:$CD$1,0)),""))</f>
        <v>已付款</v>
      </c>
      <c r="E538" t="str">
        <f>IF(ISBLANK(IFERROR(INDEX('2-3 引出列表'!$A$2:$CE$8700,$A538,MATCH(E$1,'2-3 引出列表'!$A$1:$CD$1,0)),"")),"",IFERROR(INDEX('2-3 引出列表'!$A$2:$CE$8700,$A538,MATCH(E$1,'2-3 引出列表'!$A$1:$CD$1,0)),""))</f>
        <v>2025-04-29</v>
      </c>
      <c r="F538" s="30" t="str">
        <f t="shared" si="8"/>
        <v>2025-04</v>
      </c>
      <c r="G538" t="str">
        <f>IF(ISBLANK(IFERROR(INDEX('2-3 引出列表'!$A$2:$CE$8700,$A538,MATCH(G$1,'2-3 引出列表'!$A$1:$CD$1,0)),"")),"",IFERROR(INDEX('2-3 引出列表'!$A$2:$CE$8700,$A538,MATCH(G$1,'2-3 引出列表'!$A$1:$CD$1,0)),""))</f>
        <v>物料消耗.物料消耗</v>
      </c>
      <c r="H538">
        <f>IF(ISBLANK(IFERROR(INDEX('2-3 引出列表'!$A$2:$CE$8700,$A538,MATCH(H$1,'2-3 引出列表'!$A$1:$CD$1,0)),"")),"",IFERROR(INDEX('2-3 引出列表'!$A$2:$CE$8700,$A538,MATCH(H$1,'2-3 引出列表'!$A$1:$CD$1,0)),""))</f>
        <v>0</v>
      </c>
      <c r="I538" t="str">
        <f>IF(ISBLANK(IFERROR(INDEX('2-3 引出列表'!$A$2:$CE$8700,$A538,MATCH(I$1,'2-3 引出列表'!$A$1:$CD$1,0)),"")),"",IFERROR(INDEX('2-3 引出列表'!$A$2:$CE$8700,$A538,MATCH(I$1,'2-3 引出列表'!$A$1:$CD$1,0)),""))</f>
        <v>金采易购</v>
      </c>
    </row>
    <row r="539" spans="1:9">
      <c r="A539">
        <v>538</v>
      </c>
      <c r="B539" t="str">
        <f>IF(ISBLANK(IFERROR(INDEX('2-3 引出列表'!$A$2:$CE$8700,$A539,MATCH(B$1,'2-3 引出列表'!$A$1:$CD$1,0)),"")),"",IFERROR(INDEX('2-3 引出列表'!$A$2:$CE$8700,$A539,MATCH(B$1,'2-3 引出列表'!$A$1:$CD$1,0)),""))</f>
        <v>FK250213000331</v>
      </c>
      <c r="C539">
        <f>IF(ISBLANK(IFERROR(INDEX('2-3 引出列表'!$A$2:$CE$8700,$A539,MATCH(C$1,'2-3 引出列表'!$A$1:$CD$1,0)),"")),"",IFERROR(INDEX('2-3 引出列表'!$A$2:$CE$8700,$A539,MATCH(C$1,'2-3 引出列表'!$A$1:$CD$1,0)),""))</f>
        <v>48512</v>
      </c>
      <c r="D539" t="str">
        <f>IF(ISBLANK(IFERROR(INDEX('2-3 引出列表'!$A$2:$CE$8700,$A539,MATCH(D$1,'2-3 引出列表'!$A$1:$CD$1,0)),"")),"",IFERROR(INDEX('2-3 引出列表'!$A$2:$CE$8700,$A539,MATCH(D$1,'2-3 引出列表'!$A$1:$CD$1,0)),""))</f>
        <v>已付款</v>
      </c>
      <c r="E539" t="str">
        <f>IF(ISBLANK(IFERROR(INDEX('2-3 引出列表'!$A$2:$CE$8700,$A539,MATCH(E$1,'2-3 引出列表'!$A$1:$CD$1,0)),"")),"",IFERROR(INDEX('2-3 引出列表'!$A$2:$CE$8700,$A539,MATCH(E$1,'2-3 引出列表'!$A$1:$CD$1,0)),""))</f>
        <v>2025-04-29</v>
      </c>
      <c r="F539" s="30" t="str">
        <f t="shared" si="8"/>
        <v>2025-04</v>
      </c>
      <c r="G539" t="str">
        <f>IF(ISBLANK(IFERROR(INDEX('2-3 引出列表'!$A$2:$CE$8700,$A539,MATCH(G$1,'2-3 引出列表'!$A$1:$CD$1,0)),"")),"",IFERROR(INDEX('2-3 引出列表'!$A$2:$CE$8700,$A539,MATCH(G$1,'2-3 引出列表'!$A$1:$CD$1,0)),""))</f>
        <v>物料消耗.物料消耗</v>
      </c>
      <c r="H539">
        <f>IF(ISBLANK(IFERROR(INDEX('2-3 引出列表'!$A$2:$CE$8700,$A539,MATCH(H$1,'2-3 引出列表'!$A$1:$CD$1,0)),"")),"",IFERROR(INDEX('2-3 引出列表'!$A$2:$CE$8700,$A539,MATCH(H$1,'2-3 引出列表'!$A$1:$CD$1,0)),""))</f>
        <v>0</v>
      </c>
      <c r="I539" t="str">
        <f>IF(ISBLANK(IFERROR(INDEX('2-3 引出列表'!$A$2:$CE$8700,$A539,MATCH(I$1,'2-3 引出列表'!$A$1:$CD$1,0)),"")),"",IFERROR(INDEX('2-3 引出列表'!$A$2:$CE$8700,$A539,MATCH(I$1,'2-3 引出列表'!$A$1:$CD$1,0)),""))</f>
        <v>金采易购</v>
      </c>
    </row>
    <row r="540" spans="1:9">
      <c r="A540">
        <v>539</v>
      </c>
      <c r="B540" t="str">
        <f>IF(ISBLANK(IFERROR(INDEX('2-3 引出列表'!$A$2:$CE$8700,$A540,MATCH(B$1,'2-3 引出列表'!$A$1:$CD$1,0)),"")),"",IFERROR(INDEX('2-3 引出列表'!$A$2:$CE$8700,$A540,MATCH(B$1,'2-3 引出列表'!$A$1:$CD$1,0)),""))</f>
        <v>FK250213000331</v>
      </c>
      <c r="C540">
        <f>IF(ISBLANK(IFERROR(INDEX('2-3 引出列表'!$A$2:$CE$8700,$A540,MATCH(C$1,'2-3 引出列表'!$A$1:$CD$1,0)),"")),"",IFERROR(INDEX('2-3 引出列表'!$A$2:$CE$8700,$A540,MATCH(C$1,'2-3 引出列表'!$A$1:$CD$1,0)),""))</f>
        <v>48512</v>
      </c>
      <c r="D540" t="str">
        <f>IF(ISBLANK(IFERROR(INDEX('2-3 引出列表'!$A$2:$CE$8700,$A540,MATCH(D$1,'2-3 引出列表'!$A$1:$CD$1,0)),"")),"",IFERROR(INDEX('2-3 引出列表'!$A$2:$CE$8700,$A540,MATCH(D$1,'2-3 引出列表'!$A$1:$CD$1,0)),""))</f>
        <v>已付款</v>
      </c>
      <c r="E540" t="str">
        <f>IF(ISBLANK(IFERROR(INDEX('2-3 引出列表'!$A$2:$CE$8700,$A540,MATCH(E$1,'2-3 引出列表'!$A$1:$CD$1,0)),"")),"",IFERROR(INDEX('2-3 引出列表'!$A$2:$CE$8700,$A540,MATCH(E$1,'2-3 引出列表'!$A$1:$CD$1,0)),""))</f>
        <v>2025-04-29</v>
      </c>
      <c r="F540" s="30" t="str">
        <f t="shared" si="8"/>
        <v>2025-04</v>
      </c>
      <c r="G540" t="str">
        <f>IF(ISBLANK(IFERROR(INDEX('2-3 引出列表'!$A$2:$CE$8700,$A540,MATCH(G$1,'2-3 引出列表'!$A$1:$CD$1,0)),"")),"",IFERROR(INDEX('2-3 引出列表'!$A$2:$CE$8700,$A540,MATCH(G$1,'2-3 引出列表'!$A$1:$CD$1,0)),""))</f>
        <v>物料消耗.物料消耗</v>
      </c>
      <c r="H540">
        <f>IF(ISBLANK(IFERROR(INDEX('2-3 引出列表'!$A$2:$CE$8700,$A540,MATCH(H$1,'2-3 引出列表'!$A$1:$CD$1,0)),"")),"",IFERROR(INDEX('2-3 引出列表'!$A$2:$CE$8700,$A540,MATCH(H$1,'2-3 引出列表'!$A$1:$CD$1,0)),""))</f>
        <v>0</v>
      </c>
      <c r="I540" t="str">
        <f>IF(ISBLANK(IFERROR(INDEX('2-3 引出列表'!$A$2:$CE$8700,$A540,MATCH(I$1,'2-3 引出列表'!$A$1:$CD$1,0)),"")),"",IFERROR(INDEX('2-3 引出列表'!$A$2:$CE$8700,$A540,MATCH(I$1,'2-3 引出列表'!$A$1:$CD$1,0)),""))</f>
        <v>金采易购</v>
      </c>
    </row>
    <row r="541" spans="1:9">
      <c r="A541">
        <v>540</v>
      </c>
      <c r="B541" t="str">
        <f>IF(ISBLANK(IFERROR(INDEX('2-3 引出列表'!$A$2:$CE$8700,$A541,MATCH(B$1,'2-3 引出列表'!$A$1:$CD$1,0)),"")),"",IFERROR(INDEX('2-3 引出列表'!$A$2:$CE$8700,$A541,MATCH(B$1,'2-3 引出列表'!$A$1:$CD$1,0)),""))</f>
        <v>FK250121001016</v>
      </c>
      <c r="C541">
        <f>IF(ISBLANK(IFERROR(INDEX('2-3 引出列表'!$A$2:$CE$8700,$A541,MATCH(C$1,'2-3 引出列表'!$A$1:$CD$1,0)),"")),"",IFERROR(INDEX('2-3 引出列表'!$A$2:$CE$8700,$A541,MATCH(C$1,'2-3 引出列表'!$A$1:$CD$1,0)),""))</f>
        <v>7930</v>
      </c>
      <c r="D541" t="str">
        <f>IF(ISBLANK(IFERROR(INDEX('2-3 引出列表'!$A$2:$CE$8700,$A541,MATCH(D$1,'2-3 引出列表'!$A$1:$CD$1,0)),"")),"",IFERROR(INDEX('2-3 引出列表'!$A$2:$CE$8700,$A541,MATCH(D$1,'2-3 引出列表'!$A$1:$CD$1,0)),""))</f>
        <v>已付款</v>
      </c>
      <c r="E541" t="str">
        <f>IF(ISBLANK(IFERROR(INDEX('2-3 引出列表'!$A$2:$CE$8700,$A541,MATCH(E$1,'2-3 引出列表'!$A$1:$CD$1,0)),"")),"",IFERROR(INDEX('2-3 引出列表'!$A$2:$CE$8700,$A541,MATCH(E$1,'2-3 引出列表'!$A$1:$CD$1,0)),""))</f>
        <v>2025-04-29</v>
      </c>
      <c r="F541" s="30" t="str">
        <f t="shared" si="8"/>
        <v>2025-04</v>
      </c>
      <c r="G541" t="str">
        <f>IF(ISBLANK(IFERROR(INDEX('2-3 引出列表'!$A$2:$CE$8700,$A541,MATCH(G$1,'2-3 引出列表'!$A$1:$CD$1,0)),"")),"",IFERROR(INDEX('2-3 引出列表'!$A$2:$CE$8700,$A541,MATCH(G$1,'2-3 引出列表'!$A$1:$CD$1,0)),""))</f>
        <v>物料消耗.物料消耗</v>
      </c>
      <c r="H541">
        <f>IF(ISBLANK(IFERROR(INDEX('2-3 引出列表'!$A$2:$CE$8700,$A541,MATCH(H$1,'2-3 引出列表'!$A$1:$CD$1,0)),"")),"",IFERROR(INDEX('2-3 引出列表'!$A$2:$CE$8700,$A541,MATCH(H$1,'2-3 引出列表'!$A$1:$CD$1,0)),""))</f>
        <v>0</v>
      </c>
      <c r="I541" t="str">
        <f>IF(ISBLANK(IFERROR(INDEX('2-3 引出列表'!$A$2:$CE$8700,$A541,MATCH(I$1,'2-3 引出列表'!$A$1:$CD$1,0)),"")),"",IFERROR(INDEX('2-3 引出列表'!$A$2:$CE$8700,$A541,MATCH(I$1,'2-3 引出列表'!$A$1:$CD$1,0)),""))</f>
        <v>金采易购</v>
      </c>
    </row>
    <row r="542" spans="1:9">
      <c r="A542">
        <v>541</v>
      </c>
      <c r="B542" t="str">
        <f>IF(ISBLANK(IFERROR(INDEX('2-3 引出列表'!$A$2:$CE$8700,$A542,MATCH(B$1,'2-3 引出列表'!$A$1:$CD$1,0)),"")),"",IFERROR(INDEX('2-3 引出列表'!$A$2:$CE$8700,$A542,MATCH(B$1,'2-3 引出列表'!$A$1:$CD$1,0)),""))</f>
        <v>FK250121001016</v>
      </c>
      <c r="C542">
        <f>IF(ISBLANK(IFERROR(INDEX('2-3 引出列表'!$A$2:$CE$8700,$A542,MATCH(C$1,'2-3 引出列表'!$A$1:$CD$1,0)),"")),"",IFERROR(INDEX('2-3 引出列表'!$A$2:$CE$8700,$A542,MATCH(C$1,'2-3 引出列表'!$A$1:$CD$1,0)),""))</f>
        <v>7930</v>
      </c>
      <c r="D542" t="str">
        <f>IF(ISBLANK(IFERROR(INDEX('2-3 引出列表'!$A$2:$CE$8700,$A542,MATCH(D$1,'2-3 引出列表'!$A$1:$CD$1,0)),"")),"",IFERROR(INDEX('2-3 引出列表'!$A$2:$CE$8700,$A542,MATCH(D$1,'2-3 引出列表'!$A$1:$CD$1,0)),""))</f>
        <v>已付款</v>
      </c>
      <c r="E542" t="str">
        <f>IF(ISBLANK(IFERROR(INDEX('2-3 引出列表'!$A$2:$CE$8700,$A542,MATCH(E$1,'2-3 引出列表'!$A$1:$CD$1,0)),"")),"",IFERROR(INDEX('2-3 引出列表'!$A$2:$CE$8700,$A542,MATCH(E$1,'2-3 引出列表'!$A$1:$CD$1,0)),""))</f>
        <v>2025-04-29</v>
      </c>
      <c r="F542" s="30" t="str">
        <f t="shared" si="8"/>
        <v>2025-04</v>
      </c>
      <c r="G542" t="str">
        <f>IF(ISBLANK(IFERROR(INDEX('2-3 引出列表'!$A$2:$CE$8700,$A542,MATCH(G$1,'2-3 引出列表'!$A$1:$CD$1,0)),"")),"",IFERROR(INDEX('2-3 引出列表'!$A$2:$CE$8700,$A542,MATCH(G$1,'2-3 引出列表'!$A$1:$CD$1,0)),""))</f>
        <v>物料消耗.物料消耗</v>
      </c>
      <c r="H542">
        <f>IF(ISBLANK(IFERROR(INDEX('2-3 引出列表'!$A$2:$CE$8700,$A542,MATCH(H$1,'2-3 引出列表'!$A$1:$CD$1,0)),"")),"",IFERROR(INDEX('2-3 引出列表'!$A$2:$CE$8700,$A542,MATCH(H$1,'2-3 引出列表'!$A$1:$CD$1,0)),""))</f>
        <v>0</v>
      </c>
      <c r="I542" t="str">
        <f>IF(ISBLANK(IFERROR(INDEX('2-3 引出列表'!$A$2:$CE$8700,$A542,MATCH(I$1,'2-3 引出列表'!$A$1:$CD$1,0)),"")),"",IFERROR(INDEX('2-3 引出列表'!$A$2:$CE$8700,$A542,MATCH(I$1,'2-3 引出列表'!$A$1:$CD$1,0)),""))</f>
        <v>金采易购</v>
      </c>
    </row>
    <row r="543" spans="1:9">
      <c r="A543">
        <v>542</v>
      </c>
      <c r="B543" t="str">
        <f>IF(ISBLANK(IFERROR(INDEX('2-3 引出列表'!$A$2:$CE$8700,$A543,MATCH(B$1,'2-3 引出列表'!$A$1:$CD$1,0)),"")),"",IFERROR(INDEX('2-3 引出列表'!$A$2:$CE$8700,$A543,MATCH(B$1,'2-3 引出列表'!$A$1:$CD$1,0)),""))</f>
        <v>FK250121001016</v>
      </c>
      <c r="C543">
        <f>IF(ISBLANK(IFERROR(INDEX('2-3 引出列表'!$A$2:$CE$8700,$A543,MATCH(C$1,'2-3 引出列表'!$A$1:$CD$1,0)),"")),"",IFERROR(INDEX('2-3 引出列表'!$A$2:$CE$8700,$A543,MATCH(C$1,'2-3 引出列表'!$A$1:$CD$1,0)),""))</f>
        <v>7930</v>
      </c>
      <c r="D543" t="str">
        <f>IF(ISBLANK(IFERROR(INDEX('2-3 引出列表'!$A$2:$CE$8700,$A543,MATCH(D$1,'2-3 引出列表'!$A$1:$CD$1,0)),"")),"",IFERROR(INDEX('2-3 引出列表'!$A$2:$CE$8700,$A543,MATCH(D$1,'2-3 引出列表'!$A$1:$CD$1,0)),""))</f>
        <v>已付款</v>
      </c>
      <c r="E543" t="str">
        <f>IF(ISBLANK(IFERROR(INDEX('2-3 引出列表'!$A$2:$CE$8700,$A543,MATCH(E$1,'2-3 引出列表'!$A$1:$CD$1,0)),"")),"",IFERROR(INDEX('2-3 引出列表'!$A$2:$CE$8700,$A543,MATCH(E$1,'2-3 引出列表'!$A$1:$CD$1,0)),""))</f>
        <v>2025-04-29</v>
      </c>
      <c r="F543" s="30" t="str">
        <f t="shared" si="8"/>
        <v>2025-04</v>
      </c>
      <c r="G543" t="str">
        <f>IF(ISBLANK(IFERROR(INDEX('2-3 引出列表'!$A$2:$CE$8700,$A543,MATCH(G$1,'2-3 引出列表'!$A$1:$CD$1,0)),"")),"",IFERROR(INDEX('2-3 引出列表'!$A$2:$CE$8700,$A543,MATCH(G$1,'2-3 引出列表'!$A$1:$CD$1,0)),""))</f>
        <v>物料消耗.物料消耗</v>
      </c>
      <c r="H543">
        <f>IF(ISBLANK(IFERROR(INDEX('2-3 引出列表'!$A$2:$CE$8700,$A543,MATCH(H$1,'2-3 引出列表'!$A$1:$CD$1,0)),"")),"",IFERROR(INDEX('2-3 引出列表'!$A$2:$CE$8700,$A543,MATCH(H$1,'2-3 引出列表'!$A$1:$CD$1,0)),""))</f>
        <v>0</v>
      </c>
      <c r="I543" t="str">
        <f>IF(ISBLANK(IFERROR(INDEX('2-3 引出列表'!$A$2:$CE$8700,$A543,MATCH(I$1,'2-3 引出列表'!$A$1:$CD$1,0)),"")),"",IFERROR(INDEX('2-3 引出列表'!$A$2:$CE$8700,$A543,MATCH(I$1,'2-3 引出列表'!$A$1:$CD$1,0)),""))</f>
        <v>金采易购</v>
      </c>
    </row>
    <row r="544" spans="1:9">
      <c r="A544">
        <v>543</v>
      </c>
      <c r="B544" t="str">
        <f>IF(ISBLANK(IFERROR(INDEX('2-3 引出列表'!$A$2:$CE$8700,$A544,MATCH(B$1,'2-3 引出列表'!$A$1:$CD$1,0)),"")),"",IFERROR(INDEX('2-3 引出列表'!$A$2:$CE$8700,$A544,MATCH(B$1,'2-3 引出列表'!$A$1:$CD$1,0)),""))</f>
        <v>FK250121001016</v>
      </c>
      <c r="C544">
        <f>IF(ISBLANK(IFERROR(INDEX('2-3 引出列表'!$A$2:$CE$8700,$A544,MATCH(C$1,'2-3 引出列表'!$A$1:$CD$1,0)),"")),"",IFERROR(INDEX('2-3 引出列表'!$A$2:$CE$8700,$A544,MATCH(C$1,'2-3 引出列表'!$A$1:$CD$1,0)),""))</f>
        <v>7930</v>
      </c>
      <c r="D544" t="str">
        <f>IF(ISBLANK(IFERROR(INDEX('2-3 引出列表'!$A$2:$CE$8700,$A544,MATCH(D$1,'2-3 引出列表'!$A$1:$CD$1,0)),"")),"",IFERROR(INDEX('2-3 引出列表'!$A$2:$CE$8700,$A544,MATCH(D$1,'2-3 引出列表'!$A$1:$CD$1,0)),""))</f>
        <v>已付款</v>
      </c>
      <c r="E544" t="str">
        <f>IF(ISBLANK(IFERROR(INDEX('2-3 引出列表'!$A$2:$CE$8700,$A544,MATCH(E$1,'2-3 引出列表'!$A$1:$CD$1,0)),"")),"",IFERROR(INDEX('2-3 引出列表'!$A$2:$CE$8700,$A544,MATCH(E$1,'2-3 引出列表'!$A$1:$CD$1,0)),""))</f>
        <v>2025-04-29</v>
      </c>
      <c r="F544" s="30" t="str">
        <f t="shared" si="8"/>
        <v>2025-04</v>
      </c>
      <c r="G544" t="str">
        <f>IF(ISBLANK(IFERROR(INDEX('2-3 引出列表'!$A$2:$CE$8700,$A544,MATCH(G$1,'2-3 引出列表'!$A$1:$CD$1,0)),"")),"",IFERROR(INDEX('2-3 引出列表'!$A$2:$CE$8700,$A544,MATCH(G$1,'2-3 引出列表'!$A$1:$CD$1,0)),""))</f>
        <v>物料消耗.物料消耗</v>
      </c>
      <c r="H544">
        <f>IF(ISBLANK(IFERROR(INDEX('2-3 引出列表'!$A$2:$CE$8700,$A544,MATCH(H$1,'2-3 引出列表'!$A$1:$CD$1,0)),"")),"",IFERROR(INDEX('2-3 引出列表'!$A$2:$CE$8700,$A544,MATCH(H$1,'2-3 引出列表'!$A$1:$CD$1,0)),""))</f>
        <v>0</v>
      </c>
      <c r="I544" t="str">
        <f>IF(ISBLANK(IFERROR(INDEX('2-3 引出列表'!$A$2:$CE$8700,$A544,MATCH(I$1,'2-3 引出列表'!$A$1:$CD$1,0)),"")),"",IFERROR(INDEX('2-3 引出列表'!$A$2:$CE$8700,$A544,MATCH(I$1,'2-3 引出列表'!$A$1:$CD$1,0)),""))</f>
        <v>金采易购</v>
      </c>
    </row>
    <row r="545" spans="1:9">
      <c r="A545">
        <v>544</v>
      </c>
      <c r="B545" t="str">
        <f>IF(ISBLANK(IFERROR(INDEX('2-3 引出列表'!$A$2:$CE$8700,$A545,MATCH(B$1,'2-3 引出列表'!$A$1:$CD$1,0)),"")),"",IFERROR(INDEX('2-3 引出列表'!$A$2:$CE$8700,$A545,MATCH(B$1,'2-3 引出列表'!$A$1:$CD$1,0)),""))</f>
        <v>FK250121001016</v>
      </c>
      <c r="C545">
        <f>IF(ISBLANK(IFERROR(INDEX('2-3 引出列表'!$A$2:$CE$8700,$A545,MATCH(C$1,'2-3 引出列表'!$A$1:$CD$1,0)),"")),"",IFERROR(INDEX('2-3 引出列表'!$A$2:$CE$8700,$A545,MATCH(C$1,'2-3 引出列表'!$A$1:$CD$1,0)),""))</f>
        <v>7930</v>
      </c>
      <c r="D545" t="str">
        <f>IF(ISBLANK(IFERROR(INDEX('2-3 引出列表'!$A$2:$CE$8700,$A545,MATCH(D$1,'2-3 引出列表'!$A$1:$CD$1,0)),"")),"",IFERROR(INDEX('2-3 引出列表'!$A$2:$CE$8700,$A545,MATCH(D$1,'2-3 引出列表'!$A$1:$CD$1,0)),""))</f>
        <v>已付款</v>
      </c>
      <c r="E545" t="str">
        <f>IF(ISBLANK(IFERROR(INDEX('2-3 引出列表'!$A$2:$CE$8700,$A545,MATCH(E$1,'2-3 引出列表'!$A$1:$CD$1,0)),"")),"",IFERROR(INDEX('2-3 引出列表'!$A$2:$CE$8700,$A545,MATCH(E$1,'2-3 引出列表'!$A$1:$CD$1,0)),""))</f>
        <v>2025-04-29</v>
      </c>
      <c r="F545" s="30" t="str">
        <f t="shared" si="8"/>
        <v>2025-04</v>
      </c>
      <c r="G545" t="str">
        <f>IF(ISBLANK(IFERROR(INDEX('2-3 引出列表'!$A$2:$CE$8700,$A545,MATCH(G$1,'2-3 引出列表'!$A$1:$CD$1,0)),"")),"",IFERROR(INDEX('2-3 引出列表'!$A$2:$CE$8700,$A545,MATCH(G$1,'2-3 引出列表'!$A$1:$CD$1,0)),""))</f>
        <v>物料消耗.物料消耗</v>
      </c>
      <c r="H545">
        <f>IF(ISBLANK(IFERROR(INDEX('2-3 引出列表'!$A$2:$CE$8700,$A545,MATCH(H$1,'2-3 引出列表'!$A$1:$CD$1,0)),"")),"",IFERROR(INDEX('2-3 引出列表'!$A$2:$CE$8700,$A545,MATCH(H$1,'2-3 引出列表'!$A$1:$CD$1,0)),""))</f>
        <v>0</v>
      </c>
      <c r="I545" t="str">
        <f>IF(ISBLANK(IFERROR(INDEX('2-3 引出列表'!$A$2:$CE$8700,$A545,MATCH(I$1,'2-3 引出列表'!$A$1:$CD$1,0)),"")),"",IFERROR(INDEX('2-3 引出列表'!$A$2:$CE$8700,$A545,MATCH(I$1,'2-3 引出列表'!$A$1:$CD$1,0)),""))</f>
        <v>金采易购</v>
      </c>
    </row>
    <row r="546" spans="1:9">
      <c r="A546">
        <v>545</v>
      </c>
      <c r="B546" t="str">
        <f>IF(ISBLANK(IFERROR(INDEX('2-3 引出列表'!$A$2:$CE$8700,$A546,MATCH(B$1,'2-3 引出列表'!$A$1:$CD$1,0)),"")),"",IFERROR(INDEX('2-3 引出列表'!$A$2:$CE$8700,$A546,MATCH(B$1,'2-3 引出列表'!$A$1:$CD$1,0)),""))</f>
        <v>FK250121000267</v>
      </c>
      <c r="C546">
        <f>IF(ISBLANK(IFERROR(INDEX('2-3 引出列表'!$A$2:$CE$8700,$A546,MATCH(C$1,'2-3 引出列表'!$A$1:$CD$1,0)),"")),"",IFERROR(INDEX('2-3 引出列表'!$A$2:$CE$8700,$A546,MATCH(C$1,'2-3 引出列表'!$A$1:$CD$1,0)),""))</f>
        <v>5063.89</v>
      </c>
      <c r="D546" t="str">
        <f>IF(ISBLANK(IFERROR(INDEX('2-3 引出列表'!$A$2:$CE$8700,$A546,MATCH(D$1,'2-3 引出列表'!$A$1:$CD$1,0)),"")),"",IFERROR(INDEX('2-3 引出列表'!$A$2:$CE$8700,$A546,MATCH(D$1,'2-3 引出列表'!$A$1:$CD$1,0)),""))</f>
        <v>已付款</v>
      </c>
      <c r="E546" t="str">
        <f>IF(ISBLANK(IFERROR(INDEX('2-3 引出列表'!$A$2:$CE$8700,$A546,MATCH(E$1,'2-3 引出列表'!$A$1:$CD$1,0)),"")),"",IFERROR(INDEX('2-3 引出列表'!$A$2:$CE$8700,$A546,MATCH(E$1,'2-3 引出列表'!$A$1:$CD$1,0)),""))</f>
        <v>2025-04-29</v>
      </c>
      <c r="F546" s="30" t="str">
        <f t="shared" si="8"/>
        <v>2025-04</v>
      </c>
      <c r="G546" t="str">
        <f>IF(ISBLANK(IFERROR(INDEX('2-3 引出列表'!$A$2:$CE$8700,$A546,MATCH(G$1,'2-3 引出列表'!$A$1:$CD$1,0)),"")),"",IFERROR(INDEX('2-3 引出列表'!$A$2:$CE$8700,$A546,MATCH(G$1,'2-3 引出列表'!$A$1:$CD$1,0)),""))</f>
        <v>物料消耗.物料消耗</v>
      </c>
      <c r="H546">
        <f>IF(ISBLANK(IFERROR(INDEX('2-3 引出列表'!$A$2:$CE$8700,$A546,MATCH(H$1,'2-3 引出列表'!$A$1:$CD$1,0)),"")),"",IFERROR(INDEX('2-3 引出列表'!$A$2:$CE$8700,$A546,MATCH(H$1,'2-3 引出列表'!$A$1:$CD$1,0)),""))</f>
        <v>0</v>
      </c>
      <c r="I546" t="str">
        <f>IF(ISBLANK(IFERROR(INDEX('2-3 引出列表'!$A$2:$CE$8700,$A546,MATCH(I$1,'2-3 引出列表'!$A$1:$CD$1,0)),"")),"",IFERROR(INDEX('2-3 引出列表'!$A$2:$CE$8700,$A546,MATCH(I$1,'2-3 引出列表'!$A$1:$CD$1,0)),""))</f>
        <v>金采易购</v>
      </c>
    </row>
    <row r="547" spans="1:9">
      <c r="A547">
        <v>546</v>
      </c>
      <c r="B547" t="str">
        <f>IF(ISBLANK(IFERROR(INDEX('2-3 引出列表'!$A$2:$CE$8700,$A547,MATCH(B$1,'2-3 引出列表'!$A$1:$CD$1,0)),"")),"",IFERROR(INDEX('2-3 引出列表'!$A$2:$CE$8700,$A547,MATCH(B$1,'2-3 引出列表'!$A$1:$CD$1,0)),""))</f>
        <v>FK250121000267</v>
      </c>
      <c r="C547">
        <f>IF(ISBLANK(IFERROR(INDEX('2-3 引出列表'!$A$2:$CE$8700,$A547,MATCH(C$1,'2-3 引出列表'!$A$1:$CD$1,0)),"")),"",IFERROR(INDEX('2-3 引出列表'!$A$2:$CE$8700,$A547,MATCH(C$1,'2-3 引出列表'!$A$1:$CD$1,0)),""))</f>
        <v>5063.89</v>
      </c>
      <c r="D547" t="str">
        <f>IF(ISBLANK(IFERROR(INDEX('2-3 引出列表'!$A$2:$CE$8700,$A547,MATCH(D$1,'2-3 引出列表'!$A$1:$CD$1,0)),"")),"",IFERROR(INDEX('2-3 引出列表'!$A$2:$CE$8700,$A547,MATCH(D$1,'2-3 引出列表'!$A$1:$CD$1,0)),""))</f>
        <v>已付款</v>
      </c>
      <c r="E547" t="str">
        <f>IF(ISBLANK(IFERROR(INDEX('2-3 引出列表'!$A$2:$CE$8700,$A547,MATCH(E$1,'2-3 引出列表'!$A$1:$CD$1,0)),"")),"",IFERROR(INDEX('2-3 引出列表'!$A$2:$CE$8700,$A547,MATCH(E$1,'2-3 引出列表'!$A$1:$CD$1,0)),""))</f>
        <v>2025-04-29</v>
      </c>
      <c r="F547" s="30" t="str">
        <f t="shared" si="8"/>
        <v>2025-04</v>
      </c>
      <c r="G547" t="str">
        <f>IF(ISBLANK(IFERROR(INDEX('2-3 引出列表'!$A$2:$CE$8700,$A547,MATCH(G$1,'2-3 引出列表'!$A$1:$CD$1,0)),"")),"",IFERROR(INDEX('2-3 引出列表'!$A$2:$CE$8700,$A547,MATCH(G$1,'2-3 引出列表'!$A$1:$CD$1,0)),""))</f>
        <v>物料消耗.物料消耗</v>
      </c>
      <c r="H547">
        <f>IF(ISBLANK(IFERROR(INDEX('2-3 引出列表'!$A$2:$CE$8700,$A547,MATCH(H$1,'2-3 引出列表'!$A$1:$CD$1,0)),"")),"",IFERROR(INDEX('2-3 引出列表'!$A$2:$CE$8700,$A547,MATCH(H$1,'2-3 引出列表'!$A$1:$CD$1,0)),""))</f>
        <v>0</v>
      </c>
      <c r="I547" t="str">
        <f>IF(ISBLANK(IFERROR(INDEX('2-3 引出列表'!$A$2:$CE$8700,$A547,MATCH(I$1,'2-3 引出列表'!$A$1:$CD$1,0)),"")),"",IFERROR(INDEX('2-3 引出列表'!$A$2:$CE$8700,$A547,MATCH(I$1,'2-3 引出列表'!$A$1:$CD$1,0)),""))</f>
        <v>金采易购</v>
      </c>
    </row>
    <row r="548" spans="1:9">
      <c r="A548">
        <v>547</v>
      </c>
      <c r="B548" t="str">
        <f>IF(ISBLANK(IFERROR(INDEX('2-3 引出列表'!$A$2:$CE$8700,$A548,MATCH(B$1,'2-3 引出列表'!$A$1:$CD$1,0)),"")),"",IFERROR(INDEX('2-3 引出列表'!$A$2:$CE$8700,$A548,MATCH(B$1,'2-3 引出列表'!$A$1:$CD$1,0)),""))</f>
        <v>FK250121000267</v>
      </c>
      <c r="C548">
        <f>IF(ISBLANK(IFERROR(INDEX('2-3 引出列表'!$A$2:$CE$8700,$A548,MATCH(C$1,'2-3 引出列表'!$A$1:$CD$1,0)),"")),"",IFERROR(INDEX('2-3 引出列表'!$A$2:$CE$8700,$A548,MATCH(C$1,'2-3 引出列表'!$A$1:$CD$1,0)),""))</f>
        <v>5063.89</v>
      </c>
      <c r="D548" t="str">
        <f>IF(ISBLANK(IFERROR(INDEX('2-3 引出列表'!$A$2:$CE$8700,$A548,MATCH(D$1,'2-3 引出列表'!$A$1:$CD$1,0)),"")),"",IFERROR(INDEX('2-3 引出列表'!$A$2:$CE$8700,$A548,MATCH(D$1,'2-3 引出列表'!$A$1:$CD$1,0)),""))</f>
        <v>已付款</v>
      </c>
      <c r="E548" t="str">
        <f>IF(ISBLANK(IFERROR(INDEX('2-3 引出列表'!$A$2:$CE$8700,$A548,MATCH(E$1,'2-3 引出列表'!$A$1:$CD$1,0)),"")),"",IFERROR(INDEX('2-3 引出列表'!$A$2:$CE$8700,$A548,MATCH(E$1,'2-3 引出列表'!$A$1:$CD$1,0)),""))</f>
        <v>2025-04-29</v>
      </c>
      <c r="F548" s="30" t="str">
        <f t="shared" si="8"/>
        <v>2025-04</v>
      </c>
      <c r="G548" t="str">
        <f>IF(ISBLANK(IFERROR(INDEX('2-3 引出列表'!$A$2:$CE$8700,$A548,MATCH(G$1,'2-3 引出列表'!$A$1:$CD$1,0)),"")),"",IFERROR(INDEX('2-3 引出列表'!$A$2:$CE$8700,$A548,MATCH(G$1,'2-3 引出列表'!$A$1:$CD$1,0)),""))</f>
        <v>物料消耗.物料消耗</v>
      </c>
      <c r="H548">
        <f>IF(ISBLANK(IFERROR(INDEX('2-3 引出列表'!$A$2:$CE$8700,$A548,MATCH(H$1,'2-3 引出列表'!$A$1:$CD$1,0)),"")),"",IFERROR(INDEX('2-3 引出列表'!$A$2:$CE$8700,$A548,MATCH(H$1,'2-3 引出列表'!$A$1:$CD$1,0)),""))</f>
        <v>0</v>
      </c>
      <c r="I548" t="str">
        <f>IF(ISBLANK(IFERROR(INDEX('2-3 引出列表'!$A$2:$CE$8700,$A548,MATCH(I$1,'2-3 引出列表'!$A$1:$CD$1,0)),"")),"",IFERROR(INDEX('2-3 引出列表'!$A$2:$CE$8700,$A548,MATCH(I$1,'2-3 引出列表'!$A$1:$CD$1,0)),""))</f>
        <v>金采易购</v>
      </c>
    </row>
    <row r="549" spans="1:9">
      <c r="A549">
        <v>548</v>
      </c>
      <c r="B549" t="str">
        <f>IF(ISBLANK(IFERROR(INDEX('2-3 引出列表'!$A$2:$CE$8700,$A549,MATCH(B$1,'2-3 引出列表'!$A$1:$CD$1,0)),"")),"",IFERROR(INDEX('2-3 引出列表'!$A$2:$CE$8700,$A549,MATCH(B$1,'2-3 引出列表'!$A$1:$CD$1,0)),""))</f>
        <v>FK250121000267</v>
      </c>
      <c r="C549">
        <f>IF(ISBLANK(IFERROR(INDEX('2-3 引出列表'!$A$2:$CE$8700,$A549,MATCH(C$1,'2-3 引出列表'!$A$1:$CD$1,0)),"")),"",IFERROR(INDEX('2-3 引出列表'!$A$2:$CE$8700,$A549,MATCH(C$1,'2-3 引出列表'!$A$1:$CD$1,0)),""))</f>
        <v>5063.89</v>
      </c>
      <c r="D549" t="str">
        <f>IF(ISBLANK(IFERROR(INDEX('2-3 引出列表'!$A$2:$CE$8700,$A549,MATCH(D$1,'2-3 引出列表'!$A$1:$CD$1,0)),"")),"",IFERROR(INDEX('2-3 引出列表'!$A$2:$CE$8700,$A549,MATCH(D$1,'2-3 引出列表'!$A$1:$CD$1,0)),""))</f>
        <v>已付款</v>
      </c>
      <c r="E549" t="str">
        <f>IF(ISBLANK(IFERROR(INDEX('2-3 引出列表'!$A$2:$CE$8700,$A549,MATCH(E$1,'2-3 引出列表'!$A$1:$CD$1,0)),"")),"",IFERROR(INDEX('2-3 引出列表'!$A$2:$CE$8700,$A549,MATCH(E$1,'2-3 引出列表'!$A$1:$CD$1,0)),""))</f>
        <v>2025-04-29</v>
      </c>
      <c r="F549" s="30" t="str">
        <f t="shared" si="8"/>
        <v>2025-04</v>
      </c>
      <c r="G549" t="str">
        <f>IF(ISBLANK(IFERROR(INDEX('2-3 引出列表'!$A$2:$CE$8700,$A549,MATCH(G$1,'2-3 引出列表'!$A$1:$CD$1,0)),"")),"",IFERROR(INDEX('2-3 引出列表'!$A$2:$CE$8700,$A549,MATCH(G$1,'2-3 引出列表'!$A$1:$CD$1,0)),""))</f>
        <v>物料消耗.物料消耗</v>
      </c>
      <c r="H549">
        <f>IF(ISBLANK(IFERROR(INDEX('2-3 引出列表'!$A$2:$CE$8700,$A549,MATCH(H$1,'2-3 引出列表'!$A$1:$CD$1,0)),"")),"",IFERROR(INDEX('2-3 引出列表'!$A$2:$CE$8700,$A549,MATCH(H$1,'2-3 引出列表'!$A$1:$CD$1,0)),""))</f>
        <v>0</v>
      </c>
      <c r="I549" t="str">
        <f>IF(ISBLANK(IFERROR(INDEX('2-3 引出列表'!$A$2:$CE$8700,$A549,MATCH(I$1,'2-3 引出列表'!$A$1:$CD$1,0)),"")),"",IFERROR(INDEX('2-3 引出列表'!$A$2:$CE$8700,$A549,MATCH(I$1,'2-3 引出列表'!$A$1:$CD$1,0)),""))</f>
        <v>金采易购</v>
      </c>
    </row>
    <row r="550" spans="1:9">
      <c r="A550">
        <v>549</v>
      </c>
      <c r="B550" t="str">
        <f>IF(ISBLANK(IFERROR(INDEX('2-3 引出列表'!$A$2:$CE$8700,$A550,MATCH(B$1,'2-3 引出列表'!$A$1:$CD$1,0)),"")),"",IFERROR(INDEX('2-3 引出列表'!$A$2:$CE$8700,$A550,MATCH(B$1,'2-3 引出列表'!$A$1:$CD$1,0)),""))</f>
        <v>FK250121000267</v>
      </c>
      <c r="C550">
        <f>IF(ISBLANK(IFERROR(INDEX('2-3 引出列表'!$A$2:$CE$8700,$A550,MATCH(C$1,'2-3 引出列表'!$A$1:$CD$1,0)),"")),"",IFERROR(INDEX('2-3 引出列表'!$A$2:$CE$8700,$A550,MATCH(C$1,'2-3 引出列表'!$A$1:$CD$1,0)),""))</f>
        <v>5063.89</v>
      </c>
      <c r="D550" t="str">
        <f>IF(ISBLANK(IFERROR(INDEX('2-3 引出列表'!$A$2:$CE$8700,$A550,MATCH(D$1,'2-3 引出列表'!$A$1:$CD$1,0)),"")),"",IFERROR(INDEX('2-3 引出列表'!$A$2:$CE$8700,$A550,MATCH(D$1,'2-3 引出列表'!$A$1:$CD$1,0)),""))</f>
        <v>已付款</v>
      </c>
      <c r="E550" t="str">
        <f>IF(ISBLANK(IFERROR(INDEX('2-3 引出列表'!$A$2:$CE$8700,$A550,MATCH(E$1,'2-3 引出列表'!$A$1:$CD$1,0)),"")),"",IFERROR(INDEX('2-3 引出列表'!$A$2:$CE$8700,$A550,MATCH(E$1,'2-3 引出列表'!$A$1:$CD$1,0)),""))</f>
        <v>2025-04-29</v>
      </c>
      <c r="F550" s="30" t="str">
        <f t="shared" si="8"/>
        <v>2025-04</v>
      </c>
      <c r="G550" t="str">
        <f>IF(ISBLANK(IFERROR(INDEX('2-3 引出列表'!$A$2:$CE$8700,$A550,MATCH(G$1,'2-3 引出列表'!$A$1:$CD$1,0)),"")),"",IFERROR(INDEX('2-3 引出列表'!$A$2:$CE$8700,$A550,MATCH(G$1,'2-3 引出列表'!$A$1:$CD$1,0)),""))</f>
        <v>物料消耗.物料消耗</v>
      </c>
      <c r="H550">
        <f>IF(ISBLANK(IFERROR(INDEX('2-3 引出列表'!$A$2:$CE$8700,$A550,MATCH(H$1,'2-3 引出列表'!$A$1:$CD$1,0)),"")),"",IFERROR(INDEX('2-3 引出列表'!$A$2:$CE$8700,$A550,MATCH(H$1,'2-3 引出列表'!$A$1:$CD$1,0)),""))</f>
        <v>0</v>
      </c>
      <c r="I550" t="str">
        <f>IF(ISBLANK(IFERROR(INDEX('2-3 引出列表'!$A$2:$CE$8700,$A550,MATCH(I$1,'2-3 引出列表'!$A$1:$CD$1,0)),"")),"",IFERROR(INDEX('2-3 引出列表'!$A$2:$CE$8700,$A550,MATCH(I$1,'2-3 引出列表'!$A$1:$CD$1,0)),""))</f>
        <v>金采易购</v>
      </c>
    </row>
    <row r="551" spans="1:9">
      <c r="A551">
        <v>550</v>
      </c>
      <c r="B551" t="str">
        <f>IF(ISBLANK(IFERROR(INDEX('2-3 引出列表'!$A$2:$CE$8700,$A551,MATCH(B$1,'2-3 引出列表'!$A$1:$CD$1,0)),"")),"",IFERROR(INDEX('2-3 引出列表'!$A$2:$CE$8700,$A551,MATCH(B$1,'2-3 引出列表'!$A$1:$CD$1,0)),""))</f>
        <v>FK250121000267</v>
      </c>
      <c r="C551">
        <f>IF(ISBLANK(IFERROR(INDEX('2-3 引出列表'!$A$2:$CE$8700,$A551,MATCH(C$1,'2-3 引出列表'!$A$1:$CD$1,0)),"")),"",IFERROR(INDEX('2-3 引出列表'!$A$2:$CE$8700,$A551,MATCH(C$1,'2-3 引出列表'!$A$1:$CD$1,0)),""))</f>
        <v>5063.89</v>
      </c>
      <c r="D551" t="str">
        <f>IF(ISBLANK(IFERROR(INDEX('2-3 引出列表'!$A$2:$CE$8700,$A551,MATCH(D$1,'2-3 引出列表'!$A$1:$CD$1,0)),"")),"",IFERROR(INDEX('2-3 引出列表'!$A$2:$CE$8700,$A551,MATCH(D$1,'2-3 引出列表'!$A$1:$CD$1,0)),""))</f>
        <v>已付款</v>
      </c>
      <c r="E551" t="str">
        <f>IF(ISBLANK(IFERROR(INDEX('2-3 引出列表'!$A$2:$CE$8700,$A551,MATCH(E$1,'2-3 引出列表'!$A$1:$CD$1,0)),"")),"",IFERROR(INDEX('2-3 引出列表'!$A$2:$CE$8700,$A551,MATCH(E$1,'2-3 引出列表'!$A$1:$CD$1,0)),""))</f>
        <v>2025-04-29</v>
      </c>
      <c r="F551" s="30" t="str">
        <f t="shared" si="8"/>
        <v>2025-04</v>
      </c>
      <c r="G551" t="str">
        <f>IF(ISBLANK(IFERROR(INDEX('2-3 引出列表'!$A$2:$CE$8700,$A551,MATCH(G$1,'2-3 引出列表'!$A$1:$CD$1,0)),"")),"",IFERROR(INDEX('2-3 引出列表'!$A$2:$CE$8700,$A551,MATCH(G$1,'2-3 引出列表'!$A$1:$CD$1,0)),""))</f>
        <v>物料消耗.物料消耗</v>
      </c>
      <c r="H551">
        <f>IF(ISBLANK(IFERROR(INDEX('2-3 引出列表'!$A$2:$CE$8700,$A551,MATCH(H$1,'2-3 引出列表'!$A$1:$CD$1,0)),"")),"",IFERROR(INDEX('2-3 引出列表'!$A$2:$CE$8700,$A551,MATCH(H$1,'2-3 引出列表'!$A$1:$CD$1,0)),""))</f>
        <v>0</v>
      </c>
      <c r="I551" t="str">
        <f>IF(ISBLANK(IFERROR(INDEX('2-3 引出列表'!$A$2:$CE$8700,$A551,MATCH(I$1,'2-3 引出列表'!$A$1:$CD$1,0)),"")),"",IFERROR(INDEX('2-3 引出列表'!$A$2:$CE$8700,$A551,MATCH(I$1,'2-3 引出列表'!$A$1:$CD$1,0)),""))</f>
        <v>金采易购</v>
      </c>
    </row>
    <row r="552" spans="1:9">
      <c r="A552">
        <v>551</v>
      </c>
      <c r="B552" t="str">
        <f>IF(ISBLANK(IFERROR(INDEX('2-3 引出列表'!$A$2:$CE$8700,$A552,MATCH(B$1,'2-3 引出列表'!$A$1:$CD$1,0)),"")),"",IFERROR(INDEX('2-3 引出列表'!$A$2:$CE$8700,$A552,MATCH(B$1,'2-3 引出列表'!$A$1:$CD$1,0)),""))</f>
        <v>FK250121000267</v>
      </c>
      <c r="C552">
        <f>IF(ISBLANK(IFERROR(INDEX('2-3 引出列表'!$A$2:$CE$8700,$A552,MATCH(C$1,'2-3 引出列表'!$A$1:$CD$1,0)),"")),"",IFERROR(INDEX('2-3 引出列表'!$A$2:$CE$8700,$A552,MATCH(C$1,'2-3 引出列表'!$A$1:$CD$1,0)),""))</f>
        <v>5063.89</v>
      </c>
      <c r="D552" t="str">
        <f>IF(ISBLANK(IFERROR(INDEX('2-3 引出列表'!$A$2:$CE$8700,$A552,MATCH(D$1,'2-3 引出列表'!$A$1:$CD$1,0)),"")),"",IFERROR(INDEX('2-3 引出列表'!$A$2:$CE$8700,$A552,MATCH(D$1,'2-3 引出列表'!$A$1:$CD$1,0)),""))</f>
        <v>已付款</v>
      </c>
      <c r="E552" t="str">
        <f>IF(ISBLANK(IFERROR(INDEX('2-3 引出列表'!$A$2:$CE$8700,$A552,MATCH(E$1,'2-3 引出列表'!$A$1:$CD$1,0)),"")),"",IFERROR(INDEX('2-3 引出列表'!$A$2:$CE$8700,$A552,MATCH(E$1,'2-3 引出列表'!$A$1:$CD$1,0)),""))</f>
        <v>2025-04-29</v>
      </c>
      <c r="F552" s="30" t="str">
        <f t="shared" si="8"/>
        <v>2025-04</v>
      </c>
      <c r="G552" t="str">
        <f>IF(ISBLANK(IFERROR(INDEX('2-3 引出列表'!$A$2:$CE$8700,$A552,MATCH(G$1,'2-3 引出列表'!$A$1:$CD$1,0)),"")),"",IFERROR(INDEX('2-3 引出列表'!$A$2:$CE$8700,$A552,MATCH(G$1,'2-3 引出列表'!$A$1:$CD$1,0)),""))</f>
        <v>物料消耗.物料消耗</v>
      </c>
      <c r="H552">
        <f>IF(ISBLANK(IFERROR(INDEX('2-3 引出列表'!$A$2:$CE$8700,$A552,MATCH(H$1,'2-3 引出列表'!$A$1:$CD$1,0)),"")),"",IFERROR(INDEX('2-3 引出列表'!$A$2:$CE$8700,$A552,MATCH(H$1,'2-3 引出列表'!$A$1:$CD$1,0)),""))</f>
        <v>0</v>
      </c>
      <c r="I552" t="str">
        <f>IF(ISBLANK(IFERROR(INDEX('2-3 引出列表'!$A$2:$CE$8700,$A552,MATCH(I$1,'2-3 引出列表'!$A$1:$CD$1,0)),"")),"",IFERROR(INDEX('2-3 引出列表'!$A$2:$CE$8700,$A552,MATCH(I$1,'2-3 引出列表'!$A$1:$CD$1,0)),""))</f>
        <v>金采易购</v>
      </c>
    </row>
    <row r="553" spans="1:9">
      <c r="A553">
        <v>552</v>
      </c>
      <c r="B553" t="str">
        <f>IF(ISBLANK(IFERROR(INDEX('2-3 引出列表'!$A$2:$CE$8700,$A553,MATCH(B$1,'2-3 引出列表'!$A$1:$CD$1,0)),"")),"",IFERROR(INDEX('2-3 引出列表'!$A$2:$CE$8700,$A553,MATCH(B$1,'2-3 引出列表'!$A$1:$CD$1,0)),""))</f>
        <v>FK250121000267</v>
      </c>
      <c r="C553">
        <f>IF(ISBLANK(IFERROR(INDEX('2-3 引出列表'!$A$2:$CE$8700,$A553,MATCH(C$1,'2-3 引出列表'!$A$1:$CD$1,0)),"")),"",IFERROR(INDEX('2-3 引出列表'!$A$2:$CE$8700,$A553,MATCH(C$1,'2-3 引出列表'!$A$1:$CD$1,0)),""))</f>
        <v>5063.89</v>
      </c>
      <c r="D553" t="str">
        <f>IF(ISBLANK(IFERROR(INDEX('2-3 引出列表'!$A$2:$CE$8700,$A553,MATCH(D$1,'2-3 引出列表'!$A$1:$CD$1,0)),"")),"",IFERROR(INDEX('2-3 引出列表'!$A$2:$CE$8700,$A553,MATCH(D$1,'2-3 引出列表'!$A$1:$CD$1,0)),""))</f>
        <v>已付款</v>
      </c>
      <c r="E553" t="str">
        <f>IF(ISBLANK(IFERROR(INDEX('2-3 引出列表'!$A$2:$CE$8700,$A553,MATCH(E$1,'2-3 引出列表'!$A$1:$CD$1,0)),"")),"",IFERROR(INDEX('2-3 引出列表'!$A$2:$CE$8700,$A553,MATCH(E$1,'2-3 引出列表'!$A$1:$CD$1,0)),""))</f>
        <v>2025-04-29</v>
      </c>
      <c r="F553" s="30" t="str">
        <f t="shared" si="8"/>
        <v>2025-04</v>
      </c>
      <c r="G553" t="str">
        <f>IF(ISBLANK(IFERROR(INDEX('2-3 引出列表'!$A$2:$CE$8700,$A553,MATCH(G$1,'2-3 引出列表'!$A$1:$CD$1,0)),"")),"",IFERROR(INDEX('2-3 引出列表'!$A$2:$CE$8700,$A553,MATCH(G$1,'2-3 引出列表'!$A$1:$CD$1,0)),""))</f>
        <v>物料消耗.物料消耗</v>
      </c>
      <c r="H553">
        <f>IF(ISBLANK(IFERROR(INDEX('2-3 引出列表'!$A$2:$CE$8700,$A553,MATCH(H$1,'2-3 引出列表'!$A$1:$CD$1,0)),"")),"",IFERROR(INDEX('2-3 引出列表'!$A$2:$CE$8700,$A553,MATCH(H$1,'2-3 引出列表'!$A$1:$CD$1,0)),""))</f>
        <v>0</v>
      </c>
      <c r="I553" t="str">
        <f>IF(ISBLANK(IFERROR(INDEX('2-3 引出列表'!$A$2:$CE$8700,$A553,MATCH(I$1,'2-3 引出列表'!$A$1:$CD$1,0)),"")),"",IFERROR(INDEX('2-3 引出列表'!$A$2:$CE$8700,$A553,MATCH(I$1,'2-3 引出列表'!$A$1:$CD$1,0)),""))</f>
        <v>金采易购</v>
      </c>
    </row>
    <row r="554" spans="1:9">
      <c r="A554">
        <v>553</v>
      </c>
      <c r="B554" t="str">
        <f>IF(ISBLANK(IFERROR(INDEX('2-3 引出列表'!$A$2:$CE$8700,$A554,MATCH(B$1,'2-3 引出列表'!$A$1:$CD$1,0)),"")),"",IFERROR(INDEX('2-3 引出列表'!$A$2:$CE$8700,$A554,MATCH(B$1,'2-3 引出列表'!$A$1:$CD$1,0)),""))</f>
        <v>FK250121000267</v>
      </c>
      <c r="C554">
        <f>IF(ISBLANK(IFERROR(INDEX('2-3 引出列表'!$A$2:$CE$8700,$A554,MATCH(C$1,'2-3 引出列表'!$A$1:$CD$1,0)),"")),"",IFERROR(INDEX('2-3 引出列表'!$A$2:$CE$8700,$A554,MATCH(C$1,'2-3 引出列表'!$A$1:$CD$1,0)),""))</f>
        <v>5063.89</v>
      </c>
      <c r="D554" t="str">
        <f>IF(ISBLANK(IFERROR(INDEX('2-3 引出列表'!$A$2:$CE$8700,$A554,MATCH(D$1,'2-3 引出列表'!$A$1:$CD$1,0)),"")),"",IFERROR(INDEX('2-3 引出列表'!$A$2:$CE$8700,$A554,MATCH(D$1,'2-3 引出列表'!$A$1:$CD$1,0)),""))</f>
        <v>已付款</v>
      </c>
      <c r="E554" t="str">
        <f>IF(ISBLANK(IFERROR(INDEX('2-3 引出列表'!$A$2:$CE$8700,$A554,MATCH(E$1,'2-3 引出列表'!$A$1:$CD$1,0)),"")),"",IFERROR(INDEX('2-3 引出列表'!$A$2:$CE$8700,$A554,MATCH(E$1,'2-3 引出列表'!$A$1:$CD$1,0)),""))</f>
        <v>2025-04-29</v>
      </c>
      <c r="F554" s="30" t="str">
        <f t="shared" si="8"/>
        <v>2025-04</v>
      </c>
      <c r="G554" t="str">
        <f>IF(ISBLANK(IFERROR(INDEX('2-3 引出列表'!$A$2:$CE$8700,$A554,MATCH(G$1,'2-3 引出列表'!$A$1:$CD$1,0)),"")),"",IFERROR(INDEX('2-3 引出列表'!$A$2:$CE$8700,$A554,MATCH(G$1,'2-3 引出列表'!$A$1:$CD$1,0)),""))</f>
        <v>物料消耗.物料消耗</v>
      </c>
      <c r="H554">
        <f>IF(ISBLANK(IFERROR(INDEX('2-3 引出列表'!$A$2:$CE$8700,$A554,MATCH(H$1,'2-3 引出列表'!$A$1:$CD$1,0)),"")),"",IFERROR(INDEX('2-3 引出列表'!$A$2:$CE$8700,$A554,MATCH(H$1,'2-3 引出列表'!$A$1:$CD$1,0)),""))</f>
        <v>0</v>
      </c>
      <c r="I554" t="str">
        <f>IF(ISBLANK(IFERROR(INDEX('2-3 引出列表'!$A$2:$CE$8700,$A554,MATCH(I$1,'2-3 引出列表'!$A$1:$CD$1,0)),"")),"",IFERROR(INDEX('2-3 引出列表'!$A$2:$CE$8700,$A554,MATCH(I$1,'2-3 引出列表'!$A$1:$CD$1,0)),""))</f>
        <v>金采易购</v>
      </c>
    </row>
    <row r="555" spans="1:9">
      <c r="A555">
        <v>554</v>
      </c>
      <c r="B555" t="str">
        <f>IF(ISBLANK(IFERROR(INDEX('2-3 引出列表'!$A$2:$CE$8700,$A555,MATCH(B$1,'2-3 引出列表'!$A$1:$CD$1,0)),"")),"",IFERROR(INDEX('2-3 引出列表'!$A$2:$CE$8700,$A555,MATCH(B$1,'2-3 引出列表'!$A$1:$CD$1,0)),""))</f>
        <v>FK250121000267</v>
      </c>
      <c r="C555">
        <f>IF(ISBLANK(IFERROR(INDEX('2-3 引出列表'!$A$2:$CE$8700,$A555,MATCH(C$1,'2-3 引出列表'!$A$1:$CD$1,0)),"")),"",IFERROR(INDEX('2-3 引出列表'!$A$2:$CE$8700,$A555,MATCH(C$1,'2-3 引出列表'!$A$1:$CD$1,0)),""))</f>
        <v>5063.89</v>
      </c>
      <c r="D555" t="str">
        <f>IF(ISBLANK(IFERROR(INDEX('2-3 引出列表'!$A$2:$CE$8700,$A555,MATCH(D$1,'2-3 引出列表'!$A$1:$CD$1,0)),"")),"",IFERROR(INDEX('2-3 引出列表'!$A$2:$CE$8700,$A555,MATCH(D$1,'2-3 引出列表'!$A$1:$CD$1,0)),""))</f>
        <v>已付款</v>
      </c>
      <c r="E555" t="str">
        <f>IF(ISBLANK(IFERROR(INDEX('2-3 引出列表'!$A$2:$CE$8700,$A555,MATCH(E$1,'2-3 引出列表'!$A$1:$CD$1,0)),"")),"",IFERROR(INDEX('2-3 引出列表'!$A$2:$CE$8700,$A555,MATCH(E$1,'2-3 引出列表'!$A$1:$CD$1,0)),""))</f>
        <v>2025-04-29</v>
      </c>
      <c r="F555" s="30" t="str">
        <f t="shared" si="8"/>
        <v>2025-04</v>
      </c>
      <c r="G555" t="str">
        <f>IF(ISBLANK(IFERROR(INDEX('2-3 引出列表'!$A$2:$CE$8700,$A555,MATCH(G$1,'2-3 引出列表'!$A$1:$CD$1,0)),"")),"",IFERROR(INDEX('2-3 引出列表'!$A$2:$CE$8700,$A555,MATCH(G$1,'2-3 引出列表'!$A$1:$CD$1,0)),""))</f>
        <v>物料消耗.物料消耗</v>
      </c>
      <c r="H555">
        <f>IF(ISBLANK(IFERROR(INDEX('2-3 引出列表'!$A$2:$CE$8700,$A555,MATCH(H$1,'2-3 引出列表'!$A$1:$CD$1,0)),"")),"",IFERROR(INDEX('2-3 引出列表'!$A$2:$CE$8700,$A555,MATCH(H$1,'2-3 引出列表'!$A$1:$CD$1,0)),""))</f>
        <v>0</v>
      </c>
      <c r="I555" t="str">
        <f>IF(ISBLANK(IFERROR(INDEX('2-3 引出列表'!$A$2:$CE$8700,$A555,MATCH(I$1,'2-3 引出列表'!$A$1:$CD$1,0)),"")),"",IFERROR(INDEX('2-3 引出列表'!$A$2:$CE$8700,$A555,MATCH(I$1,'2-3 引出列表'!$A$1:$CD$1,0)),""))</f>
        <v>金采易购</v>
      </c>
    </row>
    <row r="556" spans="1:9">
      <c r="A556">
        <v>555</v>
      </c>
      <c r="B556" t="str">
        <f>IF(ISBLANK(IFERROR(INDEX('2-3 引出列表'!$A$2:$CE$8700,$A556,MATCH(B$1,'2-3 引出列表'!$A$1:$CD$1,0)),"")),"",IFERROR(INDEX('2-3 引出列表'!$A$2:$CE$8700,$A556,MATCH(B$1,'2-3 引出列表'!$A$1:$CD$1,0)),""))</f>
        <v>FK250121000267</v>
      </c>
      <c r="C556">
        <f>IF(ISBLANK(IFERROR(INDEX('2-3 引出列表'!$A$2:$CE$8700,$A556,MATCH(C$1,'2-3 引出列表'!$A$1:$CD$1,0)),"")),"",IFERROR(INDEX('2-3 引出列表'!$A$2:$CE$8700,$A556,MATCH(C$1,'2-3 引出列表'!$A$1:$CD$1,0)),""))</f>
        <v>5063.89</v>
      </c>
      <c r="D556" t="str">
        <f>IF(ISBLANK(IFERROR(INDEX('2-3 引出列表'!$A$2:$CE$8700,$A556,MATCH(D$1,'2-3 引出列表'!$A$1:$CD$1,0)),"")),"",IFERROR(INDEX('2-3 引出列表'!$A$2:$CE$8700,$A556,MATCH(D$1,'2-3 引出列表'!$A$1:$CD$1,0)),""))</f>
        <v>已付款</v>
      </c>
      <c r="E556" t="str">
        <f>IF(ISBLANK(IFERROR(INDEX('2-3 引出列表'!$A$2:$CE$8700,$A556,MATCH(E$1,'2-3 引出列表'!$A$1:$CD$1,0)),"")),"",IFERROR(INDEX('2-3 引出列表'!$A$2:$CE$8700,$A556,MATCH(E$1,'2-3 引出列表'!$A$1:$CD$1,0)),""))</f>
        <v>2025-04-29</v>
      </c>
      <c r="F556" s="30" t="str">
        <f t="shared" si="8"/>
        <v>2025-04</v>
      </c>
      <c r="G556" t="str">
        <f>IF(ISBLANK(IFERROR(INDEX('2-3 引出列表'!$A$2:$CE$8700,$A556,MATCH(G$1,'2-3 引出列表'!$A$1:$CD$1,0)),"")),"",IFERROR(INDEX('2-3 引出列表'!$A$2:$CE$8700,$A556,MATCH(G$1,'2-3 引出列表'!$A$1:$CD$1,0)),""))</f>
        <v>物料消耗.物料消耗</v>
      </c>
      <c r="H556">
        <f>IF(ISBLANK(IFERROR(INDEX('2-3 引出列表'!$A$2:$CE$8700,$A556,MATCH(H$1,'2-3 引出列表'!$A$1:$CD$1,0)),"")),"",IFERROR(INDEX('2-3 引出列表'!$A$2:$CE$8700,$A556,MATCH(H$1,'2-3 引出列表'!$A$1:$CD$1,0)),""))</f>
        <v>0</v>
      </c>
      <c r="I556" t="str">
        <f>IF(ISBLANK(IFERROR(INDEX('2-3 引出列表'!$A$2:$CE$8700,$A556,MATCH(I$1,'2-3 引出列表'!$A$1:$CD$1,0)),"")),"",IFERROR(INDEX('2-3 引出列表'!$A$2:$CE$8700,$A556,MATCH(I$1,'2-3 引出列表'!$A$1:$CD$1,0)),""))</f>
        <v>金采易购</v>
      </c>
    </row>
    <row r="557" spans="1:9">
      <c r="A557">
        <v>556</v>
      </c>
      <c r="B557" t="str">
        <f>IF(ISBLANK(IFERROR(INDEX('2-3 引出列表'!$A$2:$CE$8700,$A557,MATCH(B$1,'2-3 引出列表'!$A$1:$CD$1,0)),"")),"",IFERROR(INDEX('2-3 引出列表'!$A$2:$CE$8700,$A557,MATCH(B$1,'2-3 引出列表'!$A$1:$CD$1,0)),""))</f>
        <v>FK250121000267</v>
      </c>
      <c r="C557">
        <f>IF(ISBLANK(IFERROR(INDEX('2-3 引出列表'!$A$2:$CE$8700,$A557,MATCH(C$1,'2-3 引出列表'!$A$1:$CD$1,0)),"")),"",IFERROR(INDEX('2-3 引出列表'!$A$2:$CE$8700,$A557,MATCH(C$1,'2-3 引出列表'!$A$1:$CD$1,0)),""))</f>
        <v>5063.89</v>
      </c>
      <c r="D557" t="str">
        <f>IF(ISBLANK(IFERROR(INDEX('2-3 引出列表'!$A$2:$CE$8700,$A557,MATCH(D$1,'2-3 引出列表'!$A$1:$CD$1,0)),"")),"",IFERROR(INDEX('2-3 引出列表'!$A$2:$CE$8700,$A557,MATCH(D$1,'2-3 引出列表'!$A$1:$CD$1,0)),""))</f>
        <v>已付款</v>
      </c>
      <c r="E557" t="str">
        <f>IF(ISBLANK(IFERROR(INDEX('2-3 引出列表'!$A$2:$CE$8700,$A557,MATCH(E$1,'2-3 引出列表'!$A$1:$CD$1,0)),"")),"",IFERROR(INDEX('2-3 引出列表'!$A$2:$CE$8700,$A557,MATCH(E$1,'2-3 引出列表'!$A$1:$CD$1,0)),""))</f>
        <v>2025-04-29</v>
      </c>
      <c r="F557" s="30" t="str">
        <f t="shared" si="8"/>
        <v>2025-04</v>
      </c>
      <c r="G557" t="str">
        <f>IF(ISBLANK(IFERROR(INDEX('2-3 引出列表'!$A$2:$CE$8700,$A557,MATCH(G$1,'2-3 引出列表'!$A$1:$CD$1,0)),"")),"",IFERROR(INDEX('2-3 引出列表'!$A$2:$CE$8700,$A557,MATCH(G$1,'2-3 引出列表'!$A$1:$CD$1,0)),""))</f>
        <v>物料消耗.物料消耗</v>
      </c>
      <c r="H557">
        <f>IF(ISBLANK(IFERROR(INDEX('2-3 引出列表'!$A$2:$CE$8700,$A557,MATCH(H$1,'2-3 引出列表'!$A$1:$CD$1,0)),"")),"",IFERROR(INDEX('2-3 引出列表'!$A$2:$CE$8700,$A557,MATCH(H$1,'2-3 引出列表'!$A$1:$CD$1,0)),""))</f>
        <v>0</v>
      </c>
      <c r="I557" t="str">
        <f>IF(ISBLANK(IFERROR(INDEX('2-3 引出列表'!$A$2:$CE$8700,$A557,MATCH(I$1,'2-3 引出列表'!$A$1:$CD$1,0)),"")),"",IFERROR(INDEX('2-3 引出列表'!$A$2:$CE$8700,$A557,MATCH(I$1,'2-3 引出列表'!$A$1:$CD$1,0)),""))</f>
        <v>金采易购</v>
      </c>
    </row>
    <row r="558" spans="1:9">
      <c r="A558">
        <v>557</v>
      </c>
      <c r="B558" t="str">
        <f>IF(ISBLANK(IFERROR(INDEX('2-3 引出列表'!$A$2:$CE$8700,$A558,MATCH(B$1,'2-3 引出列表'!$A$1:$CD$1,0)),"")),"",IFERROR(INDEX('2-3 引出列表'!$A$2:$CE$8700,$A558,MATCH(B$1,'2-3 引出列表'!$A$1:$CD$1,0)),""))</f>
        <v>FK250121000267</v>
      </c>
      <c r="C558">
        <f>IF(ISBLANK(IFERROR(INDEX('2-3 引出列表'!$A$2:$CE$8700,$A558,MATCH(C$1,'2-3 引出列表'!$A$1:$CD$1,0)),"")),"",IFERROR(INDEX('2-3 引出列表'!$A$2:$CE$8700,$A558,MATCH(C$1,'2-3 引出列表'!$A$1:$CD$1,0)),""))</f>
        <v>5063.89</v>
      </c>
      <c r="D558" t="str">
        <f>IF(ISBLANK(IFERROR(INDEX('2-3 引出列表'!$A$2:$CE$8700,$A558,MATCH(D$1,'2-3 引出列表'!$A$1:$CD$1,0)),"")),"",IFERROR(INDEX('2-3 引出列表'!$A$2:$CE$8700,$A558,MATCH(D$1,'2-3 引出列表'!$A$1:$CD$1,0)),""))</f>
        <v>已付款</v>
      </c>
      <c r="E558" t="str">
        <f>IF(ISBLANK(IFERROR(INDEX('2-3 引出列表'!$A$2:$CE$8700,$A558,MATCH(E$1,'2-3 引出列表'!$A$1:$CD$1,0)),"")),"",IFERROR(INDEX('2-3 引出列表'!$A$2:$CE$8700,$A558,MATCH(E$1,'2-3 引出列表'!$A$1:$CD$1,0)),""))</f>
        <v>2025-04-29</v>
      </c>
      <c r="F558" s="30" t="str">
        <f t="shared" si="8"/>
        <v>2025-04</v>
      </c>
      <c r="G558" t="str">
        <f>IF(ISBLANK(IFERROR(INDEX('2-3 引出列表'!$A$2:$CE$8700,$A558,MATCH(G$1,'2-3 引出列表'!$A$1:$CD$1,0)),"")),"",IFERROR(INDEX('2-3 引出列表'!$A$2:$CE$8700,$A558,MATCH(G$1,'2-3 引出列表'!$A$1:$CD$1,0)),""))</f>
        <v>物料消耗.物料消耗</v>
      </c>
      <c r="H558">
        <f>IF(ISBLANK(IFERROR(INDEX('2-3 引出列表'!$A$2:$CE$8700,$A558,MATCH(H$1,'2-3 引出列表'!$A$1:$CD$1,0)),"")),"",IFERROR(INDEX('2-3 引出列表'!$A$2:$CE$8700,$A558,MATCH(H$1,'2-3 引出列表'!$A$1:$CD$1,0)),""))</f>
        <v>0</v>
      </c>
      <c r="I558" t="str">
        <f>IF(ISBLANK(IFERROR(INDEX('2-3 引出列表'!$A$2:$CE$8700,$A558,MATCH(I$1,'2-3 引出列表'!$A$1:$CD$1,0)),"")),"",IFERROR(INDEX('2-3 引出列表'!$A$2:$CE$8700,$A558,MATCH(I$1,'2-3 引出列表'!$A$1:$CD$1,0)),""))</f>
        <v>金采易购</v>
      </c>
    </row>
    <row r="559" spans="1:9">
      <c r="A559">
        <v>558</v>
      </c>
      <c r="B559" t="str">
        <f>IF(ISBLANK(IFERROR(INDEX('2-3 引出列表'!$A$2:$CE$8700,$A559,MATCH(B$1,'2-3 引出列表'!$A$1:$CD$1,0)),"")),"",IFERROR(INDEX('2-3 引出列表'!$A$2:$CE$8700,$A559,MATCH(B$1,'2-3 引出列表'!$A$1:$CD$1,0)),""))</f>
        <v>FK250121000703</v>
      </c>
      <c r="C559">
        <f>IF(ISBLANK(IFERROR(INDEX('2-3 引出列表'!$A$2:$CE$8700,$A559,MATCH(C$1,'2-3 引出列表'!$A$1:$CD$1,0)),"")),"",IFERROR(INDEX('2-3 引出列表'!$A$2:$CE$8700,$A559,MATCH(C$1,'2-3 引出列表'!$A$1:$CD$1,0)),""))</f>
        <v>35460</v>
      </c>
      <c r="D559" t="str">
        <f>IF(ISBLANK(IFERROR(INDEX('2-3 引出列表'!$A$2:$CE$8700,$A559,MATCH(D$1,'2-3 引出列表'!$A$1:$CD$1,0)),"")),"",IFERROR(INDEX('2-3 引出列表'!$A$2:$CE$8700,$A559,MATCH(D$1,'2-3 引出列表'!$A$1:$CD$1,0)),""))</f>
        <v>已付款</v>
      </c>
      <c r="E559" t="str">
        <f>IF(ISBLANK(IFERROR(INDEX('2-3 引出列表'!$A$2:$CE$8700,$A559,MATCH(E$1,'2-3 引出列表'!$A$1:$CD$1,0)),"")),"",IFERROR(INDEX('2-3 引出列表'!$A$2:$CE$8700,$A559,MATCH(E$1,'2-3 引出列表'!$A$1:$CD$1,0)),""))</f>
        <v>2025-04-29</v>
      </c>
      <c r="F559" s="30" t="str">
        <f t="shared" si="8"/>
        <v>2025-04</v>
      </c>
      <c r="G559" t="str">
        <f>IF(ISBLANK(IFERROR(INDEX('2-3 引出列表'!$A$2:$CE$8700,$A559,MATCH(G$1,'2-3 引出列表'!$A$1:$CD$1,0)),"")),"",IFERROR(INDEX('2-3 引出列表'!$A$2:$CE$8700,$A559,MATCH(G$1,'2-3 引出列表'!$A$1:$CD$1,0)),""))</f>
        <v>物料消耗.物料消耗</v>
      </c>
      <c r="H559">
        <f>IF(ISBLANK(IFERROR(INDEX('2-3 引出列表'!$A$2:$CE$8700,$A559,MATCH(H$1,'2-3 引出列表'!$A$1:$CD$1,0)),"")),"",IFERROR(INDEX('2-3 引出列表'!$A$2:$CE$8700,$A559,MATCH(H$1,'2-3 引出列表'!$A$1:$CD$1,0)),""))</f>
        <v>0</v>
      </c>
      <c r="I559" t="str">
        <f>IF(ISBLANK(IFERROR(INDEX('2-3 引出列表'!$A$2:$CE$8700,$A559,MATCH(I$1,'2-3 引出列表'!$A$1:$CD$1,0)),"")),"",IFERROR(INDEX('2-3 引出列表'!$A$2:$CE$8700,$A559,MATCH(I$1,'2-3 引出列表'!$A$1:$CD$1,0)),""))</f>
        <v>金采易购</v>
      </c>
    </row>
    <row r="560" spans="1:9">
      <c r="A560">
        <v>559</v>
      </c>
      <c r="B560" t="str">
        <f>IF(ISBLANK(IFERROR(INDEX('2-3 引出列表'!$A$2:$CE$8700,$A560,MATCH(B$1,'2-3 引出列表'!$A$1:$CD$1,0)),"")),"",IFERROR(INDEX('2-3 引出列表'!$A$2:$CE$8700,$A560,MATCH(B$1,'2-3 引出列表'!$A$1:$CD$1,0)),""))</f>
        <v>FK250121000703</v>
      </c>
      <c r="C560">
        <f>IF(ISBLANK(IFERROR(INDEX('2-3 引出列表'!$A$2:$CE$8700,$A560,MATCH(C$1,'2-3 引出列表'!$A$1:$CD$1,0)),"")),"",IFERROR(INDEX('2-3 引出列表'!$A$2:$CE$8700,$A560,MATCH(C$1,'2-3 引出列表'!$A$1:$CD$1,0)),""))</f>
        <v>35460</v>
      </c>
      <c r="D560" t="str">
        <f>IF(ISBLANK(IFERROR(INDEX('2-3 引出列表'!$A$2:$CE$8700,$A560,MATCH(D$1,'2-3 引出列表'!$A$1:$CD$1,0)),"")),"",IFERROR(INDEX('2-3 引出列表'!$A$2:$CE$8700,$A560,MATCH(D$1,'2-3 引出列表'!$A$1:$CD$1,0)),""))</f>
        <v>已付款</v>
      </c>
      <c r="E560" t="str">
        <f>IF(ISBLANK(IFERROR(INDEX('2-3 引出列表'!$A$2:$CE$8700,$A560,MATCH(E$1,'2-3 引出列表'!$A$1:$CD$1,0)),"")),"",IFERROR(INDEX('2-3 引出列表'!$A$2:$CE$8700,$A560,MATCH(E$1,'2-3 引出列表'!$A$1:$CD$1,0)),""))</f>
        <v>2025-04-29</v>
      </c>
      <c r="F560" s="30" t="str">
        <f t="shared" si="8"/>
        <v>2025-04</v>
      </c>
      <c r="G560" t="str">
        <f>IF(ISBLANK(IFERROR(INDEX('2-3 引出列表'!$A$2:$CE$8700,$A560,MATCH(G$1,'2-3 引出列表'!$A$1:$CD$1,0)),"")),"",IFERROR(INDEX('2-3 引出列表'!$A$2:$CE$8700,$A560,MATCH(G$1,'2-3 引出列表'!$A$1:$CD$1,0)),""))</f>
        <v>物料消耗.物料消耗</v>
      </c>
      <c r="H560">
        <f>IF(ISBLANK(IFERROR(INDEX('2-3 引出列表'!$A$2:$CE$8700,$A560,MATCH(H$1,'2-3 引出列表'!$A$1:$CD$1,0)),"")),"",IFERROR(INDEX('2-3 引出列表'!$A$2:$CE$8700,$A560,MATCH(H$1,'2-3 引出列表'!$A$1:$CD$1,0)),""))</f>
        <v>0</v>
      </c>
      <c r="I560" t="str">
        <f>IF(ISBLANK(IFERROR(INDEX('2-3 引出列表'!$A$2:$CE$8700,$A560,MATCH(I$1,'2-3 引出列表'!$A$1:$CD$1,0)),"")),"",IFERROR(INDEX('2-3 引出列表'!$A$2:$CE$8700,$A560,MATCH(I$1,'2-3 引出列表'!$A$1:$CD$1,0)),""))</f>
        <v>金采易购</v>
      </c>
    </row>
    <row r="561" spans="1:9">
      <c r="A561">
        <v>560</v>
      </c>
      <c r="B561" t="str">
        <f>IF(ISBLANK(IFERROR(INDEX('2-3 引出列表'!$A$2:$CE$8700,$A561,MATCH(B$1,'2-3 引出列表'!$A$1:$CD$1,0)),"")),"",IFERROR(INDEX('2-3 引出列表'!$A$2:$CE$8700,$A561,MATCH(B$1,'2-3 引出列表'!$A$1:$CD$1,0)),""))</f>
        <v>FK250121000703</v>
      </c>
      <c r="C561">
        <f>IF(ISBLANK(IFERROR(INDEX('2-3 引出列表'!$A$2:$CE$8700,$A561,MATCH(C$1,'2-3 引出列表'!$A$1:$CD$1,0)),"")),"",IFERROR(INDEX('2-3 引出列表'!$A$2:$CE$8700,$A561,MATCH(C$1,'2-3 引出列表'!$A$1:$CD$1,0)),""))</f>
        <v>35460</v>
      </c>
      <c r="D561" t="str">
        <f>IF(ISBLANK(IFERROR(INDEX('2-3 引出列表'!$A$2:$CE$8700,$A561,MATCH(D$1,'2-3 引出列表'!$A$1:$CD$1,0)),"")),"",IFERROR(INDEX('2-3 引出列表'!$A$2:$CE$8700,$A561,MATCH(D$1,'2-3 引出列表'!$A$1:$CD$1,0)),""))</f>
        <v>已付款</v>
      </c>
      <c r="E561" t="str">
        <f>IF(ISBLANK(IFERROR(INDEX('2-3 引出列表'!$A$2:$CE$8700,$A561,MATCH(E$1,'2-3 引出列表'!$A$1:$CD$1,0)),"")),"",IFERROR(INDEX('2-3 引出列表'!$A$2:$CE$8700,$A561,MATCH(E$1,'2-3 引出列表'!$A$1:$CD$1,0)),""))</f>
        <v>2025-04-29</v>
      </c>
      <c r="F561" s="30" t="str">
        <f t="shared" si="8"/>
        <v>2025-04</v>
      </c>
      <c r="G561" t="str">
        <f>IF(ISBLANK(IFERROR(INDEX('2-3 引出列表'!$A$2:$CE$8700,$A561,MATCH(G$1,'2-3 引出列表'!$A$1:$CD$1,0)),"")),"",IFERROR(INDEX('2-3 引出列表'!$A$2:$CE$8700,$A561,MATCH(G$1,'2-3 引出列表'!$A$1:$CD$1,0)),""))</f>
        <v>物料消耗.物料消耗</v>
      </c>
      <c r="H561">
        <f>IF(ISBLANK(IFERROR(INDEX('2-3 引出列表'!$A$2:$CE$8700,$A561,MATCH(H$1,'2-3 引出列表'!$A$1:$CD$1,0)),"")),"",IFERROR(INDEX('2-3 引出列表'!$A$2:$CE$8700,$A561,MATCH(H$1,'2-3 引出列表'!$A$1:$CD$1,0)),""))</f>
        <v>0</v>
      </c>
      <c r="I561" t="str">
        <f>IF(ISBLANK(IFERROR(INDEX('2-3 引出列表'!$A$2:$CE$8700,$A561,MATCH(I$1,'2-3 引出列表'!$A$1:$CD$1,0)),"")),"",IFERROR(INDEX('2-3 引出列表'!$A$2:$CE$8700,$A561,MATCH(I$1,'2-3 引出列表'!$A$1:$CD$1,0)),""))</f>
        <v>金采易购</v>
      </c>
    </row>
    <row r="562" spans="1:9">
      <c r="A562">
        <v>561</v>
      </c>
      <c r="B562" t="str">
        <f>IF(ISBLANK(IFERROR(INDEX('2-3 引出列表'!$A$2:$CE$8700,$A562,MATCH(B$1,'2-3 引出列表'!$A$1:$CD$1,0)),"")),"",IFERROR(INDEX('2-3 引出列表'!$A$2:$CE$8700,$A562,MATCH(B$1,'2-3 引出列表'!$A$1:$CD$1,0)),""))</f>
        <v>FK250120000561</v>
      </c>
      <c r="C562">
        <f>IF(ISBLANK(IFERROR(INDEX('2-3 引出列表'!$A$2:$CE$8700,$A562,MATCH(C$1,'2-3 引出列表'!$A$1:$CD$1,0)),"")),"",IFERROR(INDEX('2-3 引出列表'!$A$2:$CE$8700,$A562,MATCH(C$1,'2-3 引出列表'!$A$1:$CD$1,0)),""))</f>
        <v>5905.4</v>
      </c>
      <c r="D562" t="str">
        <f>IF(ISBLANK(IFERROR(INDEX('2-3 引出列表'!$A$2:$CE$8700,$A562,MATCH(D$1,'2-3 引出列表'!$A$1:$CD$1,0)),"")),"",IFERROR(INDEX('2-3 引出列表'!$A$2:$CE$8700,$A562,MATCH(D$1,'2-3 引出列表'!$A$1:$CD$1,0)),""))</f>
        <v>已付款</v>
      </c>
      <c r="E562" t="str">
        <f>IF(ISBLANK(IFERROR(INDEX('2-3 引出列表'!$A$2:$CE$8700,$A562,MATCH(E$1,'2-3 引出列表'!$A$1:$CD$1,0)),"")),"",IFERROR(INDEX('2-3 引出列表'!$A$2:$CE$8700,$A562,MATCH(E$1,'2-3 引出列表'!$A$1:$CD$1,0)),""))</f>
        <v>2025-04-29</v>
      </c>
      <c r="F562" s="30" t="str">
        <f t="shared" si="8"/>
        <v>2025-04</v>
      </c>
      <c r="G562" t="str">
        <f>IF(ISBLANK(IFERROR(INDEX('2-3 引出列表'!$A$2:$CE$8700,$A562,MATCH(G$1,'2-3 引出列表'!$A$1:$CD$1,0)),"")),"",IFERROR(INDEX('2-3 引出列表'!$A$2:$CE$8700,$A562,MATCH(G$1,'2-3 引出列表'!$A$1:$CD$1,0)),""))</f>
        <v>物料消耗.物料消耗</v>
      </c>
      <c r="H562" t="str">
        <f>IF(ISBLANK(IFERROR(INDEX('2-3 引出列表'!$A$2:$CE$8700,$A562,MATCH(H$1,'2-3 引出列表'!$A$1:$CD$1,0)),"")),"",IFERROR(INDEX('2-3 引出列表'!$A$2:$CE$8700,$A562,MATCH(H$1,'2-3 引出列表'!$A$1:$CD$1,0)),""))</f>
        <v>XHWZ-Z-2024-0076</v>
      </c>
      <c r="I562" t="str">
        <f>IF(ISBLANK(IFERROR(INDEX('2-3 引出列表'!$A$2:$CE$8700,$A562,MATCH(I$1,'2-3 引出列表'!$A$1:$CD$1,0)),"")),"",IFERROR(INDEX('2-3 引出列表'!$A$2:$CE$8700,$A562,MATCH(I$1,'2-3 引出列表'!$A$1:$CD$1,0)),""))</f>
        <v>金采易购</v>
      </c>
    </row>
    <row r="563" spans="1:9">
      <c r="A563">
        <v>562</v>
      </c>
      <c r="B563" t="str">
        <f>IF(ISBLANK(IFERROR(INDEX('2-3 引出列表'!$A$2:$CE$8700,$A563,MATCH(B$1,'2-3 引出列表'!$A$1:$CD$1,0)),"")),"",IFERROR(INDEX('2-3 引出列表'!$A$2:$CE$8700,$A563,MATCH(B$1,'2-3 引出列表'!$A$1:$CD$1,0)),""))</f>
        <v>FK250120000561</v>
      </c>
      <c r="C563">
        <f>IF(ISBLANK(IFERROR(INDEX('2-3 引出列表'!$A$2:$CE$8700,$A563,MATCH(C$1,'2-3 引出列表'!$A$1:$CD$1,0)),"")),"",IFERROR(INDEX('2-3 引出列表'!$A$2:$CE$8700,$A563,MATCH(C$1,'2-3 引出列表'!$A$1:$CD$1,0)),""))</f>
        <v>5905.4</v>
      </c>
      <c r="D563" t="str">
        <f>IF(ISBLANK(IFERROR(INDEX('2-3 引出列表'!$A$2:$CE$8700,$A563,MATCH(D$1,'2-3 引出列表'!$A$1:$CD$1,0)),"")),"",IFERROR(INDEX('2-3 引出列表'!$A$2:$CE$8700,$A563,MATCH(D$1,'2-3 引出列表'!$A$1:$CD$1,0)),""))</f>
        <v>已付款</v>
      </c>
      <c r="E563" t="str">
        <f>IF(ISBLANK(IFERROR(INDEX('2-3 引出列表'!$A$2:$CE$8700,$A563,MATCH(E$1,'2-3 引出列表'!$A$1:$CD$1,0)),"")),"",IFERROR(INDEX('2-3 引出列表'!$A$2:$CE$8700,$A563,MATCH(E$1,'2-3 引出列表'!$A$1:$CD$1,0)),""))</f>
        <v>2025-04-29</v>
      </c>
      <c r="F563" s="30" t="str">
        <f t="shared" si="8"/>
        <v>2025-04</v>
      </c>
      <c r="G563" t="str">
        <f>IF(ISBLANK(IFERROR(INDEX('2-3 引出列表'!$A$2:$CE$8700,$A563,MATCH(G$1,'2-3 引出列表'!$A$1:$CD$1,0)),"")),"",IFERROR(INDEX('2-3 引出列表'!$A$2:$CE$8700,$A563,MATCH(G$1,'2-3 引出列表'!$A$1:$CD$1,0)),""))</f>
        <v>物料消耗.物料消耗</v>
      </c>
      <c r="H563" t="str">
        <f>IF(ISBLANK(IFERROR(INDEX('2-3 引出列表'!$A$2:$CE$8700,$A563,MATCH(H$1,'2-3 引出列表'!$A$1:$CD$1,0)),"")),"",IFERROR(INDEX('2-3 引出列表'!$A$2:$CE$8700,$A563,MATCH(H$1,'2-3 引出列表'!$A$1:$CD$1,0)),""))</f>
        <v>XHWZ-Z-2024-0076</v>
      </c>
      <c r="I563" t="str">
        <f>IF(ISBLANK(IFERROR(INDEX('2-3 引出列表'!$A$2:$CE$8700,$A563,MATCH(I$1,'2-3 引出列表'!$A$1:$CD$1,0)),"")),"",IFERROR(INDEX('2-3 引出列表'!$A$2:$CE$8700,$A563,MATCH(I$1,'2-3 引出列表'!$A$1:$CD$1,0)),""))</f>
        <v>金采易购</v>
      </c>
    </row>
    <row r="564" spans="1:9">
      <c r="A564">
        <v>563</v>
      </c>
      <c r="B564" t="str">
        <f>IF(ISBLANK(IFERROR(INDEX('2-3 引出列表'!$A$2:$CE$8700,$A564,MATCH(B$1,'2-3 引出列表'!$A$1:$CD$1,0)),"")),"",IFERROR(INDEX('2-3 引出列表'!$A$2:$CE$8700,$A564,MATCH(B$1,'2-3 引出列表'!$A$1:$CD$1,0)),""))</f>
        <v>FK250120000561</v>
      </c>
      <c r="C564">
        <f>IF(ISBLANK(IFERROR(INDEX('2-3 引出列表'!$A$2:$CE$8700,$A564,MATCH(C$1,'2-3 引出列表'!$A$1:$CD$1,0)),"")),"",IFERROR(INDEX('2-3 引出列表'!$A$2:$CE$8700,$A564,MATCH(C$1,'2-3 引出列表'!$A$1:$CD$1,0)),""))</f>
        <v>5905.4</v>
      </c>
      <c r="D564" t="str">
        <f>IF(ISBLANK(IFERROR(INDEX('2-3 引出列表'!$A$2:$CE$8700,$A564,MATCH(D$1,'2-3 引出列表'!$A$1:$CD$1,0)),"")),"",IFERROR(INDEX('2-3 引出列表'!$A$2:$CE$8700,$A564,MATCH(D$1,'2-3 引出列表'!$A$1:$CD$1,0)),""))</f>
        <v>已付款</v>
      </c>
      <c r="E564" t="str">
        <f>IF(ISBLANK(IFERROR(INDEX('2-3 引出列表'!$A$2:$CE$8700,$A564,MATCH(E$1,'2-3 引出列表'!$A$1:$CD$1,0)),"")),"",IFERROR(INDEX('2-3 引出列表'!$A$2:$CE$8700,$A564,MATCH(E$1,'2-3 引出列表'!$A$1:$CD$1,0)),""))</f>
        <v>2025-04-29</v>
      </c>
      <c r="F564" s="30" t="str">
        <f t="shared" si="8"/>
        <v>2025-04</v>
      </c>
      <c r="G564" t="str">
        <f>IF(ISBLANK(IFERROR(INDEX('2-3 引出列表'!$A$2:$CE$8700,$A564,MATCH(G$1,'2-3 引出列表'!$A$1:$CD$1,0)),"")),"",IFERROR(INDEX('2-3 引出列表'!$A$2:$CE$8700,$A564,MATCH(G$1,'2-3 引出列表'!$A$1:$CD$1,0)),""))</f>
        <v>物料消耗.物料消耗</v>
      </c>
      <c r="H564" t="str">
        <f>IF(ISBLANK(IFERROR(INDEX('2-3 引出列表'!$A$2:$CE$8700,$A564,MATCH(H$1,'2-3 引出列表'!$A$1:$CD$1,0)),"")),"",IFERROR(INDEX('2-3 引出列表'!$A$2:$CE$8700,$A564,MATCH(H$1,'2-3 引出列表'!$A$1:$CD$1,0)),""))</f>
        <v>XHWZ-Z-2024-0076</v>
      </c>
      <c r="I564" t="str">
        <f>IF(ISBLANK(IFERROR(INDEX('2-3 引出列表'!$A$2:$CE$8700,$A564,MATCH(I$1,'2-3 引出列表'!$A$1:$CD$1,0)),"")),"",IFERROR(INDEX('2-3 引出列表'!$A$2:$CE$8700,$A564,MATCH(I$1,'2-3 引出列表'!$A$1:$CD$1,0)),""))</f>
        <v>金采易购</v>
      </c>
    </row>
    <row r="565" spans="1:9">
      <c r="A565">
        <v>564</v>
      </c>
      <c r="B565" t="str">
        <f>IF(ISBLANK(IFERROR(INDEX('2-3 引出列表'!$A$2:$CE$8700,$A565,MATCH(B$1,'2-3 引出列表'!$A$1:$CD$1,0)),"")),"",IFERROR(INDEX('2-3 引出列表'!$A$2:$CE$8700,$A565,MATCH(B$1,'2-3 引出列表'!$A$1:$CD$1,0)),""))</f>
        <v>FK250120000561</v>
      </c>
      <c r="C565">
        <f>IF(ISBLANK(IFERROR(INDEX('2-3 引出列表'!$A$2:$CE$8700,$A565,MATCH(C$1,'2-3 引出列表'!$A$1:$CD$1,0)),"")),"",IFERROR(INDEX('2-3 引出列表'!$A$2:$CE$8700,$A565,MATCH(C$1,'2-3 引出列表'!$A$1:$CD$1,0)),""))</f>
        <v>5905.4</v>
      </c>
      <c r="D565" t="str">
        <f>IF(ISBLANK(IFERROR(INDEX('2-3 引出列表'!$A$2:$CE$8700,$A565,MATCH(D$1,'2-3 引出列表'!$A$1:$CD$1,0)),"")),"",IFERROR(INDEX('2-3 引出列表'!$A$2:$CE$8700,$A565,MATCH(D$1,'2-3 引出列表'!$A$1:$CD$1,0)),""))</f>
        <v>已付款</v>
      </c>
      <c r="E565" t="str">
        <f>IF(ISBLANK(IFERROR(INDEX('2-3 引出列表'!$A$2:$CE$8700,$A565,MATCH(E$1,'2-3 引出列表'!$A$1:$CD$1,0)),"")),"",IFERROR(INDEX('2-3 引出列表'!$A$2:$CE$8700,$A565,MATCH(E$1,'2-3 引出列表'!$A$1:$CD$1,0)),""))</f>
        <v>2025-04-29</v>
      </c>
      <c r="F565" s="30" t="str">
        <f t="shared" si="8"/>
        <v>2025-04</v>
      </c>
      <c r="G565" t="str">
        <f>IF(ISBLANK(IFERROR(INDEX('2-3 引出列表'!$A$2:$CE$8700,$A565,MATCH(G$1,'2-3 引出列表'!$A$1:$CD$1,0)),"")),"",IFERROR(INDEX('2-3 引出列表'!$A$2:$CE$8700,$A565,MATCH(G$1,'2-3 引出列表'!$A$1:$CD$1,0)),""))</f>
        <v>物料消耗.物料消耗</v>
      </c>
      <c r="H565" t="str">
        <f>IF(ISBLANK(IFERROR(INDEX('2-3 引出列表'!$A$2:$CE$8700,$A565,MATCH(H$1,'2-3 引出列表'!$A$1:$CD$1,0)),"")),"",IFERROR(INDEX('2-3 引出列表'!$A$2:$CE$8700,$A565,MATCH(H$1,'2-3 引出列表'!$A$1:$CD$1,0)),""))</f>
        <v>XHWZ-Z-2024-0076</v>
      </c>
      <c r="I565" t="str">
        <f>IF(ISBLANK(IFERROR(INDEX('2-3 引出列表'!$A$2:$CE$8700,$A565,MATCH(I$1,'2-3 引出列表'!$A$1:$CD$1,0)),"")),"",IFERROR(INDEX('2-3 引出列表'!$A$2:$CE$8700,$A565,MATCH(I$1,'2-3 引出列表'!$A$1:$CD$1,0)),""))</f>
        <v>金采易购</v>
      </c>
    </row>
    <row r="566" spans="1:9">
      <c r="A566">
        <v>565</v>
      </c>
      <c r="B566" t="str">
        <f>IF(ISBLANK(IFERROR(INDEX('2-3 引出列表'!$A$2:$CE$8700,$A566,MATCH(B$1,'2-3 引出列表'!$A$1:$CD$1,0)),"")),"",IFERROR(INDEX('2-3 引出列表'!$A$2:$CE$8700,$A566,MATCH(B$1,'2-3 引出列表'!$A$1:$CD$1,0)),""))</f>
        <v>FK250120000561</v>
      </c>
      <c r="C566">
        <f>IF(ISBLANK(IFERROR(INDEX('2-3 引出列表'!$A$2:$CE$8700,$A566,MATCH(C$1,'2-3 引出列表'!$A$1:$CD$1,0)),"")),"",IFERROR(INDEX('2-3 引出列表'!$A$2:$CE$8700,$A566,MATCH(C$1,'2-3 引出列表'!$A$1:$CD$1,0)),""))</f>
        <v>5905.4</v>
      </c>
      <c r="D566" t="str">
        <f>IF(ISBLANK(IFERROR(INDEX('2-3 引出列表'!$A$2:$CE$8700,$A566,MATCH(D$1,'2-3 引出列表'!$A$1:$CD$1,0)),"")),"",IFERROR(INDEX('2-3 引出列表'!$A$2:$CE$8700,$A566,MATCH(D$1,'2-3 引出列表'!$A$1:$CD$1,0)),""))</f>
        <v>已付款</v>
      </c>
      <c r="E566" t="str">
        <f>IF(ISBLANK(IFERROR(INDEX('2-3 引出列表'!$A$2:$CE$8700,$A566,MATCH(E$1,'2-3 引出列表'!$A$1:$CD$1,0)),"")),"",IFERROR(INDEX('2-3 引出列表'!$A$2:$CE$8700,$A566,MATCH(E$1,'2-3 引出列表'!$A$1:$CD$1,0)),""))</f>
        <v>2025-04-29</v>
      </c>
      <c r="F566" s="30" t="str">
        <f t="shared" si="8"/>
        <v>2025-04</v>
      </c>
      <c r="G566" t="str">
        <f>IF(ISBLANK(IFERROR(INDEX('2-3 引出列表'!$A$2:$CE$8700,$A566,MATCH(G$1,'2-3 引出列表'!$A$1:$CD$1,0)),"")),"",IFERROR(INDEX('2-3 引出列表'!$A$2:$CE$8700,$A566,MATCH(G$1,'2-3 引出列表'!$A$1:$CD$1,0)),""))</f>
        <v>物料消耗.物料消耗</v>
      </c>
      <c r="H566" t="str">
        <f>IF(ISBLANK(IFERROR(INDEX('2-3 引出列表'!$A$2:$CE$8700,$A566,MATCH(H$1,'2-3 引出列表'!$A$1:$CD$1,0)),"")),"",IFERROR(INDEX('2-3 引出列表'!$A$2:$CE$8700,$A566,MATCH(H$1,'2-3 引出列表'!$A$1:$CD$1,0)),""))</f>
        <v>XHWZ-Z-2024-0076</v>
      </c>
      <c r="I566" t="str">
        <f>IF(ISBLANK(IFERROR(INDEX('2-3 引出列表'!$A$2:$CE$8700,$A566,MATCH(I$1,'2-3 引出列表'!$A$1:$CD$1,0)),"")),"",IFERROR(INDEX('2-3 引出列表'!$A$2:$CE$8700,$A566,MATCH(I$1,'2-3 引出列表'!$A$1:$CD$1,0)),""))</f>
        <v>金采易购</v>
      </c>
    </row>
    <row r="567" spans="1:9">
      <c r="A567">
        <v>566</v>
      </c>
      <c r="B567" t="str">
        <f>IF(ISBLANK(IFERROR(INDEX('2-3 引出列表'!$A$2:$CE$8700,$A567,MATCH(B$1,'2-3 引出列表'!$A$1:$CD$1,0)),"")),"",IFERROR(INDEX('2-3 引出列表'!$A$2:$CE$8700,$A567,MATCH(B$1,'2-3 引出列表'!$A$1:$CD$1,0)),""))</f>
        <v>FK250120000561</v>
      </c>
      <c r="C567">
        <f>IF(ISBLANK(IFERROR(INDEX('2-3 引出列表'!$A$2:$CE$8700,$A567,MATCH(C$1,'2-3 引出列表'!$A$1:$CD$1,0)),"")),"",IFERROR(INDEX('2-3 引出列表'!$A$2:$CE$8700,$A567,MATCH(C$1,'2-3 引出列表'!$A$1:$CD$1,0)),""))</f>
        <v>5905.4</v>
      </c>
      <c r="D567" t="str">
        <f>IF(ISBLANK(IFERROR(INDEX('2-3 引出列表'!$A$2:$CE$8700,$A567,MATCH(D$1,'2-3 引出列表'!$A$1:$CD$1,0)),"")),"",IFERROR(INDEX('2-3 引出列表'!$A$2:$CE$8700,$A567,MATCH(D$1,'2-3 引出列表'!$A$1:$CD$1,0)),""))</f>
        <v>已付款</v>
      </c>
      <c r="E567" t="str">
        <f>IF(ISBLANK(IFERROR(INDEX('2-3 引出列表'!$A$2:$CE$8700,$A567,MATCH(E$1,'2-3 引出列表'!$A$1:$CD$1,0)),"")),"",IFERROR(INDEX('2-3 引出列表'!$A$2:$CE$8700,$A567,MATCH(E$1,'2-3 引出列表'!$A$1:$CD$1,0)),""))</f>
        <v>2025-04-29</v>
      </c>
      <c r="F567" s="30" t="str">
        <f t="shared" si="8"/>
        <v>2025-04</v>
      </c>
      <c r="G567" t="str">
        <f>IF(ISBLANK(IFERROR(INDEX('2-3 引出列表'!$A$2:$CE$8700,$A567,MATCH(G$1,'2-3 引出列表'!$A$1:$CD$1,0)),"")),"",IFERROR(INDEX('2-3 引出列表'!$A$2:$CE$8700,$A567,MATCH(G$1,'2-3 引出列表'!$A$1:$CD$1,0)),""))</f>
        <v>物料消耗.物料消耗</v>
      </c>
      <c r="H567" t="str">
        <f>IF(ISBLANK(IFERROR(INDEX('2-3 引出列表'!$A$2:$CE$8700,$A567,MATCH(H$1,'2-3 引出列表'!$A$1:$CD$1,0)),"")),"",IFERROR(INDEX('2-3 引出列表'!$A$2:$CE$8700,$A567,MATCH(H$1,'2-3 引出列表'!$A$1:$CD$1,0)),""))</f>
        <v>XHWZ-Z-2024-0076</v>
      </c>
      <c r="I567" t="str">
        <f>IF(ISBLANK(IFERROR(INDEX('2-3 引出列表'!$A$2:$CE$8700,$A567,MATCH(I$1,'2-3 引出列表'!$A$1:$CD$1,0)),"")),"",IFERROR(INDEX('2-3 引出列表'!$A$2:$CE$8700,$A567,MATCH(I$1,'2-3 引出列表'!$A$1:$CD$1,0)),""))</f>
        <v>金采易购</v>
      </c>
    </row>
    <row r="568" spans="1:9">
      <c r="A568">
        <v>567</v>
      </c>
      <c r="B568" t="str">
        <f>IF(ISBLANK(IFERROR(INDEX('2-3 引出列表'!$A$2:$CE$8700,$A568,MATCH(B$1,'2-3 引出列表'!$A$1:$CD$1,0)),"")),"",IFERROR(INDEX('2-3 引出列表'!$A$2:$CE$8700,$A568,MATCH(B$1,'2-3 引出列表'!$A$1:$CD$1,0)),""))</f>
        <v>FK250120000561</v>
      </c>
      <c r="C568">
        <f>IF(ISBLANK(IFERROR(INDEX('2-3 引出列表'!$A$2:$CE$8700,$A568,MATCH(C$1,'2-3 引出列表'!$A$1:$CD$1,0)),"")),"",IFERROR(INDEX('2-3 引出列表'!$A$2:$CE$8700,$A568,MATCH(C$1,'2-3 引出列表'!$A$1:$CD$1,0)),""))</f>
        <v>5905.4</v>
      </c>
      <c r="D568" t="str">
        <f>IF(ISBLANK(IFERROR(INDEX('2-3 引出列表'!$A$2:$CE$8700,$A568,MATCH(D$1,'2-3 引出列表'!$A$1:$CD$1,0)),"")),"",IFERROR(INDEX('2-3 引出列表'!$A$2:$CE$8700,$A568,MATCH(D$1,'2-3 引出列表'!$A$1:$CD$1,0)),""))</f>
        <v>已付款</v>
      </c>
      <c r="E568" t="str">
        <f>IF(ISBLANK(IFERROR(INDEX('2-3 引出列表'!$A$2:$CE$8700,$A568,MATCH(E$1,'2-3 引出列表'!$A$1:$CD$1,0)),"")),"",IFERROR(INDEX('2-3 引出列表'!$A$2:$CE$8700,$A568,MATCH(E$1,'2-3 引出列表'!$A$1:$CD$1,0)),""))</f>
        <v>2025-04-29</v>
      </c>
      <c r="F568" s="30" t="str">
        <f t="shared" si="8"/>
        <v>2025-04</v>
      </c>
      <c r="G568" t="str">
        <f>IF(ISBLANK(IFERROR(INDEX('2-3 引出列表'!$A$2:$CE$8700,$A568,MATCH(G$1,'2-3 引出列表'!$A$1:$CD$1,0)),"")),"",IFERROR(INDEX('2-3 引出列表'!$A$2:$CE$8700,$A568,MATCH(G$1,'2-3 引出列表'!$A$1:$CD$1,0)),""))</f>
        <v>物料消耗.物料消耗</v>
      </c>
      <c r="H568" t="str">
        <f>IF(ISBLANK(IFERROR(INDEX('2-3 引出列表'!$A$2:$CE$8700,$A568,MATCH(H$1,'2-3 引出列表'!$A$1:$CD$1,0)),"")),"",IFERROR(INDEX('2-3 引出列表'!$A$2:$CE$8700,$A568,MATCH(H$1,'2-3 引出列表'!$A$1:$CD$1,0)),""))</f>
        <v>XHWZ-Z-2024-0076</v>
      </c>
      <c r="I568" t="str">
        <f>IF(ISBLANK(IFERROR(INDEX('2-3 引出列表'!$A$2:$CE$8700,$A568,MATCH(I$1,'2-3 引出列表'!$A$1:$CD$1,0)),"")),"",IFERROR(INDEX('2-3 引出列表'!$A$2:$CE$8700,$A568,MATCH(I$1,'2-3 引出列表'!$A$1:$CD$1,0)),""))</f>
        <v>金采易购</v>
      </c>
    </row>
    <row r="569" spans="1:9">
      <c r="A569">
        <v>568</v>
      </c>
      <c r="B569" t="str">
        <f>IF(ISBLANK(IFERROR(INDEX('2-3 引出列表'!$A$2:$CE$8700,$A569,MATCH(B$1,'2-3 引出列表'!$A$1:$CD$1,0)),"")),"",IFERROR(INDEX('2-3 引出列表'!$A$2:$CE$8700,$A569,MATCH(B$1,'2-3 引出列表'!$A$1:$CD$1,0)),""))</f>
        <v>FK250120000561</v>
      </c>
      <c r="C569">
        <f>IF(ISBLANK(IFERROR(INDEX('2-3 引出列表'!$A$2:$CE$8700,$A569,MATCH(C$1,'2-3 引出列表'!$A$1:$CD$1,0)),"")),"",IFERROR(INDEX('2-3 引出列表'!$A$2:$CE$8700,$A569,MATCH(C$1,'2-3 引出列表'!$A$1:$CD$1,0)),""))</f>
        <v>5905.4</v>
      </c>
      <c r="D569" t="str">
        <f>IF(ISBLANK(IFERROR(INDEX('2-3 引出列表'!$A$2:$CE$8700,$A569,MATCH(D$1,'2-3 引出列表'!$A$1:$CD$1,0)),"")),"",IFERROR(INDEX('2-3 引出列表'!$A$2:$CE$8700,$A569,MATCH(D$1,'2-3 引出列表'!$A$1:$CD$1,0)),""))</f>
        <v>已付款</v>
      </c>
      <c r="E569" t="str">
        <f>IF(ISBLANK(IFERROR(INDEX('2-3 引出列表'!$A$2:$CE$8700,$A569,MATCH(E$1,'2-3 引出列表'!$A$1:$CD$1,0)),"")),"",IFERROR(INDEX('2-3 引出列表'!$A$2:$CE$8700,$A569,MATCH(E$1,'2-3 引出列表'!$A$1:$CD$1,0)),""))</f>
        <v>2025-04-29</v>
      </c>
      <c r="F569" s="30" t="str">
        <f t="shared" si="8"/>
        <v>2025-04</v>
      </c>
      <c r="G569" t="str">
        <f>IF(ISBLANK(IFERROR(INDEX('2-3 引出列表'!$A$2:$CE$8700,$A569,MATCH(G$1,'2-3 引出列表'!$A$1:$CD$1,0)),"")),"",IFERROR(INDEX('2-3 引出列表'!$A$2:$CE$8700,$A569,MATCH(G$1,'2-3 引出列表'!$A$1:$CD$1,0)),""))</f>
        <v>物料消耗.物料消耗</v>
      </c>
      <c r="H569" t="str">
        <f>IF(ISBLANK(IFERROR(INDEX('2-3 引出列表'!$A$2:$CE$8700,$A569,MATCH(H$1,'2-3 引出列表'!$A$1:$CD$1,0)),"")),"",IFERROR(INDEX('2-3 引出列表'!$A$2:$CE$8700,$A569,MATCH(H$1,'2-3 引出列表'!$A$1:$CD$1,0)),""))</f>
        <v>XHWZ-Z-2024-0076</v>
      </c>
      <c r="I569" t="str">
        <f>IF(ISBLANK(IFERROR(INDEX('2-3 引出列表'!$A$2:$CE$8700,$A569,MATCH(I$1,'2-3 引出列表'!$A$1:$CD$1,0)),"")),"",IFERROR(INDEX('2-3 引出列表'!$A$2:$CE$8700,$A569,MATCH(I$1,'2-3 引出列表'!$A$1:$CD$1,0)),""))</f>
        <v>金采易购</v>
      </c>
    </row>
    <row r="570" spans="1:9">
      <c r="A570">
        <v>569</v>
      </c>
      <c r="B570" t="str">
        <f>IF(ISBLANK(IFERROR(INDEX('2-3 引出列表'!$A$2:$CE$8700,$A570,MATCH(B$1,'2-3 引出列表'!$A$1:$CD$1,0)),"")),"",IFERROR(INDEX('2-3 引出列表'!$A$2:$CE$8700,$A570,MATCH(B$1,'2-3 引出列表'!$A$1:$CD$1,0)),""))</f>
        <v>FK250120000575</v>
      </c>
      <c r="C570">
        <f>IF(ISBLANK(IFERROR(INDEX('2-3 引出列表'!$A$2:$CE$8700,$A570,MATCH(C$1,'2-3 引出列表'!$A$1:$CD$1,0)),"")),"",IFERROR(INDEX('2-3 引出列表'!$A$2:$CE$8700,$A570,MATCH(C$1,'2-3 引出列表'!$A$1:$CD$1,0)),""))</f>
        <v>7091.66</v>
      </c>
      <c r="D570" t="str">
        <f>IF(ISBLANK(IFERROR(INDEX('2-3 引出列表'!$A$2:$CE$8700,$A570,MATCH(D$1,'2-3 引出列表'!$A$1:$CD$1,0)),"")),"",IFERROR(INDEX('2-3 引出列表'!$A$2:$CE$8700,$A570,MATCH(D$1,'2-3 引出列表'!$A$1:$CD$1,0)),""))</f>
        <v>已付款</v>
      </c>
      <c r="E570" t="str">
        <f>IF(ISBLANK(IFERROR(INDEX('2-3 引出列表'!$A$2:$CE$8700,$A570,MATCH(E$1,'2-3 引出列表'!$A$1:$CD$1,0)),"")),"",IFERROR(INDEX('2-3 引出列表'!$A$2:$CE$8700,$A570,MATCH(E$1,'2-3 引出列表'!$A$1:$CD$1,0)),""))</f>
        <v>2025-04-29</v>
      </c>
      <c r="F570" s="30" t="str">
        <f t="shared" si="8"/>
        <v>2025-04</v>
      </c>
      <c r="G570" t="str">
        <f>IF(ISBLANK(IFERROR(INDEX('2-3 引出列表'!$A$2:$CE$8700,$A570,MATCH(G$1,'2-3 引出列表'!$A$1:$CD$1,0)),"")),"",IFERROR(INDEX('2-3 引出列表'!$A$2:$CE$8700,$A570,MATCH(G$1,'2-3 引出列表'!$A$1:$CD$1,0)),""))</f>
        <v>物料消耗.物料消耗</v>
      </c>
      <c r="H570">
        <f>IF(ISBLANK(IFERROR(INDEX('2-3 引出列表'!$A$2:$CE$8700,$A570,MATCH(H$1,'2-3 引出列表'!$A$1:$CD$1,0)),"")),"",IFERROR(INDEX('2-3 引出列表'!$A$2:$CE$8700,$A570,MATCH(H$1,'2-3 引出列表'!$A$1:$CD$1,0)),""))</f>
        <v>0</v>
      </c>
      <c r="I570" t="str">
        <f>IF(ISBLANK(IFERROR(INDEX('2-3 引出列表'!$A$2:$CE$8700,$A570,MATCH(I$1,'2-3 引出列表'!$A$1:$CD$1,0)),"")),"",IFERROR(INDEX('2-3 引出列表'!$A$2:$CE$8700,$A570,MATCH(I$1,'2-3 引出列表'!$A$1:$CD$1,0)),""))</f>
        <v>金采易购</v>
      </c>
    </row>
    <row r="571" spans="1:9">
      <c r="A571">
        <v>570</v>
      </c>
      <c r="B571" t="str">
        <f>IF(ISBLANK(IFERROR(INDEX('2-3 引出列表'!$A$2:$CE$8700,$A571,MATCH(B$1,'2-3 引出列表'!$A$1:$CD$1,0)),"")),"",IFERROR(INDEX('2-3 引出列表'!$A$2:$CE$8700,$A571,MATCH(B$1,'2-3 引出列表'!$A$1:$CD$1,0)),""))</f>
        <v>FK250120000575</v>
      </c>
      <c r="C571">
        <f>IF(ISBLANK(IFERROR(INDEX('2-3 引出列表'!$A$2:$CE$8700,$A571,MATCH(C$1,'2-3 引出列表'!$A$1:$CD$1,0)),"")),"",IFERROR(INDEX('2-3 引出列表'!$A$2:$CE$8700,$A571,MATCH(C$1,'2-3 引出列表'!$A$1:$CD$1,0)),""))</f>
        <v>7091.66</v>
      </c>
      <c r="D571" t="str">
        <f>IF(ISBLANK(IFERROR(INDEX('2-3 引出列表'!$A$2:$CE$8700,$A571,MATCH(D$1,'2-3 引出列表'!$A$1:$CD$1,0)),"")),"",IFERROR(INDEX('2-3 引出列表'!$A$2:$CE$8700,$A571,MATCH(D$1,'2-3 引出列表'!$A$1:$CD$1,0)),""))</f>
        <v>已付款</v>
      </c>
      <c r="E571" t="str">
        <f>IF(ISBLANK(IFERROR(INDEX('2-3 引出列表'!$A$2:$CE$8700,$A571,MATCH(E$1,'2-3 引出列表'!$A$1:$CD$1,0)),"")),"",IFERROR(INDEX('2-3 引出列表'!$A$2:$CE$8700,$A571,MATCH(E$1,'2-3 引出列表'!$A$1:$CD$1,0)),""))</f>
        <v>2025-04-29</v>
      </c>
      <c r="F571" s="30" t="str">
        <f t="shared" si="8"/>
        <v>2025-04</v>
      </c>
      <c r="G571" t="str">
        <f>IF(ISBLANK(IFERROR(INDEX('2-3 引出列表'!$A$2:$CE$8700,$A571,MATCH(G$1,'2-3 引出列表'!$A$1:$CD$1,0)),"")),"",IFERROR(INDEX('2-3 引出列表'!$A$2:$CE$8700,$A571,MATCH(G$1,'2-3 引出列表'!$A$1:$CD$1,0)),""))</f>
        <v>物料消耗.物料消耗</v>
      </c>
      <c r="H571">
        <f>IF(ISBLANK(IFERROR(INDEX('2-3 引出列表'!$A$2:$CE$8700,$A571,MATCH(H$1,'2-3 引出列表'!$A$1:$CD$1,0)),"")),"",IFERROR(INDEX('2-3 引出列表'!$A$2:$CE$8700,$A571,MATCH(H$1,'2-3 引出列表'!$A$1:$CD$1,0)),""))</f>
        <v>0</v>
      </c>
      <c r="I571" t="str">
        <f>IF(ISBLANK(IFERROR(INDEX('2-3 引出列表'!$A$2:$CE$8700,$A571,MATCH(I$1,'2-3 引出列表'!$A$1:$CD$1,0)),"")),"",IFERROR(INDEX('2-3 引出列表'!$A$2:$CE$8700,$A571,MATCH(I$1,'2-3 引出列表'!$A$1:$CD$1,0)),""))</f>
        <v>金采易购</v>
      </c>
    </row>
    <row r="572" spans="1:9">
      <c r="A572">
        <v>571</v>
      </c>
      <c r="B572" t="str">
        <f>IF(ISBLANK(IFERROR(INDEX('2-3 引出列表'!$A$2:$CE$8700,$A572,MATCH(B$1,'2-3 引出列表'!$A$1:$CD$1,0)),"")),"",IFERROR(INDEX('2-3 引出列表'!$A$2:$CE$8700,$A572,MATCH(B$1,'2-3 引出列表'!$A$1:$CD$1,0)),""))</f>
        <v>FK250120000575</v>
      </c>
      <c r="C572">
        <f>IF(ISBLANK(IFERROR(INDEX('2-3 引出列表'!$A$2:$CE$8700,$A572,MATCH(C$1,'2-3 引出列表'!$A$1:$CD$1,0)),"")),"",IFERROR(INDEX('2-3 引出列表'!$A$2:$CE$8700,$A572,MATCH(C$1,'2-3 引出列表'!$A$1:$CD$1,0)),""))</f>
        <v>7091.66</v>
      </c>
      <c r="D572" t="str">
        <f>IF(ISBLANK(IFERROR(INDEX('2-3 引出列表'!$A$2:$CE$8700,$A572,MATCH(D$1,'2-3 引出列表'!$A$1:$CD$1,0)),"")),"",IFERROR(INDEX('2-3 引出列表'!$A$2:$CE$8700,$A572,MATCH(D$1,'2-3 引出列表'!$A$1:$CD$1,0)),""))</f>
        <v>已付款</v>
      </c>
      <c r="E572" t="str">
        <f>IF(ISBLANK(IFERROR(INDEX('2-3 引出列表'!$A$2:$CE$8700,$A572,MATCH(E$1,'2-3 引出列表'!$A$1:$CD$1,0)),"")),"",IFERROR(INDEX('2-3 引出列表'!$A$2:$CE$8700,$A572,MATCH(E$1,'2-3 引出列表'!$A$1:$CD$1,0)),""))</f>
        <v>2025-04-29</v>
      </c>
      <c r="F572" s="30" t="str">
        <f t="shared" si="8"/>
        <v>2025-04</v>
      </c>
      <c r="G572" t="str">
        <f>IF(ISBLANK(IFERROR(INDEX('2-3 引出列表'!$A$2:$CE$8700,$A572,MATCH(G$1,'2-3 引出列表'!$A$1:$CD$1,0)),"")),"",IFERROR(INDEX('2-3 引出列表'!$A$2:$CE$8700,$A572,MATCH(G$1,'2-3 引出列表'!$A$1:$CD$1,0)),""))</f>
        <v>物料消耗.物料消耗</v>
      </c>
      <c r="H572">
        <f>IF(ISBLANK(IFERROR(INDEX('2-3 引出列表'!$A$2:$CE$8700,$A572,MATCH(H$1,'2-3 引出列表'!$A$1:$CD$1,0)),"")),"",IFERROR(INDEX('2-3 引出列表'!$A$2:$CE$8700,$A572,MATCH(H$1,'2-3 引出列表'!$A$1:$CD$1,0)),""))</f>
        <v>0</v>
      </c>
      <c r="I572" t="str">
        <f>IF(ISBLANK(IFERROR(INDEX('2-3 引出列表'!$A$2:$CE$8700,$A572,MATCH(I$1,'2-3 引出列表'!$A$1:$CD$1,0)),"")),"",IFERROR(INDEX('2-3 引出列表'!$A$2:$CE$8700,$A572,MATCH(I$1,'2-3 引出列表'!$A$1:$CD$1,0)),""))</f>
        <v>金采易购</v>
      </c>
    </row>
    <row r="573" spans="1:9">
      <c r="A573">
        <v>572</v>
      </c>
      <c r="B573" t="str">
        <f>IF(ISBLANK(IFERROR(INDEX('2-3 引出列表'!$A$2:$CE$8700,$A573,MATCH(B$1,'2-3 引出列表'!$A$1:$CD$1,0)),"")),"",IFERROR(INDEX('2-3 引出列表'!$A$2:$CE$8700,$A573,MATCH(B$1,'2-3 引出列表'!$A$1:$CD$1,0)),""))</f>
        <v>FK250120000575</v>
      </c>
      <c r="C573">
        <f>IF(ISBLANK(IFERROR(INDEX('2-3 引出列表'!$A$2:$CE$8700,$A573,MATCH(C$1,'2-3 引出列表'!$A$1:$CD$1,0)),"")),"",IFERROR(INDEX('2-3 引出列表'!$A$2:$CE$8700,$A573,MATCH(C$1,'2-3 引出列表'!$A$1:$CD$1,0)),""))</f>
        <v>7091.66</v>
      </c>
      <c r="D573" t="str">
        <f>IF(ISBLANK(IFERROR(INDEX('2-3 引出列表'!$A$2:$CE$8700,$A573,MATCH(D$1,'2-3 引出列表'!$A$1:$CD$1,0)),"")),"",IFERROR(INDEX('2-3 引出列表'!$A$2:$CE$8700,$A573,MATCH(D$1,'2-3 引出列表'!$A$1:$CD$1,0)),""))</f>
        <v>已付款</v>
      </c>
      <c r="E573" t="str">
        <f>IF(ISBLANK(IFERROR(INDEX('2-3 引出列表'!$A$2:$CE$8700,$A573,MATCH(E$1,'2-3 引出列表'!$A$1:$CD$1,0)),"")),"",IFERROR(INDEX('2-3 引出列表'!$A$2:$CE$8700,$A573,MATCH(E$1,'2-3 引出列表'!$A$1:$CD$1,0)),""))</f>
        <v>2025-04-29</v>
      </c>
      <c r="F573" s="30" t="str">
        <f t="shared" si="8"/>
        <v>2025-04</v>
      </c>
      <c r="G573" t="str">
        <f>IF(ISBLANK(IFERROR(INDEX('2-3 引出列表'!$A$2:$CE$8700,$A573,MATCH(G$1,'2-3 引出列表'!$A$1:$CD$1,0)),"")),"",IFERROR(INDEX('2-3 引出列表'!$A$2:$CE$8700,$A573,MATCH(G$1,'2-3 引出列表'!$A$1:$CD$1,0)),""))</f>
        <v>物料消耗.物料消耗</v>
      </c>
      <c r="H573">
        <f>IF(ISBLANK(IFERROR(INDEX('2-3 引出列表'!$A$2:$CE$8700,$A573,MATCH(H$1,'2-3 引出列表'!$A$1:$CD$1,0)),"")),"",IFERROR(INDEX('2-3 引出列表'!$A$2:$CE$8700,$A573,MATCH(H$1,'2-3 引出列表'!$A$1:$CD$1,0)),""))</f>
        <v>0</v>
      </c>
      <c r="I573" t="str">
        <f>IF(ISBLANK(IFERROR(INDEX('2-3 引出列表'!$A$2:$CE$8700,$A573,MATCH(I$1,'2-3 引出列表'!$A$1:$CD$1,0)),"")),"",IFERROR(INDEX('2-3 引出列表'!$A$2:$CE$8700,$A573,MATCH(I$1,'2-3 引出列表'!$A$1:$CD$1,0)),""))</f>
        <v>金采易购</v>
      </c>
    </row>
    <row r="574" spans="1:9">
      <c r="A574">
        <v>573</v>
      </c>
      <c r="B574" t="str">
        <f>IF(ISBLANK(IFERROR(INDEX('2-3 引出列表'!$A$2:$CE$8700,$A574,MATCH(B$1,'2-3 引出列表'!$A$1:$CD$1,0)),"")),"",IFERROR(INDEX('2-3 引出列表'!$A$2:$CE$8700,$A574,MATCH(B$1,'2-3 引出列表'!$A$1:$CD$1,0)),""))</f>
        <v>FK250120000575</v>
      </c>
      <c r="C574">
        <f>IF(ISBLANK(IFERROR(INDEX('2-3 引出列表'!$A$2:$CE$8700,$A574,MATCH(C$1,'2-3 引出列表'!$A$1:$CD$1,0)),"")),"",IFERROR(INDEX('2-3 引出列表'!$A$2:$CE$8700,$A574,MATCH(C$1,'2-3 引出列表'!$A$1:$CD$1,0)),""))</f>
        <v>7091.66</v>
      </c>
      <c r="D574" t="str">
        <f>IF(ISBLANK(IFERROR(INDEX('2-3 引出列表'!$A$2:$CE$8700,$A574,MATCH(D$1,'2-3 引出列表'!$A$1:$CD$1,0)),"")),"",IFERROR(INDEX('2-3 引出列表'!$A$2:$CE$8700,$A574,MATCH(D$1,'2-3 引出列表'!$A$1:$CD$1,0)),""))</f>
        <v>已付款</v>
      </c>
      <c r="E574" t="str">
        <f>IF(ISBLANK(IFERROR(INDEX('2-3 引出列表'!$A$2:$CE$8700,$A574,MATCH(E$1,'2-3 引出列表'!$A$1:$CD$1,0)),"")),"",IFERROR(INDEX('2-3 引出列表'!$A$2:$CE$8700,$A574,MATCH(E$1,'2-3 引出列表'!$A$1:$CD$1,0)),""))</f>
        <v>2025-04-29</v>
      </c>
      <c r="F574" s="30" t="str">
        <f t="shared" si="8"/>
        <v>2025-04</v>
      </c>
      <c r="G574" t="str">
        <f>IF(ISBLANK(IFERROR(INDEX('2-3 引出列表'!$A$2:$CE$8700,$A574,MATCH(G$1,'2-3 引出列表'!$A$1:$CD$1,0)),"")),"",IFERROR(INDEX('2-3 引出列表'!$A$2:$CE$8700,$A574,MATCH(G$1,'2-3 引出列表'!$A$1:$CD$1,0)),""))</f>
        <v>物料消耗.物料消耗</v>
      </c>
      <c r="H574">
        <f>IF(ISBLANK(IFERROR(INDEX('2-3 引出列表'!$A$2:$CE$8700,$A574,MATCH(H$1,'2-3 引出列表'!$A$1:$CD$1,0)),"")),"",IFERROR(INDEX('2-3 引出列表'!$A$2:$CE$8700,$A574,MATCH(H$1,'2-3 引出列表'!$A$1:$CD$1,0)),""))</f>
        <v>0</v>
      </c>
      <c r="I574" t="str">
        <f>IF(ISBLANK(IFERROR(INDEX('2-3 引出列表'!$A$2:$CE$8700,$A574,MATCH(I$1,'2-3 引出列表'!$A$1:$CD$1,0)),"")),"",IFERROR(INDEX('2-3 引出列表'!$A$2:$CE$8700,$A574,MATCH(I$1,'2-3 引出列表'!$A$1:$CD$1,0)),""))</f>
        <v>金采易购</v>
      </c>
    </row>
    <row r="575" spans="1:9">
      <c r="A575">
        <v>574</v>
      </c>
      <c r="B575" t="str">
        <f>IF(ISBLANK(IFERROR(INDEX('2-3 引出列表'!$A$2:$CE$8700,$A575,MATCH(B$1,'2-3 引出列表'!$A$1:$CD$1,0)),"")),"",IFERROR(INDEX('2-3 引出列表'!$A$2:$CE$8700,$A575,MATCH(B$1,'2-3 引出列表'!$A$1:$CD$1,0)),""))</f>
        <v>FK250120000575</v>
      </c>
      <c r="C575">
        <f>IF(ISBLANK(IFERROR(INDEX('2-3 引出列表'!$A$2:$CE$8700,$A575,MATCH(C$1,'2-3 引出列表'!$A$1:$CD$1,0)),"")),"",IFERROR(INDEX('2-3 引出列表'!$A$2:$CE$8700,$A575,MATCH(C$1,'2-3 引出列表'!$A$1:$CD$1,0)),""))</f>
        <v>7091.66</v>
      </c>
      <c r="D575" t="str">
        <f>IF(ISBLANK(IFERROR(INDEX('2-3 引出列表'!$A$2:$CE$8700,$A575,MATCH(D$1,'2-3 引出列表'!$A$1:$CD$1,0)),"")),"",IFERROR(INDEX('2-3 引出列表'!$A$2:$CE$8700,$A575,MATCH(D$1,'2-3 引出列表'!$A$1:$CD$1,0)),""))</f>
        <v>已付款</v>
      </c>
      <c r="E575" t="str">
        <f>IF(ISBLANK(IFERROR(INDEX('2-3 引出列表'!$A$2:$CE$8700,$A575,MATCH(E$1,'2-3 引出列表'!$A$1:$CD$1,0)),"")),"",IFERROR(INDEX('2-3 引出列表'!$A$2:$CE$8700,$A575,MATCH(E$1,'2-3 引出列表'!$A$1:$CD$1,0)),""))</f>
        <v>2025-04-29</v>
      </c>
      <c r="F575" s="30" t="str">
        <f t="shared" si="8"/>
        <v>2025-04</v>
      </c>
      <c r="G575" t="str">
        <f>IF(ISBLANK(IFERROR(INDEX('2-3 引出列表'!$A$2:$CE$8700,$A575,MATCH(G$1,'2-3 引出列表'!$A$1:$CD$1,0)),"")),"",IFERROR(INDEX('2-3 引出列表'!$A$2:$CE$8700,$A575,MATCH(G$1,'2-3 引出列表'!$A$1:$CD$1,0)),""))</f>
        <v>物料消耗.物料消耗</v>
      </c>
      <c r="H575">
        <f>IF(ISBLANK(IFERROR(INDEX('2-3 引出列表'!$A$2:$CE$8700,$A575,MATCH(H$1,'2-3 引出列表'!$A$1:$CD$1,0)),"")),"",IFERROR(INDEX('2-3 引出列表'!$A$2:$CE$8700,$A575,MATCH(H$1,'2-3 引出列表'!$A$1:$CD$1,0)),""))</f>
        <v>0</v>
      </c>
      <c r="I575" t="str">
        <f>IF(ISBLANK(IFERROR(INDEX('2-3 引出列表'!$A$2:$CE$8700,$A575,MATCH(I$1,'2-3 引出列表'!$A$1:$CD$1,0)),"")),"",IFERROR(INDEX('2-3 引出列表'!$A$2:$CE$8700,$A575,MATCH(I$1,'2-3 引出列表'!$A$1:$CD$1,0)),""))</f>
        <v>金采易购</v>
      </c>
    </row>
    <row r="576" spans="1:9">
      <c r="A576">
        <v>575</v>
      </c>
      <c r="B576" t="str">
        <f>IF(ISBLANK(IFERROR(INDEX('2-3 引出列表'!$A$2:$CE$8700,$A576,MATCH(B$1,'2-3 引出列表'!$A$1:$CD$1,0)),"")),"",IFERROR(INDEX('2-3 引出列表'!$A$2:$CE$8700,$A576,MATCH(B$1,'2-3 引出列表'!$A$1:$CD$1,0)),""))</f>
        <v>FK250120000575</v>
      </c>
      <c r="C576">
        <f>IF(ISBLANK(IFERROR(INDEX('2-3 引出列表'!$A$2:$CE$8700,$A576,MATCH(C$1,'2-3 引出列表'!$A$1:$CD$1,0)),"")),"",IFERROR(INDEX('2-3 引出列表'!$A$2:$CE$8700,$A576,MATCH(C$1,'2-3 引出列表'!$A$1:$CD$1,0)),""))</f>
        <v>7091.66</v>
      </c>
      <c r="D576" t="str">
        <f>IF(ISBLANK(IFERROR(INDEX('2-3 引出列表'!$A$2:$CE$8700,$A576,MATCH(D$1,'2-3 引出列表'!$A$1:$CD$1,0)),"")),"",IFERROR(INDEX('2-3 引出列表'!$A$2:$CE$8700,$A576,MATCH(D$1,'2-3 引出列表'!$A$1:$CD$1,0)),""))</f>
        <v>已付款</v>
      </c>
      <c r="E576" t="str">
        <f>IF(ISBLANK(IFERROR(INDEX('2-3 引出列表'!$A$2:$CE$8700,$A576,MATCH(E$1,'2-3 引出列表'!$A$1:$CD$1,0)),"")),"",IFERROR(INDEX('2-3 引出列表'!$A$2:$CE$8700,$A576,MATCH(E$1,'2-3 引出列表'!$A$1:$CD$1,0)),""))</f>
        <v>2025-04-29</v>
      </c>
      <c r="F576" s="30" t="str">
        <f t="shared" si="8"/>
        <v>2025-04</v>
      </c>
      <c r="G576" t="str">
        <f>IF(ISBLANK(IFERROR(INDEX('2-3 引出列表'!$A$2:$CE$8700,$A576,MATCH(G$1,'2-3 引出列表'!$A$1:$CD$1,0)),"")),"",IFERROR(INDEX('2-3 引出列表'!$A$2:$CE$8700,$A576,MATCH(G$1,'2-3 引出列表'!$A$1:$CD$1,0)),""))</f>
        <v>物料消耗.物料消耗</v>
      </c>
      <c r="H576">
        <f>IF(ISBLANK(IFERROR(INDEX('2-3 引出列表'!$A$2:$CE$8700,$A576,MATCH(H$1,'2-3 引出列表'!$A$1:$CD$1,0)),"")),"",IFERROR(INDEX('2-3 引出列表'!$A$2:$CE$8700,$A576,MATCH(H$1,'2-3 引出列表'!$A$1:$CD$1,0)),""))</f>
        <v>0</v>
      </c>
      <c r="I576" t="str">
        <f>IF(ISBLANK(IFERROR(INDEX('2-3 引出列表'!$A$2:$CE$8700,$A576,MATCH(I$1,'2-3 引出列表'!$A$1:$CD$1,0)),"")),"",IFERROR(INDEX('2-3 引出列表'!$A$2:$CE$8700,$A576,MATCH(I$1,'2-3 引出列表'!$A$1:$CD$1,0)),""))</f>
        <v>金采易购</v>
      </c>
    </row>
    <row r="577" spans="1:9">
      <c r="A577">
        <v>576</v>
      </c>
      <c r="B577" t="str">
        <f>IF(ISBLANK(IFERROR(INDEX('2-3 引出列表'!$A$2:$CE$8700,$A577,MATCH(B$1,'2-3 引出列表'!$A$1:$CD$1,0)),"")),"",IFERROR(INDEX('2-3 引出列表'!$A$2:$CE$8700,$A577,MATCH(B$1,'2-3 引出列表'!$A$1:$CD$1,0)),""))</f>
        <v>FK250120000575</v>
      </c>
      <c r="C577">
        <f>IF(ISBLANK(IFERROR(INDEX('2-3 引出列表'!$A$2:$CE$8700,$A577,MATCH(C$1,'2-3 引出列表'!$A$1:$CD$1,0)),"")),"",IFERROR(INDEX('2-3 引出列表'!$A$2:$CE$8700,$A577,MATCH(C$1,'2-3 引出列表'!$A$1:$CD$1,0)),""))</f>
        <v>7091.66</v>
      </c>
      <c r="D577" t="str">
        <f>IF(ISBLANK(IFERROR(INDEX('2-3 引出列表'!$A$2:$CE$8700,$A577,MATCH(D$1,'2-3 引出列表'!$A$1:$CD$1,0)),"")),"",IFERROR(INDEX('2-3 引出列表'!$A$2:$CE$8700,$A577,MATCH(D$1,'2-3 引出列表'!$A$1:$CD$1,0)),""))</f>
        <v>已付款</v>
      </c>
      <c r="E577" t="str">
        <f>IF(ISBLANK(IFERROR(INDEX('2-3 引出列表'!$A$2:$CE$8700,$A577,MATCH(E$1,'2-3 引出列表'!$A$1:$CD$1,0)),"")),"",IFERROR(INDEX('2-3 引出列表'!$A$2:$CE$8700,$A577,MATCH(E$1,'2-3 引出列表'!$A$1:$CD$1,0)),""))</f>
        <v>2025-04-29</v>
      </c>
      <c r="F577" s="30" t="str">
        <f t="shared" si="8"/>
        <v>2025-04</v>
      </c>
      <c r="G577" t="str">
        <f>IF(ISBLANK(IFERROR(INDEX('2-3 引出列表'!$A$2:$CE$8700,$A577,MATCH(G$1,'2-3 引出列表'!$A$1:$CD$1,0)),"")),"",IFERROR(INDEX('2-3 引出列表'!$A$2:$CE$8700,$A577,MATCH(G$1,'2-3 引出列表'!$A$1:$CD$1,0)),""))</f>
        <v>物料消耗.物料消耗</v>
      </c>
      <c r="H577">
        <f>IF(ISBLANK(IFERROR(INDEX('2-3 引出列表'!$A$2:$CE$8700,$A577,MATCH(H$1,'2-3 引出列表'!$A$1:$CD$1,0)),"")),"",IFERROR(INDEX('2-3 引出列表'!$A$2:$CE$8700,$A577,MATCH(H$1,'2-3 引出列表'!$A$1:$CD$1,0)),""))</f>
        <v>0</v>
      </c>
      <c r="I577" t="str">
        <f>IF(ISBLANK(IFERROR(INDEX('2-3 引出列表'!$A$2:$CE$8700,$A577,MATCH(I$1,'2-3 引出列表'!$A$1:$CD$1,0)),"")),"",IFERROR(INDEX('2-3 引出列表'!$A$2:$CE$8700,$A577,MATCH(I$1,'2-3 引出列表'!$A$1:$CD$1,0)),""))</f>
        <v>金采易购</v>
      </c>
    </row>
    <row r="578" spans="1:9">
      <c r="A578">
        <v>577</v>
      </c>
      <c r="B578" t="str">
        <f>IF(ISBLANK(IFERROR(INDEX('2-3 引出列表'!$A$2:$CE$8700,$A578,MATCH(B$1,'2-3 引出列表'!$A$1:$CD$1,0)),"")),"",IFERROR(INDEX('2-3 引出列表'!$A$2:$CE$8700,$A578,MATCH(B$1,'2-3 引出列表'!$A$1:$CD$1,0)),""))</f>
        <v>FK250120000575</v>
      </c>
      <c r="C578">
        <f>IF(ISBLANK(IFERROR(INDEX('2-3 引出列表'!$A$2:$CE$8700,$A578,MATCH(C$1,'2-3 引出列表'!$A$1:$CD$1,0)),"")),"",IFERROR(INDEX('2-3 引出列表'!$A$2:$CE$8700,$A578,MATCH(C$1,'2-3 引出列表'!$A$1:$CD$1,0)),""))</f>
        <v>7091.66</v>
      </c>
      <c r="D578" t="str">
        <f>IF(ISBLANK(IFERROR(INDEX('2-3 引出列表'!$A$2:$CE$8700,$A578,MATCH(D$1,'2-3 引出列表'!$A$1:$CD$1,0)),"")),"",IFERROR(INDEX('2-3 引出列表'!$A$2:$CE$8700,$A578,MATCH(D$1,'2-3 引出列表'!$A$1:$CD$1,0)),""))</f>
        <v>已付款</v>
      </c>
      <c r="E578" t="str">
        <f>IF(ISBLANK(IFERROR(INDEX('2-3 引出列表'!$A$2:$CE$8700,$A578,MATCH(E$1,'2-3 引出列表'!$A$1:$CD$1,0)),"")),"",IFERROR(INDEX('2-3 引出列表'!$A$2:$CE$8700,$A578,MATCH(E$1,'2-3 引出列表'!$A$1:$CD$1,0)),""))</f>
        <v>2025-04-29</v>
      </c>
      <c r="F578" s="30" t="str">
        <f t="shared" si="8"/>
        <v>2025-04</v>
      </c>
      <c r="G578" t="str">
        <f>IF(ISBLANK(IFERROR(INDEX('2-3 引出列表'!$A$2:$CE$8700,$A578,MATCH(G$1,'2-3 引出列表'!$A$1:$CD$1,0)),"")),"",IFERROR(INDEX('2-3 引出列表'!$A$2:$CE$8700,$A578,MATCH(G$1,'2-3 引出列表'!$A$1:$CD$1,0)),""))</f>
        <v>物料消耗.物料消耗</v>
      </c>
      <c r="H578">
        <f>IF(ISBLANK(IFERROR(INDEX('2-3 引出列表'!$A$2:$CE$8700,$A578,MATCH(H$1,'2-3 引出列表'!$A$1:$CD$1,0)),"")),"",IFERROR(INDEX('2-3 引出列表'!$A$2:$CE$8700,$A578,MATCH(H$1,'2-3 引出列表'!$A$1:$CD$1,0)),""))</f>
        <v>0</v>
      </c>
      <c r="I578" t="str">
        <f>IF(ISBLANK(IFERROR(INDEX('2-3 引出列表'!$A$2:$CE$8700,$A578,MATCH(I$1,'2-3 引出列表'!$A$1:$CD$1,0)),"")),"",IFERROR(INDEX('2-3 引出列表'!$A$2:$CE$8700,$A578,MATCH(I$1,'2-3 引出列表'!$A$1:$CD$1,0)),""))</f>
        <v>金采易购</v>
      </c>
    </row>
    <row r="579" spans="1:9">
      <c r="A579">
        <v>578</v>
      </c>
      <c r="B579" t="str">
        <f>IF(ISBLANK(IFERROR(INDEX('2-3 引出列表'!$A$2:$CE$8700,$A579,MATCH(B$1,'2-3 引出列表'!$A$1:$CD$1,0)),"")),"",IFERROR(INDEX('2-3 引出列表'!$A$2:$CE$8700,$A579,MATCH(B$1,'2-3 引出列表'!$A$1:$CD$1,0)),""))</f>
        <v>FK250120000575</v>
      </c>
      <c r="C579">
        <f>IF(ISBLANK(IFERROR(INDEX('2-3 引出列表'!$A$2:$CE$8700,$A579,MATCH(C$1,'2-3 引出列表'!$A$1:$CD$1,0)),"")),"",IFERROR(INDEX('2-3 引出列表'!$A$2:$CE$8700,$A579,MATCH(C$1,'2-3 引出列表'!$A$1:$CD$1,0)),""))</f>
        <v>7091.66</v>
      </c>
      <c r="D579" t="str">
        <f>IF(ISBLANK(IFERROR(INDEX('2-3 引出列表'!$A$2:$CE$8700,$A579,MATCH(D$1,'2-3 引出列表'!$A$1:$CD$1,0)),"")),"",IFERROR(INDEX('2-3 引出列表'!$A$2:$CE$8700,$A579,MATCH(D$1,'2-3 引出列表'!$A$1:$CD$1,0)),""))</f>
        <v>已付款</v>
      </c>
      <c r="E579" t="str">
        <f>IF(ISBLANK(IFERROR(INDEX('2-3 引出列表'!$A$2:$CE$8700,$A579,MATCH(E$1,'2-3 引出列表'!$A$1:$CD$1,0)),"")),"",IFERROR(INDEX('2-3 引出列表'!$A$2:$CE$8700,$A579,MATCH(E$1,'2-3 引出列表'!$A$1:$CD$1,0)),""))</f>
        <v>2025-04-29</v>
      </c>
      <c r="F579" s="30" t="str">
        <f t="shared" ref="F579:F624" si="9">LEFT(E579,7)</f>
        <v>2025-04</v>
      </c>
      <c r="G579" t="str">
        <f>IF(ISBLANK(IFERROR(INDEX('2-3 引出列表'!$A$2:$CE$8700,$A579,MATCH(G$1,'2-3 引出列表'!$A$1:$CD$1,0)),"")),"",IFERROR(INDEX('2-3 引出列表'!$A$2:$CE$8700,$A579,MATCH(G$1,'2-3 引出列表'!$A$1:$CD$1,0)),""))</f>
        <v>物料消耗.物料消耗</v>
      </c>
      <c r="H579">
        <f>IF(ISBLANK(IFERROR(INDEX('2-3 引出列表'!$A$2:$CE$8700,$A579,MATCH(H$1,'2-3 引出列表'!$A$1:$CD$1,0)),"")),"",IFERROR(INDEX('2-3 引出列表'!$A$2:$CE$8700,$A579,MATCH(H$1,'2-3 引出列表'!$A$1:$CD$1,0)),""))</f>
        <v>0</v>
      </c>
      <c r="I579" t="str">
        <f>IF(ISBLANK(IFERROR(INDEX('2-3 引出列表'!$A$2:$CE$8700,$A579,MATCH(I$1,'2-3 引出列表'!$A$1:$CD$1,0)),"")),"",IFERROR(INDEX('2-3 引出列表'!$A$2:$CE$8700,$A579,MATCH(I$1,'2-3 引出列表'!$A$1:$CD$1,0)),""))</f>
        <v>金采易购</v>
      </c>
    </row>
    <row r="580" spans="1:9">
      <c r="A580">
        <v>579</v>
      </c>
      <c r="B580" t="str">
        <f>IF(ISBLANK(IFERROR(INDEX('2-3 引出列表'!$A$2:$CE$8700,$A580,MATCH(B$1,'2-3 引出列表'!$A$1:$CD$1,0)),"")),"",IFERROR(INDEX('2-3 引出列表'!$A$2:$CE$8700,$A580,MATCH(B$1,'2-3 引出列表'!$A$1:$CD$1,0)),""))</f>
        <v>FK250120000575</v>
      </c>
      <c r="C580">
        <f>IF(ISBLANK(IFERROR(INDEX('2-3 引出列表'!$A$2:$CE$8700,$A580,MATCH(C$1,'2-3 引出列表'!$A$1:$CD$1,0)),"")),"",IFERROR(INDEX('2-3 引出列表'!$A$2:$CE$8700,$A580,MATCH(C$1,'2-3 引出列表'!$A$1:$CD$1,0)),""))</f>
        <v>7091.66</v>
      </c>
      <c r="D580" t="str">
        <f>IF(ISBLANK(IFERROR(INDEX('2-3 引出列表'!$A$2:$CE$8700,$A580,MATCH(D$1,'2-3 引出列表'!$A$1:$CD$1,0)),"")),"",IFERROR(INDEX('2-3 引出列表'!$A$2:$CE$8700,$A580,MATCH(D$1,'2-3 引出列表'!$A$1:$CD$1,0)),""))</f>
        <v>已付款</v>
      </c>
      <c r="E580" t="str">
        <f>IF(ISBLANK(IFERROR(INDEX('2-3 引出列表'!$A$2:$CE$8700,$A580,MATCH(E$1,'2-3 引出列表'!$A$1:$CD$1,0)),"")),"",IFERROR(INDEX('2-3 引出列表'!$A$2:$CE$8700,$A580,MATCH(E$1,'2-3 引出列表'!$A$1:$CD$1,0)),""))</f>
        <v>2025-04-29</v>
      </c>
      <c r="F580" s="30" t="str">
        <f t="shared" si="9"/>
        <v>2025-04</v>
      </c>
      <c r="G580" t="str">
        <f>IF(ISBLANK(IFERROR(INDEX('2-3 引出列表'!$A$2:$CE$8700,$A580,MATCH(G$1,'2-3 引出列表'!$A$1:$CD$1,0)),"")),"",IFERROR(INDEX('2-3 引出列表'!$A$2:$CE$8700,$A580,MATCH(G$1,'2-3 引出列表'!$A$1:$CD$1,0)),""))</f>
        <v>物料消耗.物料消耗</v>
      </c>
      <c r="H580">
        <f>IF(ISBLANK(IFERROR(INDEX('2-3 引出列表'!$A$2:$CE$8700,$A580,MATCH(H$1,'2-3 引出列表'!$A$1:$CD$1,0)),"")),"",IFERROR(INDEX('2-3 引出列表'!$A$2:$CE$8700,$A580,MATCH(H$1,'2-3 引出列表'!$A$1:$CD$1,0)),""))</f>
        <v>0</v>
      </c>
      <c r="I580" t="str">
        <f>IF(ISBLANK(IFERROR(INDEX('2-3 引出列表'!$A$2:$CE$8700,$A580,MATCH(I$1,'2-3 引出列表'!$A$1:$CD$1,0)),"")),"",IFERROR(INDEX('2-3 引出列表'!$A$2:$CE$8700,$A580,MATCH(I$1,'2-3 引出列表'!$A$1:$CD$1,0)),""))</f>
        <v>金采易购</v>
      </c>
    </row>
    <row r="581" spans="1:9">
      <c r="A581">
        <v>580</v>
      </c>
      <c r="B581" t="str">
        <f>IF(ISBLANK(IFERROR(INDEX('2-3 引出列表'!$A$2:$CE$8700,$A581,MATCH(B$1,'2-3 引出列表'!$A$1:$CD$1,0)),"")),"",IFERROR(INDEX('2-3 引出列表'!$A$2:$CE$8700,$A581,MATCH(B$1,'2-3 引出列表'!$A$1:$CD$1,0)),""))</f>
        <v>FK250120000575</v>
      </c>
      <c r="C581">
        <f>IF(ISBLANK(IFERROR(INDEX('2-3 引出列表'!$A$2:$CE$8700,$A581,MATCH(C$1,'2-3 引出列表'!$A$1:$CD$1,0)),"")),"",IFERROR(INDEX('2-3 引出列表'!$A$2:$CE$8700,$A581,MATCH(C$1,'2-3 引出列表'!$A$1:$CD$1,0)),""))</f>
        <v>7091.66</v>
      </c>
      <c r="D581" t="str">
        <f>IF(ISBLANK(IFERROR(INDEX('2-3 引出列表'!$A$2:$CE$8700,$A581,MATCH(D$1,'2-3 引出列表'!$A$1:$CD$1,0)),"")),"",IFERROR(INDEX('2-3 引出列表'!$A$2:$CE$8700,$A581,MATCH(D$1,'2-3 引出列表'!$A$1:$CD$1,0)),""))</f>
        <v>已付款</v>
      </c>
      <c r="E581" t="str">
        <f>IF(ISBLANK(IFERROR(INDEX('2-3 引出列表'!$A$2:$CE$8700,$A581,MATCH(E$1,'2-3 引出列表'!$A$1:$CD$1,0)),"")),"",IFERROR(INDEX('2-3 引出列表'!$A$2:$CE$8700,$A581,MATCH(E$1,'2-3 引出列表'!$A$1:$CD$1,0)),""))</f>
        <v>2025-04-29</v>
      </c>
      <c r="F581" s="30" t="str">
        <f t="shared" si="9"/>
        <v>2025-04</v>
      </c>
      <c r="G581" t="str">
        <f>IF(ISBLANK(IFERROR(INDEX('2-3 引出列表'!$A$2:$CE$8700,$A581,MATCH(G$1,'2-3 引出列表'!$A$1:$CD$1,0)),"")),"",IFERROR(INDEX('2-3 引出列表'!$A$2:$CE$8700,$A581,MATCH(G$1,'2-3 引出列表'!$A$1:$CD$1,0)),""))</f>
        <v>物料消耗.物料消耗</v>
      </c>
      <c r="H581">
        <f>IF(ISBLANK(IFERROR(INDEX('2-3 引出列表'!$A$2:$CE$8700,$A581,MATCH(H$1,'2-3 引出列表'!$A$1:$CD$1,0)),"")),"",IFERROR(INDEX('2-3 引出列表'!$A$2:$CE$8700,$A581,MATCH(H$1,'2-3 引出列表'!$A$1:$CD$1,0)),""))</f>
        <v>0</v>
      </c>
      <c r="I581" t="str">
        <f>IF(ISBLANK(IFERROR(INDEX('2-3 引出列表'!$A$2:$CE$8700,$A581,MATCH(I$1,'2-3 引出列表'!$A$1:$CD$1,0)),"")),"",IFERROR(INDEX('2-3 引出列表'!$A$2:$CE$8700,$A581,MATCH(I$1,'2-3 引出列表'!$A$1:$CD$1,0)),""))</f>
        <v>金采易购</v>
      </c>
    </row>
    <row r="582" spans="1:9">
      <c r="A582">
        <v>581</v>
      </c>
      <c r="B582" t="str">
        <f>IF(ISBLANK(IFERROR(INDEX('2-3 引出列表'!$A$2:$CE$8700,$A582,MATCH(B$1,'2-3 引出列表'!$A$1:$CD$1,0)),"")),"",IFERROR(INDEX('2-3 引出列表'!$A$2:$CE$8700,$A582,MATCH(B$1,'2-3 引出列表'!$A$1:$CD$1,0)),""))</f>
        <v>FK250120000575</v>
      </c>
      <c r="C582">
        <f>IF(ISBLANK(IFERROR(INDEX('2-3 引出列表'!$A$2:$CE$8700,$A582,MATCH(C$1,'2-3 引出列表'!$A$1:$CD$1,0)),"")),"",IFERROR(INDEX('2-3 引出列表'!$A$2:$CE$8700,$A582,MATCH(C$1,'2-3 引出列表'!$A$1:$CD$1,0)),""))</f>
        <v>7091.66</v>
      </c>
      <c r="D582" t="str">
        <f>IF(ISBLANK(IFERROR(INDEX('2-3 引出列表'!$A$2:$CE$8700,$A582,MATCH(D$1,'2-3 引出列表'!$A$1:$CD$1,0)),"")),"",IFERROR(INDEX('2-3 引出列表'!$A$2:$CE$8700,$A582,MATCH(D$1,'2-3 引出列表'!$A$1:$CD$1,0)),""))</f>
        <v>已付款</v>
      </c>
      <c r="E582" t="str">
        <f>IF(ISBLANK(IFERROR(INDEX('2-3 引出列表'!$A$2:$CE$8700,$A582,MATCH(E$1,'2-3 引出列表'!$A$1:$CD$1,0)),"")),"",IFERROR(INDEX('2-3 引出列表'!$A$2:$CE$8700,$A582,MATCH(E$1,'2-3 引出列表'!$A$1:$CD$1,0)),""))</f>
        <v>2025-04-29</v>
      </c>
      <c r="F582" s="30" t="str">
        <f t="shared" si="9"/>
        <v>2025-04</v>
      </c>
      <c r="G582" t="str">
        <f>IF(ISBLANK(IFERROR(INDEX('2-3 引出列表'!$A$2:$CE$8700,$A582,MATCH(G$1,'2-3 引出列表'!$A$1:$CD$1,0)),"")),"",IFERROR(INDEX('2-3 引出列表'!$A$2:$CE$8700,$A582,MATCH(G$1,'2-3 引出列表'!$A$1:$CD$1,0)),""))</f>
        <v>物料消耗.物料消耗</v>
      </c>
      <c r="H582">
        <f>IF(ISBLANK(IFERROR(INDEX('2-3 引出列表'!$A$2:$CE$8700,$A582,MATCH(H$1,'2-3 引出列表'!$A$1:$CD$1,0)),"")),"",IFERROR(INDEX('2-3 引出列表'!$A$2:$CE$8700,$A582,MATCH(H$1,'2-3 引出列表'!$A$1:$CD$1,0)),""))</f>
        <v>0</v>
      </c>
      <c r="I582" t="str">
        <f>IF(ISBLANK(IFERROR(INDEX('2-3 引出列表'!$A$2:$CE$8700,$A582,MATCH(I$1,'2-3 引出列表'!$A$1:$CD$1,0)),"")),"",IFERROR(INDEX('2-3 引出列表'!$A$2:$CE$8700,$A582,MATCH(I$1,'2-3 引出列表'!$A$1:$CD$1,0)),""))</f>
        <v>金采易购</v>
      </c>
    </row>
    <row r="583" spans="1:9">
      <c r="A583">
        <v>582</v>
      </c>
      <c r="B583" t="str">
        <f>IF(ISBLANK(IFERROR(INDEX('2-3 引出列表'!$A$2:$CE$8700,$A583,MATCH(B$1,'2-3 引出列表'!$A$1:$CD$1,0)),"")),"",IFERROR(INDEX('2-3 引出列表'!$A$2:$CE$8700,$A583,MATCH(B$1,'2-3 引出列表'!$A$1:$CD$1,0)),""))</f>
        <v>FK250120000575</v>
      </c>
      <c r="C583">
        <f>IF(ISBLANK(IFERROR(INDEX('2-3 引出列表'!$A$2:$CE$8700,$A583,MATCH(C$1,'2-3 引出列表'!$A$1:$CD$1,0)),"")),"",IFERROR(INDEX('2-3 引出列表'!$A$2:$CE$8700,$A583,MATCH(C$1,'2-3 引出列表'!$A$1:$CD$1,0)),""))</f>
        <v>7091.66</v>
      </c>
      <c r="D583" t="str">
        <f>IF(ISBLANK(IFERROR(INDEX('2-3 引出列表'!$A$2:$CE$8700,$A583,MATCH(D$1,'2-3 引出列表'!$A$1:$CD$1,0)),"")),"",IFERROR(INDEX('2-3 引出列表'!$A$2:$CE$8700,$A583,MATCH(D$1,'2-3 引出列表'!$A$1:$CD$1,0)),""))</f>
        <v>已付款</v>
      </c>
      <c r="E583" t="str">
        <f>IF(ISBLANK(IFERROR(INDEX('2-3 引出列表'!$A$2:$CE$8700,$A583,MATCH(E$1,'2-3 引出列表'!$A$1:$CD$1,0)),"")),"",IFERROR(INDEX('2-3 引出列表'!$A$2:$CE$8700,$A583,MATCH(E$1,'2-3 引出列表'!$A$1:$CD$1,0)),""))</f>
        <v>2025-04-29</v>
      </c>
      <c r="F583" s="30" t="str">
        <f t="shared" si="9"/>
        <v>2025-04</v>
      </c>
      <c r="G583" t="str">
        <f>IF(ISBLANK(IFERROR(INDEX('2-3 引出列表'!$A$2:$CE$8700,$A583,MATCH(G$1,'2-3 引出列表'!$A$1:$CD$1,0)),"")),"",IFERROR(INDEX('2-3 引出列表'!$A$2:$CE$8700,$A583,MATCH(G$1,'2-3 引出列表'!$A$1:$CD$1,0)),""))</f>
        <v>物料消耗.物料消耗</v>
      </c>
      <c r="H583">
        <f>IF(ISBLANK(IFERROR(INDEX('2-3 引出列表'!$A$2:$CE$8700,$A583,MATCH(H$1,'2-3 引出列表'!$A$1:$CD$1,0)),"")),"",IFERROR(INDEX('2-3 引出列表'!$A$2:$CE$8700,$A583,MATCH(H$1,'2-3 引出列表'!$A$1:$CD$1,0)),""))</f>
        <v>0</v>
      </c>
      <c r="I583" t="str">
        <f>IF(ISBLANK(IFERROR(INDEX('2-3 引出列表'!$A$2:$CE$8700,$A583,MATCH(I$1,'2-3 引出列表'!$A$1:$CD$1,0)),"")),"",IFERROR(INDEX('2-3 引出列表'!$A$2:$CE$8700,$A583,MATCH(I$1,'2-3 引出列表'!$A$1:$CD$1,0)),""))</f>
        <v>金采易购</v>
      </c>
    </row>
    <row r="584" spans="1:9">
      <c r="A584">
        <v>583</v>
      </c>
      <c r="B584" t="str">
        <f>IF(ISBLANK(IFERROR(INDEX('2-3 引出列表'!$A$2:$CE$8700,$A584,MATCH(B$1,'2-3 引出列表'!$A$1:$CD$1,0)),"")),"",IFERROR(INDEX('2-3 引出列表'!$A$2:$CE$8700,$A584,MATCH(B$1,'2-3 引出列表'!$A$1:$CD$1,0)),""))</f>
        <v>FK250120000575</v>
      </c>
      <c r="C584">
        <f>IF(ISBLANK(IFERROR(INDEX('2-3 引出列表'!$A$2:$CE$8700,$A584,MATCH(C$1,'2-3 引出列表'!$A$1:$CD$1,0)),"")),"",IFERROR(INDEX('2-3 引出列表'!$A$2:$CE$8700,$A584,MATCH(C$1,'2-3 引出列表'!$A$1:$CD$1,0)),""))</f>
        <v>7091.66</v>
      </c>
      <c r="D584" t="str">
        <f>IF(ISBLANK(IFERROR(INDEX('2-3 引出列表'!$A$2:$CE$8700,$A584,MATCH(D$1,'2-3 引出列表'!$A$1:$CD$1,0)),"")),"",IFERROR(INDEX('2-3 引出列表'!$A$2:$CE$8700,$A584,MATCH(D$1,'2-3 引出列表'!$A$1:$CD$1,0)),""))</f>
        <v>已付款</v>
      </c>
      <c r="E584" t="str">
        <f>IF(ISBLANK(IFERROR(INDEX('2-3 引出列表'!$A$2:$CE$8700,$A584,MATCH(E$1,'2-3 引出列表'!$A$1:$CD$1,0)),"")),"",IFERROR(INDEX('2-3 引出列表'!$A$2:$CE$8700,$A584,MATCH(E$1,'2-3 引出列表'!$A$1:$CD$1,0)),""))</f>
        <v>2025-04-29</v>
      </c>
      <c r="F584" s="30" t="str">
        <f t="shared" si="9"/>
        <v>2025-04</v>
      </c>
      <c r="G584" t="str">
        <f>IF(ISBLANK(IFERROR(INDEX('2-3 引出列表'!$A$2:$CE$8700,$A584,MATCH(G$1,'2-3 引出列表'!$A$1:$CD$1,0)),"")),"",IFERROR(INDEX('2-3 引出列表'!$A$2:$CE$8700,$A584,MATCH(G$1,'2-3 引出列表'!$A$1:$CD$1,0)),""))</f>
        <v>物料消耗.物料消耗</v>
      </c>
      <c r="H584">
        <f>IF(ISBLANK(IFERROR(INDEX('2-3 引出列表'!$A$2:$CE$8700,$A584,MATCH(H$1,'2-3 引出列表'!$A$1:$CD$1,0)),"")),"",IFERROR(INDEX('2-3 引出列表'!$A$2:$CE$8700,$A584,MATCH(H$1,'2-3 引出列表'!$A$1:$CD$1,0)),""))</f>
        <v>0</v>
      </c>
      <c r="I584" t="str">
        <f>IF(ISBLANK(IFERROR(INDEX('2-3 引出列表'!$A$2:$CE$8700,$A584,MATCH(I$1,'2-3 引出列表'!$A$1:$CD$1,0)),"")),"",IFERROR(INDEX('2-3 引出列表'!$A$2:$CE$8700,$A584,MATCH(I$1,'2-3 引出列表'!$A$1:$CD$1,0)),""))</f>
        <v>金采易购</v>
      </c>
    </row>
    <row r="585" spans="1:9">
      <c r="A585">
        <v>584</v>
      </c>
      <c r="B585" t="str">
        <f>IF(ISBLANK(IFERROR(INDEX('2-3 引出列表'!$A$2:$CE$8700,$A585,MATCH(B$1,'2-3 引出列表'!$A$1:$CD$1,0)),"")),"",IFERROR(INDEX('2-3 引出列表'!$A$2:$CE$8700,$A585,MATCH(B$1,'2-3 引出列表'!$A$1:$CD$1,0)),""))</f>
        <v>FK250120000575</v>
      </c>
      <c r="C585">
        <f>IF(ISBLANK(IFERROR(INDEX('2-3 引出列表'!$A$2:$CE$8700,$A585,MATCH(C$1,'2-3 引出列表'!$A$1:$CD$1,0)),"")),"",IFERROR(INDEX('2-3 引出列表'!$A$2:$CE$8700,$A585,MATCH(C$1,'2-3 引出列表'!$A$1:$CD$1,0)),""))</f>
        <v>7091.66</v>
      </c>
      <c r="D585" t="str">
        <f>IF(ISBLANK(IFERROR(INDEX('2-3 引出列表'!$A$2:$CE$8700,$A585,MATCH(D$1,'2-3 引出列表'!$A$1:$CD$1,0)),"")),"",IFERROR(INDEX('2-3 引出列表'!$A$2:$CE$8700,$A585,MATCH(D$1,'2-3 引出列表'!$A$1:$CD$1,0)),""))</f>
        <v>已付款</v>
      </c>
      <c r="E585" t="str">
        <f>IF(ISBLANK(IFERROR(INDEX('2-3 引出列表'!$A$2:$CE$8700,$A585,MATCH(E$1,'2-3 引出列表'!$A$1:$CD$1,0)),"")),"",IFERROR(INDEX('2-3 引出列表'!$A$2:$CE$8700,$A585,MATCH(E$1,'2-3 引出列表'!$A$1:$CD$1,0)),""))</f>
        <v>2025-04-29</v>
      </c>
      <c r="F585" s="30" t="str">
        <f t="shared" si="9"/>
        <v>2025-04</v>
      </c>
      <c r="G585" t="str">
        <f>IF(ISBLANK(IFERROR(INDEX('2-3 引出列表'!$A$2:$CE$8700,$A585,MATCH(G$1,'2-3 引出列表'!$A$1:$CD$1,0)),"")),"",IFERROR(INDEX('2-3 引出列表'!$A$2:$CE$8700,$A585,MATCH(G$1,'2-3 引出列表'!$A$1:$CD$1,0)),""))</f>
        <v>物料消耗.物料消耗</v>
      </c>
      <c r="H585">
        <f>IF(ISBLANK(IFERROR(INDEX('2-3 引出列表'!$A$2:$CE$8700,$A585,MATCH(H$1,'2-3 引出列表'!$A$1:$CD$1,0)),"")),"",IFERROR(INDEX('2-3 引出列表'!$A$2:$CE$8700,$A585,MATCH(H$1,'2-3 引出列表'!$A$1:$CD$1,0)),""))</f>
        <v>0</v>
      </c>
      <c r="I585" t="str">
        <f>IF(ISBLANK(IFERROR(INDEX('2-3 引出列表'!$A$2:$CE$8700,$A585,MATCH(I$1,'2-3 引出列表'!$A$1:$CD$1,0)),"")),"",IFERROR(INDEX('2-3 引出列表'!$A$2:$CE$8700,$A585,MATCH(I$1,'2-3 引出列表'!$A$1:$CD$1,0)),""))</f>
        <v>金采易购</v>
      </c>
    </row>
    <row r="586" spans="1:9">
      <c r="A586">
        <v>585</v>
      </c>
      <c r="B586" t="str">
        <f>IF(ISBLANK(IFERROR(INDEX('2-3 引出列表'!$A$2:$CE$8700,$A586,MATCH(B$1,'2-3 引出列表'!$A$1:$CD$1,0)),"")),"",IFERROR(INDEX('2-3 引出列表'!$A$2:$CE$8700,$A586,MATCH(B$1,'2-3 引出列表'!$A$1:$CD$1,0)),""))</f>
        <v>FK250120000575</v>
      </c>
      <c r="C586">
        <f>IF(ISBLANK(IFERROR(INDEX('2-3 引出列表'!$A$2:$CE$8700,$A586,MATCH(C$1,'2-3 引出列表'!$A$1:$CD$1,0)),"")),"",IFERROR(INDEX('2-3 引出列表'!$A$2:$CE$8700,$A586,MATCH(C$1,'2-3 引出列表'!$A$1:$CD$1,0)),""))</f>
        <v>7091.66</v>
      </c>
      <c r="D586" t="str">
        <f>IF(ISBLANK(IFERROR(INDEX('2-3 引出列表'!$A$2:$CE$8700,$A586,MATCH(D$1,'2-3 引出列表'!$A$1:$CD$1,0)),"")),"",IFERROR(INDEX('2-3 引出列表'!$A$2:$CE$8700,$A586,MATCH(D$1,'2-3 引出列表'!$A$1:$CD$1,0)),""))</f>
        <v>已付款</v>
      </c>
      <c r="E586" t="str">
        <f>IF(ISBLANK(IFERROR(INDEX('2-3 引出列表'!$A$2:$CE$8700,$A586,MATCH(E$1,'2-3 引出列表'!$A$1:$CD$1,0)),"")),"",IFERROR(INDEX('2-3 引出列表'!$A$2:$CE$8700,$A586,MATCH(E$1,'2-3 引出列表'!$A$1:$CD$1,0)),""))</f>
        <v>2025-04-29</v>
      </c>
      <c r="F586" s="30" t="str">
        <f t="shared" si="9"/>
        <v>2025-04</v>
      </c>
      <c r="G586" t="str">
        <f>IF(ISBLANK(IFERROR(INDEX('2-3 引出列表'!$A$2:$CE$8700,$A586,MATCH(G$1,'2-3 引出列表'!$A$1:$CD$1,0)),"")),"",IFERROR(INDEX('2-3 引出列表'!$A$2:$CE$8700,$A586,MATCH(G$1,'2-3 引出列表'!$A$1:$CD$1,0)),""))</f>
        <v>物料消耗.物料消耗</v>
      </c>
      <c r="H586">
        <f>IF(ISBLANK(IFERROR(INDEX('2-3 引出列表'!$A$2:$CE$8700,$A586,MATCH(H$1,'2-3 引出列表'!$A$1:$CD$1,0)),"")),"",IFERROR(INDEX('2-3 引出列表'!$A$2:$CE$8700,$A586,MATCH(H$1,'2-3 引出列表'!$A$1:$CD$1,0)),""))</f>
        <v>0</v>
      </c>
      <c r="I586" t="str">
        <f>IF(ISBLANK(IFERROR(INDEX('2-3 引出列表'!$A$2:$CE$8700,$A586,MATCH(I$1,'2-3 引出列表'!$A$1:$CD$1,0)),"")),"",IFERROR(INDEX('2-3 引出列表'!$A$2:$CE$8700,$A586,MATCH(I$1,'2-3 引出列表'!$A$1:$CD$1,0)),""))</f>
        <v>金采易购</v>
      </c>
    </row>
    <row r="587" spans="1:9">
      <c r="A587">
        <v>586</v>
      </c>
      <c r="B587" t="str">
        <f>IF(ISBLANK(IFERROR(INDEX('2-3 引出列表'!$A$2:$CE$8700,$A587,MATCH(B$1,'2-3 引出列表'!$A$1:$CD$1,0)),"")),"",IFERROR(INDEX('2-3 引出列表'!$A$2:$CE$8700,$A587,MATCH(B$1,'2-3 引出列表'!$A$1:$CD$1,0)),""))</f>
        <v>FK250120000575</v>
      </c>
      <c r="C587">
        <f>IF(ISBLANK(IFERROR(INDEX('2-3 引出列表'!$A$2:$CE$8700,$A587,MATCH(C$1,'2-3 引出列表'!$A$1:$CD$1,0)),"")),"",IFERROR(INDEX('2-3 引出列表'!$A$2:$CE$8700,$A587,MATCH(C$1,'2-3 引出列表'!$A$1:$CD$1,0)),""))</f>
        <v>7091.66</v>
      </c>
      <c r="D587" t="str">
        <f>IF(ISBLANK(IFERROR(INDEX('2-3 引出列表'!$A$2:$CE$8700,$A587,MATCH(D$1,'2-3 引出列表'!$A$1:$CD$1,0)),"")),"",IFERROR(INDEX('2-3 引出列表'!$A$2:$CE$8700,$A587,MATCH(D$1,'2-3 引出列表'!$A$1:$CD$1,0)),""))</f>
        <v>已付款</v>
      </c>
      <c r="E587" t="str">
        <f>IF(ISBLANK(IFERROR(INDEX('2-3 引出列表'!$A$2:$CE$8700,$A587,MATCH(E$1,'2-3 引出列表'!$A$1:$CD$1,0)),"")),"",IFERROR(INDEX('2-3 引出列表'!$A$2:$CE$8700,$A587,MATCH(E$1,'2-3 引出列表'!$A$1:$CD$1,0)),""))</f>
        <v>2025-04-29</v>
      </c>
      <c r="F587" s="30" t="str">
        <f t="shared" si="9"/>
        <v>2025-04</v>
      </c>
      <c r="G587" t="str">
        <f>IF(ISBLANK(IFERROR(INDEX('2-3 引出列表'!$A$2:$CE$8700,$A587,MATCH(G$1,'2-3 引出列表'!$A$1:$CD$1,0)),"")),"",IFERROR(INDEX('2-3 引出列表'!$A$2:$CE$8700,$A587,MATCH(G$1,'2-3 引出列表'!$A$1:$CD$1,0)),""))</f>
        <v>物料消耗.物料消耗</v>
      </c>
      <c r="H587">
        <f>IF(ISBLANK(IFERROR(INDEX('2-3 引出列表'!$A$2:$CE$8700,$A587,MATCH(H$1,'2-3 引出列表'!$A$1:$CD$1,0)),"")),"",IFERROR(INDEX('2-3 引出列表'!$A$2:$CE$8700,$A587,MATCH(H$1,'2-3 引出列表'!$A$1:$CD$1,0)),""))</f>
        <v>0</v>
      </c>
      <c r="I587" t="str">
        <f>IF(ISBLANK(IFERROR(INDEX('2-3 引出列表'!$A$2:$CE$8700,$A587,MATCH(I$1,'2-3 引出列表'!$A$1:$CD$1,0)),"")),"",IFERROR(INDEX('2-3 引出列表'!$A$2:$CE$8700,$A587,MATCH(I$1,'2-3 引出列表'!$A$1:$CD$1,0)),""))</f>
        <v>金采易购</v>
      </c>
    </row>
    <row r="588" spans="1:9">
      <c r="A588">
        <v>587</v>
      </c>
      <c r="B588" t="str">
        <f>IF(ISBLANK(IFERROR(INDEX('2-3 引出列表'!$A$2:$CE$8700,$A588,MATCH(B$1,'2-3 引出列表'!$A$1:$CD$1,0)),"")),"",IFERROR(INDEX('2-3 引出列表'!$A$2:$CE$8700,$A588,MATCH(B$1,'2-3 引出列表'!$A$1:$CD$1,0)),""))</f>
        <v>FK250120000575</v>
      </c>
      <c r="C588">
        <f>IF(ISBLANK(IFERROR(INDEX('2-3 引出列表'!$A$2:$CE$8700,$A588,MATCH(C$1,'2-3 引出列表'!$A$1:$CD$1,0)),"")),"",IFERROR(INDEX('2-3 引出列表'!$A$2:$CE$8700,$A588,MATCH(C$1,'2-3 引出列表'!$A$1:$CD$1,0)),""))</f>
        <v>7091.66</v>
      </c>
      <c r="D588" t="str">
        <f>IF(ISBLANK(IFERROR(INDEX('2-3 引出列表'!$A$2:$CE$8700,$A588,MATCH(D$1,'2-3 引出列表'!$A$1:$CD$1,0)),"")),"",IFERROR(INDEX('2-3 引出列表'!$A$2:$CE$8700,$A588,MATCH(D$1,'2-3 引出列表'!$A$1:$CD$1,0)),""))</f>
        <v>已付款</v>
      </c>
      <c r="E588" t="str">
        <f>IF(ISBLANK(IFERROR(INDEX('2-3 引出列表'!$A$2:$CE$8700,$A588,MATCH(E$1,'2-3 引出列表'!$A$1:$CD$1,0)),"")),"",IFERROR(INDEX('2-3 引出列表'!$A$2:$CE$8700,$A588,MATCH(E$1,'2-3 引出列表'!$A$1:$CD$1,0)),""))</f>
        <v>2025-04-29</v>
      </c>
      <c r="F588" s="30" t="str">
        <f t="shared" si="9"/>
        <v>2025-04</v>
      </c>
      <c r="G588" t="str">
        <f>IF(ISBLANK(IFERROR(INDEX('2-3 引出列表'!$A$2:$CE$8700,$A588,MATCH(G$1,'2-3 引出列表'!$A$1:$CD$1,0)),"")),"",IFERROR(INDEX('2-3 引出列表'!$A$2:$CE$8700,$A588,MATCH(G$1,'2-3 引出列表'!$A$1:$CD$1,0)),""))</f>
        <v>物料消耗.物料消耗</v>
      </c>
      <c r="H588">
        <f>IF(ISBLANK(IFERROR(INDEX('2-3 引出列表'!$A$2:$CE$8700,$A588,MATCH(H$1,'2-3 引出列表'!$A$1:$CD$1,0)),"")),"",IFERROR(INDEX('2-3 引出列表'!$A$2:$CE$8700,$A588,MATCH(H$1,'2-3 引出列表'!$A$1:$CD$1,0)),""))</f>
        <v>0</v>
      </c>
      <c r="I588" t="str">
        <f>IF(ISBLANK(IFERROR(INDEX('2-3 引出列表'!$A$2:$CE$8700,$A588,MATCH(I$1,'2-3 引出列表'!$A$1:$CD$1,0)),"")),"",IFERROR(INDEX('2-3 引出列表'!$A$2:$CE$8700,$A588,MATCH(I$1,'2-3 引出列表'!$A$1:$CD$1,0)),""))</f>
        <v>金采易购</v>
      </c>
    </row>
    <row r="589" spans="1:9">
      <c r="A589">
        <v>588</v>
      </c>
      <c r="B589" t="str">
        <f>IF(ISBLANK(IFERROR(INDEX('2-3 引出列表'!$A$2:$CE$8700,$A589,MATCH(B$1,'2-3 引出列表'!$A$1:$CD$1,0)),"")),"",IFERROR(INDEX('2-3 引出列表'!$A$2:$CE$8700,$A589,MATCH(B$1,'2-3 引出列表'!$A$1:$CD$1,0)),""))</f>
        <v>FK250120000575</v>
      </c>
      <c r="C589">
        <f>IF(ISBLANK(IFERROR(INDEX('2-3 引出列表'!$A$2:$CE$8700,$A589,MATCH(C$1,'2-3 引出列表'!$A$1:$CD$1,0)),"")),"",IFERROR(INDEX('2-3 引出列表'!$A$2:$CE$8700,$A589,MATCH(C$1,'2-3 引出列表'!$A$1:$CD$1,0)),""))</f>
        <v>7091.66</v>
      </c>
      <c r="D589" t="str">
        <f>IF(ISBLANK(IFERROR(INDEX('2-3 引出列表'!$A$2:$CE$8700,$A589,MATCH(D$1,'2-3 引出列表'!$A$1:$CD$1,0)),"")),"",IFERROR(INDEX('2-3 引出列表'!$A$2:$CE$8700,$A589,MATCH(D$1,'2-3 引出列表'!$A$1:$CD$1,0)),""))</f>
        <v>已付款</v>
      </c>
      <c r="E589" t="str">
        <f>IF(ISBLANK(IFERROR(INDEX('2-3 引出列表'!$A$2:$CE$8700,$A589,MATCH(E$1,'2-3 引出列表'!$A$1:$CD$1,0)),"")),"",IFERROR(INDEX('2-3 引出列表'!$A$2:$CE$8700,$A589,MATCH(E$1,'2-3 引出列表'!$A$1:$CD$1,0)),""))</f>
        <v>2025-04-29</v>
      </c>
      <c r="F589" s="30" t="str">
        <f t="shared" si="9"/>
        <v>2025-04</v>
      </c>
      <c r="G589" t="str">
        <f>IF(ISBLANK(IFERROR(INDEX('2-3 引出列表'!$A$2:$CE$8700,$A589,MATCH(G$1,'2-3 引出列表'!$A$1:$CD$1,0)),"")),"",IFERROR(INDEX('2-3 引出列表'!$A$2:$CE$8700,$A589,MATCH(G$1,'2-3 引出列表'!$A$1:$CD$1,0)),""))</f>
        <v>物料消耗.物料消耗</v>
      </c>
      <c r="H589">
        <f>IF(ISBLANK(IFERROR(INDEX('2-3 引出列表'!$A$2:$CE$8700,$A589,MATCH(H$1,'2-3 引出列表'!$A$1:$CD$1,0)),"")),"",IFERROR(INDEX('2-3 引出列表'!$A$2:$CE$8700,$A589,MATCH(H$1,'2-3 引出列表'!$A$1:$CD$1,0)),""))</f>
        <v>0</v>
      </c>
      <c r="I589" t="str">
        <f>IF(ISBLANK(IFERROR(INDEX('2-3 引出列表'!$A$2:$CE$8700,$A589,MATCH(I$1,'2-3 引出列表'!$A$1:$CD$1,0)),"")),"",IFERROR(INDEX('2-3 引出列表'!$A$2:$CE$8700,$A589,MATCH(I$1,'2-3 引出列表'!$A$1:$CD$1,0)),""))</f>
        <v>金采易购</v>
      </c>
    </row>
    <row r="590" spans="1:9">
      <c r="A590">
        <v>589</v>
      </c>
      <c r="B590" t="str">
        <f>IF(ISBLANK(IFERROR(INDEX('2-3 引出列表'!$A$2:$CE$8700,$A590,MATCH(B$1,'2-3 引出列表'!$A$1:$CD$1,0)),"")),"",IFERROR(INDEX('2-3 引出列表'!$A$2:$CE$8700,$A590,MATCH(B$1,'2-3 引出列表'!$A$1:$CD$1,0)),""))</f>
        <v>FK250120000575</v>
      </c>
      <c r="C590">
        <f>IF(ISBLANK(IFERROR(INDEX('2-3 引出列表'!$A$2:$CE$8700,$A590,MATCH(C$1,'2-3 引出列表'!$A$1:$CD$1,0)),"")),"",IFERROR(INDEX('2-3 引出列表'!$A$2:$CE$8700,$A590,MATCH(C$1,'2-3 引出列表'!$A$1:$CD$1,0)),""))</f>
        <v>7091.66</v>
      </c>
      <c r="D590" t="str">
        <f>IF(ISBLANK(IFERROR(INDEX('2-3 引出列表'!$A$2:$CE$8700,$A590,MATCH(D$1,'2-3 引出列表'!$A$1:$CD$1,0)),"")),"",IFERROR(INDEX('2-3 引出列表'!$A$2:$CE$8700,$A590,MATCH(D$1,'2-3 引出列表'!$A$1:$CD$1,0)),""))</f>
        <v>已付款</v>
      </c>
      <c r="E590" t="str">
        <f>IF(ISBLANK(IFERROR(INDEX('2-3 引出列表'!$A$2:$CE$8700,$A590,MATCH(E$1,'2-3 引出列表'!$A$1:$CD$1,0)),"")),"",IFERROR(INDEX('2-3 引出列表'!$A$2:$CE$8700,$A590,MATCH(E$1,'2-3 引出列表'!$A$1:$CD$1,0)),""))</f>
        <v>2025-04-29</v>
      </c>
      <c r="F590" s="30" t="str">
        <f t="shared" si="9"/>
        <v>2025-04</v>
      </c>
      <c r="G590" t="str">
        <f>IF(ISBLANK(IFERROR(INDEX('2-3 引出列表'!$A$2:$CE$8700,$A590,MATCH(G$1,'2-3 引出列表'!$A$1:$CD$1,0)),"")),"",IFERROR(INDEX('2-3 引出列表'!$A$2:$CE$8700,$A590,MATCH(G$1,'2-3 引出列表'!$A$1:$CD$1,0)),""))</f>
        <v>物料消耗.物料消耗</v>
      </c>
      <c r="H590">
        <f>IF(ISBLANK(IFERROR(INDEX('2-3 引出列表'!$A$2:$CE$8700,$A590,MATCH(H$1,'2-3 引出列表'!$A$1:$CD$1,0)),"")),"",IFERROR(INDEX('2-3 引出列表'!$A$2:$CE$8700,$A590,MATCH(H$1,'2-3 引出列表'!$A$1:$CD$1,0)),""))</f>
        <v>0</v>
      </c>
      <c r="I590" t="str">
        <f>IF(ISBLANK(IFERROR(INDEX('2-3 引出列表'!$A$2:$CE$8700,$A590,MATCH(I$1,'2-3 引出列表'!$A$1:$CD$1,0)),"")),"",IFERROR(INDEX('2-3 引出列表'!$A$2:$CE$8700,$A590,MATCH(I$1,'2-3 引出列表'!$A$1:$CD$1,0)),""))</f>
        <v>金采易购</v>
      </c>
    </row>
    <row r="591" spans="1:9">
      <c r="A591">
        <v>590</v>
      </c>
      <c r="B591" t="str">
        <f>IF(ISBLANK(IFERROR(INDEX('2-3 引出列表'!$A$2:$CE$8700,$A591,MATCH(B$1,'2-3 引出列表'!$A$1:$CD$1,0)),"")),"",IFERROR(INDEX('2-3 引出列表'!$A$2:$CE$8700,$A591,MATCH(B$1,'2-3 引出列表'!$A$1:$CD$1,0)),""))</f>
        <v>FK250120000575</v>
      </c>
      <c r="C591">
        <f>IF(ISBLANK(IFERROR(INDEX('2-3 引出列表'!$A$2:$CE$8700,$A591,MATCH(C$1,'2-3 引出列表'!$A$1:$CD$1,0)),"")),"",IFERROR(INDEX('2-3 引出列表'!$A$2:$CE$8700,$A591,MATCH(C$1,'2-3 引出列表'!$A$1:$CD$1,0)),""))</f>
        <v>7091.66</v>
      </c>
      <c r="D591" t="str">
        <f>IF(ISBLANK(IFERROR(INDEX('2-3 引出列表'!$A$2:$CE$8700,$A591,MATCH(D$1,'2-3 引出列表'!$A$1:$CD$1,0)),"")),"",IFERROR(INDEX('2-3 引出列表'!$A$2:$CE$8700,$A591,MATCH(D$1,'2-3 引出列表'!$A$1:$CD$1,0)),""))</f>
        <v>已付款</v>
      </c>
      <c r="E591" t="str">
        <f>IF(ISBLANK(IFERROR(INDEX('2-3 引出列表'!$A$2:$CE$8700,$A591,MATCH(E$1,'2-3 引出列表'!$A$1:$CD$1,0)),"")),"",IFERROR(INDEX('2-3 引出列表'!$A$2:$CE$8700,$A591,MATCH(E$1,'2-3 引出列表'!$A$1:$CD$1,0)),""))</f>
        <v>2025-04-29</v>
      </c>
      <c r="F591" s="30" t="str">
        <f t="shared" si="9"/>
        <v>2025-04</v>
      </c>
      <c r="G591" t="str">
        <f>IF(ISBLANK(IFERROR(INDEX('2-3 引出列表'!$A$2:$CE$8700,$A591,MATCH(G$1,'2-3 引出列表'!$A$1:$CD$1,0)),"")),"",IFERROR(INDEX('2-3 引出列表'!$A$2:$CE$8700,$A591,MATCH(G$1,'2-3 引出列表'!$A$1:$CD$1,0)),""))</f>
        <v>物料消耗.物料消耗</v>
      </c>
      <c r="H591">
        <f>IF(ISBLANK(IFERROR(INDEX('2-3 引出列表'!$A$2:$CE$8700,$A591,MATCH(H$1,'2-3 引出列表'!$A$1:$CD$1,0)),"")),"",IFERROR(INDEX('2-3 引出列表'!$A$2:$CE$8700,$A591,MATCH(H$1,'2-3 引出列表'!$A$1:$CD$1,0)),""))</f>
        <v>0</v>
      </c>
      <c r="I591" t="str">
        <f>IF(ISBLANK(IFERROR(INDEX('2-3 引出列表'!$A$2:$CE$8700,$A591,MATCH(I$1,'2-3 引出列表'!$A$1:$CD$1,0)),"")),"",IFERROR(INDEX('2-3 引出列表'!$A$2:$CE$8700,$A591,MATCH(I$1,'2-3 引出列表'!$A$1:$CD$1,0)),""))</f>
        <v>金采易购</v>
      </c>
    </row>
    <row r="592" spans="1:9">
      <c r="A592">
        <v>591</v>
      </c>
      <c r="B592" t="str">
        <f>IF(ISBLANK(IFERROR(INDEX('2-3 引出列表'!$A$2:$CE$8700,$A592,MATCH(B$1,'2-3 引出列表'!$A$1:$CD$1,0)),"")),"",IFERROR(INDEX('2-3 引出列表'!$A$2:$CE$8700,$A592,MATCH(B$1,'2-3 引出列表'!$A$1:$CD$1,0)),""))</f>
        <v>FK250120000487</v>
      </c>
      <c r="C592">
        <f>IF(ISBLANK(IFERROR(INDEX('2-3 引出列表'!$A$2:$CE$8700,$A592,MATCH(C$1,'2-3 引出列表'!$A$1:$CD$1,0)),"")),"",IFERROR(INDEX('2-3 引出列表'!$A$2:$CE$8700,$A592,MATCH(C$1,'2-3 引出列表'!$A$1:$CD$1,0)),""))</f>
        <v>13295.19</v>
      </c>
      <c r="D592" t="str">
        <f>IF(ISBLANK(IFERROR(INDEX('2-3 引出列表'!$A$2:$CE$8700,$A592,MATCH(D$1,'2-3 引出列表'!$A$1:$CD$1,0)),"")),"",IFERROR(INDEX('2-3 引出列表'!$A$2:$CE$8700,$A592,MATCH(D$1,'2-3 引出列表'!$A$1:$CD$1,0)),""))</f>
        <v>已付款</v>
      </c>
      <c r="E592" t="str">
        <f>IF(ISBLANK(IFERROR(INDEX('2-3 引出列表'!$A$2:$CE$8700,$A592,MATCH(E$1,'2-3 引出列表'!$A$1:$CD$1,0)),"")),"",IFERROR(INDEX('2-3 引出列表'!$A$2:$CE$8700,$A592,MATCH(E$1,'2-3 引出列表'!$A$1:$CD$1,0)),""))</f>
        <v>2025-04-29</v>
      </c>
      <c r="F592" s="30" t="str">
        <f t="shared" si="9"/>
        <v>2025-04</v>
      </c>
      <c r="G592" t="str">
        <f>IF(ISBLANK(IFERROR(INDEX('2-3 引出列表'!$A$2:$CE$8700,$A592,MATCH(G$1,'2-3 引出列表'!$A$1:$CD$1,0)),"")),"",IFERROR(INDEX('2-3 引出列表'!$A$2:$CE$8700,$A592,MATCH(G$1,'2-3 引出列表'!$A$1:$CD$1,0)),""))</f>
        <v>物料消耗.物料消耗</v>
      </c>
      <c r="H592" t="str">
        <f>IF(ISBLANK(IFERROR(INDEX('2-3 引出列表'!$A$2:$CE$8700,$A592,MATCH(H$1,'2-3 引出列表'!$A$1:$CD$1,0)),"")),"",IFERROR(INDEX('2-3 引出列表'!$A$2:$CE$8700,$A592,MATCH(H$1,'2-3 引出列表'!$A$1:$CD$1,0)),""))</f>
        <v>ZB20210901JCWZ02</v>
      </c>
      <c r="I592" t="str">
        <f>IF(ISBLANK(IFERROR(INDEX('2-3 引出列表'!$A$2:$CE$8700,$A592,MATCH(I$1,'2-3 引出列表'!$A$1:$CD$1,0)),"")),"",IFERROR(INDEX('2-3 引出列表'!$A$2:$CE$8700,$A592,MATCH(I$1,'2-3 引出列表'!$A$1:$CD$1,0)),""))</f>
        <v>金采易购</v>
      </c>
    </row>
    <row r="593" spans="1:9">
      <c r="A593">
        <v>592</v>
      </c>
      <c r="B593" t="str">
        <f>IF(ISBLANK(IFERROR(INDEX('2-3 引出列表'!$A$2:$CE$8700,$A593,MATCH(B$1,'2-3 引出列表'!$A$1:$CD$1,0)),"")),"",IFERROR(INDEX('2-3 引出列表'!$A$2:$CE$8700,$A593,MATCH(B$1,'2-3 引出列表'!$A$1:$CD$1,0)),""))</f>
        <v>FK250120000487</v>
      </c>
      <c r="C593">
        <f>IF(ISBLANK(IFERROR(INDEX('2-3 引出列表'!$A$2:$CE$8700,$A593,MATCH(C$1,'2-3 引出列表'!$A$1:$CD$1,0)),"")),"",IFERROR(INDEX('2-3 引出列表'!$A$2:$CE$8700,$A593,MATCH(C$1,'2-3 引出列表'!$A$1:$CD$1,0)),""))</f>
        <v>13295.19</v>
      </c>
      <c r="D593" t="str">
        <f>IF(ISBLANK(IFERROR(INDEX('2-3 引出列表'!$A$2:$CE$8700,$A593,MATCH(D$1,'2-3 引出列表'!$A$1:$CD$1,0)),"")),"",IFERROR(INDEX('2-3 引出列表'!$A$2:$CE$8700,$A593,MATCH(D$1,'2-3 引出列表'!$A$1:$CD$1,0)),""))</f>
        <v>已付款</v>
      </c>
      <c r="E593" t="str">
        <f>IF(ISBLANK(IFERROR(INDEX('2-3 引出列表'!$A$2:$CE$8700,$A593,MATCH(E$1,'2-3 引出列表'!$A$1:$CD$1,0)),"")),"",IFERROR(INDEX('2-3 引出列表'!$A$2:$CE$8700,$A593,MATCH(E$1,'2-3 引出列表'!$A$1:$CD$1,0)),""))</f>
        <v>2025-04-29</v>
      </c>
      <c r="F593" s="30" t="str">
        <f t="shared" si="9"/>
        <v>2025-04</v>
      </c>
      <c r="G593" t="str">
        <f>IF(ISBLANK(IFERROR(INDEX('2-3 引出列表'!$A$2:$CE$8700,$A593,MATCH(G$1,'2-3 引出列表'!$A$1:$CD$1,0)),"")),"",IFERROR(INDEX('2-3 引出列表'!$A$2:$CE$8700,$A593,MATCH(G$1,'2-3 引出列表'!$A$1:$CD$1,0)),""))</f>
        <v>物料消耗.物料消耗</v>
      </c>
      <c r="H593" t="str">
        <f>IF(ISBLANK(IFERROR(INDEX('2-3 引出列表'!$A$2:$CE$8700,$A593,MATCH(H$1,'2-3 引出列表'!$A$1:$CD$1,0)),"")),"",IFERROR(INDEX('2-3 引出列表'!$A$2:$CE$8700,$A593,MATCH(H$1,'2-3 引出列表'!$A$1:$CD$1,0)),""))</f>
        <v>ZB20210901JCWZ02</v>
      </c>
      <c r="I593" t="str">
        <f>IF(ISBLANK(IFERROR(INDEX('2-3 引出列表'!$A$2:$CE$8700,$A593,MATCH(I$1,'2-3 引出列表'!$A$1:$CD$1,0)),"")),"",IFERROR(INDEX('2-3 引出列表'!$A$2:$CE$8700,$A593,MATCH(I$1,'2-3 引出列表'!$A$1:$CD$1,0)),""))</f>
        <v>金采易购</v>
      </c>
    </row>
    <row r="594" spans="1:9">
      <c r="A594">
        <v>593</v>
      </c>
      <c r="B594" t="str">
        <f>IF(ISBLANK(IFERROR(INDEX('2-3 引出列表'!$A$2:$CE$8700,$A594,MATCH(B$1,'2-3 引出列表'!$A$1:$CD$1,0)),"")),"",IFERROR(INDEX('2-3 引出列表'!$A$2:$CE$8700,$A594,MATCH(B$1,'2-3 引出列表'!$A$1:$CD$1,0)),""))</f>
        <v>FK250120000487</v>
      </c>
      <c r="C594">
        <f>IF(ISBLANK(IFERROR(INDEX('2-3 引出列表'!$A$2:$CE$8700,$A594,MATCH(C$1,'2-3 引出列表'!$A$1:$CD$1,0)),"")),"",IFERROR(INDEX('2-3 引出列表'!$A$2:$CE$8700,$A594,MATCH(C$1,'2-3 引出列表'!$A$1:$CD$1,0)),""))</f>
        <v>13295.19</v>
      </c>
      <c r="D594" t="str">
        <f>IF(ISBLANK(IFERROR(INDEX('2-3 引出列表'!$A$2:$CE$8700,$A594,MATCH(D$1,'2-3 引出列表'!$A$1:$CD$1,0)),"")),"",IFERROR(INDEX('2-3 引出列表'!$A$2:$CE$8700,$A594,MATCH(D$1,'2-3 引出列表'!$A$1:$CD$1,0)),""))</f>
        <v>已付款</v>
      </c>
      <c r="E594" t="str">
        <f>IF(ISBLANK(IFERROR(INDEX('2-3 引出列表'!$A$2:$CE$8700,$A594,MATCH(E$1,'2-3 引出列表'!$A$1:$CD$1,0)),"")),"",IFERROR(INDEX('2-3 引出列表'!$A$2:$CE$8700,$A594,MATCH(E$1,'2-3 引出列表'!$A$1:$CD$1,0)),""))</f>
        <v>2025-04-29</v>
      </c>
      <c r="F594" s="30" t="str">
        <f t="shared" si="9"/>
        <v>2025-04</v>
      </c>
      <c r="G594" t="str">
        <f>IF(ISBLANK(IFERROR(INDEX('2-3 引出列表'!$A$2:$CE$8700,$A594,MATCH(G$1,'2-3 引出列表'!$A$1:$CD$1,0)),"")),"",IFERROR(INDEX('2-3 引出列表'!$A$2:$CE$8700,$A594,MATCH(G$1,'2-3 引出列表'!$A$1:$CD$1,0)),""))</f>
        <v>物料消耗.物料消耗</v>
      </c>
      <c r="H594" t="str">
        <f>IF(ISBLANK(IFERROR(INDEX('2-3 引出列表'!$A$2:$CE$8700,$A594,MATCH(H$1,'2-3 引出列表'!$A$1:$CD$1,0)),"")),"",IFERROR(INDEX('2-3 引出列表'!$A$2:$CE$8700,$A594,MATCH(H$1,'2-3 引出列表'!$A$1:$CD$1,0)),""))</f>
        <v>ZB20210901JCWZ02</v>
      </c>
      <c r="I594" t="str">
        <f>IF(ISBLANK(IFERROR(INDEX('2-3 引出列表'!$A$2:$CE$8700,$A594,MATCH(I$1,'2-3 引出列表'!$A$1:$CD$1,0)),"")),"",IFERROR(INDEX('2-3 引出列表'!$A$2:$CE$8700,$A594,MATCH(I$1,'2-3 引出列表'!$A$1:$CD$1,0)),""))</f>
        <v>金采易购</v>
      </c>
    </row>
    <row r="595" spans="1:9">
      <c r="A595">
        <v>594</v>
      </c>
      <c r="B595" t="str">
        <f>IF(ISBLANK(IFERROR(INDEX('2-3 引出列表'!$A$2:$CE$8700,$A595,MATCH(B$1,'2-3 引出列表'!$A$1:$CD$1,0)),"")),"",IFERROR(INDEX('2-3 引出列表'!$A$2:$CE$8700,$A595,MATCH(B$1,'2-3 引出列表'!$A$1:$CD$1,0)),""))</f>
        <v>FK250120000487</v>
      </c>
      <c r="C595">
        <f>IF(ISBLANK(IFERROR(INDEX('2-3 引出列表'!$A$2:$CE$8700,$A595,MATCH(C$1,'2-3 引出列表'!$A$1:$CD$1,0)),"")),"",IFERROR(INDEX('2-3 引出列表'!$A$2:$CE$8700,$A595,MATCH(C$1,'2-3 引出列表'!$A$1:$CD$1,0)),""))</f>
        <v>13295.19</v>
      </c>
      <c r="D595" t="str">
        <f>IF(ISBLANK(IFERROR(INDEX('2-3 引出列表'!$A$2:$CE$8700,$A595,MATCH(D$1,'2-3 引出列表'!$A$1:$CD$1,0)),"")),"",IFERROR(INDEX('2-3 引出列表'!$A$2:$CE$8700,$A595,MATCH(D$1,'2-3 引出列表'!$A$1:$CD$1,0)),""))</f>
        <v>已付款</v>
      </c>
      <c r="E595" t="str">
        <f>IF(ISBLANK(IFERROR(INDEX('2-3 引出列表'!$A$2:$CE$8700,$A595,MATCH(E$1,'2-3 引出列表'!$A$1:$CD$1,0)),"")),"",IFERROR(INDEX('2-3 引出列表'!$A$2:$CE$8700,$A595,MATCH(E$1,'2-3 引出列表'!$A$1:$CD$1,0)),""))</f>
        <v>2025-04-29</v>
      </c>
      <c r="F595" s="30" t="str">
        <f t="shared" si="9"/>
        <v>2025-04</v>
      </c>
      <c r="G595" t="str">
        <f>IF(ISBLANK(IFERROR(INDEX('2-3 引出列表'!$A$2:$CE$8700,$A595,MATCH(G$1,'2-3 引出列表'!$A$1:$CD$1,0)),"")),"",IFERROR(INDEX('2-3 引出列表'!$A$2:$CE$8700,$A595,MATCH(G$1,'2-3 引出列表'!$A$1:$CD$1,0)),""))</f>
        <v>物料消耗.物料消耗</v>
      </c>
      <c r="H595" t="str">
        <f>IF(ISBLANK(IFERROR(INDEX('2-3 引出列表'!$A$2:$CE$8700,$A595,MATCH(H$1,'2-3 引出列表'!$A$1:$CD$1,0)),"")),"",IFERROR(INDEX('2-3 引出列表'!$A$2:$CE$8700,$A595,MATCH(H$1,'2-3 引出列表'!$A$1:$CD$1,0)),""))</f>
        <v>ZB20210901JCWZ02</v>
      </c>
      <c r="I595" t="str">
        <f>IF(ISBLANK(IFERROR(INDEX('2-3 引出列表'!$A$2:$CE$8700,$A595,MATCH(I$1,'2-3 引出列表'!$A$1:$CD$1,0)),"")),"",IFERROR(INDEX('2-3 引出列表'!$A$2:$CE$8700,$A595,MATCH(I$1,'2-3 引出列表'!$A$1:$CD$1,0)),""))</f>
        <v>金采易购</v>
      </c>
    </row>
    <row r="596" spans="1:9">
      <c r="A596">
        <v>595</v>
      </c>
      <c r="B596" t="str">
        <f>IF(ISBLANK(IFERROR(INDEX('2-3 引出列表'!$A$2:$CE$8700,$A596,MATCH(B$1,'2-3 引出列表'!$A$1:$CD$1,0)),"")),"",IFERROR(INDEX('2-3 引出列表'!$A$2:$CE$8700,$A596,MATCH(B$1,'2-3 引出列表'!$A$1:$CD$1,0)),""))</f>
        <v>FK250120000487</v>
      </c>
      <c r="C596">
        <f>IF(ISBLANK(IFERROR(INDEX('2-3 引出列表'!$A$2:$CE$8700,$A596,MATCH(C$1,'2-3 引出列表'!$A$1:$CD$1,0)),"")),"",IFERROR(INDEX('2-3 引出列表'!$A$2:$CE$8700,$A596,MATCH(C$1,'2-3 引出列表'!$A$1:$CD$1,0)),""))</f>
        <v>13295.19</v>
      </c>
      <c r="D596" t="str">
        <f>IF(ISBLANK(IFERROR(INDEX('2-3 引出列表'!$A$2:$CE$8700,$A596,MATCH(D$1,'2-3 引出列表'!$A$1:$CD$1,0)),"")),"",IFERROR(INDEX('2-3 引出列表'!$A$2:$CE$8700,$A596,MATCH(D$1,'2-3 引出列表'!$A$1:$CD$1,0)),""))</f>
        <v>已付款</v>
      </c>
      <c r="E596" t="str">
        <f>IF(ISBLANK(IFERROR(INDEX('2-3 引出列表'!$A$2:$CE$8700,$A596,MATCH(E$1,'2-3 引出列表'!$A$1:$CD$1,0)),"")),"",IFERROR(INDEX('2-3 引出列表'!$A$2:$CE$8700,$A596,MATCH(E$1,'2-3 引出列表'!$A$1:$CD$1,0)),""))</f>
        <v>2025-04-29</v>
      </c>
      <c r="F596" s="30" t="str">
        <f t="shared" si="9"/>
        <v>2025-04</v>
      </c>
      <c r="G596" t="str">
        <f>IF(ISBLANK(IFERROR(INDEX('2-3 引出列表'!$A$2:$CE$8700,$A596,MATCH(G$1,'2-3 引出列表'!$A$1:$CD$1,0)),"")),"",IFERROR(INDEX('2-3 引出列表'!$A$2:$CE$8700,$A596,MATCH(G$1,'2-3 引出列表'!$A$1:$CD$1,0)),""))</f>
        <v>物料消耗.物料消耗</v>
      </c>
      <c r="H596" t="str">
        <f>IF(ISBLANK(IFERROR(INDEX('2-3 引出列表'!$A$2:$CE$8700,$A596,MATCH(H$1,'2-3 引出列表'!$A$1:$CD$1,0)),"")),"",IFERROR(INDEX('2-3 引出列表'!$A$2:$CE$8700,$A596,MATCH(H$1,'2-3 引出列表'!$A$1:$CD$1,0)),""))</f>
        <v>ZB20210901JCWZ02</v>
      </c>
      <c r="I596" t="str">
        <f>IF(ISBLANK(IFERROR(INDEX('2-3 引出列表'!$A$2:$CE$8700,$A596,MATCH(I$1,'2-3 引出列表'!$A$1:$CD$1,0)),"")),"",IFERROR(INDEX('2-3 引出列表'!$A$2:$CE$8700,$A596,MATCH(I$1,'2-3 引出列表'!$A$1:$CD$1,0)),""))</f>
        <v>金采易购</v>
      </c>
    </row>
    <row r="597" spans="1:9">
      <c r="A597">
        <v>596</v>
      </c>
      <c r="B597" t="str">
        <f>IF(ISBLANK(IFERROR(INDEX('2-3 引出列表'!$A$2:$CE$8700,$A597,MATCH(B$1,'2-3 引出列表'!$A$1:$CD$1,0)),"")),"",IFERROR(INDEX('2-3 引出列表'!$A$2:$CE$8700,$A597,MATCH(B$1,'2-3 引出列表'!$A$1:$CD$1,0)),""))</f>
        <v>FK250120000487</v>
      </c>
      <c r="C597">
        <f>IF(ISBLANK(IFERROR(INDEX('2-3 引出列表'!$A$2:$CE$8700,$A597,MATCH(C$1,'2-3 引出列表'!$A$1:$CD$1,0)),"")),"",IFERROR(INDEX('2-3 引出列表'!$A$2:$CE$8700,$A597,MATCH(C$1,'2-3 引出列表'!$A$1:$CD$1,0)),""))</f>
        <v>13295.19</v>
      </c>
      <c r="D597" t="str">
        <f>IF(ISBLANK(IFERROR(INDEX('2-3 引出列表'!$A$2:$CE$8700,$A597,MATCH(D$1,'2-3 引出列表'!$A$1:$CD$1,0)),"")),"",IFERROR(INDEX('2-3 引出列表'!$A$2:$CE$8700,$A597,MATCH(D$1,'2-3 引出列表'!$A$1:$CD$1,0)),""))</f>
        <v>已付款</v>
      </c>
      <c r="E597" t="str">
        <f>IF(ISBLANK(IFERROR(INDEX('2-3 引出列表'!$A$2:$CE$8700,$A597,MATCH(E$1,'2-3 引出列表'!$A$1:$CD$1,0)),"")),"",IFERROR(INDEX('2-3 引出列表'!$A$2:$CE$8700,$A597,MATCH(E$1,'2-3 引出列表'!$A$1:$CD$1,0)),""))</f>
        <v>2025-04-29</v>
      </c>
      <c r="F597" s="30" t="str">
        <f t="shared" si="9"/>
        <v>2025-04</v>
      </c>
      <c r="G597" t="str">
        <f>IF(ISBLANK(IFERROR(INDEX('2-3 引出列表'!$A$2:$CE$8700,$A597,MATCH(G$1,'2-3 引出列表'!$A$1:$CD$1,0)),"")),"",IFERROR(INDEX('2-3 引出列表'!$A$2:$CE$8700,$A597,MATCH(G$1,'2-3 引出列表'!$A$1:$CD$1,0)),""))</f>
        <v>物料消耗.物料消耗</v>
      </c>
      <c r="H597" t="str">
        <f>IF(ISBLANK(IFERROR(INDEX('2-3 引出列表'!$A$2:$CE$8700,$A597,MATCH(H$1,'2-3 引出列表'!$A$1:$CD$1,0)),"")),"",IFERROR(INDEX('2-3 引出列表'!$A$2:$CE$8700,$A597,MATCH(H$1,'2-3 引出列表'!$A$1:$CD$1,0)),""))</f>
        <v>ZB20210901JCWZ02</v>
      </c>
      <c r="I597" t="str">
        <f>IF(ISBLANK(IFERROR(INDEX('2-3 引出列表'!$A$2:$CE$8700,$A597,MATCH(I$1,'2-3 引出列表'!$A$1:$CD$1,0)),"")),"",IFERROR(INDEX('2-3 引出列表'!$A$2:$CE$8700,$A597,MATCH(I$1,'2-3 引出列表'!$A$1:$CD$1,0)),""))</f>
        <v>金采易购</v>
      </c>
    </row>
    <row r="598" spans="1:9">
      <c r="A598">
        <v>597</v>
      </c>
      <c r="B598" t="str">
        <f>IF(ISBLANK(IFERROR(INDEX('2-3 引出列表'!$A$2:$CE$8700,$A598,MATCH(B$1,'2-3 引出列表'!$A$1:$CD$1,0)),"")),"",IFERROR(INDEX('2-3 引出列表'!$A$2:$CE$8700,$A598,MATCH(B$1,'2-3 引出列表'!$A$1:$CD$1,0)),""))</f>
        <v>FK250120000487</v>
      </c>
      <c r="C598">
        <f>IF(ISBLANK(IFERROR(INDEX('2-3 引出列表'!$A$2:$CE$8700,$A598,MATCH(C$1,'2-3 引出列表'!$A$1:$CD$1,0)),"")),"",IFERROR(INDEX('2-3 引出列表'!$A$2:$CE$8700,$A598,MATCH(C$1,'2-3 引出列表'!$A$1:$CD$1,0)),""))</f>
        <v>13295.19</v>
      </c>
      <c r="D598" t="str">
        <f>IF(ISBLANK(IFERROR(INDEX('2-3 引出列表'!$A$2:$CE$8700,$A598,MATCH(D$1,'2-3 引出列表'!$A$1:$CD$1,0)),"")),"",IFERROR(INDEX('2-3 引出列表'!$A$2:$CE$8700,$A598,MATCH(D$1,'2-3 引出列表'!$A$1:$CD$1,0)),""))</f>
        <v>已付款</v>
      </c>
      <c r="E598" t="str">
        <f>IF(ISBLANK(IFERROR(INDEX('2-3 引出列表'!$A$2:$CE$8700,$A598,MATCH(E$1,'2-3 引出列表'!$A$1:$CD$1,0)),"")),"",IFERROR(INDEX('2-3 引出列表'!$A$2:$CE$8700,$A598,MATCH(E$1,'2-3 引出列表'!$A$1:$CD$1,0)),""))</f>
        <v>2025-04-29</v>
      </c>
      <c r="F598" s="30" t="str">
        <f t="shared" si="9"/>
        <v>2025-04</v>
      </c>
      <c r="G598" t="str">
        <f>IF(ISBLANK(IFERROR(INDEX('2-3 引出列表'!$A$2:$CE$8700,$A598,MATCH(G$1,'2-3 引出列表'!$A$1:$CD$1,0)),"")),"",IFERROR(INDEX('2-3 引出列表'!$A$2:$CE$8700,$A598,MATCH(G$1,'2-3 引出列表'!$A$1:$CD$1,0)),""))</f>
        <v>物料消耗.物料消耗</v>
      </c>
      <c r="H598" t="str">
        <f>IF(ISBLANK(IFERROR(INDEX('2-3 引出列表'!$A$2:$CE$8700,$A598,MATCH(H$1,'2-3 引出列表'!$A$1:$CD$1,0)),"")),"",IFERROR(INDEX('2-3 引出列表'!$A$2:$CE$8700,$A598,MATCH(H$1,'2-3 引出列表'!$A$1:$CD$1,0)),""))</f>
        <v>ZB20210901JCWZ02</v>
      </c>
      <c r="I598" t="str">
        <f>IF(ISBLANK(IFERROR(INDEX('2-3 引出列表'!$A$2:$CE$8700,$A598,MATCH(I$1,'2-3 引出列表'!$A$1:$CD$1,0)),"")),"",IFERROR(INDEX('2-3 引出列表'!$A$2:$CE$8700,$A598,MATCH(I$1,'2-3 引出列表'!$A$1:$CD$1,0)),""))</f>
        <v>金采易购</v>
      </c>
    </row>
    <row r="599" spans="1:9">
      <c r="A599">
        <v>598</v>
      </c>
      <c r="B599" t="str">
        <f>IF(ISBLANK(IFERROR(INDEX('2-3 引出列表'!$A$2:$CE$8700,$A599,MATCH(B$1,'2-3 引出列表'!$A$1:$CD$1,0)),"")),"",IFERROR(INDEX('2-3 引出列表'!$A$2:$CE$8700,$A599,MATCH(B$1,'2-3 引出列表'!$A$1:$CD$1,0)),""))</f>
        <v>FK250120000487</v>
      </c>
      <c r="C599">
        <f>IF(ISBLANK(IFERROR(INDEX('2-3 引出列表'!$A$2:$CE$8700,$A599,MATCH(C$1,'2-3 引出列表'!$A$1:$CD$1,0)),"")),"",IFERROR(INDEX('2-3 引出列表'!$A$2:$CE$8700,$A599,MATCH(C$1,'2-3 引出列表'!$A$1:$CD$1,0)),""))</f>
        <v>13295.19</v>
      </c>
      <c r="D599" t="str">
        <f>IF(ISBLANK(IFERROR(INDEX('2-3 引出列表'!$A$2:$CE$8700,$A599,MATCH(D$1,'2-3 引出列表'!$A$1:$CD$1,0)),"")),"",IFERROR(INDEX('2-3 引出列表'!$A$2:$CE$8700,$A599,MATCH(D$1,'2-3 引出列表'!$A$1:$CD$1,0)),""))</f>
        <v>已付款</v>
      </c>
      <c r="E599" t="str">
        <f>IF(ISBLANK(IFERROR(INDEX('2-3 引出列表'!$A$2:$CE$8700,$A599,MATCH(E$1,'2-3 引出列表'!$A$1:$CD$1,0)),"")),"",IFERROR(INDEX('2-3 引出列表'!$A$2:$CE$8700,$A599,MATCH(E$1,'2-3 引出列表'!$A$1:$CD$1,0)),""))</f>
        <v>2025-04-29</v>
      </c>
      <c r="F599" s="30" t="str">
        <f t="shared" si="9"/>
        <v>2025-04</v>
      </c>
      <c r="G599" t="str">
        <f>IF(ISBLANK(IFERROR(INDEX('2-3 引出列表'!$A$2:$CE$8700,$A599,MATCH(G$1,'2-3 引出列表'!$A$1:$CD$1,0)),"")),"",IFERROR(INDEX('2-3 引出列表'!$A$2:$CE$8700,$A599,MATCH(G$1,'2-3 引出列表'!$A$1:$CD$1,0)),""))</f>
        <v>物料消耗.物料消耗</v>
      </c>
      <c r="H599" t="str">
        <f>IF(ISBLANK(IFERROR(INDEX('2-3 引出列表'!$A$2:$CE$8700,$A599,MATCH(H$1,'2-3 引出列表'!$A$1:$CD$1,0)),"")),"",IFERROR(INDEX('2-3 引出列表'!$A$2:$CE$8700,$A599,MATCH(H$1,'2-3 引出列表'!$A$1:$CD$1,0)),""))</f>
        <v>ZB20210901JCWZ02</v>
      </c>
      <c r="I599" t="str">
        <f>IF(ISBLANK(IFERROR(INDEX('2-3 引出列表'!$A$2:$CE$8700,$A599,MATCH(I$1,'2-3 引出列表'!$A$1:$CD$1,0)),"")),"",IFERROR(INDEX('2-3 引出列表'!$A$2:$CE$8700,$A599,MATCH(I$1,'2-3 引出列表'!$A$1:$CD$1,0)),""))</f>
        <v>金采易购</v>
      </c>
    </row>
    <row r="600" spans="1:9">
      <c r="A600">
        <v>599</v>
      </c>
      <c r="B600" t="str">
        <f>IF(ISBLANK(IFERROR(INDEX('2-3 引出列表'!$A$2:$CE$8700,$A600,MATCH(B$1,'2-3 引出列表'!$A$1:$CD$1,0)),"")),"",IFERROR(INDEX('2-3 引出列表'!$A$2:$CE$8700,$A600,MATCH(B$1,'2-3 引出列表'!$A$1:$CD$1,0)),""))</f>
        <v>FK250120000487</v>
      </c>
      <c r="C600">
        <f>IF(ISBLANK(IFERROR(INDEX('2-3 引出列表'!$A$2:$CE$8700,$A600,MATCH(C$1,'2-3 引出列表'!$A$1:$CD$1,0)),"")),"",IFERROR(INDEX('2-3 引出列表'!$A$2:$CE$8700,$A600,MATCH(C$1,'2-3 引出列表'!$A$1:$CD$1,0)),""))</f>
        <v>13295.19</v>
      </c>
      <c r="D600" t="str">
        <f>IF(ISBLANK(IFERROR(INDEX('2-3 引出列表'!$A$2:$CE$8700,$A600,MATCH(D$1,'2-3 引出列表'!$A$1:$CD$1,0)),"")),"",IFERROR(INDEX('2-3 引出列表'!$A$2:$CE$8700,$A600,MATCH(D$1,'2-3 引出列表'!$A$1:$CD$1,0)),""))</f>
        <v>已付款</v>
      </c>
      <c r="E600" t="str">
        <f>IF(ISBLANK(IFERROR(INDEX('2-3 引出列表'!$A$2:$CE$8700,$A600,MATCH(E$1,'2-3 引出列表'!$A$1:$CD$1,0)),"")),"",IFERROR(INDEX('2-3 引出列表'!$A$2:$CE$8700,$A600,MATCH(E$1,'2-3 引出列表'!$A$1:$CD$1,0)),""))</f>
        <v>2025-04-29</v>
      </c>
      <c r="F600" s="30" t="str">
        <f t="shared" si="9"/>
        <v>2025-04</v>
      </c>
      <c r="G600" t="str">
        <f>IF(ISBLANK(IFERROR(INDEX('2-3 引出列表'!$A$2:$CE$8700,$A600,MATCH(G$1,'2-3 引出列表'!$A$1:$CD$1,0)),"")),"",IFERROR(INDEX('2-3 引出列表'!$A$2:$CE$8700,$A600,MATCH(G$1,'2-3 引出列表'!$A$1:$CD$1,0)),""))</f>
        <v>物料消耗.物料消耗</v>
      </c>
      <c r="H600" t="str">
        <f>IF(ISBLANK(IFERROR(INDEX('2-3 引出列表'!$A$2:$CE$8700,$A600,MATCH(H$1,'2-3 引出列表'!$A$1:$CD$1,0)),"")),"",IFERROR(INDEX('2-3 引出列表'!$A$2:$CE$8700,$A600,MATCH(H$1,'2-3 引出列表'!$A$1:$CD$1,0)),""))</f>
        <v>ZB20210901JCWZ02</v>
      </c>
      <c r="I600" t="str">
        <f>IF(ISBLANK(IFERROR(INDEX('2-3 引出列表'!$A$2:$CE$8700,$A600,MATCH(I$1,'2-3 引出列表'!$A$1:$CD$1,0)),"")),"",IFERROR(INDEX('2-3 引出列表'!$A$2:$CE$8700,$A600,MATCH(I$1,'2-3 引出列表'!$A$1:$CD$1,0)),""))</f>
        <v>金采易购</v>
      </c>
    </row>
    <row r="601" spans="1:9">
      <c r="A601">
        <v>600</v>
      </c>
      <c r="B601" t="str">
        <f>IF(ISBLANK(IFERROR(INDEX('2-3 引出列表'!$A$2:$CE$8700,$A601,MATCH(B$1,'2-3 引出列表'!$A$1:$CD$1,0)),"")),"",IFERROR(INDEX('2-3 引出列表'!$A$2:$CE$8700,$A601,MATCH(B$1,'2-3 引出列表'!$A$1:$CD$1,0)),""))</f>
        <v>FK250120000487</v>
      </c>
      <c r="C601">
        <f>IF(ISBLANK(IFERROR(INDEX('2-3 引出列表'!$A$2:$CE$8700,$A601,MATCH(C$1,'2-3 引出列表'!$A$1:$CD$1,0)),"")),"",IFERROR(INDEX('2-3 引出列表'!$A$2:$CE$8700,$A601,MATCH(C$1,'2-3 引出列表'!$A$1:$CD$1,0)),""))</f>
        <v>13295.19</v>
      </c>
      <c r="D601" t="str">
        <f>IF(ISBLANK(IFERROR(INDEX('2-3 引出列表'!$A$2:$CE$8700,$A601,MATCH(D$1,'2-3 引出列表'!$A$1:$CD$1,0)),"")),"",IFERROR(INDEX('2-3 引出列表'!$A$2:$CE$8700,$A601,MATCH(D$1,'2-3 引出列表'!$A$1:$CD$1,0)),""))</f>
        <v>已付款</v>
      </c>
      <c r="E601" t="str">
        <f>IF(ISBLANK(IFERROR(INDEX('2-3 引出列表'!$A$2:$CE$8700,$A601,MATCH(E$1,'2-3 引出列表'!$A$1:$CD$1,0)),"")),"",IFERROR(INDEX('2-3 引出列表'!$A$2:$CE$8700,$A601,MATCH(E$1,'2-3 引出列表'!$A$1:$CD$1,0)),""))</f>
        <v>2025-04-29</v>
      </c>
      <c r="F601" s="30" t="str">
        <f t="shared" si="9"/>
        <v>2025-04</v>
      </c>
      <c r="G601" t="str">
        <f>IF(ISBLANK(IFERROR(INDEX('2-3 引出列表'!$A$2:$CE$8700,$A601,MATCH(G$1,'2-3 引出列表'!$A$1:$CD$1,0)),"")),"",IFERROR(INDEX('2-3 引出列表'!$A$2:$CE$8700,$A601,MATCH(G$1,'2-3 引出列表'!$A$1:$CD$1,0)),""))</f>
        <v>物料消耗.物料消耗</v>
      </c>
      <c r="H601" t="str">
        <f>IF(ISBLANK(IFERROR(INDEX('2-3 引出列表'!$A$2:$CE$8700,$A601,MATCH(H$1,'2-3 引出列表'!$A$1:$CD$1,0)),"")),"",IFERROR(INDEX('2-3 引出列表'!$A$2:$CE$8700,$A601,MATCH(H$1,'2-3 引出列表'!$A$1:$CD$1,0)),""))</f>
        <v>ZB20210901JCWZ02</v>
      </c>
      <c r="I601" t="str">
        <f>IF(ISBLANK(IFERROR(INDEX('2-3 引出列表'!$A$2:$CE$8700,$A601,MATCH(I$1,'2-3 引出列表'!$A$1:$CD$1,0)),"")),"",IFERROR(INDEX('2-3 引出列表'!$A$2:$CE$8700,$A601,MATCH(I$1,'2-3 引出列表'!$A$1:$CD$1,0)),""))</f>
        <v>金采易购</v>
      </c>
    </row>
    <row r="602" spans="1:9">
      <c r="A602">
        <v>601</v>
      </c>
      <c r="B602" t="str">
        <f>IF(ISBLANK(IFERROR(INDEX('2-3 引出列表'!$A$2:$CE$8700,$A602,MATCH(B$1,'2-3 引出列表'!$A$1:$CD$1,0)),"")),"",IFERROR(INDEX('2-3 引出列表'!$A$2:$CE$8700,$A602,MATCH(B$1,'2-3 引出列表'!$A$1:$CD$1,0)),""))</f>
        <v>FK250120000487</v>
      </c>
      <c r="C602">
        <f>IF(ISBLANK(IFERROR(INDEX('2-3 引出列表'!$A$2:$CE$8700,$A602,MATCH(C$1,'2-3 引出列表'!$A$1:$CD$1,0)),"")),"",IFERROR(INDEX('2-3 引出列表'!$A$2:$CE$8700,$A602,MATCH(C$1,'2-3 引出列表'!$A$1:$CD$1,0)),""))</f>
        <v>13295.19</v>
      </c>
      <c r="D602" t="str">
        <f>IF(ISBLANK(IFERROR(INDEX('2-3 引出列表'!$A$2:$CE$8700,$A602,MATCH(D$1,'2-3 引出列表'!$A$1:$CD$1,0)),"")),"",IFERROR(INDEX('2-3 引出列表'!$A$2:$CE$8700,$A602,MATCH(D$1,'2-3 引出列表'!$A$1:$CD$1,0)),""))</f>
        <v>已付款</v>
      </c>
      <c r="E602" t="str">
        <f>IF(ISBLANK(IFERROR(INDEX('2-3 引出列表'!$A$2:$CE$8700,$A602,MATCH(E$1,'2-3 引出列表'!$A$1:$CD$1,0)),"")),"",IFERROR(INDEX('2-3 引出列表'!$A$2:$CE$8700,$A602,MATCH(E$1,'2-3 引出列表'!$A$1:$CD$1,0)),""))</f>
        <v>2025-04-29</v>
      </c>
      <c r="F602" s="30" t="str">
        <f t="shared" si="9"/>
        <v>2025-04</v>
      </c>
      <c r="G602" t="str">
        <f>IF(ISBLANK(IFERROR(INDEX('2-3 引出列表'!$A$2:$CE$8700,$A602,MATCH(G$1,'2-3 引出列表'!$A$1:$CD$1,0)),"")),"",IFERROR(INDEX('2-3 引出列表'!$A$2:$CE$8700,$A602,MATCH(G$1,'2-3 引出列表'!$A$1:$CD$1,0)),""))</f>
        <v>物料消耗.物料消耗</v>
      </c>
      <c r="H602" t="str">
        <f>IF(ISBLANK(IFERROR(INDEX('2-3 引出列表'!$A$2:$CE$8700,$A602,MATCH(H$1,'2-3 引出列表'!$A$1:$CD$1,0)),"")),"",IFERROR(INDEX('2-3 引出列表'!$A$2:$CE$8700,$A602,MATCH(H$1,'2-3 引出列表'!$A$1:$CD$1,0)),""))</f>
        <v>ZB20210901JCWZ02</v>
      </c>
      <c r="I602" t="str">
        <f>IF(ISBLANK(IFERROR(INDEX('2-3 引出列表'!$A$2:$CE$8700,$A602,MATCH(I$1,'2-3 引出列表'!$A$1:$CD$1,0)),"")),"",IFERROR(INDEX('2-3 引出列表'!$A$2:$CE$8700,$A602,MATCH(I$1,'2-3 引出列表'!$A$1:$CD$1,0)),""))</f>
        <v>金采易购</v>
      </c>
    </row>
    <row r="603" spans="1:9">
      <c r="A603">
        <v>602</v>
      </c>
      <c r="B603" t="str">
        <f>IF(ISBLANK(IFERROR(INDEX('2-3 引出列表'!$A$2:$CE$8700,$A603,MATCH(B$1,'2-3 引出列表'!$A$1:$CD$1,0)),"")),"",IFERROR(INDEX('2-3 引出列表'!$A$2:$CE$8700,$A603,MATCH(B$1,'2-3 引出列表'!$A$1:$CD$1,0)),""))</f>
        <v>FK250120000487</v>
      </c>
      <c r="C603">
        <f>IF(ISBLANK(IFERROR(INDEX('2-3 引出列表'!$A$2:$CE$8700,$A603,MATCH(C$1,'2-3 引出列表'!$A$1:$CD$1,0)),"")),"",IFERROR(INDEX('2-3 引出列表'!$A$2:$CE$8700,$A603,MATCH(C$1,'2-3 引出列表'!$A$1:$CD$1,0)),""))</f>
        <v>13295.19</v>
      </c>
      <c r="D603" t="str">
        <f>IF(ISBLANK(IFERROR(INDEX('2-3 引出列表'!$A$2:$CE$8700,$A603,MATCH(D$1,'2-3 引出列表'!$A$1:$CD$1,0)),"")),"",IFERROR(INDEX('2-3 引出列表'!$A$2:$CE$8700,$A603,MATCH(D$1,'2-3 引出列表'!$A$1:$CD$1,0)),""))</f>
        <v>已付款</v>
      </c>
      <c r="E603" t="str">
        <f>IF(ISBLANK(IFERROR(INDEX('2-3 引出列表'!$A$2:$CE$8700,$A603,MATCH(E$1,'2-3 引出列表'!$A$1:$CD$1,0)),"")),"",IFERROR(INDEX('2-3 引出列表'!$A$2:$CE$8700,$A603,MATCH(E$1,'2-3 引出列表'!$A$1:$CD$1,0)),""))</f>
        <v>2025-04-29</v>
      </c>
      <c r="F603" s="30" t="str">
        <f t="shared" si="9"/>
        <v>2025-04</v>
      </c>
      <c r="G603" t="str">
        <f>IF(ISBLANK(IFERROR(INDEX('2-3 引出列表'!$A$2:$CE$8700,$A603,MATCH(G$1,'2-3 引出列表'!$A$1:$CD$1,0)),"")),"",IFERROR(INDEX('2-3 引出列表'!$A$2:$CE$8700,$A603,MATCH(G$1,'2-3 引出列表'!$A$1:$CD$1,0)),""))</f>
        <v>物料消耗.物料消耗</v>
      </c>
      <c r="H603" t="str">
        <f>IF(ISBLANK(IFERROR(INDEX('2-3 引出列表'!$A$2:$CE$8700,$A603,MATCH(H$1,'2-3 引出列表'!$A$1:$CD$1,0)),"")),"",IFERROR(INDEX('2-3 引出列表'!$A$2:$CE$8700,$A603,MATCH(H$1,'2-3 引出列表'!$A$1:$CD$1,0)),""))</f>
        <v>ZB20210901JCWZ02</v>
      </c>
      <c r="I603" t="str">
        <f>IF(ISBLANK(IFERROR(INDEX('2-3 引出列表'!$A$2:$CE$8700,$A603,MATCH(I$1,'2-3 引出列表'!$A$1:$CD$1,0)),"")),"",IFERROR(INDEX('2-3 引出列表'!$A$2:$CE$8700,$A603,MATCH(I$1,'2-3 引出列表'!$A$1:$CD$1,0)),""))</f>
        <v>金采易购</v>
      </c>
    </row>
    <row r="604" spans="1:9">
      <c r="A604">
        <v>603</v>
      </c>
      <c r="B604" t="str">
        <f>IF(ISBLANK(IFERROR(INDEX('2-3 引出列表'!$A$2:$CE$8700,$A604,MATCH(B$1,'2-3 引出列表'!$A$1:$CD$1,0)),"")),"",IFERROR(INDEX('2-3 引出列表'!$A$2:$CE$8700,$A604,MATCH(B$1,'2-3 引出列表'!$A$1:$CD$1,0)),""))</f>
        <v>FK250120000487</v>
      </c>
      <c r="C604">
        <f>IF(ISBLANK(IFERROR(INDEX('2-3 引出列表'!$A$2:$CE$8700,$A604,MATCH(C$1,'2-3 引出列表'!$A$1:$CD$1,0)),"")),"",IFERROR(INDEX('2-3 引出列表'!$A$2:$CE$8700,$A604,MATCH(C$1,'2-3 引出列表'!$A$1:$CD$1,0)),""))</f>
        <v>13295.19</v>
      </c>
      <c r="D604" t="str">
        <f>IF(ISBLANK(IFERROR(INDEX('2-3 引出列表'!$A$2:$CE$8700,$A604,MATCH(D$1,'2-3 引出列表'!$A$1:$CD$1,0)),"")),"",IFERROR(INDEX('2-3 引出列表'!$A$2:$CE$8700,$A604,MATCH(D$1,'2-3 引出列表'!$A$1:$CD$1,0)),""))</f>
        <v>已付款</v>
      </c>
      <c r="E604" t="str">
        <f>IF(ISBLANK(IFERROR(INDEX('2-3 引出列表'!$A$2:$CE$8700,$A604,MATCH(E$1,'2-3 引出列表'!$A$1:$CD$1,0)),"")),"",IFERROR(INDEX('2-3 引出列表'!$A$2:$CE$8700,$A604,MATCH(E$1,'2-3 引出列表'!$A$1:$CD$1,0)),""))</f>
        <v>2025-04-29</v>
      </c>
      <c r="F604" s="30" t="str">
        <f t="shared" si="9"/>
        <v>2025-04</v>
      </c>
      <c r="G604" t="str">
        <f>IF(ISBLANK(IFERROR(INDEX('2-3 引出列表'!$A$2:$CE$8700,$A604,MATCH(G$1,'2-3 引出列表'!$A$1:$CD$1,0)),"")),"",IFERROR(INDEX('2-3 引出列表'!$A$2:$CE$8700,$A604,MATCH(G$1,'2-3 引出列表'!$A$1:$CD$1,0)),""))</f>
        <v>物料消耗.物料消耗</v>
      </c>
      <c r="H604" t="str">
        <f>IF(ISBLANK(IFERROR(INDEX('2-3 引出列表'!$A$2:$CE$8700,$A604,MATCH(H$1,'2-3 引出列表'!$A$1:$CD$1,0)),"")),"",IFERROR(INDEX('2-3 引出列表'!$A$2:$CE$8700,$A604,MATCH(H$1,'2-3 引出列表'!$A$1:$CD$1,0)),""))</f>
        <v>ZB20210901JCWZ02</v>
      </c>
      <c r="I604" t="str">
        <f>IF(ISBLANK(IFERROR(INDEX('2-3 引出列表'!$A$2:$CE$8700,$A604,MATCH(I$1,'2-3 引出列表'!$A$1:$CD$1,0)),"")),"",IFERROR(INDEX('2-3 引出列表'!$A$2:$CE$8700,$A604,MATCH(I$1,'2-3 引出列表'!$A$1:$CD$1,0)),""))</f>
        <v>金采易购</v>
      </c>
    </row>
    <row r="605" spans="1:9">
      <c r="A605">
        <v>604</v>
      </c>
      <c r="B605" t="str">
        <f>IF(ISBLANK(IFERROR(INDEX('2-3 引出列表'!$A$2:$CE$8700,$A605,MATCH(B$1,'2-3 引出列表'!$A$1:$CD$1,0)),"")),"",IFERROR(INDEX('2-3 引出列表'!$A$2:$CE$8700,$A605,MATCH(B$1,'2-3 引出列表'!$A$1:$CD$1,0)),""))</f>
        <v>FK250120000487</v>
      </c>
      <c r="C605">
        <f>IF(ISBLANK(IFERROR(INDEX('2-3 引出列表'!$A$2:$CE$8700,$A605,MATCH(C$1,'2-3 引出列表'!$A$1:$CD$1,0)),"")),"",IFERROR(INDEX('2-3 引出列表'!$A$2:$CE$8700,$A605,MATCH(C$1,'2-3 引出列表'!$A$1:$CD$1,0)),""))</f>
        <v>13295.19</v>
      </c>
      <c r="D605" t="str">
        <f>IF(ISBLANK(IFERROR(INDEX('2-3 引出列表'!$A$2:$CE$8700,$A605,MATCH(D$1,'2-3 引出列表'!$A$1:$CD$1,0)),"")),"",IFERROR(INDEX('2-3 引出列表'!$A$2:$CE$8700,$A605,MATCH(D$1,'2-3 引出列表'!$A$1:$CD$1,0)),""))</f>
        <v>已付款</v>
      </c>
      <c r="E605" t="str">
        <f>IF(ISBLANK(IFERROR(INDEX('2-3 引出列表'!$A$2:$CE$8700,$A605,MATCH(E$1,'2-3 引出列表'!$A$1:$CD$1,0)),"")),"",IFERROR(INDEX('2-3 引出列表'!$A$2:$CE$8700,$A605,MATCH(E$1,'2-3 引出列表'!$A$1:$CD$1,0)),""))</f>
        <v>2025-04-29</v>
      </c>
      <c r="F605" s="30" t="str">
        <f t="shared" si="9"/>
        <v>2025-04</v>
      </c>
      <c r="G605" t="str">
        <f>IF(ISBLANK(IFERROR(INDEX('2-3 引出列表'!$A$2:$CE$8700,$A605,MATCH(G$1,'2-3 引出列表'!$A$1:$CD$1,0)),"")),"",IFERROR(INDEX('2-3 引出列表'!$A$2:$CE$8700,$A605,MATCH(G$1,'2-3 引出列表'!$A$1:$CD$1,0)),""))</f>
        <v>物料消耗.物料消耗</v>
      </c>
      <c r="H605" t="str">
        <f>IF(ISBLANK(IFERROR(INDEX('2-3 引出列表'!$A$2:$CE$8700,$A605,MATCH(H$1,'2-3 引出列表'!$A$1:$CD$1,0)),"")),"",IFERROR(INDEX('2-3 引出列表'!$A$2:$CE$8700,$A605,MATCH(H$1,'2-3 引出列表'!$A$1:$CD$1,0)),""))</f>
        <v>ZB20210901JCWZ02</v>
      </c>
      <c r="I605" t="str">
        <f>IF(ISBLANK(IFERROR(INDEX('2-3 引出列表'!$A$2:$CE$8700,$A605,MATCH(I$1,'2-3 引出列表'!$A$1:$CD$1,0)),"")),"",IFERROR(INDEX('2-3 引出列表'!$A$2:$CE$8700,$A605,MATCH(I$1,'2-3 引出列表'!$A$1:$CD$1,0)),""))</f>
        <v>金采易购</v>
      </c>
    </row>
    <row r="606" spans="1:9">
      <c r="A606">
        <v>605</v>
      </c>
      <c r="B606" t="str">
        <f>IF(ISBLANK(IFERROR(INDEX('2-3 引出列表'!$A$2:$CE$8700,$A606,MATCH(B$1,'2-3 引出列表'!$A$1:$CD$1,0)),"")),"",IFERROR(INDEX('2-3 引出列表'!$A$2:$CE$8700,$A606,MATCH(B$1,'2-3 引出列表'!$A$1:$CD$1,0)),""))</f>
        <v>FK250120000487</v>
      </c>
      <c r="C606">
        <f>IF(ISBLANK(IFERROR(INDEX('2-3 引出列表'!$A$2:$CE$8700,$A606,MATCH(C$1,'2-3 引出列表'!$A$1:$CD$1,0)),"")),"",IFERROR(INDEX('2-3 引出列表'!$A$2:$CE$8700,$A606,MATCH(C$1,'2-3 引出列表'!$A$1:$CD$1,0)),""))</f>
        <v>13295.19</v>
      </c>
      <c r="D606" t="str">
        <f>IF(ISBLANK(IFERROR(INDEX('2-3 引出列表'!$A$2:$CE$8700,$A606,MATCH(D$1,'2-3 引出列表'!$A$1:$CD$1,0)),"")),"",IFERROR(INDEX('2-3 引出列表'!$A$2:$CE$8700,$A606,MATCH(D$1,'2-3 引出列表'!$A$1:$CD$1,0)),""))</f>
        <v>已付款</v>
      </c>
      <c r="E606" t="str">
        <f>IF(ISBLANK(IFERROR(INDEX('2-3 引出列表'!$A$2:$CE$8700,$A606,MATCH(E$1,'2-3 引出列表'!$A$1:$CD$1,0)),"")),"",IFERROR(INDEX('2-3 引出列表'!$A$2:$CE$8700,$A606,MATCH(E$1,'2-3 引出列表'!$A$1:$CD$1,0)),""))</f>
        <v>2025-04-29</v>
      </c>
      <c r="F606" s="30" t="str">
        <f t="shared" si="9"/>
        <v>2025-04</v>
      </c>
      <c r="G606" t="str">
        <f>IF(ISBLANK(IFERROR(INDEX('2-3 引出列表'!$A$2:$CE$8700,$A606,MATCH(G$1,'2-3 引出列表'!$A$1:$CD$1,0)),"")),"",IFERROR(INDEX('2-3 引出列表'!$A$2:$CE$8700,$A606,MATCH(G$1,'2-3 引出列表'!$A$1:$CD$1,0)),""))</f>
        <v>物料消耗.物料消耗</v>
      </c>
      <c r="H606" t="str">
        <f>IF(ISBLANK(IFERROR(INDEX('2-3 引出列表'!$A$2:$CE$8700,$A606,MATCH(H$1,'2-3 引出列表'!$A$1:$CD$1,0)),"")),"",IFERROR(INDEX('2-3 引出列表'!$A$2:$CE$8700,$A606,MATCH(H$1,'2-3 引出列表'!$A$1:$CD$1,0)),""))</f>
        <v>ZB20210901JCWZ02</v>
      </c>
      <c r="I606" t="str">
        <f>IF(ISBLANK(IFERROR(INDEX('2-3 引出列表'!$A$2:$CE$8700,$A606,MATCH(I$1,'2-3 引出列表'!$A$1:$CD$1,0)),"")),"",IFERROR(INDEX('2-3 引出列表'!$A$2:$CE$8700,$A606,MATCH(I$1,'2-3 引出列表'!$A$1:$CD$1,0)),""))</f>
        <v>金采易购</v>
      </c>
    </row>
    <row r="607" spans="1:9">
      <c r="A607">
        <v>606</v>
      </c>
      <c r="B607" t="str">
        <f>IF(ISBLANK(IFERROR(INDEX('2-3 引出列表'!$A$2:$CE$8700,$A607,MATCH(B$1,'2-3 引出列表'!$A$1:$CD$1,0)),"")),"",IFERROR(INDEX('2-3 引出列表'!$A$2:$CE$8700,$A607,MATCH(B$1,'2-3 引出列表'!$A$1:$CD$1,0)),""))</f>
        <v>FK250120000487</v>
      </c>
      <c r="C607">
        <f>IF(ISBLANK(IFERROR(INDEX('2-3 引出列表'!$A$2:$CE$8700,$A607,MATCH(C$1,'2-3 引出列表'!$A$1:$CD$1,0)),"")),"",IFERROR(INDEX('2-3 引出列表'!$A$2:$CE$8700,$A607,MATCH(C$1,'2-3 引出列表'!$A$1:$CD$1,0)),""))</f>
        <v>13295.19</v>
      </c>
      <c r="D607" t="str">
        <f>IF(ISBLANK(IFERROR(INDEX('2-3 引出列表'!$A$2:$CE$8700,$A607,MATCH(D$1,'2-3 引出列表'!$A$1:$CD$1,0)),"")),"",IFERROR(INDEX('2-3 引出列表'!$A$2:$CE$8700,$A607,MATCH(D$1,'2-3 引出列表'!$A$1:$CD$1,0)),""))</f>
        <v>已付款</v>
      </c>
      <c r="E607" t="str">
        <f>IF(ISBLANK(IFERROR(INDEX('2-3 引出列表'!$A$2:$CE$8700,$A607,MATCH(E$1,'2-3 引出列表'!$A$1:$CD$1,0)),"")),"",IFERROR(INDEX('2-3 引出列表'!$A$2:$CE$8700,$A607,MATCH(E$1,'2-3 引出列表'!$A$1:$CD$1,0)),""))</f>
        <v>2025-04-29</v>
      </c>
      <c r="F607" s="30" t="str">
        <f t="shared" si="9"/>
        <v>2025-04</v>
      </c>
      <c r="G607" t="str">
        <f>IF(ISBLANK(IFERROR(INDEX('2-3 引出列表'!$A$2:$CE$8700,$A607,MATCH(G$1,'2-3 引出列表'!$A$1:$CD$1,0)),"")),"",IFERROR(INDEX('2-3 引出列表'!$A$2:$CE$8700,$A607,MATCH(G$1,'2-3 引出列表'!$A$1:$CD$1,0)),""))</f>
        <v>物料消耗.物料消耗</v>
      </c>
      <c r="H607" t="str">
        <f>IF(ISBLANK(IFERROR(INDEX('2-3 引出列表'!$A$2:$CE$8700,$A607,MATCH(H$1,'2-3 引出列表'!$A$1:$CD$1,0)),"")),"",IFERROR(INDEX('2-3 引出列表'!$A$2:$CE$8700,$A607,MATCH(H$1,'2-3 引出列表'!$A$1:$CD$1,0)),""))</f>
        <v>ZB20210901JCWZ02</v>
      </c>
      <c r="I607" t="str">
        <f>IF(ISBLANK(IFERROR(INDEX('2-3 引出列表'!$A$2:$CE$8700,$A607,MATCH(I$1,'2-3 引出列表'!$A$1:$CD$1,0)),"")),"",IFERROR(INDEX('2-3 引出列表'!$A$2:$CE$8700,$A607,MATCH(I$1,'2-3 引出列表'!$A$1:$CD$1,0)),""))</f>
        <v>金采易购</v>
      </c>
    </row>
    <row r="608" spans="1:9">
      <c r="A608">
        <v>607</v>
      </c>
      <c r="B608" t="str">
        <f>IF(ISBLANK(IFERROR(INDEX('2-3 引出列表'!$A$2:$CE$8700,$A608,MATCH(B$1,'2-3 引出列表'!$A$1:$CD$1,0)),"")),"",IFERROR(INDEX('2-3 引出列表'!$A$2:$CE$8700,$A608,MATCH(B$1,'2-3 引出列表'!$A$1:$CD$1,0)),""))</f>
        <v>FK250120000487</v>
      </c>
      <c r="C608">
        <f>IF(ISBLANK(IFERROR(INDEX('2-3 引出列表'!$A$2:$CE$8700,$A608,MATCH(C$1,'2-3 引出列表'!$A$1:$CD$1,0)),"")),"",IFERROR(INDEX('2-3 引出列表'!$A$2:$CE$8700,$A608,MATCH(C$1,'2-3 引出列表'!$A$1:$CD$1,0)),""))</f>
        <v>13295.19</v>
      </c>
      <c r="D608" t="str">
        <f>IF(ISBLANK(IFERROR(INDEX('2-3 引出列表'!$A$2:$CE$8700,$A608,MATCH(D$1,'2-3 引出列表'!$A$1:$CD$1,0)),"")),"",IFERROR(INDEX('2-3 引出列表'!$A$2:$CE$8700,$A608,MATCH(D$1,'2-3 引出列表'!$A$1:$CD$1,0)),""))</f>
        <v>已付款</v>
      </c>
      <c r="E608" t="str">
        <f>IF(ISBLANK(IFERROR(INDEX('2-3 引出列表'!$A$2:$CE$8700,$A608,MATCH(E$1,'2-3 引出列表'!$A$1:$CD$1,0)),"")),"",IFERROR(INDEX('2-3 引出列表'!$A$2:$CE$8700,$A608,MATCH(E$1,'2-3 引出列表'!$A$1:$CD$1,0)),""))</f>
        <v>2025-04-29</v>
      </c>
      <c r="F608" s="30" t="str">
        <f t="shared" si="9"/>
        <v>2025-04</v>
      </c>
      <c r="G608" t="str">
        <f>IF(ISBLANK(IFERROR(INDEX('2-3 引出列表'!$A$2:$CE$8700,$A608,MATCH(G$1,'2-3 引出列表'!$A$1:$CD$1,0)),"")),"",IFERROR(INDEX('2-3 引出列表'!$A$2:$CE$8700,$A608,MATCH(G$1,'2-3 引出列表'!$A$1:$CD$1,0)),""))</f>
        <v>物料消耗.物料消耗</v>
      </c>
      <c r="H608" t="str">
        <f>IF(ISBLANK(IFERROR(INDEX('2-3 引出列表'!$A$2:$CE$8700,$A608,MATCH(H$1,'2-3 引出列表'!$A$1:$CD$1,0)),"")),"",IFERROR(INDEX('2-3 引出列表'!$A$2:$CE$8700,$A608,MATCH(H$1,'2-3 引出列表'!$A$1:$CD$1,0)),""))</f>
        <v>ZB20210901JCWZ02</v>
      </c>
      <c r="I608" t="str">
        <f>IF(ISBLANK(IFERROR(INDEX('2-3 引出列表'!$A$2:$CE$8700,$A608,MATCH(I$1,'2-3 引出列表'!$A$1:$CD$1,0)),"")),"",IFERROR(INDEX('2-3 引出列表'!$A$2:$CE$8700,$A608,MATCH(I$1,'2-3 引出列表'!$A$1:$CD$1,0)),""))</f>
        <v>金采易购</v>
      </c>
    </row>
    <row r="609" spans="1:9">
      <c r="A609">
        <v>608</v>
      </c>
      <c r="B609" t="str">
        <f>IF(ISBLANK(IFERROR(INDEX('2-3 引出列表'!$A$2:$CE$8700,$A609,MATCH(B$1,'2-3 引出列表'!$A$1:$CD$1,0)),"")),"",IFERROR(INDEX('2-3 引出列表'!$A$2:$CE$8700,$A609,MATCH(B$1,'2-3 引出列表'!$A$1:$CD$1,0)),""))</f>
        <v>FK250120000487</v>
      </c>
      <c r="C609">
        <f>IF(ISBLANK(IFERROR(INDEX('2-3 引出列表'!$A$2:$CE$8700,$A609,MATCH(C$1,'2-3 引出列表'!$A$1:$CD$1,0)),"")),"",IFERROR(INDEX('2-3 引出列表'!$A$2:$CE$8700,$A609,MATCH(C$1,'2-3 引出列表'!$A$1:$CD$1,0)),""))</f>
        <v>13295.19</v>
      </c>
      <c r="D609" t="str">
        <f>IF(ISBLANK(IFERROR(INDEX('2-3 引出列表'!$A$2:$CE$8700,$A609,MATCH(D$1,'2-3 引出列表'!$A$1:$CD$1,0)),"")),"",IFERROR(INDEX('2-3 引出列表'!$A$2:$CE$8700,$A609,MATCH(D$1,'2-3 引出列表'!$A$1:$CD$1,0)),""))</f>
        <v>已付款</v>
      </c>
      <c r="E609" t="str">
        <f>IF(ISBLANK(IFERROR(INDEX('2-3 引出列表'!$A$2:$CE$8700,$A609,MATCH(E$1,'2-3 引出列表'!$A$1:$CD$1,0)),"")),"",IFERROR(INDEX('2-3 引出列表'!$A$2:$CE$8700,$A609,MATCH(E$1,'2-3 引出列表'!$A$1:$CD$1,0)),""))</f>
        <v>2025-04-29</v>
      </c>
      <c r="F609" s="30" t="str">
        <f t="shared" si="9"/>
        <v>2025-04</v>
      </c>
      <c r="G609" t="str">
        <f>IF(ISBLANK(IFERROR(INDEX('2-3 引出列表'!$A$2:$CE$8700,$A609,MATCH(G$1,'2-3 引出列表'!$A$1:$CD$1,0)),"")),"",IFERROR(INDEX('2-3 引出列表'!$A$2:$CE$8700,$A609,MATCH(G$1,'2-3 引出列表'!$A$1:$CD$1,0)),""))</f>
        <v>物料消耗.物料消耗</v>
      </c>
      <c r="H609" t="str">
        <f>IF(ISBLANK(IFERROR(INDEX('2-3 引出列表'!$A$2:$CE$8700,$A609,MATCH(H$1,'2-3 引出列表'!$A$1:$CD$1,0)),"")),"",IFERROR(INDEX('2-3 引出列表'!$A$2:$CE$8700,$A609,MATCH(H$1,'2-3 引出列表'!$A$1:$CD$1,0)),""))</f>
        <v>ZB20210901JCWZ02</v>
      </c>
      <c r="I609" t="str">
        <f>IF(ISBLANK(IFERROR(INDEX('2-3 引出列表'!$A$2:$CE$8700,$A609,MATCH(I$1,'2-3 引出列表'!$A$1:$CD$1,0)),"")),"",IFERROR(INDEX('2-3 引出列表'!$A$2:$CE$8700,$A609,MATCH(I$1,'2-3 引出列表'!$A$1:$CD$1,0)),""))</f>
        <v>金采易购</v>
      </c>
    </row>
    <row r="610" spans="1:9">
      <c r="A610">
        <v>609</v>
      </c>
      <c r="B610" t="str">
        <f>IF(ISBLANK(IFERROR(INDEX('2-3 引出列表'!$A$2:$CE$8700,$A610,MATCH(B$1,'2-3 引出列表'!$A$1:$CD$1,0)),"")),"",IFERROR(INDEX('2-3 引出列表'!$A$2:$CE$8700,$A610,MATCH(B$1,'2-3 引出列表'!$A$1:$CD$1,0)),""))</f>
        <v>FK250120000487</v>
      </c>
      <c r="C610">
        <f>IF(ISBLANK(IFERROR(INDEX('2-3 引出列表'!$A$2:$CE$8700,$A610,MATCH(C$1,'2-3 引出列表'!$A$1:$CD$1,0)),"")),"",IFERROR(INDEX('2-3 引出列表'!$A$2:$CE$8700,$A610,MATCH(C$1,'2-3 引出列表'!$A$1:$CD$1,0)),""))</f>
        <v>13295.19</v>
      </c>
      <c r="D610" t="str">
        <f>IF(ISBLANK(IFERROR(INDEX('2-3 引出列表'!$A$2:$CE$8700,$A610,MATCH(D$1,'2-3 引出列表'!$A$1:$CD$1,0)),"")),"",IFERROR(INDEX('2-3 引出列表'!$A$2:$CE$8700,$A610,MATCH(D$1,'2-3 引出列表'!$A$1:$CD$1,0)),""))</f>
        <v>已付款</v>
      </c>
      <c r="E610" t="str">
        <f>IF(ISBLANK(IFERROR(INDEX('2-3 引出列表'!$A$2:$CE$8700,$A610,MATCH(E$1,'2-3 引出列表'!$A$1:$CD$1,0)),"")),"",IFERROR(INDEX('2-3 引出列表'!$A$2:$CE$8700,$A610,MATCH(E$1,'2-3 引出列表'!$A$1:$CD$1,0)),""))</f>
        <v>2025-04-29</v>
      </c>
      <c r="F610" s="30" t="str">
        <f t="shared" si="9"/>
        <v>2025-04</v>
      </c>
      <c r="G610" t="str">
        <f>IF(ISBLANK(IFERROR(INDEX('2-3 引出列表'!$A$2:$CE$8700,$A610,MATCH(G$1,'2-3 引出列表'!$A$1:$CD$1,0)),"")),"",IFERROR(INDEX('2-3 引出列表'!$A$2:$CE$8700,$A610,MATCH(G$1,'2-3 引出列表'!$A$1:$CD$1,0)),""))</f>
        <v>物料消耗.物料消耗</v>
      </c>
      <c r="H610" t="str">
        <f>IF(ISBLANK(IFERROR(INDEX('2-3 引出列表'!$A$2:$CE$8700,$A610,MATCH(H$1,'2-3 引出列表'!$A$1:$CD$1,0)),"")),"",IFERROR(INDEX('2-3 引出列表'!$A$2:$CE$8700,$A610,MATCH(H$1,'2-3 引出列表'!$A$1:$CD$1,0)),""))</f>
        <v>ZB20210901JCWZ02</v>
      </c>
      <c r="I610" t="str">
        <f>IF(ISBLANK(IFERROR(INDEX('2-3 引出列表'!$A$2:$CE$8700,$A610,MATCH(I$1,'2-3 引出列表'!$A$1:$CD$1,0)),"")),"",IFERROR(INDEX('2-3 引出列表'!$A$2:$CE$8700,$A610,MATCH(I$1,'2-3 引出列表'!$A$1:$CD$1,0)),""))</f>
        <v>金采易购</v>
      </c>
    </row>
    <row r="611" spans="1:9">
      <c r="A611">
        <v>610</v>
      </c>
      <c r="B611" t="str">
        <f>IF(ISBLANK(IFERROR(INDEX('2-3 引出列表'!$A$2:$CE$8700,$A611,MATCH(B$1,'2-3 引出列表'!$A$1:$CD$1,0)),"")),"",IFERROR(INDEX('2-3 引出列表'!$A$2:$CE$8700,$A611,MATCH(B$1,'2-3 引出列表'!$A$1:$CD$1,0)),""))</f>
        <v>FK250120000487</v>
      </c>
      <c r="C611">
        <f>IF(ISBLANK(IFERROR(INDEX('2-3 引出列表'!$A$2:$CE$8700,$A611,MATCH(C$1,'2-3 引出列表'!$A$1:$CD$1,0)),"")),"",IFERROR(INDEX('2-3 引出列表'!$A$2:$CE$8700,$A611,MATCH(C$1,'2-3 引出列表'!$A$1:$CD$1,0)),""))</f>
        <v>13295.19</v>
      </c>
      <c r="D611" t="str">
        <f>IF(ISBLANK(IFERROR(INDEX('2-3 引出列表'!$A$2:$CE$8700,$A611,MATCH(D$1,'2-3 引出列表'!$A$1:$CD$1,0)),"")),"",IFERROR(INDEX('2-3 引出列表'!$A$2:$CE$8700,$A611,MATCH(D$1,'2-3 引出列表'!$A$1:$CD$1,0)),""))</f>
        <v>已付款</v>
      </c>
      <c r="E611" t="str">
        <f>IF(ISBLANK(IFERROR(INDEX('2-3 引出列表'!$A$2:$CE$8700,$A611,MATCH(E$1,'2-3 引出列表'!$A$1:$CD$1,0)),"")),"",IFERROR(INDEX('2-3 引出列表'!$A$2:$CE$8700,$A611,MATCH(E$1,'2-3 引出列表'!$A$1:$CD$1,0)),""))</f>
        <v>2025-04-29</v>
      </c>
      <c r="F611" s="30" t="str">
        <f t="shared" si="9"/>
        <v>2025-04</v>
      </c>
      <c r="G611" t="str">
        <f>IF(ISBLANK(IFERROR(INDEX('2-3 引出列表'!$A$2:$CE$8700,$A611,MATCH(G$1,'2-3 引出列表'!$A$1:$CD$1,0)),"")),"",IFERROR(INDEX('2-3 引出列表'!$A$2:$CE$8700,$A611,MATCH(G$1,'2-3 引出列表'!$A$1:$CD$1,0)),""))</f>
        <v>物料消耗.物料消耗</v>
      </c>
      <c r="H611" t="str">
        <f>IF(ISBLANK(IFERROR(INDEX('2-3 引出列表'!$A$2:$CE$8700,$A611,MATCH(H$1,'2-3 引出列表'!$A$1:$CD$1,0)),"")),"",IFERROR(INDEX('2-3 引出列表'!$A$2:$CE$8700,$A611,MATCH(H$1,'2-3 引出列表'!$A$1:$CD$1,0)),""))</f>
        <v>ZB20210901JCWZ02</v>
      </c>
      <c r="I611" t="str">
        <f>IF(ISBLANK(IFERROR(INDEX('2-3 引出列表'!$A$2:$CE$8700,$A611,MATCH(I$1,'2-3 引出列表'!$A$1:$CD$1,0)),"")),"",IFERROR(INDEX('2-3 引出列表'!$A$2:$CE$8700,$A611,MATCH(I$1,'2-3 引出列表'!$A$1:$CD$1,0)),""))</f>
        <v>金采易购</v>
      </c>
    </row>
    <row r="612" spans="1:9">
      <c r="A612">
        <v>611</v>
      </c>
      <c r="B612" t="str">
        <f>IF(ISBLANK(IFERROR(INDEX('2-3 引出列表'!$A$2:$CE$8700,$A612,MATCH(B$1,'2-3 引出列表'!$A$1:$CD$1,0)),"")),"",IFERROR(INDEX('2-3 引出列表'!$A$2:$CE$8700,$A612,MATCH(B$1,'2-3 引出列表'!$A$1:$CD$1,0)),""))</f>
        <v>FK250120000487</v>
      </c>
      <c r="C612">
        <f>IF(ISBLANK(IFERROR(INDEX('2-3 引出列表'!$A$2:$CE$8700,$A612,MATCH(C$1,'2-3 引出列表'!$A$1:$CD$1,0)),"")),"",IFERROR(INDEX('2-3 引出列表'!$A$2:$CE$8700,$A612,MATCH(C$1,'2-3 引出列表'!$A$1:$CD$1,0)),""))</f>
        <v>13295.19</v>
      </c>
      <c r="D612" t="str">
        <f>IF(ISBLANK(IFERROR(INDEX('2-3 引出列表'!$A$2:$CE$8700,$A612,MATCH(D$1,'2-3 引出列表'!$A$1:$CD$1,0)),"")),"",IFERROR(INDEX('2-3 引出列表'!$A$2:$CE$8700,$A612,MATCH(D$1,'2-3 引出列表'!$A$1:$CD$1,0)),""))</f>
        <v>已付款</v>
      </c>
      <c r="E612" t="str">
        <f>IF(ISBLANK(IFERROR(INDEX('2-3 引出列表'!$A$2:$CE$8700,$A612,MATCH(E$1,'2-3 引出列表'!$A$1:$CD$1,0)),"")),"",IFERROR(INDEX('2-3 引出列表'!$A$2:$CE$8700,$A612,MATCH(E$1,'2-3 引出列表'!$A$1:$CD$1,0)),""))</f>
        <v>2025-04-29</v>
      </c>
      <c r="F612" s="30" t="str">
        <f t="shared" si="9"/>
        <v>2025-04</v>
      </c>
      <c r="G612" t="str">
        <f>IF(ISBLANK(IFERROR(INDEX('2-3 引出列表'!$A$2:$CE$8700,$A612,MATCH(G$1,'2-3 引出列表'!$A$1:$CD$1,0)),"")),"",IFERROR(INDEX('2-3 引出列表'!$A$2:$CE$8700,$A612,MATCH(G$1,'2-3 引出列表'!$A$1:$CD$1,0)),""))</f>
        <v>物料消耗.物料消耗</v>
      </c>
      <c r="H612" t="str">
        <f>IF(ISBLANK(IFERROR(INDEX('2-3 引出列表'!$A$2:$CE$8700,$A612,MATCH(H$1,'2-3 引出列表'!$A$1:$CD$1,0)),"")),"",IFERROR(INDEX('2-3 引出列表'!$A$2:$CE$8700,$A612,MATCH(H$1,'2-3 引出列表'!$A$1:$CD$1,0)),""))</f>
        <v>ZB20210901JCWZ02</v>
      </c>
      <c r="I612" t="str">
        <f>IF(ISBLANK(IFERROR(INDEX('2-3 引出列表'!$A$2:$CE$8700,$A612,MATCH(I$1,'2-3 引出列表'!$A$1:$CD$1,0)),"")),"",IFERROR(INDEX('2-3 引出列表'!$A$2:$CE$8700,$A612,MATCH(I$1,'2-3 引出列表'!$A$1:$CD$1,0)),""))</f>
        <v>金采易购</v>
      </c>
    </row>
    <row r="613" spans="1:9">
      <c r="A613">
        <v>612</v>
      </c>
      <c r="B613" t="str">
        <f>IF(ISBLANK(IFERROR(INDEX('2-3 引出列表'!$A$2:$CE$8700,$A613,MATCH(B$1,'2-3 引出列表'!$A$1:$CD$1,0)),"")),"",IFERROR(INDEX('2-3 引出列表'!$A$2:$CE$8700,$A613,MATCH(B$1,'2-3 引出列表'!$A$1:$CD$1,0)),""))</f>
        <v>FK250120000487</v>
      </c>
      <c r="C613">
        <f>IF(ISBLANK(IFERROR(INDEX('2-3 引出列表'!$A$2:$CE$8700,$A613,MATCH(C$1,'2-3 引出列表'!$A$1:$CD$1,0)),"")),"",IFERROR(INDEX('2-3 引出列表'!$A$2:$CE$8700,$A613,MATCH(C$1,'2-3 引出列表'!$A$1:$CD$1,0)),""))</f>
        <v>13295.19</v>
      </c>
      <c r="D613" t="str">
        <f>IF(ISBLANK(IFERROR(INDEX('2-3 引出列表'!$A$2:$CE$8700,$A613,MATCH(D$1,'2-3 引出列表'!$A$1:$CD$1,0)),"")),"",IFERROR(INDEX('2-3 引出列表'!$A$2:$CE$8700,$A613,MATCH(D$1,'2-3 引出列表'!$A$1:$CD$1,0)),""))</f>
        <v>已付款</v>
      </c>
      <c r="E613" t="str">
        <f>IF(ISBLANK(IFERROR(INDEX('2-3 引出列表'!$A$2:$CE$8700,$A613,MATCH(E$1,'2-3 引出列表'!$A$1:$CD$1,0)),"")),"",IFERROR(INDEX('2-3 引出列表'!$A$2:$CE$8700,$A613,MATCH(E$1,'2-3 引出列表'!$A$1:$CD$1,0)),""))</f>
        <v>2025-04-29</v>
      </c>
      <c r="F613" s="30" t="str">
        <f t="shared" si="9"/>
        <v>2025-04</v>
      </c>
      <c r="G613" t="str">
        <f>IF(ISBLANK(IFERROR(INDEX('2-3 引出列表'!$A$2:$CE$8700,$A613,MATCH(G$1,'2-3 引出列表'!$A$1:$CD$1,0)),"")),"",IFERROR(INDEX('2-3 引出列表'!$A$2:$CE$8700,$A613,MATCH(G$1,'2-3 引出列表'!$A$1:$CD$1,0)),""))</f>
        <v>物料消耗.物料消耗</v>
      </c>
      <c r="H613" t="str">
        <f>IF(ISBLANK(IFERROR(INDEX('2-3 引出列表'!$A$2:$CE$8700,$A613,MATCH(H$1,'2-3 引出列表'!$A$1:$CD$1,0)),"")),"",IFERROR(INDEX('2-3 引出列表'!$A$2:$CE$8700,$A613,MATCH(H$1,'2-3 引出列表'!$A$1:$CD$1,0)),""))</f>
        <v>ZB20210901JCWZ02</v>
      </c>
      <c r="I613" t="str">
        <f>IF(ISBLANK(IFERROR(INDEX('2-3 引出列表'!$A$2:$CE$8700,$A613,MATCH(I$1,'2-3 引出列表'!$A$1:$CD$1,0)),"")),"",IFERROR(INDEX('2-3 引出列表'!$A$2:$CE$8700,$A613,MATCH(I$1,'2-3 引出列表'!$A$1:$CD$1,0)),""))</f>
        <v>金采易购</v>
      </c>
    </row>
    <row r="614" spans="1:9">
      <c r="A614">
        <v>613</v>
      </c>
      <c r="B614" t="str">
        <f>IF(ISBLANK(IFERROR(INDEX('2-3 引出列表'!$A$2:$CE$8700,$A614,MATCH(B$1,'2-3 引出列表'!$A$1:$CD$1,0)),"")),"",IFERROR(INDEX('2-3 引出列表'!$A$2:$CE$8700,$A614,MATCH(B$1,'2-3 引出列表'!$A$1:$CD$1,0)),""))</f>
        <v>FK250120000487</v>
      </c>
      <c r="C614">
        <f>IF(ISBLANK(IFERROR(INDEX('2-3 引出列表'!$A$2:$CE$8700,$A614,MATCH(C$1,'2-3 引出列表'!$A$1:$CD$1,0)),"")),"",IFERROR(INDEX('2-3 引出列表'!$A$2:$CE$8700,$A614,MATCH(C$1,'2-3 引出列表'!$A$1:$CD$1,0)),""))</f>
        <v>13295.19</v>
      </c>
      <c r="D614" t="str">
        <f>IF(ISBLANK(IFERROR(INDEX('2-3 引出列表'!$A$2:$CE$8700,$A614,MATCH(D$1,'2-3 引出列表'!$A$1:$CD$1,0)),"")),"",IFERROR(INDEX('2-3 引出列表'!$A$2:$CE$8700,$A614,MATCH(D$1,'2-3 引出列表'!$A$1:$CD$1,0)),""))</f>
        <v>已付款</v>
      </c>
      <c r="E614" t="str">
        <f>IF(ISBLANK(IFERROR(INDEX('2-3 引出列表'!$A$2:$CE$8700,$A614,MATCH(E$1,'2-3 引出列表'!$A$1:$CD$1,0)),"")),"",IFERROR(INDEX('2-3 引出列表'!$A$2:$CE$8700,$A614,MATCH(E$1,'2-3 引出列表'!$A$1:$CD$1,0)),""))</f>
        <v>2025-04-29</v>
      </c>
      <c r="F614" s="30" t="str">
        <f t="shared" si="9"/>
        <v>2025-04</v>
      </c>
      <c r="G614" t="str">
        <f>IF(ISBLANK(IFERROR(INDEX('2-3 引出列表'!$A$2:$CE$8700,$A614,MATCH(G$1,'2-3 引出列表'!$A$1:$CD$1,0)),"")),"",IFERROR(INDEX('2-3 引出列表'!$A$2:$CE$8700,$A614,MATCH(G$1,'2-3 引出列表'!$A$1:$CD$1,0)),""))</f>
        <v>物料消耗.物料消耗</v>
      </c>
      <c r="H614" t="str">
        <f>IF(ISBLANK(IFERROR(INDEX('2-3 引出列表'!$A$2:$CE$8700,$A614,MATCH(H$1,'2-3 引出列表'!$A$1:$CD$1,0)),"")),"",IFERROR(INDEX('2-3 引出列表'!$A$2:$CE$8700,$A614,MATCH(H$1,'2-3 引出列表'!$A$1:$CD$1,0)),""))</f>
        <v>ZB20210901JCWZ02</v>
      </c>
      <c r="I614" t="str">
        <f>IF(ISBLANK(IFERROR(INDEX('2-3 引出列表'!$A$2:$CE$8700,$A614,MATCH(I$1,'2-3 引出列表'!$A$1:$CD$1,0)),"")),"",IFERROR(INDEX('2-3 引出列表'!$A$2:$CE$8700,$A614,MATCH(I$1,'2-3 引出列表'!$A$1:$CD$1,0)),""))</f>
        <v>金采易购</v>
      </c>
    </row>
    <row r="615" spans="1:9">
      <c r="A615">
        <v>614</v>
      </c>
      <c r="B615" t="str">
        <f>IF(ISBLANK(IFERROR(INDEX('2-3 引出列表'!$A$2:$CE$8700,$A615,MATCH(B$1,'2-3 引出列表'!$A$1:$CD$1,0)),"")),"",IFERROR(INDEX('2-3 引出列表'!$A$2:$CE$8700,$A615,MATCH(B$1,'2-3 引出列表'!$A$1:$CD$1,0)),""))</f>
        <v>FK250120000487</v>
      </c>
      <c r="C615">
        <f>IF(ISBLANK(IFERROR(INDEX('2-3 引出列表'!$A$2:$CE$8700,$A615,MATCH(C$1,'2-3 引出列表'!$A$1:$CD$1,0)),"")),"",IFERROR(INDEX('2-3 引出列表'!$A$2:$CE$8700,$A615,MATCH(C$1,'2-3 引出列表'!$A$1:$CD$1,0)),""))</f>
        <v>13295.19</v>
      </c>
      <c r="D615" t="str">
        <f>IF(ISBLANK(IFERROR(INDEX('2-3 引出列表'!$A$2:$CE$8700,$A615,MATCH(D$1,'2-3 引出列表'!$A$1:$CD$1,0)),"")),"",IFERROR(INDEX('2-3 引出列表'!$A$2:$CE$8700,$A615,MATCH(D$1,'2-3 引出列表'!$A$1:$CD$1,0)),""))</f>
        <v>已付款</v>
      </c>
      <c r="E615" t="str">
        <f>IF(ISBLANK(IFERROR(INDEX('2-3 引出列表'!$A$2:$CE$8700,$A615,MATCH(E$1,'2-3 引出列表'!$A$1:$CD$1,0)),"")),"",IFERROR(INDEX('2-3 引出列表'!$A$2:$CE$8700,$A615,MATCH(E$1,'2-3 引出列表'!$A$1:$CD$1,0)),""))</f>
        <v>2025-04-29</v>
      </c>
      <c r="F615" s="30" t="str">
        <f t="shared" si="9"/>
        <v>2025-04</v>
      </c>
      <c r="G615" t="str">
        <f>IF(ISBLANK(IFERROR(INDEX('2-3 引出列表'!$A$2:$CE$8700,$A615,MATCH(G$1,'2-3 引出列表'!$A$1:$CD$1,0)),"")),"",IFERROR(INDEX('2-3 引出列表'!$A$2:$CE$8700,$A615,MATCH(G$1,'2-3 引出列表'!$A$1:$CD$1,0)),""))</f>
        <v>物料消耗.物料消耗</v>
      </c>
      <c r="H615" t="str">
        <f>IF(ISBLANK(IFERROR(INDEX('2-3 引出列表'!$A$2:$CE$8700,$A615,MATCH(H$1,'2-3 引出列表'!$A$1:$CD$1,0)),"")),"",IFERROR(INDEX('2-3 引出列表'!$A$2:$CE$8700,$A615,MATCH(H$1,'2-3 引出列表'!$A$1:$CD$1,0)),""))</f>
        <v>ZB20210901JCWZ02</v>
      </c>
      <c r="I615" t="str">
        <f>IF(ISBLANK(IFERROR(INDEX('2-3 引出列表'!$A$2:$CE$8700,$A615,MATCH(I$1,'2-3 引出列表'!$A$1:$CD$1,0)),"")),"",IFERROR(INDEX('2-3 引出列表'!$A$2:$CE$8700,$A615,MATCH(I$1,'2-3 引出列表'!$A$1:$CD$1,0)),""))</f>
        <v>金采易购</v>
      </c>
    </row>
    <row r="616" spans="1:9">
      <c r="A616">
        <v>615</v>
      </c>
      <c r="B616" t="str">
        <f>IF(ISBLANK(IFERROR(INDEX('2-3 引出列表'!$A$2:$CE$8700,$A616,MATCH(B$1,'2-3 引出列表'!$A$1:$CD$1,0)),"")),"",IFERROR(INDEX('2-3 引出列表'!$A$2:$CE$8700,$A616,MATCH(B$1,'2-3 引出列表'!$A$1:$CD$1,0)),""))</f>
        <v>FK250120000487</v>
      </c>
      <c r="C616">
        <f>IF(ISBLANK(IFERROR(INDEX('2-3 引出列表'!$A$2:$CE$8700,$A616,MATCH(C$1,'2-3 引出列表'!$A$1:$CD$1,0)),"")),"",IFERROR(INDEX('2-3 引出列表'!$A$2:$CE$8700,$A616,MATCH(C$1,'2-3 引出列表'!$A$1:$CD$1,0)),""))</f>
        <v>13295.19</v>
      </c>
      <c r="D616" t="str">
        <f>IF(ISBLANK(IFERROR(INDEX('2-3 引出列表'!$A$2:$CE$8700,$A616,MATCH(D$1,'2-3 引出列表'!$A$1:$CD$1,0)),"")),"",IFERROR(INDEX('2-3 引出列表'!$A$2:$CE$8700,$A616,MATCH(D$1,'2-3 引出列表'!$A$1:$CD$1,0)),""))</f>
        <v>已付款</v>
      </c>
      <c r="E616" t="str">
        <f>IF(ISBLANK(IFERROR(INDEX('2-3 引出列表'!$A$2:$CE$8700,$A616,MATCH(E$1,'2-3 引出列表'!$A$1:$CD$1,0)),"")),"",IFERROR(INDEX('2-3 引出列表'!$A$2:$CE$8700,$A616,MATCH(E$1,'2-3 引出列表'!$A$1:$CD$1,0)),""))</f>
        <v>2025-04-29</v>
      </c>
      <c r="F616" s="30" t="str">
        <f t="shared" si="9"/>
        <v>2025-04</v>
      </c>
      <c r="G616" t="str">
        <f>IF(ISBLANK(IFERROR(INDEX('2-3 引出列表'!$A$2:$CE$8700,$A616,MATCH(G$1,'2-3 引出列表'!$A$1:$CD$1,0)),"")),"",IFERROR(INDEX('2-3 引出列表'!$A$2:$CE$8700,$A616,MATCH(G$1,'2-3 引出列表'!$A$1:$CD$1,0)),""))</f>
        <v>物料消耗.物料消耗</v>
      </c>
      <c r="H616" t="str">
        <f>IF(ISBLANK(IFERROR(INDEX('2-3 引出列表'!$A$2:$CE$8700,$A616,MATCH(H$1,'2-3 引出列表'!$A$1:$CD$1,0)),"")),"",IFERROR(INDEX('2-3 引出列表'!$A$2:$CE$8700,$A616,MATCH(H$1,'2-3 引出列表'!$A$1:$CD$1,0)),""))</f>
        <v>ZB20210901JCWZ02</v>
      </c>
      <c r="I616" t="str">
        <f>IF(ISBLANK(IFERROR(INDEX('2-3 引出列表'!$A$2:$CE$8700,$A616,MATCH(I$1,'2-3 引出列表'!$A$1:$CD$1,0)),"")),"",IFERROR(INDEX('2-3 引出列表'!$A$2:$CE$8700,$A616,MATCH(I$1,'2-3 引出列表'!$A$1:$CD$1,0)),""))</f>
        <v>金采易购</v>
      </c>
    </row>
    <row r="617" spans="1:9">
      <c r="A617">
        <v>616</v>
      </c>
      <c r="B617" t="str">
        <f>IF(ISBLANK(IFERROR(INDEX('2-3 引出列表'!$A$2:$CE$8700,$A617,MATCH(B$1,'2-3 引出列表'!$A$1:$CD$1,0)),"")),"",IFERROR(INDEX('2-3 引出列表'!$A$2:$CE$8700,$A617,MATCH(B$1,'2-3 引出列表'!$A$1:$CD$1,0)),""))</f>
        <v>FK250120000529</v>
      </c>
      <c r="C617">
        <f>IF(ISBLANK(IFERROR(INDEX('2-3 引出列表'!$A$2:$CE$8700,$A617,MATCH(C$1,'2-3 引出列表'!$A$1:$CD$1,0)),"")),"",IFERROR(INDEX('2-3 引出列表'!$A$2:$CE$8700,$A617,MATCH(C$1,'2-3 引出列表'!$A$1:$CD$1,0)),""))</f>
        <v>9450</v>
      </c>
      <c r="D617" t="str">
        <f>IF(ISBLANK(IFERROR(INDEX('2-3 引出列表'!$A$2:$CE$8700,$A617,MATCH(D$1,'2-3 引出列表'!$A$1:$CD$1,0)),"")),"",IFERROR(INDEX('2-3 引出列表'!$A$2:$CE$8700,$A617,MATCH(D$1,'2-3 引出列表'!$A$1:$CD$1,0)),""))</f>
        <v>已付款</v>
      </c>
      <c r="E617" t="str">
        <f>IF(ISBLANK(IFERROR(INDEX('2-3 引出列表'!$A$2:$CE$8700,$A617,MATCH(E$1,'2-3 引出列表'!$A$1:$CD$1,0)),"")),"",IFERROR(INDEX('2-3 引出列表'!$A$2:$CE$8700,$A617,MATCH(E$1,'2-3 引出列表'!$A$1:$CD$1,0)),""))</f>
        <v>2025-04-29</v>
      </c>
      <c r="F617" s="30" t="str">
        <f t="shared" si="9"/>
        <v>2025-04</v>
      </c>
      <c r="G617" t="str">
        <f>IF(ISBLANK(IFERROR(INDEX('2-3 引出列表'!$A$2:$CE$8700,$A617,MATCH(G$1,'2-3 引出列表'!$A$1:$CD$1,0)),"")),"",IFERROR(INDEX('2-3 引出列表'!$A$2:$CE$8700,$A617,MATCH(G$1,'2-3 引出列表'!$A$1:$CD$1,0)),""))</f>
        <v>物料消耗.物料消耗</v>
      </c>
      <c r="H617">
        <f>IF(ISBLANK(IFERROR(INDEX('2-3 引出列表'!$A$2:$CE$8700,$A617,MATCH(H$1,'2-3 引出列表'!$A$1:$CD$1,0)),"")),"",IFERROR(INDEX('2-3 引出列表'!$A$2:$CE$8700,$A617,MATCH(H$1,'2-3 引出列表'!$A$1:$CD$1,0)),""))</f>
        <v>0</v>
      </c>
      <c r="I617" t="str">
        <f>IF(ISBLANK(IFERROR(INDEX('2-3 引出列表'!$A$2:$CE$8700,$A617,MATCH(I$1,'2-3 引出列表'!$A$1:$CD$1,0)),"")),"",IFERROR(INDEX('2-3 引出列表'!$A$2:$CE$8700,$A617,MATCH(I$1,'2-3 引出列表'!$A$1:$CD$1,0)),""))</f>
        <v>金采易购</v>
      </c>
    </row>
    <row r="618" spans="1:9">
      <c r="A618">
        <v>617</v>
      </c>
      <c r="B618">
        <f>IF(ISBLANK(IFERROR(INDEX('2-3 引出列表'!$A$2:$CE$8700,$A618,MATCH(B$1,'2-3 引出列表'!$A$1:$CD$1,0)),"")),"",IFERROR(INDEX('2-3 引出列表'!$A$2:$CE$8700,$A618,MATCH(B$1,'2-3 引出列表'!$A$1:$CD$1,0)),""))</f>
        <v>0</v>
      </c>
      <c r="C618">
        <f>IF(ISBLANK(IFERROR(INDEX('2-3 引出列表'!$A$2:$CE$8700,$A618,MATCH(C$1,'2-3 引出列表'!$A$1:$CD$1,0)),"")),"",IFERROR(INDEX('2-3 引出列表'!$A$2:$CE$8700,$A618,MATCH(C$1,'2-3 引出列表'!$A$1:$CD$1,0)),""))</f>
        <v>7970</v>
      </c>
      <c r="D618" t="str">
        <f>IF(ISBLANK(IFERROR(INDEX('2-3 引出列表'!$A$2:$CE$8700,$A618,MATCH(D$1,'2-3 引出列表'!$A$1:$CD$1,0)),"")),"",IFERROR(INDEX('2-3 引出列表'!$A$2:$CE$8700,$A618,MATCH(D$1,'2-3 引出列表'!$A$1:$CD$1,0)),""))</f>
        <v>已付款</v>
      </c>
      <c r="E618" t="str">
        <f>IF(ISBLANK(IFERROR(INDEX('2-3 引出列表'!$A$2:$CE$8700,$A618,MATCH(E$1,'2-3 引出列表'!$A$1:$CD$1,0)),"")),"",IFERROR(INDEX('2-3 引出列表'!$A$2:$CE$8700,$A618,MATCH(E$1,'2-3 引出列表'!$A$1:$CD$1,0)),""))</f>
        <v>2025-04-28</v>
      </c>
      <c r="F618" s="30" t="str">
        <f t="shared" si="9"/>
        <v>2025-04</v>
      </c>
      <c r="G618" t="str">
        <f>IF(ISBLANK(IFERROR(INDEX('2-3 引出列表'!$A$2:$CE$8700,$A618,MATCH(G$1,'2-3 引出列表'!$A$1:$CD$1,0)),"")),"",IFERROR(INDEX('2-3 引出列表'!$A$2:$CE$8700,$A618,MATCH(G$1,'2-3 引出列表'!$A$1:$CD$1,0)),""))</f>
        <v>人工费用.宿舍费</v>
      </c>
      <c r="H618" t="str">
        <f>IF(ISBLANK(IFERROR(INDEX('2-3 引出列表'!$A$2:$CE$8700,$A618,MATCH(H$1,'2-3 引出列表'!$A$1:$CD$1,0)),"")),"",IFERROR(INDEX('2-3 引出列表'!$A$2:$CE$8700,$A618,MATCH(H$1,'2-3 引出列表'!$A$1:$CD$1,0)),""))</f>
        <v>FWL-Z-2025-00269</v>
      </c>
      <c r="I618">
        <f>IF(ISBLANK(IFERROR(INDEX('2-3 引出列表'!$A$2:$CE$8700,$A618,MATCH(I$1,'2-3 引出列表'!$A$1:$CD$1,0)),"")),"",IFERROR(INDEX('2-3 引出列表'!$A$2:$CE$8700,$A618,MATCH(I$1,'2-3 引出列表'!$A$1:$CD$1,0)),""))</f>
        <v>0</v>
      </c>
    </row>
    <row r="619" spans="1:9">
      <c r="A619">
        <v>618</v>
      </c>
      <c r="B619">
        <f>IF(ISBLANK(IFERROR(INDEX('2-3 引出列表'!$A$2:$CE$8700,$A619,MATCH(B$1,'2-3 引出列表'!$A$1:$CD$1,0)),"")),"",IFERROR(INDEX('2-3 引出列表'!$A$2:$CE$8700,$A619,MATCH(B$1,'2-3 引出列表'!$A$1:$CD$1,0)),""))</f>
        <v>0</v>
      </c>
      <c r="C619">
        <f>IF(ISBLANK(IFERROR(INDEX('2-3 引出列表'!$A$2:$CE$8700,$A619,MATCH(C$1,'2-3 引出列表'!$A$1:$CD$1,0)),"")),"",IFERROR(INDEX('2-3 引出列表'!$A$2:$CE$8700,$A619,MATCH(C$1,'2-3 引出列表'!$A$1:$CD$1,0)),""))</f>
        <v>7970</v>
      </c>
      <c r="D619" t="str">
        <f>IF(ISBLANK(IFERROR(INDEX('2-3 引出列表'!$A$2:$CE$8700,$A619,MATCH(D$1,'2-3 引出列表'!$A$1:$CD$1,0)),"")),"",IFERROR(INDEX('2-3 引出列表'!$A$2:$CE$8700,$A619,MATCH(D$1,'2-3 引出列表'!$A$1:$CD$1,0)),""))</f>
        <v>已付款</v>
      </c>
      <c r="E619" t="str">
        <f>IF(ISBLANK(IFERROR(INDEX('2-3 引出列表'!$A$2:$CE$8700,$A619,MATCH(E$1,'2-3 引出列表'!$A$1:$CD$1,0)),"")),"",IFERROR(INDEX('2-3 引出列表'!$A$2:$CE$8700,$A619,MATCH(E$1,'2-3 引出列表'!$A$1:$CD$1,0)),""))</f>
        <v>2025-04-28</v>
      </c>
      <c r="F619" s="30" t="str">
        <f t="shared" si="9"/>
        <v>2025-04</v>
      </c>
      <c r="G619" t="str">
        <f>IF(ISBLANK(IFERROR(INDEX('2-3 引出列表'!$A$2:$CE$8700,$A619,MATCH(G$1,'2-3 引出列表'!$A$1:$CD$1,0)),"")),"",IFERROR(INDEX('2-3 引出列表'!$A$2:$CE$8700,$A619,MATCH(G$1,'2-3 引出列表'!$A$1:$CD$1,0)),""))</f>
        <v>人工费用.宿舍费</v>
      </c>
      <c r="H619" t="str">
        <f>IF(ISBLANK(IFERROR(INDEX('2-3 引出列表'!$A$2:$CE$8700,$A619,MATCH(H$1,'2-3 引出列表'!$A$1:$CD$1,0)),"")),"",IFERROR(INDEX('2-3 引出列表'!$A$2:$CE$8700,$A619,MATCH(H$1,'2-3 引出列表'!$A$1:$CD$1,0)),""))</f>
        <v>FWL-Z-2025-00269</v>
      </c>
      <c r="I619">
        <f>IF(ISBLANK(IFERROR(INDEX('2-3 引出列表'!$A$2:$CE$8700,$A619,MATCH(I$1,'2-3 引出列表'!$A$1:$CD$1,0)),"")),"",IFERROR(INDEX('2-3 引出列表'!$A$2:$CE$8700,$A619,MATCH(I$1,'2-3 引出列表'!$A$1:$CD$1,0)),""))</f>
        <v>0</v>
      </c>
    </row>
    <row r="620" spans="1:9">
      <c r="A620">
        <v>619</v>
      </c>
      <c r="B620">
        <f>IF(ISBLANK(IFERROR(INDEX('2-3 引出列表'!$A$2:$CE$8700,$A620,MATCH(B$1,'2-3 引出列表'!$A$1:$CD$1,0)),"")),"",IFERROR(INDEX('2-3 引出列表'!$A$2:$CE$8700,$A620,MATCH(B$1,'2-3 引出列表'!$A$1:$CD$1,0)),""))</f>
        <v>0</v>
      </c>
      <c r="C620">
        <f>IF(ISBLANK(IFERROR(INDEX('2-3 引出列表'!$A$2:$CE$8700,$A620,MATCH(C$1,'2-3 引出列表'!$A$1:$CD$1,0)),"")),"",IFERROR(INDEX('2-3 引出列表'!$A$2:$CE$8700,$A620,MATCH(C$1,'2-3 引出列表'!$A$1:$CD$1,0)),""))</f>
        <v>15200</v>
      </c>
      <c r="D620" t="str">
        <f>IF(ISBLANK(IFERROR(INDEX('2-3 引出列表'!$A$2:$CE$8700,$A620,MATCH(D$1,'2-3 引出列表'!$A$1:$CD$1,0)),"")),"",IFERROR(INDEX('2-3 引出列表'!$A$2:$CE$8700,$A620,MATCH(D$1,'2-3 引出列表'!$A$1:$CD$1,0)),""))</f>
        <v>已付款</v>
      </c>
      <c r="E620" t="str">
        <f>IF(ISBLANK(IFERROR(INDEX('2-3 引出列表'!$A$2:$CE$8700,$A620,MATCH(E$1,'2-3 引出列表'!$A$1:$CD$1,0)),"")),"",IFERROR(INDEX('2-3 引出列表'!$A$2:$CE$8700,$A620,MATCH(E$1,'2-3 引出列表'!$A$1:$CD$1,0)),""))</f>
        <v>2025-04-28</v>
      </c>
      <c r="F620" s="30" t="str">
        <f t="shared" si="9"/>
        <v>2025-04</v>
      </c>
      <c r="G620" t="str">
        <f>IF(ISBLANK(IFERROR(INDEX('2-3 引出列表'!$A$2:$CE$8700,$A620,MATCH(G$1,'2-3 引出列表'!$A$1:$CD$1,0)),"")),"",IFERROR(INDEX('2-3 引出列表'!$A$2:$CE$8700,$A620,MATCH(G$1,'2-3 引出列表'!$A$1:$CD$1,0)),""))</f>
        <v>借款.员工借款</v>
      </c>
      <c r="H620">
        <f>IF(ISBLANK(IFERROR(INDEX('2-3 引出列表'!$A$2:$CE$8700,$A620,MATCH(H$1,'2-3 引出列表'!$A$1:$CD$1,0)),"")),"",IFERROR(INDEX('2-3 引出列表'!$A$2:$CE$8700,$A620,MATCH(H$1,'2-3 引出列表'!$A$1:$CD$1,0)),""))</f>
        <v>0</v>
      </c>
      <c r="I620">
        <f>IF(ISBLANK(IFERROR(INDEX('2-3 引出列表'!$A$2:$CE$8700,$A620,MATCH(I$1,'2-3 引出列表'!$A$1:$CD$1,0)),"")),"",IFERROR(INDEX('2-3 引出列表'!$A$2:$CE$8700,$A620,MATCH(I$1,'2-3 引出列表'!$A$1:$CD$1,0)),""))</f>
        <v>0</v>
      </c>
    </row>
    <row r="621" spans="1:9">
      <c r="A621">
        <v>620</v>
      </c>
      <c r="B621">
        <f>IF(ISBLANK(IFERROR(INDEX('2-3 引出列表'!$A$2:$CE$8700,$A621,MATCH(B$1,'2-3 引出列表'!$A$1:$CD$1,0)),"")),"",IFERROR(INDEX('2-3 引出列表'!$A$2:$CE$8700,$A621,MATCH(B$1,'2-3 引出列表'!$A$1:$CD$1,0)),""))</f>
        <v>0</v>
      </c>
      <c r="C621">
        <f>IF(ISBLANK(IFERROR(INDEX('2-3 引出列表'!$A$2:$CE$8700,$A621,MATCH(C$1,'2-3 引出列表'!$A$1:$CD$1,0)),"")),"",IFERROR(INDEX('2-3 引出列表'!$A$2:$CE$8700,$A621,MATCH(C$1,'2-3 引出列表'!$A$1:$CD$1,0)),""))</f>
        <v>1800</v>
      </c>
      <c r="D621" t="str">
        <f>IF(ISBLANK(IFERROR(INDEX('2-3 引出列表'!$A$2:$CE$8700,$A621,MATCH(D$1,'2-3 引出列表'!$A$1:$CD$1,0)),"")),"",IFERROR(INDEX('2-3 引出列表'!$A$2:$CE$8700,$A621,MATCH(D$1,'2-3 引出列表'!$A$1:$CD$1,0)),""))</f>
        <v>已付款</v>
      </c>
      <c r="E621" t="str">
        <f>IF(ISBLANK(IFERROR(INDEX('2-3 引出列表'!$A$2:$CE$8700,$A621,MATCH(E$1,'2-3 引出列表'!$A$1:$CD$1,0)),"")),"",IFERROR(INDEX('2-3 引出列表'!$A$2:$CE$8700,$A621,MATCH(E$1,'2-3 引出列表'!$A$1:$CD$1,0)),""))</f>
        <v>2025-04-24</v>
      </c>
      <c r="F621" s="30" t="str">
        <f t="shared" si="9"/>
        <v>2025-04</v>
      </c>
      <c r="G621" t="str">
        <f>IF(ISBLANK(IFERROR(INDEX('2-3 引出列表'!$A$2:$CE$8700,$A621,MATCH(G$1,'2-3 引出列表'!$A$1:$CD$1,0)),"")),"",IFERROR(INDEX('2-3 引出列表'!$A$2:$CE$8700,$A621,MATCH(G$1,'2-3 引出列表'!$A$1:$CD$1,0)),""))</f>
        <v>人工费用.宿舍费</v>
      </c>
      <c r="H621" t="str">
        <f>IF(ISBLANK(IFERROR(INDEX('2-3 引出列表'!$A$2:$CE$8700,$A621,MATCH(H$1,'2-3 引出列表'!$A$1:$CD$1,0)),"")),"",IFERROR(INDEX('2-3 引出列表'!$A$2:$CE$8700,$A621,MATCH(H$1,'2-3 引出列表'!$A$1:$CD$1,0)),""))</f>
        <v>FWL-Z-2024-0944</v>
      </c>
      <c r="I621">
        <f>IF(ISBLANK(IFERROR(INDEX('2-3 引出列表'!$A$2:$CE$8700,$A621,MATCH(I$1,'2-3 引出列表'!$A$1:$CD$1,0)),"")),"",IFERROR(INDEX('2-3 引出列表'!$A$2:$CE$8700,$A621,MATCH(I$1,'2-3 引出列表'!$A$1:$CD$1,0)),""))</f>
        <v>0</v>
      </c>
    </row>
    <row r="622" spans="1:9">
      <c r="A622">
        <v>621</v>
      </c>
      <c r="B622">
        <f>IF(ISBLANK(IFERROR(INDEX('2-3 引出列表'!$A$2:$CE$8700,$A622,MATCH(B$1,'2-3 引出列表'!$A$1:$CD$1,0)),"")),"",IFERROR(INDEX('2-3 引出列表'!$A$2:$CE$8700,$A622,MATCH(B$1,'2-3 引出列表'!$A$1:$CD$1,0)),""))</f>
        <v>0</v>
      </c>
      <c r="C622">
        <f>IF(ISBLANK(IFERROR(INDEX('2-3 引出列表'!$A$2:$CE$8700,$A622,MATCH(C$1,'2-3 引出列表'!$A$1:$CD$1,0)),"")),"",IFERROR(INDEX('2-3 引出列表'!$A$2:$CE$8700,$A622,MATCH(C$1,'2-3 引出列表'!$A$1:$CD$1,0)),""))</f>
        <v>15.94</v>
      </c>
      <c r="D622" t="str">
        <f>IF(ISBLANK(IFERROR(INDEX('2-3 引出列表'!$A$2:$CE$8700,$A622,MATCH(D$1,'2-3 引出列表'!$A$1:$CD$1,0)),"")),"",IFERROR(INDEX('2-3 引出列表'!$A$2:$CE$8700,$A622,MATCH(D$1,'2-3 引出列表'!$A$1:$CD$1,0)),""))</f>
        <v>已付款</v>
      </c>
      <c r="E622" t="str">
        <f>IF(ISBLANK(IFERROR(INDEX('2-3 引出列表'!$A$2:$CE$8700,$A622,MATCH(E$1,'2-3 引出列表'!$A$1:$CD$1,0)),"")),"",IFERROR(INDEX('2-3 引出列表'!$A$2:$CE$8700,$A622,MATCH(E$1,'2-3 引出列表'!$A$1:$CD$1,0)),""))</f>
        <v>2025-04-24</v>
      </c>
      <c r="F622" s="30" t="str">
        <f t="shared" si="9"/>
        <v>2025-04</v>
      </c>
      <c r="G622" t="str">
        <f>IF(ISBLANK(IFERROR(INDEX('2-3 引出列表'!$A$2:$CE$8700,$A622,MATCH(G$1,'2-3 引出列表'!$A$1:$CD$1,0)),"")),"",IFERROR(INDEX('2-3 引出列表'!$A$2:$CE$8700,$A622,MATCH(G$1,'2-3 引出列表'!$A$1:$CD$1,0)),""))</f>
        <v>人工费用.商业保险费</v>
      </c>
      <c r="H622">
        <f>IF(ISBLANK(IFERROR(INDEX('2-3 引出列表'!$A$2:$CE$8700,$A622,MATCH(H$1,'2-3 引出列表'!$A$1:$CD$1,0)),"")),"",IFERROR(INDEX('2-3 引出列表'!$A$2:$CE$8700,$A622,MATCH(H$1,'2-3 引出列表'!$A$1:$CD$1,0)),""))</f>
        <v>0</v>
      </c>
      <c r="I622">
        <f>IF(ISBLANK(IFERROR(INDEX('2-3 引出列表'!$A$2:$CE$8700,$A622,MATCH(I$1,'2-3 引出列表'!$A$1:$CD$1,0)),"")),"",IFERROR(INDEX('2-3 引出列表'!$A$2:$CE$8700,$A622,MATCH(I$1,'2-3 引出列表'!$A$1:$CD$1,0)),""))</f>
        <v>0</v>
      </c>
    </row>
    <row r="623" spans="1:9">
      <c r="A623">
        <v>622</v>
      </c>
      <c r="B623">
        <f>IF(ISBLANK(IFERROR(INDEX('2-3 引出列表'!$A$2:$CE$8700,$A623,MATCH(B$1,'2-3 引出列表'!$A$1:$CD$1,0)),"")),"",IFERROR(INDEX('2-3 引出列表'!$A$2:$CE$8700,$A623,MATCH(B$1,'2-3 引出列表'!$A$1:$CD$1,0)),""))</f>
        <v>0</v>
      </c>
      <c r="C623">
        <f>IF(ISBLANK(IFERROR(INDEX('2-3 引出列表'!$A$2:$CE$8700,$A623,MATCH(C$1,'2-3 引出列表'!$A$1:$CD$1,0)),"")),"",IFERROR(INDEX('2-3 引出列表'!$A$2:$CE$8700,$A623,MATCH(C$1,'2-3 引出列表'!$A$1:$CD$1,0)),""))</f>
        <v>40980</v>
      </c>
      <c r="D623" t="str">
        <f>IF(ISBLANK(IFERROR(INDEX('2-3 引出列表'!$A$2:$CE$8700,$A623,MATCH(D$1,'2-3 引出列表'!$A$1:$CD$1,0)),"")),"",IFERROR(INDEX('2-3 引出列表'!$A$2:$CE$8700,$A623,MATCH(D$1,'2-3 引出列表'!$A$1:$CD$1,0)),""))</f>
        <v>已付款</v>
      </c>
      <c r="E623" t="str">
        <f>IF(ISBLANK(IFERROR(INDEX('2-3 引出列表'!$A$2:$CE$8700,$A623,MATCH(E$1,'2-3 引出列表'!$A$1:$CD$1,0)),"")),"",IFERROR(INDEX('2-3 引出列表'!$A$2:$CE$8700,$A623,MATCH(E$1,'2-3 引出列表'!$A$1:$CD$1,0)),""))</f>
        <v>2025-04-24</v>
      </c>
      <c r="F623" s="30" t="str">
        <f t="shared" si="9"/>
        <v>2025-04</v>
      </c>
      <c r="G623" t="str">
        <f>IF(ISBLANK(IFERROR(INDEX('2-3 引出列表'!$A$2:$CE$8700,$A623,MATCH(G$1,'2-3 引出列表'!$A$1:$CD$1,0)),"")),"",IFERROR(INDEX('2-3 引出列表'!$A$2:$CE$8700,$A623,MATCH(G$1,'2-3 引出列表'!$A$1:$CD$1,0)),""))</f>
        <v>人工费用.宿舍费</v>
      </c>
      <c r="H623" t="str">
        <f>IF(ISBLANK(IFERROR(INDEX('2-3 引出列表'!$A$2:$CE$8700,$A623,MATCH(H$1,'2-3 引出列表'!$A$1:$CD$1,0)),"")),"",IFERROR(INDEX('2-3 引出列表'!$A$2:$CE$8700,$A623,MATCH(H$1,'2-3 引出列表'!$A$1:$CD$1,0)),""))</f>
        <v>FWL-Z-2025-00136</v>
      </c>
      <c r="I623">
        <f>IF(ISBLANK(IFERROR(INDEX('2-3 引出列表'!$A$2:$CE$8700,$A623,MATCH(I$1,'2-3 引出列表'!$A$1:$CD$1,0)),"")),"",IFERROR(INDEX('2-3 引出列表'!$A$2:$CE$8700,$A623,MATCH(I$1,'2-3 引出列表'!$A$1:$CD$1,0)),""))</f>
        <v>0</v>
      </c>
    </row>
    <row r="624" spans="1:9">
      <c r="A624">
        <v>623</v>
      </c>
      <c r="B624">
        <f>IF(ISBLANK(IFERROR(INDEX('2-3 引出列表'!$A$2:$CE$8700,$A624,MATCH(B$1,'2-3 引出列表'!$A$1:$CD$1,0)),"")),"",IFERROR(INDEX('2-3 引出列表'!$A$2:$CE$8700,$A624,MATCH(B$1,'2-3 引出列表'!$A$1:$CD$1,0)),""))</f>
        <v>0</v>
      </c>
      <c r="C624">
        <f>IF(ISBLANK(IFERROR(INDEX('2-3 引出列表'!$A$2:$CE$8700,$A624,MATCH(C$1,'2-3 引出列表'!$A$1:$CD$1,0)),"")),"",IFERROR(INDEX('2-3 引出列表'!$A$2:$CE$8700,$A624,MATCH(C$1,'2-3 引出列表'!$A$1:$CD$1,0)),""))</f>
        <v>40980</v>
      </c>
      <c r="D624" t="str">
        <f>IF(ISBLANK(IFERROR(INDEX('2-3 引出列表'!$A$2:$CE$8700,$A624,MATCH(D$1,'2-3 引出列表'!$A$1:$CD$1,0)),"")),"",IFERROR(INDEX('2-3 引出列表'!$A$2:$CE$8700,$A624,MATCH(D$1,'2-3 引出列表'!$A$1:$CD$1,0)),""))</f>
        <v>已付款</v>
      </c>
      <c r="E624" t="str">
        <f>IF(ISBLANK(IFERROR(INDEX('2-3 引出列表'!$A$2:$CE$8700,$A624,MATCH(E$1,'2-3 引出列表'!$A$1:$CD$1,0)),"")),"",IFERROR(INDEX('2-3 引出列表'!$A$2:$CE$8700,$A624,MATCH(E$1,'2-3 引出列表'!$A$1:$CD$1,0)),""))</f>
        <v>2025-04-24</v>
      </c>
      <c r="F624" s="30" t="str">
        <f t="shared" si="9"/>
        <v>2025-04</v>
      </c>
      <c r="G624" t="str">
        <f>IF(ISBLANK(IFERROR(INDEX('2-3 引出列表'!$A$2:$CE$8700,$A624,MATCH(G$1,'2-3 引出列表'!$A$1:$CD$1,0)),"")),"",IFERROR(INDEX('2-3 引出列表'!$A$2:$CE$8700,$A624,MATCH(G$1,'2-3 引出列表'!$A$1:$CD$1,0)),""))</f>
        <v>人工费用.宿舍费</v>
      </c>
      <c r="H624" t="str">
        <f>IF(ISBLANK(IFERROR(INDEX('2-3 引出列表'!$A$2:$CE$8700,$A624,MATCH(H$1,'2-3 引出列表'!$A$1:$CD$1,0)),"")),"",IFERROR(INDEX('2-3 引出列表'!$A$2:$CE$8700,$A624,MATCH(H$1,'2-3 引出列表'!$A$1:$CD$1,0)),""))</f>
        <v>FWL-Z-2025-00136</v>
      </c>
      <c r="I624">
        <f>IF(ISBLANK(IFERROR(INDEX('2-3 引出列表'!$A$2:$CE$8700,$A624,MATCH(I$1,'2-3 引出列表'!$A$1:$CD$1,0)),"")),"",IFERROR(INDEX('2-3 引出列表'!$A$2:$CE$8700,$A624,MATCH(I$1,'2-3 引出列表'!$A$1:$CD$1,0)),""))</f>
        <v>0</v>
      </c>
    </row>
    <row r="625" spans="1:1">
      <c r="A625">
        <v>624</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ref="F626:F641" si="10">LEFT(E626,7)</f>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10"/>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10"/>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10"/>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10"/>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10"/>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10"/>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10"/>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10"/>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10"/>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10"/>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10"/>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10"/>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10"/>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10"/>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10"/>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1">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1"/>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1"/>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1"/>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1"/>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1"/>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1"/>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1"/>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1"/>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1"/>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1"/>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1"/>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1"/>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1"/>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1"/>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1"/>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1"/>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1"/>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1"/>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1"/>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1"/>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1"/>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1"/>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1"/>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1"/>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1"/>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1"/>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1"/>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1"/>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1"/>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1"/>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1"/>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1"/>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1"/>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1"/>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1"/>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1"/>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1"/>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1"/>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1"/>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1"/>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1"/>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1"/>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1"/>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1"/>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1"/>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1"/>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1"/>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1"/>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1"/>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1"/>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1"/>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1"/>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1"/>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1"/>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1"/>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1"/>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1"/>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1"/>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1"/>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1"/>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1"/>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1"/>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1"/>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2">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2"/>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2"/>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2"/>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2"/>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2"/>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2"/>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2"/>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2"/>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2"/>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2"/>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2"/>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2"/>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2"/>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2"/>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2"/>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2"/>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2"/>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2"/>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2"/>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2"/>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2"/>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2"/>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2"/>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2"/>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2"/>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2"/>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2"/>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2"/>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2"/>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2"/>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2"/>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2"/>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2"/>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2"/>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2"/>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2"/>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2"/>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2"/>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2"/>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2"/>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2"/>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2"/>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2"/>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2"/>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2"/>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2"/>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2"/>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2"/>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2"/>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2"/>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2"/>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2"/>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2"/>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2"/>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2"/>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2"/>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2"/>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2"/>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2"/>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2"/>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2"/>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2"/>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2"/>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3">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3"/>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3"/>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3"/>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3"/>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3"/>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3"/>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3"/>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3"/>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3"/>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3"/>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3"/>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3"/>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3"/>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3"/>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3"/>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3"/>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3"/>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3"/>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3"/>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3"/>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3"/>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3"/>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3"/>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3"/>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3"/>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3"/>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3"/>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3"/>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3"/>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3"/>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3"/>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3"/>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3"/>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3"/>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3"/>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3"/>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3"/>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3"/>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3"/>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3"/>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3"/>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3"/>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3"/>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3"/>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3"/>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3"/>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3"/>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3"/>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3"/>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3"/>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3"/>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3"/>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3"/>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3"/>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3"/>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3"/>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3"/>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3"/>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3"/>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3"/>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3"/>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3"/>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3"/>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4">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4"/>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4"/>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4"/>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4"/>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4"/>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4"/>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4"/>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4"/>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4"/>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4"/>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4"/>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4"/>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4"/>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4"/>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4"/>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4"/>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4"/>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4"/>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4"/>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4"/>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4"/>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624"/>
  <sheetViews>
    <sheetView workbookViewId="0">
      <selection activeCell="A1" sqref="A1:CD624"/>
    </sheetView>
  </sheetViews>
  <sheetFormatPr defaultColWidth="9" defaultRowHeight="13.5"/>
  <sheetData>
    <row r="1" spans="1:82">
      <c r="A1" s="54" t="s">
        <v>15078</v>
      </c>
      <c r="B1" s="55" t="s">
        <v>15086</v>
      </c>
      <c r="C1" s="55" t="s">
        <v>15079</v>
      </c>
      <c r="D1" s="55" t="s">
        <v>15087</v>
      </c>
      <c r="E1" s="55" t="s">
        <v>15088</v>
      </c>
      <c r="F1" s="55" t="s">
        <v>15089</v>
      </c>
      <c r="G1" s="55" t="s">
        <v>712</v>
      </c>
      <c r="H1" s="54" t="s">
        <v>15090</v>
      </c>
      <c r="I1" s="55" t="s">
        <v>15080</v>
      </c>
      <c r="J1" s="55" t="s">
        <v>15091</v>
      </c>
      <c r="K1" s="55" t="s">
        <v>15092</v>
      </c>
      <c r="L1" s="55" t="s">
        <v>15081</v>
      </c>
      <c r="M1" s="55" t="s">
        <v>15082</v>
      </c>
      <c r="N1" s="59" t="s">
        <v>15083</v>
      </c>
      <c r="O1" s="55" t="s">
        <v>15093</v>
      </c>
      <c r="P1" s="55" t="s">
        <v>15094</v>
      </c>
      <c r="Q1" s="55" t="s">
        <v>15095</v>
      </c>
      <c r="R1" s="55" t="s">
        <v>15096</v>
      </c>
      <c r="S1" s="55" t="s">
        <v>15097</v>
      </c>
      <c r="T1" s="55" t="s">
        <v>15085</v>
      </c>
      <c r="U1" s="55" t="s">
        <v>15098</v>
      </c>
      <c r="V1" s="54" t="s">
        <v>15099</v>
      </c>
      <c r="W1" s="55" t="s">
        <v>15100</v>
      </c>
      <c r="X1" s="55" t="s">
        <v>15101</v>
      </c>
      <c r="Y1" s="55" t="s">
        <v>15102</v>
      </c>
      <c r="Z1" s="55" t="s">
        <v>14136</v>
      </c>
      <c r="AA1" s="55" t="s">
        <v>15103</v>
      </c>
      <c r="AB1" s="55" t="s">
        <v>15104</v>
      </c>
      <c r="AC1" s="55" t="s">
        <v>15105</v>
      </c>
      <c r="AD1" s="54" t="s">
        <v>15106</v>
      </c>
      <c r="AE1" s="54" t="s">
        <v>15107</v>
      </c>
      <c r="AF1" s="55" t="s">
        <v>15108</v>
      </c>
      <c r="AG1" s="54" t="s">
        <v>15109</v>
      </c>
      <c r="AH1" s="54" t="s">
        <v>15110</v>
      </c>
      <c r="AI1" s="55" t="s">
        <v>15111</v>
      </c>
      <c r="AJ1" s="54" t="s">
        <v>15112</v>
      </c>
      <c r="AK1" s="54" t="s">
        <v>15113</v>
      </c>
      <c r="AL1" s="54" t="s">
        <v>15114</v>
      </c>
      <c r="AM1" s="55" t="s">
        <v>15115</v>
      </c>
      <c r="AN1" s="54" t="s">
        <v>15116</v>
      </c>
      <c r="AO1" s="55" t="s">
        <v>15117</v>
      </c>
      <c r="AP1" s="55" t="s">
        <v>14138</v>
      </c>
      <c r="AQ1" s="54" t="s">
        <v>15118</v>
      </c>
      <c r="AR1" s="55" t="s">
        <v>15119</v>
      </c>
      <c r="AS1" s="55" t="s">
        <v>15120</v>
      </c>
      <c r="AT1" s="54" t="s">
        <v>15121</v>
      </c>
      <c r="AU1" s="54" t="s">
        <v>15122</v>
      </c>
      <c r="AV1" s="54" t="s">
        <v>15123</v>
      </c>
      <c r="AW1" s="59" t="s">
        <v>14137</v>
      </c>
      <c r="AX1" s="54" t="s">
        <v>15124</v>
      </c>
      <c r="AY1" s="54" t="s">
        <v>15125</v>
      </c>
      <c r="AZ1" s="54" t="s">
        <v>15126</v>
      </c>
      <c r="BA1" s="54" t="s">
        <v>15127</v>
      </c>
      <c r="BB1" s="54" t="s">
        <v>15128</v>
      </c>
      <c r="BC1" s="54" t="s">
        <v>15129</v>
      </c>
      <c r="BD1" s="54" t="s">
        <v>15084</v>
      </c>
      <c r="BE1" s="54" t="s">
        <v>14106</v>
      </c>
      <c r="BF1" s="54" t="s">
        <v>15130</v>
      </c>
      <c r="BG1" s="55" t="s">
        <v>15131</v>
      </c>
      <c r="BH1" s="54" t="s">
        <v>15132</v>
      </c>
      <c r="BI1" s="55" t="s">
        <v>15133</v>
      </c>
      <c r="BJ1" s="54" t="s">
        <v>15134</v>
      </c>
      <c r="BK1" s="54" t="s">
        <v>15135</v>
      </c>
      <c r="BL1" s="65" t="s">
        <v>15136</v>
      </c>
      <c r="BM1" s="54" t="s">
        <v>15137</v>
      </c>
      <c r="BN1" s="65" t="s">
        <v>15138</v>
      </c>
      <c r="BO1" s="65" t="s">
        <v>15139</v>
      </c>
      <c r="BP1" s="54" t="s">
        <v>15140</v>
      </c>
      <c r="BQ1" s="55" t="s">
        <v>15141</v>
      </c>
      <c r="BR1" s="54" t="s">
        <v>15142</v>
      </c>
      <c r="BS1" s="54" t="s">
        <v>15143</v>
      </c>
      <c r="BT1" s="54" t="s">
        <v>15144</v>
      </c>
      <c r="BU1" s="54" t="s">
        <v>15145</v>
      </c>
      <c r="BV1" s="54" t="s">
        <v>15146</v>
      </c>
      <c r="BW1" s="54" t="s">
        <v>15147</v>
      </c>
      <c r="BX1" s="65" t="s">
        <v>15148</v>
      </c>
      <c r="BY1" s="54" t="s">
        <v>15149</v>
      </c>
      <c r="BZ1" s="54" t="s">
        <v>15150</v>
      </c>
      <c r="CA1" s="54" t="s">
        <v>15151</v>
      </c>
      <c r="CB1" s="54" t="s">
        <v>15152</v>
      </c>
      <c r="CC1" s="54" t="s">
        <v>15153</v>
      </c>
      <c r="CD1" s="55" t="s">
        <v>15154</v>
      </c>
    </row>
    <row r="2" ht="108" spans="1:82">
      <c r="A2" s="56" t="s">
        <v>15155</v>
      </c>
      <c r="B2" s="57" t="s">
        <v>15156</v>
      </c>
      <c r="C2" s="58"/>
      <c r="D2" s="57" t="s">
        <v>15157</v>
      </c>
      <c r="E2" s="57" t="s">
        <v>15158</v>
      </c>
      <c r="F2" s="57" t="s">
        <v>15159</v>
      </c>
      <c r="G2" s="57" t="s">
        <v>15160</v>
      </c>
      <c r="H2" s="56" t="s">
        <v>15161</v>
      </c>
      <c r="I2" s="60">
        <v>9900</v>
      </c>
      <c r="J2" s="57" t="s">
        <v>1285</v>
      </c>
      <c r="K2" s="57" t="s">
        <v>15162</v>
      </c>
      <c r="L2" s="57" t="s">
        <v>15163</v>
      </c>
      <c r="M2" s="61" t="s">
        <v>15164</v>
      </c>
      <c r="N2" s="58"/>
      <c r="O2" s="57" t="s">
        <v>15165</v>
      </c>
      <c r="P2" s="57" t="s">
        <v>15166</v>
      </c>
      <c r="Q2" s="57" t="s">
        <v>15161</v>
      </c>
      <c r="R2" s="57" t="s">
        <v>15167</v>
      </c>
      <c r="S2" s="57" t="s">
        <v>15168</v>
      </c>
      <c r="T2" s="58"/>
      <c r="U2" s="57" t="s">
        <v>14184</v>
      </c>
      <c r="V2" s="56" t="s">
        <v>14153</v>
      </c>
      <c r="W2" s="58"/>
      <c r="X2" s="57" t="s">
        <v>15169</v>
      </c>
      <c r="Y2" s="57" t="s">
        <v>15170</v>
      </c>
      <c r="Z2" s="61" t="s">
        <v>14605</v>
      </c>
      <c r="AA2" s="61" t="s">
        <v>15164</v>
      </c>
      <c r="AB2" s="57" t="s">
        <v>15171</v>
      </c>
      <c r="AC2" s="57" t="s">
        <v>15172</v>
      </c>
      <c r="AD2" s="58"/>
      <c r="AE2" s="58"/>
      <c r="AF2" s="57" t="s">
        <v>15173</v>
      </c>
      <c r="AG2" s="58"/>
      <c r="AH2" s="58"/>
      <c r="AI2" s="57" t="s">
        <v>15173</v>
      </c>
      <c r="AJ2" s="58"/>
      <c r="AK2" s="56" t="s">
        <v>1285</v>
      </c>
      <c r="AL2" s="56" t="s">
        <v>15174</v>
      </c>
      <c r="AM2" s="58"/>
      <c r="AN2" s="56" t="s">
        <v>15175</v>
      </c>
      <c r="AO2" s="58"/>
      <c r="AP2" s="63">
        <v>45770.5369328704</v>
      </c>
      <c r="AQ2" s="56" t="s">
        <v>15176</v>
      </c>
      <c r="AR2" s="61" t="s">
        <v>15030</v>
      </c>
      <c r="AS2" s="57" t="s">
        <v>14184</v>
      </c>
      <c r="AT2" s="56" t="s">
        <v>15177</v>
      </c>
      <c r="AU2" s="56" t="s">
        <v>15178</v>
      </c>
      <c r="AV2" s="58"/>
      <c r="AW2" s="64">
        <v>45747.8071296296</v>
      </c>
      <c r="AX2" s="56" t="s">
        <v>15174</v>
      </c>
      <c r="AY2" s="56" t="s">
        <v>15179</v>
      </c>
      <c r="AZ2" s="58"/>
      <c r="BA2" s="58"/>
      <c r="BB2" s="58"/>
      <c r="BC2" s="58"/>
      <c r="BD2" s="56" t="s">
        <v>15180</v>
      </c>
      <c r="BE2" s="58"/>
      <c r="BF2" s="56" t="s">
        <v>15181</v>
      </c>
      <c r="BG2" s="58"/>
      <c r="BH2" s="58"/>
      <c r="BI2" s="57" t="s">
        <v>732</v>
      </c>
      <c r="BJ2" s="58"/>
      <c r="BK2" s="58"/>
      <c r="BL2" s="58"/>
      <c r="BM2" s="58"/>
      <c r="BN2" s="67">
        <v>9900</v>
      </c>
      <c r="BO2" s="58"/>
      <c r="BP2" s="56" t="s">
        <v>15182</v>
      </c>
      <c r="BQ2" s="58"/>
      <c r="BR2" s="58"/>
      <c r="BS2" s="58"/>
      <c r="BT2" s="58"/>
      <c r="BU2" s="56" t="s">
        <v>15176</v>
      </c>
      <c r="BV2" s="58"/>
      <c r="BW2" s="58"/>
      <c r="BX2" s="67">
        <v>9900</v>
      </c>
      <c r="BY2" s="58"/>
      <c r="BZ2" s="58"/>
      <c r="CA2" s="56" t="s">
        <v>15183</v>
      </c>
      <c r="CB2" s="56" t="s">
        <v>15183</v>
      </c>
      <c r="CC2" s="58"/>
      <c r="CD2" s="58"/>
    </row>
    <row r="3" ht="108" spans="1:82">
      <c r="A3" s="56" t="s">
        <v>15184</v>
      </c>
      <c r="B3" s="58"/>
      <c r="C3" s="57" t="s">
        <v>15185</v>
      </c>
      <c r="D3" s="58"/>
      <c r="E3" s="57" t="s">
        <v>15158</v>
      </c>
      <c r="F3" s="57" t="s">
        <v>15186</v>
      </c>
      <c r="G3" s="57" t="s">
        <v>15160</v>
      </c>
      <c r="H3" s="56" t="s">
        <v>3112</v>
      </c>
      <c r="I3" s="60">
        <v>694.77</v>
      </c>
      <c r="J3" s="57" t="s">
        <v>1285</v>
      </c>
      <c r="K3" s="57" t="s">
        <v>15162</v>
      </c>
      <c r="L3" s="57" t="s">
        <v>15163</v>
      </c>
      <c r="M3" s="61" t="s">
        <v>15164</v>
      </c>
      <c r="N3" s="62" t="s">
        <v>15187</v>
      </c>
      <c r="O3" s="57" t="s">
        <v>15165</v>
      </c>
      <c r="P3" s="57" t="s">
        <v>15166</v>
      </c>
      <c r="Q3" s="57" t="s">
        <v>3112</v>
      </c>
      <c r="R3" s="57" t="s">
        <v>15188</v>
      </c>
      <c r="S3" s="57" t="s">
        <v>15189</v>
      </c>
      <c r="T3" s="57" t="s">
        <v>15190</v>
      </c>
      <c r="U3" s="57" t="s">
        <v>14184</v>
      </c>
      <c r="V3" s="56" t="s">
        <v>14153</v>
      </c>
      <c r="W3" s="58"/>
      <c r="X3" s="57" t="s">
        <v>15191</v>
      </c>
      <c r="Y3" s="57" t="s">
        <v>15170</v>
      </c>
      <c r="Z3" s="61" t="s">
        <v>14605</v>
      </c>
      <c r="AA3" s="61" t="s">
        <v>15164</v>
      </c>
      <c r="AB3" s="58"/>
      <c r="AC3" s="57" t="s">
        <v>15172</v>
      </c>
      <c r="AD3" s="58"/>
      <c r="AE3" s="58"/>
      <c r="AF3" s="58"/>
      <c r="AG3" s="58"/>
      <c r="AH3" s="58"/>
      <c r="AI3" s="58"/>
      <c r="AJ3" s="58"/>
      <c r="AK3" s="56" t="s">
        <v>1285</v>
      </c>
      <c r="AL3" s="56" t="s">
        <v>15192</v>
      </c>
      <c r="AM3" s="58"/>
      <c r="AN3" s="56" t="s">
        <v>15193</v>
      </c>
      <c r="AO3" s="58"/>
      <c r="AP3" s="63">
        <v>45770.5437268519</v>
      </c>
      <c r="AQ3" s="56" t="s">
        <v>15194</v>
      </c>
      <c r="AR3" s="61" t="s">
        <v>15030</v>
      </c>
      <c r="AS3" s="57" t="s">
        <v>14184</v>
      </c>
      <c r="AT3" s="56" t="s">
        <v>15177</v>
      </c>
      <c r="AU3" s="56" t="s">
        <v>15195</v>
      </c>
      <c r="AV3" s="58"/>
      <c r="AW3" s="64">
        <v>45706.4710069444</v>
      </c>
      <c r="AX3" s="56" t="s">
        <v>15192</v>
      </c>
      <c r="AY3" s="56" t="s">
        <v>15179</v>
      </c>
      <c r="AZ3" s="58"/>
      <c r="BA3" s="58"/>
      <c r="BB3" s="58"/>
      <c r="BC3" s="56" t="s">
        <v>15196</v>
      </c>
      <c r="BD3" s="56" t="s">
        <v>15197</v>
      </c>
      <c r="BE3" s="58"/>
      <c r="BF3" s="56" t="s">
        <v>15181</v>
      </c>
      <c r="BG3" s="58"/>
      <c r="BH3" s="58"/>
      <c r="BI3" s="57" t="s">
        <v>2801</v>
      </c>
      <c r="BJ3" s="58"/>
      <c r="BK3" s="58"/>
      <c r="BL3" s="66">
        <v>3454979</v>
      </c>
      <c r="BM3" s="56" t="s">
        <v>15198</v>
      </c>
      <c r="BN3" s="58"/>
      <c r="BO3" s="67">
        <v>150</v>
      </c>
      <c r="BP3" s="56" t="s">
        <v>15182</v>
      </c>
      <c r="BQ3" s="58"/>
      <c r="BR3" s="56" t="s">
        <v>15199</v>
      </c>
      <c r="BS3" s="56" t="s">
        <v>1285</v>
      </c>
      <c r="BT3" s="58"/>
      <c r="BU3" s="56" t="s">
        <v>15194</v>
      </c>
      <c r="BV3" s="58"/>
      <c r="BW3" s="58"/>
      <c r="BX3" s="67">
        <v>150</v>
      </c>
      <c r="BY3" s="58"/>
      <c r="BZ3" s="58"/>
      <c r="CA3" s="58"/>
      <c r="CB3" s="58"/>
      <c r="CC3" s="58"/>
      <c r="CD3" s="58"/>
    </row>
    <row r="4" ht="108" spans="1:82">
      <c r="A4" s="56" t="s">
        <v>15200</v>
      </c>
      <c r="B4" s="58"/>
      <c r="C4" s="57" t="s">
        <v>15185</v>
      </c>
      <c r="D4" s="58"/>
      <c r="E4" s="57" t="s">
        <v>15158</v>
      </c>
      <c r="F4" s="57" t="s">
        <v>15186</v>
      </c>
      <c r="G4" s="57" t="s">
        <v>15160</v>
      </c>
      <c r="H4" s="56" t="s">
        <v>3112</v>
      </c>
      <c r="I4" s="60">
        <v>694.77</v>
      </c>
      <c r="J4" s="57" t="s">
        <v>1285</v>
      </c>
      <c r="K4" s="57" t="s">
        <v>15162</v>
      </c>
      <c r="L4" s="57" t="s">
        <v>15163</v>
      </c>
      <c r="M4" s="61" t="s">
        <v>15164</v>
      </c>
      <c r="N4" s="62" t="s">
        <v>15187</v>
      </c>
      <c r="O4" s="57" t="s">
        <v>15165</v>
      </c>
      <c r="P4" s="57" t="s">
        <v>15166</v>
      </c>
      <c r="Q4" s="57" t="s">
        <v>3112</v>
      </c>
      <c r="R4" s="57" t="s">
        <v>15188</v>
      </c>
      <c r="S4" s="57" t="s">
        <v>15189</v>
      </c>
      <c r="T4" s="57" t="s">
        <v>15190</v>
      </c>
      <c r="U4" s="57" t="s">
        <v>14184</v>
      </c>
      <c r="V4" s="56" t="s">
        <v>14153</v>
      </c>
      <c r="W4" s="58"/>
      <c r="X4" s="57" t="s">
        <v>15191</v>
      </c>
      <c r="Y4" s="57" t="s">
        <v>15170</v>
      </c>
      <c r="Z4" s="61" t="s">
        <v>14605</v>
      </c>
      <c r="AA4" s="61" t="s">
        <v>15164</v>
      </c>
      <c r="AB4" s="58"/>
      <c r="AC4" s="57" t="s">
        <v>15172</v>
      </c>
      <c r="AD4" s="58"/>
      <c r="AE4" s="58"/>
      <c r="AF4" s="58"/>
      <c r="AG4" s="58"/>
      <c r="AH4" s="58"/>
      <c r="AI4" s="58"/>
      <c r="AJ4" s="58"/>
      <c r="AK4" s="56" t="s">
        <v>1285</v>
      </c>
      <c r="AL4" s="56" t="s">
        <v>15192</v>
      </c>
      <c r="AM4" s="58"/>
      <c r="AN4" s="56" t="s">
        <v>15193</v>
      </c>
      <c r="AO4" s="58"/>
      <c r="AP4" s="63">
        <v>45770.5437268519</v>
      </c>
      <c r="AQ4" s="56" t="s">
        <v>15194</v>
      </c>
      <c r="AR4" s="61" t="s">
        <v>15030</v>
      </c>
      <c r="AS4" s="57" t="s">
        <v>14184</v>
      </c>
      <c r="AT4" s="56" t="s">
        <v>15177</v>
      </c>
      <c r="AU4" s="56" t="s">
        <v>15195</v>
      </c>
      <c r="AV4" s="58"/>
      <c r="AW4" s="64">
        <v>45706.4710069444</v>
      </c>
      <c r="AX4" s="56" t="s">
        <v>15192</v>
      </c>
      <c r="AY4" s="56" t="s">
        <v>15179</v>
      </c>
      <c r="AZ4" s="58"/>
      <c r="BA4" s="58"/>
      <c r="BB4" s="58"/>
      <c r="BC4" s="56" t="s">
        <v>15196</v>
      </c>
      <c r="BD4" s="56" t="s">
        <v>15197</v>
      </c>
      <c r="BE4" s="58"/>
      <c r="BF4" s="56" t="s">
        <v>15181</v>
      </c>
      <c r="BG4" s="58"/>
      <c r="BH4" s="58"/>
      <c r="BI4" s="57" t="s">
        <v>2801</v>
      </c>
      <c r="BJ4" s="58"/>
      <c r="BK4" s="58"/>
      <c r="BL4" s="66">
        <v>3454977</v>
      </c>
      <c r="BM4" s="56" t="s">
        <v>15198</v>
      </c>
      <c r="BN4" s="58"/>
      <c r="BO4" s="67">
        <v>244.77</v>
      </c>
      <c r="BP4" s="56" t="s">
        <v>15182</v>
      </c>
      <c r="BQ4" s="58"/>
      <c r="BR4" s="56" t="s">
        <v>15199</v>
      </c>
      <c r="BS4" s="56" t="s">
        <v>1285</v>
      </c>
      <c r="BT4" s="58"/>
      <c r="BU4" s="56" t="s">
        <v>15194</v>
      </c>
      <c r="BV4" s="58"/>
      <c r="BW4" s="58"/>
      <c r="BX4" s="67">
        <v>244.77</v>
      </c>
      <c r="BY4" s="58"/>
      <c r="BZ4" s="58"/>
      <c r="CA4" s="58"/>
      <c r="CB4" s="58"/>
      <c r="CC4" s="58"/>
      <c r="CD4" s="58"/>
    </row>
    <row r="5" ht="108" spans="1:82">
      <c r="A5" s="56" t="s">
        <v>15201</v>
      </c>
      <c r="B5" s="58"/>
      <c r="C5" s="57" t="s">
        <v>15185</v>
      </c>
      <c r="D5" s="58"/>
      <c r="E5" s="57" t="s">
        <v>15158</v>
      </c>
      <c r="F5" s="57" t="s">
        <v>15186</v>
      </c>
      <c r="G5" s="57" t="s">
        <v>15160</v>
      </c>
      <c r="H5" s="56" t="s">
        <v>3112</v>
      </c>
      <c r="I5" s="60">
        <v>694.77</v>
      </c>
      <c r="J5" s="57" t="s">
        <v>1285</v>
      </c>
      <c r="K5" s="57" t="s">
        <v>15162</v>
      </c>
      <c r="L5" s="57" t="s">
        <v>15163</v>
      </c>
      <c r="M5" s="61" t="s">
        <v>15164</v>
      </c>
      <c r="N5" s="62" t="s">
        <v>15187</v>
      </c>
      <c r="O5" s="57" t="s">
        <v>15165</v>
      </c>
      <c r="P5" s="57" t="s">
        <v>15166</v>
      </c>
      <c r="Q5" s="57" t="s">
        <v>3112</v>
      </c>
      <c r="R5" s="57" t="s">
        <v>15188</v>
      </c>
      <c r="S5" s="57" t="s">
        <v>15189</v>
      </c>
      <c r="T5" s="57" t="s">
        <v>15190</v>
      </c>
      <c r="U5" s="57" t="s">
        <v>14184</v>
      </c>
      <c r="V5" s="56" t="s">
        <v>14153</v>
      </c>
      <c r="W5" s="58"/>
      <c r="X5" s="57" t="s">
        <v>15191</v>
      </c>
      <c r="Y5" s="57" t="s">
        <v>15170</v>
      </c>
      <c r="Z5" s="61" t="s">
        <v>14605</v>
      </c>
      <c r="AA5" s="61" t="s">
        <v>15164</v>
      </c>
      <c r="AB5" s="58"/>
      <c r="AC5" s="57" t="s">
        <v>15172</v>
      </c>
      <c r="AD5" s="58"/>
      <c r="AE5" s="58"/>
      <c r="AF5" s="58"/>
      <c r="AG5" s="58"/>
      <c r="AH5" s="58"/>
      <c r="AI5" s="58"/>
      <c r="AJ5" s="58"/>
      <c r="AK5" s="56" t="s">
        <v>1285</v>
      </c>
      <c r="AL5" s="56" t="s">
        <v>15192</v>
      </c>
      <c r="AM5" s="58"/>
      <c r="AN5" s="56" t="s">
        <v>15193</v>
      </c>
      <c r="AO5" s="58"/>
      <c r="AP5" s="63">
        <v>45770.5437268519</v>
      </c>
      <c r="AQ5" s="56" t="s">
        <v>15194</v>
      </c>
      <c r="AR5" s="61" t="s">
        <v>15030</v>
      </c>
      <c r="AS5" s="57" t="s">
        <v>14184</v>
      </c>
      <c r="AT5" s="56" t="s">
        <v>15177</v>
      </c>
      <c r="AU5" s="56" t="s">
        <v>15195</v>
      </c>
      <c r="AV5" s="58"/>
      <c r="AW5" s="64">
        <v>45706.4710069444</v>
      </c>
      <c r="AX5" s="56" t="s">
        <v>15192</v>
      </c>
      <c r="AY5" s="56" t="s">
        <v>15179</v>
      </c>
      <c r="AZ5" s="58"/>
      <c r="BA5" s="58"/>
      <c r="BB5" s="58"/>
      <c r="BC5" s="56" t="s">
        <v>15196</v>
      </c>
      <c r="BD5" s="56" t="s">
        <v>15197</v>
      </c>
      <c r="BE5" s="58"/>
      <c r="BF5" s="56" t="s">
        <v>15181</v>
      </c>
      <c r="BG5" s="58"/>
      <c r="BH5" s="58"/>
      <c r="BI5" s="57" t="s">
        <v>2801</v>
      </c>
      <c r="BJ5" s="58"/>
      <c r="BK5" s="58"/>
      <c r="BL5" s="66">
        <v>3454978</v>
      </c>
      <c r="BM5" s="56" t="s">
        <v>15198</v>
      </c>
      <c r="BN5" s="58"/>
      <c r="BO5" s="67">
        <v>300</v>
      </c>
      <c r="BP5" s="56" t="s">
        <v>15182</v>
      </c>
      <c r="BQ5" s="58"/>
      <c r="BR5" s="56" t="s">
        <v>15199</v>
      </c>
      <c r="BS5" s="56" t="s">
        <v>1285</v>
      </c>
      <c r="BT5" s="58"/>
      <c r="BU5" s="56" t="s">
        <v>15194</v>
      </c>
      <c r="BV5" s="58"/>
      <c r="BW5" s="58"/>
      <c r="BX5" s="67">
        <v>300</v>
      </c>
      <c r="BY5" s="58"/>
      <c r="BZ5" s="58"/>
      <c r="CA5" s="58"/>
      <c r="CB5" s="58"/>
      <c r="CC5" s="58"/>
      <c r="CD5" s="58"/>
    </row>
    <row r="6" ht="108" spans="1:82">
      <c r="A6" s="56" t="s">
        <v>15202</v>
      </c>
      <c r="B6" s="58"/>
      <c r="C6" s="57" t="s">
        <v>15203</v>
      </c>
      <c r="D6" s="58"/>
      <c r="E6" s="57" t="s">
        <v>15158</v>
      </c>
      <c r="F6" s="57" t="s">
        <v>15204</v>
      </c>
      <c r="G6" s="57" t="s">
        <v>15160</v>
      </c>
      <c r="H6" s="56" t="s">
        <v>3304</v>
      </c>
      <c r="I6" s="60">
        <v>300</v>
      </c>
      <c r="J6" s="57" t="s">
        <v>1285</v>
      </c>
      <c r="K6" s="57" t="s">
        <v>15162</v>
      </c>
      <c r="L6" s="57" t="s">
        <v>15163</v>
      </c>
      <c r="M6" s="61" t="s">
        <v>15164</v>
      </c>
      <c r="N6" s="62" t="s">
        <v>15205</v>
      </c>
      <c r="O6" s="57" t="s">
        <v>15165</v>
      </c>
      <c r="P6" s="57" t="s">
        <v>15166</v>
      </c>
      <c r="Q6" s="57" t="s">
        <v>3304</v>
      </c>
      <c r="R6" s="57" t="s">
        <v>15206</v>
      </c>
      <c r="S6" s="57" t="s">
        <v>15207</v>
      </c>
      <c r="T6" s="57" t="s">
        <v>15190</v>
      </c>
      <c r="U6" s="57" t="s">
        <v>14184</v>
      </c>
      <c r="V6" s="56" t="s">
        <v>14153</v>
      </c>
      <c r="W6" s="58"/>
      <c r="X6" s="57" t="s">
        <v>15208</v>
      </c>
      <c r="Y6" s="57" t="s">
        <v>15170</v>
      </c>
      <c r="Z6" s="61" t="s">
        <v>14605</v>
      </c>
      <c r="AA6" s="61" t="s">
        <v>15164</v>
      </c>
      <c r="AB6" s="58"/>
      <c r="AC6" s="57" t="s">
        <v>15172</v>
      </c>
      <c r="AD6" s="58"/>
      <c r="AE6" s="58"/>
      <c r="AF6" s="58"/>
      <c r="AG6" s="58"/>
      <c r="AH6" s="58"/>
      <c r="AI6" s="58"/>
      <c r="AJ6" s="58"/>
      <c r="AK6" s="56" t="s">
        <v>1285</v>
      </c>
      <c r="AL6" s="56" t="s">
        <v>15209</v>
      </c>
      <c r="AM6" s="58"/>
      <c r="AN6" s="56" t="s">
        <v>15210</v>
      </c>
      <c r="AO6" s="58"/>
      <c r="AP6" s="63">
        <v>45770.5388888889</v>
      </c>
      <c r="AQ6" s="56" t="s">
        <v>15211</v>
      </c>
      <c r="AR6" s="61" t="s">
        <v>15030</v>
      </c>
      <c r="AS6" s="57" t="s">
        <v>14184</v>
      </c>
      <c r="AT6" s="56" t="s">
        <v>15177</v>
      </c>
      <c r="AU6" s="56" t="s">
        <v>15212</v>
      </c>
      <c r="AV6" s="58"/>
      <c r="AW6" s="64">
        <v>45693.7998842593</v>
      </c>
      <c r="AX6" s="56" t="s">
        <v>15209</v>
      </c>
      <c r="AY6" s="56" t="s">
        <v>15179</v>
      </c>
      <c r="AZ6" s="58"/>
      <c r="BA6" s="58"/>
      <c r="BB6" s="58"/>
      <c r="BC6" s="56" t="s">
        <v>15213</v>
      </c>
      <c r="BD6" s="56" t="s">
        <v>15197</v>
      </c>
      <c r="BE6" s="58"/>
      <c r="BF6" s="56" t="s">
        <v>15181</v>
      </c>
      <c r="BG6" s="58"/>
      <c r="BH6" s="58"/>
      <c r="BI6" s="57" t="s">
        <v>2801</v>
      </c>
      <c r="BJ6" s="58"/>
      <c r="BK6" s="58"/>
      <c r="BL6" s="66">
        <v>3399088</v>
      </c>
      <c r="BM6" s="56" t="s">
        <v>15214</v>
      </c>
      <c r="BN6" s="58"/>
      <c r="BO6" s="67">
        <v>300</v>
      </c>
      <c r="BP6" s="56" t="s">
        <v>15182</v>
      </c>
      <c r="BQ6" s="58"/>
      <c r="BR6" s="56" t="s">
        <v>15215</v>
      </c>
      <c r="BS6" s="56" t="s">
        <v>1285</v>
      </c>
      <c r="BT6" s="58"/>
      <c r="BU6" s="56" t="s">
        <v>15211</v>
      </c>
      <c r="BV6" s="58"/>
      <c r="BW6" s="58"/>
      <c r="BX6" s="67">
        <v>300</v>
      </c>
      <c r="BY6" s="58"/>
      <c r="BZ6" s="58"/>
      <c r="CA6" s="58"/>
      <c r="CB6" s="58"/>
      <c r="CC6" s="58"/>
      <c r="CD6" s="58"/>
    </row>
    <row r="7" ht="108" spans="1:82">
      <c r="A7" s="56" t="s">
        <v>15216</v>
      </c>
      <c r="B7" s="58"/>
      <c r="C7" s="57" t="s">
        <v>15217</v>
      </c>
      <c r="D7" s="58"/>
      <c r="E7" s="57" t="s">
        <v>15158</v>
      </c>
      <c r="F7" s="57" t="s">
        <v>15218</v>
      </c>
      <c r="G7" s="57" t="s">
        <v>15160</v>
      </c>
      <c r="H7" s="56" t="s">
        <v>2999</v>
      </c>
      <c r="I7" s="60">
        <v>3600</v>
      </c>
      <c r="J7" s="57" t="s">
        <v>1285</v>
      </c>
      <c r="K7" s="57" t="s">
        <v>15162</v>
      </c>
      <c r="L7" s="57" t="s">
        <v>15163</v>
      </c>
      <c r="M7" s="61" t="s">
        <v>15164</v>
      </c>
      <c r="N7" s="62" t="s">
        <v>15205</v>
      </c>
      <c r="O7" s="57" t="s">
        <v>15165</v>
      </c>
      <c r="P7" s="57" t="s">
        <v>15166</v>
      </c>
      <c r="Q7" s="57" t="s">
        <v>2999</v>
      </c>
      <c r="R7" s="57" t="s">
        <v>15219</v>
      </c>
      <c r="S7" s="57" t="s">
        <v>15220</v>
      </c>
      <c r="T7" s="57" t="s">
        <v>15190</v>
      </c>
      <c r="U7" s="57" t="s">
        <v>14184</v>
      </c>
      <c r="V7" s="56" t="s">
        <v>14153</v>
      </c>
      <c r="W7" s="58"/>
      <c r="X7" s="57" t="s">
        <v>15221</v>
      </c>
      <c r="Y7" s="57" t="s">
        <v>15170</v>
      </c>
      <c r="Z7" s="61" t="s">
        <v>14605</v>
      </c>
      <c r="AA7" s="61" t="s">
        <v>15164</v>
      </c>
      <c r="AB7" s="58"/>
      <c r="AC7" s="57" t="s">
        <v>15172</v>
      </c>
      <c r="AD7" s="58"/>
      <c r="AE7" s="58"/>
      <c r="AF7" s="58"/>
      <c r="AG7" s="58"/>
      <c r="AH7" s="58"/>
      <c r="AI7" s="58"/>
      <c r="AJ7" s="58"/>
      <c r="AK7" s="56" t="s">
        <v>1285</v>
      </c>
      <c r="AL7" s="56" t="s">
        <v>15222</v>
      </c>
      <c r="AM7" s="58"/>
      <c r="AN7" s="56" t="s">
        <v>15223</v>
      </c>
      <c r="AO7" s="58"/>
      <c r="AP7" s="63">
        <v>45770.5388194444</v>
      </c>
      <c r="AQ7" s="56" t="s">
        <v>15224</v>
      </c>
      <c r="AR7" s="61" t="s">
        <v>15030</v>
      </c>
      <c r="AS7" s="57" t="s">
        <v>14184</v>
      </c>
      <c r="AT7" s="56" t="s">
        <v>15177</v>
      </c>
      <c r="AU7" s="56" t="s">
        <v>15225</v>
      </c>
      <c r="AV7" s="58"/>
      <c r="AW7" s="64">
        <v>45693.7552083333</v>
      </c>
      <c r="AX7" s="56" t="s">
        <v>15222</v>
      </c>
      <c r="AY7" s="56" t="s">
        <v>15179</v>
      </c>
      <c r="AZ7" s="58"/>
      <c r="BA7" s="58"/>
      <c r="BB7" s="58"/>
      <c r="BC7" s="56" t="s">
        <v>2131</v>
      </c>
      <c r="BD7" s="56" t="s">
        <v>15197</v>
      </c>
      <c r="BE7" s="56" t="s">
        <v>15226</v>
      </c>
      <c r="BF7" s="56" t="s">
        <v>15181</v>
      </c>
      <c r="BG7" s="58"/>
      <c r="BH7" s="58"/>
      <c r="BI7" s="57" t="s">
        <v>2801</v>
      </c>
      <c r="BJ7" s="58"/>
      <c r="BK7" s="58"/>
      <c r="BL7" s="66">
        <v>3400708</v>
      </c>
      <c r="BM7" s="56" t="s">
        <v>15227</v>
      </c>
      <c r="BN7" s="58"/>
      <c r="BO7" s="67">
        <v>1800</v>
      </c>
      <c r="BP7" s="56" t="s">
        <v>15182</v>
      </c>
      <c r="BQ7" s="58"/>
      <c r="BR7" s="56" t="s">
        <v>15228</v>
      </c>
      <c r="BS7" s="56" t="s">
        <v>1285</v>
      </c>
      <c r="BT7" s="58"/>
      <c r="BU7" s="56" t="s">
        <v>15224</v>
      </c>
      <c r="BV7" s="58"/>
      <c r="BW7" s="58"/>
      <c r="BX7" s="67">
        <v>1800</v>
      </c>
      <c r="BY7" s="56" t="s">
        <v>1285</v>
      </c>
      <c r="BZ7" s="58"/>
      <c r="CA7" s="58"/>
      <c r="CB7" s="58"/>
      <c r="CC7" s="58"/>
      <c r="CD7" s="58"/>
    </row>
    <row r="8" ht="108" spans="1:82">
      <c r="A8" s="56" t="s">
        <v>15229</v>
      </c>
      <c r="B8" s="58"/>
      <c r="C8" s="57" t="s">
        <v>15217</v>
      </c>
      <c r="D8" s="58"/>
      <c r="E8" s="57" t="s">
        <v>15158</v>
      </c>
      <c r="F8" s="57" t="s">
        <v>15218</v>
      </c>
      <c r="G8" s="57" t="s">
        <v>15160</v>
      </c>
      <c r="H8" s="56" t="s">
        <v>2999</v>
      </c>
      <c r="I8" s="60">
        <v>3600</v>
      </c>
      <c r="J8" s="57" t="s">
        <v>1285</v>
      </c>
      <c r="K8" s="57" t="s">
        <v>15162</v>
      </c>
      <c r="L8" s="57" t="s">
        <v>15163</v>
      </c>
      <c r="M8" s="61" t="s">
        <v>15164</v>
      </c>
      <c r="N8" s="62" t="s">
        <v>15205</v>
      </c>
      <c r="O8" s="57" t="s">
        <v>15165</v>
      </c>
      <c r="P8" s="57" t="s">
        <v>15166</v>
      </c>
      <c r="Q8" s="57" t="s">
        <v>2999</v>
      </c>
      <c r="R8" s="57" t="s">
        <v>15219</v>
      </c>
      <c r="S8" s="57" t="s">
        <v>15220</v>
      </c>
      <c r="T8" s="57" t="s">
        <v>15190</v>
      </c>
      <c r="U8" s="57" t="s">
        <v>14184</v>
      </c>
      <c r="V8" s="56" t="s">
        <v>14153</v>
      </c>
      <c r="W8" s="58"/>
      <c r="X8" s="57" t="s">
        <v>15221</v>
      </c>
      <c r="Y8" s="57" t="s">
        <v>15170</v>
      </c>
      <c r="Z8" s="61" t="s">
        <v>14605</v>
      </c>
      <c r="AA8" s="61" t="s">
        <v>15164</v>
      </c>
      <c r="AB8" s="58"/>
      <c r="AC8" s="57" t="s">
        <v>15172</v>
      </c>
      <c r="AD8" s="58"/>
      <c r="AE8" s="58"/>
      <c r="AF8" s="58"/>
      <c r="AG8" s="58"/>
      <c r="AH8" s="58"/>
      <c r="AI8" s="58"/>
      <c r="AJ8" s="58"/>
      <c r="AK8" s="56" t="s">
        <v>1285</v>
      </c>
      <c r="AL8" s="56" t="s">
        <v>15222</v>
      </c>
      <c r="AM8" s="58"/>
      <c r="AN8" s="56" t="s">
        <v>15223</v>
      </c>
      <c r="AO8" s="58"/>
      <c r="AP8" s="63">
        <v>45770.5388194444</v>
      </c>
      <c r="AQ8" s="56" t="s">
        <v>15224</v>
      </c>
      <c r="AR8" s="61" t="s">
        <v>15030</v>
      </c>
      <c r="AS8" s="57" t="s">
        <v>14184</v>
      </c>
      <c r="AT8" s="56" t="s">
        <v>15177</v>
      </c>
      <c r="AU8" s="56" t="s">
        <v>15225</v>
      </c>
      <c r="AV8" s="58"/>
      <c r="AW8" s="64">
        <v>45693.7552083333</v>
      </c>
      <c r="AX8" s="56" t="s">
        <v>15222</v>
      </c>
      <c r="AY8" s="56" t="s">
        <v>15179</v>
      </c>
      <c r="AZ8" s="58"/>
      <c r="BA8" s="58"/>
      <c r="BB8" s="58"/>
      <c r="BC8" s="56" t="s">
        <v>2131</v>
      </c>
      <c r="BD8" s="56" t="s">
        <v>15197</v>
      </c>
      <c r="BE8" s="56" t="s">
        <v>15226</v>
      </c>
      <c r="BF8" s="56" t="s">
        <v>15181</v>
      </c>
      <c r="BG8" s="58"/>
      <c r="BH8" s="58"/>
      <c r="BI8" s="57" t="s">
        <v>2801</v>
      </c>
      <c r="BJ8" s="58"/>
      <c r="BK8" s="58"/>
      <c r="BL8" s="66">
        <v>3400707</v>
      </c>
      <c r="BM8" s="56" t="s">
        <v>15227</v>
      </c>
      <c r="BN8" s="58"/>
      <c r="BO8" s="67">
        <v>1800</v>
      </c>
      <c r="BP8" s="56" t="s">
        <v>15182</v>
      </c>
      <c r="BQ8" s="58"/>
      <c r="BR8" s="56" t="s">
        <v>15228</v>
      </c>
      <c r="BS8" s="56" t="s">
        <v>1285</v>
      </c>
      <c r="BT8" s="58"/>
      <c r="BU8" s="56" t="s">
        <v>15224</v>
      </c>
      <c r="BV8" s="58"/>
      <c r="BW8" s="58"/>
      <c r="BX8" s="67">
        <v>1800</v>
      </c>
      <c r="BY8" s="56" t="s">
        <v>1285</v>
      </c>
      <c r="BZ8" s="58"/>
      <c r="CA8" s="58"/>
      <c r="CB8" s="58"/>
      <c r="CC8" s="58"/>
      <c r="CD8" s="58"/>
    </row>
    <row r="9" ht="108" spans="1:82">
      <c r="A9" s="56" t="s">
        <v>15230</v>
      </c>
      <c r="B9" s="58"/>
      <c r="C9" s="57" t="s">
        <v>15231</v>
      </c>
      <c r="D9" s="58"/>
      <c r="E9" s="57" t="s">
        <v>15158</v>
      </c>
      <c r="F9" s="57" t="s">
        <v>15232</v>
      </c>
      <c r="G9" s="57" t="s">
        <v>15160</v>
      </c>
      <c r="H9" s="56" t="s">
        <v>3031</v>
      </c>
      <c r="I9" s="60">
        <v>215</v>
      </c>
      <c r="J9" s="57" t="s">
        <v>1285</v>
      </c>
      <c r="K9" s="57" t="s">
        <v>15162</v>
      </c>
      <c r="L9" s="57" t="s">
        <v>15163</v>
      </c>
      <c r="M9" s="61" t="s">
        <v>15164</v>
      </c>
      <c r="N9" s="62" t="s">
        <v>15205</v>
      </c>
      <c r="O9" s="57" t="s">
        <v>15165</v>
      </c>
      <c r="P9" s="57" t="s">
        <v>15166</v>
      </c>
      <c r="Q9" s="57" t="s">
        <v>3031</v>
      </c>
      <c r="R9" s="57" t="s">
        <v>15233</v>
      </c>
      <c r="S9" s="57" t="s">
        <v>15234</v>
      </c>
      <c r="T9" s="57" t="s">
        <v>15190</v>
      </c>
      <c r="U9" s="57" t="s">
        <v>14184</v>
      </c>
      <c r="V9" s="56" t="s">
        <v>14153</v>
      </c>
      <c r="W9" s="58"/>
      <c r="X9" s="57" t="s">
        <v>15235</v>
      </c>
      <c r="Y9" s="57" t="s">
        <v>15170</v>
      </c>
      <c r="Z9" s="61" t="s">
        <v>14605</v>
      </c>
      <c r="AA9" s="61" t="s">
        <v>15164</v>
      </c>
      <c r="AB9" s="58"/>
      <c r="AC9" s="57" t="s">
        <v>15172</v>
      </c>
      <c r="AD9" s="58"/>
      <c r="AE9" s="58"/>
      <c r="AF9" s="58"/>
      <c r="AG9" s="58"/>
      <c r="AH9" s="58"/>
      <c r="AI9" s="58"/>
      <c r="AJ9" s="58"/>
      <c r="AK9" s="56" t="s">
        <v>1285</v>
      </c>
      <c r="AL9" s="56" t="s">
        <v>15236</v>
      </c>
      <c r="AM9" s="58"/>
      <c r="AN9" s="56" t="s">
        <v>15237</v>
      </c>
      <c r="AO9" s="58"/>
      <c r="AP9" s="63">
        <v>45770.537974537</v>
      </c>
      <c r="AQ9" s="56" t="s">
        <v>15238</v>
      </c>
      <c r="AR9" s="61" t="s">
        <v>15030</v>
      </c>
      <c r="AS9" s="57" t="s">
        <v>14184</v>
      </c>
      <c r="AT9" s="56" t="s">
        <v>15177</v>
      </c>
      <c r="AU9" s="56" t="s">
        <v>15239</v>
      </c>
      <c r="AV9" s="58"/>
      <c r="AW9" s="64">
        <v>45693.7551157407</v>
      </c>
      <c r="AX9" s="56" t="s">
        <v>15236</v>
      </c>
      <c r="AY9" s="56" t="s">
        <v>15179</v>
      </c>
      <c r="AZ9" s="58"/>
      <c r="BA9" s="58"/>
      <c r="BB9" s="58"/>
      <c r="BC9" s="56" t="s">
        <v>1930</v>
      </c>
      <c r="BD9" s="56" t="s">
        <v>15197</v>
      </c>
      <c r="BE9" s="56" t="s">
        <v>15240</v>
      </c>
      <c r="BF9" s="56" t="s">
        <v>15181</v>
      </c>
      <c r="BG9" s="58"/>
      <c r="BH9" s="58"/>
      <c r="BI9" s="57" t="s">
        <v>2801</v>
      </c>
      <c r="BJ9" s="58"/>
      <c r="BK9" s="58"/>
      <c r="BL9" s="66">
        <v>3400710</v>
      </c>
      <c r="BM9" s="56" t="s">
        <v>15241</v>
      </c>
      <c r="BN9" s="58"/>
      <c r="BO9" s="67">
        <v>90</v>
      </c>
      <c r="BP9" s="56" t="s">
        <v>15182</v>
      </c>
      <c r="BQ9" s="58"/>
      <c r="BR9" s="56" t="s">
        <v>15242</v>
      </c>
      <c r="BS9" s="56" t="s">
        <v>1285</v>
      </c>
      <c r="BT9" s="58"/>
      <c r="BU9" s="56" t="s">
        <v>15238</v>
      </c>
      <c r="BV9" s="58"/>
      <c r="BW9" s="58"/>
      <c r="BX9" s="67">
        <v>90</v>
      </c>
      <c r="BY9" s="56" t="s">
        <v>1285</v>
      </c>
      <c r="BZ9" s="58"/>
      <c r="CA9" s="58"/>
      <c r="CB9" s="58"/>
      <c r="CC9" s="58"/>
      <c r="CD9" s="58"/>
    </row>
    <row r="10" ht="108" spans="1:82">
      <c r="A10" s="56" t="s">
        <v>15243</v>
      </c>
      <c r="B10" s="58"/>
      <c r="C10" s="57" t="s">
        <v>15231</v>
      </c>
      <c r="D10" s="58"/>
      <c r="E10" s="57" t="s">
        <v>15158</v>
      </c>
      <c r="F10" s="57" t="s">
        <v>15232</v>
      </c>
      <c r="G10" s="57" t="s">
        <v>15160</v>
      </c>
      <c r="H10" s="56" t="s">
        <v>3031</v>
      </c>
      <c r="I10" s="60">
        <v>215</v>
      </c>
      <c r="J10" s="57" t="s">
        <v>1285</v>
      </c>
      <c r="K10" s="57" t="s">
        <v>15162</v>
      </c>
      <c r="L10" s="57" t="s">
        <v>15163</v>
      </c>
      <c r="M10" s="61" t="s">
        <v>15164</v>
      </c>
      <c r="N10" s="62" t="s">
        <v>15205</v>
      </c>
      <c r="O10" s="57" t="s">
        <v>15165</v>
      </c>
      <c r="P10" s="57" t="s">
        <v>15166</v>
      </c>
      <c r="Q10" s="57" t="s">
        <v>3031</v>
      </c>
      <c r="R10" s="57" t="s">
        <v>15233</v>
      </c>
      <c r="S10" s="57" t="s">
        <v>15234</v>
      </c>
      <c r="T10" s="57" t="s">
        <v>15190</v>
      </c>
      <c r="U10" s="57" t="s">
        <v>14184</v>
      </c>
      <c r="V10" s="56" t="s">
        <v>14153</v>
      </c>
      <c r="W10" s="58"/>
      <c r="X10" s="57" t="s">
        <v>15235</v>
      </c>
      <c r="Y10" s="57" t="s">
        <v>15170</v>
      </c>
      <c r="Z10" s="61" t="s">
        <v>14605</v>
      </c>
      <c r="AA10" s="61" t="s">
        <v>15164</v>
      </c>
      <c r="AB10" s="58"/>
      <c r="AC10" s="57" t="s">
        <v>15172</v>
      </c>
      <c r="AD10" s="58"/>
      <c r="AE10" s="58"/>
      <c r="AF10" s="58"/>
      <c r="AG10" s="58"/>
      <c r="AH10" s="58"/>
      <c r="AI10" s="58"/>
      <c r="AJ10" s="58"/>
      <c r="AK10" s="56" t="s">
        <v>1285</v>
      </c>
      <c r="AL10" s="56" t="s">
        <v>15236</v>
      </c>
      <c r="AM10" s="58"/>
      <c r="AN10" s="56" t="s">
        <v>15237</v>
      </c>
      <c r="AO10" s="58"/>
      <c r="AP10" s="63">
        <v>45770.537974537</v>
      </c>
      <c r="AQ10" s="56" t="s">
        <v>15238</v>
      </c>
      <c r="AR10" s="61" t="s">
        <v>15030</v>
      </c>
      <c r="AS10" s="57" t="s">
        <v>14184</v>
      </c>
      <c r="AT10" s="56" t="s">
        <v>15177</v>
      </c>
      <c r="AU10" s="56" t="s">
        <v>15239</v>
      </c>
      <c r="AV10" s="58"/>
      <c r="AW10" s="64">
        <v>45693.7551157407</v>
      </c>
      <c r="AX10" s="56" t="s">
        <v>15236</v>
      </c>
      <c r="AY10" s="56" t="s">
        <v>15179</v>
      </c>
      <c r="AZ10" s="58"/>
      <c r="BA10" s="58"/>
      <c r="BB10" s="58"/>
      <c r="BC10" s="56" t="s">
        <v>1930</v>
      </c>
      <c r="BD10" s="56" t="s">
        <v>15197</v>
      </c>
      <c r="BE10" s="56" t="s">
        <v>15240</v>
      </c>
      <c r="BF10" s="56" t="s">
        <v>15181</v>
      </c>
      <c r="BG10" s="58"/>
      <c r="BH10" s="58"/>
      <c r="BI10" s="57" t="s">
        <v>2801</v>
      </c>
      <c r="BJ10" s="58"/>
      <c r="BK10" s="58"/>
      <c r="BL10" s="66">
        <v>3400709</v>
      </c>
      <c r="BM10" s="56" t="s">
        <v>15241</v>
      </c>
      <c r="BN10" s="58"/>
      <c r="BO10" s="67">
        <v>125</v>
      </c>
      <c r="BP10" s="56" t="s">
        <v>15182</v>
      </c>
      <c r="BQ10" s="58"/>
      <c r="BR10" s="56" t="s">
        <v>15242</v>
      </c>
      <c r="BS10" s="56" t="s">
        <v>1285</v>
      </c>
      <c r="BT10" s="58"/>
      <c r="BU10" s="56" t="s">
        <v>15238</v>
      </c>
      <c r="BV10" s="58"/>
      <c r="BW10" s="58"/>
      <c r="BX10" s="67">
        <v>125</v>
      </c>
      <c r="BY10" s="56" t="s">
        <v>1285</v>
      </c>
      <c r="BZ10" s="58"/>
      <c r="CA10" s="58"/>
      <c r="CB10" s="58"/>
      <c r="CC10" s="58"/>
      <c r="CD10" s="58"/>
    </row>
    <row r="11" ht="81" spans="1:82">
      <c r="A11" s="56" t="s">
        <v>15244</v>
      </c>
      <c r="B11" s="57" t="s">
        <v>15245</v>
      </c>
      <c r="C11" s="58"/>
      <c r="D11" s="57" t="s">
        <v>15246</v>
      </c>
      <c r="E11" s="57" t="s">
        <v>15158</v>
      </c>
      <c r="F11" s="57" t="s">
        <v>15247</v>
      </c>
      <c r="G11" s="57" t="s">
        <v>15183</v>
      </c>
      <c r="H11" s="56" t="s">
        <v>15248</v>
      </c>
      <c r="I11" s="60">
        <v>10030</v>
      </c>
      <c r="J11" s="57" t="s">
        <v>1285</v>
      </c>
      <c r="K11" s="57" t="s">
        <v>15162</v>
      </c>
      <c r="L11" s="57" t="s">
        <v>15163</v>
      </c>
      <c r="M11" s="61" t="s">
        <v>15249</v>
      </c>
      <c r="N11" s="58"/>
      <c r="O11" s="57" t="s">
        <v>15250</v>
      </c>
      <c r="P11" s="57" t="s">
        <v>15251</v>
      </c>
      <c r="Q11" s="57" t="s">
        <v>15248</v>
      </c>
      <c r="R11" s="57" t="s">
        <v>15252</v>
      </c>
      <c r="S11" s="57" t="s">
        <v>15253</v>
      </c>
      <c r="T11" s="58"/>
      <c r="U11" s="57" t="s">
        <v>15074</v>
      </c>
      <c r="V11" s="56" t="s">
        <v>14153</v>
      </c>
      <c r="W11" s="58"/>
      <c r="X11" s="57" t="s">
        <v>15254</v>
      </c>
      <c r="Y11" s="57" t="s">
        <v>15170</v>
      </c>
      <c r="Z11" s="61" t="s">
        <v>15255</v>
      </c>
      <c r="AA11" s="61" t="s">
        <v>15249</v>
      </c>
      <c r="AB11" s="57" t="s">
        <v>15256</v>
      </c>
      <c r="AC11" s="57" t="s">
        <v>15172</v>
      </c>
      <c r="AD11" s="58"/>
      <c r="AE11" s="58"/>
      <c r="AF11" s="57" t="s">
        <v>15173</v>
      </c>
      <c r="AG11" s="58"/>
      <c r="AH11" s="58"/>
      <c r="AI11" s="57" t="s">
        <v>15173</v>
      </c>
      <c r="AJ11" s="58"/>
      <c r="AK11" s="56" t="s">
        <v>1285</v>
      </c>
      <c r="AL11" s="56" t="s">
        <v>15257</v>
      </c>
      <c r="AM11" s="58"/>
      <c r="AN11" s="56" t="s">
        <v>15258</v>
      </c>
      <c r="AO11" s="58"/>
      <c r="AP11" s="63">
        <v>45758.5408564815</v>
      </c>
      <c r="AQ11" s="56" t="s">
        <v>15259</v>
      </c>
      <c r="AR11" s="61" t="s">
        <v>15030</v>
      </c>
      <c r="AS11" s="57" t="s">
        <v>15074</v>
      </c>
      <c r="AT11" s="56" t="s">
        <v>15260</v>
      </c>
      <c r="AU11" s="56" t="s">
        <v>15261</v>
      </c>
      <c r="AV11" s="56" t="s">
        <v>15262</v>
      </c>
      <c r="AW11" s="64">
        <v>45749.480625</v>
      </c>
      <c r="AX11" s="56" t="s">
        <v>15257</v>
      </c>
      <c r="AY11" s="56" t="s">
        <v>15179</v>
      </c>
      <c r="AZ11" s="58"/>
      <c r="BA11" s="58"/>
      <c r="BB11" s="58"/>
      <c r="BC11" s="58"/>
      <c r="BD11" s="56" t="s">
        <v>15263</v>
      </c>
      <c r="BE11" s="58"/>
      <c r="BF11" s="56" t="s">
        <v>15181</v>
      </c>
      <c r="BG11" s="58"/>
      <c r="BH11" s="58"/>
      <c r="BI11" s="57" t="s">
        <v>2801</v>
      </c>
      <c r="BJ11" s="58"/>
      <c r="BK11" s="58"/>
      <c r="BL11" s="58"/>
      <c r="BM11" s="58"/>
      <c r="BN11" s="67">
        <v>10030</v>
      </c>
      <c r="BO11" s="58"/>
      <c r="BP11" s="56" t="s">
        <v>15182</v>
      </c>
      <c r="BQ11" s="58"/>
      <c r="BR11" s="58"/>
      <c r="BS11" s="58"/>
      <c r="BT11" s="58"/>
      <c r="BU11" s="56" t="s">
        <v>15259</v>
      </c>
      <c r="BV11" s="58"/>
      <c r="BW11" s="58"/>
      <c r="BX11" s="67">
        <v>10030</v>
      </c>
      <c r="BY11" s="58"/>
      <c r="BZ11" s="56" t="s">
        <v>15264</v>
      </c>
      <c r="CA11" s="56" t="s">
        <v>15183</v>
      </c>
      <c r="CB11" s="56" t="s">
        <v>15183</v>
      </c>
      <c r="CC11" s="58"/>
      <c r="CD11" s="58"/>
    </row>
    <row r="12" ht="108" spans="1:82">
      <c r="A12" s="56" t="s">
        <v>15265</v>
      </c>
      <c r="B12" s="57" t="s">
        <v>15156</v>
      </c>
      <c r="C12" s="58"/>
      <c r="D12" s="57" t="s">
        <v>15266</v>
      </c>
      <c r="E12" s="57" t="s">
        <v>15158</v>
      </c>
      <c r="F12" s="57" t="s">
        <v>15267</v>
      </c>
      <c r="G12" s="57" t="s">
        <v>15160</v>
      </c>
      <c r="H12" s="56" t="s">
        <v>15268</v>
      </c>
      <c r="I12" s="60">
        <v>40980</v>
      </c>
      <c r="J12" s="57" t="s">
        <v>1285</v>
      </c>
      <c r="K12" s="57" t="s">
        <v>15162</v>
      </c>
      <c r="L12" s="57" t="s">
        <v>15163</v>
      </c>
      <c r="M12" s="61" t="s">
        <v>15249</v>
      </c>
      <c r="N12" s="58"/>
      <c r="O12" s="57" t="s">
        <v>15165</v>
      </c>
      <c r="P12" s="57" t="s">
        <v>15166</v>
      </c>
      <c r="Q12" s="57" t="s">
        <v>15268</v>
      </c>
      <c r="R12" s="57" t="s">
        <v>15269</v>
      </c>
      <c r="S12" s="57" t="s">
        <v>15270</v>
      </c>
      <c r="T12" s="58"/>
      <c r="U12" s="57" t="s">
        <v>14184</v>
      </c>
      <c r="V12" s="56" t="s">
        <v>14153</v>
      </c>
      <c r="W12" s="58"/>
      <c r="X12" s="57" t="s">
        <v>15271</v>
      </c>
      <c r="Y12" s="57" t="s">
        <v>15170</v>
      </c>
      <c r="Z12" s="61" t="s">
        <v>14605</v>
      </c>
      <c r="AA12" s="61" t="s">
        <v>15249</v>
      </c>
      <c r="AB12" s="57" t="s">
        <v>15171</v>
      </c>
      <c r="AC12" s="57" t="s">
        <v>15172</v>
      </c>
      <c r="AD12" s="58"/>
      <c r="AE12" s="58"/>
      <c r="AF12" s="57" t="s">
        <v>15173</v>
      </c>
      <c r="AG12" s="58"/>
      <c r="AH12" s="58"/>
      <c r="AI12" s="57" t="s">
        <v>15173</v>
      </c>
      <c r="AJ12" s="58"/>
      <c r="AK12" s="56" t="s">
        <v>1285</v>
      </c>
      <c r="AL12" s="56" t="s">
        <v>15272</v>
      </c>
      <c r="AM12" s="58"/>
      <c r="AN12" s="56" t="s">
        <v>15273</v>
      </c>
      <c r="AO12" s="58"/>
      <c r="AP12" s="63">
        <v>45758.7976851852</v>
      </c>
      <c r="AQ12" s="56" t="s">
        <v>15274</v>
      </c>
      <c r="AR12" s="61" t="s">
        <v>15030</v>
      </c>
      <c r="AS12" s="57" t="s">
        <v>14184</v>
      </c>
      <c r="AT12" s="56" t="s">
        <v>15177</v>
      </c>
      <c r="AU12" s="56" t="s">
        <v>15275</v>
      </c>
      <c r="AV12" s="58"/>
      <c r="AW12" s="64">
        <v>45743.3974768519</v>
      </c>
      <c r="AX12" s="56" t="s">
        <v>15272</v>
      </c>
      <c r="AY12" s="56" t="s">
        <v>15179</v>
      </c>
      <c r="AZ12" s="58"/>
      <c r="BA12" s="58"/>
      <c r="BB12" s="58"/>
      <c r="BC12" s="58"/>
      <c r="BD12" s="56" t="s">
        <v>15276</v>
      </c>
      <c r="BE12" s="56" t="s">
        <v>15277</v>
      </c>
      <c r="BF12" s="56" t="s">
        <v>15181</v>
      </c>
      <c r="BG12" s="58"/>
      <c r="BH12" s="58"/>
      <c r="BI12" s="57" t="s">
        <v>2801</v>
      </c>
      <c r="BJ12" s="58"/>
      <c r="BK12" s="58"/>
      <c r="BL12" s="58"/>
      <c r="BM12" s="58"/>
      <c r="BN12" s="67">
        <v>40980</v>
      </c>
      <c r="BO12" s="58"/>
      <c r="BP12" s="56" t="s">
        <v>15182</v>
      </c>
      <c r="BQ12" s="58"/>
      <c r="BR12" s="58"/>
      <c r="BS12" s="58"/>
      <c r="BT12" s="56" t="s">
        <v>1285</v>
      </c>
      <c r="BU12" s="56" t="s">
        <v>15274</v>
      </c>
      <c r="BV12" s="58"/>
      <c r="BW12" s="58"/>
      <c r="BX12" s="67">
        <v>40980</v>
      </c>
      <c r="BY12" s="56" t="s">
        <v>1285</v>
      </c>
      <c r="BZ12" s="58"/>
      <c r="CA12" s="56" t="s">
        <v>15183</v>
      </c>
      <c r="CB12" s="56" t="s">
        <v>15183</v>
      </c>
      <c r="CC12" s="58"/>
      <c r="CD12" s="58"/>
    </row>
    <row r="13" ht="108" spans="1:82">
      <c r="A13" s="56" t="s">
        <v>15278</v>
      </c>
      <c r="B13" s="57" t="s">
        <v>15279</v>
      </c>
      <c r="C13" s="58"/>
      <c r="D13" s="57" t="s">
        <v>15280</v>
      </c>
      <c r="E13" s="57" t="s">
        <v>15158</v>
      </c>
      <c r="F13" s="57" t="s">
        <v>15281</v>
      </c>
      <c r="G13" s="57" t="s">
        <v>15160</v>
      </c>
      <c r="H13" s="56" t="s">
        <v>15282</v>
      </c>
      <c r="I13" s="60">
        <v>2959.2</v>
      </c>
      <c r="J13" s="57" t="s">
        <v>1285</v>
      </c>
      <c r="K13" s="57" t="s">
        <v>15162</v>
      </c>
      <c r="L13" s="57" t="s">
        <v>15163</v>
      </c>
      <c r="M13" s="61" t="s">
        <v>15249</v>
      </c>
      <c r="N13" s="58"/>
      <c r="O13" s="57" t="s">
        <v>15165</v>
      </c>
      <c r="P13" s="57" t="s">
        <v>15166</v>
      </c>
      <c r="Q13" s="57" t="s">
        <v>15282</v>
      </c>
      <c r="R13" s="57" t="s">
        <v>15283</v>
      </c>
      <c r="S13" s="57" t="s">
        <v>15284</v>
      </c>
      <c r="T13" s="58"/>
      <c r="U13" s="57" t="s">
        <v>14184</v>
      </c>
      <c r="V13" s="56" t="s">
        <v>14153</v>
      </c>
      <c r="W13" s="58"/>
      <c r="X13" s="57" t="s">
        <v>15285</v>
      </c>
      <c r="Y13" s="57" t="s">
        <v>15170</v>
      </c>
      <c r="Z13" s="61" t="s">
        <v>14605</v>
      </c>
      <c r="AA13" s="61" t="s">
        <v>15249</v>
      </c>
      <c r="AB13" s="57" t="s">
        <v>15171</v>
      </c>
      <c r="AC13" s="57" t="s">
        <v>15172</v>
      </c>
      <c r="AD13" s="58"/>
      <c r="AE13" s="58"/>
      <c r="AF13" s="57" t="s">
        <v>15173</v>
      </c>
      <c r="AG13" s="58"/>
      <c r="AH13" s="58"/>
      <c r="AI13" s="57" t="s">
        <v>15173</v>
      </c>
      <c r="AJ13" s="58"/>
      <c r="AK13" s="56" t="s">
        <v>1285</v>
      </c>
      <c r="AL13" s="56" t="s">
        <v>15286</v>
      </c>
      <c r="AM13" s="58"/>
      <c r="AN13" s="56" t="s">
        <v>15287</v>
      </c>
      <c r="AO13" s="58"/>
      <c r="AP13" s="63">
        <v>45758.7860532407</v>
      </c>
      <c r="AQ13" s="56" t="s">
        <v>15288</v>
      </c>
      <c r="AR13" s="61" t="s">
        <v>15030</v>
      </c>
      <c r="AS13" s="58"/>
      <c r="AT13" s="56" t="s">
        <v>15289</v>
      </c>
      <c r="AU13" s="56" t="s">
        <v>15290</v>
      </c>
      <c r="AV13" s="56" t="s">
        <v>15280</v>
      </c>
      <c r="AW13" s="64">
        <v>45733.5982175926</v>
      </c>
      <c r="AX13" s="56" t="s">
        <v>15286</v>
      </c>
      <c r="AY13" s="56" t="s">
        <v>15179</v>
      </c>
      <c r="AZ13" s="58"/>
      <c r="BA13" s="58"/>
      <c r="BB13" s="58"/>
      <c r="BC13" s="58"/>
      <c r="BD13" s="56" t="s">
        <v>15180</v>
      </c>
      <c r="BE13" s="58"/>
      <c r="BF13" s="56" t="s">
        <v>15181</v>
      </c>
      <c r="BG13" s="58"/>
      <c r="BH13" s="58"/>
      <c r="BI13" s="57" t="s">
        <v>15291</v>
      </c>
      <c r="BJ13" s="58"/>
      <c r="BK13" s="58"/>
      <c r="BL13" s="58"/>
      <c r="BM13" s="58"/>
      <c r="BN13" s="67">
        <v>2959.2</v>
      </c>
      <c r="BO13" s="58"/>
      <c r="BP13" s="56" t="s">
        <v>15182</v>
      </c>
      <c r="BQ13" s="58"/>
      <c r="BR13" s="58"/>
      <c r="BS13" s="58"/>
      <c r="BT13" s="56" t="s">
        <v>1285</v>
      </c>
      <c r="BU13" s="56" t="s">
        <v>15288</v>
      </c>
      <c r="BV13" s="58"/>
      <c r="BW13" s="58"/>
      <c r="BX13" s="67">
        <v>2959.2</v>
      </c>
      <c r="BY13" s="58"/>
      <c r="BZ13" s="56" t="s">
        <v>15160</v>
      </c>
      <c r="CA13" s="58"/>
      <c r="CB13" s="58"/>
      <c r="CC13" s="58"/>
      <c r="CD13" s="58"/>
    </row>
    <row r="14" ht="108" spans="1:82">
      <c r="A14" s="56" t="s">
        <v>15292</v>
      </c>
      <c r="B14" s="57" t="s">
        <v>15156</v>
      </c>
      <c r="C14" s="58"/>
      <c r="D14" s="57" t="s">
        <v>15293</v>
      </c>
      <c r="E14" s="57" t="s">
        <v>15158</v>
      </c>
      <c r="F14" s="57" t="s">
        <v>15294</v>
      </c>
      <c r="G14" s="57" t="s">
        <v>15160</v>
      </c>
      <c r="H14" s="56" t="s">
        <v>15295</v>
      </c>
      <c r="I14" s="60">
        <v>31358</v>
      </c>
      <c r="J14" s="57" t="s">
        <v>1285</v>
      </c>
      <c r="K14" s="57" t="s">
        <v>15162</v>
      </c>
      <c r="L14" s="57" t="s">
        <v>15163</v>
      </c>
      <c r="M14" s="61" t="s">
        <v>15249</v>
      </c>
      <c r="N14" s="58"/>
      <c r="O14" s="57" t="s">
        <v>15165</v>
      </c>
      <c r="P14" s="57" t="s">
        <v>15166</v>
      </c>
      <c r="Q14" s="57" t="s">
        <v>15295</v>
      </c>
      <c r="R14" s="57" t="s">
        <v>15296</v>
      </c>
      <c r="S14" s="57" t="s">
        <v>15297</v>
      </c>
      <c r="T14" s="58"/>
      <c r="U14" s="57" t="s">
        <v>14184</v>
      </c>
      <c r="V14" s="56" t="s">
        <v>14153</v>
      </c>
      <c r="W14" s="58"/>
      <c r="X14" s="57" t="s">
        <v>15298</v>
      </c>
      <c r="Y14" s="57" t="s">
        <v>15170</v>
      </c>
      <c r="Z14" s="61" t="s">
        <v>14605</v>
      </c>
      <c r="AA14" s="61" t="s">
        <v>15249</v>
      </c>
      <c r="AB14" s="57" t="s">
        <v>15171</v>
      </c>
      <c r="AC14" s="57" t="s">
        <v>15172</v>
      </c>
      <c r="AD14" s="58"/>
      <c r="AE14" s="58"/>
      <c r="AF14" s="57" t="s">
        <v>15173</v>
      </c>
      <c r="AG14" s="58"/>
      <c r="AH14" s="58"/>
      <c r="AI14" s="57" t="s">
        <v>15173</v>
      </c>
      <c r="AJ14" s="58"/>
      <c r="AK14" s="56" t="s">
        <v>1285</v>
      </c>
      <c r="AL14" s="56" t="s">
        <v>15299</v>
      </c>
      <c r="AM14" s="58"/>
      <c r="AN14" s="56" t="s">
        <v>15300</v>
      </c>
      <c r="AO14" s="58"/>
      <c r="AP14" s="63">
        <v>45758.7965393519</v>
      </c>
      <c r="AQ14" s="56" t="s">
        <v>15301</v>
      </c>
      <c r="AR14" s="61" t="s">
        <v>15030</v>
      </c>
      <c r="AS14" s="57" t="s">
        <v>14184</v>
      </c>
      <c r="AT14" s="56" t="s">
        <v>15177</v>
      </c>
      <c r="AU14" s="56" t="s">
        <v>15302</v>
      </c>
      <c r="AV14" s="58"/>
      <c r="AW14" s="64">
        <v>45727.6182291667</v>
      </c>
      <c r="AX14" s="56" t="s">
        <v>15299</v>
      </c>
      <c r="AY14" s="56" t="s">
        <v>15179</v>
      </c>
      <c r="AZ14" s="58"/>
      <c r="BA14" s="58"/>
      <c r="BB14" s="58"/>
      <c r="BC14" s="58"/>
      <c r="BD14" s="56" t="s">
        <v>15276</v>
      </c>
      <c r="BE14" s="56" t="s">
        <v>15303</v>
      </c>
      <c r="BF14" s="56" t="s">
        <v>15181</v>
      </c>
      <c r="BG14" s="58"/>
      <c r="BH14" s="58"/>
      <c r="BI14" s="57" t="s">
        <v>2801</v>
      </c>
      <c r="BJ14" s="58"/>
      <c r="BK14" s="58"/>
      <c r="BL14" s="58"/>
      <c r="BM14" s="58"/>
      <c r="BN14" s="67">
        <v>31358</v>
      </c>
      <c r="BO14" s="58"/>
      <c r="BP14" s="56" t="s">
        <v>15182</v>
      </c>
      <c r="BQ14" s="58"/>
      <c r="BR14" s="58"/>
      <c r="BS14" s="58"/>
      <c r="BT14" s="58"/>
      <c r="BU14" s="56" t="s">
        <v>15301</v>
      </c>
      <c r="BV14" s="58"/>
      <c r="BW14" s="58"/>
      <c r="BX14" s="67">
        <v>31358</v>
      </c>
      <c r="BY14" s="56" t="s">
        <v>1285</v>
      </c>
      <c r="BZ14" s="58"/>
      <c r="CA14" s="56" t="s">
        <v>15183</v>
      </c>
      <c r="CB14" s="56" t="s">
        <v>15183</v>
      </c>
      <c r="CC14" s="58"/>
      <c r="CD14" s="58"/>
    </row>
    <row r="15" ht="108" spans="1:82">
      <c r="A15" s="56" t="s">
        <v>15304</v>
      </c>
      <c r="B15" s="57" t="s">
        <v>15279</v>
      </c>
      <c r="C15" s="58"/>
      <c r="D15" s="57" t="s">
        <v>15305</v>
      </c>
      <c r="E15" s="57" t="s">
        <v>15158</v>
      </c>
      <c r="F15" s="57" t="s">
        <v>15306</v>
      </c>
      <c r="G15" s="57" t="s">
        <v>15160</v>
      </c>
      <c r="H15" s="56" t="s">
        <v>15307</v>
      </c>
      <c r="I15" s="60">
        <v>4950</v>
      </c>
      <c r="J15" s="57" t="s">
        <v>1285</v>
      </c>
      <c r="K15" s="57" t="s">
        <v>15162</v>
      </c>
      <c r="L15" s="57" t="s">
        <v>15163</v>
      </c>
      <c r="M15" s="61" t="s">
        <v>15249</v>
      </c>
      <c r="N15" s="58"/>
      <c r="O15" s="57" t="s">
        <v>15165</v>
      </c>
      <c r="P15" s="57" t="s">
        <v>15166</v>
      </c>
      <c r="Q15" s="57" t="s">
        <v>15307</v>
      </c>
      <c r="R15" s="57" t="s">
        <v>15308</v>
      </c>
      <c r="S15" s="57" t="s">
        <v>15309</v>
      </c>
      <c r="T15" s="58"/>
      <c r="U15" s="57" t="s">
        <v>14184</v>
      </c>
      <c r="V15" s="56" t="s">
        <v>14153</v>
      </c>
      <c r="W15" s="58"/>
      <c r="X15" s="57" t="s">
        <v>15310</v>
      </c>
      <c r="Y15" s="57" t="s">
        <v>15170</v>
      </c>
      <c r="Z15" s="61" t="s">
        <v>14605</v>
      </c>
      <c r="AA15" s="61" t="s">
        <v>15249</v>
      </c>
      <c r="AB15" s="57" t="s">
        <v>15171</v>
      </c>
      <c r="AC15" s="57" t="s">
        <v>15172</v>
      </c>
      <c r="AD15" s="58"/>
      <c r="AE15" s="58"/>
      <c r="AF15" s="57" t="s">
        <v>15173</v>
      </c>
      <c r="AG15" s="58"/>
      <c r="AH15" s="58"/>
      <c r="AI15" s="57" t="s">
        <v>15173</v>
      </c>
      <c r="AJ15" s="58"/>
      <c r="AK15" s="56" t="s">
        <v>1285</v>
      </c>
      <c r="AL15" s="56" t="s">
        <v>15311</v>
      </c>
      <c r="AM15" s="58"/>
      <c r="AN15" s="56" t="s">
        <v>15312</v>
      </c>
      <c r="AO15" s="58"/>
      <c r="AP15" s="63">
        <v>45758.7874305556</v>
      </c>
      <c r="AQ15" s="56" t="s">
        <v>15313</v>
      </c>
      <c r="AR15" s="61" t="s">
        <v>15030</v>
      </c>
      <c r="AS15" s="58"/>
      <c r="AT15" s="56" t="s">
        <v>15289</v>
      </c>
      <c r="AU15" s="56" t="s">
        <v>15314</v>
      </c>
      <c r="AV15" s="56" t="s">
        <v>15305</v>
      </c>
      <c r="AW15" s="64">
        <v>45727.464537037</v>
      </c>
      <c r="AX15" s="56" t="s">
        <v>15311</v>
      </c>
      <c r="AY15" s="56" t="s">
        <v>15179</v>
      </c>
      <c r="AZ15" s="58"/>
      <c r="BA15" s="58"/>
      <c r="BB15" s="58"/>
      <c r="BC15" s="58"/>
      <c r="BD15" s="56" t="s">
        <v>15180</v>
      </c>
      <c r="BE15" s="58"/>
      <c r="BF15" s="56" t="s">
        <v>15181</v>
      </c>
      <c r="BG15" s="58"/>
      <c r="BH15" s="58"/>
      <c r="BI15" s="57" t="s">
        <v>15291</v>
      </c>
      <c r="BJ15" s="58"/>
      <c r="BK15" s="58"/>
      <c r="BL15" s="58"/>
      <c r="BM15" s="58"/>
      <c r="BN15" s="67">
        <v>4950</v>
      </c>
      <c r="BO15" s="58"/>
      <c r="BP15" s="56" t="s">
        <v>15182</v>
      </c>
      <c r="BQ15" s="58"/>
      <c r="BR15" s="58"/>
      <c r="BS15" s="58"/>
      <c r="BT15" s="56" t="s">
        <v>1285</v>
      </c>
      <c r="BU15" s="56" t="s">
        <v>15313</v>
      </c>
      <c r="BV15" s="58"/>
      <c r="BW15" s="58"/>
      <c r="BX15" s="67">
        <v>4950</v>
      </c>
      <c r="BY15" s="58"/>
      <c r="BZ15" s="56" t="s">
        <v>15160</v>
      </c>
      <c r="CA15" s="58"/>
      <c r="CB15" s="58"/>
      <c r="CC15" s="58"/>
      <c r="CD15" s="57" t="s">
        <v>15315</v>
      </c>
    </row>
    <row r="16" ht="108" spans="1:82">
      <c r="A16" s="56" t="s">
        <v>15316</v>
      </c>
      <c r="B16" s="57" t="s">
        <v>15156</v>
      </c>
      <c r="C16" s="58"/>
      <c r="D16" s="57" t="s">
        <v>15317</v>
      </c>
      <c r="E16" s="57" t="s">
        <v>15158</v>
      </c>
      <c r="F16" s="57" t="s">
        <v>15318</v>
      </c>
      <c r="G16" s="57" t="s">
        <v>15160</v>
      </c>
      <c r="H16" s="56" t="s">
        <v>15319</v>
      </c>
      <c r="I16" s="60">
        <v>1800</v>
      </c>
      <c r="J16" s="57" t="s">
        <v>1285</v>
      </c>
      <c r="K16" s="57" t="s">
        <v>15162</v>
      </c>
      <c r="L16" s="57" t="s">
        <v>15163</v>
      </c>
      <c r="M16" s="61" t="s">
        <v>15249</v>
      </c>
      <c r="N16" s="62" t="s">
        <v>15320</v>
      </c>
      <c r="O16" s="57" t="s">
        <v>15165</v>
      </c>
      <c r="P16" s="57" t="s">
        <v>15166</v>
      </c>
      <c r="Q16" s="57" t="s">
        <v>15319</v>
      </c>
      <c r="R16" s="57" t="s">
        <v>15321</v>
      </c>
      <c r="S16" s="57" t="s">
        <v>15322</v>
      </c>
      <c r="T16" s="58"/>
      <c r="U16" s="57" t="s">
        <v>14184</v>
      </c>
      <c r="V16" s="56" t="s">
        <v>14153</v>
      </c>
      <c r="W16" s="58"/>
      <c r="X16" s="57" t="s">
        <v>15298</v>
      </c>
      <c r="Y16" s="57" t="s">
        <v>15170</v>
      </c>
      <c r="Z16" s="61" t="s">
        <v>14605</v>
      </c>
      <c r="AA16" s="61" t="s">
        <v>15249</v>
      </c>
      <c r="AB16" s="57" t="s">
        <v>15171</v>
      </c>
      <c r="AC16" s="57" t="s">
        <v>15172</v>
      </c>
      <c r="AD16" s="58"/>
      <c r="AE16" s="58"/>
      <c r="AF16" s="57" t="s">
        <v>15173</v>
      </c>
      <c r="AG16" s="58"/>
      <c r="AH16" s="58"/>
      <c r="AI16" s="57" t="s">
        <v>15173</v>
      </c>
      <c r="AJ16" s="58"/>
      <c r="AK16" s="56" t="s">
        <v>1285</v>
      </c>
      <c r="AL16" s="56" t="s">
        <v>15323</v>
      </c>
      <c r="AM16" s="58"/>
      <c r="AN16" s="56" t="s">
        <v>15324</v>
      </c>
      <c r="AO16" s="58"/>
      <c r="AP16" s="63">
        <v>45758.7930555556</v>
      </c>
      <c r="AQ16" s="56" t="s">
        <v>15325</v>
      </c>
      <c r="AR16" s="61" t="s">
        <v>15030</v>
      </c>
      <c r="AS16" s="57" t="s">
        <v>14184</v>
      </c>
      <c r="AT16" s="56" t="s">
        <v>15177</v>
      </c>
      <c r="AU16" s="56" t="s">
        <v>15326</v>
      </c>
      <c r="AV16" s="58"/>
      <c r="AW16" s="64">
        <v>45721.7183912037</v>
      </c>
      <c r="AX16" s="56" t="s">
        <v>15323</v>
      </c>
      <c r="AY16" s="56" t="s">
        <v>15179</v>
      </c>
      <c r="AZ16" s="58"/>
      <c r="BA16" s="58"/>
      <c r="BB16" s="58"/>
      <c r="BC16" s="58"/>
      <c r="BD16" s="56" t="s">
        <v>15276</v>
      </c>
      <c r="BE16" s="56" t="s">
        <v>15327</v>
      </c>
      <c r="BF16" s="56" t="s">
        <v>15181</v>
      </c>
      <c r="BG16" s="58"/>
      <c r="BH16" s="58"/>
      <c r="BI16" s="57" t="s">
        <v>2801</v>
      </c>
      <c r="BJ16" s="58"/>
      <c r="BK16" s="58"/>
      <c r="BL16" s="58"/>
      <c r="BM16" s="58"/>
      <c r="BN16" s="67">
        <v>1800</v>
      </c>
      <c r="BO16" s="58"/>
      <c r="BP16" s="56" t="s">
        <v>15182</v>
      </c>
      <c r="BQ16" s="58"/>
      <c r="BR16" s="58"/>
      <c r="BS16" s="58"/>
      <c r="BT16" s="58"/>
      <c r="BU16" s="56" t="s">
        <v>15325</v>
      </c>
      <c r="BV16" s="58"/>
      <c r="BW16" s="58"/>
      <c r="BX16" s="67">
        <v>1800</v>
      </c>
      <c r="BY16" s="56" t="s">
        <v>1285</v>
      </c>
      <c r="BZ16" s="58"/>
      <c r="CA16" s="58"/>
      <c r="CB16" s="58"/>
      <c r="CC16" s="58"/>
      <c r="CD16" s="57" t="s">
        <v>15315</v>
      </c>
    </row>
    <row r="17" ht="108" spans="1:82">
      <c r="A17" s="56" t="s">
        <v>15328</v>
      </c>
      <c r="B17" s="58"/>
      <c r="C17" s="57" t="s">
        <v>15329</v>
      </c>
      <c r="D17" s="58"/>
      <c r="E17" s="57" t="s">
        <v>15158</v>
      </c>
      <c r="F17" s="57" t="s">
        <v>15330</v>
      </c>
      <c r="G17" s="57" t="s">
        <v>15160</v>
      </c>
      <c r="H17" s="56" t="s">
        <v>5334</v>
      </c>
      <c r="I17" s="60">
        <v>32000</v>
      </c>
      <c r="J17" s="57" t="s">
        <v>1285</v>
      </c>
      <c r="K17" s="57" t="s">
        <v>15162</v>
      </c>
      <c r="L17" s="57" t="s">
        <v>15163</v>
      </c>
      <c r="M17" s="61" t="s">
        <v>15249</v>
      </c>
      <c r="N17" s="62" t="s">
        <v>15331</v>
      </c>
      <c r="O17" s="57" t="s">
        <v>15165</v>
      </c>
      <c r="P17" s="57" t="s">
        <v>15166</v>
      </c>
      <c r="Q17" s="57" t="s">
        <v>5334</v>
      </c>
      <c r="R17" s="57" t="s">
        <v>15332</v>
      </c>
      <c r="S17" s="57" t="s">
        <v>15333</v>
      </c>
      <c r="T17" s="57" t="s">
        <v>15190</v>
      </c>
      <c r="U17" s="57" t="s">
        <v>14184</v>
      </c>
      <c r="V17" s="56" t="s">
        <v>14153</v>
      </c>
      <c r="W17" s="58"/>
      <c r="X17" s="57" t="s">
        <v>15334</v>
      </c>
      <c r="Y17" s="57" t="s">
        <v>15170</v>
      </c>
      <c r="Z17" s="61" t="s">
        <v>14605</v>
      </c>
      <c r="AA17" s="61" t="s">
        <v>15249</v>
      </c>
      <c r="AB17" s="58"/>
      <c r="AC17" s="57" t="s">
        <v>15172</v>
      </c>
      <c r="AD17" s="58"/>
      <c r="AE17" s="58"/>
      <c r="AF17" s="58"/>
      <c r="AG17" s="58"/>
      <c r="AH17" s="58"/>
      <c r="AI17" s="58"/>
      <c r="AJ17" s="58"/>
      <c r="AK17" s="56" t="s">
        <v>1285</v>
      </c>
      <c r="AL17" s="56" t="s">
        <v>15335</v>
      </c>
      <c r="AM17" s="58"/>
      <c r="AN17" s="56" t="s">
        <v>15336</v>
      </c>
      <c r="AO17" s="58"/>
      <c r="AP17" s="63">
        <v>45758.7935069444</v>
      </c>
      <c r="AQ17" s="56" t="s">
        <v>15337</v>
      </c>
      <c r="AR17" s="61" t="s">
        <v>15030</v>
      </c>
      <c r="AS17" s="57" t="s">
        <v>14184</v>
      </c>
      <c r="AT17" s="56" t="s">
        <v>15177</v>
      </c>
      <c r="AU17" s="56" t="s">
        <v>15338</v>
      </c>
      <c r="AV17" s="58"/>
      <c r="AW17" s="64">
        <v>45719.755625</v>
      </c>
      <c r="AX17" s="56" t="s">
        <v>15335</v>
      </c>
      <c r="AY17" s="56" t="s">
        <v>15179</v>
      </c>
      <c r="AZ17" s="58"/>
      <c r="BA17" s="58"/>
      <c r="BB17" s="58"/>
      <c r="BC17" s="56" t="s">
        <v>2918</v>
      </c>
      <c r="BD17" s="56" t="s">
        <v>15339</v>
      </c>
      <c r="BE17" s="56" t="s">
        <v>15340</v>
      </c>
      <c r="BF17" s="56" t="s">
        <v>15181</v>
      </c>
      <c r="BG17" s="58"/>
      <c r="BH17" s="58"/>
      <c r="BI17" s="57" t="s">
        <v>2801</v>
      </c>
      <c r="BJ17" s="58"/>
      <c r="BK17" s="58"/>
      <c r="BL17" s="66">
        <v>3350831</v>
      </c>
      <c r="BM17" s="56" t="s">
        <v>15341</v>
      </c>
      <c r="BN17" s="58"/>
      <c r="BO17" s="67">
        <v>32000</v>
      </c>
      <c r="BP17" s="56" t="s">
        <v>15182</v>
      </c>
      <c r="BQ17" s="58"/>
      <c r="BR17" s="56" t="s">
        <v>15342</v>
      </c>
      <c r="BS17" s="56" t="s">
        <v>1285</v>
      </c>
      <c r="BT17" s="58"/>
      <c r="BU17" s="56" t="s">
        <v>15337</v>
      </c>
      <c r="BV17" s="58"/>
      <c r="BW17" s="58"/>
      <c r="BX17" s="67">
        <v>32000</v>
      </c>
      <c r="BY17" s="56" t="s">
        <v>1285</v>
      </c>
      <c r="BZ17" s="58"/>
      <c r="CA17" s="58"/>
      <c r="CB17" s="58"/>
      <c r="CC17" s="58"/>
      <c r="CD17" s="58"/>
    </row>
    <row r="18" ht="108" spans="1:82">
      <c r="A18" s="56" t="s">
        <v>15343</v>
      </c>
      <c r="B18" s="58"/>
      <c r="C18" s="57" t="s">
        <v>15344</v>
      </c>
      <c r="D18" s="58"/>
      <c r="E18" s="57" t="s">
        <v>15158</v>
      </c>
      <c r="F18" s="57" t="s">
        <v>15345</v>
      </c>
      <c r="G18" s="57" t="s">
        <v>15160</v>
      </c>
      <c r="H18" s="56" t="s">
        <v>5093</v>
      </c>
      <c r="I18" s="60">
        <v>21162</v>
      </c>
      <c r="J18" s="57" t="s">
        <v>1285</v>
      </c>
      <c r="K18" s="57" t="s">
        <v>15162</v>
      </c>
      <c r="L18" s="57" t="s">
        <v>15163</v>
      </c>
      <c r="M18" s="61" t="s">
        <v>15249</v>
      </c>
      <c r="N18" s="62" t="s">
        <v>15331</v>
      </c>
      <c r="O18" s="57" t="s">
        <v>15165</v>
      </c>
      <c r="P18" s="57" t="s">
        <v>15166</v>
      </c>
      <c r="Q18" s="57" t="s">
        <v>5093</v>
      </c>
      <c r="R18" s="57" t="s">
        <v>15346</v>
      </c>
      <c r="S18" s="57" t="s">
        <v>15347</v>
      </c>
      <c r="T18" s="57" t="s">
        <v>15190</v>
      </c>
      <c r="U18" s="57" t="s">
        <v>14184</v>
      </c>
      <c r="V18" s="56" t="s">
        <v>14153</v>
      </c>
      <c r="W18" s="58"/>
      <c r="X18" s="57" t="s">
        <v>15348</v>
      </c>
      <c r="Y18" s="57" t="s">
        <v>15170</v>
      </c>
      <c r="Z18" s="61" t="s">
        <v>14605</v>
      </c>
      <c r="AA18" s="61" t="s">
        <v>15249</v>
      </c>
      <c r="AB18" s="58"/>
      <c r="AC18" s="57" t="s">
        <v>15172</v>
      </c>
      <c r="AD18" s="58"/>
      <c r="AE18" s="58"/>
      <c r="AF18" s="58"/>
      <c r="AG18" s="58"/>
      <c r="AH18" s="58"/>
      <c r="AI18" s="58"/>
      <c r="AJ18" s="58"/>
      <c r="AK18" s="56" t="s">
        <v>1285</v>
      </c>
      <c r="AL18" s="56" t="s">
        <v>15349</v>
      </c>
      <c r="AM18" s="58"/>
      <c r="AN18" s="56" t="s">
        <v>15350</v>
      </c>
      <c r="AO18" s="58"/>
      <c r="AP18" s="63">
        <v>45758.8001736111</v>
      </c>
      <c r="AQ18" s="56" t="s">
        <v>15351</v>
      </c>
      <c r="AR18" s="61" t="s">
        <v>15030</v>
      </c>
      <c r="AS18" s="57" t="s">
        <v>14184</v>
      </c>
      <c r="AT18" s="56" t="s">
        <v>15177</v>
      </c>
      <c r="AU18" s="56" t="s">
        <v>15352</v>
      </c>
      <c r="AV18" s="58"/>
      <c r="AW18" s="64">
        <v>45719.7517939815</v>
      </c>
      <c r="AX18" s="56" t="s">
        <v>15349</v>
      </c>
      <c r="AY18" s="56" t="s">
        <v>15179</v>
      </c>
      <c r="AZ18" s="58"/>
      <c r="BA18" s="58"/>
      <c r="BB18" s="58"/>
      <c r="BC18" s="56" t="s">
        <v>2902</v>
      </c>
      <c r="BD18" s="56" t="s">
        <v>15353</v>
      </c>
      <c r="BE18" s="56" t="s">
        <v>15354</v>
      </c>
      <c r="BF18" s="56" t="s">
        <v>15181</v>
      </c>
      <c r="BG18" s="58"/>
      <c r="BH18" s="58"/>
      <c r="BI18" s="57" t="s">
        <v>2801</v>
      </c>
      <c r="BJ18" s="58"/>
      <c r="BK18" s="58"/>
      <c r="BL18" s="66">
        <v>3307459</v>
      </c>
      <c r="BM18" s="56" t="s">
        <v>15355</v>
      </c>
      <c r="BN18" s="58"/>
      <c r="BO18" s="67">
        <v>21162</v>
      </c>
      <c r="BP18" s="56" t="s">
        <v>15182</v>
      </c>
      <c r="BQ18" s="58"/>
      <c r="BR18" s="56" t="s">
        <v>15356</v>
      </c>
      <c r="BS18" s="56" t="s">
        <v>1285</v>
      </c>
      <c r="BT18" s="58"/>
      <c r="BU18" s="56" t="s">
        <v>15351</v>
      </c>
      <c r="BV18" s="58"/>
      <c r="BW18" s="58"/>
      <c r="BX18" s="67">
        <v>21162</v>
      </c>
      <c r="BY18" s="56" t="s">
        <v>1285</v>
      </c>
      <c r="BZ18" s="58"/>
      <c r="CA18" s="58"/>
      <c r="CB18" s="58"/>
      <c r="CC18" s="58"/>
      <c r="CD18" s="58"/>
    </row>
    <row r="19" ht="108" spans="1:82">
      <c r="A19" s="56" t="s">
        <v>15357</v>
      </c>
      <c r="B19" s="58"/>
      <c r="C19" s="57" t="s">
        <v>15358</v>
      </c>
      <c r="D19" s="58"/>
      <c r="E19" s="57" t="s">
        <v>15158</v>
      </c>
      <c r="F19" s="57" t="s">
        <v>15359</v>
      </c>
      <c r="G19" s="57" t="s">
        <v>15160</v>
      </c>
      <c r="H19" s="56" t="s">
        <v>4151</v>
      </c>
      <c r="I19" s="60">
        <v>9800</v>
      </c>
      <c r="J19" s="57" t="s">
        <v>1285</v>
      </c>
      <c r="K19" s="57" t="s">
        <v>15162</v>
      </c>
      <c r="L19" s="57" t="s">
        <v>15163</v>
      </c>
      <c r="M19" s="61" t="s">
        <v>15249</v>
      </c>
      <c r="N19" s="62" t="s">
        <v>15187</v>
      </c>
      <c r="O19" s="57" t="s">
        <v>15165</v>
      </c>
      <c r="P19" s="57" t="s">
        <v>15166</v>
      </c>
      <c r="Q19" s="57" t="s">
        <v>4151</v>
      </c>
      <c r="R19" s="57" t="s">
        <v>15360</v>
      </c>
      <c r="S19" s="57" t="s">
        <v>15361</v>
      </c>
      <c r="T19" s="57" t="s">
        <v>15190</v>
      </c>
      <c r="U19" s="57" t="s">
        <v>14184</v>
      </c>
      <c r="V19" s="56" t="s">
        <v>14153</v>
      </c>
      <c r="W19" s="58"/>
      <c r="X19" s="57" t="s">
        <v>15362</v>
      </c>
      <c r="Y19" s="57" t="s">
        <v>15170</v>
      </c>
      <c r="Z19" s="61" t="s">
        <v>14605</v>
      </c>
      <c r="AA19" s="61" t="s">
        <v>15249</v>
      </c>
      <c r="AB19" s="58"/>
      <c r="AC19" s="57" t="s">
        <v>15172</v>
      </c>
      <c r="AD19" s="58"/>
      <c r="AE19" s="58"/>
      <c r="AF19" s="58"/>
      <c r="AG19" s="58"/>
      <c r="AH19" s="58"/>
      <c r="AI19" s="58"/>
      <c r="AJ19" s="58"/>
      <c r="AK19" s="56" t="s">
        <v>1285</v>
      </c>
      <c r="AL19" s="56" t="s">
        <v>15363</v>
      </c>
      <c r="AM19" s="58"/>
      <c r="AN19" s="56" t="s">
        <v>15258</v>
      </c>
      <c r="AO19" s="58"/>
      <c r="AP19" s="63">
        <v>45758.7901041667</v>
      </c>
      <c r="AQ19" s="56" t="s">
        <v>15364</v>
      </c>
      <c r="AR19" s="61" t="s">
        <v>15030</v>
      </c>
      <c r="AS19" s="57" t="s">
        <v>14184</v>
      </c>
      <c r="AT19" s="56" t="s">
        <v>15177</v>
      </c>
      <c r="AU19" s="56" t="s">
        <v>15365</v>
      </c>
      <c r="AV19" s="58"/>
      <c r="AW19" s="64">
        <v>45706.7207523148</v>
      </c>
      <c r="AX19" s="56" t="s">
        <v>15363</v>
      </c>
      <c r="AY19" s="56" t="s">
        <v>15179</v>
      </c>
      <c r="AZ19" s="58"/>
      <c r="BA19" s="58"/>
      <c r="BB19" s="58"/>
      <c r="BC19" s="56" t="s">
        <v>4149</v>
      </c>
      <c r="BD19" s="56" t="s">
        <v>15366</v>
      </c>
      <c r="BE19" s="56" t="s">
        <v>15367</v>
      </c>
      <c r="BF19" s="56" t="s">
        <v>15181</v>
      </c>
      <c r="BG19" s="58"/>
      <c r="BH19" s="58"/>
      <c r="BI19" s="57" t="s">
        <v>2801</v>
      </c>
      <c r="BJ19" s="58"/>
      <c r="BK19" s="58"/>
      <c r="BL19" s="66">
        <v>3125847</v>
      </c>
      <c r="BM19" s="56" t="s">
        <v>15368</v>
      </c>
      <c r="BN19" s="58"/>
      <c r="BO19" s="67">
        <v>9800</v>
      </c>
      <c r="BP19" s="56" t="s">
        <v>15182</v>
      </c>
      <c r="BQ19" s="58"/>
      <c r="BR19" s="56" t="s">
        <v>15369</v>
      </c>
      <c r="BS19" s="56" t="s">
        <v>1285</v>
      </c>
      <c r="BT19" s="58"/>
      <c r="BU19" s="56" t="s">
        <v>15364</v>
      </c>
      <c r="BV19" s="58"/>
      <c r="BW19" s="58"/>
      <c r="BX19" s="67">
        <v>9800</v>
      </c>
      <c r="BY19" s="56" t="s">
        <v>1285</v>
      </c>
      <c r="BZ19" s="58"/>
      <c r="CA19" s="58"/>
      <c r="CB19" s="58"/>
      <c r="CC19" s="58"/>
      <c r="CD19" s="58"/>
    </row>
    <row r="20" ht="108" spans="1:82">
      <c r="A20" s="56" t="s">
        <v>15370</v>
      </c>
      <c r="B20" s="58"/>
      <c r="C20" s="57" t="s">
        <v>15371</v>
      </c>
      <c r="D20" s="58"/>
      <c r="E20" s="57" t="s">
        <v>15158</v>
      </c>
      <c r="F20" s="57" t="s">
        <v>15372</v>
      </c>
      <c r="G20" s="57" t="s">
        <v>15160</v>
      </c>
      <c r="H20" s="56" t="s">
        <v>5093</v>
      </c>
      <c r="I20" s="60">
        <v>128005</v>
      </c>
      <c r="J20" s="57" t="s">
        <v>1285</v>
      </c>
      <c r="K20" s="57" t="s">
        <v>15162</v>
      </c>
      <c r="L20" s="57" t="s">
        <v>15163</v>
      </c>
      <c r="M20" s="61" t="s">
        <v>15249</v>
      </c>
      <c r="N20" s="62" t="s">
        <v>15187</v>
      </c>
      <c r="O20" s="57" t="s">
        <v>15165</v>
      </c>
      <c r="P20" s="57" t="s">
        <v>15166</v>
      </c>
      <c r="Q20" s="57" t="s">
        <v>5093</v>
      </c>
      <c r="R20" s="57" t="s">
        <v>15346</v>
      </c>
      <c r="S20" s="57" t="s">
        <v>15347</v>
      </c>
      <c r="T20" s="57" t="s">
        <v>15190</v>
      </c>
      <c r="U20" s="57" t="s">
        <v>14184</v>
      </c>
      <c r="V20" s="56" t="s">
        <v>14153</v>
      </c>
      <c r="W20" s="58"/>
      <c r="X20" s="57" t="s">
        <v>15373</v>
      </c>
      <c r="Y20" s="57" t="s">
        <v>15170</v>
      </c>
      <c r="Z20" s="61" t="s">
        <v>15255</v>
      </c>
      <c r="AA20" s="61" t="s">
        <v>15249</v>
      </c>
      <c r="AB20" s="58"/>
      <c r="AC20" s="57" t="s">
        <v>15172</v>
      </c>
      <c r="AD20" s="58"/>
      <c r="AE20" s="58"/>
      <c r="AF20" s="58"/>
      <c r="AG20" s="58"/>
      <c r="AH20" s="58"/>
      <c r="AI20" s="58"/>
      <c r="AJ20" s="58"/>
      <c r="AK20" s="56" t="s">
        <v>1285</v>
      </c>
      <c r="AL20" s="56" t="s">
        <v>15374</v>
      </c>
      <c r="AM20" s="58"/>
      <c r="AN20" s="56" t="s">
        <v>15375</v>
      </c>
      <c r="AO20" s="58"/>
      <c r="AP20" s="63">
        <v>45758.792974537</v>
      </c>
      <c r="AQ20" s="56" t="s">
        <v>15376</v>
      </c>
      <c r="AR20" s="61" t="s">
        <v>15030</v>
      </c>
      <c r="AS20" s="57" t="s">
        <v>14184</v>
      </c>
      <c r="AT20" s="56" t="s">
        <v>15177</v>
      </c>
      <c r="AU20" s="56" t="s">
        <v>15377</v>
      </c>
      <c r="AV20" s="58"/>
      <c r="AW20" s="64">
        <v>45706.7206018519</v>
      </c>
      <c r="AX20" s="56" t="s">
        <v>15374</v>
      </c>
      <c r="AY20" s="56" t="s">
        <v>15179</v>
      </c>
      <c r="AZ20" s="58"/>
      <c r="BA20" s="58"/>
      <c r="BB20" s="58"/>
      <c r="BC20" s="56" t="s">
        <v>2902</v>
      </c>
      <c r="BD20" s="56" t="s">
        <v>15353</v>
      </c>
      <c r="BE20" s="56" t="s">
        <v>2859</v>
      </c>
      <c r="BF20" s="56" t="s">
        <v>15181</v>
      </c>
      <c r="BG20" s="58"/>
      <c r="BH20" s="58"/>
      <c r="BI20" s="57" t="s">
        <v>2801</v>
      </c>
      <c r="BJ20" s="58"/>
      <c r="BK20" s="58"/>
      <c r="BL20" s="66">
        <v>3376717</v>
      </c>
      <c r="BM20" s="56" t="s">
        <v>15378</v>
      </c>
      <c r="BN20" s="58"/>
      <c r="BO20" s="67">
        <v>128005</v>
      </c>
      <c r="BP20" s="56" t="s">
        <v>15182</v>
      </c>
      <c r="BQ20" s="58"/>
      <c r="BR20" s="56" t="s">
        <v>15379</v>
      </c>
      <c r="BS20" s="56" t="s">
        <v>1285</v>
      </c>
      <c r="BT20" s="58"/>
      <c r="BU20" s="56" t="s">
        <v>15376</v>
      </c>
      <c r="BV20" s="58"/>
      <c r="BW20" s="58"/>
      <c r="BX20" s="67">
        <v>128005</v>
      </c>
      <c r="BY20" s="56" t="s">
        <v>1285</v>
      </c>
      <c r="BZ20" s="58"/>
      <c r="CA20" s="58"/>
      <c r="CB20" s="58"/>
      <c r="CC20" s="58"/>
      <c r="CD20" s="58"/>
    </row>
    <row r="21" ht="108" spans="1:82">
      <c r="A21" s="56" t="s">
        <v>15380</v>
      </c>
      <c r="B21" s="58"/>
      <c r="C21" s="57" t="s">
        <v>15381</v>
      </c>
      <c r="D21" s="58"/>
      <c r="E21" s="57" t="s">
        <v>15158</v>
      </c>
      <c r="F21" s="57" t="s">
        <v>15382</v>
      </c>
      <c r="G21" s="57" t="s">
        <v>15160</v>
      </c>
      <c r="H21" s="56" t="s">
        <v>3898</v>
      </c>
      <c r="I21" s="60">
        <v>4200</v>
      </c>
      <c r="J21" s="57" t="s">
        <v>1285</v>
      </c>
      <c r="K21" s="57" t="s">
        <v>15162</v>
      </c>
      <c r="L21" s="57" t="s">
        <v>15163</v>
      </c>
      <c r="M21" s="61" t="s">
        <v>15249</v>
      </c>
      <c r="N21" s="62" t="s">
        <v>15187</v>
      </c>
      <c r="O21" s="57" t="s">
        <v>15165</v>
      </c>
      <c r="P21" s="57" t="s">
        <v>15166</v>
      </c>
      <c r="Q21" s="57" t="s">
        <v>3898</v>
      </c>
      <c r="R21" s="57" t="s">
        <v>15383</v>
      </c>
      <c r="S21" s="57" t="s">
        <v>15384</v>
      </c>
      <c r="T21" s="57" t="s">
        <v>15190</v>
      </c>
      <c r="U21" s="57" t="s">
        <v>14184</v>
      </c>
      <c r="V21" s="56" t="s">
        <v>14153</v>
      </c>
      <c r="W21" s="58"/>
      <c r="X21" s="57" t="s">
        <v>15385</v>
      </c>
      <c r="Y21" s="57" t="s">
        <v>15170</v>
      </c>
      <c r="Z21" s="61" t="s">
        <v>15255</v>
      </c>
      <c r="AA21" s="61" t="s">
        <v>15249</v>
      </c>
      <c r="AB21" s="58"/>
      <c r="AC21" s="57" t="s">
        <v>15172</v>
      </c>
      <c r="AD21" s="58"/>
      <c r="AE21" s="58"/>
      <c r="AF21" s="58"/>
      <c r="AG21" s="58"/>
      <c r="AH21" s="58"/>
      <c r="AI21" s="58"/>
      <c r="AJ21" s="58"/>
      <c r="AK21" s="56" t="s">
        <v>1285</v>
      </c>
      <c r="AL21" s="56" t="s">
        <v>15386</v>
      </c>
      <c r="AM21" s="58"/>
      <c r="AN21" s="56" t="s">
        <v>15387</v>
      </c>
      <c r="AO21" s="58"/>
      <c r="AP21" s="63">
        <v>45758.7910532407</v>
      </c>
      <c r="AQ21" s="56" t="s">
        <v>15388</v>
      </c>
      <c r="AR21" s="61" t="s">
        <v>15030</v>
      </c>
      <c r="AS21" s="57" t="s">
        <v>14184</v>
      </c>
      <c r="AT21" s="56" t="s">
        <v>15177</v>
      </c>
      <c r="AU21" s="56" t="s">
        <v>15389</v>
      </c>
      <c r="AV21" s="58"/>
      <c r="AW21" s="64">
        <v>45706.4697337963</v>
      </c>
      <c r="AX21" s="56" t="s">
        <v>15386</v>
      </c>
      <c r="AY21" s="56" t="s">
        <v>15179</v>
      </c>
      <c r="AZ21" s="58"/>
      <c r="BA21" s="58"/>
      <c r="BB21" s="58"/>
      <c r="BC21" s="56" t="s">
        <v>4132</v>
      </c>
      <c r="BD21" s="56" t="s">
        <v>15390</v>
      </c>
      <c r="BE21" s="56" t="s">
        <v>15391</v>
      </c>
      <c r="BF21" s="56" t="s">
        <v>15181</v>
      </c>
      <c r="BG21" s="58"/>
      <c r="BH21" s="58"/>
      <c r="BI21" s="57" t="s">
        <v>2801</v>
      </c>
      <c r="BJ21" s="58"/>
      <c r="BK21" s="58"/>
      <c r="BL21" s="66">
        <v>3125848</v>
      </c>
      <c r="BM21" s="56" t="s">
        <v>15392</v>
      </c>
      <c r="BN21" s="58"/>
      <c r="BO21" s="67">
        <v>4200</v>
      </c>
      <c r="BP21" s="56" t="s">
        <v>15182</v>
      </c>
      <c r="BQ21" s="58"/>
      <c r="BR21" s="56" t="s">
        <v>15393</v>
      </c>
      <c r="BS21" s="56" t="s">
        <v>1285</v>
      </c>
      <c r="BT21" s="58"/>
      <c r="BU21" s="56" t="s">
        <v>15388</v>
      </c>
      <c r="BV21" s="58"/>
      <c r="BW21" s="58"/>
      <c r="BX21" s="67">
        <v>4200</v>
      </c>
      <c r="BY21" s="56" t="s">
        <v>1285</v>
      </c>
      <c r="BZ21" s="58"/>
      <c r="CA21" s="58"/>
      <c r="CB21" s="58"/>
      <c r="CC21" s="58"/>
      <c r="CD21" s="58"/>
    </row>
    <row r="22" ht="81" spans="1:82">
      <c r="A22" s="56" t="s">
        <v>15394</v>
      </c>
      <c r="B22" s="58"/>
      <c r="C22" s="57" t="s">
        <v>15395</v>
      </c>
      <c r="D22" s="58"/>
      <c r="E22" s="57" t="s">
        <v>15158</v>
      </c>
      <c r="F22" s="57" t="s">
        <v>15396</v>
      </c>
      <c r="G22" s="57" t="s">
        <v>15264</v>
      </c>
      <c r="H22" s="56" t="s">
        <v>15077</v>
      </c>
      <c r="I22" s="60">
        <v>90600</v>
      </c>
      <c r="J22" s="58"/>
      <c r="K22" s="58"/>
      <c r="L22" s="57" t="s">
        <v>15163</v>
      </c>
      <c r="M22" s="61" t="s">
        <v>15255</v>
      </c>
      <c r="N22" s="62" t="s">
        <v>15255</v>
      </c>
      <c r="O22" s="58"/>
      <c r="P22" s="58"/>
      <c r="Q22" s="57" t="s">
        <v>15077</v>
      </c>
      <c r="R22" s="57" t="s">
        <v>15397</v>
      </c>
      <c r="S22" s="57" t="s">
        <v>15398</v>
      </c>
      <c r="T22" s="57" t="s">
        <v>15190</v>
      </c>
      <c r="U22" s="58"/>
      <c r="V22" s="56" t="s">
        <v>14153</v>
      </c>
      <c r="W22" s="58"/>
      <c r="X22" s="57" t="s">
        <v>15399</v>
      </c>
      <c r="Y22" s="57" t="s">
        <v>15400</v>
      </c>
      <c r="Z22" s="61" t="s">
        <v>15401</v>
      </c>
      <c r="AA22" s="61" t="s">
        <v>15030</v>
      </c>
      <c r="AB22" s="58"/>
      <c r="AC22" s="57" t="s">
        <v>15172</v>
      </c>
      <c r="AD22" s="58"/>
      <c r="AE22" s="58"/>
      <c r="AF22" s="58"/>
      <c r="AG22" s="58"/>
      <c r="AH22" s="58"/>
      <c r="AI22" s="58"/>
      <c r="AJ22" s="58"/>
      <c r="AK22" s="56" t="s">
        <v>1285</v>
      </c>
      <c r="AL22" s="56" t="s">
        <v>15402</v>
      </c>
      <c r="AM22" s="58"/>
      <c r="AN22" s="56" t="s">
        <v>15403</v>
      </c>
      <c r="AO22" s="58"/>
      <c r="AP22" s="63">
        <v>45777.7375462963</v>
      </c>
      <c r="AQ22" s="58"/>
      <c r="AR22" s="61" t="s">
        <v>15404</v>
      </c>
      <c r="AS22" s="57" t="s">
        <v>15074</v>
      </c>
      <c r="AT22" s="56" t="s">
        <v>15177</v>
      </c>
      <c r="AU22" s="56" t="s">
        <v>15405</v>
      </c>
      <c r="AV22" s="58"/>
      <c r="AW22" s="64">
        <v>45756.4643518518</v>
      </c>
      <c r="AX22" s="56" t="s">
        <v>15402</v>
      </c>
      <c r="AY22" s="56" t="s">
        <v>15179</v>
      </c>
      <c r="AZ22" s="58"/>
      <c r="BA22" s="58"/>
      <c r="BB22" s="58"/>
      <c r="BC22" s="56" t="s">
        <v>15406</v>
      </c>
      <c r="BD22" s="56" t="s">
        <v>15407</v>
      </c>
      <c r="BE22" s="56" t="s">
        <v>2815</v>
      </c>
      <c r="BF22" s="56" t="s">
        <v>15181</v>
      </c>
      <c r="BG22" s="58"/>
      <c r="BH22" s="58"/>
      <c r="BI22" s="57" t="s">
        <v>2801</v>
      </c>
      <c r="BJ22" s="58"/>
      <c r="BK22" s="58"/>
      <c r="BL22" s="66">
        <v>3046237</v>
      </c>
      <c r="BM22" s="56" t="s">
        <v>15408</v>
      </c>
      <c r="BN22" s="58"/>
      <c r="BO22" s="67">
        <v>90600</v>
      </c>
      <c r="BP22" s="56" t="s">
        <v>15409</v>
      </c>
      <c r="BQ22" s="58"/>
      <c r="BR22" s="56" t="s">
        <v>15410</v>
      </c>
      <c r="BS22" s="56" t="s">
        <v>1285</v>
      </c>
      <c r="BT22" s="58"/>
      <c r="BU22" s="58"/>
      <c r="BV22" s="56" t="s">
        <v>15183</v>
      </c>
      <c r="BW22" s="58"/>
      <c r="BX22" s="67">
        <v>90600</v>
      </c>
      <c r="BY22" s="58"/>
      <c r="BZ22" s="58"/>
      <c r="CA22" s="58"/>
      <c r="CB22" s="58"/>
      <c r="CC22" s="58"/>
      <c r="CD22" s="58"/>
    </row>
    <row r="23" ht="81" spans="1:82">
      <c r="A23" s="56" t="s">
        <v>15411</v>
      </c>
      <c r="B23" s="57" t="s">
        <v>15156</v>
      </c>
      <c r="C23" s="58"/>
      <c r="D23" s="57" t="s">
        <v>15262</v>
      </c>
      <c r="E23" s="57" t="s">
        <v>15158</v>
      </c>
      <c r="F23" s="57" t="s">
        <v>15246</v>
      </c>
      <c r="G23" s="57" t="s">
        <v>15264</v>
      </c>
      <c r="H23" s="56" t="s">
        <v>15248</v>
      </c>
      <c r="I23" s="60">
        <v>10030</v>
      </c>
      <c r="J23" s="58"/>
      <c r="K23" s="58"/>
      <c r="L23" s="57" t="s">
        <v>15163</v>
      </c>
      <c r="M23" s="61" t="s">
        <v>15412</v>
      </c>
      <c r="N23" s="58"/>
      <c r="O23" s="58"/>
      <c r="P23" s="58"/>
      <c r="Q23" s="57" t="s">
        <v>15248</v>
      </c>
      <c r="R23" s="57" t="s">
        <v>15252</v>
      </c>
      <c r="S23" s="57" t="s">
        <v>15253</v>
      </c>
      <c r="T23" s="58"/>
      <c r="U23" s="58"/>
      <c r="V23" s="56" t="s">
        <v>14153</v>
      </c>
      <c r="W23" s="58"/>
      <c r="X23" s="57" t="s">
        <v>15254</v>
      </c>
      <c r="Y23" s="57" t="s">
        <v>15170</v>
      </c>
      <c r="Z23" s="61" t="s">
        <v>15255</v>
      </c>
      <c r="AA23" s="61" t="s">
        <v>15249</v>
      </c>
      <c r="AB23" s="57" t="s">
        <v>15171</v>
      </c>
      <c r="AC23" s="57" t="s">
        <v>15172</v>
      </c>
      <c r="AD23" s="58"/>
      <c r="AE23" s="58"/>
      <c r="AF23" s="57" t="s">
        <v>15173</v>
      </c>
      <c r="AG23" s="58"/>
      <c r="AH23" s="58"/>
      <c r="AI23" s="57" t="s">
        <v>15173</v>
      </c>
      <c r="AJ23" s="58"/>
      <c r="AK23" s="56" t="s">
        <v>1285</v>
      </c>
      <c r="AL23" s="56" t="s">
        <v>15413</v>
      </c>
      <c r="AM23" s="58"/>
      <c r="AN23" s="56" t="s">
        <v>15414</v>
      </c>
      <c r="AO23" s="58"/>
      <c r="AP23" s="63">
        <v>45758.4570486111</v>
      </c>
      <c r="AQ23" s="58"/>
      <c r="AR23" s="61" t="s">
        <v>15030</v>
      </c>
      <c r="AS23" s="57" t="s">
        <v>15074</v>
      </c>
      <c r="AT23" s="56" t="s">
        <v>15177</v>
      </c>
      <c r="AU23" s="56" t="s">
        <v>15415</v>
      </c>
      <c r="AV23" s="58"/>
      <c r="AW23" s="64">
        <v>45744.4873148148</v>
      </c>
      <c r="AX23" s="56" t="s">
        <v>15413</v>
      </c>
      <c r="AY23" s="56" t="s">
        <v>15179</v>
      </c>
      <c r="AZ23" s="58"/>
      <c r="BA23" s="58"/>
      <c r="BB23" s="58"/>
      <c r="BC23" s="58"/>
      <c r="BD23" s="56" t="s">
        <v>15263</v>
      </c>
      <c r="BE23" s="58"/>
      <c r="BF23" s="56" t="s">
        <v>15181</v>
      </c>
      <c r="BG23" s="58"/>
      <c r="BH23" s="58"/>
      <c r="BI23" s="57" t="s">
        <v>2801</v>
      </c>
      <c r="BJ23" s="58"/>
      <c r="BK23" s="58"/>
      <c r="BL23" s="58"/>
      <c r="BM23" s="58"/>
      <c r="BN23" s="67">
        <v>10030</v>
      </c>
      <c r="BO23" s="58"/>
      <c r="BP23" s="56" t="s">
        <v>15182</v>
      </c>
      <c r="BQ23" s="58"/>
      <c r="BR23" s="58"/>
      <c r="BS23" s="58"/>
      <c r="BT23" s="58"/>
      <c r="BU23" s="58"/>
      <c r="BV23" s="56" t="s">
        <v>15183</v>
      </c>
      <c r="BW23" s="58"/>
      <c r="BX23" s="67">
        <v>10030</v>
      </c>
      <c r="BY23" s="58"/>
      <c r="BZ23" s="58"/>
      <c r="CA23" s="56" t="s">
        <v>15183</v>
      </c>
      <c r="CB23" s="56" t="s">
        <v>15183</v>
      </c>
      <c r="CC23" s="58"/>
      <c r="CD23" s="58"/>
    </row>
    <row r="24" ht="108" spans="1:82">
      <c r="A24" s="56" t="s">
        <v>15416</v>
      </c>
      <c r="B24" s="57" t="s">
        <v>15245</v>
      </c>
      <c r="C24" s="58"/>
      <c r="D24" s="57" t="s">
        <v>15417</v>
      </c>
      <c r="E24" s="57" t="s">
        <v>15158</v>
      </c>
      <c r="F24" s="57" t="s">
        <v>15418</v>
      </c>
      <c r="G24" s="57" t="s">
        <v>15183</v>
      </c>
      <c r="H24" s="56" t="s">
        <v>15419</v>
      </c>
      <c r="I24" s="60">
        <v>25000</v>
      </c>
      <c r="J24" s="57" t="s">
        <v>1285</v>
      </c>
      <c r="K24" s="57" t="s">
        <v>15162</v>
      </c>
      <c r="L24" s="57" t="s">
        <v>15163</v>
      </c>
      <c r="M24" s="61" t="s">
        <v>15420</v>
      </c>
      <c r="N24" s="62" t="s">
        <v>14860</v>
      </c>
      <c r="O24" s="57" t="s">
        <v>15250</v>
      </c>
      <c r="P24" s="57" t="s">
        <v>15251</v>
      </c>
      <c r="Q24" s="57" t="s">
        <v>15419</v>
      </c>
      <c r="R24" s="57" t="s">
        <v>15421</v>
      </c>
      <c r="S24" s="57" t="s">
        <v>15422</v>
      </c>
      <c r="T24" s="58"/>
      <c r="U24" s="57" t="s">
        <v>15074</v>
      </c>
      <c r="V24" s="56" t="s">
        <v>14153</v>
      </c>
      <c r="W24" s="58"/>
      <c r="X24" s="57" t="s">
        <v>15310</v>
      </c>
      <c r="Y24" s="57" t="s">
        <v>15170</v>
      </c>
      <c r="Z24" s="61" t="s">
        <v>15423</v>
      </c>
      <c r="AA24" s="61" t="s">
        <v>15420</v>
      </c>
      <c r="AB24" s="57" t="s">
        <v>15256</v>
      </c>
      <c r="AC24" s="57" t="s">
        <v>15172</v>
      </c>
      <c r="AD24" s="58"/>
      <c r="AE24" s="58"/>
      <c r="AF24" s="57" t="s">
        <v>15173</v>
      </c>
      <c r="AG24" s="58"/>
      <c r="AH24" s="58"/>
      <c r="AI24" s="57" t="s">
        <v>15173</v>
      </c>
      <c r="AJ24" s="58"/>
      <c r="AK24" s="56" t="s">
        <v>1285</v>
      </c>
      <c r="AL24" s="56" t="s">
        <v>15424</v>
      </c>
      <c r="AM24" s="58"/>
      <c r="AN24" s="56" t="s">
        <v>15425</v>
      </c>
      <c r="AO24" s="58"/>
      <c r="AP24" s="63">
        <v>45731.8827546296</v>
      </c>
      <c r="AQ24" s="56" t="s">
        <v>15426</v>
      </c>
      <c r="AR24" s="61" t="s">
        <v>14548</v>
      </c>
      <c r="AS24" s="58"/>
      <c r="AT24" s="56" t="s">
        <v>15260</v>
      </c>
      <c r="AU24" s="56" t="s">
        <v>15427</v>
      </c>
      <c r="AV24" s="58"/>
      <c r="AW24" s="64">
        <v>45702.8646875</v>
      </c>
      <c r="AX24" s="56" t="s">
        <v>15428</v>
      </c>
      <c r="AY24" s="56" t="s">
        <v>15179</v>
      </c>
      <c r="AZ24" s="58"/>
      <c r="BA24" s="58"/>
      <c r="BB24" s="58"/>
      <c r="BC24" s="58"/>
      <c r="BD24" s="56" t="s">
        <v>15429</v>
      </c>
      <c r="BE24" s="58"/>
      <c r="BF24" s="56" t="s">
        <v>15181</v>
      </c>
      <c r="BG24" s="58"/>
      <c r="BH24" s="58"/>
      <c r="BI24" s="57" t="s">
        <v>15291</v>
      </c>
      <c r="BJ24" s="58"/>
      <c r="BK24" s="58"/>
      <c r="BL24" s="58"/>
      <c r="BM24" s="58"/>
      <c r="BN24" s="67">
        <v>25000</v>
      </c>
      <c r="BO24" s="58"/>
      <c r="BP24" s="56" t="s">
        <v>15430</v>
      </c>
      <c r="BQ24" s="58"/>
      <c r="BR24" s="58"/>
      <c r="BS24" s="58"/>
      <c r="BT24" s="56" t="s">
        <v>1285</v>
      </c>
      <c r="BU24" s="56" t="s">
        <v>15426</v>
      </c>
      <c r="BV24" s="58"/>
      <c r="BW24" s="58"/>
      <c r="BX24" s="67">
        <v>25000</v>
      </c>
      <c r="BY24" s="58"/>
      <c r="BZ24" s="56" t="s">
        <v>15264</v>
      </c>
      <c r="CA24" s="58"/>
      <c r="CB24" s="58"/>
      <c r="CC24" s="58"/>
      <c r="CD24" s="57" t="s">
        <v>15315</v>
      </c>
    </row>
    <row r="25" ht="108" spans="1:82">
      <c r="A25" s="56" t="s">
        <v>15431</v>
      </c>
      <c r="B25" s="57" t="s">
        <v>15156</v>
      </c>
      <c r="C25" s="58"/>
      <c r="D25" s="57" t="s">
        <v>15432</v>
      </c>
      <c r="E25" s="57" t="s">
        <v>15158</v>
      </c>
      <c r="F25" s="57" t="s">
        <v>15433</v>
      </c>
      <c r="G25" s="57" t="s">
        <v>15160</v>
      </c>
      <c r="H25" s="56" t="s">
        <v>15434</v>
      </c>
      <c r="I25" s="60">
        <v>40980</v>
      </c>
      <c r="J25" s="58"/>
      <c r="K25" s="58"/>
      <c r="L25" s="57" t="s">
        <v>14203</v>
      </c>
      <c r="M25" s="61" t="s">
        <v>15320</v>
      </c>
      <c r="N25" s="62" t="s">
        <v>15320</v>
      </c>
      <c r="O25" s="57" t="s">
        <v>15165</v>
      </c>
      <c r="P25" s="57" t="s">
        <v>15166</v>
      </c>
      <c r="Q25" s="57" t="s">
        <v>15434</v>
      </c>
      <c r="R25" s="57" t="s">
        <v>15435</v>
      </c>
      <c r="S25" s="57" t="s">
        <v>15436</v>
      </c>
      <c r="T25" s="58"/>
      <c r="U25" s="57" t="s">
        <v>14184</v>
      </c>
      <c r="V25" s="56" t="s">
        <v>14153</v>
      </c>
      <c r="W25" s="58"/>
      <c r="X25" s="57" t="s">
        <v>15437</v>
      </c>
      <c r="Y25" s="58"/>
      <c r="Z25" s="58"/>
      <c r="AA25" s="58"/>
      <c r="AB25" s="57" t="s">
        <v>15171</v>
      </c>
      <c r="AC25" s="57" t="s">
        <v>15173</v>
      </c>
      <c r="AD25" s="58"/>
      <c r="AE25" s="58"/>
      <c r="AF25" s="57" t="s">
        <v>15173</v>
      </c>
      <c r="AG25" s="58"/>
      <c r="AH25" s="58"/>
      <c r="AI25" s="57" t="s">
        <v>15173</v>
      </c>
      <c r="AJ25" s="58"/>
      <c r="AK25" s="58"/>
      <c r="AL25" s="58"/>
      <c r="AM25" s="58"/>
      <c r="AN25" s="58"/>
      <c r="AO25" s="58"/>
      <c r="AP25" s="63">
        <v>45748.7403703704</v>
      </c>
      <c r="AQ25" s="58"/>
      <c r="AR25" s="58"/>
      <c r="AS25" s="57" t="s">
        <v>14184</v>
      </c>
      <c r="AT25" s="56" t="s">
        <v>15177</v>
      </c>
      <c r="AU25" s="58"/>
      <c r="AV25" s="58"/>
      <c r="AW25" s="64">
        <v>45721.7072800926</v>
      </c>
      <c r="AX25" s="58"/>
      <c r="AY25" s="56" t="s">
        <v>15179</v>
      </c>
      <c r="AZ25" s="58"/>
      <c r="BA25" s="58"/>
      <c r="BB25" s="58"/>
      <c r="BC25" s="58"/>
      <c r="BD25" s="56" t="s">
        <v>15276</v>
      </c>
      <c r="BE25" s="56" t="s">
        <v>15438</v>
      </c>
      <c r="BF25" s="56" t="s">
        <v>15181</v>
      </c>
      <c r="BG25" s="58"/>
      <c r="BH25" s="58"/>
      <c r="BI25" s="57" t="s">
        <v>2801</v>
      </c>
      <c r="BJ25" s="58"/>
      <c r="BK25" s="58"/>
      <c r="BL25" s="58"/>
      <c r="BM25" s="58"/>
      <c r="BN25" s="67">
        <v>40980</v>
      </c>
      <c r="BO25" s="58"/>
      <c r="BP25" s="58"/>
      <c r="BQ25" s="58"/>
      <c r="BR25" s="58"/>
      <c r="BS25" s="58"/>
      <c r="BT25" s="56" t="s">
        <v>1285</v>
      </c>
      <c r="BU25" s="58"/>
      <c r="BV25" s="58"/>
      <c r="BW25" s="58"/>
      <c r="BX25" s="67">
        <v>40980</v>
      </c>
      <c r="BY25" s="58"/>
      <c r="BZ25" s="58"/>
      <c r="CA25" s="58"/>
      <c r="CB25" s="58"/>
      <c r="CC25" s="58"/>
      <c r="CD25" s="57" t="s">
        <v>15315</v>
      </c>
    </row>
    <row r="26" ht="108" spans="1:82">
      <c r="A26" s="56" t="s">
        <v>15439</v>
      </c>
      <c r="B26" s="57" t="s">
        <v>15156</v>
      </c>
      <c r="C26" s="58"/>
      <c r="D26" s="57" t="s">
        <v>15440</v>
      </c>
      <c r="E26" s="57" t="s">
        <v>15158</v>
      </c>
      <c r="F26" s="57" t="s">
        <v>15441</v>
      </c>
      <c r="G26" s="57" t="s">
        <v>15160</v>
      </c>
      <c r="H26" s="56" t="s">
        <v>15319</v>
      </c>
      <c r="I26" s="60">
        <v>1800</v>
      </c>
      <c r="J26" s="57" t="s">
        <v>1285</v>
      </c>
      <c r="K26" s="57" t="s">
        <v>15162</v>
      </c>
      <c r="L26" s="57" t="s">
        <v>15163</v>
      </c>
      <c r="M26" s="61" t="s">
        <v>14312</v>
      </c>
      <c r="N26" s="62" t="s">
        <v>14351</v>
      </c>
      <c r="O26" s="57" t="s">
        <v>15165</v>
      </c>
      <c r="P26" s="57" t="s">
        <v>15166</v>
      </c>
      <c r="Q26" s="57" t="s">
        <v>15319</v>
      </c>
      <c r="R26" s="57" t="s">
        <v>15321</v>
      </c>
      <c r="S26" s="57" t="s">
        <v>15322</v>
      </c>
      <c r="T26" s="58"/>
      <c r="U26" s="57" t="s">
        <v>14184</v>
      </c>
      <c r="V26" s="56" t="s">
        <v>14153</v>
      </c>
      <c r="W26" s="58"/>
      <c r="X26" s="57" t="s">
        <v>15442</v>
      </c>
      <c r="Y26" s="57" t="s">
        <v>15443</v>
      </c>
      <c r="Z26" s="61" t="s">
        <v>15444</v>
      </c>
      <c r="AA26" s="61" t="s">
        <v>14312</v>
      </c>
      <c r="AB26" s="57" t="s">
        <v>15171</v>
      </c>
      <c r="AC26" s="57" t="s">
        <v>15172</v>
      </c>
      <c r="AD26" s="58"/>
      <c r="AE26" s="58"/>
      <c r="AF26" s="57" t="s">
        <v>15173</v>
      </c>
      <c r="AG26" s="58"/>
      <c r="AH26" s="58"/>
      <c r="AI26" s="57" t="s">
        <v>15173</v>
      </c>
      <c r="AJ26" s="58"/>
      <c r="AK26" s="56" t="s">
        <v>1285</v>
      </c>
      <c r="AL26" s="56" t="s">
        <v>15445</v>
      </c>
      <c r="AM26" s="58"/>
      <c r="AN26" s="56" t="s">
        <v>15446</v>
      </c>
      <c r="AO26" s="58"/>
      <c r="AP26" s="63">
        <v>45828.6645023148</v>
      </c>
      <c r="AQ26" s="56" t="s">
        <v>15447</v>
      </c>
      <c r="AR26" s="61" t="s">
        <v>15448</v>
      </c>
      <c r="AS26" s="57" t="s">
        <v>14184</v>
      </c>
      <c r="AT26" s="56" t="s">
        <v>15177</v>
      </c>
      <c r="AU26" s="56" t="s">
        <v>15449</v>
      </c>
      <c r="AV26" s="58"/>
      <c r="AW26" s="64">
        <v>45818.4503356482</v>
      </c>
      <c r="AX26" s="56" t="s">
        <v>15445</v>
      </c>
      <c r="AY26" s="56" t="s">
        <v>15179</v>
      </c>
      <c r="AZ26" s="58"/>
      <c r="BA26" s="58"/>
      <c r="BB26" s="58"/>
      <c r="BC26" s="58"/>
      <c r="BD26" s="56" t="s">
        <v>15276</v>
      </c>
      <c r="BE26" s="56" t="s">
        <v>15327</v>
      </c>
      <c r="BF26" s="56" t="s">
        <v>15181</v>
      </c>
      <c r="BG26" s="58"/>
      <c r="BH26" s="58"/>
      <c r="BI26" s="57" t="s">
        <v>2801</v>
      </c>
      <c r="BJ26" s="58"/>
      <c r="BK26" s="58"/>
      <c r="BL26" s="58"/>
      <c r="BM26" s="58"/>
      <c r="BN26" s="67">
        <v>1800</v>
      </c>
      <c r="BO26" s="58"/>
      <c r="BP26" s="56" t="s">
        <v>15450</v>
      </c>
      <c r="BQ26" s="58"/>
      <c r="BR26" s="58"/>
      <c r="BS26" s="58"/>
      <c r="BT26" s="58"/>
      <c r="BU26" s="56" t="s">
        <v>15447</v>
      </c>
      <c r="BV26" s="58"/>
      <c r="BW26" s="58"/>
      <c r="BX26" s="67">
        <v>1800</v>
      </c>
      <c r="BY26" s="56" t="s">
        <v>1285</v>
      </c>
      <c r="BZ26" s="58"/>
      <c r="CA26" s="56" t="s">
        <v>15160</v>
      </c>
      <c r="CB26" s="56" t="s">
        <v>15183</v>
      </c>
      <c r="CC26" s="58"/>
      <c r="CD26" s="58"/>
    </row>
    <row r="27" ht="108" spans="1:82">
      <c r="A27" s="56" t="s">
        <v>15451</v>
      </c>
      <c r="B27" s="57" t="s">
        <v>15156</v>
      </c>
      <c r="C27" s="58"/>
      <c r="D27" s="57" t="s">
        <v>15452</v>
      </c>
      <c r="E27" s="57" t="s">
        <v>15158</v>
      </c>
      <c r="F27" s="57" t="s">
        <v>15453</v>
      </c>
      <c r="G27" s="57" t="s">
        <v>15160</v>
      </c>
      <c r="H27" s="56" t="s">
        <v>15295</v>
      </c>
      <c r="I27" s="60">
        <v>31358</v>
      </c>
      <c r="J27" s="57" t="s">
        <v>1285</v>
      </c>
      <c r="K27" s="57" t="s">
        <v>15162</v>
      </c>
      <c r="L27" s="57" t="s">
        <v>15163</v>
      </c>
      <c r="M27" s="61" t="s">
        <v>14312</v>
      </c>
      <c r="N27" s="62" t="s">
        <v>14367</v>
      </c>
      <c r="O27" s="57" t="s">
        <v>15165</v>
      </c>
      <c r="P27" s="57" t="s">
        <v>15166</v>
      </c>
      <c r="Q27" s="57" t="s">
        <v>15295</v>
      </c>
      <c r="R27" s="57" t="s">
        <v>15296</v>
      </c>
      <c r="S27" s="57" t="s">
        <v>15297</v>
      </c>
      <c r="T27" s="58"/>
      <c r="U27" s="57" t="s">
        <v>14184</v>
      </c>
      <c r="V27" s="56" t="s">
        <v>14153</v>
      </c>
      <c r="W27" s="58"/>
      <c r="X27" s="57" t="s">
        <v>15442</v>
      </c>
      <c r="Y27" s="57" t="s">
        <v>15443</v>
      </c>
      <c r="Z27" s="61" t="s">
        <v>15444</v>
      </c>
      <c r="AA27" s="61" t="s">
        <v>14312</v>
      </c>
      <c r="AB27" s="57" t="s">
        <v>15171</v>
      </c>
      <c r="AC27" s="57" t="s">
        <v>15172</v>
      </c>
      <c r="AD27" s="58"/>
      <c r="AE27" s="58"/>
      <c r="AF27" s="57" t="s">
        <v>15173</v>
      </c>
      <c r="AG27" s="58"/>
      <c r="AH27" s="58"/>
      <c r="AI27" s="57" t="s">
        <v>15173</v>
      </c>
      <c r="AJ27" s="58"/>
      <c r="AK27" s="56" t="s">
        <v>1285</v>
      </c>
      <c r="AL27" s="56" t="s">
        <v>15454</v>
      </c>
      <c r="AM27" s="58"/>
      <c r="AN27" s="56" t="s">
        <v>15455</v>
      </c>
      <c r="AO27" s="58"/>
      <c r="AP27" s="63">
        <v>45828.6642013889</v>
      </c>
      <c r="AQ27" s="56" t="s">
        <v>15456</v>
      </c>
      <c r="AR27" s="61" t="s">
        <v>15448</v>
      </c>
      <c r="AS27" s="57" t="s">
        <v>14184</v>
      </c>
      <c r="AT27" s="56" t="s">
        <v>15177</v>
      </c>
      <c r="AU27" s="56" t="s">
        <v>15457</v>
      </c>
      <c r="AV27" s="58"/>
      <c r="AW27" s="64">
        <v>45814.6585300926</v>
      </c>
      <c r="AX27" s="56" t="s">
        <v>15454</v>
      </c>
      <c r="AY27" s="56" t="s">
        <v>15179</v>
      </c>
      <c r="AZ27" s="58"/>
      <c r="BA27" s="58"/>
      <c r="BB27" s="58"/>
      <c r="BC27" s="58"/>
      <c r="BD27" s="56" t="s">
        <v>15276</v>
      </c>
      <c r="BE27" s="56" t="s">
        <v>15303</v>
      </c>
      <c r="BF27" s="56" t="s">
        <v>15181</v>
      </c>
      <c r="BG27" s="58"/>
      <c r="BH27" s="58"/>
      <c r="BI27" s="57" t="s">
        <v>2801</v>
      </c>
      <c r="BJ27" s="58"/>
      <c r="BK27" s="58"/>
      <c r="BL27" s="58"/>
      <c r="BM27" s="58"/>
      <c r="BN27" s="67">
        <v>31358</v>
      </c>
      <c r="BO27" s="58"/>
      <c r="BP27" s="56" t="s">
        <v>15450</v>
      </c>
      <c r="BQ27" s="58"/>
      <c r="BR27" s="58"/>
      <c r="BS27" s="58"/>
      <c r="BT27" s="58"/>
      <c r="BU27" s="56" t="s">
        <v>15456</v>
      </c>
      <c r="BV27" s="58"/>
      <c r="BW27" s="58"/>
      <c r="BX27" s="67">
        <v>31358</v>
      </c>
      <c r="BY27" s="56" t="s">
        <v>1285</v>
      </c>
      <c r="BZ27" s="58"/>
      <c r="CA27" s="56" t="s">
        <v>15160</v>
      </c>
      <c r="CB27" s="56" t="s">
        <v>15183</v>
      </c>
      <c r="CC27" s="58"/>
      <c r="CD27" s="58"/>
    </row>
    <row r="28" ht="108" spans="1:82">
      <c r="A28" s="56" t="s">
        <v>15458</v>
      </c>
      <c r="B28" s="58"/>
      <c r="C28" s="57" t="s">
        <v>15459</v>
      </c>
      <c r="D28" s="58"/>
      <c r="E28" s="57" t="s">
        <v>15158</v>
      </c>
      <c r="F28" s="57" t="s">
        <v>15460</v>
      </c>
      <c r="G28" s="57" t="s">
        <v>15160</v>
      </c>
      <c r="H28" s="56" t="s">
        <v>3307</v>
      </c>
      <c r="I28" s="60">
        <v>30623.73</v>
      </c>
      <c r="J28" s="57" t="s">
        <v>1285</v>
      </c>
      <c r="K28" s="57" t="s">
        <v>15162</v>
      </c>
      <c r="L28" s="57" t="s">
        <v>15163</v>
      </c>
      <c r="M28" s="61" t="s">
        <v>14312</v>
      </c>
      <c r="N28" s="62" t="s">
        <v>15461</v>
      </c>
      <c r="O28" s="57" t="s">
        <v>15165</v>
      </c>
      <c r="P28" s="57" t="s">
        <v>15166</v>
      </c>
      <c r="Q28" s="57" t="s">
        <v>3307</v>
      </c>
      <c r="R28" s="57" t="s">
        <v>15462</v>
      </c>
      <c r="S28" s="57" t="s">
        <v>15463</v>
      </c>
      <c r="T28" s="57" t="s">
        <v>15190</v>
      </c>
      <c r="U28" s="57" t="s">
        <v>14184</v>
      </c>
      <c r="V28" s="56" t="s">
        <v>14153</v>
      </c>
      <c r="W28" s="58"/>
      <c r="X28" s="57" t="s">
        <v>15464</v>
      </c>
      <c r="Y28" s="57" t="s">
        <v>15170</v>
      </c>
      <c r="Z28" s="61" t="s">
        <v>15465</v>
      </c>
      <c r="AA28" s="61" t="s">
        <v>14312</v>
      </c>
      <c r="AB28" s="58"/>
      <c r="AC28" s="57" t="s">
        <v>15172</v>
      </c>
      <c r="AD28" s="58"/>
      <c r="AE28" s="58"/>
      <c r="AF28" s="58"/>
      <c r="AG28" s="58"/>
      <c r="AH28" s="58"/>
      <c r="AI28" s="58"/>
      <c r="AJ28" s="58"/>
      <c r="AK28" s="56" t="s">
        <v>1285</v>
      </c>
      <c r="AL28" s="56" t="s">
        <v>15466</v>
      </c>
      <c r="AM28" s="58"/>
      <c r="AN28" s="56" t="s">
        <v>15467</v>
      </c>
      <c r="AO28" s="58"/>
      <c r="AP28" s="63">
        <v>45828.661412037</v>
      </c>
      <c r="AQ28" s="56" t="s">
        <v>15468</v>
      </c>
      <c r="AR28" s="61" t="s">
        <v>15448</v>
      </c>
      <c r="AS28" s="57" t="s">
        <v>14184</v>
      </c>
      <c r="AT28" s="56" t="s">
        <v>15177</v>
      </c>
      <c r="AU28" s="56" t="s">
        <v>15469</v>
      </c>
      <c r="AV28" s="58"/>
      <c r="AW28" s="64">
        <v>45797.489212963</v>
      </c>
      <c r="AX28" s="56" t="s">
        <v>15466</v>
      </c>
      <c r="AY28" s="56" t="s">
        <v>15179</v>
      </c>
      <c r="AZ28" s="58"/>
      <c r="BA28" s="58"/>
      <c r="BB28" s="58"/>
      <c r="BC28" s="56" t="s">
        <v>2902</v>
      </c>
      <c r="BD28" s="56" t="s">
        <v>15353</v>
      </c>
      <c r="BE28" s="56" t="s">
        <v>2871</v>
      </c>
      <c r="BF28" s="56" t="s">
        <v>15181</v>
      </c>
      <c r="BG28" s="58"/>
      <c r="BH28" s="58"/>
      <c r="BI28" s="57" t="s">
        <v>2801</v>
      </c>
      <c r="BJ28" s="58"/>
      <c r="BK28" s="58"/>
      <c r="BL28" s="66">
        <v>3573378</v>
      </c>
      <c r="BM28" s="56" t="s">
        <v>15470</v>
      </c>
      <c r="BN28" s="58"/>
      <c r="BO28" s="67">
        <v>30623.73</v>
      </c>
      <c r="BP28" s="56" t="s">
        <v>15450</v>
      </c>
      <c r="BQ28" s="58"/>
      <c r="BR28" s="56" t="s">
        <v>15471</v>
      </c>
      <c r="BS28" s="56" t="s">
        <v>1285</v>
      </c>
      <c r="BT28" s="58"/>
      <c r="BU28" s="56" t="s">
        <v>15468</v>
      </c>
      <c r="BV28" s="58"/>
      <c r="BW28" s="58"/>
      <c r="BX28" s="67">
        <v>30623.73</v>
      </c>
      <c r="BY28" s="56" t="s">
        <v>1285</v>
      </c>
      <c r="BZ28" s="58"/>
      <c r="CA28" s="58"/>
      <c r="CB28" s="58"/>
      <c r="CC28" s="58"/>
      <c r="CD28" s="58"/>
    </row>
    <row r="29" ht="108" spans="1:82">
      <c r="A29" s="56" t="s">
        <v>15472</v>
      </c>
      <c r="B29" s="58"/>
      <c r="C29" s="57" t="s">
        <v>15473</v>
      </c>
      <c r="D29" s="58"/>
      <c r="E29" s="57" t="s">
        <v>15158</v>
      </c>
      <c r="F29" s="57" t="s">
        <v>15474</v>
      </c>
      <c r="G29" s="57" t="s">
        <v>15160</v>
      </c>
      <c r="H29" s="56" t="s">
        <v>2920</v>
      </c>
      <c r="I29" s="60">
        <v>2520</v>
      </c>
      <c r="J29" s="57" t="s">
        <v>1285</v>
      </c>
      <c r="K29" s="57" t="s">
        <v>15162</v>
      </c>
      <c r="L29" s="57" t="s">
        <v>15163</v>
      </c>
      <c r="M29" s="61" t="s">
        <v>14312</v>
      </c>
      <c r="N29" s="62" t="s">
        <v>15461</v>
      </c>
      <c r="O29" s="57" t="s">
        <v>15165</v>
      </c>
      <c r="P29" s="57" t="s">
        <v>15166</v>
      </c>
      <c r="Q29" s="57" t="s">
        <v>2920</v>
      </c>
      <c r="R29" s="57" t="s">
        <v>15475</v>
      </c>
      <c r="S29" s="57" t="s">
        <v>15476</v>
      </c>
      <c r="T29" s="57" t="s">
        <v>15190</v>
      </c>
      <c r="U29" s="57" t="s">
        <v>14184</v>
      </c>
      <c r="V29" s="56" t="s">
        <v>14153</v>
      </c>
      <c r="W29" s="58"/>
      <c r="X29" s="57" t="s">
        <v>15477</v>
      </c>
      <c r="Y29" s="57" t="s">
        <v>15170</v>
      </c>
      <c r="Z29" s="61" t="s">
        <v>15465</v>
      </c>
      <c r="AA29" s="61" t="s">
        <v>14312</v>
      </c>
      <c r="AB29" s="58"/>
      <c r="AC29" s="57" t="s">
        <v>15172</v>
      </c>
      <c r="AD29" s="58"/>
      <c r="AE29" s="58"/>
      <c r="AF29" s="58"/>
      <c r="AG29" s="58"/>
      <c r="AH29" s="58"/>
      <c r="AI29" s="58"/>
      <c r="AJ29" s="58"/>
      <c r="AK29" s="56" t="s">
        <v>1285</v>
      </c>
      <c r="AL29" s="56" t="s">
        <v>15478</v>
      </c>
      <c r="AM29" s="58"/>
      <c r="AN29" s="56" t="s">
        <v>15479</v>
      </c>
      <c r="AO29" s="58"/>
      <c r="AP29" s="63">
        <v>45828.6632638889</v>
      </c>
      <c r="AQ29" s="56" t="s">
        <v>15480</v>
      </c>
      <c r="AR29" s="61" t="s">
        <v>15448</v>
      </c>
      <c r="AS29" s="57" t="s">
        <v>14184</v>
      </c>
      <c r="AT29" s="56" t="s">
        <v>15177</v>
      </c>
      <c r="AU29" s="56" t="s">
        <v>15481</v>
      </c>
      <c r="AV29" s="58"/>
      <c r="AW29" s="64">
        <v>45796.4243287037</v>
      </c>
      <c r="AX29" s="56" t="s">
        <v>15478</v>
      </c>
      <c r="AY29" s="56" t="s">
        <v>15179</v>
      </c>
      <c r="AZ29" s="58"/>
      <c r="BA29" s="58"/>
      <c r="BB29" s="58"/>
      <c r="BC29" s="56" t="s">
        <v>4048</v>
      </c>
      <c r="BD29" s="56" t="s">
        <v>15482</v>
      </c>
      <c r="BE29" s="56" t="s">
        <v>15483</v>
      </c>
      <c r="BF29" s="56" t="s">
        <v>15181</v>
      </c>
      <c r="BG29" s="58"/>
      <c r="BH29" s="58"/>
      <c r="BI29" s="57" t="s">
        <v>2801</v>
      </c>
      <c r="BJ29" s="58"/>
      <c r="BK29" s="58"/>
      <c r="BL29" s="66">
        <v>3125833</v>
      </c>
      <c r="BM29" s="56" t="s">
        <v>15484</v>
      </c>
      <c r="BN29" s="58"/>
      <c r="BO29" s="67">
        <v>1260</v>
      </c>
      <c r="BP29" s="56" t="s">
        <v>15450</v>
      </c>
      <c r="BQ29" s="58"/>
      <c r="BR29" s="56" t="s">
        <v>15485</v>
      </c>
      <c r="BS29" s="56" t="s">
        <v>1285</v>
      </c>
      <c r="BT29" s="58"/>
      <c r="BU29" s="56" t="s">
        <v>15480</v>
      </c>
      <c r="BV29" s="58"/>
      <c r="BW29" s="58"/>
      <c r="BX29" s="67">
        <v>1260</v>
      </c>
      <c r="BY29" s="56" t="s">
        <v>1285</v>
      </c>
      <c r="BZ29" s="58"/>
      <c r="CA29" s="58"/>
      <c r="CB29" s="58"/>
      <c r="CC29" s="58"/>
      <c r="CD29" s="58"/>
    </row>
    <row r="30" ht="108" spans="1:82">
      <c r="A30" s="56" t="s">
        <v>15486</v>
      </c>
      <c r="B30" s="58"/>
      <c r="C30" s="57" t="s">
        <v>15473</v>
      </c>
      <c r="D30" s="58"/>
      <c r="E30" s="57" t="s">
        <v>15158</v>
      </c>
      <c r="F30" s="57" t="s">
        <v>15474</v>
      </c>
      <c r="G30" s="57" t="s">
        <v>15160</v>
      </c>
      <c r="H30" s="56" t="s">
        <v>2920</v>
      </c>
      <c r="I30" s="60">
        <v>2520</v>
      </c>
      <c r="J30" s="57" t="s">
        <v>1285</v>
      </c>
      <c r="K30" s="57" t="s">
        <v>15162</v>
      </c>
      <c r="L30" s="57" t="s">
        <v>15163</v>
      </c>
      <c r="M30" s="61" t="s">
        <v>14312</v>
      </c>
      <c r="N30" s="62" t="s">
        <v>15461</v>
      </c>
      <c r="O30" s="57" t="s">
        <v>15165</v>
      </c>
      <c r="P30" s="57" t="s">
        <v>15166</v>
      </c>
      <c r="Q30" s="57" t="s">
        <v>2920</v>
      </c>
      <c r="R30" s="57" t="s">
        <v>15475</v>
      </c>
      <c r="S30" s="57" t="s">
        <v>15476</v>
      </c>
      <c r="T30" s="57" t="s">
        <v>15190</v>
      </c>
      <c r="U30" s="57" t="s">
        <v>14184</v>
      </c>
      <c r="V30" s="56" t="s">
        <v>14153</v>
      </c>
      <c r="W30" s="58"/>
      <c r="X30" s="57" t="s">
        <v>15477</v>
      </c>
      <c r="Y30" s="57" t="s">
        <v>15170</v>
      </c>
      <c r="Z30" s="61" t="s">
        <v>15465</v>
      </c>
      <c r="AA30" s="61" t="s">
        <v>14312</v>
      </c>
      <c r="AB30" s="58"/>
      <c r="AC30" s="57" t="s">
        <v>15172</v>
      </c>
      <c r="AD30" s="58"/>
      <c r="AE30" s="58"/>
      <c r="AF30" s="58"/>
      <c r="AG30" s="58"/>
      <c r="AH30" s="58"/>
      <c r="AI30" s="58"/>
      <c r="AJ30" s="58"/>
      <c r="AK30" s="56" t="s">
        <v>1285</v>
      </c>
      <c r="AL30" s="56" t="s">
        <v>15478</v>
      </c>
      <c r="AM30" s="58"/>
      <c r="AN30" s="56" t="s">
        <v>15479</v>
      </c>
      <c r="AO30" s="58"/>
      <c r="AP30" s="63">
        <v>45828.6632638889</v>
      </c>
      <c r="AQ30" s="56" t="s">
        <v>15480</v>
      </c>
      <c r="AR30" s="61" t="s">
        <v>15448</v>
      </c>
      <c r="AS30" s="57" t="s">
        <v>14184</v>
      </c>
      <c r="AT30" s="56" t="s">
        <v>15177</v>
      </c>
      <c r="AU30" s="56" t="s">
        <v>15481</v>
      </c>
      <c r="AV30" s="58"/>
      <c r="AW30" s="64">
        <v>45796.4243287037</v>
      </c>
      <c r="AX30" s="56" t="s">
        <v>15478</v>
      </c>
      <c r="AY30" s="56" t="s">
        <v>15179</v>
      </c>
      <c r="AZ30" s="58"/>
      <c r="BA30" s="58"/>
      <c r="BB30" s="58"/>
      <c r="BC30" s="56" t="s">
        <v>4048</v>
      </c>
      <c r="BD30" s="56" t="s">
        <v>15482</v>
      </c>
      <c r="BE30" s="56" t="s">
        <v>15483</v>
      </c>
      <c r="BF30" s="56" t="s">
        <v>15181</v>
      </c>
      <c r="BG30" s="58"/>
      <c r="BH30" s="58"/>
      <c r="BI30" s="57" t="s">
        <v>2801</v>
      </c>
      <c r="BJ30" s="58"/>
      <c r="BK30" s="58"/>
      <c r="BL30" s="66">
        <v>3125833</v>
      </c>
      <c r="BM30" s="56" t="s">
        <v>15487</v>
      </c>
      <c r="BN30" s="58"/>
      <c r="BO30" s="67">
        <v>1260</v>
      </c>
      <c r="BP30" s="56" t="s">
        <v>15450</v>
      </c>
      <c r="BQ30" s="58"/>
      <c r="BR30" s="56" t="s">
        <v>15485</v>
      </c>
      <c r="BS30" s="56" t="s">
        <v>1285</v>
      </c>
      <c r="BT30" s="58"/>
      <c r="BU30" s="56" t="s">
        <v>15480</v>
      </c>
      <c r="BV30" s="58"/>
      <c r="BW30" s="58"/>
      <c r="BX30" s="67">
        <v>1260</v>
      </c>
      <c r="BY30" s="56" t="s">
        <v>1285</v>
      </c>
      <c r="BZ30" s="58"/>
      <c r="CA30" s="58"/>
      <c r="CB30" s="58"/>
      <c r="CC30" s="58"/>
      <c r="CD30" s="58"/>
    </row>
    <row r="31" ht="108" spans="1:82">
      <c r="A31" s="56" t="s">
        <v>15488</v>
      </c>
      <c r="B31" s="58"/>
      <c r="C31" s="57" t="s">
        <v>15489</v>
      </c>
      <c r="D31" s="58"/>
      <c r="E31" s="57" t="s">
        <v>15158</v>
      </c>
      <c r="F31" s="57" t="s">
        <v>15490</v>
      </c>
      <c r="G31" s="57" t="s">
        <v>15160</v>
      </c>
      <c r="H31" s="56" t="s">
        <v>4043</v>
      </c>
      <c r="I31" s="60">
        <v>12865</v>
      </c>
      <c r="J31" s="57" t="s">
        <v>1285</v>
      </c>
      <c r="K31" s="57" t="s">
        <v>15162</v>
      </c>
      <c r="L31" s="57" t="s">
        <v>15163</v>
      </c>
      <c r="M31" s="61" t="s">
        <v>14312</v>
      </c>
      <c r="N31" s="62" t="s">
        <v>15491</v>
      </c>
      <c r="O31" s="57" t="s">
        <v>15165</v>
      </c>
      <c r="P31" s="57" t="s">
        <v>15166</v>
      </c>
      <c r="Q31" s="57" t="s">
        <v>4043</v>
      </c>
      <c r="R31" s="57" t="s">
        <v>15492</v>
      </c>
      <c r="S31" s="57" t="s">
        <v>15493</v>
      </c>
      <c r="T31" s="57" t="s">
        <v>15190</v>
      </c>
      <c r="U31" s="57" t="s">
        <v>14184</v>
      </c>
      <c r="V31" s="56" t="s">
        <v>14153</v>
      </c>
      <c r="W31" s="58"/>
      <c r="X31" s="57" t="s">
        <v>15494</v>
      </c>
      <c r="Y31" s="57" t="s">
        <v>15170</v>
      </c>
      <c r="Z31" s="61" t="s">
        <v>15465</v>
      </c>
      <c r="AA31" s="61" t="s">
        <v>14312</v>
      </c>
      <c r="AB31" s="58"/>
      <c r="AC31" s="57" t="s">
        <v>15172</v>
      </c>
      <c r="AD31" s="58"/>
      <c r="AE31" s="58"/>
      <c r="AF31" s="58"/>
      <c r="AG31" s="58"/>
      <c r="AH31" s="58"/>
      <c r="AI31" s="58"/>
      <c r="AJ31" s="58"/>
      <c r="AK31" s="56" t="s">
        <v>1285</v>
      </c>
      <c r="AL31" s="56" t="s">
        <v>15495</v>
      </c>
      <c r="AM31" s="58"/>
      <c r="AN31" s="56" t="s">
        <v>15496</v>
      </c>
      <c r="AO31" s="58"/>
      <c r="AP31" s="63">
        <v>45828.6652546296</v>
      </c>
      <c r="AQ31" s="56" t="s">
        <v>15497</v>
      </c>
      <c r="AR31" s="61" t="s">
        <v>15448</v>
      </c>
      <c r="AS31" s="57" t="s">
        <v>14184</v>
      </c>
      <c r="AT31" s="56" t="s">
        <v>15177</v>
      </c>
      <c r="AU31" s="56" t="s">
        <v>15498</v>
      </c>
      <c r="AV31" s="58"/>
      <c r="AW31" s="64">
        <v>45791.7504513889</v>
      </c>
      <c r="AX31" s="56" t="s">
        <v>15495</v>
      </c>
      <c r="AY31" s="56" t="s">
        <v>15179</v>
      </c>
      <c r="AZ31" s="58"/>
      <c r="BA31" s="58"/>
      <c r="BB31" s="58"/>
      <c r="BC31" s="56" t="s">
        <v>2918</v>
      </c>
      <c r="BD31" s="56" t="s">
        <v>15339</v>
      </c>
      <c r="BE31" s="56" t="s">
        <v>2867</v>
      </c>
      <c r="BF31" s="56" t="s">
        <v>15181</v>
      </c>
      <c r="BG31" s="58"/>
      <c r="BH31" s="58"/>
      <c r="BI31" s="57" t="s">
        <v>2801</v>
      </c>
      <c r="BJ31" s="58"/>
      <c r="BK31" s="58"/>
      <c r="BL31" s="66">
        <v>3496860</v>
      </c>
      <c r="BM31" s="56" t="s">
        <v>15499</v>
      </c>
      <c r="BN31" s="58"/>
      <c r="BO31" s="67">
        <v>12865</v>
      </c>
      <c r="BP31" s="56" t="s">
        <v>15450</v>
      </c>
      <c r="BQ31" s="58"/>
      <c r="BR31" s="56" t="s">
        <v>15500</v>
      </c>
      <c r="BS31" s="56" t="s">
        <v>1285</v>
      </c>
      <c r="BT31" s="58"/>
      <c r="BU31" s="56" t="s">
        <v>15497</v>
      </c>
      <c r="BV31" s="58"/>
      <c r="BW31" s="58"/>
      <c r="BX31" s="67">
        <v>12865</v>
      </c>
      <c r="BY31" s="56" t="s">
        <v>1285</v>
      </c>
      <c r="BZ31" s="58"/>
      <c r="CA31" s="58"/>
      <c r="CB31" s="58"/>
      <c r="CC31" s="58"/>
      <c r="CD31" s="58"/>
    </row>
    <row r="32" ht="121.5" spans="1:82">
      <c r="A32" s="56" t="s">
        <v>15501</v>
      </c>
      <c r="B32" s="58"/>
      <c r="C32" s="57" t="s">
        <v>15502</v>
      </c>
      <c r="D32" s="58"/>
      <c r="E32" s="57" t="s">
        <v>15158</v>
      </c>
      <c r="F32" s="57" t="s">
        <v>15503</v>
      </c>
      <c r="G32" s="57" t="s">
        <v>15160</v>
      </c>
      <c r="H32" s="56" t="s">
        <v>5093</v>
      </c>
      <c r="I32" s="60">
        <v>57715</v>
      </c>
      <c r="J32" s="57" t="s">
        <v>1285</v>
      </c>
      <c r="K32" s="57" t="s">
        <v>15162</v>
      </c>
      <c r="L32" s="57" t="s">
        <v>15163</v>
      </c>
      <c r="M32" s="61" t="s">
        <v>14312</v>
      </c>
      <c r="N32" s="62" t="s">
        <v>15504</v>
      </c>
      <c r="O32" s="57" t="s">
        <v>15165</v>
      </c>
      <c r="P32" s="57" t="s">
        <v>15166</v>
      </c>
      <c r="Q32" s="57" t="s">
        <v>5093</v>
      </c>
      <c r="R32" s="57" t="s">
        <v>15346</v>
      </c>
      <c r="S32" s="57" t="s">
        <v>15347</v>
      </c>
      <c r="T32" s="57" t="s">
        <v>15190</v>
      </c>
      <c r="U32" s="57" t="s">
        <v>14184</v>
      </c>
      <c r="V32" s="56" t="s">
        <v>14153</v>
      </c>
      <c r="W32" s="58"/>
      <c r="X32" s="57" t="s">
        <v>15505</v>
      </c>
      <c r="Y32" s="57" t="s">
        <v>15170</v>
      </c>
      <c r="Z32" s="61" t="s">
        <v>15465</v>
      </c>
      <c r="AA32" s="61" t="s">
        <v>14312</v>
      </c>
      <c r="AB32" s="58"/>
      <c r="AC32" s="57" t="s">
        <v>15172</v>
      </c>
      <c r="AD32" s="58"/>
      <c r="AE32" s="58"/>
      <c r="AF32" s="58"/>
      <c r="AG32" s="58"/>
      <c r="AH32" s="58"/>
      <c r="AI32" s="58"/>
      <c r="AJ32" s="58"/>
      <c r="AK32" s="56" t="s">
        <v>1285</v>
      </c>
      <c r="AL32" s="56" t="s">
        <v>15506</v>
      </c>
      <c r="AM32" s="58"/>
      <c r="AN32" s="56" t="s">
        <v>15507</v>
      </c>
      <c r="AO32" s="58"/>
      <c r="AP32" s="63">
        <v>45828.6632175926</v>
      </c>
      <c r="AQ32" s="56" t="s">
        <v>15508</v>
      </c>
      <c r="AR32" s="61" t="s">
        <v>15448</v>
      </c>
      <c r="AS32" s="57" t="s">
        <v>14184</v>
      </c>
      <c r="AT32" s="56" t="s">
        <v>15177</v>
      </c>
      <c r="AU32" s="56" t="s">
        <v>15509</v>
      </c>
      <c r="AV32" s="58"/>
      <c r="AW32" s="64">
        <v>45791.7472106482</v>
      </c>
      <c r="AX32" s="56" t="s">
        <v>15506</v>
      </c>
      <c r="AY32" s="56" t="s">
        <v>15179</v>
      </c>
      <c r="AZ32" s="58"/>
      <c r="BA32" s="58"/>
      <c r="BB32" s="58"/>
      <c r="BC32" s="56" t="s">
        <v>2902</v>
      </c>
      <c r="BD32" s="56" t="s">
        <v>15353</v>
      </c>
      <c r="BE32" s="56" t="s">
        <v>2858</v>
      </c>
      <c r="BF32" s="56" t="s">
        <v>15181</v>
      </c>
      <c r="BG32" s="58"/>
      <c r="BH32" s="58"/>
      <c r="BI32" s="57" t="s">
        <v>2801</v>
      </c>
      <c r="BJ32" s="58"/>
      <c r="BK32" s="58"/>
      <c r="BL32" s="66">
        <v>3125841</v>
      </c>
      <c r="BM32" s="56" t="s">
        <v>15510</v>
      </c>
      <c r="BN32" s="58"/>
      <c r="BO32" s="67">
        <v>57715</v>
      </c>
      <c r="BP32" s="56" t="s">
        <v>15450</v>
      </c>
      <c r="BQ32" s="58"/>
      <c r="BR32" s="56" t="s">
        <v>15511</v>
      </c>
      <c r="BS32" s="56" t="s">
        <v>1285</v>
      </c>
      <c r="BT32" s="58"/>
      <c r="BU32" s="56" t="s">
        <v>15508</v>
      </c>
      <c r="BV32" s="58"/>
      <c r="BW32" s="58"/>
      <c r="BX32" s="67">
        <v>57715</v>
      </c>
      <c r="BY32" s="56" t="s">
        <v>1285</v>
      </c>
      <c r="BZ32" s="58"/>
      <c r="CA32" s="58"/>
      <c r="CB32" s="58"/>
      <c r="CC32" s="58"/>
      <c r="CD32" s="58"/>
    </row>
    <row r="33" ht="108" spans="1:82">
      <c r="A33" s="56" t="s">
        <v>15512</v>
      </c>
      <c r="B33" s="58"/>
      <c r="C33" s="57" t="s">
        <v>15513</v>
      </c>
      <c r="D33" s="58"/>
      <c r="E33" s="57" t="s">
        <v>15158</v>
      </c>
      <c r="F33" s="57" t="s">
        <v>15514</v>
      </c>
      <c r="G33" s="57" t="s">
        <v>15160</v>
      </c>
      <c r="H33" s="56" t="s">
        <v>4050</v>
      </c>
      <c r="I33" s="60">
        <v>10500</v>
      </c>
      <c r="J33" s="57" t="s">
        <v>1285</v>
      </c>
      <c r="K33" s="57" t="s">
        <v>15162</v>
      </c>
      <c r="L33" s="57" t="s">
        <v>15163</v>
      </c>
      <c r="M33" s="61" t="s">
        <v>14312</v>
      </c>
      <c r="N33" s="62" t="s">
        <v>15515</v>
      </c>
      <c r="O33" s="57" t="s">
        <v>15165</v>
      </c>
      <c r="P33" s="57" t="s">
        <v>15166</v>
      </c>
      <c r="Q33" s="57" t="s">
        <v>4050</v>
      </c>
      <c r="R33" s="57" t="s">
        <v>15516</v>
      </c>
      <c r="S33" s="57" t="s">
        <v>15517</v>
      </c>
      <c r="T33" s="57" t="s">
        <v>15190</v>
      </c>
      <c r="U33" s="57" t="s">
        <v>14184</v>
      </c>
      <c r="V33" s="56" t="s">
        <v>14153</v>
      </c>
      <c r="W33" s="58"/>
      <c r="X33" s="57" t="s">
        <v>15518</v>
      </c>
      <c r="Y33" s="57" t="s">
        <v>15170</v>
      </c>
      <c r="Z33" s="61" t="s">
        <v>15465</v>
      </c>
      <c r="AA33" s="61" t="s">
        <v>14312</v>
      </c>
      <c r="AB33" s="58"/>
      <c r="AC33" s="57" t="s">
        <v>15172</v>
      </c>
      <c r="AD33" s="58"/>
      <c r="AE33" s="58"/>
      <c r="AF33" s="58"/>
      <c r="AG33" s="58"/>
      <c r="AH33" s="58"/>
      <c r="AI33" s="58"/>
      <c r="AJ33" s="58"/>
      <c r="AK33" s="56" t="s">
        <v>1285</v>
      </c>
      <c r="AL33" s="56" t="s">
        <v>15519</v>
      </c>
      <c r="AM33" s="58"/>
      <c r="AN33" s="56" t="s">
        <v>15520</v>
      </c>
      <c r="AO33" s="58"/>
      <c r="AP33" s="63">
        <v>45828.6614583333</v>
      </c>
      <c r="AQ33" s="56" t="s">
        <v>15521</v>
      </c>
      <c r="AR33" s="61" t="s">
        <v>15448</v>
      </c>
      <c r="AS33" s="57" t="s">
        <v>14184</v>
      </c>
      <c r="AT33" s="56" t="s">
        <v>15177</v>
      </c>
      <c r="AU33" s="56" t="s">
        <v>15522</v>
      </c>
      <c r="AV33" s="58"/>
      <c r="AW33" s="64">
        <v>45791.7463194444</v>
      </c>
      <c r="AX33" s="56" t="s">
        <v>15519</v>
      </c>
      <c r="AY33" s="56" t="s">
        <v>15179</v>
      </c>
      <c r="AZ33" s="58"/>
      <c r="BA33" s="58"/>
      <c r="BB33" s="58"/>
      <c r="BC33" s="56" t="s">
        <v>4048</v>
      </c>
      <c r="BD33" s="56" t="s">
        <v>15482</v>
      </c>
      <c r="BE33" s="56" t="s">
        <v>2824</v>
      </c>
      <c r="BF33" s="56" t="s">
        <v>15181</v>
      </c>
      <c r="BG33" s="58"/>
      <c r="BH33" s="58"/>
      <c r="BI33" s="57" t="s">
        <v>2801</v>
      </c>
      <c r="BJ33" s="58"/>
      <c r="BK33" s="58"/>
      <c r="BL33" s="66">
        <v>3512294</v>
      </c>
      <c r="BM33" s="56" t="s">
        <v>15523</v>
      </c>
      <c r="BN33" s="58"/>
      <c r="BO33" s="67">
        <v>3500</v>
      </c>
      <c r="BP33" s="56" t="s">
        <v>15450</v>
      </c>
      <c r="BQ33" s="58"/>
      <c r="BR33" s="56" t="s">
        <v>15524</v>
      </c>
      <c r="BS33" s="56" t="s">
        <v>1285</v>
      </c>
      <c r="BT33" s="58"/>
      <c r="BU33" s="56" t="s">
        <v>15521</v>
      </c>
      <c r="BV33" s="58"/>
      <c r="BW33" s="58"/>
      <c r="BX33" s="67">
        <v>3500</v>
      </c>
      <c r="BY33" s="56" t="s">
        <v>1285</v>
      </c>
      <c r="BZ33" s="58"/>
      <c r="CA33" s="58"/>
      <c r="CB33" s="58"/>
      <c r="CC33" s="58"/>
      <c r="CD33" s="58"/>
    </row>
    <row r="34" ht="108" spans="1:82">
      <c r="A34" s="56" t="s">
        <v>15525</v>
      </c>
      <c r="B34" s="58"/>
      <c r="C34" s="57" t="s">
        <v>15513</v>
      </c>
      <c r="D34" s="58"/>
      <c r="E34" s="57" t="s">
        <v>15158</v>
      </c>
      <c r="F34" s="57" t="s">
        <v>15514</v>
      </c>
      <c r="G34" s="57" t="s">
        <v>15160</v>
      </c>
      <c r="H34" s="56" t="s">
        <v>4050</v>
      </c>
      <c r="I34" s="60">
        <v>10500</v>
      </c>
      <c r="J34" s="57" t="s">
        <v>1285</v>
      </c>
      <c r="K34" s="57" t="s">
        <v>15162</v>
      </c>
      <c r="L34" s="57" t="s">
        <v>15163</v>
      </c>
      <c r="M34" s="61" t="s">
        <v>14312</v>
      </c>
      <c r="N34" s="62" t="s">
        <v>15515</v>
      </c>
      <c r="O34" s="57" t="s">
        <v>15165</v>
      </c>
      <c r="P34" s="57" t="s">
        <v>15166</v>
      </c>
      <c r="Q34" s="57" t="s">
        <v>4050</v>
      </c>
      <c r="R34" s="57" t="s">
        <v>15516</v>
      </c>
      <c r="S34" s="57" t="s">
        <v>15517</v>
      </c>
      <c r="T34" s="57" t="s">
        <v>15190</v>
      </c>
      <c r="U34" s="57" t="s">
        <v>14184</v>
      </c>
      <c r="V34" s="56" t="s">
        <v>14153</v>
      </c>
      <c r="W34" s="58"/>
      <c r="X34" s="57" t="s">
        <v>15518</v>
      </c>
      <c r="Y34" s="57" t="s">
        <v>15170</v>
      </c>
      <c r="Z34" s="61" t="s">
        <v>15465</v>
      </c>
      <c r="AA34" s="61" t="s">
        <v>14312</v>
      </c>
      <c r="AB34" s="58"/>
      <c r="AC34" s="57" t="s">
        <v>15172</v>
      </c>
      <c r="AD34" s="58"/>
      <c r="AE34" s="58"/>
      <c r="AF34" s="58"/>
      <c r="AG34" s="58"/>
      <c r="AH34" s="58"/>
      <c r="AI34" s="58"/>
      <c r="AJ34" s="58"/>
      <c r="AK34" s="56" t="s">
        <v>1285</v>
      </c>
      <c r="AL34" s="56" t="s">
        <v>15519</v>
      </c>
      <c r="AM34" s="58"/>
      <c r="AN34" s="56" t="s">
        <v>15520</v>
      </c>
      <c r="AO34" s="58"/>
      <c r="AP34" s="63">
        <v>45828.6614583333</v>
      </c>
      <c r="AQ34" s="56" t="s">
        <v>15521</v>
      </c>
      <c r="AR34" s="61" t="s">
        <v>15448</v>
      </c>
      <c r="AS34" s="57" t="s">
        <v>14184</v>
      </c>
      <c r="AT34" s="56" t="s">
        <v>15177</v>
      </c>
      <c r="AU34" s="56" t="s">
        <v>15522</v>
      </c>
      <c r="AV34" s="58"/>
      <c r="AW34" s="64">
        <v>45791.7463194444</v>
      </c>
      <c r="AX34" s="56" t="s">
        <v>15519</v>
      </c>
      <c r="AY34" s="56" t="s">
        <v>15179</v>
      </c>
      <c r="AZ34" s="58"/>
      <c r="BA34" s="58"/>
      <c r="BB34" s="58"/>
      <c r="BC34" s="56" t="s">
        <v>4048</v>
      </c>
      <c r="BD34" s="56" t="s">
        <v>15482</v>
      </c>
      <c r="BE34" s="56" t="s">
        <v>2824</v>
      </c>
      <c r="BF34" s="56" t="s">
        <v>15181</v>
      </c>
      <c r="BG34" s="58"/>
      <c r="BH34" s="58"/>
      <c r="BI34" s="57" t="s">
        <v>2801</v>
      </c>
      <c r="BJ34" s="58"/>
      <c r="BK34" s="58"/>
      <c r="BL34" s="66">
        <v>3512294</v>
      </c>
      <c r="BM34" s="56" t="s">
        <v>15523</v>
      </c>
      <c r="BN34" s="58"/>
      <c r="BO34" s="67">
        <v>3500</v>
      </c>
      <c r="BP34" s="56" t="s">
        <v>15450</v>
      </c>
      <c r="BQ34" s="58"/>
      <c r="BR34" s="56" t="s">
        <v>15524</v>
      </c>
      <c r="BS34" s="56" t="s">
        <v>1285</v>
      </c>
      <c r="BT34" s="58"/>
      <c r="BU34" s="56" t="s">
        <v>15521</v>
      </c>
      <c r="BV34" s="58"/>
      <c r="BW34" s="58"/>
      <c r="BX34" s="67">
        <v>3500</v>
      </c>
      <c r="BY34" s="56" t="s">
        <v>1285</v>
      </c>
      <c r="BZ34" s="58"/>
      <c r="CA34" s="58"/>
      <c r="CB34" s="58"/>
      <c r="CC34" s="58"/>
      <c r="CD34" s="58"/>
    </row>
    <row r="35" ht="108" spans="1:82">
      <c r="A35" s="56" t="s">
        <v>15526</v>
      </c>
      <c r="B35" s="58"/>
      <c r="C35" s="57" t="s">
        <v>15513</v>
      </c>
      <c r="D35" s="58"/>
      <c r="E35" s="57" t="s">
        <v>15158</v>
      </c>
      <c r="F35" s="57" t="s">
        <v>15514</v>
      </c>
      <c r="G35" s="57" t="s">
        <v>15160</v>
      </c>
      <c r="H35" s="56" t="s">
        <v>4050</v>
      </c>
      <c r="I35" s="60">
        <v>10500</v>
      </c>
      <c r="J35" s="57" t="s">
        <v>1285</v>
      </c>
      <c r="K35" s="57" t="s">
        <v>15162</v>
      </c>
      <c r="L35" s="57" t="s">
        <v>15163</v>
      </c>
      <c r="M35" s="61" t="s">
        <v>14312</v>
      </c>
      <c r="N35" s="62" t="s">
        <v>15515</v>
      </c>
      <c r="O35" s="57" t="s">
        <v>15165</v>
      </c>
      <c r="P35" s="57" t="s">
        <v>15166</v>
      </c>
      <c r="Q35" s="57" t="s">
        <v>4050</v>
      </c>
      <c r="R35" s="57" t="s">
        <v>15516</v>
      </c>
      <c r="S35" s="57" t="s">
        <v>15517</v>
      </c>
      <c r="T35" s="57" t="s">
        <v>15190</v>
      </c>
      <c r="U35" s="57" t="s">
        <v>14184</v>
      </c>
      <c r="V35" s="56" t="s">
        <v>14153</v>
      </c>
      <c r="W35" s="58"/>
      <c r="X35" s="57" t="s">
        <v>15518</v>
      </c>
      <c r="Y35" s="57" t="s">
        <v>15170</v>
      </c>
      <c r="Z35" s="61" t="s">
        <v>15465</v>
      </c>
      <c r="AA35" s="61" t="s">
        <v>14312</v>
      </c>
      <c r="AB35" s="58"/>
      <c r="AC35" s="57" t="s">
        <v>15172</v>
      </c>
      <c r="AD35" s="58"/>
      <c r="AE35" s="58"/>
      <c r="AF35" s="58"/>
      <c r="AG35" s="58"/>
      <c r="AH35" s="58"/>
      <c r="AI35" s="58"/>
      <c r="AJ35" s="58"/>
      <c r="AK35" s="56" t="s">
        <v>1285</v>
      </c>
      <c r="AL35" s="56" t="s">
        <v>15519</v>
      </c>
      <c r="AM35" s="58"/>
      <c r="AN35" s="56" t="s">
        <v>15520</v>
      </c>
      <c r="AO35" s="58"/>
      <c r="AP35" s="63">
        <v>45828.6614583333</v>
      </c>
      <c r="AQ35" s="56" t="s">
        <v>15521</v>
      </c>
      <c r="AR35" s="61" t="s">
        <v>15448</v>
      </c>
      <c r="AS35" s="57" t="s">
        <v>14184</v>
      </c>
      <c r="AT35" s="56" t="s">
        <v>15177</v>
      </c>
      <c r="AU35" s="56" t="s">
        <v>15522</v>
      </c>
      <c r="AV35" s="58"/>
      <c r="AW35" s="64">
        <v>45791.7463194444</v>
      </c>
      <c r="AX35" s="56" t="s">
        <v>15519</v>
      </c>
      <c r="AY35" s="56" t="s">
        <v>15179</v>
      </c>
      <c r="AZ35" s="58"/>
      <c r="BA35" s="58"/>
      <c r="BB35" s="58"/>
      <c r="BC35" s="56" t="s">
        <v>4048</v>
      </c>
      <c r="BD35" s="56" t="s">
        <v>15482</v>
      </c>
      <c r="BE35" s="56" t="s">
        <v>2824</v>
      </c>
      <c r="BF35" s="56" t="s">
        <v>15181</v>
      </c>
      <c r="BG35" s="58"/>
      <c r="BH35" s="58"/>
      <c r="BI35" s="57" t="s">
        <v>2801</v>
      </c>
      <c r="BJ35" s="58"/>
      <c r="BK35" s="58"/>
      <c r="BL35" s="66">
        <v>3512294</v>
      </c>
      <c r="BM35" s="56" t="s">
        <v>15523</v>
      </c>
      <c r="BN35" s="58"/>
      <c r="BO35" s="67">
        <v>3500</v>
      </c>
      <c r="BP35" s="56" t="s">
        <v>15450</v>
      </c>
      <c r="BQ35" s="58"/>
      <c r="BR35" s="56" t="s">
        <v>15524</v>
      </c>
      <c r="BS35" s="56" t="s">
        <v>1285</v>
      </c>
      <c r="BT35" s="58"/>
      <c r="BU35" s="56" t="s">
        <v>15521</v>
      </c>
      <c r="BV35" s="58"/>
      <c r="BW35" s="58"/>
      <c r="BX35" s="67">
        <v>3500</v>
      </c>
      <c r="BY35" s="56" t="s">
        <v>1285</v>
      </c>
      <c r="BZ35" s="58"/>
      <c r="CA35" s="58"/>
      <c r="CB35" s="58"/>
      <c r="CC35" s="58"/>
      <c r="CD35" s="58"/>
    </row>
    <row r="36" ht="108" spans="1:82">
      <c r="A36" s="56" t="s">
        <v>15527</v>
      </c>
      <c r="B36" s="58"/>
      <c r="C36" s="57" t="s">
        <v>15528</v>
      </c>
      <c r="D36" s="58"/>
      <c r="E36" s="57" t="s">
        <v>15158</v>
      </c>
      <c r="F36" s="57" t="s">
        <v>15529</v>
      </c>
      <c r="G36" s="57" t="s">
        <v>15160</v>
      </c>
      <c r="H36" s="56" t="s">
        <v>4054</v>
      </c>
      <c r="I36" s="60">
        <v>79437.64</v>
      </c>
      <c r="J36" s="57" t="s">
        <v>1285</v>
      </c>
      <c r="K36" s="57" t="s">
        <v>15162</v>
      </c>
      <c r="L36" s="57" t="s">
        <v>15163</v>
      </c>
      <c r="M36" s="61" t="s">
        <v>14312</v>
      </c>
      <c r="N36" s="62" t="s">
        <v>15491</v>
      </c>
      <c r="O36" s="57" t="s">
        <v>15165</v>
      </c>
      <c r="P36" s="57" t="s">
        <v>15166</v>
      </c>
      <c r="Q36" s="57" t="s">
        <v>4054</v>
      </c>
      <c r="R36" s="57" t="s">
        <v>15530</v>
      </c>
      <c r="S36" s="57" t="s">
        <v>15531</v>
      </c>
      <c r="T36" s="57" t="s">
        <v>15190</v>
      </c>
      <c r="U36" s="57" t="s">
        <v>14184</v>
      </c>
      <c r="V36" s="56" t="s">
        <v>14153</v>
      </c>
      <c r="W36" s="58"/>
      <c r="X36" s="57" t="s">
        <v>15532</v>
      </c>
      <c r="Y36" s="57" t="s">
        <v>15170</v>
      </c>
      <c r="Z36" s="61" t="s">
        <v>15465</v>
      </c>
      <c r="AA36" s="61" t="s">
        <v>14312</v>
      </c>
      <c r="AB36" s="58"/>
      <c r="AC36" s="57" t="s">
        <v>15172</v>
      </c>
      <c r="AD36" s="58"/>
      <c r="AE36" s="58"/>
      <c r="AF36" s="58"/>
      <c r="AG36" s="58"/>
      <c r="AH36" s="58"/>
      <c r="AI36" s="58"/>
      <c r="AJ36" s="58"/>
      <c r="AK36" s="56" t="s">
        <v>1285</v>
      </c>
      <c r="AL36" s="56" t="s">
        <v>15533</v>
      </c>
      <c r="AM36" s="58"/>
      <c r="AN36" s="56" t="s">
        <v>15534</v>
      </c>
      <c r="AO36" s="58"/>
      <c r="AP36" s="63">
        <v>45828.6633333333</v>
      </c>
      <c r="AQ36" s="56" t="s">
        <v>15535</v>
      </c>
      <c r="AR36" s="61" t="s">
        <v>15448</v>
      </c>
      <c r="AS36" s="57" t="s">
        <v>14184</v>
      </c>
      <c r="AT36" s="56" t="s">
        <v>15177</v>
      </c>
      <c r="AU36" s="56" t="s">
        <v>15536</v>
      </c>
      <c r="AV36" s="58"/>
      <c r="AW36" s="64">
        <v>45791.7456018518</v>
      </c>
      <c r="AX36" s="56" t="s">
        <v>15533</v>
      </c>
      <c r="AY36" s="56" t="s">
        <v>15179</v>
      </c>
      <c r="AZ36" s="58"/>
      <c r="BA36" s="58"/>
      <c r="BB36" s="58"/>
      <c r="BC36" s="56" t="s">
        <v>2902</v>
      </c>
      <c r="BD36" s="56" t="s">
        <v>15353</v>
      </c>
      <c r="BE36" s="56" t="s">
        <v>2868</v>
      </c>
      <c r="BF36" s="56" t="s">
        <v>15181</v>
      </c>
      <c r="BG36" s="58"/>
      <c r="BH36" s="58"/>
      <c r="BI36" s="57" t="s">
        <v>2801</v>
      </c>
      <c r="BJ36" s="58"/>
      <c r="BK36" s="58"/>
      <c r="BL36" s="66">
        <v>3505693</v>
      </c>
      <c r="BM36" s="56" t="s">
        <v>15537</v>
      </c>
      <c r="BN36" s="58"/>
      <c r="BO36" s="67">
        <v>69334.43</v>
      </c>
      <c r="BP36" s="56" t="s">
        <v>15450</v>
      </c>
      <c r="BQ36" s="58"/>
      <c r="BR36" s="56" t="s">
        <v>15538</v>
      </c>
      <c r="BS36" s="56" t="s">
        <v>1285</v>
      </c>
      <c r="BT36" s="58"/>
      <c r="BU36" s="56" t="s">
        <v>15535</v>
      </c>
      <c r="BV36" s="58"/>
      <c r="BW36" s="58"/>
      <c r="BX36" s="67">
        <v>69334.43</v>
      </c>
      <c r="BY36" s="56" t="s">
        <v>1285</v>
      </c>
      <c r="BZ36" s="58"/>
      <c r="CA36" s="58"/>
      <c r="CB36" s="58"/>
      <c r="CC36" s="58"/>
      <c r="CD36" s="58"/>
    </row>
    <row r="37" ht="108" spans="1:82">
      <c r="A37" s="56" t="s">
        <v>15539</v>
      </c>
      <c r="B37" s="58"/>
      <c r="C37" s="57" t="s">
        <v>15528</v>
      </c>
      <c r="D37" s="58"/>
      <c r="E37" s="57" t="s">
        <v>15158</v>
      </c>
      <c r="F37" s="57" t="s">
        <v>15529</v>
      </c>
      <c r="G37" s="57" t="s">
        <v>15160</v>
      </c>
      <c r="H37" s="56" t="s">
        <v>4054</v>
      </c>
      <c r="I37" s="60">
        <v>79437.64</v>
      </c>
      <c r="J37" s="57" t="s">
        <v>1285</v>
      </c>
      <c r="K37" s="57" t="s">
        <v>15162</v>
      </c>
      <c r="L37" s="57" t="s">
        <v>15163</v>
      </c>
      <c r="M37" s="61" t="s">
        <v>14312</v>
      </c>
      <c r="N37" s="62" t="s">
        <v>15491</v>
      </c>
      <c r="O37" s="57" t="s">
        <v>15165</v>
      </c>
      <c r="P37" s="57" t="s">
        <v>15166</v>
      </c>
      <c r="Q37" s="57" t="s">
        <v>4054</v>
      </c>
      <c r="R37" s="57" t="s">
        <v>15530</v>
      </c>
      <c r="S37" s="57" t="s">
        <v>15531</v>
      </c>
      <c r="T37" s="57" t="s">
        <v>15190</v>
      </c>
      <c r="U37" s="57" t="s">
        <v>14184</v>
      </c>
      <c r="V37" s="56" t="s">
        <v>14153</v>
      </c>
      <c r="W37" s="58"/>
      <c r="X37" s="57" t="s">
        <v>15532</v>
      </c>
      <c r="Y37" s="57" t="s">
        <v>15170</v>
      </c>
      <c r="Z37" s="61" t="s">
        <v>15465</v>
      </c>
      <c r="AA37" s="61" t="s">
        <v>14312</v>
      </c>
      <c r="AB37" s="58"/>
      <c r="AC37" s="57" t="s">
        <v>15172</v>
      </c>
      <c r="AD37" s="58"/>
      <c r="AE37" s="58"/>
      <c r="AF37" s="58"/>
      <c r="AG37" s="58"/>
      <c r="AH37" s="58"/>
      <c r="AI37" s="58"/>
      <c r="AJ37" s="58"/>
      <c r="AK37" s="56" t="s">
        <v>1285</v>
      </c>
      <c r="AL37" s="56" t="s">
        <v>15533</v>
      </c>
      <c r="AM37" s="58"/>
      <c r="AN37" s="56" t="s">
        <v>15534</v>
      </c>
      <c r="AO37" s="58"/>
      <c r="AP37" s="63">
        <v>45828.6633333333</v>
      </c>
      <c r="AQ37" s="56" t="s">
        <v>15535</v>
      </c>
      <c r="AR37" s="61" t="s">
        <v>15448</v>
      </c>
      <c r="AS37" s="57" t="s">
        <v>14184</v>
      </c>
      <c r="AT37" s="56" t="s">
        <v>15177</v>
      </c>
      <c r="AU37" s="56" t="s">
        <v>15536</v>
      </c>
      <c r="AV37" s="58"/>
      <c r="AW37" s="64">
        <v>45791.7456018518</v>
      </c>
      <c r="AX37" s="56" t="s">
        <v>15533</v>
      </c>
      <c r="AY37" s="56" t="s">
        <v>15179</v>
      </c>
      <c r="AZ37" s="58"/>
      <c r="BA37" s="58"/>
      <c r="BB37" s="58"/>
      <c r="BC37" s="56" t="s">
        <v>2902</v>
      </c>
      <c r="BD37" s="56" t="s">
        <v>15353</v>
      </c>
      <c r="BE37" s="56" t="s">
        <v>2868</v>
      </c>
      <c r="BF37" s="56" t="s">
        <v>15181</v>
      </c>
      <c r="BG37" s="58"/>
      <c r="BH37" s="58"/>
      <c r="BI37" s="57" t="s">
        <v>2801</v>
      </c>
      <c r="BJ37" s="58"/>
      <c r="BK37" s="58"/>
      <c r="BL37" s="66">
        <v>3505693</v>
      </c>
      <c r="BM37" s="56" t="s">
        <v>15540</v>
      </c>
      <c r="BN37" s="58"/>
      <c r="BO37" s="67">
        <v>10103.21</v>
      </c>
      <c r="BP37" s="56" t="s">
        <v>15450</v>
      </c>
      <c r="BQ37" s="58"/>
      <c r="BR37" s="56" t="s">
        <v>15538</v>
      </c>
      <c r="BS37" s="56" t="s">
        <v>1285</v>
      </c>
      <c r="BT37" s="58"/>
      <c r="BU37" s="56" t="s">
        <v>15535</v>
      </c>
      <c r="BV37" s="58"/>
      <c r="BW37" s="58"/>
      <c r="BX37" s="67">
        <v>10103.21</v>
      </c>
      <c r="BY37" s="56" t="s">
        <v>1285</v>
      </c>
      <c r="BZ37" s="58"/>
      <c r="CA37" s="58"/>
      <c r="CB37" s="58"/>
      <c r="CC37" s="58"/>
      <c r="CD37" s="58"/>
    </row>
    <row r="38" ht="108" spans="1:82">
      <c r="A38" s="56" t="s">
        <v>15541</v>
      </c>
      <c r="B38" s="58"/>
      <c r="C38" s="57" t="s">
        <v>15542</v>
      </c>
      <c r="D38" s="58"/>
      <c r="E38" s="57" t="s">
        <v>15158</v>
      </c>
      <c r="F38" s="57" t="s">
        <v>15543</v>
      </c>
      <c r="G38" s="57" t="s">
        <v>15160</v>
      </c>
      <c r="H38" s="56" t="s">
        <v>4084</v>
      </c>
      <c r="I38" s="60">
        <v>9333.34</v>
      </c>
      <c r="J38" s="57" t="s">
        <v>1285</v>
      </c>
      <c r="K38" s="57" t="s">
        <v>15162</v>
      </c>
      <c r="L38" s="57" t="s">
        <v>15163</v>
      </c>
      <c r="M38" s="61" t="s">
        <v>14312</v>
      </c>
      <c r="N38" s="62" t="s">
        <v>15504</v>
      </c>
      <c r="O38" s="57" t="s">
        <v>15165</v>
      </c>
      <c r="P38" s="57" t="s">
        <v>15166</v>
      </c>
      <c r="Q38" s="57" t="s">
        <v>4084</v>
      </c>
      <c r="R38" s="57" t="s">
        <v>15544</v>
      </c>
      <c r="S38" s="57" t="s">
        <v>15545</v>
      </c>
      <c r="T38" s="57" t="s">
        <v>15190</v>
      </c>
      <c r="U38" s="57" t="s">
        <v>14184</v>
      </c>
      <c r="V38" s="56" t="s">
        <v>14153</v>
      </c>
      <c r="W38" s="58"/>
      <c r="X38" s="57" t="s">
        <v>15546</v>
      </c>
      <c r="Y38" s="57" t="s">
        <v>15170</v>
      </c>
      <c r="Z38" s="61" t="s">
        <v>15465</v>
      </c>
      <c r="AA38" s="61" t="s">
        <v>14312</v>
      </c>
      <c r="AB38" s="58"/>
      <c r="AC38" s="57" t="s">
        <v>15172</v>
      </c>
      <c r="AD38" s="58"/>
      <c r="AE38" s="58"/>
      <c r="AF38" s="58"/>
      <c r="AG38" s="58"/>
      <c r="AH38" s="58"/>
      <c r="AI38" s="58"/>
      <c r="AJ38" s="58"/>
      <c r="AK38" s="56" t="s">
        <v>1285</v>
      </c>
      <c r="AL38" s="56" t="s">
        <v>15547</v>
      </c>
      <c r="AM38" s="58"/>
      <c r="AN38" s="56" t="s">
        <v>15548</v>
      </c>
      <c r="AO38" s="58"/>
      <c r="AP38" s="63">
        <v>45828.6615393519</v>
      </c>
      <c r="AQ38" s="56" t="s">
        <v>15549</v>
      </c>
      <c r="AR38" s="61" t="s">
        <v>15448</v>
      </c>
      <c r="AS38" s="57" t="s">
        <v>14184</v>
      </c>
      <c r="AT38" s="56" t="s">
        <v>15177</v>
      </c>
      <c r="AU38" s="56" t="s">
        <v>15550</v>
      </c>
      <c r="AV38" s="58"/>
      <c r="AW38" s="64">
        <v>45791.745474537</v>
      </c>
      <c r="AX38" s="56" t="s">
        <v>15547</v>
      </c>
      <c r="AY38" s="56" t="s">
        <v>15179</v>
      </c>
      <c r="AZ38" s="58"/>
      <c r="BA38" s="58"/>
      <c r="BB38" s="58"/>
      <c r="BC38" s="56" t="s">
        <v>3117</v>
      </c>
      <c r="BD38" s="56" t="s">
        <v>15551</v>
      </c>
      <c r="BE38" s="56" t="s">
        <v>2821</v>
      </c>
      <c r="BF38" s="56" t="s">
        <v>15181</v>
      </c>
      <c r="BG38" s="58"/>
      <c r="BH38" s="58"/>
      <c r="BI38" s="57" t="s">
        <v>2801</v>
      </c>
      <c r="BJ38" s="58"/>
      <c r="BK38" s="58"/>
      <c r="BL38" s="66">
        <v>3566735</v>
      </c>
      <c r="BM38" s="56" t="s">
        <v>15552</v>
      </c>
      <c r="BN38" s="58"/>
      <c r="BO38" s="67">
        <v>4666.67</v>
      </c>
      <c r="BP38" s="56" t="s">
        <v>15450</v>
      </c>
      <c r="BQ38" s="58"/>
      <c r="BR38" s="56" t="s">
        <v>15553</v>
      </c>
      <c r="BS38" s="56" t="s">
        <v>1285</v>
      </c>
      <c r="BT38" s="58"/>
      <c r="BU38" s="56" t="s">
        <v>15549</v>
      </c>
      <c r="BV38" s="58"/>
      <c r="BW38" s="58"/>
      <c r="BX38" s="67">
        <v>4666.67</v>
      </c>
      <c r="BY38" s="56" t="s">
        <v>1285</v>
      </c>
      <c r="BZ38" s="58"/>
      <c r="CA38" s="58"/>
      <c r="CB38" s="58"/>
      <c r="CC38" s="58"/>
      <c r="CD38" s="58"/>
    </row>
    <row r="39" ht="108" spans="1:82">
      <c r="A39" s="56" t="s">
        <v>15554</v>
      </c>
      <c r="B39" s="58"/>
      <c r="C39" s="57" t="s">
        <v>15542</v>
      </c>
      <c r="D39" s="58"/>
      <c r="E39" s="57" t="s">
        <v>15158</v>
      </c>
      <c r="F39" s="57" t="s">
        <v>15543</v>
      </c>
      <c r="G39" s="57" t="s">
        <v>15160</v>
      </c>
      <c r="H39" s="56" t="s">
        <v>4084</v>
      </c>
      <c r="I39" s="60">
        <v>9333.34</v>
      </c>
      <c r="J39" s="57" t="s">
        <v>1285</v>
      </c>
      <c r="K39" s="57" t="s">
        <v>15162</v>
      </c>
      <c r="L39" s="57" t="s">
        <v>15163</v>
      </c>
      <c r="M39" s="61" t="s">
        <v>14312</v>
      </c>
      <c r="N39" s="62" t="s">
        <v>15504</v>
      </c>
      <c r="O39" s="57" t="s">
        <v>15165</v>
      </c>
      <c r="P39" s="57" t="s">
        <v>15166</v>
      </c>
      <c r="Q39" s="57" t="s">
        <v>4084</v>
      </c>
      <c r="R39" s="57" t="s">
        <v>15544</v>
      </c>
      <c r="S39" s="57" t="s">
        <v>15545</v>
      </c>
      <c r="T39" s="57" t="s">
        <v>15190</v>
      </c>
      <c r="U39" s="57" t="s">
        <v>14184</v>
      </c>
      <c r="V39" s="56" t="s">
        <v>14153</v>
      </c>
      <c r="W39" s="58"/>
      <c r="X39" s="57" t="s">
        <v>15546</v>
      </c>
      <c r="Y39" s="57" t="s">
        <v>15170</v>
      </c>
      <c r="Z39" s="61" t="s">
        <v>15465</v>
      </c>
      <c r="AA39" s="61" t="s">
        <v>14312</v>
      </c>
      <c r="AB39" s="58"/>
      <c r="AC39" s="57" t="s">
        <v>15172</v>
      </c>
      <c r="AD39" s="58"/>
      <c r="AE39" s="58"/>
      <c r="AF39" s="58"/>
      <c r="AG39" s="58"/>
      <c r="AH39" s="58"/>
      <c r="AI39" s="58"/>
      <c r="AJ39" s="58"/>
      <c r="AK39" s="56" t="s">
        <v>1285</v>
      </c>
      <c r="AL39" s="56" t="s">
        <v>15547</v>
      </c>
      <c r="AM39" s="58"/>
      <c r="AN39" s="56" t="s">
        <v>15548</v>
      </c>
      <c r="AO39" s="58"/>
      <c r="AP39" s="63">
        <v>45828.6615393519</v>
      </c>
      <c r="AQ39" s="56" t="s">
        <v>15549</v>
      </c>
      <c r="AR39" s="61" t="s">
        <v>15448</v>
      </c>
      <c r="AS39" s="57" t="s">
        <v>14184</v>
      </c>
      <c r="AT39" s="56" t="s">
        <v>15177</v>
      </c>
      <c r="AU39" s="56" t="s">
        <v>15550</v>
      </c>
      <c r="AV39" s="58"/>
      <c r="AW39" s="64">
        <v>45791.745474537</v>
      </c>
      <c r="AX39" s="56" t="s">
        <v>15547</v>
      </c>
      <c r="AY39" s="56" t="s">
        <v>15179</v>
      </c>
      <c r="AZ39" s="58"/>
      <c r="BA39" s="58"/>
      <c r="BB39" s="58"/>
      <c r="BC39" s="56" t="s">
        <v>3117</v>
      </c>
      <c r="BD39" s="56" t="s">
        <v>15551</v>
      </c>
      <c r="BE39" s="56" t="s">
        <v>2821</v>
      </c>
      <c r="BF39" s="56" t="s">
        <v>15181</v>
      </c>
      <c r="BG39" s="58"/>
      <c r="BH39" s="58"/>
      <c r="BI39" s="57" t="s">
        <v>2801</v>
      </c>
      <c r="BJ39" s="58"/>
      <c r="BK39" s="58"/>
      <c r="BL39" s="66">
        <v>3566735</v>
      </c>
      <c r="BM39" s="56" t="s">
        <v>15555</v>
      </c>
      <c r="BN39" s="58"/>
      <c r="BO39" s="67">
        <v>4666.67</v>
      </c>
      <c r="BP39" s="56" t="s">
        <v>15450</v>
      </c>
      <c r="BQ39" s="58"/>
      <c r="BR39" s="56" t="s">
        <v>15553</v>
      </c>
      <c r="BS39" s="56" t="s">
        <v>1285</v>
      </c>
      <c r="BT39" s="58"/>
      <c r="BU39" s="56" t="s">
        <v>15549</v>
      </c>
      <c r="BV39" s="58"/>
      <c r="BW39" s="58"/>
      <c r="BX39" s="67">
        <v>4666.67</v>
      </c>
      <c r="BY39" s="56" t="s">
        <v>1285</v>
      </c>
      <c r="BZ39" s="58"/>
      <c r="CA39" s="58"/>
      <c r="CB39" s="58"/>
      <c r="CC39" s="58"/>
      <c r="CD39" s="58"/>
    </row>
    <row r="40" ht="108" spans="1:82">
      <c r="A40" s="56" t="s">
        <v>15556</v>
      </c>
      <c r="B40" s="57" t="s">
        <v>15156</v>
      </c>
      <c r="C40" s="58"/>
      <c r="D40" s="57" t="s">
        <v>15557</v>
      </c>
      <c r="E40" s="57" t="s">
        <v>15158</v>
      </c>
      <c r="F40" s="57" t="s">
        <v>15558</v>
      </c>
      <c r="G40" s="57" t="s">
        <v>15160</v>
      </c>
      <c r="H40" s="56" t="s">
        <v>15282</v>
      </c>
      <c r="I40" s="60">
        <v>2600</v>
      </c>
      <c r="J40" s="57" t="s">
        <v>1285</v>
      </c>
      <c r="K40" s="57" t="s">
        <v>15162</v>
      </c>
      <c r="L40" s="57" t="s">
        <v>15163</v>
      </c>
      <c r="M40" s="61" t="s">
        <v>14312</v>
      </c>
      <c r="N40" s="62" t="s">
        <v>15559</v>
      </c>
      <c r="O40" s="57" t="s">
        <v>15165</v>
      </c>
      <c r="P40" s="57" t="s">
        <v>15166</v>
      </c>
      <c r="Q40" s="57" t="s">
        <v>15282</v>
      </c>
      <c r="R40" s="57" t="s">
        <v>15283</v>
      </c>
      <c r="S40" s="57" t="s">
        <v>15284</v>
      </c>
      <c r="T40" s="58"/>
      <c r="U40" s="57" t="s">
        <v>14184</v>
      </c>
      <c r="V40" s="56" t="s">
        <v>14153</v>
      </c>
      <c r="W40" s="58"/>
      <c r="X40" s="57" t="s">
        <v>15560</v>
      </c>
      <c r="Y40" s="57" t="s">
        <v>15443</v>
      </c>
      <c r="Z40" s="61" t="s">
        <v>15444</v>
      </c>
      <c r="AA40" s="61" t="s">
        <v>14312</v>
      </c>
      <c r="AB40" s="57" t="s">
        <v>15171</v>
      </c>
      <c r="AC40" s="57" t="s">
        <v>15172</v>
      </c>
      <c r="AD40" s="58"/>
      <c r="AE40" s="58"/>
      <c r="AF40" s="57" t="s">
        <v>15173</v>
      </c>
      <c r="AG40" s="58"/>
      <c r="AH40" s="58"/>
      <c r="AI40" s="57" t="s">
        <v>15173</v>
      </c>
      <c r="AJ40" s="58"/>
      <c r="AK40" s="56" t="s">
        <v>1285</v>
      </c>
      <c r="AL40" s="56" t="s">
        <v>15561</v>
      </c>
      <c r="AM40" s="58"/>
      <c r="AN40" s="56" t="s">
        <v>15562</v>
      </c>
      <c r="AO40" s="58"/>
      <c r="AP40" s="63">
        <v>45828.6620833333</v>
      </c>
      <c r="AQ40" s="56" t="s">
        <v>15563</v>
      </c>
      <c r="AR40" s="61" t="s">
        <v>15448</v>
      </c>
      <c r="AS40" s="57" t="s">
        <v>14184</v>
      </c>
      <c r="AT40" s="56" t="s">
        <v>15177</v>
      </c>
      <c r="AU40" s="56" t="s">
        <v>15564</v>
      </c>
      <c r="AV40" s="58"/>
      <c r="AW40" s="64">
        <v>45791.7308217593</v>
      </c>
      <c r="AX40" s="56" t="s">
        <v>15561</v>
      </c>
      <c r="AY40" s="56" t="s">
        <v>15179</v>
      </c>
      <c r="AZ40" s="58"/>
      <c r="BA40" s="58"/>
      <c r="BB40" s="58"/>
      <c r="BC40" s="58"/>
      <c r="BD40" s="56" t="s">
        <v>15565</v>
      </c>
      <c r="BE40" s="58"/>
      <c r="BF40" s="56" t="s">
        <v>15181</v>
      </c>
      <c r="BG40" s="58"/>
      <c r="BH40" s="58"/>
      <c r="BI40" s="57" t="s">
        <v>15291</v>
      </c>
      <c r="BJ40" s="58"/>
      <c r="BK40" s="58"/>
      <c r="BL40" s="58"/>
      <c r="BM40" s="58"/>
      <c r="BN40" s="67">
        <v>2600</v>
      </c>
      <c r="BO40" s="58"/>
      <c r="BP40" s="56" t="s">
        <v>15450</v>
      </c>
      <c r="BQ40" s="58"/>
      <c r="BR40" s="58"/>
      <c r="BS40" s="58"/>
      <c r="BT40" s="56" t="s">
        <v>1285</v>
      </c>
      <c r="BU40" s="56" t="s">
        <v>15563</v>
      </c>
      <c r="BV40" s="58"/>
      <c r="BW40" s="58"/>
      <c r="BX40" s="67">
        <v>2600</v>
      </c>
      <c r="BY40" s="58"/>
      <c r="BZ40" s="58"/>
      <c r="CA40" s="56" t="s">
        <v>15160</v>
      </c>
      <c r="CB40" s="56" t="s">
        <v>15183</v>
      </c>
      <c r="CC40" s="58"/>
      <c r="CD40" s="58"/>
    </row>
    <row r="41" ht="108" spans="1:82">
      <c r="A41" s="56" t="s">
        <v>15566</v>
      </c>
      <c r="B41" s="58"/>
      <c r="C41" s="57" t="s">
        <v>15567</v>
      </c>
      <c r="D41" s="58"/>
      <c r="E41" s="57" t="s">
        <v>15158</v>
      </c>
      <c r="F41" s="57" t="s">
        <v>15568</v>
      </c>
      <c r="G41" s="57" t="s">
        <v>15160</v>
      </c>
      <c r="H41" s="56" t="s">
        <v>5678</v>
      </c>
      <c r="I41" s="60">
        <v>2690</v>
      </c>
      <c r="J41" s="57" t="s">
        <v>1285</v>
      </c>
      <c r="K41" s="57" t="s">
        <v>15162</v>
      </c>
      <c r="L41" s="57" t="s">
        <v>15163</v>
      </c>
      <c r="M41" s="61" t="s">
        <v>14312</v>
      </c>
      <c r="N41" s="62" t="s">
        <v>15515</v>
      </c>
      <c r="O41" s="57" t="s">
        <v>15165</v>
      </c>
      <c r="P41" s="57" t="s">
        <v>15166</v>
      </c>
      <c r="Q41" s="57" t="s">
        <v>5678</v>
      </c>
      <c r="R41" s="57" t="s">
        <v>15569</v>
      </c>
      <c r="S41" s="57" t="s">
        <v>15570</v>
      </c>
      <c r="T41" s="57" t="s">
        <v>15190</v>
      </c>
      <c r="U41" s="57" t="s">
        <v>14184</v>
      </c>
      <c r="V41" s="56" t="s">
        <v>14153</v>
      </c>
      <c r="W41" s="58"/>
      <c r="X41" s="57" t="s">
        <v>15571</v>
      </c>
      <c r="Y41" s="57" t="s">
        <v>15170</v>
      </c>
      <c r="Z41" s="61" t="s">
        <v>15465</v>
      </c>
      <c r="AA41" s="61" t="s">
        <v>14312</v>
      </c>
      <c r="AB41" s="58"/>
      <c r="AC41" s="57" t="s">
        <v>15172</v>
      </c>
      <c r="AD41" s="58"/>
      <c r="AE41" s="58"/>
      <c r="AF41" s="58"/>
      <c r="AG41" s="58"/>
      <c r="AH41" s="58"/>
      <c r="AI41" s="58"/>
      <c r="AJ41" s="58"/>
      <c r="AK41" s="56" t="s">
        <v>1285</v>
      </c>
      <c r="AL41" s="56" t="s">
        <v>15572</v>
      </c>
      <c r="AM41" s="58"/>
      <c r="AN41" s="56" t="s">
        <v>15573</v>
      </c>
      <c r="AO41" s="58"/>
      <c r="AP41" s="63">
        <v>45828.6633564815</v>
      </c>
      <c r="AQ41" s="56" t="s">
        <v>15574</v>
      </c>
      <c r="AR41" s="61" t="s">
        <v>15448</v>
      </c>
      <c r="AS41" s="57" t="s">
        <v>14184</v>
      </c>
      <c r="AT41" s="56" t="s">
        <v>15177</v>
      </c>
      <c r="AU41" s="56" t="s">
        <v>15575</v>
      </c>
      <c r="AV41" s="58"/>
      <c r="AW41" s="64">
        <v>45791.6561921296</v>
      </c>
      <c r="AX41" s="56" t="s">
        <v>15572</v>
      </c>
      <c r="AY41" s="56" t="s">
        <v>15179</v>
      </c>
      <c r="AZ41" s="58"/>
      <c r="BA41" s="58"/>
      <c r="BB41" s="58"/>
      <c r="BC41" s="56" t="s">
        <v>3510</v>
      </c>
      <c r="BD41" s="56" t="s">
        <v>15482</v>
      </c>
      <c r="BE41" s="56" t="s">
        <v>15576</v>
      </c>
      <c r="BF41" s="56" t="s">
        <v>15181</v>
      </c>
      <c r="BG41" s="58"/>
      <c r="BH41" s="58"/>
      <c r="BI41" s="57" t="s">
        <v>2801</v>
      </c>
      <c r="BJ41" s="58"/>
      <c r="BK41" s="58"/>
      <c r="BL41" s="66">
        <v>3333017</v>
      </c>
      <c r="BM41" s="56" t="s">
        <v>15577</v>
      </c>
      <c r="BN41" s="58"/>
      <c r="BO41" s="67">
        <v>2690</v>
      </c>
      <c r="BP41" s="56" t="s">
        <v>15450</v>
      </c>
      <c r="BQ41" s="58"/>
      <c r="BR41" s="56" t="s">
        <v>15578</v>
      </c>
      <c r="BS41" s="56" t="s">
        <v>1285</v>
      </c>
      <c r="BT41" s="58"/>
      <c r="BU41" s="56" t="s">
        <v>15574</v>
      </c>
      <c r="BV41" s="58"/>
      <c r="BW41" s="58"/>
      <c r="BX41" s="67">
        <v>2690</v>
      </c>
      <c r="BY41" s="56" t="s">
        <v>1285</v>
      </c>
      <c r="BZ41" s="58"/>
      <c r="CA41" s="58"/>
      <c r="CB41" s="58"/>
      <c r="CC41" s="58"/>
      <c r="CD41" s="58"/>
    </row>
    <row r="42" ht="108" spans="1:82">
      <c r="A42" s="56" t="s">
        <v>15579</v>
      </c>
      <c r="B42" s="58"/>
      <c r="C42" s="57" t="s">
        <v>15580</v>
      </c>
      <c r="D42" s="58"/>
      <c r="E42" s="57" t="s">
        <v>15158</v>
      </c>
      <c r="F42" s="57" t="s">
        <v>15581</v>
      </c>
      <c r="G42" s="57" t="s">
        <v>15160</v>
      </c>
      <c r="H42" s="56" t="s">
        <v>3314</v>
      </c>
      <c r="I42" s="60">
        <v>13500</v>
      </c>
      <c r="J42" s="57" t="s">
        <v>1285</v>
      </c>
      <c r="K42" s="57" t="s">
        <v>15162</v>
      </c>
      <c r="L42" s="57" t="s">
        <v>15163</v>
      </c>
      <c r="M42" s="61" t="s">
        <v>14312</v>
      </c>
      <c r="N42" s="62" t="s">
        <v>15331</v>
      </c>
      <c r="O42" s="57" t="s">
        <v>15165</v>
      </c>
      <c r="P42" s="57" t="s">
        <v>15166</v>
      </c>
      <c r="Q42" s="57" t="s">
        <v>3314</v>
      </c>
      <c r="R42" s="57" t="s">
        <v>15582</v>
      </c>
      <c r="S42" s="57" t="s">
        <v>15583</v>
      </c>
      <c r="T42" s="57" t="s">
        <v>15190</v>
      </c>
      <c r="U42" s="57" t="s">
        <v>14184</v>
      </c>
      <c r="V42" s="56" t="s">
        <v>14153</v>
      </c>
      <c r="W42" s="58"/>
      <c r="X42" s="57" t="s">
        <v>15584</v>
      </c>
      <c r="Y42" s="57" t="s">
        <v>15170</v>
      </c>
      <c r="Z42" s="61" t="s">
        <v>15465</v>
      </c>
      <c r="AA42" s="61" t="s">
        <v>14312</v>
      </c>
      <c r="AB42" s="58"/>
      <c r="AC42" s="57" t="s">
        <v>15172</v>
      </c>
      <c r="AD42" s="58"/>
      <c r="AE42" s="58"/>
      <c r="AF42" s="58"/>
      <c r="AG42" s="58"/>
      <c r="AH42" s="58"/>
      <c r="AI42" s="58"/>
      <c r="AJ42" s="58"/>
      <c r="AK42" s="56" t="s">
        <v>1285</v>
      </c>
      <c r="AL42" s="56" t="s">
        <v>15585</v>
      </c>
      <c r="AM42" s="58"/>
      <c r="AN42" s="56" t="s">
        <v>15586</v>
      </c>
      <c r="AO42" s="58"/>
      <c r="AP42" s="63">
        <v>45828.6615162037</v>
      </c>
      <c r="AQ42" s="56" t="s">
        <v>15587</v>
      </c>
      <c r="AR42" s="61" t="s">
        <v>15448</v>
      </c>
      <c r="AS42" s="57" t="s">
        <v>14184</v>
      </c>
      <c r="AT42" s="56" t="s">
        <v>15177</v>
      </c>
      <c r="AU42" s="56" t="s">
        <v>15588</v>
      </c>
      <c r="AV42" s="58"/>
      <c r="AW42" s="64">
        <v>45749.6217708333</v>
      </c>
      <c r="AX42" s="56" t="s">
        <v>15585</v>
      </c>
      <c r="AY42" s="56" t="s">
        <v>15179</v>
      </c>
      <c r="AZ42" s="58"/>
      <c r="BA42" s="58"/>
      <c r="BB42" s="58"/>
      <c r="BC42" s="56" t="s">
        <v>15213</v>
      </c>
      <c r="BD42" s="56" t="s">
        <v>15197</v>
      </c>
      <c r="BE42" s="58"/>
      <c r="BF42" s="56" t="s">
        <v>15181</v>
      </c>
      <c r="BG42" s="58"/>
      <c r="BH42" s="58"/>
      <c r="BI42" s="57" t="s">
        <v>2801</v>
      </c>
      <c r="BJ42" s="58"/>
      <c r="BK42" s="58"/>
      <c r="BL42" s="66">
        <v>3472728</v>
      </c>
      <c r="BM42" s="56" t="s">
        <v>15589</v>
      </c>
      <c r="BN42" s="58"/>
      <c r="BO42" s="67">
        <v>13500</v>
      </c>
      <c r="BP42" s="56" t="s">
        <v>15450</v>
      </c>
      <c r="BQ42" s="58"/>
      <c r="BR42" s="56" t="s">
        <v>15590</v>
      </c>
      <c r="BS42" s="56" t="s">
        <v>1285</v>
      </c>
      <c r="BT42" s="58"/>
      <c r="BU42" s="56" t="s">
        <v>15587</v>
      </c>
      <c r="BV42" s="58"/>
      <c r="BW42" s="58"/>
      <c r="BX42" s="67">
        <v>13500</v>
      </c>
      <c r="BY42" s="58"/>
      <c r="BZ42" s="58"/>
      <c r="CA42" s="58"/>
      <c r="CB42" s="58"/>
      <c r="CC42" s="58"/>
      <c r="CD42" s="58"/>
    </row>
    <row r="43" ht="108" spans="1:82">
      <c r="A43" s="56" t="s">
        <v>15591</v>
      </c>
      <c r="B43" s="58"/>
      <c r="C43" s="57" t="s">
        <v>15592</v>
      </c>
      <c r="D43" s="58"/>
      <c r="E43" s="57" t="s">
        <v>15158</v>
      </c>
      <c r="F43" s="57" t="s">
        <v>15593</v>
      </c>
      <c r="G43" s="57" t="s">
        <v>15160</v>
      </c>
      <c r="H43" s="56" t="s">
        <v>2935</v>
      </c>
      <c r="I43" s="60">
        <v>12983.1</v>
      </c>
      <c r="J43" s="57" t="s">
        <v>1285</v>
      </c>
      <c r="K43" s="57" t="s">
        <v>15162</v>
      </c>
      <c r="L43" s="57" t="s">
        <v>15163</v>
      </c>
      <c r="M43" s="61" t="s">
        <v>14312</v>
      </c>
      <c r="N43" s="62" t="s">
        <v>15331</v>
      </c>
      <c r="O43" s="57" t="s">
        <v>15165</v>
      </c>
      <c r="P43" s="57" t="s">
        <v>15166</v>
      </c>
      <c r="Q43" s="57" t="s">
        <v>2935</v>
      </c>
      <c r="R43" s="57" t="s">
        <v>15594</v>
      </c>
      <c r="S43" s="57" t="s">
        <v>15595</v>
      </c>
      <c r="T43" s="57" t="s">
        <v>15190</v>
      </c>
      <c r="U43" s="57" t="s">
        <v>14184</v>
      </c>
      <c r="V43" s="56" t="s">
        <v>14153</v>
      </c>
      <c r="W43" s="58"/>
      <c r="X43" s="57" t="s">
        <v>15596</v>
      </c>
      <c r="Y43" s="57" t="s">
        <v>15170</v>
      </c>
      <c r="Z43" s="61" t="s">
        <v>15465</v>
      </c>
      <c r="AA43" s="61" t="s">
        <v>14312</v>
      </c>
      <c r="AB43" s="58"/>
      <c r="AC43" s="57" t="s">
        <v>15172</v>
      </c>
      <c r="AD43" s="58"/>
      <c r="AE43" s="58"/>
      <c r="AF43" s="58"/>
      <c r="AG43" s="58"/>
      <c r="AH43" s="58"/>
      <c r="AI43" s="58"/>
      <c r="AJ43" s="58"/>
      <c r="AK43" s="56" t="s">
        <v>1285</v>
      </c>
      <c r="AL43" s="56" t="s">
        <v>15597</v>
      </c>
      <c r="AM43" s="58"/>
      <c r="AN43" s="56" t="s">
        <v>15598</v>
      </c>
      <c r="AO43" s="58"/>
      <c r="AP43" s="63">
        <v>45828.664849537</v>
      </c>
      <c r="AQ43" s="56" t="s">
        <v>15599</v>
      </c>
      <c r="AR43" s="61" t="s">
        <v>15448</v>
      </c>
      <c r="AS43" s="57" t="s">
        <v>14184</v>
      </c>
      <c r="AT43" s="56" t="s">
        <v>15177</v>
      </c>
      <c r="AU43" s="56" t="s">
        <v>15600</v>
      </c>
      <c r="AV43" s="58"/>
      <c r="AW43" s="64">
        <v>45720.7648611111</v>
      </c>
      <c r="AX43" s="56" t="s">
        <v>15597</v>
      </c>
      <c r="AY43" s="56" t="s">
        <v>15179</v>
      </c>
      <c r="AZ43" s="58"/>
      <c r="BA43" s="58"/>
      <c r="BB43" s="58"/>
      <c r="BC43" s="56" t="s">
        <v>15213</v>
      </c>
      <c r="BD43" s="56" t="s">
        <v>15197</v>
      </c>
      <c r="BE43" s="58"/>
      <c r="BF43" s="56" t="s">
        <v>15181</v>
      </c>
      <c r="BG43" s="58"/>
      <c r="BH43" s="58"/>
      <c r="BI43" s="57" t="s">
        <v>2801</v>
      </c>
      <c r="BJ43" s="58"/>
      <c r="BK43" s="58"/>
      <c r="BL43" s="66">
        <v>3459855</v>
      </c>
      <c r="BM43" s="56" t="s">
        <v>15601</v>
      </c>
      <c r="BN43" s="58"/>
      <c r="BO43" s="67">
        <v>12983.1</v>
      </c>
      <c r="BP43" s="56" t="s">
        <v>15450</v>
      </c>
      <c r="BQ43" s="58"/>
      <c r="BR43" s="56" t="s">
        <v>15602</v>
      </c>
      <c r="BS43" s="56" t="s">
        <v>1285</v>
      </c>
      <c r="BT43" s="58"/>
      <c r="BU43" s="56" t="s">
        <v>15599</v>
      </c>
      <c r="BV43" s="58"/>
      <c r="BW43" s="58"/>
      <c r="BX43" s="67">
        <v>12983.1</v>
      </c>
      <c r="BY43" s="58"/>
      <c r="BZ43" s="58"/>
      <c r="CA43" s="58"/>
      <c r="CB43" s="58"/>
      <c r="CC43" s="58"/>
      <c r="CD43" s="58"/>
    </row>
    <row r="44" ht="108" spans="1:82">
      <c r="A44" s="56" t="s">
        <v>15603</v>
      </c>
      <c r="B44" s="58"/>
      <c r="C44" s="57" t="s">
        <v>15604</v>
      </c>
      <c r="D44" s="58"/>
      <c r="E44" s="57" t="s">
        <v>15158</v>
      </c>
      <c r="F44" s="57" t="s">
        <v>15605</v>
      </c>
      <c r="G44" s="57" t="s">
        <v>15160</v>
      </c>
      <c r="H44" s="56" t="s">
        <v>2965</v>
      </c>
      <c r="I44" s="60">
        <v>12711.75</v>
      </c>
      <c r="J44" s="57" t="s">
        <v>1285</v>
      </c>
      <c r="K44" s="57" t="s">
        <v>15162</v>
      </c>
      <c r="L44" s="57" t="s">
        <v>15163</v>
      </c>
      <c r="M44" s="61" t="s">
        <v>14312</v>
      </c>
      <c r="N44" s="62" t="s">
        <v>15331</v>
      </c>
      <c r="O44" s="57" t="s">
        <v>15165</v>
      </c>
      <c r="P44" s="57" t="s">
        <v>15166</v>
      </c>
      <c r="Q44" s="57" t="s">
        <v>2965</v>
      </c>
      <c r="R44" s="57" t="s">
        <v>15606</v>
      </c>
      <c r="S44" s="57" t="s">
        <v>15607</v>
      </c>
      <c r="T44" s="57" t="s">
        <v>15190</v>
      </c>
      <c r="U44" s="57" t="s">
        <v>14184</v>
      </c>
      <c r="V44" s="56" t="s">
        <v>14153</v>
      </c>
      <c r="W44" s="58"/>
      <c r="X44" s="57" t="s">
        <v>15608</v>
      </c>
      <c r="Y44" s="57" t="s">
        <v>15170</v>
      </c>
      <c r="Z44" s="61" t="s">
        <v>15465</v>
      </c>
      <c r="AA44" s="61" t="s">
        <v>14312</v>
      </c>
      <c r="AB44" s="58"/>
      <c r="AC44" s="57" t="s">
        <v>15172</v>
      </c>
      <c r="AD44" s="58"/>
      <c r="AE44" s="58"/>
      <c r="AF44" s="58"/>
      <c r="AG44" s="58"/>
      <c r="AH44" s="58"/>
      <c r="AI44" s="58"/>
      <c r="AJ44" s="58"/>
      <c r="AK44" s="56" t="s">
        <v>1285</v>
      </c>
      <c r="AL44" s="56" t="s">
        <v>15609</v>
      </c>
      <c r="AM44" s="58"/>
      <c r="AN44" s="56" t="s">
        <v>15610</v>
      </c>
      <c r="AO44" s="58"/>
      <c r="AP44" s="63">
        <v>45828.6645601852</v>
      </c>
      <c r="AQ44" s="56" t="s">
        <v>15611</v>
      </c>
      <c r="AR44" s="61" t="s">
        <v>15448</v>
      </c>
      <c r="AS44" s="57" t="s">
        <v>14184</v>
      </c>
      <c r="AT44" s="56" t="s">
        <v>15177</v>
      </c>
      <c r="AU44" s="56" t="s">
        <v>15612</v>
      </c>
      <c r="AV44" s="58"/>
      <c r="AW44" s="64">
        <v>45720.7141898148</v>
      </c>
      <c r="AX44" s="56" t="s">
        <v>15609</v>
      </c>
      <c r="AY44" s="56" t="s">
        <v>15179</v>
      </c>
      <c r="AZ44" s="58"/>
      <c r="BA44" s="58"/>
      <c r="BB44" s="58"/>
      <c r="BC44" s="56" t="s">
        <v>2136</v>
      </c>
      <c r="BD44" s="56" t="s">
        <v>15197</v>
      </c>
      <c r="BE44" s="56" t="s">
        <v>15613</v>
      </c>
      <c r="BF44" s="56" t="s">
        <v>15181</v>
      </c>
      <c r="BG44" s="58"/>
      <c r="BH44" s="58"/>
      <c r="BI44" s="57" t="s">
        <v>2801</v>
      </c>
      <c r="BJ44" s="58"/>
      <c r="BK44" s="58"/>
      <c r="BL44" s="66">
        <v>3456232</v>
      </c>
      <c r="BM44" s="56" t="s">
        <v>15614</v>
      </c>
      <c r="BN44" s="58"/>
      <c r="BO44" s="67">
        <v>772.2</v>
      </c>
      <c r="BP44" s="56" t="s">
        <v>15450</v>
      </c>
      <c r="BQ44" s="58"/>
      <c r="BR44" s="56" t="s">
        <v>15615</v>
      </c>
      <c r="BS44" s="56" t="s">
        <v>1285</v>
      </c>
      <c r="BT44" s="58"/>
      <c r="BU44" s="56" t="s">
        <v>15611</v>
      </c>
      <c r="BV44" s="58"/>
      <c r="BW44" s="58"/>
      <c r="BX44" s="67">
        <v>772.2</v>
      </c>
      <c r="BY44" s="56" t="s">
        <v>1285</v>
      </c>
      <c r="BZ44" s="58"/>
      <c r="CA44" s="58"/>
      <c r="CB44" s="58"/>
      <c r="CC44" s="58"/>
      <c r="CD44" s="58"/>
    </row>
    <row r="45" ht="108" spans="1:82">
      <c r="A45" s="56" t="s">
        <v>15616</v>
      </c>
      <c r="B45" s="58"/>
      <c r="C45" s="57" t="s">
        <v>15604</v>
      </c>
      <c r="D45" s="58"/>
      <c r="E45" s="57" t="s">
        <v>15158</v>
      </c>
      <c r="F45" s="57" t="s">
        <v>15605</v>
      </c>
      <c r="G45" s="57" t="s">
        <v>15160</v>
      </c>
      <c r="H45" s="56" t="s">
        <v>2965</v>
      </c>
      <c r="I45" s="60">
        <v>12711.75</v>
      </c>
      <c r="J45" s="57" t="s">
        <v>1285</v>
      </c>
      <c r="K45" s="57" t="s">
        <v>15162</v>
      </c>
      <c r="L45" s="57" t="s">
        <v>15163</v>
      </c>
      <c r="M45" s="61" t="s">
        <v>14312</v>
      </c>
      <c r="N45" s="62" t="s">
        <v>15331</v>
      </c>
      <c r="O45" s="57" t="s">
        <v>15165</v>
      </c>
      <c r="P45" s="57" t="s">
        <v>15166</v>
      </c>
      <c r="Q45" s="57" t="s">
        <v>2965</v>
      </c>
      <c r="R45" s="57" t="s">
        <v>15606</v>
      </c>
      <c r="S45" s="57" t="s">
        <v>15607</v>
      </c>
      <c r="T45" s="57" t="s">
        <v>15190</v>
      </c>
      <c r="U45" s="57" t="s">
        <v>14184</v>
      </c>
      <c r="V45" s="56" t="s">
        <v>14153</v>
      </c>
      <c r="W45" s="58"/>
      <c r="X45" s="57" t="s">
        <v>15608</v>
      </c>
      <c r="Y45" s="57" t="s">
        <v>15170</v>
      </c>
      <c r="Z45" s="61" t="s">
        <v>15465</v>
      </c>
      <c r="AA45" s="61" t="s">
        <v>14312</v>
      </c>
      <c r="AB45" s="58"/>
      <c r="AC45" s="57" t="s">
        <v>15172</v>
      </c>
      <c r="AD45" s="58"/>
      <c r="AE45" s="58"/>
      <c r="AF45" s="58"/>
      <c r="AG45" s="58"/>
      <c r="AH45" s="58"/>
      <c r="AI45" s="58"/>
      <c r="AJ45" s="58"/>
      <c r="AK45" s="56" t="s">
        <v>1285</v>
      </c>
      <c r="AL45" s="56" t="s">
        <v>15609</v>
      </c>
      <c r="AM45" s="58"/>
      <c r="AN45" s="56" t="s">
        <v>15610</v>
      </c>
      <c r="AO45" s="58"/>
      <c r="AP45" s="63">
        <v>45828.6645601852</v>
      </c>
      <c r="AQ45" s="56" t="s">
        <v>15611</v>
      </c>
      <c r="AR45" s="61" t="s">
        <v>15448</v>
      </c>
      <c r="AS45" s="57" t="s">
        <v>14184</v>
      </c>
      <c r="AT45" s="56" t="s">
        <v>15177</v>
      </c>
      <c r="AU45" s="56" t="s">
        <v>15612</v>
      </c>
      <c r="AV45" s="58"/>
      <c r="AW45" s="64">
        <v>45720.7141898148</v>
      </c>
      <c r="AX45" s="56" t="s">
        <v>15609</v>
      </c>
      <c r="AY45" s="56" t="s">
        <v>15179</v>
      </c>
      <c r="AZ45" s="58"/>
      <c r="BA45" s="58"/>
      <c r="BB45" s="58"/>
      <c r="BC45" s="56" t="s">
        <v>15617</v>
      </c>
      <c r="BD45" s="56" t="s">
        <v>15197</v>
      </c>
      <c r="BE45" s="56" t="s">
        <v>15613</v>
      </c>
      <c r="BF45" s="56" t="s">
        <v>15181</v>
      </c>
      <c r="BG45" s="58"/>
      <c r="BH45" s="58"/>
      <c r="BI45" s="57" t="s">
        <v>2801</v>
      </c>
      <c r="BJ45" s="58"/>
      <c r="BK45" s="58"/>
      <c r="BL45" s="66">
        <v>3456229</v>
      </c>
      <c r="BM45" s="56" t="s">
        <v>15614</v>
      </c>
      <c r="BN45" s="58"/>
      <c r="BO45" s="67">
        <v>75.75</v>
      </c>
      <c r="BP45" s="56" t="s">
        <v>15450</v>
      </c>
      <c r="BQ45" s="58"/>
      <c r="BR45" s="56" t="s">
        <v>15615</v>
      </c>
      <c r="BS45" s="56" t="s">
        <v>1285</v>
      </c>
      <c r="BT45" s="58"/>
      <c r="BU45" s="56" t="s">
        <v>15611</v>
      </c>
      <c r="BV45" s="58"/>
      <c r="BW45" s="58"/>
      <c r="BX45" s="67">
        <v>75.75</v>
      </c>
      <c r="BY45" s="56" t="s">
        <v>1285</v>
      </c>
      <c r="BZ45" s="58"/>
      <c r="CA45" s="58"/>
      <c r="CB45" s="58"/>
      <c r="CC45" s="58"/>
      <c r="CD45" s="58"/>
    </row>
    <row r="46" ht="108" spans="1:82">
      <c r="A46" s="56" t="s">
        <v>15618</v>
      </c>
      <c r="B46" s="58"/>
      <c r="C46" s="57" t="s">
        <v>15604</v>
      </c>
      <c r="D46" s="58"/>
      <c r="E46" s="57" t="s">
        <v>15158</v>
      </c>
      <c r="F46" s="57" t="s">
        <v>15605</v>
      </c>
      <c r="G46" s="57" t="s">
        <v>15160</v>
      </c>
      <c r="H46" s="56" t="s">
        <v>2965</v>
      </c>
      <c r="I46" s="60">
        <v>12711.75</v>
      </c>
      <c r="J46" s="57" t="s">
        <v>1285</v>
      </c>
      <c r="K46" s="57" t="s">
        <v>15162</v>
      </c>
      <c r="L46" s="57" t="s">
        <v>15163</v>
      </c>
      <c r="M46" s="61" t="s">
        <v>14312</v>
      </c>
      <c r="N46" s="62" t="s">
        <v>15331</v>
      </c>
      <c r="O46" s="57" t="s">
        <v>15165</v>
      </c>
      <c r="P46" s="57" t="s">
        <v>15166</v>
      </c>
      <c r="Q46" s="57" t="s">
        <v>2965</v>
      </c>
      <c r="R46" s="57" t="s">
        <v>15606</v>
      </c>
      <c r="S46" s="57" t="s">
        <v>15607</v>
      </c>
      <c r="T46" s="57" t="s">
        <v>15190</v>
      </c>
      <c r="U46" s="57" t="s">
        <v>14184</v>
      </c>
      <c r="V46" s="56" t="s">
        <v>14153</v>
      </c>
      <c r="W46" s="58"/>
      <c r="X46" s="57" t="s">
        <v>15608</v>
      </c>
      <c r="Y46" s="57" t="s">
        <v>15170</v>
      </c>
      <c r="Z46" s="61" t="s">
        <v>15465</v>
      </c>
      <c r="AA46" s="61" t="s">
        <v>14312</v>
      </c>
      <c r="AB46" s="58"/>
      <c r="AC46" s="57" t="s">
        <v>15172</v>
      </c>
      <c r="AD46" s="58"/>
      <c r="AE46" s="58"/>
      <c r="AF46" s="58"/>
      <c r="AG46" s="58"/>
      <c r="AH46" s="58"/>
      <c r="AI46" s="58"/>
      <c r="AJ46" s="58"/>
      <c r="AK46" s="56" t="s">
        <v>1285</v>
      </c>
      <c r="AL46" s="56" t="s">
        <v>15609</v>
      </c>
      <c r="AM46" s="58"/>
      <c r="AN46" s="56" t="s">
        <v>15610</v>
      </c>
      <c r="AO46" s="58"/>
      <c r="AP46" s="63">
        <v>45828.6645601852</v>
      </c>
      <c r="AQ46" s="56" t="s">
        <v>15611</v>
      </c>
      <c r="AR46" s="61" t="s">
        <v>15448</v>
      </c>
      <c r="AS46" s="57" t="s">
        <v>14184</v>
      </c>
      <c r="AT46" s="56" t="s">
        <v>15177</v>
      </c>
      <c r="AU46" s="56" t="s">
        <v>15612</v>
      </c>
      <c r="AV46" s="58"/>
      <c r="AW46" s="64">
        <v>45720.7141898148</v>
      </c>
      <c r="AX46" s="56" t="s">
        <v>15609</v>
      </c>
      <c r="AY46" s="56" t="s">
        <v>15179</v>
      </c>
      <c r="AZ46" s="58"/>
      <c r="BA46" s="58"/>
      <c r="BB46" s="58"/>
      <c r="BC46" s="56" t="s">
        <v>15619</v>
      </c>
      <c r="BD46" s="56" t="s">
        <v>15197</v>
      </c>
      <c r="BE46" s="56" t="s">
        <v>15613</v>
      </c>
      <c r="BF46" s="56" t="s">
        <v>15181</v>
      </c>
      <c r="BG46" s="58"/>
      <c r="BH46" s="58"/>
      <c r="BI46" s="57" t="s">
        <v>2801</v>
      </c>
      <c r="BJ46" s="58"/>
      <c r="BK46" s="58"/>
      <c r="BL46" s="66">
        <v>3456223</v>
      </c>
      <c r="BM46" s="56" t="s">
        <v>15614</v>
      </c>
      <c r="BN46" s="58"/>
      <c r="BO46" s="67">
        <v>20.7</v>
      </c>
      <c r="BP46" s="56" t="s">
        <v>15450</v>
      </c>
      <c r="BQ46" s="58"/>
      <c r="BR46" s="56" t="s">
        <v>15615</v>
      </c>
      <c r="BS46" s="56" t="s">
        <v>1285</v>
      </c>
      <c r="BT46" s="58"/>
      <c r="BU46" s="56" t="s">
        <v>15611</v>
      </c>
      <c r="BV46" s="58"/>
      <c r="BW46" s="58"/>
      <c r="BX46" s="67">
        <v>20.7</v>
      </c>
      <c r="BY46" s="56" t="s">
        <v>1285</v>
      </c>
      <c r="BZ46" s="58"/>
      <c r="CA46" s="58"/>
      <c r="CB46" s="58"/>
      <c r="CC46" s="58"/>
      <c r="CD46" s="58"/>
    </row>
    <row r="47" ht="108" spans="1:82">
      <c r="A47" s="56" t="s">
        <v>15620</v>
      </c>
      <c r="B47" s="58"/>
      <c r="C47" s="57" t="s">
        <v>15604</v>
      </c>
      <c r="D47" s="58"/>
      <c r="E47" s="57" t="s">
        <v>15158</v>
      </c>
      <c r="F47" s="57" t="s">
        <v>15605</v>
      </c>
      <c r="G47" s="57" t="s">
        <v>15160</v>
      </c>
      <c r="H47" s="56" t="s">
        <v>2965</v>
      </c>
      <c r="I47" s="60">
        <v>12711.75</v>
      </c>
      <c r="J47" s="57" t="s">
        <v>1285</v>
      </c>
      <c r="K47" s="57" t="s">
        <v>15162</v>
      </c>
      <c r="L47" s="57" t="s">
        <v>15163</v>
      </c>
      <c r="M47" s="61" t="s">
        <v>14312</v>
      </c>
      <c r="N47" s="62" t="s">
        <v>15331</v>
      </c>
      <c r="O47" s="57" t="s">
        <v>15165</v>
      </c>
      <c r="P47" s="57" t="s">
        <v>15166</v>
      </c>
      <c r="Q47" s="57" t="s">
        <v>2965</v>
      </c>
      <c r="R47" s="57" t="s">
        <v>15606</v>
      </c>
      <c r="S47" s="57" t="s">
        <v>15607</v>
      </c>
      <c r="T47" s="57" t="s">
        <v>15190</v>
      </c>
      <c r="U47" s="57" t="s">
        <v>14184</v>
      </c>
      <c r="V47" s="56" t="s">
        <v>14153</v>
      </c>
      <c r="W47" s="58"/>
      <c r="X47" s="57" t="s">
        <v>15608</v>
      </c>
      <c r="Y47" s="57" t="s">
        <v>15170</v>
      </c>
      <c r="Z47" s="61" t="s">
        <v>15465</v>
      </c>
      <c r="AA47" s="61" t="s">
        <v>14312</v>
      </c>
      <c r="AB47" s="58"/>
      <c r="AC47" s="57" t="s">
        <v>15172</v>
      </c>
      <c r="AD47" s="58"/>
      <c r="AE47" s="58"/>
      <c r="AF47" s="58"/>
      <c r="AG47" s="58"/>
      <c r="AH47" s="58"/>
      <c r="AI47" s="58"/>
      <c r="AJ47" s="58"/>
      <c r="AK47" s="56" t="s">
        <v>1285</v>
      </c>
      <c r="AL47" s="56" t="s">
        <v>15609</v>
      </c>
      <c r="AM47" s="58"/>
      <c r="AN47" s="56" t="s">
        <v>15610</v>
      </c>
      <c r="AO47" s="58"/>
      <c r="AP47" s="63">
        <v>45828.6645601852</v>
      </c>
      <c r="AQ47" s="56" t="s">
        <v>15611</v>
      </c>
      <c r="AR47" s="61" t="s">
        <v>15448</v>
      </c>
      <c r="AS47" s="57" t="s">
        <v>14184</v>
      </c>
      <c r="AT47" s="56" t="s">
        <v>15177</v>
      </c>
      <c r="AU47" s="56" t="s">
        <v>15612</v>
      </c>
      <c r="AV47" s="58"/>
      <c r="AW47" s="64">
        <v>45720.7141898148</v>
      </c>
      <c r="AX47" s="56" t="s">
        <v>15609</v>
      </c>
      <c r="AY47" s="56" t="s">
        <v>15179</v>
      </c>
      <c r="AZ47" s="58"/>
      <c r="BA47" s="58"/>
      <c r="BB47" s="58"/>
      <c r="BC47" s="56" t="s">
        <v>15621</v>
      </c>
      <c r="BD47" s="56" t="s">
        <v>15197</v>
      </c>
      <c r="BE47" s="56" t="s">
        <v>15613</v>
      </c>
      <c r="BF47" s="56" t="s">
        <v>15181</v>
      </c>
      <c r="BG47" s="58"/>
      <c r="BH47" s="58"/>
      <c r="BI47" s="57" t="s">
        <v>2801</v>
      </c>
      <c r="BJ47" s="58"/>
      <c r="BK47" s="58"/>
      <c r="BL47" s="66">
        <v>3456206</v>
      </c>
      <c r="BM47" s="56" t="s">
        <v>15614</v>
      </c>
      <c r="BN47" s="58"/>
      <c r="BO47" s="67">
        <v>386.1</v>
      </c>
      <c r="BP47" s="56" t="s">
        <v>15450</v>
      </c>
      <c r="BQ47" s="58"/>
      <c r="BR47" s="56" t="s">
        <v>15615</v>
      </c>
      <c r="BS47" s="56" t="s">
        <v>1285</v>
      </c>
      <c r="BT47" s="58"/>
      <c r="BU47" s="56" t="s">
        <v>15611</v>
      </c>
      <c r="BV47" s="58"/>
      <c r="BW47" s="58"/>
      <c r="BX47" s="67">
        <v>386.1</v>
      </c>
      <c r="BY47" s="56" t="s">
        <v>1285</v>
      </c>
      <c r="BZ47" s="58"/>
      <c r="CA47" s="58"/>
      <c r="CB47" s="58"/>
      <c r="CC47" s="58"/>
      <c r="CD47" s="58"/>
    </row>
    <row r="48" ht="108" spans="1:82">
      <c r="A48" s="56" t="s">
        <v>15622</v>
      </c>
      <c r="B48" s="58"/>
      <c r="C48" s="57" t="s">
        <v>15604</v>
      </c>
      <c r="D48" s="58"/>
      <c r="E48" s="57" t="s">
        <v>15158</v>
      </c>
      <c r="F48" s="57" t="s">
        <v>15605</v>
      </c>
      <c r="G48" s="57" t="s">
        <v>15160</v>
      </c>
      <c r="H48" s="56" t="s">
        <v>2965</v>
      </c>
      <c r="I48" s="60">
        <v>12711.75</v>
      </c>
      <c r="J48" s="57" t="s">
        <v>1285</v>
      </c>
      <c r="K48" s="57" t="s">
        <v>15162</v>
      </c>
      <c r="L48" s="57" t="s">
        <v>15163</v>
      </c>
      <c r="M48" s="61" t="s">
        <v>14312</v>
      </c>
      <c r="N48" s="62" t="s">
        <v>15331</v>
      </c>
      <c r="O48" s="57" t="s">
        <v>15165</v>
      </c>
      <c r="P48" s="57" t="s">
        <v>15166</v>
      </c>
      <c r="Q48" s="57" t="s">
        <v>2965</v>
      </c>
      <c r="R48" s="57" t="s">
        <v>15606</v>
      </c>
      <c r="S48" s="57" t="s">
        <v>15607</v>
      </c>
      <c r="T48" s="57" t="s">
        <v>15190</v>
      </c>
      <c r="U48" s="57" t="s">
        <v>14184</v>
      </c>
      <c r="V48" s="56" t="s">
        <v>14153</v>
      </c>
      <c r="W48" s="58"/>
      <c r="X48" s="57" t="s">
        <v>15608</v>
      </c>
      <c r="Y48" s="57" t="s">
        <v>15170</v>
      </c>
      <c r="Z48" s="61" t="s">
        <v>15465</v>
      </c>
      <c r="AA48" s="61" t="s">
        <v>14312</v>
      </c>
      <c r="AB48" s="58"/>
      <c r="AC48" s="57" t="s">
        <v>15172</v>
      </c>
      <c r="AD48" s="58"/>
      <c r="AE48" s="58"/>
      <c r="AF48" s="58"/>
      <c r="AG48" s="58"/>
      <c r="AH48" s="58"/>
      <c r="AI48" s="58"/>
      <c r="AJ48" s="58"/>
      <c r="AK48" s="56" t="s">
        <v>1285</v>
      </c>
      <c r="AL48" s="56" t="s">
        <v>15609</v>
      </c>
      <c r="AM48" s="58"/>
      <c r="AN48" s="56" t="s">
        <v>15610</v>
      </c>
      <c r="AO48" s="58"/>
      <c r="AP48" s="63">
        <v>45828.6645601852</v>
      </c>
      <c r="AQ48" s="56" t="s">
        <v>15611</v>
      </c>
      <c r="AR48" s="61" t="s">
        <v>15448</v>
      </c>
      <c r="AS48" s="57" t="s">
        <v>14184</v>
      </c>
      <c r="AT48" s="56" t="s">
        <v>15177</v>
      </c>
      <c r="AU48" s="56" t="s">
        <v>15612</v>
      </c>
      <c r="AV48" s="58"/>
      <c r="AW48" s="64">
        <v>45720.7141898148</v>
      </c>
      <c r="AX48" s="56" t="s">
        <v>15609</v>
      </c>
      <c r="AY48" s="56" t="s">
        <v>15179</v>
      </c>
      <c r="AZ48" s="58"/>
      <c r="BA48" s="58"/>
      <c r="BB48" s="58"/>
      <c r="BC48" s="56" t="s">
        <v>15623</v>
      </c>
      <c r="BD48" s="56" t="s">
        <v>15197</v>
      </c>
      <c r="BE48" s="56" t="s">
        <v>15613</v>
      </c>
      <c r="BF48" s="56" t="s">
        <v>15181</v>
      </c>
      <c r="BG48" s="58"/>
      <c r="BH48" s="58"/>
      <c r="BI48" s="57" t="s">
        <v>2801</v>
      </c>
      <c r="BJ48" s="58"/>
      <c r="BK48" s="58"/>
      <c r="BL48" s="66">
        <v>3456218</v>
      </c>
      <c r="BM48" s="56" t="s">
        <v>15614</v>
      </c>
      <c r="BN48" s="58"/>
      <c r="BO48" s="67">
        <v>265.2</v>
      </c>
      <c r="BP48" s="56" t="s">
        <v>15450</v>
      </c>
      <c r="BQ48" s="58"/>
      <c r="BR48" s="56" t="s">
        <v>15615</v>
      </c>
      <c r="BS48" s="56" t="s">
        <v>1285</v>
      </c>
      <c r="BT48" s="58"/>
      <c r="BU48" s="56" t="s">
        <v>15611</v>
      </c>
      <c r="BV48" s="58"/>
      <c r="BW48" s="58"/>
      <c r="BX48" s="67">
        <v>265.2</v>
      </c>
      <c r="BY48" s="56" t="s">
        <v>1285</v>
      </c>
      <c r="BZ48" s="58"/>
      <c r="CA48" s="58"/>
      <c r="CB48" s="58"/>
      <c r="CC48" s="58"/>
      <c r="CD48" s="58"/>
    </row>
    <row r="49" ht="108" spans="1:82">
      <c r="A49" s="56" t="s">
        <v>15624</v>
      </c>
      <c r="B49" s="58"/>
      <c r="C49" s="57" t="s">
        <v>15604</v>
      </c>
      <c r="D49" s="58"/>
      <c r="E49" s="57" t="s">
        <v>15158</v>
      </c>
      <c r="F49" s="57" t="s">
        <v>15605</v>
      </c>
      <c r="G49" s="57" t="s">
        <v>15160</v>
      </c>
      <c r="H49" s="56" t="s">
        <v>2965</v>
      </c>
      <c r="I49" s="60">
        <v>12711.75</v>
      </c>
      <c r="J49" s="57" t="s">
        <v>1285</v>
      </c>
      <c r="K49" s="57" t="s">
        <v>15162</v>
      </c>
      <c r="L49" s="57" t="s">
        <v>15163</v>
      </c>
      <c r="M49" s="61" t="s">
        <v>14312</v>
      </c>
      <c r="N49" s="62" t="s">
        <v>15331</v>
      </c>
      <c r="O49" s="57" t="s">
        <v>15165</v>
      </c>
      <c r="P49" s="57" t="s">
        <v>15166</v>
      </c>
      <c r="Q49" s="57" t="s">
        <v>2965</v>
      </c>
      <c r="R49" s="57" t="s">
        <v>15606</v>
      </c>
      <c r="S49" s="57" t="s">
        <v>15607</v>
      </c>
      <c r="T49" s="57" t="s">
        <v>15190</v>
      </c>
      <c r="U49" s="57" t="s">
        <v>14184</v>
      </c>
      <c r="V49" s="56" t="s">
        <v>14153</v>
      </c>
      <c r="W49" s="58"/>
      <c r="X49" s="57" t="s">
        <v>15608</v>
      </c>
      <c r="Y49" s="57" t="s">
        <v>15170</v>
      </c>
      <c r="Z49" s="61" t="s">
        <v>15465</v>
      </c>
      <c r="AA49" s="61" t="s">
        <v>14312</v>
      </c>
      <c r="AB49" s="58"/>
      <c r="AC49" s="57" t="s">
        <v>15172</v>
      </c>
      <c r="AD49" s="58"/>
      <c r="AE49" s="58"/>
      <c r="AF49" s="58"/>
      <c r="AG49" s="58"/>
      <c r="AH49" s="58"/>
      <c r="AI49" s="58"/>
      <c r="AJ49" s="58"/>
      <c r="AK49" s="56" t="s">
        <v>1285</v>
      </c>
      <c r="AL49" s="56" t="s">
        <v>15609</v>
      </c>
      <c r="AM49" s="58"/>
      <c r="AN49" s="56" t="s">
        <v>15610</v>
      </c>
      <c r="AO49" s="58"/>
      <c r="AP49" s="63">
        <v>45828.6645601852</v>
      </c>
      <c r="AQ49" s="56" t="s">
        <v>15611</v>
      </c>
      <c r="AR49" s="61" t="s">
        <v>15448</v>
      </c>
      <c r="AS49" s="57" t="s">
        <v>14184</v>
      </c>
      <c r="AT49" s="56" t="s">
        <v>15177</v>
      </c>
      <c r="AU49" s="56" t="s">
        <v>15612</v>
      </c>
      <c r="AV49" s="58"/>
      <c r="AW49" s="64">
        <v>45720.7141898148</v>
      </c>
      <c r="AX49" s="56" t="s">
        <v>15609</v>
      </c>
      <c r="AY49" s="56" t="s">
        <v>15179</v>
      </c>
      <c r="AZ49" s="58"/>
      <c r="BA49" s="58"/>
      <c r="BB49" s="58"/>
      <c r="BC49" s="56" t="s">
        <v>2148</v>
      </c>
      <c r="BD49" s="56" t="s">
        <v>15197</v>
      </c>
      <c r="BE49" s="56" t="s">
        <v>15613</v>
      </c>
      <c r="BF49" s="56" t="s">
        <v>15181</v>
      </c>
      <c r="BG49" s="58"/>
      <c r="BH49" s="58"/>
      <c r="BI49" s="57" t="s">
        <v>2801</v>
      </c>
      <c r="BJ49" s="58"/>
      <c r="BK49" s="58"/>
      <c r="BL49" s="66">
        <v>3456227</v>
      </c>
      <c r="BM49" s="56" t="s">
        <v>15614</v>
      </c>
      <c r="BN49" s="58"/>
      <c r="BO49" s="67">
        <v>426.48</v>
      </c>
      <c r="BP49" s="56" t="s">
        <v>15450</v>
      </c>
      <c r="BQ49" s="58"/>
      <c r="BR49" s="56" t="s">
        <v>15615</v>
      </c>
      <c r="BS49" s="56" t="s">
        <v>1285</v>
      </c>
      <c r="BT49" s="58"/>
      <c r="BU49" s="56" t="s">
        <v>15611</v>
      </c>
      <c r="BV49" s="58"/>
      <c r="BW49" s="58"/>
      <c r="BX49" s="67">
        <v>426.48</v>
      </c>
      <c r="BY49" s="56" t="s">
        <v>1285</v>
      </c>
      <c r="BZ49" s="58"/>
      <c r="CA49" s="58"/>
      <c r="CB49" s="58"/>
      <c r="CC49" s="58"/>
      <c r="CD49" s="58"/>
    </row>
    <row r="50" ht="108" spans="1:82">
      <c r="A50" s="56" t="s">
        <v>15625</v>
      </c>
      <c r="B50" s="58"/>
      <c r="C50" s="57" t="s">
        <v>15604</v>
      </c>
      <c r="D50" s="58"/>
      <c r="E50" s="57" t="s">
        <v>15158</v>
      </c>
      <c r="F50" s="57" t="s">
        <v>15605</v>
      </c>
      <c r="G50" s="57" t="s">
        <v>15160</v>
      </c>
      <c r="H50" s="56" t="s">
        <v>2965</v>
      </c>
      <c r="I50" s="60">
        <v>12711.75</v>
      </c>
      <c r="J50" s="57" t="s">
        <v>1285</v>
      </c>
      <c r="K50" s="57" t="s">
        <v>15162</v>
      </c>
      <c r="L50" s="57" t="s">
        <v>15163</v>
      </c>
      <c r="M50" s="61" t="s">
        <v>14312</v>
      </c>
      <c r="N50" s="62" t="s">
        <v>15331</v>
      </c>
      <c r="O50" s="57" t="s">
        <v>15165</v>
      </c>
      <c r="P50" s="57" t="s">
        <v>15166</v>
      </c>
      <c r="Q50" s="57" t="s">
        <v>2965</v>
      </c>
      <c r="R50" s="57" t="s">
        <v>15606</v>
      </c>
      <c r="S50" s="57" t="s">
        <v>15607</v>
      </c>
      <c r="T50" s="57" t="s">
        <v>15190</v>
      </c>
      <c r="U50" s="57" t="s">
        <v>14184</v>
      </c>
      <c r="V50" s="56" t="s">
        <v>14153</v>
      </c>
      <c r="W50" s="58"/>
      <c r="X50" s="57" t="s">
        <v>15608</v>
      </c>
      <c r="Y50" s="57" t="s">
        <v>15170</v>
      </c>
      <c r="Z50" s="61" t="s">
        <v>15465</v>
      </c>
      <c r="AA50" s="61" t="s">
        <v>14312</v>
      </c>
      <c r="AB50" s="58"/>
      <c r="AC50" s="57" t="s">
        <v>15172</v>
      </c>
      <c r="AD50" s="58"/>
      <c r="AE50" s="58"/>
      <c r="AF50" s="58"/>
      <c r="AG50" s="58"/>
      <c r="AH50" s="58"/>
      <c r="AI50" s="58"/>
      <c r="AJ50" s="58"/>
      <c r="AK50" s="56" t="s">
        <v>1285</v>
      </c>
      <c r="AL50" s="56" t="s">
        <v>15609</v>
      </c>
      <c r="AM50" s="58"/>
      <c r="AN50" s="56" t="s">
        <v>15610</v>
      </c>
      <c r="AO50" s="58"/>
      <c r="AP50" s="63">
        <v>45828.6645601852</v>
      </c>
      <c r="AQ50" s="56" t="s">
        <v>15611</v>
      </c>
      <c r="AR50" s="61" t="s">
        <v>15448</v>
      </c>
      <c r="AS50" s="57" t="s">
        <v>14184</v>
      </c>
      <c r="AT50" s="56" t="s">
        <v>15177</v>
      </c>
      <c r="AU50" s="56" t="s">
        <v>15612</v>
      </c>
      <c r="AV50" s="58"/>
      <c r="AW50" s="64">
        <v>45720.7141898148</v>
      </c>
      <c r="AX50" s="56" t="s">
        <v>15609</v>
      </c>
      <c r="AY50" s="56" t="s">
        <v>15179</v>
      </c>
      <c r="AZ50" s="58"/>
      <c r="BA50" s="58"/>
      <c r="BB50" s="58"/>
      <c r="BC50" s="56" t="s">
        <v>2146</v>
      </c>
      <c r="BD50" s="56" t="s">
        <v>15197</v>
      </c>
      <c r="BE50" s="56" t="s">
        <v>15613</v>
      </c>
      <c r="BF50" s="56" t="s">
        <v>15181</v>
      </c>
      <c r="BG50" s="58"/>
      <c r="BH50" s="58"/>
      <c r="BI50" s="57" t="s">
        <v>2801</v>
      </c>
      <c r="BJ50" s="58"/>
      <c r="BK50" s="58"/>
      <c r="BL50" s="66">
        <v>3456213</v>
      </c>
      <c r="BM50" s="56" t="s">
        <v>15614</v>
      </c>
      <c r="BN50" s="58"/>
      <c r="BO50" s="67">
        <v>151.38</v>
      </c>
      <c r="BP50" s="56" t="s">
        <v>15450</v>
      </c>
      <c r="BQ50" s="58"/>
      <c r="BR50" s="56" t="s">
        <v>15615</v>
      </c>
      <c r="BS50" s="56" t="s">
        <v>1285</v>
      </c>
      <c r="BT50" s="58"/>
      <c r="BU50" s="56" t="s">
        <v>15611</v>
      </c>
      <c r="BV50" s="58"/>
      <c r="BW50" s="58"/>
      <c r="BX50" s="67">
        <v>151.38</v>
      </c>
      <c r="BY50" s="56" t="s">
        <v>1285</v>
      </c>
      <c r="BZ50" s="58"/>
      <c r="CA50" s="58"/>
      <c r="CB50" s="58"/>
      <c r="CC50" s="58"/>
      <c r="CD50" s="58"/>
    </row>
    <row r="51" ht="108" spans="1:82">
      <c r="A51" s="56" t="s">
        <v>15626</v>
      </c>
      <c r="B51" s="58"/>
      <c r="C51" s="57" t="s">
        <v>15604</v>
      </c>
      <c r="D51" s="58"/>
      <c r="E51" s="57" t="s">
        <v>15158</v>
      </c>
      <c r="F51" s="57" t="s">
        <v>15605</v>
      </c>
      <c r="G51" s="57" t="s">
        <v>15160</v>
      </c>
      <c r="H51" s="56" t="s">
        <v>2965</v>
      </c>
      <c r="I51" s="60">
        <v>12711.75</v>
      </c>
      <c r="J51" s="57" t="s">
        <v>1285</v>
      </c>
      <c r="K51" s="57" t="s">
        <v>15162</v>
      </c>
      <c r="L51" s="57" t="s">
        <v>15163</v>
      </c>
      <c r="M51" s="61" t="s">
        <v>14312</v>
      </c>
      <c r="N51" s="62" t="s">
        <v>15331</v>
      </c>
      <c r="O51" s="57" t="s">
        <v>15165</v>
      </c>
      <c r="P51" s="57" t="s">
        <v>15166</v>
      </c>
      <c r="Q51" s="57" t="s">
        <v>2965</v>
      </c>
      <c r="R51" s="57" t="s">
        <v>15606</v>
      </c>
      <c r="S51" s="57" t="s">
        <v>15607</v>
      </c>
      <c r="T51" s="57" t="s">
        <v>15190</v>
      </c>
      <c r="U51" s="57" t="s">
        <v>14184</v>
      </c>
      <c r="V51" s="56" t="s">
        <v>14153</v>
      </c>
      <c r="W51" s="58"/>
      <c r="X51" s="57" t="s">
        <v>15608</v>
      </c>
      <c r="Y51" s="57" t="s">
        <v>15170</v>
      </c>
      <c r="Z51" s="61" t="s">
        <v>15465</v>
      </c>
      <c r="AA51" s="61" t="s">
        <v>14312</v>
      </c>
      <c r="AB51" s="58"/>
      <c r="AC51" s="57" t="s">
        <v>15172</v>
      </c>
      <c r="AD51" s="58"/>
      <c r="AE51" s="58"/>
      <c r="AF51" s="58"/>
      <c r="AG51" s="58"/>
      <c r="AH51" s="58"/>
      <c r="AI51" s="58"/>
      <c r="AJ51" s="58"/>
      <c r="AK51" s="56" t="s">
        <v>1285</v>
      </c>
      <c r="AL51" s="56" t="s">
        <v>15609</v>
      </c>
      <c r="AM51" s="58"/>
      <c r="AN51" s="56" t="s">
        <v>15610</v>
      </c>
      <c r="AO51" s="58"/>
      <c r="AP51" s="63">
        <v>45828.6645601852</v>
      </c>
      <c r="AQ51" s="56" t="s">
        <v>15611</v>
      </c>
      <c r="AR51" s="61" t="s">
        <v>15448</v>
      </c>
      <c r="AS51" s="57" t="s">
        <v>14184</v>
      </c>
      <c r="AT51" s="56" t="s">
        <v>15177</v>
      </c>
      <c r="AU51" s="56" t="s">
        <v>15612</v>
      </c>
      <c r="AV51" s="58"/>
      <c r="AW51" s="64">
        <v>45720.7141898148</v>
      </c>
      <c r="AX51" s="56" t="s">
        <v>15609</v>
      </c>
      <c r="AY51" s="56" t="s">
        <v>15179</v>
      </c>
      <c r="AZ51" s="58"/>
      <c r="BA51" s="58"/>
      <c r="BB51" s="58"/>
      <c r="BC51" s="56" t="s">
        <v>2146</v>
      </c>
      <c r="BD51" s="56" t="s">
        <v>15197</v>
      </c>
      <c r="BE51" s="56" t="s">
        <v>15613</v>
      </c>
      <c r="BF51" s="56" t="s">
        <v>15181</v>
      </c>
      <c r="BG51" s="58"/>
      <c r="BH51" s="58"/>
      <c r="BI51" s="57" t="s">
        <v>2801</v>
      </c>
      <c r="BJ51" s="58"/>
      <c r="BK51" s="58"/>
      <c r="BL51" s="66">
        <v>3456212</v>
      </c>
      <c r="BM51" s="56" t="s">
        <v>15614</v>
      </c>
      <c r="BN51" s="58"/>
      <c r="BO51" s="67">
        <v>174.87</v>
      </c>
      <c r="BP51" s="56" t="s">
        <v>15450</v>
      </c>
      <c r="BQ51" s="58"/>
      <c r="BR51" s="56" t="s">
        <v>15615</v>
      </c>
      <c r="BS51" s="56" t="s">
        <v>1285</v>
      </c>
      <c r="BT51" s="58"/>
      <c r="BU51" s="56" t="s">
        <v>15611</v>
      </c>
      <c r="BV51" s="58"/>
      <c r="BW51" s="58"/>
      <c r="BX51" s="67">
        <v>174.87</v>
      </c>
      <c r="BY51" s="56" t="s">
        <v>1285</v>
      </c>
      <c r="BZ51" s="58"/>
      <c r="CA51" s="58"/>
      <c r="CB51" s="58"/>
      <c r="CC51" s="58"/>
      <c r="CD51" s="58"/>
    </row>
    <row r="52" ht="108" spans="1:82">
      <c r="A52" s="56" t="s">
        <v>15627</v>
      </c>
      <c r="B52" s="58"/>
      <c r="C52" s="57" t="s">
        <v>15604</v>
      </c>
      <c r="D52" s="58"/>
      <c r="E52" s="57" t="s">
        <v>15158</v>
      </c>
      <c r="F52" s="57" t="s">
        <v>15605</v>
      </c>
      <c r="G52" s="57" t="s">
        <v>15160</v>
      </c>
      <c r="H52" s="56" t="s">
        <v>2965</v>
      </c>
      <c r="I52" s="60">
        <v>12711.75</v>
      </c>
      <c r="J52" s="57" t="s">
        <v>1285</v>
      </c>
      <c r="K52" s="57" t="s">
        <v>15162</v>
      </c>
      <c r="L52" s="57" t="s">
        <v>15163</v>
      </c>
      <c r="M52" s="61" t="s">
        <v>14312</v>
      </c>
      <c r="N52" s="62" t="s">
        <v>15331</v>
      </c>
      <c r="O52" s="57" t="s">
        <v>15165</v>
      </c>
      <c r="P52" s="57" t="s">
        <v>15166</v>
      </c>
      <c r="Q52" s="57" t="s">
        <v>2965</v>
      </c>
      <c r="R52" s="57" t="s">
        <v>15606</v>
      </c>
      <c r="S52" s="57" t="s">
        <v>15607</v>
      </c>
      <c r="T52" s="57" t="s">
        <v>15190</v>
      </c>
      <c r="U52" s="57" t="s">
        <v>14184</v>
      </c>
      <c r="V52" s="56" t="s">
        <v>14153</v>
      </c>
      <c r="W52" s="58"/>
      <c r="X52" s="57" t="s">
        <v>15608</v>
      </c>
      <c r="Y52" s="57" t="s">
        <v>15170</v>
      </c>
      <c r="Z52" s="61" t="s">
        <v>15465</v>
      </c>
      <c r="AA52" s="61" t="s">
        <v>14312</v>
      </c>
      <c r="AB52" s="58"/>
      <c r="AC52" s="57" t="s">
        <v>15172</v>
      </c>
      <c r="AD52" s="58"/>
      <c r="AE52" s="58"/>
      <c r="AF52" s="58"/>
      <c r="AG52" s="58"/>
      <c r="AH52" s="58"/>
      <c r="AI52" s="58"/>
      <c r="AJ52" s="58"/>
      <c r="AK52" s="56" t="s">
        <v>1285</v>
      </c>
      <c r="AL52" s="56" t="s">
        <v>15609</v>
      </c>
      <c r="AM52" s="58"/>
      <c r="AN52" s="56" t="s">
        <v>15610</v>
      </c>
      <c r="AO52" s="58"/>
      <c r="AP52" s="63">
        <v>45828.6645601852</v>
      </c>
      <c r="AQ52" s="56" t="s">
        <v>15611</v>
      </c>
      <c r="AR52" s="61" t="s">
        <v>15448</v>
      </c>
      <c r="AS52" s="57" t="s">
        <v>14184</v>
      </c>
      <c r="AT52" s="56" t="s">
        <v>15177</v>
      </c>
      <c r="AU52" s="56" t="s">
        <v>15612</v>
      </c>
      <c r="AV52" s="58"/>
      <c r="AW52" s="64">
        <v>45720.7141898148</v>
      </c>
      <c r="AX52" s="56" t="s">
        <v>15609</v>
      </c>
      <c r="AY52" s="56" t="s">
        <v>15179</v>
      </c>
      <c r="AZ52" s="58"/>
      <c r="BA52" s="58"/>
      <c r="BB52" s="58"/>
      <c r="BC52" s="56" t="s">
        <v>15628</v>
      </c>
      <c r="BD52" s="56" t="s">
        <v>15197</v>
      </c>
      <c r="BE52" s="56" t="s">
        <v>15613</v>
      </c>
      <c r="BF52" s="56" t="s">
        <v>15181</v>
      </c>
      <c r="BG52" s="58"/>
      <c r="BH52" s="58"/>
      <c r="BI52" s="57" t="s">
        <v>2801</v>
      </c>
      <c r="BJ52" s="58"/>
      <c r="BK52" s="58"/>
      <c r="BL52" s="66">
        <v>3456225</v>
      </c>
      <c r="BM52" s="56" t="s">
        <v>15614</v>
      </c>
      <c r="BN52" s="58"/>
      <c r="BO52" s="67">
        <v>219.05</v>
      </c>
      <c r="BP52" s="56" t="s">
        <v>15450</v>
      </c>
      <c r="BQ52" s="58"/>
      <c r="BR52" s="56" t="s">
        <v>15615</v>
      </c>
      <c r="BS52" s="56" t="s">
        <v>1285</v>
      </c>
      <c r="BT52" s="58"/>
      <c r="BU52" s="56" t="s">
        <v>15611</v>
      </c>
      <c r="BV52" s="58"/>
      <c r="BW52" s="58"/>
      <c r="BX52" s="67">
        <v>219.05</v>
      </c>
      <c r="BY52" s="56" t="s">
        <v>1285</v>
      </c>
      <c r="BZ52" s="58"/>
      <c r="CA52" s="58"/>
      <c r="CB52" s="58"/>
      <c r="CC52" s="58"/>
      <c r="CD52" s="58"/>
    </row>
    <row r="53" ht="108" spans="1:82">
      <c r="A53" s="56" t="s">
        <v>15629</v>
      </c>
      <c r="B53" s="58"/>
      <c r="C53" s="57" t="s">
        <v>15604</v>
      </c>
      <c r="D53" s="58"/>
      <c r="E53" s="57" t="s">
        <v>15158</v>
      </c>
      <c r="F53" s="57" t="s">
        <v>15605</v>
      </c>
      <c r="G53" s="57" t="s">
        <v>15160</v>
      </c>
      <c r="H53" s="56" t="s">
        <v>2965</v>
      </c>
      <c r="I53" s="60">
        <v>12711.75</v>
      </c>
      <c r="J53" s="57" t="s">
        <v>1285</v>
      </c>
      <c r="K53" s="57" t="s">
        <v>15162</v>
      </c>
      <c r="L53" s="57" t="s">
        <v>15163</v>
      </c>
      <c r="M53" s="61" t="s">
        <v>14312</v>
      </c>
      <c r="N53" s="62" t="s">
        <v>15331</v>
      </c>
      <c r="O53" s="57" t="s">
        <v>15165</v>
      </c>
      <c r="P53" s="57" t="s">
        <v>15166</v>
      </c>
      <c r="Q53" s="57" t="s">
        <v>2965</v>
      </c>
      <c r="R53" s="57" t="s">
        <v>15606</v>
      </c>
      <c r="S53" s="57" t="s">
        <v>15607</v>
      </c>
      <c r="T53" s="57" t="s">
        <v>15190</v>
      </c>
      <c r="U53" s="57" t="s">
        <v>14184</v>
      </c>
      <c r="V53" s="56" t="s">
        <v>14153</v>
      </c>
      <c r="W53" s="58"/>
      <c r="X53" s="57" t="s">
        <v>15608</v>
      </c>
      <c r="Y53" s="57" t="s">
        <v>15170</v>
      </c>
      <c r="Z53" s="61" t="s">
        <v>15465</v>
      </c>
      <c r="AA53" s="61" t="s">
        <v>14312</v>
      </c>
      <c r="AB53" s="58"/>
      <c r="AC53" s="57" t="s">
        <v>15172</v>
      </c>
      <c r="AD53" s="58"/>
      <c r="AE53" s="58"/>
      <c r="AF53" s="58"/>
      <c r="AG53" s="58"/>
      <c r="AH53" s="58"/>
      <c r="AI53" s="58"/>
      <c r="AJ53" s="58"/>
      <c r="AK53" s="56" t="s">
        <v>1285</v>
      </c>
      <c r="AL53" s="56" t="s">
        <v>15609</v>
      </c>
      <c r="AM53" s="58"/>
      <c r="AN53" s="56" t="s">
        <v>15610</v>
      </c>
      <c r="AO53" s="58"/>
      <c r="AP53" s="63">
        <v>45828.6645601852</v>
      </c>
      <c r="AQ53" s="56" t="s">
        <v>15611</v>
      </c>
      <c r="AR53" s="61" t="s">
        <v>15448</v>
      </c>
      <c r="AS53" s="57" t="s">
        <v>14184</v>
      </c>
      <c r="AT53" s="56" t="s">
        <v>15177</v>
      </c>
      <c r="AU53" s="56" t="s">
        <v>15612</v>
      </c>
      <c r="AV53" s="58"/>
      <c r="AW53" s="64">
        <v>45720.7141898148</v>
      </c>
      <c r="AX53" s="56" t="s">
        <v>15609</v>
      </c>
      <c r="AY53" s="56" t="s">
        <v>15179</v>
      </c>
      <c r="AZ53" s="58"/>
      <c r="BA53" s="58"/>
      <c r="BB53" s="58"/>
      <c r="BC53" s="56" t="s">
        <v>2148</v>
      </c>
      <c r="BD53" s="56" t="s">
        <v>15197</v>
      </c>
      <c r="BE53" s="56" t="s">
        <v>15613</v>
      </c>
      <c r="BF53" s="56" t="s">
        <v>15181</v>
      </c>
      <c r="BG53" s="58"/>
      <c r="BH53" s="58"/>
      <c r="BI53" s="57" t="s">
        <v>2801</v>
      </c>
      <c r="BJ53" s="58"/>
      <c r="BK53" s="58"/>
      <c r="BL53" s="66">
        <v>3456214</v>
      </c>
      <c r="BM53" s="56" t="s">
        <v>15614</v>
      </c>
      <c r="BN53" s="58"/>
      <c r="BO53" s="67">
        <v>1484</v>
      </c>
      <c r="BP53" s="56" t="s">
        <v>15450</v>
      </c>
      <c r="BQ53" s="58"/>
      <c r="BR53" s="56" t="s">
        <v>15615</v>
      </c>
      <c r="BS53" s="56" t="s">
        <v>1285</v>
      </c>
      <c r="BT53" s="58"/>
      <c r="BU53" s="56" t="s">
        <v>15611</v>
      </c>
      <c r="BV53" s="58"/>
      <c r="BW53" s="58"/>
      <c r="BX53" s="67">
        <v>1484</v>
      </c>
      <c r="BY53" s="56" t="s">
        <v>1285</v>
      </c>
      <c r="BZ53" s="58"/>
      <c r="CA53" s="58"/>
      <c r="CB53" s="58"/>
      <c r="CC53" s="58"/>
      <c r="CD53" s="58"/>
    </row>
    <row r="54" ht="108" spans="1:82">
      <c r="A54" s="56" t="s">
        <v>15630</v>
      </c>
      <c r="B54" s="58"/>
      <c r="C54" s="57" t="s">
        <v>15604</v>
      </c>
      <c r="D54" s="58"/>
      <c r="E54" s="57" t="s">
        <v>15158</v>
      </c>
      <c r="F54" s="57" t="s">
        <v>15605</v>
      </c>
      <c r="G54" s="57" t="s">
        <v>15160</v>
      </c>
      <c r="H54" s="56" t="s">
        <v>2965</v>
      </c>
      <c r="I54" s="60">
        <v>12711.75</v>
      </c>
      <c r="J54" s="57" t="s">
        <v>1285</v>
      </c>
      <c r="K54" s="57" t="s">
        <v>15162</v>
      </c>
      <c r="L54" s="57" t="s">
        <v>15163</v>
      </c>
      <c r="M54" s="61" t="s">
        <v>14312</v>
      </c>
      <c r="N54" s="62" t="s">
        <v>15331</v>
      </c>
      <c r="O54" s="57" t="s">
        <v>15165</v>
      </c>
      <c r="P54" s="57" t="s">
        <v>15166</v>
      </c>
      <c r="Q54" s="57" t="s">
        <v>2965</v>
      </c>
      <c r="R54" s="57" t="s">
        <v>15606</v>
      </c>
      <c r="S54" s="57" t="s">
        <v>15607</v>
      </c>
      <c r="T54" s="57" t="s">
        <v>15190</v>
      </c>
      <c r="U54" s="57" t="s">
        <v>14184</v>
      </c>
      <c r="V54" s="56" t="s">
        <v>14153</v>
      </c>
      <c r="W54" s="58"/>
      <c r="X54" s="57" t="s">
        <v>15608</v>
      </c>
      <c r="Y54" s="57" t="s">
        <v>15170</v>
      </c>
      <c r="Z54" s="61" t="s">
        <v>15465</v>
      </c>
      <c r="AA54" s="61" t="s">
        <v>14312</v>
      </c>
      <c r="AB54" s="58"/>
      <c r="AC54" s="57" t="s">
        <v>15172</v>
      </c>
      <c r="AD54" s="58"/>
      <c r="AE54" s="58"/>
      <c r="AF54" s="58"/>
      <c r="AG54" s="58"/>
      <c r="AH54" s="58"/>
      <c r="AI54" s="58"/>
      <c r="AJ54" s="58"/>
      <c r="AK54" s="56" t="s">
        <v>1285</v>
      </c>
      <c r="AL54" s="56" t="s">
        <v>15609</v>
      </c>
      <c r="AM54" s="58"/>
      <c r="AN54" s="56" t="s">
        <v>15610</v>
      </c>
      <c r="AO54" s="58"/>
      <c r="AP54" s="63">
        <v>45828.6645601852</v>
      </c>
      <c r="AQ54" s="56" t="s">
        <v>15611</v>
      </c>
      <c r="AR54" s="61" t="s">
        <v>15448</v>
      </c>
      <c r="AS54" s="57" t="s">
        <v>14184</v>
      </c>
      <c r="AT54" s="56" t="s">
        <v>15177</v>
      </c>
      <c r="AU54" s="56" t="s">
        <v>15612</v>
      </c>
      <c r="AV54" s="58"/>
      <c r="AW54" s="64">
        <v>45720.7141898148</v>
      </c>
      <c r="AX54" s="56" t="s">
        <v>15609</v>
      </c>
      <c r="AY54" s="56" t="s">
        <v>15179</v>
      </c>
      <c r="AZ54" s="58"/>
      <c r="BA54" s="58"/>
      <c r="BB54" s="58"/>
      <c r="BC54" s="56" t="s">
        <v>15619</v>
      </c>
      <c r="BD54" s="56" t="s">
        <v>15197</v>
      </c>
      <c r="BE54" s="56" t="s">
        <v>15613</v>
      </c>
      <c r="BF54" s="56" t="s">
        <v>15181</v>
      </c>
      <c r="BG54" s="58"/>
      <c r="BH54" s="58"/>
      <c r="BI54" s="57" t="s">
        <v>2801</v>
      </c>
      <c r="BJ54" s="58"/>
      <c r="BK54" s="58"/>
      <c r="BL54" s="66">
        <v>3456220</v>
      </c>
      <c r="BM54" s="56" t="s">
        <v>15614</v>
      </c>
      <c r="BN54" s="58"/>
      <c r="BO54" s="67">
        <v>246.6</v>
      </c>
      <c r="BP54" s="56" t="s">
        <v>15450</v>
      </c>
      <c r="BQ54" s="58"/>
      <c r="BR54" s="56" t="s">
        <v>15615</v>
      </c>
      <c r="BS54" s="56" t="s">
        <v>1285</v>
      </c>
      <c r="BT54" s="58"/>
      <c r="BU54" s="56" t="s">
        <v>15611</v>
      </c>
      <c r="BV54" s="58"/>
      <c r="BW54" s="58"/>
      <c r="BX54" s="67">
        <v>246.6</v>
      </c>
      <c r="BY54" s="56" t="s">
        <v>1285</v>
      </c>
      <c r="BZ54" s="58"/>
      <c r="CA54" s="58"/>
      <c r="CB54" s="58"/>
      <c r="CC54" s="58"/>
      <c r="CD54" s="58"/>
    </row>
    <row r="55" ht="108" spans="1:82">
      <c r="A55" s="56" t="s">
        <v>15631</v>
      </c>
      <c r="B55" s="58"/>
      <c r="C55" s="57" t="s">
        <v>15604</v>
      </c>
      <c r="D55" s="58"/>
      <c r="E55" s="57" t="s">
        <v>15158</v>
      </c>
      <c r="F55" s="57" t="s">
        <v>15605</v>
      </c>
      <c r="G55" s="57" t="s">
        <v>15160</v>
      </c>
      <c r="H55" s="56" t="s">
        <v>2965</v>
      </c>
      <c r="I55" s="60">
        <v>12711.75</v>
      </c>
      <c r="J55" s="57" t="s">
        <v>1285</v>
      </c>
      <c r="K55" s="57" t="s">
        <v>15162</v>
      </c>
      <c r="L55" s="57" t="s">
        <v>15163</v>
      </c>
      <c r="M55" s="61" t="s">
        <v>14312</v>
      </c>
      <c r="N55" s="62" t="s">
        <v>15331</v>
      </c>
      <c r="O55" s="57" t="s">
        <v>15165</v>
      </c>
      <c r="P55" s="57" t="s">
        <v>15166</v>
      </c>
      <c r="Q55" s="57" t="s">
        <v>2965</v>
      </c>
      <c r="R55" s="57" t="s">
        <v>15606</v>
      </c>
      <c r="S55" s="57" t="s">
        <v>15607</v>
      </c>
      <c r="T55" s="57" t="s">
        <v>15190</v>
      </c>
      <c r="U55" s="57" t="s">
        <v>14184</v>
      </c>
      <c r="V55" s="56" t="s">
        <v>14153</v>
      </c>
      <c r="W55" s="58"/>
      <c r="X55" s="57" t="s">
        <v>15608</v>
      </c>
      <c r="Y55" s="57" t="s">
        <v>15170</v>
      </c>
      <c r="Z55" s="61" t="s">
        <v>15465</v>
      </c>
      <c r="AA55" s="61" t="s">
        <v>14312</v>
      </c>
      <c r="AB55" s="58"/>
      <c r="AC55" s="57" t="s">
        <v>15172</v>
      </c>
      <c r="AD55" s="58"/>
      <c r="AE55" s="58"/>
      <c r="AF55" s="58"/>
      <c r="AG55" s="58"/>
      <c r="AH55" s="58"/>
      <c r="AI55" s="58"/>
      <c r="AJ55" s="58"/>
      <c r="AK55" s="56" t="s">
        <v>1285</v>
      </c>
      <c r="AL55" s="56" t="s">
        <v>15609</v>
      </c>
      <c r="AM55" s="58"/>
      <c r="AN55" s="56" t="s">
        <v>15610</v>
      </c>
      <c r="AO55" s="58"/>
      <c r="AP55" s="63">
        <v>45828.6645601852</v>
      </c>
      <c r="AQ55" s="56" t="s">
        <v>15611</v>
      </c>
      <c r="AR55" s="61" t="s">
        <v>15448</v>
      </c>
      <c r="AS55" s="57" t="s">
        <v>14184</v>
      </c>
      <c r="AT55" s="56" t="s">
        <v>15177</v>
      </c>
      <c r="AU55" s="56" t="s">
        <v>15612</v>
      </c>
      <c r="AV55" s="58"/>
      <c r="AW55" s="64">
        <v>45720.7141898148</v>
      </c>
      <c r="AX55" s="56" t="s">
        <v>15609</v>
      </c>
      <c r="AY55" s="56" t="s">
        <v>15179</v>
      </c>
      <c r="AZ55" s="58"/>
      <c r="BA55" s="58"/>
      <c r="BB55" s="58"/>
      <c r="BC55" s="56" t="s">
        <v>138</v>
      </c>
      <c r="BD55" s="56" t="s">
        <v>15197</v>
      </c>
      <c r="BE55" s="56" t="s">
        <v>15613</v>
      </c>
      <c r="BF55" s="56" t="s">
        <v>15181</v>
      </c>
      <c r="BG55" s="58"/>
      <c r="BH55" s="58"/>
      <c r="BI55" s="57" t="s">
        <v>2801</v>
      </c>
      <c r="BJ55" s="58"/>
      <c r="BK55" s="58"/>
      <c r="BL55" s="66">
        <v>3456207</v>
      </c>
      <c r="BM55" s="56" t="s">
        <v>15614</v>
      </c>
      <c r="BN55" s="58"/>
      <c r="BO55" s="67">
        <v>1300.2</v>
      </c>
      <c r="BP55" s="56" t="s">
        <v>15450</v>
      </c>
      <c r="BQ55" s="58"/>
      <c r="BR55" s="56" t="s">
        <v>15615</v>
      </c>
      <c r="BS55" s="56" t="s">
        <v>1285</v>
      </c>
      <c r="BT55" s="58"/>
      <c r="BU55" s="56" t="s">
        <v>15611</v>
      </c>
      <c r="BV55" s="58"/>
      <c r="BW55" s="58"/>
      <c r="BX55" s="67">
        <v>1300.2</v>
      </c>
      <c r="BY55" s="56" t="s">
        <v>1285</v>
      </c>
      <c r="BZ55" s="58"/>
      <c r="CA55" s="58"/>
      <c r="CB55" s="58"/>
      <c r="CC55" s="58"/>
      <c r="CD55" s="58"/>
    </row>
    <row r="56" ht="108" spans="1:82">
      <c r="A56" s="56" t="s">
        <v>15632</v>
      </c>
      <c r="B56" s="58"/>
      <c r="C56" s="57" t="s">
        <v>15604</v>
      </c>
      <c r="D56" s="58"/>
      <c r="E56" s="57" t="s">
        <v>15158</v>
      </c>
      <c r="F56" s="57" t="s">
        <v>15605</v>
      </c>
      <c r="G56" s="57" t="s">
        <v>15160</v>
      </c>
      <c r="H56" s="56" t="s">
        <v>2965</v>
      </c>
      <c r="I56" s="60">
        <v>12711.75</v>
      </c>
      <c r="J56" s="57" t="s">
        <v>1285</v>
      </c>
      <c r="K56" s="57" t="s">
        <v>15162</v>
      </c>
      <c r="L56" s="57" t="s">
        <v>15163</v>
      </c>
      <c r="M56" s="61" t="s">
        <v>14312</v>
      </c>
      <c r="N56" s="62" t="s">
        <v>15331</v>
      </c>
      <c r="O56" s="57" t="s">
        <v>15165</v>
      </c>
      <c r="P56" s="57" t="s">
        <v>15166</v>
      </c>
      <c r="Q56" s="57" t="s">
        <v>2965</v>
      </c>
      <c r="R56" s="57" t="s">
        <v>15606</v>
      </c>
      <c r="S56" s="57" t="s">
        <v>15607</v>
      </c>
      <c r="T56" s="57" t="s">
        <v>15190</v>
      </c>
      <c r="U56" s="57" t="s">
        <v>14184</v>
      </c>
      <c r="V56" s="56" t="s">
        <v>14153</v>
      </c>
      <c r="W56" s="58"/>
      <c r="X56" s="57" t="s">
        <v>15608</v>
      </c>
      <c r="Y56" s="57" t="s">
        <v>15170</v>
      </c>
      <c r="Z56" s="61" t="s">
        <v>15465</v>
      </c>
      <c r="AA56" s="61" t="s">
        <v>14312</v>
      </c>
      <c r="AB56" s="58"/>
      <c r="AC56" s="57" t="s">
        <v>15172</v>
      </c>
      <c r="AD56" s="58"/>
      <c r="AE56" s="58"/>
      <c r="AF56" s="58"/>
      <c r="AG56" s="58"/>
      <c r="AH56" s="58"/>
      <c r="AI56" s="58"/>
      <c r="AJ56" s="58"/>
      <c r="AK56" s="56" t="s">
        <v>1285</v>
      </c>
      <c r="AL56" s="56" t="s">
        <v>15609</v>
      </c>
      <c r="AM56" s="58"/>
      <c r="AN56" s="56" t="s">
        <v>15610</v>
      </c>
      <c r="AO56" s="58"/>
      <c r="AP56" s="63">
        <v>45828.6645601852</v>
      </c>
      <c r="AQ56" s="56" t="s">
        <v>15611</v>
      </c>
      <c r="AR56" s="61" t="s">
        <v>15448</v>
      </c>
      <c r="AS56" s="57" t="s">
        <v>14184</v>
      </c>
      <c r="AT56" s="56" t="s">
        <v>15177</v>
      </c>
      <c r="AU56" s="56" t="s">
        <v>15612</v>
      </c>
      <c r="AV56" s="58"/>
      <c r="AW56" s="64">
        <v>45720.7141898148</v>
      </c>
      <c r="AX56" s="56" t="s">
        <v>15609</v>
      </c>
      <c r="AY56" s="56" t="s">
        <v>15179</v>
      </c>
      <c r="AZ56" s="58"/>
      <c r="BA56" s="58"/>
      <c r="BB56" s="58"/>
      <c r="BC56" s="56" t="s">
        <v>15619</v>
      </c>
      <c r="BD56" s="56" t="s">
        <v>15197</v>
      </c>
      <c r="BE56" s="56" t="s">
        <v>15613</v>
      </c>
      <c r="BF56" s="56" t="s">
        <v>15181</v>
      </c>
      <c r="BG56" s="58"/>
      <c r="BH56" s="58"/>
      <c r="BI56" s="57" t="s">
        <v>2801</v>
      </c>
      <c r="BJ56" s="58"/>
      <c r="BK56" s="58"/>
      <c r="BL56" s="66">
        <v>3456221</v>
      </c>
      <c r="BM56" s="56" t="s">
        <v>15614</v>
      </c>
      <c r="BN56" s="58"/>
      <c r="BO56" s="67">
        <v>84.3</v>
      </c>
      <c r="BP56" s="56" t="s">
        <v>15450</v>
      </c>
      <c r="BQ56" s="58"/>
      <c r="BR56" s="56" t="s">
        <v>15615</v>
      </c>
      <c r="BS56" s="56" t="s">
        <v>1285</v>
      </c>
      <c r="BT56" s="58"/>
      <c r="BU56" s="56" t="s">
        <v>15611</v>
      </c>
      <c r="BV56" s="58"/>
      <c r="BW56" s="58"/>
      <c r="BX56" s="67">
        <v>84.3</v>
      </c>
      <c r="BY56" s="56" t="s">
        <v>1285</v>
      </c>
      <c r="BZ56" s="58"/>
      <c r="CA56" s="58"/>
      <c r="CB56" s="58"/>
      <c r="CC56" s="58"/>
      <c r="CD56" s="58"/>
    </row>
    <row r="57" ht="108" spans="1:82">
      <c r="A57" s="56" t="s">
        <v>15633</v>
      </c>
      <c r="B57" s="58"/>
      <c r="C57" s="57" t="s">
        <v>15604</v>
      </c>
      <c r="D57" s="58"/>
      <c r="E57" s="57" t="s">
        <v>15158</v>
      </c>
      <c r="F57" s="57" t="s">
        <v>15605</v>
      </c>
      <c r="G57" s="57" t="s">
        <v>15160</v>
      </c>
      <c r="H57" s="56" t="s">
        <v>2965</v>
      </c>
      <c r="I57" s="60">
        <v>12711.75</v>
      </c>
      <c r="J57" s="57" t="s">
        <v>1285</v>
      </c>
      <c r="K57" s="57" t="s">
        <v>15162</v>
      </c>
      <c r="L57" s="57" t="s">
        <v>15163</v>
      </c>
      <c r="M57" s="61" t="s">
        <v>14312</v>
      </c>
      <c r="N57" s="62" t="s">
        <v>15331</v>
      </c>
      <c r="O57" s="57" t="s">
        <v>15165</v>
      </c>
      <c r="P57" s="57" t="s">
        <v>15166</v>
      </c>
      <c r="Q57" s="57" t="s">
        <v>2965</v>
      </c>
      <c r="R57" s="57" t="s">
        <v>15606</v>
      </c>
      <c r="S57" s="57" t="s">
        <v>15607</v>
      </c>
      <c r="T57" s="57" t="s">
        <v>15190</v>
      </c>
      <c r="U57" s="57" t="s">
        <v>14184</v>
      </c>
      <c r="V57" s="56" t="s">
        <v>14153</v>
      </c>
      <c r="W57" s="58"/>
      <c r="X57" s="57" t="s">
        <v>15608</v>
      </c>
      <c r="Y57" s="57" t="s">
        <v>15170</v>
      </c>
      <c r="Z57" s="61" t="s">
        <v>15465</v>
      </c>
      <c r="AA57" s="61" t="s">
        <v>14312</v>
      </c>
      <c r="AB57" s="58"/>
      <c r="AC57" s="57" t="s">
        <v>15172</v>
      </c>
      <c r="AD57" s="58"/>
      <c r="AE57" s="58"/>
      <c r="AF57" s="58"/>
      <c r="AG57" s="58"/>
      <c r="AH57" s="58"/>
      <c r="AI57" s="58"/>
      <c r="AJ57" s="58"/>
      <c r="AK57" s="56" t="s">
        <v>1285</v>
      </c>
      <c r="AL57" s="56" t="s">
        <v>15609</v>
      </c>
      <c r="AM57" s="58"/>
      <c r="AN57" s="56" t="s">
        <v>15610</v>
      </c>
      <c r="AO57" s="58"/>
      <c r="AP57" s="63">
        <v>45828.6645601852</v>
      </c>
      <c r="AQ57" s="56" t="s">
        <v>15611</v>
      </c>
      <c r="AR57" s="61" t="s">
        <v>15448</v>
      </c>
      <c r="AS57" s="57" t="s">
        <v>14184</v>
      </c>
      <c r="AT57" s="56" t="s">
        <v>15177</v>
      </c>
      <c r="AU57" s="56" t="s">
        <v>15612</v>
      </c>
      <c r="AV57" s="58"/>
      <c r="AW57" s="64">
        <v>45720.7141898148</v>
      </c>
      <c r="AX57" s="56" t="s">
        <v>15609</v>
      </c>
      <c r="AY57" s="56" t="s">
        <v>15179</v>
      </c>
      <c r="AZ57" s="58"/>
      <c r="BA57" s="58"/>
      <c r="BB57" s="58"/>
      <c r="BC57" s="56" t="s">
        <v>1981</v>
      </c>
      <c r="BD57" s="56" t="s">
        <v>15197</v>
      </c>
      <c r="BE57" s="56" t="s">
        <v>15613</v>
      </c>
      <c r="BF57" s="56" t="s">
        <v>15181</v>
      </c>
      <c r="BG57" s="58"/>
      <c r="BH57" s="58"/>
      <c r="BI57" s="57" t="s">
        <v>2801</v>
      </c>
      <c r="BJ57" s="58"/>
      <c r="BK57" s="58"/>
      <c r="BL57" s="66">
        <v>3456235</v>
      </c>
      <c r="BM57" s="56" t="s">
        <v>15614</v>
      </c>
      <c r="BN57" s="58"/>
      <c r="BO57" s="67">
        <v>945</v>
      </c>
      <c r="BP57" s="56" t="s">
        <v>15450</v>
      </c>
      <c r="BQ57" s="58"/>
      <c r="BR57" s="56" t="s">
        <v>15615</v>
      </c>
      <c r="BS57" s="56" t="s">
        <v>1285</v>
      </c>
      <c r="BT57" s="58"/>
      <c r="BU57" s="56" t="s">
        <v>15611</v>
      </c>
      <c r="BV57" s="58"/>
      <c r="BW57" s="58"/>
      <c r="BX57" s="67">
        <v>945</v>
      </c>
      <c r="BY57" s="56" t="s">
        <v>1285</v>
      </c>
      <c r="BZ57" s="58"/>
      <c r="CA57" s="58"/>
      <c r="CB57" s="58"/>
      <c r="CC57" s="58"/>
      <c r="CD57" s="58"/>
    </row>
    <row r="58" ht="108" spans="1:82">
      <c r="A58" s="56" t="s">
        <v>15634</v>
      </c>
      <c r="B58" s="58"/>
      <c r="C58" s="57" t="s">
        <v>15604</v>
      </c>
      <c r="D58" s="58"/>
      <c r="E58" s="57" t="s">
        <v>15158</v>
      </c>
      <c r="F58" s="57" t="s">
        <v>15605</v>
      </c>
      <c r="G58" s="57" t="s">
        <v>15160</v>
      </c>
      <c r="H58" s="56" t="s">
        <v>2965</v>
      </c>
      <c r="I58" s="60">
        <v>12711.75</v>
      </c>
      <c r="J58" s="57" t="s">
        <v>1285</v>
      </c>
      <c r="K58" s="57" t="s">
        <v>15162</v>
      </c>
      <c r="L58" s="57" t="s">
        <v>15163</v>
      </c>
      <c r="M58" s="61" t="s">
        <v>14312</v>
      </c>
      <c r="N58" s="62" t="s">
        <v>15331</v>
      </c>
      <c r="O58" s="57" t="s">
        <v>15165</v>
      </c>
      <c r="P58" s="57" t="s">
        <v>15166</v>
      </c>
      <c r="Q58" s="57" t="s">
        <v>2965</v>
      </c>
      <c r="R58" s="57" t="s">
        <v>15606</v>
      </c>
      <c r="S58" s="57" t="s">
        <v>15607</v>
      </c>
      <c r="T58" s="57" t="s">
        <v>15190</v>
      </c>
      <c r="U58" s="57" t="s">
        <v>14184</v>
      </c>
      <c r="V58" s="56" t="s">
        <v>14153</v>
      </c>
      <c r="W58" s="58"/>
      <c r="X58" s="57" t="s">
        <v>15608</v>
      </c>
      <c r="Y58" s="57" t="s">
        <v>15170</v>
      </c>
      <c r="Z58" s="61" t="s">
        <v>15465</v>
      </c>
      <c r="AA58" s="61" t="s">
        <v>14312</v>
      </c>
      <c r="AB58" s="58"/>
      <c r="AC58" s="57" t="s">
        <v>15172</v>
      </c>
      <c r="AD58" s="58"/>
      <c r="AE58" s="58"/>
      <c r="AF58" s="58"/>
      <c r="AG58" s="58"/>
      <c r="AH58" s="58"/>
      <c r="AI58" s="58"/>
      <c r="AJ58" s="58"/>
      <c r="AK58" s="56" t="s">
        <v>1285</v>
      </c>
      <c r="AL58" s="56" t="s">
        <v>15609</v>
      </c>
      <c r="AM58" s="58"/>
      <c r="AN58" s="56" t="s">
        <v>15610</v>
      </c>
      <c r="AO58" s="58"/>
      <c r="AP58" s="63">
        <v>45828.6645601852</v>
      </c>
      <c r="AQ58" s="56" t="s">
        <v>15611</v>
      </c>
      <c r="AR58" s="61" t="s">
        <v>15448</v>
      </c>
      <c r="AS58" s="57" t="s">
        <v>14184</v>
      </c>
      <c r="AT58" s="56" t="s">
        <v>15177</v>
      </c>
      <c r="AU58" s="56" t="s">
        <v>15612</v>
      </c>
      <c r="AV58" s="58"/>
      <c r="AW58" s="64">
        <v>45720.7141898148</v>
      </c>
      <c r="AX58" s="56" t="s">
        <v>15609</v>
      </c>
      <c r="AY58" s="56" t="s">
        <v>15179</v>
      </c>
      <c r="AZ58" s="58"/>
      <c r="BA58" s="58"/>
      <c r="BB58" s="58"/>
      <c r="BC58" s="56" t="s">
        <v>15635</v>
      </c>
      <c r="BD58" s="56" t="s">
        <v>15197</v>
      </c>
      <c r="BE58" s="56" t="s">
        <v>15613</v>
      </c>
      <c r="BF58" s="56" t="s">
        <v>15181</v>
      </c>
      <c r="BG58" s="58"/>
      <c r="BH58" s="58"/>
      <c r="BI58" s="57" t="s">
        <v>2801</v>
      </c>
      <c r="BJ58" s="58"/>
      <c r="BK58" s="58"/>
      <c r="BL58" s="66">
        <v>3456234</v>
      </c>
      <c r="BM58" s="56" t="s">
        <v>15614</v>
      </c>
      <c r="BN58" s="58"/>
      <c r="BO58" s="67">
        <v>270</v>
      </c>
      <c r="BP58" s="56" t="s">
        <v>15450</v>
      </c>
      <c r="BQ58" s="58"/>
      <c r="BR58" s="56" t="s">
        <v>15615</v>
      </c>
      <c r="BS58" s="56" t="s">
        <v>1285</v>
      </c>
      <c r="BT58" s="58"/>
      <c r="BU58" s="56" t="s">
        <v>15611</v>
      </c>
      <c r="BV58" s="58"/>
      <c r="BW58" s="58"/>
      <c r="BX58" s="67">
        <v>270</v>
      </c>
      <c r="BY58" s="56" t="s">
        <v>1285</v>
      </c>
      <c r="BZ58" s="58"/>
      <c r="CA58" s="58"/>
      <c r="CB58" s="58"/>
      <c r="CC58" s="58"/>
      <c r="CD58" s="58"/>
    </row>
    <row r="59" ht="108" spans="1:82">
      <c r="A59" s="56" t="s">
        <v>15636</v>
      </c>
      <c r="B59" s="58"/>
      <c r="C59" s="57" t="s">
        <v>15604</v>
      </c>
      <c r="D59" s="58"/>
      <c r="E59" s="57" t="s">
        <v>15158</v>
      </c>
      <c r="F59" s="57" t="s">
        <v>15605</v>
      </c>
      <c r="G59" s="57" t="s">
        <v>15160</v>
      </c>
      <c r="H59" s="56" t="s">
        <v>2965</v>
      </c>
      <c r="I59" s="60">
        <v>12711.75</v>
      </c>
      <c r="J59" s="57" t="s">
        <v>1285</v>
      </c>
      <c r="K59" s="57" t="s">
        <v>15162</v>
      </c>
      <c r="L59" s="57" t="s">
        <v>15163</v>
      </c>
      <c r="M59" s="61" t="s">
        <v>14312</v>
      </c>
      <c r="N59" s="62" t="s">
        <v>15331</v>
      </c>
      <c r="O59" s="57" t="s">
        <v>15165</v>
      </c>
      <c r="P59" s="57" t="s">
        <v>15166</v>
      </c>
      <c r="Q59" s="57" t="s">
        <v>2965</v>
      </c>
      <c r="R59" s="57" t="s">
        <v>15606</v>
      </c>
      <c r="S59" s="57" t="s">
        <v>15607</v>
      </c>
      <c r="T59" s="57" t="s">
        <v>15190</v>
      </c>
      <c r="U59" s="57" t="s">
        <v>14184</v>
      </c>
      <c r="V59" s="56" t="s">
        <v>14153</v>
      </c>
      <c r="W59" s="58"/>
      <c r="X59" s="57" t="s">
        <v>15608</v>
      </c>
      <c r="Y59" s="57" t="s">
        <v>15170</v>
      </c>
      <c r="Z59" s="61" t="s">
        <v>15465</v>
      </c>
      <c r="AA59" s="61" t="s">
        <v>14312</v>
      </c>
      <c r="AB59" s="58"/>
      <c r="AC59" s="57" t="s">
        <v>15172</v>
      </c>
      <c r="AD59" s="58"/>
      <c r="AE59" s="58"/>
      <c r="AF59" s="58"/>
      <c r="AG59" s="58"/>
      <c r="AH59" s="58"/>
      <c r="AI59" s="58"/>
      <c r="AJ59" s="58"/>
      <c r="AK59" s="56" t="s">
        <v>1285</v>
      </c>
      <c r="AL59" s="56" t="s">
        <v>15609</v>
      </c>
      <c r="AM59" s="58"/>
      <c r="AN59" s="56" t="s">
        <v>15610</v>
      </c>
      <c r="AO59" s="58"/>
      <c r="AP59" s="63">
        <v>45828.6645601852</v>
      </c>
      <c r="AQ59" s="56" t="s">
        <v>15611</v>
      </c>
      <c r="AR59" s="61" t="s">
        <v>15448</v>
      </c>
      <c r="AS59" s="57" t="s">
        <v>14184</v>
      </c>
      <c r="AT59" s="56" t="s">
        <v>15177</v>
      </c>
      <c r="AU59" s="56" t="s">
        <v>15612</v>
      </c>
      <c r="AV59" s="58"/>
      <c r="AW59" s="64">
        <v>45720.7141898148</v>
      </c>
      <c r="AX59" s="56" t="s">
        <v>15609</v>
      </c>
      <c r="AY59" s="56" t="s">
        <v>15179</v>
      </c>
      <c r="AZ59" s="58"/>
      <c r="BA59" s="58"/>
      <c r="BB59" s="58"/>
      <c r="BC59" s="56" t="s">
        <v>15637</v>
      </c>
      <c r="BD59" s="56" t="s">
        <v>15197</v>
      </c>
      <c r="BE59" s="56" t="s">
        <v>15613</v>
      </c>
      <c r="BF59" s="56" t="s">
        <v>15181</v>
      </c>
      <c r="BG59" s="58"/>
      <c r="BH59" s="58"/>
      <c r="BI59" s="57" t="s">
        <v>2801</v>
      </c>
      <c r="BJ59" s="58"/>
      <c r="BK59" s="58"/>
      <c r="BL59" s="66">
        <v>3456231</v>
      </c>
      <c r="BM59" s="56" t="s">
        <v>15614</v>
      </c>
      <c r="BN59" s="58"/>
      <c r="BO59" s="67">
        <v>402.3</v>
      </c>
      <c r="BP59" s="56" t="s">
        <v>15450</v>
      </c>
      <c r="BQ59" s="58"/>
      <c r="BR59" s="56" t="s">
        <v>15615</v>
      </c>
      <c r="BS59" s="56" t="s">
        <v>1285</v>
      </c>
      <c r="BT59" s="58"/>
      <c r="BU59" s="56" t="s">
        <v>15611</v>
      </c>
      <c r="BV59" s="58"/>
      <c r="BW59" s="58"/>
      <c r="BX59" s="67">
        <v>402.3</v>
      </c>
      <c r="BY59" s="56" t="s">
        <v>1285</v>
      </c>
      <c r="BZ59" s="58"/>
      <c r="CA59" s="58"/>
      <c r="CB59" s="58"/>
      <c r="CC59" s="58"/>
      <c r="CD59" s="58"/>
    </row>
    <row r="60" ht="108" spans="1:82">
      <c r="A60" s="56" t="s">
        <v>15638</v>
      </c>
      <c r="B60" s="58"/>
      <c r="C60" s="57" t="s">
        <v>15604</v>
      </c>
      <c r="D60" s="58"/>
      <c r="E60" s="57" t="s">
        <v>15158</v>
      </c>
      <c r="F60" s="57" t="s">
        <v>15605</v>
      </c>
      <c r="G60" s="57" t="s">
        <v>15160</v>
      </c>
      <c r="H60" s="56" t="s">
        <v>2965</v>
      </c>
      <c r="I60" s="60">
        <v>12711.75</v>
      </c>
      <c r="J60" s="57" t="s">
        <v>1285</v>
      </c>
      <c r="K60" s="57" t="s">
        <v>15162</v>
      </c>
      <c r="L60" s="57" t="s">
        <v>15163</v>
      </c>
      <c r="M60" s="61" t="s">
        <v>14312</v>
      </c>
      <c r="N60" s="62" t="s">
        <v>15331</v>
      </c>
      <c r="O60" s="57" t="s">
        <v>15165</v>
      </c>
      <c r="P60" s="57" t="s">
        <v>15166</v>
      </c>
      <c r="Q60" s="57" t="s">
        <v>2965</v>
      </c>
      <c r="R60" s="57" t="s">
        <v>15606</v>
      </c>
      <c r="S60" s="57" t="s">
        <v>15607</v>
      </c>
      <c r="T60" s="57" t="s">
        <v>15190</v>
      </c>
      <c r="U60" s="57" t="s">
        <v>14184</v>
      </c>
      <c r="V60" s="56" t="s">
        <v>14153</v>
      </c>
      <c r="W60" s="58"/>
      <c r="X60" s="57" t="s">
        <v>15608</v>
      </c>
      <c r="Y60" s="57" t="s">
        <v>15170</v>
      </c>
      <c r="Z60" s="61" t="s">
        <v>15465</v>
      </c>
      <c r="AA60" s="61" t="s">
        <v>14312</v>
      </c>
      <c r="AB60" s="58"/>
      <c r="AC60" s="57" t="s">
        <v>15172</v>
      </c>
      <c r="AD60" s="58"/>
      <c r="AE60" s="58"/>
      <c r="AF60" s="58"/>
      <c r="AG60" s="58"/>
      <c r="AH60" s="58"/>
      <c r="AI60" s="58"/>
      <c r="AJ60" s="58"/>
      <c r="AK60" s="56" t="s">
        <v>1285</v>
      </c>
      <c r="AL60" s="56" t="s">
        <v>15609</v>
      </c>
      <c r="AM60" s="58"/>
      <c r="AN60" s="56" t="s">
        <v>15610</v>
      </c>
      <c r="AO60" s="58"/>
      <c r="AP60" s="63">
        <v>45828.6645601852</v>
      </c>
      <c r="AQ60" s="56" t="s">
        <v>15611</v>
      </c>
      <c r="AR60" s="61" t="s">
        <v>15448</v>
      </c>
      <c r="AS60" s="57" t="s">
        <v>14184</v>
      </c>
      <c r="AT60" s="56" t="s">
        <v>15177</v>
      </c>
      <c r="AU60" s="56" t="s">
        <v>15612</v>
      </c>
      <c r="AV60" s="58"/>
      <c r="AW60" s="64">
        <v>45720.7141898148</v>
      </c>
      <c r="AX60" s="56" t="s">
        <v>15609</v>
      </c>
      <c r="AY60" s="56" t="s">
        <v>15179</v>
      </c>
      <c r="AZ60" s="58"/>
      <c r="BA60" s="58"/>
      <c r="BB60" s="58"/>
      <c r="BC60" s="56" t="s">
        <v>2148</v>
      </c>
      <c r="BD60" s="56" t="s">
        <v>15197</v>
      </c>
      <c r="BE60" s="56" t="s">
        <v>15613</v>
      </c>
      <c r="BF60" s="56" t="s">
        <v>15181</v>
      </c>
      <c r="BG60" s="58"/>
      <c r="BH60" s="58"/>
      <c r="BI60" s="57" t="s">
        <v>2801</v>
      </c>
      <c r="BJ60" s="58"/>
      <c r="BK60" s="58"/>
      <c r="BL60" s="66">
        <v>3456236</v>
      </c>
      <c r="BM60" s="56" t="s">
        <v>15614</v>
      </c>
      <c r="BN60" s="58"/>
      <c r="BO60" s="67">
        <v>152.58</v>
      </c>
      <c r="BP60" s="56" t="s">
        <v>15450</v>
      </c>
      <c r="BQ60" s="58"/>
      <c r="BR60" s="56" t="s">
        <v>15615</v>
      </c>
      <c r="BS60" s="56" t="s">
        <v>1285</v>
      </c>
      <c r="BT60" s="58"/>
      <c r="BU60" s="56" t="s">
        <v>15611</v>
      </c>
      <c r="BV60" s="58"/>
      <c r="BW60" s="58"/>
      <c r="BX60" s="67">
        <v>152.58</v>
      </c>
      <c r="BY60" s="56" t="s">
        <v>1285</v>
      </c>
      <c r="BZ60" s="58"/>
      <c r="CA60" s="58"/>
      <c r="CB60" s="58"/>
      <c r="CC60" s="58"/>
      <c r="CD60" s="58"/>
    </row>
    <row r="61" ht="108" spans="1:82">
      <c r="A61" s="56" t="s">
        <v>15639</v>
      </c>
      <c r="B61" s="58"/>
      <c r="C61" s="57" t="s">
        <v>15604</v>
      </c>
      <c r="D61" s="58"/>
      <c r="E61" s="57" t="s">
        <v>15158</v>
      </c>
      <c r="F61" s="57" t="s">
        <v>15605</v>
      </c>
      <c r="G61" s="57" t="s">
        <v>15160</v>
      </c>
      <c r="H61" s="56" t="s">
        <v>2965</v>
      </c>
      <c r="I61" s="60">
        <v>12711.75</v>
      </c>
      <c r="J61" s="57" t="s">
        <v>1285</v>
      </c>
      <c r="K61" s="57" t="s">
        <v>15162</v>
      </c>
      <c r="L61" s="57" t="s">
        <v>15163</v>
      </c>
      <c r="M61" s="61" t="s">
        <v>14312</v>
      </c>
      <c r="N61" s="62" t="s">
        <v>15331</v>
      </c>
      <c r="O61" s="57" t="s">
        <v>15165</v>
      </c>
      <c r="P61" s="57" t="s">
        <v>15166</v>
      </c>
      <c r="Q61" s="57" t="s">
        <v>2965</v>
      </c>
      <c r="R61" s="57" t="s">
        <v>15606</v>
      </c>
      <c r="S61" s="57" t="s">
        <v>15607</v>
      </c>
      <c r="T61" s="57" t="s">
        <v>15190</v>
      </c>
      <c r="U61" s="57" t="s">
        <v>14184</v>
      </c>
      <c r="V61" s="56" t="s">
        <v>14153</v>
      </c>
      <c r="W61" s="58"/>
      <c r="X61" s="57" t="s">
        <v>15608</v>
      </c>
      <c r="Y61" s="57" t="s">
        <v>15170</v>
      </c>
      <c r="Z61" s="61" t="s">
        <v>15465</v>
      </c>
      <c r="AA61" s="61" t="s">
        <v>14312</v>
      </c>
      <c r="AB61" s="58"/>
      <c r="AC61" s="57" t="s">
        <v>15172</v>
      </c>
      <c r="AD61" s="58"/>
      <c r="AE61" s="58"/>
      <c r="AF61" s="58"/>
      <c r="AG61" s="58"/>
      <c r="AH61" s="58"/>
      <c r="AI61" s="58"/>
      <c r="AJ61" s="58"/>
      <c r="AK61" s="56" t="s">
        <v>1285</v>
      </c>
      <c r="AL61" s="56" t="s">
        <v>15609</v>
      </c>
      <c r="AM61" s="58"/>
      <c r="AN61" s="56" t="s">
        <v>15610</v>
      </c>
      <c r="AO61" s="58"/>
      <c r="AP61" s="63">
        <v>45828.6645601852</v>
      </c>
      <c r="AQ61" s="56" t="s">
        <v>15611</v>
      </c>
      <c r="AR61" s="61" t="s">
        <v>15448</v>
      </c>
      <c r="AS61" s="57" t="s">
        <v>14184</v>
      </c>
      <c r="AT61" s="56" t="s">
        <v>15177</v>
      </c>
      <c r="AU61" s="56" t="s">
        <v>15612</v>
      </c>
      <c r="AV61" s="58"/>
      <c r="AW61" s="64">
        <v>45720.7141898148</v>
      </c>
      <c r="AX61" s="56" t="s">
        <v>15609</v>
      </c>
      <c r="AY61" s="56" t="s">
        <v>15179</v>
      </c>
      <c r="AZ61" s="58"/>
      <c r="BA61" s="58"/>
      <c r="BB61" s="58"/>
      <c r="BC61" s="56" t="s">
        <v>2148</v>
      </c>
      <c r="BD61" s="56" t="s">
        <v>15197</v>
      </c>
      <c r="BE61" s="56" t="s">
        <v>15613</v>
      </c>
      <c r="BF61" s="56" t="s">
        <v>15181</v>
      </c>
      <c r="BG61" s="58"/>
      <c r="BH61" s="58"/>
      <c r="BI61" s="57" t="s">
        <v>2801</v>
      </c>
      <c r="BJ61" s="58"/>
      <c r="BK61" s="58"/>
      <c r="BL61" s="66">
        <v>3456226</v>
      </c>
      <c r="BM61" s="56" t="s">
        <v>15614</v>
      </c>
      <c r="BN61" s="58"/>
      <c r="BO61" s="67">
        <v>60</v>
      </c>
      <c r="BP61" s="56" t="s">
        <v>15450</v>
      </c>
      <c r="BQ61" s="58"/>
      <c r="BR61" s="56" t="s">
        <v>15615</v>
      </c>
      <c r="BS61" s="56" t="s">
        <v>1285</v>
      </c>
      <c r="BT61" s="58"/>
      <c r="BU61" s="56" t="s">
        <v>15611</v>
      </c>
      <c r="BV61" s="58"/>
      <c r="BW61" s="58"/>
      <c r="BX61" s="67">
        <v>60</v>
      </c>
      <c r="BY61" s="56" t="s">
        <v>1285</v>
      </c>
      <c r="BZ61" s="58"/>
      <c r="CA61" s="58"/>
      <c r="CB61" s="58"/>
      <c r="CC61" s="58"/>
      <c r="CD61" s="58"/>
    </row>
    <row r="62" ht="108" spans="1:82">
      <c r="A62" s="56" t="s">
        <v>15640</v>
      </c>
      <c r="B62" s="58"/>
      <c r="C62" s="57" t="s">
        <v>15604</v>
      </c>
      <c r="D62" s="58"/>
      <c r="E62" s="57" t="s">
        <v>15158</v>
      </c>
      <c r="F62" s="57" t="s">
        <v>15605</v>
      </c>
      <c r="G62" s="57" t="s">
        <v>15160</v>
      </c>
      <c r="H62" s="56" t="s">
        <v>2965</v>
      </c>
      <c r="I62" s="60">
        <v>12711.75</v>
      </c>
      <c r="J62" s="57" t="s">
        <v>1285</v>
      </c>
      <c r="K62" s="57" t="s">
        <v>15162</v>
      </c>
      <c r="L62" s="57" t="s">
        <v>15163</v>
      </c>
      <c r="M62" s="61" t="s">
        <v>14312</v>
      </c>
      <c r="N62" s="62" t="s">
        <v>15331</v>
      </c>
      <c r="O62" s="57" t="s">
        <v>15165</v>
      </c>
      <c r="P62" s="57" t="s">
        <v>15166</v>
      </c>
      <c r="Q62" s="57" t="s">
        <v>2965</v>
      </c>
      <c r="R62" s="57" t="s">
        <v>15606</v>
      </c>
      <c r="S62" s="57" t="s">
        <v>15607</v>
      </c>
      <c r="T62" s="57" t="s">
        <v>15190</v>
      </c>
      <c r="U62" s="57" t="s">
        <v>14184</v>
      </c>
      <c r="V62" s="56" t="s">
        <v>14153</v>
      </c>
      <c r="W62" s="58"/>
      <c r="X62" s="57" t="s">
        <v>15608</v>
      </c>
      <c r="Y62" s="57" t="s">
        <v>15170</v>
      </c>
      <c r="Z62" s="61" t="s">
        <v>15465</v>
      </c>
      <c r="AA62" s="61" t="s">
        <v>14312</v>
      </c>
      <c r="AB62" s="58"/>
      <c r="AC62" s="57" t="s">
        <v>15172</v>
      </c>
      <c r="AD62" s="58"/>
      <c r="AE62" s="58"/>
      <c r="AF62" s="58"/>
      <c r="AG62" s="58"/>
      <c r="AH62" s="58"/>
      <c r="AI62" s="58"/>
      <c r="AJ62" s="58"/>
      <c r="AK62" s="56" t="s">
        <v>1285</v>
      </c>
      <c r="AL62" s="56" t="s">
        <v>15609</v>
      </c>
      <c r="AM62" s="58"/>
      <c r="AN62" s="56" t="s">
        <v>15610</v>
      </c>
      <c r="AO62" s="58"/>
      <c r="AP62" s="63">
        <v>45828.6645601852</v>
      </c>
      <c r="AQ62" s="56" t="s">
        <v>15611</v>
      </c>
      <c r="AR62" s="61" t="s">
        <v>15448</v>
      </c>
      <c r="AS62" s="57" t="s">
        <v>14184</v>
      </c>
      <c r="AT62" s="56" t="s">
        <v>15177</v>
      </c>
      <c r="AU62" s="56" t="s">
        <v>15612</v>
      </c>
      <c r="AV62" s="58"/>
      <c r="AW62" s="64">
        <v>45720.7141898148</v>
      </c>
      <c r="AX62" s="56" t="s">
        <v>15609</v>
      </c>
      <c r="AY62" s="56" t="s">
        <v>15179</v>
      </c>
      <c r="AZ62" s="58"/>
      <c r="BA62" s="58"/>
      <c r="BB62" s="58"/>
      <c r="BC62" s="56" t="s">
        <v>15637</v>
      </c>
      <c r="BD62" s="56" t="s">
        <v>15197</v>
      </c>
      <c r="BE62" s="56" t="s">
        <v>15613</v>
      </c>
      <c r="BF62" s="56" t="s">
        <v>15181</v>
      </c>
      <c r="BG62" s="58"/>
      <c r="BH62" s="58"/>
      <c r="BI62" s="57" t="s">
        <v>2801</v>
      </c>
      <c r="BJ62" s="58"/>
      <c r="BK62" s="58"/>
      <c r="BL62" s="66">
        <v>3456217</v>
      </c>
      <c r="BM62" s="56" t="s">
        <v>15614</v>
      </c>
      <c r="BN62" s="58"/>
      <c r="BO62" s="67">
        <v>550</v>
      </c>
      <c r="BP62" s="56" t="s">
        <v>15450</v>
      </c>
      <c r="BQ62" s="58"/>
      <c r="BR62" s="56" t="s">
        <v>15615</v>
      </c>
      <c r="BS62" s="56" t="s">
        <v>1285</v>
      </c>
      <c r="BT62" s="58"/>
      <c r="BU62" s="56" t="s">
        <v>15611</v>
      </c>
      <c r="BV62" s="58"/>
      <c r="BW62" s="58"/>
      <c r="BX62" s="67">
        <v>550</v>
      </c>
      <c r="BY62" s="56" t="s">
        <v>1285</v>
      </c>
      <c r="BZ62" s="58"/>
      <c r="CA62" s="58"/>
      <c r="CB62" s="58"/>
      <c r="CC62" s="58"/>
      <c r="CD62" s="58"/>
    </row>
    <row r="63" ht="108" spans="1:82">
      <c r="A63" s="56" t="s">
        <v>15641</v>
      </c>
      <c r="B63" s="58"/>
      <c r="C63" s="57" t="s">
        <v>15604</v>
      </c>
      <c r="D63" s="58"/>
      <c r="E63" s="57" t="s">
        <v>15158</v>
      </c>
      <c r="F63" s="57" t="s">
        <v>15605</v>
      </c>
      <c r="G63" s="57" t="s">
        <v>15160</v>
      </c>
      <c r="H63" s="56" t="s">
        <v>2965</v>
      </c>
      <c r="I63" s="60">
        <v>12711.75</v>
      </c>
      <c r="J63" s="57" t="s">
        <v>1285</v>
      </c>
      <c r="K63" s="57" t="s">
        <v>15162</v>
      </c>
      <c r="L63" s="57" t="s">
        <v>15163</v>
      </c>
      <c r="M63" s="61" t="s">
        <v>14312</v>
      </c>
      <c r="N63" s="62" t="s">
        <v>15331</v>
      </c>
      <c r="O63" s="57" t="s">
        <v>15165</v>
      </c>
      <c r="P63" s="57" t="s">
        <v>15166</v>
      </c>
      <c r="Q63" s="57" t="s">
        <v>2965</v>
      </c>
      <c r="R63" s="57" t="s">
        <v>15606</v>
      </c>
      <c r="S63" s="57" t="s">
        <v>15607</v>
      </c>
      <c r="T63" s="57" t="s">
        <v>15190</v>
      </c>
      <c r="U63" s="57" t="s">
        <v>14184</v>
      </c>
      <c r="V63" s="56" t="s">
        <v>14153</v>
      </c>
      <c r="W63" s="58"/>
      <c r="X63" s="57" t="s">
        <v>15608</v>
      </c>
      <c r="Y63" s="57" t="s">
        <v>15170</v>
      </c>
      <c r="Z63" s="61" t="s">
        <v>15465</v>
      </c>
      <c r="AA63" s="61" t="s">
        <v>14312</v>
      </c>
      <c r="AB63" s="58"/>
      <c r="AC63" s="57" t="s">
        <v>15172</v>
      </c>
      <c r="AD63" s="58"/>
      <c r="AE63" s="58"/>
      <c r="AF63" s="58"/>
      <c r="AG63" s="58"/>
      <c r="AH63" s="58"/>
      <c r="AI63" s="58"/>
      <c r="AJ63" s="58"/>
      <c r="AK63" s="56" t="s">
        <v>1285</v>
      </c>
      <c r="AL63" s="56" t="s">
        <v>15609</v>
      </c>
      <c r="AM63" s="58"/>
      <c r="AN63" s="56" t="s">
        <v>15610</v>
      </c>
      <c r="AO63" s="58"/>
      <c r="AP63" s="63">
        <v>45828.6645601852</v>
      </c>
      <c r="AQ63" s="56" t="s">
        <v>15611</v>
      </c>
      <c r="AR63" s="61" t="s">
        <v>15448</v>
      </c>
      <c r="AS63" s="57" t="s">
        <v>14184</v>
      </c>
      <c r="AT63" s="56" t="s">
        <v>15177</v>
      </c>
      <c r="AU63" s="56" t="s">
        <v>15612</v>
      </c>
      <c r="AV63" s="58"/>
      <c r="AW63" s="64">
        <v>45720.7141898148</v>
      </c>
      <c r="AX63" s="56" t="s">
        <v>15609</v>
      </c>
      <c r="AY63" s="56" t="s">
        <v>15179</v>
      </c>
      <c r="AZ63" s="58"/>
      <c r="BA63" s="58"/>
      <c r="BB63" s="58"/>
      <c r="BC63" s="56" t="s">
        <v>15637</v>
      </c>
      <c r="BD63" s="56" t="s">
        <v>15197</v>
      </c>
      <c r="BE63" s="56" t="s">
        <v>15613</v>
      </c>
      <c r="BF63" s="56" t="s">
        <v>15181</v>
      </c>
      <c r="BG63" s="58"/>
      <c r="BH63" s="58"/>
      <c r="BI63" s="57" t="s">
        <v>2801</v>
      </c>
      <c r="BJ63" s="58"/>
      <c r="BK63" s="58"/>
      <c r="BL63" s="66">
        <v>3456215</v>
      </c>
      <c r="BM63" s="56" t="s">
        <v>15614</v>
      </c>
      <c r="BN63" s="58"/>
      <c r="BO63" s="67">
        <v>267.2</v>
      </c>
      <c r="BP63" s="56" t="s">
        <v>15450</v>
      </c>
      <c r="BQ63" s="58"/>
      <c r="BR63" s="56" t="s">
        <v>15615</v>
      </c>
      <c r="BS63" s="56" t="s">
        <v>1285</v>
      </c>
      <c r="BT63" s="58"/>
      <c r="BU63" s="56" t="s">
        <v>15611</v>
      </c>
      <c r="BV63" s="58"/>
      <c r="BW63" s="58"/>
      <c r="BX63" s="67">
        <v>267.2</v>
      </c>
      <c r="BY63" s="56" t="s">
        <v>1285</v>
      </c>
      <c r="BZ63" s="58"/>
      <c r="CA63" s="58"/>
      <c r="CB63" s="58"/>
      <c r="CC63" s="58"/>
      <c r="CD63" s="58"/>
    </row>
    <row r="64" ht="108" spans="1:82">
      <c r="A64" s="56" t="s">
        <v>15642</v>
      </c>
      <c r="B64" s="58"/>
      <c r="C64" s="57" t="s">
        <v>15604</v>
      </c>
      <c r="D64" s="58"/>
      <c r="E64" s="57" t="s">
        <v>15158</v>
      </c>
      <c r="F64" s="57" t="s">
        <v>15605</v>
      </c>
      <c r="G64" s="57" t="s">
        <v>15160</v>
      </c>
      <c r="H64" s="56" t="s">
        <v>2965</v>
      </c>
      <c r="I64" s="60">
        <v>12711.75</v>
      </c>
      <c r="J64" s="57" t="s">
        <v>1285</v>
      </c>
      <c r="K64" s="57" t="s">
        <v>15162</v>
      </c>
      <c r="L64" s="57" t="s">
        <v>15163</v>
      </c>
      <c r="M64" s="61" t="s">
        <v>14312</v>
      </c>
      <c r="N64" s="62" t="s">
        <v>15331</v>
      </c>
      <c r="O64" s="57" t="s">
        <v>15165</v>
      </c>
      <c r="P64" s="57" t="s">
        <v>15166</v>
      </c>
      <c r="Q64" s="57" t="s">
        <v>2965</v>
      </c>
      <c r="R64" s="57" t="s">
        <v>15606</v>
      </c>
      <c r="S64" s="57" t="s">
        <v>15607</v>
      </c>
      <c r="T64" s="57" t="s">
        <v>15190</v>
      </c>
      <c r="U64" s="57" t="s">
        <v>14184</v>
      </c>
      <c r="V64" s="56" t="s">
        <v>14153</v>
      </c>
      <c r="W64" s="58"/>
      <c r="X64" s="57" t="s">
        <v>15608</v>
      </c>
      <c r="Y64" s="57" t="s">
        <v>15170</v>
      </c>
      <c r="Z64" s="61" t="s">
        <v>15465</v>
      </c>
      <c r="AA64" s="61" t="s">
        <v>14312</v>
      </c>
      <c r="AB64" s="58"/>
      <c r="AC64" s="57" t="s">
        <v>15172</v>
      </c>
      <c r="AD64" s="58"/>
      <c r="AE64" s="58"/>
      <c r="AF64" s="58"/>
      <c r="AG64" s="58"/>
      <c r="AH64" s="58"/>
      <c r="AI64" s="58"/>
      <c r="AJ64" s="58"/>
      <c r="AK64" s="56" t="s">
        <v>1285</v>
      </c>
      <c r="AL64" s="56" t="s">
        <v>15609</v>
      </c>
      <c r="AM64" s="58"/>
      <c r="AN64" s="56" t="s">
        <v>15610</v>
      </c>
      <c r="AO64" s="58"/>
      <c r="AP64" s="63">
        <v>45828.6645601852</v>
      </c>
      <c r="AQ64" s="56" t="s">
        <v>15611</v>
      </c>
      <c r="AR64" s="61" t="s">
        <v>15448</v>
      </c>
      <c r="AS64" s="57" t="s">
        <v>14184</v>
      </c>
      <c r="AT64" s="56" t="s">
        <v>15177</v>
      </c>
      <c r="AU64" s="56" t="s">
        <v>15612</v>
      </c>
      <c r="AV64" s="58"/>
      <c r="AW64" s="64">
        <v>45720.7141898148</v>
      </c>
      <c r="AX64" s="56" t="s">
        <v>15609</v>
      </c>
      <c r="AY64" s="56" t="s">
        <v>15179</v>
      </c>
      <c r="AZ64" s="58"/>
      <c r="BA64" s="58"/>
      <c r="BB64" s="58"/>
      <c r="BC64" s="56" t="s">
        <v>2148</v>
      </c>
      <c r="BD64" s="56" t="s">
        <v>15197</v>
      </c>
      <c r="BE64" s="56" t="s">
        <v>15613</v>
      </c>
      <c r="BF64" s="56" t="s">
        <v>15181</v>
      </c>
      <c r="BG64" s="58"/>
      <c r="BH64" s="58"/>
      <c r="BI64" s="57" t="s">
        <v>2801</v>
      </c>
      <c r="BJ64" s="58"/>
      <c r="BK64" s="58"/>
      <c r="BL64" s="66">
        <v>3456216</v>
      </c>
      <c r="BM64" s="56" t="s">
        <v>15614</v>
      </c>
      <c r="BN64" s="58"/>
      <c r="BO64" s="67">
        <v>47.95</v>
      </c>
      <c r="BP64" s="56" t="s">
        <v>15450</v>
      </c>
      <c r="BQ64" s="58"/>
      <c r="BR64" s="56" t="s">
        <v>15615</v>
      </c>
      <c r="BS64" s="56" t="s">
        <v>1285</v>
      </c>
      <c r="BT64" s="58"/>
      <c r="BU64" s="56" t="s">
        <v>15611</v>
      </c>
      <c r="BV64" s="58"/>
      <c r="BW64" s="58"/>
      <c r="BX64" s="67">
        <v>47.95</v>
      </c>
      <c r="BY64" s="56" t="s">
        <v>1285</v>
      </c>
      <c r="BZ64" s="58"/>
      <c r="CA64" s="58"/>
      <c r="CB64" s="58"/>
      <c r="CC64" s="58"/>
      <c r="CD64" s="58"/>
    </row>
    <row r="65" ht="108" spans="1:82">
      <c r="A65" s="56" t="s">
        <v>15643</v>
      </c>
      <c r="B65" s="58"/>
      <c r="C65" s="57" t="s">
        <v>15604</v>
      </c>
      <c r="D65" s="58"/>
      <c r="E65" s="57" t="s">
        <v>15158</v>
      </c>
      <c r="F65" s="57" t="s">
        <v>15605</v>
      </c>
      <c r="G65" s="57" t="s">
        <v>15160</v>
      </c>
      <c r="H65" s="56" t="s">
        <v>2965</v>
      </c>
      <c r="I65" s="60">
        <v>12711.75</v>
      </c>
      <c r="J65" s="57" t="s">
        <v>1285</v>
      </c>
      <c r="K65" s="57" t="s">
        <v>15162</v>
      </c>
      <c r="L65" s="57" t="s">
        <v>15163</v>
      </c>
      <c r="M65" s="61" t="s">
        <v>14312</v>
      </c>
      <c r="N65" s="62" t="s">
        <v>15331</v>
      </c>
      <c r="O65" s="57" t="s">
        <v>15165</v>
      </c>
      <c r="P65" s="57" t="s">
        <v>15166</v>
      </c>
      <c r="Q65" s="57" t="s">
        <v>2965</v>
      </c>
      <c r="R65" s="57" t="s">
        <v>15606</v>
      </c>
      <c r="S65" s="57" t="s">
        <v>15607</v>
      </c>
      <c r="T65" s="57" t="s">
        <v>15190</v>
      </c>
      <c r="U65" s="57" t="s">
        <v>14184</v>
      </c>
      <c r="V65" s="56" t="s">
        <v>14153</v>
      </c>
      <c r="W65" s="58"/>
      <c r="X65" s="57" t="s">
        <v>15608</v>
      </c>
      <c r="Y65" s="57" t="s">
        <v>15170</v>
      </c>
      <c r="Z65" s="61" t="s">
        <v>15465</v>
      </c>
      <c r="AA65" s="61" t="s">
        <v>14312</v>
      </c>
      <c r="AB65" s="58"/>
      <c r="AC65" s="57" t="s">
        <v>15172</v>
      </c>
      <c r="AD65" s="58"/>
      <c r="AE65" s="58"/>
      <c r="AF65" s="58"/>
      <c r="AG65" s="58"/>
      <c r="AH65" s="58"/>
      <c r="AI65" s="58"/>
      <c r="AJ65" s="58"/>
      <c r="AK65" s="56" t="s">
        <v>1285</v>
      </c>
      <c r="AL65" s="56" t="s">
        <v>15609</v>
      </c>
      <c r="AM65" s="58"/>
      <c r="AN65" s="56" t="s">
        <v>15610</v>
      </c>
      <c r="AO65" s="58"/>
      <c r="AP65" s="63">
        <v>45828.6645601852</v>
      </c>
      <c r="AQ65" s="56" t="s">
        <v>15611</v>
      </c>
      <c r="AR65" s="61" t="s">
        <v>15448</v>
      </c>
      <c r="AS65" s="57" t="s">
        <v>14184</v>
      </c>
      <c r="AT65" s="56" t="s">
        <v>15177</v>
      </c>
      <c r="AU65" s="56" t="s">
        <v>15612</v>
      </c>
      <c r="AV65" s="58"/>
      <c r="AW65" s="64">
        <v>45720.7141898148</v>
      </c>
      <c r="AX65" s="56" t="s">
        <v>15609</v>
      </c>
      <c r="AY65" s="56" t="s">
        <v>15179</v>
      </c>
      <c r="AZ65" s="58"/>
      <c r="BA65" s="58"/>
      <c r="BB65" s="58"/>
      <c r="BC65" s="56" t="s">
        <v>2136</v>
      </c>
      <c r="BD65" s="56" t="s">
        <v>15197</v>
      </c>
      <c r="BE65" s="56" t="s">
        <v>15613</v>
      </c>
      <c r="BF65" s="56" t="s">
        <v>15181</v>
      </c>
      <c r="BG65" s="58"/>
      <c r="BH65" s="58"/>
      <c r="BI65" s="57" t="s">
        <v>2801</v>
      </c>
      <c r="BJ65" s="58"/>
      <c r="BK65" s="58"/>
      <c r="BL65" s="66">
        <v>3456228</v>
      </c>
      <c r="BM65" s="56" t="s">
        <v>15614</v>
      </c>
      <c r="BN65" s="58"/>
      <c r="BO65" s="67">
        <v>20</v>
      </c>
      <c r="BP65" s="56" t="s">
        <v>15450</v>
      </c>
      <c r="BQ65" s="58"/>
      <c r="BR65" s="56" t="s">
        <v>15615</v>
      </c>
      <c r="BS65" s="56" t="s">
        <v>1285</v>
      </c>
      <c r="BT65" s="58"/>
      <c r="BU65" s="56" t="s">
        <v>15611</v>
      </c>
      <c r="BV65" s="58"/>
      <c r="BW65" s="58"/>
      <c r="BX65" s="67">
        <v>20</v>
      </c>
      <c r="BY65" s="56" t="s">
        <v>1285</v>
      </c>
      <c r="BZ65" s="58"/>
      <c r="CA65" s="58"/>
      <c r="CB65" s="58"/>
      <c r="CC65" s="58"/>
      <c r="CD65" s="58"/>
    </row>
    <row r="66" ht="108" spans="1:82">
      <c r="A66" s="56" t="s">
        <v>15644</v>
      </c>
      <c r="B66" s="58"/>
      <c r="C66" s="57" t="s">
        <v>15604</v>
      </c>
      <c r="D66" s="58"/>
      <c r="E66" s="57" t="s">
        <v>15158</v>
      </c>
      <c r="F66" s="57" t="s">
        <v>15605</v>
      </c>
      <c r="G66" s="57" t="s">
        <v>15160</v>
      </c>
      <c r="H66" s="56" t="s">
        <v>2965</v>
      </c>
      <c r="I66" s="60">
        <v>12711.75</v>
      </c>
      <c r="J66" s="57" t="s">
        <v>1285</v>
      </c>
      <c r="K66" s="57" t="s">
        <v>15162</v>
      </c>
      <c r="L66" s="57" t="s">
        <v>15163</v>
      </c>
      <c r="M66" s="61" t="s">
        <v>14312</v>
      </c>
      <c r="N66" s="62" t="s">
        <v>15331</v>
      </c>
      <c r="O66" s="57" t="s">
        <v>15165</v>
      </c>
      <c r="P66" s="57" t="s">
        <v>15166</v>
      </c>
      <c r="Q66" s="57" t="s">
        <v>2965</v>
      </c>
      <c r="R66" s="57" t="s">
        <v>15606</v>
      </c>
      <c r="S66" s="57" t="s">
        <v>15607</v>
      </c>
      <c r="T66" s="57" t="s">
        <v>15190</v>
      </c>
      <c r="U66" s="57" t="s">
        <v>14184</v>
      </c>
      <c r="V66" s="56" t="s">
        <v>14153</v>
      </c>
      <c r="W66" s="58"/>
      <c r="X66" s="57" t="s">
        <v>15608</v>
      </c>
      <c r="Y66" s="57" t="s">
        <v>15170</v>
      </c>
      <c r="Z66" s="61" t="s">
        <v>15465</v>
      </c>
      <c r="AA66" s="61" t="s">
        <v>14312</v>
      </c>
      <c r="AB66" s="58"/>
      <c r="AC66" s="57" t="s">
        <v>15172</v>
      </c>
      <c r="AD66" s="58"/>
      <c r="AE66" s="58"/>
      <c r="AF66" s="58"/>
      <c r="AG66" s="58"/>
      <c r="AH66" s="58"/>
      <c r="AI66" s="58"/>
      <c r="AJ66" s="58"/>
      <c r="AK66" s="56" t="s">
        <v>1285</v>
      </c>
      <c r="AL66" s="56" t="s">
        <v>15609</v>
      </c>
      <c r="AM66" s="58"/>
      <c r="AN66" s="56" t="s">
        <v>15610</v>
      </c>
      <c r="AO66" s="58"/>
      <c r="AP66" s="63">
        <v>45828.6645601852</v>
      </c>
      <c r="AQ66" s="56" t="s">
        <v>15611</v>
      </c>
      <c r="AR66" s="61" t="s">
        <v>15448</v>
      </c>
      <c r="AS66" s="57" t="s">
        <v>14184</v>
      </c>
      <c r="AT66" s="56" t="s">
        <v>15177</v>
      </c>
      <c r="AU66" s="56" t="s">
        <v>15612</v>
      </c>
      <c r="AV66" s="58"/>
      <c r="AW66" s="64">
        <v>45720.7141898148</v>
      </c>
      <c r="AX66" s="56" t="s">
        <v>15609</v>
      </c>
      <c r="AY66" s="56" t="s">
        <v>15179</v>
      </c>
      <c r="AZ66" s="58"/>
      <c r="BA66" s="58"/>
      <c r="BB66" s="58"/>
      <c r="BC66" s="56" t="s">
        <v>2136</v>
      </c>
      <c r="BD66" s="56" t="s">
        <v>15197</v>
      </c>
      <c r="BE66" s="56" t="s">
        <v>15613</v>
      </c>
      <c r="BF66" s="56" t="s">
        <v>15181</v>
      </c>
      <c r="BG66" s="58"/>
      <c r="BH66" s="58"/>
      <c r="BI66" s="57" t="s">
        <v>2801</v>
      </c>
      <c r="BJ66" s="58"/>
      <c r="BK66" s="58"/>
      <c r="BL66" s="66">
        <v>3456224</v>
      </c>
      <c r="BM66" s="56" t="s">
        <v>15614</v>
      </c>
      <c r="BN66" s="58"/>
      <c r="BO66" s="67">
        <v>105.5</v>
      </c>
      <c r="BP66" s="56" t="s">
        <v>15450</v>
      </c>
      <c r="BQ66" s="58"/>
      <c r="BR66" s="56" t="s">
        <v>15615</v>
      </c>
      <c r="BS66" s="56" t="s">
        <v>1285</v>
      </c>
      <c r="BT66" s="58"/>
      <c r="BU66" s="56" t="s">
        <v>15611</v>
      </c>
      <c r="BV66" s="58"/>
      <c r="BW66" s="58"/>
      <c r="BX66" s="67">
        <v>105.5</v>
      </c>
      <c r="BY66" s="56" t="s">
        <v>1285</v>
      </c>
      <c r="BZ66" s="58"/>
      <c r="CA66" s="58"/>
      <c r="CB66" s="58"/>
      <c r="CC66" s="58"/>
      <c r="CD66" s="58"/>
    </row>
    <row r="67" ht="108" spans="1:82">
      <c r="A67" s="56" t="s">
        <v>15645</v>
      </c>
      <c r="B67" s="58"/>
      <c r="C67" s="57" t="s">
        <v>15604</v>
      </c>
      <c r="D67" s="58"/>
      <c r="E67" s="57" t="s">
        <v>15158</v>
      </c>
      <c r="F67" s="57" t="s">
        <v>15605</v>
      </c>
      <c r="G67" s="57" t="s">
        <v>15160</v>
      </c>
      <c r="H67" s="56" t="s">
        <v>2965</v>
      </c>
      <c r="I67" s="60">
        <v>12711.75</v>
      </c>
      <c r="J67" s="57" t="s">
        <v>1285</v>
      </c>
      <c r="K67" s="57" t="s">
        <v>15162</v>
      </c>
      <c r="L67" s="57" t="s">
        <v>15163</v>
      </c>
      <c r="M67" s="61" t="s">
        <v>14312</v>
      </c>
      <c r="N67" s="62" t="s">
        <v>15331</v>
      </c>
      <c r="O67" s="57" t="s">
        <v>15165</v>
      </c>
      <c r="P67" s="57" t="s">
        <v>15166</v>
      </c>
      <c r="Q67" s="57" t="s">
        <v>2965</v>
      </c>
      <c r="R67" s="57" t="s">
        <v>15606</v>
      </c>
      <c r="S67" s="57" t="s">
        <v>15607</v>
      </c>
      <c r="T67" s="57" t="s">
        <v>15190</v>
      </c>
      <c r="U67" s="57" t="s">
        <v>14184</v>
      </c>
      <c r="V67" s="56" t="s">
        <v>14153</v>
      </c>
      <c r="W67" s="58"/>
      <c r="X67" s="57" t="s">
        <v>15608</v>
      </c>
      <c r="Y67" s="57" t="s">
        <v>15170</v>
      </c>
      <c r="Z67" s="61" t="s">
        <v>15465</v>
      </c>
      <c r="AA67" s="61" t="s">
        <v>14312</v>
      </c>
      <c r="AB67" s="58"/>
      <c r="AC67" s="57" t="s">
        <v>15172</v>
      </c>
      <c r="AD67" s="58"/>
      <c r="AE67" s="58"/>
      <c r="AF67" s="58"/>
      <c r="AG67" s="58"/>
      <c r="AH67" s="58"/>
      <c r="AI67" s="58"/>
      <c r="AJ67" s="58"/>
      <c r="AK67" s="56" t="s">
        <v>1285</v>
      </c>
      <c r="AL67" s="56" t="s">
        <v>15609</v>
      </c>
      <c r="AM67" s="58"/>
      <c r="AN67" s="56" t="s">
        <v>15610</v>
      </c>
      <c r="AO67" s="58"/>
      <c r="AP67" s="63">
        <v>45828.6645601852</v>
      </c>
      <c r="AQ67" s="56" t="s">
        <v>15611</v>
      </c>
      <c r="AR67" s="61" t="s">
        <v>15448</v>
      </c>
      <c r="AS67" s="57" t="s">
        <v>14184</v>
      </c>
      <c r="AT67" s="56" t="s">
        <v>15177</v>
      </c>
      <c r="AU67" s="56" t="s">
        <v>15612</v>
      </c>
      <c r="AV67" s="58"/>
      <c r="AW67" s="64">
        <v>45720.7141898148</v>
      </c>
      <c r="AX67" s="56" t="s">
        <v>15609</v>
      </c>
      <c r="AY67" s="56" t="s">
        <v>15179</v>
      </c>
      <c r="AZ67" s="58"/>
      <c r="BA67" s="58"/>
      <c r="BB67" s="58"/>
      <c r="BC67" s="56" t="s">
        <v>15637</v>
      </c>
      <c r="BD67" s="56" t="s">
        <v>15197</v>
      </c>
      <c r="BE67" s="56" t="s">
        <v>15613</v>
      </c>
      <c r="BF67" s="56" t="s">
        <v>15181</v>
      </c>
      <c r="BG67" s="58"/>
      <c r="BH67" s="58"/>
      <c r="BI67" s="57" t="s">
        <v>2801</v>
      </c>
      <c r="BJ67" s="58"/>
      <c r="BK67" s="58"/>
      <c r="BL67" s="66">
        <v>3456209</v>
      </c>
      <c r="BM67" s="56" t="s">
        <v>15614</v>
      </c>
      <c r="BN67" s="58"/>
      <c r="BO67" s="67">
        <v>99</v>
      </c>
      <c r="BP67" s="56" t="s">
        <v>15450</v>
      </c>
      <c r="BQ67" s="58"/>
      <c r="BR67" s="56" t="s">
        <v>15615</v>
      </c>
      <c r="BS67" s="56" t="s">
        <v>1285</v>
      </c>
      <c r="BT67" s="58"/>
      <c r="BU67" s="56" t="s">
        <v>15611</v>
      </c>
      <c r="BV67" s="58"/>
      <c r="BW67" s="58"/>
      <c r="BX67" s="67">
        <v>99</v>
      </c>
      <c r="BY67" s="56" t="s">
        <v>1285</v>
      </c>
      <c r="BZ67" s="58"/>
      <c r="CA67" s="58"/>
      <c r="CB67" s="58"/>
      <c r="CC67" s="58"/>
      <c r="CD67" s="58"/>
    </row>
    <row r="68" ht="108" spans="1:82">
      <c r="A68" s="56" t="s">
        <v>15646</v>
      </c>
      <c r="B68" s="58"/>
      <c r="C68" s="57" t="s">
        <v>15604</v>
      </c>
      <c r="D68" s="58"/>
      <c r="E68" s="57" t="s">
        <v>15158</v>
      </c>
      <c r="F68" s="57" t="s">
        <v>15605</v>
      </c>
      <c r="G68" s="57" t="s">
        <v>15160</v>
      </c>
      <c r="H68" s="56" t="s">
        <v>2965</v>
      </c>
      <c r="I68" s="60">
        <v>12711.75</v>
      </c>
      <c r="J68" s="57" t="s">
        <v>1285</v>
      </c>
      <c r="K68" s="57" t="s">
        <v>15162</v>
      </c>
      <c r="L68" s="57" t="s">
        <v>15163</v>
      </c>
      <c r="M68" s="61" t="s">
        <v>14312</v>
      </c>
      <c r="N68" s="62" t="s">
        <v>15331</v>
      </c>
      <c r="O68" s="57" t="s">
        <v>15165</v>
      </c>
      <c r="P68" s="57" t="s">
        <v>15166</v>
      </c>
      <c r="Q68" s="57" t="s">
        <v>2965</v>
      </c>
      <c r="R68" s="57" t="s">
        <v>15606</v>
      </c>
      <c r="S68" s="57" t="s">
        <v>15607</v>
      </c>
      <c r="T68" s="57" t="s">
        <v>15190</v>
      </c>
      <c r="U68" s="57" t="s">
        <v>14184</v>
      </c>
      <c r="V68" s="56" t="s">
        <v>14153</v>
      </c>
      <c r="W68" s="58"/>
      <c r="X68" s="57" t="s">
        <v>15608</v>
      </c>
      <c r="Y68" s="57" t="s">
        <v>15170</v>
      </c>
      <c r="Z68" s="61" t="s">
        <v>15465</v>
      </c>
      <c r="AA68" s="61" t="s">
        <v>14312</v>
      </c>
      <c r="AB68" s="58"/>
      <c r="AC68" s="57" t="s">
        <v>15172</v>
      </c>
      <c r="AD68" s="58"/>
      <c r="AE68" s="58"/>
      <c r="AF68" s="58"/>
      <c r="AG68" s="58"/>
      <c r="AH68" s="58"/>
      <c r="AI68" s="58"/>
      <c r="AJ68" s="58"/>
      <c r="AK68" s="56" t="s">
        <v>1285</v>
      </c>
      <c r="AL68" s="56" t="s">
        <v>15609</v>
      </c>
      <c r="AM68" s="58"/>
      <c r="AN68" s="56" t="s">
        <v>15610</v>
      </c>
      <c r="AO68" s="58"/>
      <c r="AP68" s="63">
        <v>45828.6645601852</v>
      </c>
      <c r="AQ68" s="56" t="s">
        <v>15611</v>
      </c>
      <c r="AR68" s="61" t="s">
        <v>15448</v>
      </c>
      <c r="AS68" s="57" t="s">
        <v>14184</v>
      </c>
      <c r="AT68" s="56" t="s">
        <v>15177</v>
      </c>
      <c r="AU68" s="56" t="s">
        <v>15612</v>
      </c>
      <c r="AV68" s="58"/>
      <c r="AW68" s="64">
        <v>45720.7141898148</v>
      </c>
      <c r="AX68" s="56" t="s">
        <v>15609</v>
      </c>
      <c r="AY68" s="56" t="s">
        <v>15179</v>
      </c>
      <c r="AZ68" s="58"/>
      <c r="BA68" s="58"/>
      <c r="BB68" s="58"/>
      <c r="BC68" s="56" t="s">
        <v>15619</v>
      </c>
      <c r="BD68" s="56" t="s">
        <v>15197</v>
      </c>
      <c r="BE68" s="56" t="s">
        <v>15613</v>
      </c>
      <c r="BF68" s="56" t="s">
        <v>15181</v>
      </c>
      <c r="BG68" s="58"/>
      <c r="BH68" s="58"/>
      <c r="BI68" s="57" t="s">
        <v>2801</v>
      </c>
      <c r="BJ68" s="58"/>
      <c r="BK68" s="58"/>
      <c r="BL68" s="66">
        <v>3456222</v>
      </c>
      <c r="BM68" s="56" t="s">
        <v>15614</v>
      </c>
      <c r="BN68" s="58"/>
      <c r="BO68" s="67">
        <v>38.4</v>
      </c>
      <c r="BP68" s="56" t="s">
        <v>15450</v>
      </c>
      <c r="BQ68" s="58"/>
      <c r="BR68" s="56" t="s">
        <v>15615</v>
      </c>
      <c r="BS68" s="56" t="s">
        <v>1285</v>
      </c>
      <c r="BT68" s="58"/>
      <c r="BU68" s="56" t="s">
        <v>15611</v>
      </c>
      <c r="BV68" s="58"/>
      <c r="BW68" s="58"/>
      <c r="BX68" s="67">
        <v>38.4</v>
      </c>
      <c r="BY68" s="56" t="s">
        <v>1285</v>
      </c>
      <c r="BZ68" s="58"/>
      <c r="CA68" s="58"/>
      <c r="CB68" s="58"/>
      <c r="CC68" s="58"/>
      <c r="CD68" s="58"/>
    </row>
    <row r="69" ht="108" spans="1:82">
      <c r="A69" s="56" t="s">
        <v>15647</v>
      </c>
      <c r="B69" s="58"/>
      <c r="C69" s="57" t="s">
        <v>15604</v>
      </c>
      <c r="D69" s="58"/>
      <c r="E69" s="57" t="s">
        <v>15158</v>
      </c>
      <c r="F69" s="57" t="s">
        <v>15605</v>
      </c>
      <c r="G69" s="57" t="s">
        <v>15160</v>
      </c>
      <c r="H69" s="56" t="s">
        <v>2965</v>
      </c>
      <c r="I69" s="60">
        <v>12711.75</v>
      </c>
      <c r="J69" s="57" t="s">
        <v>1285</v>
      </c>
      <c r="K69" s="57" t="s">
        <v>15162</v>
      </c>
      <c r="L69" s="57" t="s">
        <v>15163</v>
      </c>
      <c r="M69" s="61" t="s">
        <v>14312</v>
      </c>
      <c r="N69" s="62" t="s">
        <v>15331</v>
      </c>
      <c r="O69" s="57" t="s">
        <v>15165</v>
      </c>
      <c r="P69" s="57" t="s">
        <v>15166</v>
      </c>
      <c r="Q69" s="57" t="s">
        <v>2965</v>
      </c>
      <c r="R69" s="57" t="s">
        <v>15606</v>
      </c>
      <c r="S69" s="57" t="s">
        <v>15607</v>
      </c>
      <c r="T69" s="57" t="s">
        <v>15190</v>
      </c>
      <c r="U69" s="57" t="s">
        <v>14184</v>
      </c>
      <c r="V69" s="56" t="s">
        <v>14153</v>
      </c>
      <c r="W69" s="58"/>
      <c r="X69" s="57" t="s">
        <v>15608</v>
      </c>
      <c r="Y69" s="57" t="s">
        <v>15170</v>
      </c>
      <c r="Z69" s="61" t="s">
        <v>15465</v>
      </c>
      <c r="AA69" s="61" t="s">
        <v>14312</v>
      </c>
      <c r="AB69" s="58"/>
      <c r="AC69" s="57" t="s">
        <v>15172</v>
      </c>
      <c r="AD69" s="58"/>
      <c r="AE69" s="58"/>
      <c r="AF69" s="58"/>
      <c r="AG69" s="58"/>
      <c r="AH69" s="58"/>
      <c r="AI69" s="58"/>
      <c r="AJ69" s="58"/>
      <c r="AK69" s="56" t="s">
        <v>1285</v>
      </c>
      <c r="AL69" s="56" t="s">
        <v>15609</v>
      </c>
      <c r="AM69" s="58"/>
      <c r="AN69" s="56" t="s">
        <v>15610</v>
      </c>
      <c r="AO69" s="58"/>
      <c r="AP69" s="63">
        <v>45828.6645601852</v>
      </c>
      <c r="AQ69" s="56" t="s">
        <v>15611</v>
      </c>
      <c r="AR69" s="61" t="s">
        <v>15448</v>
      </c>
      <c r="AS69" s="57" t="s">
        <v>14184</v>
      </c>
      <c r="AT69" s="56" t="s">
        <v>15177</v>
      </c>
      <c r="AU69" s="56" t="s">
        <v>15612</v>
      </c>
      <c r="AV69" s="58"/>
      <c r="AW69" s="64">
        <v>45720.7141898148</v>
      </c>
      <c r="AX69" s="56" t="s">
        <v>15609</v>
      </c>
      <c r="AY69" s="56" t="s">
        <v>15179</v>
      </c>
      <c r="AZ69" s="58"/>
      <c r="BA69" s="58"/>
      <c r="BB69" s="58"/>
      <c r="BC69" s="56" t="s">
        <v>15637</v>
      </c>
      <c r="BD69" s="56" t="s">
        <v>15197</v>
      </c>
      <c r="BE69" s="56" t="s">
        <v>15613</v>
      </c>
      <c r="BF69" s="56" t="s">
        <v>15181</v>
      </c>
      <c r="BG69" s="58"/>
      <c r="BH69" s="58"/>
      <c r="BI69" s="57" t="s">
        <v>2801</v>
      </c>
      <c r="BJ69" s="58"/>
      <c r="BK69" s="58"/>
      <c r="BL69" s="66">
        <v>3456208</v>
      </c>
      <c r="BM69" s="56" t="s">
        <v>15614</v>
      </c>
      <c r="BN69" s="58"/>
      <c r="BO69" s="67">
        <v>47.88</v>
      </c>
      <c r="BP69" s="56" t="s">
        <v>15450</v>
      </c>
      <c r="BQ69" s="58"/>
      <c r="BR69" s="56" t="s">
        <v>15615</v>
      </c>
      <c r="BS69" s="56" t="s">
        <v>1285</v>
      </c>
      <c r="BT69" s="58"/>
      <c r="BU69" s="56" t="s">
        <v>15611</v>
      </c>
      <c r="BV69" s="58"/>
      <c r="BW69" s="58"/>
      <c r="BX69" s="67">
        <v>47.88</v>
      </c>
      <c r="BY69" s="56" t="s">
        <v>1285</v>
      </c>
      <c r="BZ69" s="58"/>
      <c r="CA69" s="58"/>
      <c r="CB69" s="58"/>
      <c r="CC69" s="58"/>
      <c r="CD69" s="58"/>
    </row>
    <row r="70" ht="108" spans="1:82">
      <c r="A70" s="56" t="s">
        <v>15648</v>
      </c>
      <c r="B70" s="58"/>
      <c r="C70" s="57" t="s">
        <v>15604</v>
      </c>
      <c r="D70" s="58"/>
      <c r="E70" s="57" t="s">
        <v>15158</v>
      </c>
      <c r="F70" s="57" t="s">
        <v>15605</v>
      </c>
      <c r="G70" s="57" t="s">
        <v>15160</v>
      </c>
      <c r="H70" s="56" t="s">
        <v>2965</v>
      </c>
      <c r="I70" s="60">
        <v>12711.75</v>
      </c>
      <c r="J70" s="57" t="s">
        <v>1285</v>
      </c>
      <c r="K70" s="57" t="s">
        <v>15162</v>
      </c>
      <c r="L70" s="57" t="s">
        <v>15163</v>
      </c>
      <c r="M70" s="61" t="s">
        <v>14312</v>
      </c>
      <c r="N70" s="62" t="s">
        <v>15331</v>
      </c>
      <c r="O70" s="57" t="s">
        <v>15165</v>
      </c>
      <c r="P70" s="57" t="s">
        <v>15166</v>
      </c>
      <c r="Q70" s="57" t="s">
        <v>2965</v>
      </c>
      <c r="R70" s="57" t="s">
        <v>15606</v>
      </c>
      <c r="S70" s="57" t="s">
        <v>15607</v>
      </c>
      <c r="T70" s="57" t="s">
        <v>15190</v>
      </c>
      <c r="U70" s="57" t="s">
        <v>14184</v>
      </c>
      <c r="V70" s="56" t="s">
        <v>14153</v>
      </c>
      <c r="W70" s="58"/>
      <c r="X70" s="57" t="s">
        <v>15608</v>
      </c>
      <c r="Y70" s="57" t="s">
        <v>15170</v>
      </c>
      <c r="Z70" s="61" t="s">
        <v>15465</v>
      </c>
      <c r="AA70" s="61" t="s">
        <v>14312</v>
      </c>
      <c r="AB70" s="58"/>
      <c r="AC70" s="57" t="s">
        <v>15172</v>
      </c>
      <c r="AD70" s="58"/>
      <c r="AE70" s="58"/>
      <c r="AF70" s="58"/>
      <c r="AG70" s="58"/>
      <c r="AH70" s="58"/>
      <c r="AI70" s="58"/>
      <c r="AJ70" s="58"/>
      <c r="AK70" s="56" t="s">
        <v>1285</v>
      </c>
      <c r="AL70" s="56" t="s">
        <v>15609</v>
      </c>
      <c r="AM70" s="58"/>
      <c r="AN70" s="56" t="s">
        <v>15610</v>
      </c>
      <c r="AO70" s="58"/>
      <c r="AP70" s="63">
        <v>45828.6645601852</v>
      </c>
      <c r="AQ70" s="56" t="s">
        <v>15611</v>
      </c>
      <c r="AR70" s="61" t="s">
        <v>15448</v>
      </c>
      <c r="AS70" s="57" t="s">
        <v>14184</v>
      </c>
      <c r="AT70" s="56" t="s">
        <v>15177</v>
      </c>
      <c r="AU70" s="56" t="s">
        <v>15612</v>
      </c>
      <c r="AV70" s="58"/>
      <c r="AW70" s="64">
        <v>45720.7141898148</v>
      </c>
      <c r="AX70" s="56" t="s">
        <v>15609</v>
      </c>
      <c r="AY70" s="56" t="s">
        <v>15179</v>
      </c>
      <c r="AZ70" s="58"/>
      <c r="BA70" s="58"/>
      <c r="BB70" s="58"/>
      <c r="BC70" s="56" t="s">
        <v>15213</v>
      </c>
      <c r="BD70" s="56" t="s">
        <v>15197</v>
      </c>
      <c r="BE70" s="56" t="s">
        <v>15613</v>
      </c>
      <c r="BF70" s="56" t="s">
        <v>15181</v>
      </c>
      <c r="BG70" s="58"/>
      <c r="BH70" s="58"/>
      <c r="BI70" s="57" t="s">
        <v>2801</v>
      </c>
      <c r="BJ70" s="58"/>
      <c r="BK70" s="58"/>
      <c r="BL70" s="66">
        <v>3456238</v>
      </c>
      <c r="BM70" s="56" t="s">
        <v>15614</v>
      </c>
      <c r="BN70" s="58"/>
      <c r="BO70" s="67">
        <v>2146.5</v>
      </c>
      <c r="BP70" s="56" t="s">
        <v>15450</v>
      </c>
      <c r="BQ70" s="58"/>
      <c r="BR70" s="56" t="s">
        <v>15615</v>
      </c>
      <c r="BS70" s="56" t="s">
        <v>1285</v>
      </c>
      <c r="BT70" s="58"/>
      <c r="BU70" s="56" t="s">
        <v>15611</v>
      </c>
      <c r="BV70" s="58"/>
      <c r="BW70" s="58"/>
      <c r="BX70" s="67">
        <v>2146.5</v>
      </c>
      <c r="BY70" s="56" t="s">
        <v>1285</v>
      </c>
      <c r="BZ70" s="58"/>
      <c r="CA70" s="58"/>
      <c r="CB70" s="58"/>
      <c r="CC70" s="58"/>
      <c r="CD70" s="58"/>
    </row>
    <row r="71" ht="108" spans="1:82">
      <c r="A71" s="56" t="s">
        <v>15649</v>
      </c>
      <c r="B71" s="58"/>
      <c r="C71" s="57" t="s">
        <v>15604</v>
      </c>
      <c r="D71" s="58"/>
      <c r="E71" s="57" t="s">
        <v>15158</v>
      </c>
      <c r="F71" s="57" t="s">
        <v>15605</v>
      </c>
      <c r="G71" s="57" t="s">
        <v>15160</v>
      </c>
      <c r="H71" s="56" t="s">
        <v>2965</v>
      </c>
      <c r="I71" s="60">
        <v>12711.75</v>
      </c>
      <c r="J71" s="57" t="s">
        <v>1285</v>
      </c>
      <c r="K71" s="57" t="s">
        <v>15162</v>
      </c>
      <c r="L71" s="57" t="s">
        <v>15163</v>
      </c>
      <c r="M71" s="61" t="s">
        <v>14312</v>
      </c>
      <c r="N71" s="62" t="s">
        <v>15331</v>
      </c>
      <c r="O71" s="57" t="s">
        <v>15165</v>
      </c>
      <c r="P71" s="57" t="s">
        <v>15166</v>
      </c>
      <c r="Q71" s="57" t="s">
        <v>2965</v>
      </c>
      <c r="R71" s="57" t="s">
        <v>15606</v>
      </c>
      <c r="S71" s="57" t="s">
        <v>15607</v>
      </c>
      <c r="T71" s="57" t="s">
        <v>15190</v>
      </c>
      <c r="U71" s="57" t="s">
        <v>14184</v>
      </c>
      <c r="V71" s="56" t="s">
        <v>14153</v>
      </c>
      <c r="W71" s="58"/>
      <c r="X71" s="57" t="s">
        <v>15608</v>
      </c>
      <c r="Y71" s="57" t="s">
        <v>15170</v>
      </c>
      <c r="Z71" s="61" t="s">
        <v>15465</v>
      </c>
      <c r="AA71" s="61" t="s">
        <v>14312</v>
      </c>
      <c r="AB71" s="58"/>
      <c r="AC71" s="57" t="s">
        <v>15172</v>
      </c>
      <c r="AD71" s="58"/>
      <c r="AE71" s="58"/>
      <c r="AF71" s="58"/>
      <c r="AG71" s="58"/>
      <c r="AH71" s="58"/>
      <c r="AI71" s="58"/>
      <c r="AJ71" s="58"/>
      <c r="AK71" s="56" t="s">
        <v>1285</v>
      </c>
      <c r="AL71" s="56" t="s">
        <v>15609</v>
      </c>
      <c r="AM71" s="58"/>
      <c r="AN71" s="56" t="s">
        <v>15610</v>
      </c>
      <c r="AO71" s="58"/>
      <c r="AP71" s="63">
        <v>45828.6645601852</v>
      </c>
      <c r="AQ71" s="56" t="s">
        <v>15611</v>
      </c>
      <c r="AR71" s="61" t="s">
        <v>15448</v>
      </c>
      <c r="AS71" s="57" t="s">
        <v>14184</v>
      </c>
      <c r="AT71" s="56" t="s">
        <v>15177</v>
      </c>
      <c r="AU71" s="56" t="s">
        <v>15612</v>
      </c>
      <c r="AV71" s="58"/>
      <c r="AW71" s="64">
        <v>45720.7141898148</v>
      </c>
      <c r="AX71" s="56" t="s">
        <v>15609</v>
      </c>
      <c r="AY71" s="56" t="s">
        <v>15179</v>
      </c>
      <c r="AZ71" s="58"/>
      <c r="BA71" s="58"/>
      <c r="BB71" s="58"/>
      <c r="BC71" s="56" t="s">
        <v>2148</v>
      </c>
      <c r="BD71" s="56" t="s">
        <v>15197</v>
      </c>
      <c r="BE71" s="56" t="s">
        <v>15613</v>
      </c>
      <c r="BF71" s="56" t="s">
        <v>15181</v>
      </c>
      <c r="BG71" s="58"/>
      <c r="BH71" s="58"/>
      <c r="BI71" s="57" t="s">
        <v>2801</v>
      </c>
      <c r="BJ71" s="58"/>
      <c r="BK71" s="58"/>
      <c r="BL71" s="66">
        <v>3456219</v>
      </c>
      <c r="BM71" s="56" t="s">
        <v>15614</v>
      </c>
      <c r="BN71" s="58"/>
      <c r="BO71" s="67">
        <v>270.7</v>
      </c>
      <c r="BP71" s="56" t="s">
        <v>15450</v>
      </c>
      <c r="BQ71" s="58"/>
      <c r="BR71" s="56" t="s">
        <v>15615</v>
      </c>
      <c r="BS71" s="56" t="s">
        <v>1285</v>
      </c>
      <c r="BT71" s="58"/>
      <c r="BU71" s="56" t="s">
        <v>15611</v>
      </c>
      <c r="BV71" s="58"/>
      <c r="BW71" s="58"/>
      <c r="BX71" s="67">
        <v>270.7</v>
      </c>
      <c r="BY71" s="56" t="s">
        <v>1285</v>
      </c>
      <c r="BZ71" s="58"/>
      <c r="CA71" s="58"/>
      <c r="CB71" s="58"/>
      <c r="CC71" s="58"/>
      <c r="CD71" s="58"/>
    </row>
    <row r="72" ht="108" spans="1:82">
      <c r="A72" s="56" t="s">
        <v>15650</v>
      </c>
      <c r="B72" s="58"/>
      <c r="C72" s="57" t="s">
        <v>15604</v>
      </c>
      <c r="D72" s="58"/>
      <c r="E72" s="57" t="s">
        <v>15158</v>
      </c>
      <c r="F72" s="57" t="s">
        <v>15605</v>
      </c>
      <c r="G72" s="57" t="s">
        <v>15160</v>
      </c>
      <c r="H72" s="56" t="s">
        <v>2965</v>
      </c>
      <c r="I72" s="60">
        <v>12711.75</v>
      </c>
      <c r="J72" s="57" t="s">
        <v>1285</v>
      </c>
      <c r="K72" s="57" t="s">
        <v>15162</v>
      </c>
      <c r="L72" s="57" t="s">
        <v>15163</v>
      </c>
      <c r="M72" s="61" t="s">
        <v>14312</v>
      </c>
      <c r="N72" s="62" t="s">
        <v>15331</v>
      </c>
      <c r="O72" s="57" t="s">
        <v>15165</v>
      </c>
      <c r="P72" s="57" t="s">
        <v>15166</v>
      </c>
      <c r="Q72" s="57" t="s">
        <v>2965</v>
      </c>
      <c r="R72" s="57" t="s">
        <v>15606</v>
      </c>
      <c r="S72" s="57" t="s">
        <v>15607</v>
      </c>
      <c r="T72" s="57" t="s">
        <v>15190</v>
      </c>
      <c r="U72" s="57" t="s">
        <v>14184</v>
      </c>
      <c r="V72" s="56" t="s">
        <v>14153</v>
      </c>
      <c r="W72" s="58"/>
      <c r="X72" s="57" t="s">
        <v>15608</v>
      </c>
      <c r="Y72" s="57" t="s">
        <v>15170</v>
      </c>
      <c r="Z72" s="61" t="s">
        <v>15465</v>
      </c>
      <c r="AA72" s="61" t="s">
        <v>14312</v>
      </c>
      <c r="AB72" s="58"/>
      <c r="AC72" s="57" t="s">
        <v>15172</v>
      </c>
      <c r="AD72" s="58"/>
      <c r="AE72" s="58"/>
      <c r="AF72" s="58"/>
      <c r="AG72" s="58"/>
      <c r="AH72" s="58"/>
      <c r="AI72" s="58"/>
      <c r="AJ72" s="58"/>
      <c r="AK72" s="56" t="s">
        <v>1285</v>
      </c>
      <c r="AL72" s="56" t="s">
        <v>15609</v>
      </c>
      <c r="AM72" s="58"/>
      <c r="AN72" s="56" t="s">
        <v>15610</v>
      </c>
      <c r="AO72" s="58"/>
      <c r="AP72" s="63">
        <v>45828.6645601852</v>
      </c>
      <c r="AQ72" s="56" t="s">
        <v>15611</v>
      </c>
      <c r="AR72" s="61" t="s">
        <v>15448</v>
      </c>
      <c r="AS72" s="57" t="s">
        <v>14184</v>
      </c>
      <c r="AT72" s="56" t="s">
        <v>15177</v>
      </c>
      <c r="AU72" s="56" t="s">
        <v>15612</v>
      </c>
      <c r="AV72" s="58"/>
      <c r="AW72" s="64">
        <v>45720.7141898148</v>
      </c>
      <c r="AX72" s="56" t="s">
        <v>15609</v>
      </c>
      <c r="AY72" s="56" t="s">
        <v>15179</v>
      </c>
      <c r="AZ72" s="58"/>
      <c r="BA72" s="58"/>
      <c r="BB72" s="58"/>
      <c r="BC72" s="56" t="s">
        <v>1981</v>
      </c>
      <c r="BD72" s="56" t="s">
        <v>15197</v>
      </c>
      <c r="BE72" s="56" t="s">
        <v>15613</v>
      </c>
      <c r="BF72" s="56" t="s">
        <v>15181</v>
      </c>
      <c r="BG72" s="58"/>
      <c r="BH72" s="58"/>
      <c r="BI72" s="57" t="s">
        <v>2801</v>
      </c>
      <c r="BJ72" s="58"/>
      <c r="BK72" s="58"/>
      <c r="BL72" s="66">
        <v>3456230</v>
      </c>
      <c r="BM72" s="56" t="s">
        <v>15614</v>
      </c>
      <c r="BN72" s="58"/>
      <c r="BO72" s="67">
        <v>270</v>
      </c>
      <c r="BP72" s="56" t="s">
        <v>15450</v>
      </c>
      <c r="BQ72" s="58"/>
      <c r="BR72" s="56" t="s">
        <v>15615</v>
      </c>
      <c r="BS72" s="56" t="s">
        <v>1285</v>
      </c>
      <c r="BT72" s="58"/>
      <c r="BU72" s="56" t="s">
        <v>15611</v>
      </c>
      <c r="BV72" s="58"/>
      <c r="BW72" s="58"/>
      <c r="BX72" s="67">
        <v>270</v>
      </c>
      <c r="BY72" s="56" t="s">
        <v>1285</v>
      </c>
      <c r="BZ72" s="58"/>
      <c r="CA72" s="58"/>
      <c r="CB72" s="58"/>
      <c r="CC72" s="58"/>
      <c r="CD72" s="58"/>
    </row>
    <row r="73" ht="108" spans="1:82">
      <c r="A73" s="56" t="s">
        <v>15651</v>
      </c>
      <c r="B73" s="58"/>
      <c r="C73" s="57" t="s">
        <v>15604</v>
      </c>
      <c r="D73" s="58"/>
      <c r="E73" s="57" t="s">
        <v>15158</v>
      </c>
      <c r="F73" s="57" t="s">
        <v>15605</v>
      </c>
      <c r="G73" s="57" t="s">
        <v>15160</v>
      </c>
      <c r="H73" s="56" t="s">
        <v>2965</v>
      </c>
      <c r="I73" s="60">
        <v>12711.75</v>
      </c>
      <c r="J73" s="57" t="s">
        <v>1285</v>
      </c>
      <c r="K73" s="57" t="s">
        <v>15162</v>
      </c>
      <c r="L73" s="57" t="s">
        <v>15163</v>
      </c>
      <c r="M73" s="61" t="s">
        <v>14312</v>
      </c>
      <c r="N73" s="62" t="s">
        <v>15331</v>
      </c>
      <c r="O73" s="57" t="s">
        <v>15165</v>
      </c>
      <c r="P73" s="57" t="s">
        <v>15166</v>
      </c>
      <c r="Q73" s="57" t="s">
        <v>2965</v>
      </c>
      <c r="R73" s="57" t="s">
        <v>15606</v>
      </c>
      <c r="S73" s="57" t="s">
        <v>15607</v>
      </c>
      <c r="T73" s="57" t="s">
        <v>15190</v>
      </c>
      <c r="U73" s="57" t="s">
        <v>14184</v>
      </c>
      <c r="V73" s="56" t="s">
        <v>14153</v>
      </c>
      <c r="W73" s="58"/>
      <c r="X73" s="57" t="s">
        <v>15608</v>
      </c>
      <c r="Y73" s="57" t="s">
        <v>15170</v>
      </c>
      <c r="Z73" s="61" t="s">
        <v>15465</v>
      </c>
      <c r="AA73" s="61" t="s">
        <v>14312</v>
      </c>
      <c r="AB73" s="58"/>
      <c r="AC73" s="57" t="s">
        <v>15172</v>
      </c>
      <c r="AD73" s="58"/>
      <c r="AE73" s="58"/>
      <c r="AF73" s="58"/>
      <c r="AG73" s="58"/>
      <c r="AH73" s="58"/>
      <c r="AI73" s="58"/>
      <c r="AJ73" s="58"/>
      <c r="AK73" s="56" t="s">
        <v>1285</v>
      </c>
      <c r="AL73" s="56" t="s">
        <v>15609</v>
      </c>
      <c r="AM73" s="58"/>
      <c r="AN73" s="56" t="s">
        <v>15610</v>
      </c>
      <c r="AO73" s="58"/>
      <c r="AP73" s="63">
        <v>45828.6645601852</v>
      </c>
      <c r="AQ73" s="56" t="s">
        <v>15611</v>
      </c>
      <c r="AR73" s="61" t="s">
        <v>15448</v>
      </c>
      <c r="AS73" s="57" t="s">
        <v>14184</v>
      </c>
      <c r="AT73" s="56" t="s">
        <v>15177</v>
      </c>
      <c r="AU73" s="56" t="s">
        <v>15612</v>
      </c>
      <c r="AV73" s="58"/>
      <c r="AW73" s="64">
        <v>45720.7141898148</v>
      </c>
      <c r="AX73" s="56" t="s">
        <v>15609</v>
      </c>
      <c r="AY73" s="56" t="s">
        <v>15179</v>
      </c>
      <c r="AZ73" s="58"/>
      <c r="BA73" s="58"/>
      <c r="BB73" s="58"/>
      <c r="BC73" s="56" t="s">
        <v>2148</v>
      </c>
      <c r="BD73" s="56" t="s">
        <v>15197</v>
      </c>
      <c r="BE73" s="56" t="s">
        <v>15613</v>
      </c>
      <c r="BF73" s="56" t="s">
        <v>15181</v>
      </c>
      <c r="BG73" s="58"/>
      <c r="BH73" s="58"/>
      <c r="BI73" s="57" t="s">
        <v>2801</v>
      </c>
      <c r="BJ73" s="58"/>
      <c r="BK73" s="58"/>
      <c r="BL73" s="66">
        <v>3456210</v>
      </c>
      <c r="BM73" s="56" t="s">
        <v>15614</v>
      </c>
      <c r="BN73" s="58"/>
      <c r="BO73" s="67">
        <v>467.46</v>
      </c>
      <c r="BP73" s="56" t="s">
        <v>15450</v>
      </c>
      <c r="BQ73" s="58"/>
      <c r="BR73" s="56" t="s">
        <v>15615</v>
      </c>
      <c r="BS73" s="56" t="s">
        <v>1285</v>
      </c>
      <c r="BT73" s="58"/>
      <c r="BU73" s="56" t="s">
        <v>15611</v>
      </c>
      <c r="BV73" s="58"/>
      <c r="BW73" s="58"/>
      <c r="BX73" s="67">
        <v>467.46</v>
      </c>
      <c r="BY73" s="56" t="s">
        <v>1285</v>
      </c>
      <c r="BZ73" s="58"/>
      <c r="CA73" s="58"/>
      <c r="CB73" s="58"/>
      <c r="CC73" s="58"/>
      <c r="CD73" s="58"/>
    </row>
    <row r="74" ht="108" spans="1:82">
      <c r="A74" s="56" t="s">
        <v>15652</v>
      </c>
      <c r="B74" s="58"/>
      <c r="C74" s="57" t="s">
        <v>15604</v>
      </c>
      <c r="D74" s="58"/>
      <c r="E74" s="57" t="s">
        <v>15158</v>
      </c>
      <c r="F74" s="57" t="s">
        <v>15605</v>
      </c>
      <c r="G74" s="57" t="s">
        <v>15160</v>
      </c>
      <c r="H74" s="56" t="s">
        <v>2965</v>
      </c>
      <c r="I74" s="60">
        <v>12711.75</v>
      </c>
      <c r="J74" s="57" t="s">
        <v>1285</v>
      </c>
      <c r="K74" s="57" t="s">
        <v>15162</v>
      </c>
      <c r="L74" s="57" t="s">
        <v>15163</v>
      </c>
      <c r="M74" s="61" t="s">
        <v>14312</v>
      </c>
      <c r="N74" s="62" t="s">
        <v>15331</v>
      </c>
      <c r="O74" s="57" t="s">
        <v>15165</v>
      </c>
      <c r="P74" s="57" t="s">
        <v>15166</v>
      </c>
      <c r="Q74" s="57" t="s">
        <v>2965</v>
      </c>
      <c r="R74" s="57" t="s">
        <v>15606</v>
      </c>
      <c r="S74" s="57" t="s">
        <v>15607</v>
      </c>
      <c r="T74" s="57" t="s">
        <v>15190</v>
      </c>
      <c r="U74" s="57" t="s">
        <v>14184</v>
      </c>
      <c r="V74" s="56" t="s">
        <v>14153</v>
      </c>
      <c r="W74" s="58"/>
      <c r="X74" s="57" t="s">
        <v>15608</v>
      </c>
      <c r="Y74" s="57" t="s">
        <v>15170</v>
      </c>
      <c r="Z74" s="61" t="s">
        <v>15465</v>
      </c>
      <c r="AA74" s="61" t="s">
        <v>14312</v>
      </c>
      <c r="AB74" s="58"/>
      <c r="AC74" s="57" t="s">
        <v>15172</v>
      </c>
      <c r="AD74" s="58"/>
      <c r="AE74" s="58"/>
      <c r="AF74" s="58"/>
      <c r="AG74" s="58"/>
      <c r="AH74" s="58"/>
      <c r="AI74" s="58"/>
      <c r="AJ74" s="58"/>
      <c r="AK74" s="56" t="s">
        <v>1285</v>
      </c>
      <c r="AL74" s="56" t="s">
        <v>15609</v>
      </c>
      <c r="AM74" s="58"/>
      <c r="AN74" s="56" t="s">
        <v>15610</v>
      </c>
      <c r="AO74" s="58"/>
      <c r="AP74" s="63">
        <v>45828.6645601852</v>
      </c>
      <c r="AQ74" s="56" t="s">
        <v>15611</v>
      </c>
      <c r="AR74" s="61" t="s">
        <v>15448</v>
      </c>
      <c r="AS74" s="57" t="s">
        <v>14184</v>
      </c>
      <c r="AT74" s="56" t="s">
        <v>15177</v>
      </c>
      <c r="AU74" s="56" t="s">
        <v>15612</v>
      </c>
      <c r="AV74" s="58"/>
      <c r="AW74" s="64">
        <v>45720.7141898148</v>
      </c>
      <c r="AX74" s="56" t="s">
        <v>15609</v>
      </c>
      <c r="AY74" s="56" t="s">
        <v>15179</v>
      </c>
      <c r="AZ74" s="58"/>
      <c r="BA74" s="58"/>
      <c r="BB74" s="58"/>
      <c r="BC74" s="56" t="s">
        <v>15653</v>
      </c>
      <c r="BD74" s="56" t="s">
        <v>15197</v>
      </c>
      <c r="BE74" s="56" t="s">
        <v>15613</v>
      </c>
      <c r="BF74" s="56" t="s">
        <v>15181</v>
      </c>
      <c r="BG74" s="58"/>
      <c r="BH74" s="58"/>
      <c r="BI74" s="57" t="s">
        <v>2801</v>
      </c>
      <c r="BJ74" s="58"/>
      <c r="BK74" s="58"/>
      <c r="BL74" s="66">
        <v>3456211</v>
      </c>
      <c r="BM74" s="56" t="s">
        <v>15614</v>
      </c>
      <c r="BN74" s="58"/>
      <c r="BO74" s="67">
        <v>226.76</v>
      </c>
      <c r="BP74" s="56" t="s">
        <v>15450</v>
      </c>
      <c r="BQ74" s="58"/>
      <c r="BR74" s="56" t="s">
        <v>15615</v>
      </c>
      <c r="BS74" s="56" t="s">
        <v>1285</v>
      </c>
      <c r="BT74" s="58"/>
      <c r="BU74" s="56" t="s">
        <v>15611</v>
      </c>
      <c r="BV74" s="58"/>
      <c r="BW74" s="58"/>
      <c r="BX74" s="67">
        <v>226.76</v>
      </c>
      <c r="BY74" s="56" t="s">
        <v>1285</v>
      </c>
      <c r="BZ74" s="58"/>
      <c r="CA74" s="58"/>
      <c r="CB74" s="58"/>
      <c r="CC74" s="58"/>
      <c r="CD74" s="58"/>
    </row>
    <row r="75" ht="108" spans="1:82">
      <c r="A75" s="56" t="s">
        <v>15654</v>
      </c>
      <c r="B75" s="58"/>
      <c r="C75" s="57" t="s">
        <v>15604</v>
      </c>
      <c r="D75" s="58"/>
      <c r="E75" s="57" t="s">
        <v>15158</v>
      </c>
      <c r="F75" s="57" t="s">
        <v>15605</v>
      </c>
      <c r="G75" s="57" t="s">
        <v>15160</v>
      </c>
      <c r="H75" s="56" t="s">
        <v>2965</v>
      </c>
      <c r="I75" s="60">
        <v>12711.75</v>
      </c>
      <c r="J75" s="57" t="s">
        <v>1285</v>
      </c>
      <c r="K75" s="57" t="s">
        <v>15162</v>
      </c>
      <c r="L75" s="57" t="s">
        <v>15163</v>
      </c>
      <c r="M75" s="61" t="s">
        <v>14312</v>
      </c>
      <c r="N75" s="62" t="s">
        <v>15331</v>
      </c>
      <c r="O75" s="57" t="s">
        <v>15165</v>
      </c>
      <c r="P75" s="57" t="s">
        <v>15166</v>
      </c>
      <c r="Q75" s="57" t="s">
        <v>2965</v>
      </c>
      <c r="R75" s="57" t="s">
        <v>15606</v>
      </c>
      <c r="S75" s="57" t="s">
        <v>15607</v>
      </c>
      <c r="T75" s="57" t="s">
        <v>15190</v>
      </c>
      <c r="U75" s="57" t="s">
        <v>14184</v>
      </c>
      <c r="V75" s="56" t="s">
        <v>14153</v>
      </c>
      <c r="W75" s="58"/>
      <c r="X75" s="57" t="s">
        <v>15608</v>
      </c>
      <c r="Y75" s="57" t="s">
        <v>15170</v>
      </c>
      <c r="Z75" s="61" t="s">
        <v>15465</v>
      </c>
      <c r="AA75" s="61" t="s">
        <v>14312</v>
      </c>
      <c r="AB75" s="58"/>
      <c r="AC75" s="57" t="s">
        <v>15172</v>
      </c>
      <c r="AD75" s="58"/>
      <c r="AE75" s="58"/>
      <c r="AF75" s="58"/>
      <c r="AG75" s="58"/>
      <c r="AH75" s="58"/>
      <c r="AI75" s="58"/>
      <c r="AJ75" s="58"/>
      <c r="AK75" s="56" t="s">
        <v>1285</v>
      </c>
      <c r="AL75" s="56" t="s">
        <v>15609</v>
      </c>
      <c r="AM75" s="58"/>
      <c r="AN75" s="56" t="s">
        <v>15610</v>
      </c>
      <c r="AO75" s="58"/>
      <c r="AP75" s="63">
        <v>45828.6645601852</v>
      </c>
      <c r="AQ75" s="56" t="s">
        <v>15611</v>
      </c>
      <c r="AR75" s="61" t="s">
        <v>15448</v>
      </c>
      <c r="AS75" s="57" t="s">
        <v>14184</v>
      </c>
      <c r="AT75" s="56" t="s">
        <v>15177</v>
      </c>
      <c r="AU75" s="56" t="s">
        <v>15612</v>
      </c>
      <c r="AV75" s="58"/>
      <c r="AW75" s="64">
        <v>45720.7141898148</v>
      </c>
      <c r="AX75" s="56" t="s">
        <v>15609</v>
      </c>
      <c r="AY75" s="56" t="s">
        <v>15179</v>
      </c>
      <c r="AZ75" s="58"/>
      <c r="BA75" s="58"/>
      <c r="BB75" s="58"/>
      <c r="BC75" s="56" t="s">
        <v>138</v>
      </c>
      <c r="BD75" s="56" t="s">
        <v>15197</v>
      </c>
      <c r="BE75" s="56" t="s">
        <v>15613</v>
      </c>
      <c r="BF75" s="56" t="s">
        <v>15181</v>
      </c>
      <c r="BG75" s="58"/>
      <c r="BH75" s="58"/>
      <c r="BI75" s="57" t="s">
        <v>2801</v>
      </c>
      <c r="BJ75" s="58"/>
      <c r="BK75" s="58"/>
      <c r="BL75" s="66">
        <v>3456233</v>
      </c>
      <c r="BM75" s="56" t="s">
        <v>15614</v>
      </c>
      <c r="BN75" s="58"/>
      <c r="BO75" s="67">
        <v>605.01</v>
      </c>
      <c r="BP75" s="56" t="s">
        <v>15450</v>
      </c>
      <c r="BQ75" s="58"/>
      <c r="BR75" s="56" t="s">
        <v>15615</v>
      </c>
      <c r="BS75" s="56" t="s">
        <v>1285</v>
      </c>
      <c r="BT75" s="58"/>
      <c r="BU75" s="56" t="s">
        <v>15611</v>
      </c>
      <c r="BV75" s="58"/>
      <c r="BW75" s="58"/>
      <c r="BX75" s="67">
        <v>605.01</v>
      </c>
      <c r="BY75" s="56" t="s">
        <v>1285</v>
      </c>
      <c r="BZ75" s="58"/>
      <c r="CA75" s="58"/>
      <c r="CB75" s="58"/>
      <c r="CC75" s="58"/>
      <c r="CD75" s="58"/>
    </row>
    <row r="76" ht="108" spans="1:82">
      <c r="A76" s="56" t="s">
        <v>15655</v>
      </c>
      <c r="B76" s="58"/>
      <c r="C76" s="57" t="s">
        <v>15604</v>
      </c>
      <c r="D76" s="58"/>
      <c r="E76" s="57" t="s">
        <v>15158</v>
      </c>
      <c r="F76" s="57" t="s">
        <v>15605</v>
      </c>
      <c r="G76" s="57" t="s">
        <v>15160</v>
      </c>
      <c r="H76" s="56" t="s">
        <v>2965</v>
      </c>
      <c r="I76" s="60">
        <v>12711.75</v>
      </c>
      <c r="J76" s="57" t="s">
        <v>1285</v>
      </c>
      <c r="K76" s="57" t="s">
        <v>15162</v>
      </c>
      <c r="L76" s="57" t="s">
        <v>15163</v>
      </c>
      <c r="M76" s="61" t="s">
        <v>14312</v>
      </c>
      <c r="N76" s="62" t="s">
        <v>15331</v>
      </c>
      <c r="O76" s="57" t="s">
        <v>15165</v>
      </c>
      <c r="P76" s="57" t="s">
        <v>15166</v>
      </c>
      <c r="Q76" s="57" t="s">
        <v>2965</v>
      </c>
      <c r="R76" s="57" t="s">
        <v>15606</v>
      </c>
      <c r="S76" s="57" t="s">
        <v>15607</v>
      </c>
      <c r="T76" s="57" t="s">
        <v>15190</v>
      </c>
      <c r="U76" s="57" t="s">
        <v>14184</v>
      </c>
      <c r="V76" s="56" t="s">
        <v>14153</v>
      </c>
      <c r="W76" s="58"/>
      <c r="X76" s="57" t="s">
        <v>15608</v>
      </c>
      <c r="Y76" s="57" t="s">
        <v>15170</v>
      </c>
      <c r="Z76" s="61" t="s">
        <v>15465</v>
      </c>
      <c r="AA76" s="61" t="s">
        <v>14312</v>
      </c>
      <c r="AB76" s="58"/>
      <c r="AC76" s="57" t="s">
        <v>15172</v>
      </c>
      <c r="AD76" s="58"/>
      <c r="AE76" s="58"/>
      <c r="AF76" s="58"/>
      <c r="AG76" s="58"/>
      <c r="AH76" s="58"/>
      <c r="AI76" s="58"/>
      <c r="AJ76" s="58"/>
      <c r="AK76" s="56" t="s">
        <v>1285</v>
      </c>
      <c r="AL76" s="56" t="s">
        <v>15609</v>
      </c>
      <c r="AM76" s="58"/>
      <c r="AN76" s="56" t="s">
        <v>15610</v>
      </c>
      <c r="AO76" s="58"/>
      <c r="AP76" s="63">
        <v>45828.6645601852</v>
      </c>
      <c r="AQ76" s="56" t="s">
        <v>15611</v>
      </c>
      <c r="AR76" s="61" t="s">
        <v>15448</v>
      </c>
      <c r="AS76" s="57" t="s">
        <v>14184</v>
      </c>
      <c r="AT76" s="56" t="s">
        <v>15177</v>
      </c>
      <c r="AU76" s="56" t="s">
        <v>15612</v>
      </c>
      <c r="AV76" s="58"/>
      <c r="AW76" s="64">
        <v>45720.7141898148</v>
      </c>
      <c r="AX76" s="56" t="s">
        <v>15609</v>
      </c>
      <c r="AY76" s="56" t="s">
        <v>15179</v>
      </c>
      <c r="AZ76" s="58"/>
      <c r="BA76" s="58"/>
      <c r="BB76" s="58"/>
      <c r="BC76" s="56" t="s">
        <v>138</v>
      </c>
      <c r="BD76" s="56" t="s">
        <v>15197</v>
      </c>
      <c r="BE76" s="56" t="s">
        <v>15613</v>
      </c>
      <c r="BF76" s="56" t="s">
        <v>15181</v>
      </c>
      <c r="BG76" s="58"/>
      <c r="BH76" s="58"/>
      <c r="BI76" s="57" t="s">
        <v>2801</v>
      </c>
      <c r="BJ76" s="58"/>
      <c r="BK76" s="58"/>
      <c r="BL76" s="66">
        <v>3456237</v>
      </c>
      <c r="BM76" s="56" t="s">
        <v>15614</v>
      </c>
      <c r="BN76" s="58"/>
      <c r="BO76" s="67">
        <v>112.68</v>
      </c>
      <c r="BP76" s="56" t="s">
        <v>15450</v>
      </c>
      <c r="BQ76" s="58"/>
      <c r="BR76" s="56" t="s">
        <v>15615</v>
      </c>
      <c r="BS76" s="56" t="s">
        <v>1285</v>
      </c>
      <c r="BT76" s="58"/>
      <c r="BU76" s="56" t="s">
        <v>15611</v>
      </c>
      <c r="BV76" s="58"/>
      <c r="BW76" s="58"/>
      <c r="BX76" s="67">
        <v>112.68</v>
      </c>
      <c r="BY76" s="56" t="s">
        <v>1285</v>
      </c>
      <c r="BZ76" s="58"/>
      <c r="CA76" s="58"/>
      <c r="CB76" s="58"/>
      <c r="CC76" s="58"/>
      <c r="CD76" s="58"/>
    </row>
    <row r="77" ht="108" spans="1:82">
      <c r="A77" s="56" t="s">
        <v>15656</v>
      </c>
      <c r="B77" s="58"/>
      <c r="C77" s="57" t="s">
        <v>15657</v>
      </c>
      <c r="D77" s="58"/>
      <c r="E77" s="57" t="s">
        <v>15158</v>
      </c>
      <c r="F77" s="57" t="s">
        <v>15658</v>
      </c>
      <c r="G77" s="57" t="s">
        <v>15160</v>
      </c>
      <c r="H77" s="56" t="s">
        <v>3075</v>
      </c>
      <c r="I77" s="60">
        <v>4450</v>
      </c>
      <c r="J77" s="57" t="s">
        <v>1285</v>
      </c>
      <c r="K77" s="57" t="s">
        <v>15162</v>
      </c>
      <c r="L77" s="57" t="s">
        <v>15163</v>
      </c>
      <c r="M77" s="61" t="s">
        <v>14312</v>
      </c>
      <c r="N77" s="62" t="s">
        <v>15331</v>
      </c>
      <c r="O77" s="57" t="s">
        <v>15165</v>
      </c>
      <c r="P77" s="57" t="s">
        <v>15166</v>
      </c>
      <c r="Q77" s="57" t="s">
        <v>3075</v>
      </c>
      <c r="R77" s="57" t="s">
        <v>15659</v>
      </c>
      <c r="S77" s="57" t="s">
        <v>15660</v>
      </c>
      <c r="T77" s="57" t="s">
        <v>15190</v>
      </c>
      <c r="U77" s="57" t="s">
        <v>14184</v>
      </c>
      <c r="V77" s="56" t="s">
        <v>14153</v>
      </c>
      <c r="W77" s="58"/>
      <c r="X77" s="57" t="s">
        <v>15661</v>
      </c>
      <c r="Y77" s="57" t="s">
        <v>15170</v>
      </c>
      <c r="Z77" s="61" t="s">
        <v>15465</v>
      </c>
      <c r="AA77" s="61" t="s">
        <v>14312</v>
      </c>
      <c r="AB77" s="58"/>
      <c r="AC77" s="57" t="s">
        <v>15172</v>
      </c>
      <c r="AD77" s="58"/>
      <c r="AE77" s="58"/>
      <c r="AF77" s="58"/>
      <c r="AG77" s="58"/>
      <c r="AH77" s="58"/>
      <c r="AI77" s="58"/>
      <c r="AJ77" s="58"/>
      <c r="AK77" s="56" t="s">
        <v>1285</v>
      </c>
      <c r="AL77" s="56" t="s">
        <v>15662</v>
      </c>
      <c r="AM77" s="58"/>
      <c r="AN77" s="56" t="s">
        <v>15663</v>
      </c>
      <c r="AO77" s="58"/>
      <c r="AP77" s="63">
        <v>45828.6649652778</v>
      </c>
      <c r="AQ77" s="56" t="s">
        <v>15664</v>
      </c>
      <c r="AR77" s="61" t="s">
        <v>15448</v>
      </c>
      <c r="AS77" s="57" t="s">
        <v>14184</v>
      </c>
      <c r="AT77" s="56" t="s">
        <v>15177</v>
      </c>
      <c r="AU77" s="56" t="s">
        <v>15665</v>
      </c>
      <c r="AV77" s="58"/>
      <c r="AW77" s="64">
        <v>45720.6773726852</v>
      </c>
      <c r="AX77" s="56" t="s">
        <v>15662</v>
      </c>
      <c r="AY77" s="56" t="s">
        <v>15179</v>
      </c>
      <c r="AZ77" s="58"/>
      <c r="BA77" s="58"/>
      <c r="BB77" s="58"/>
      <c r="BC77" s="56" t="s">
        <v>15653</v>
      </c>
      <c r="BD77" s="56" t="s">
        <v>15197</v>
      </c>
      <c r="BE77" s="56" t="s">
        <v>15666</v>
      </c>
      <c r="BF77" s="56" t="s">
        <v>15181</v>
      </c>
      <c r="BG77" s="58"/>
      <c r="BH77" s="58"/>
      <c r="BI77" s="57" t="s">
        <v>2801</v>
      </c>
      <c r="BJ77" s="58"/>
      <c r="BK77" s="58"/>
      <c r="BL77" s="66">
        <v>3457642</v>
      </c>
      <c r="BM77" s="56" t="s">
        <v>15667</v>
      </c>
      <c r="BN77" s="58"/>
      <c r="BO77" s="67">
        <v>4450</v>
      </c>
      <c r="BP77" s="56" t="s">
        <v>15450</v>
      </c>
      <c r="BQ77" s="58"/>
      <c r="BR77" s="56" t="s">
        <v>15668</v>
      </c>
      <c r="BS77" s="56" t="s">
        <v>1285</v>
      </c>
      <c r="BT77" s="58"/>
      <c r="BU77" s="56" t="s">
        <v>15664</v>
      </c>
      <c r="BV77" s="58"/>
      <c r="BW77" s="58"/>
      <c r="BX77" s="67">
        <v>4450</v>
      </c>
      <c r="BY77" s="56" t="s">
        <v>1285</v>
      </c>
      <c r="BZ77" s="58"/>
      <c r="CA77" s="58"/>
      <c r="CB77" s="58"/>
      <c r="CC77" s="58"/>
      <c r="CD77" s="58"/>
    </row>
    <row r="78" ht="108" spans="1:82">
      <c r="A78" s="56" t="s">
        <v>15669</v>
      </c>
      <c r="B78" s="58"/>
      <c r="C78" s="57" t="s">
        <v>15670</v>
      </c>
      <c r="D78" s="58"/>
      <c r="E78" s="57" t="s">
        <v>15158</v>
      </c>
      <c r="F78" s="57" t="s">
        <v>15671</v>
      </c>
      <c r="G78" s="57" t="s">
        <v>15160</v>
      </c>
      <c r="H78" s="56" t="s">
        <v>4381</v>
      </c>
      <c r="I78" s="60">
        <v>55664</v>
      </c>
      <c r="J78" s="57" t="s">
        <v>1285</v>
      </c>
      <c r="K78" s="57" t="s">
        <v>15162</v>
      </c>
      <c r="L78" s="57" t="s">
        <v>15163</v>
      </c>
      <c r="M78" s="61" t="s">
        <v>14312</v>
      </c>
      <c r="N78" s="62" t="s">
        <v>15672</v>
      </c>
      <c r="O78" s="57" t="s">
        <v>15165</v>
      </c>
      <c r="P78" s="57" t="s">
        <v>15166</v>
      </c>
      <c r="Q78" s="57" t="s">
        <v>4381</v>
      </c>
      <c r="R78" s="57" t="s">
        <v>15673</v>
      </c>
      <c r="S78" s="57" t="s">
        <v>15674</v>
      </c>
      <c r="T78" s="57" t="s">
        <v>15190</v>
      </c>
      <c r="U78" s="57" t="s">
        <v>14184</v>
      </c>
      <c r="V78" s="56" t="s">
        <v>14153</v>
      </c>
      <c r="W78" s="58"/>
      <c r="X78" s="57" t="s">
        <v>15675</v>
      </c>
      <c r="Y78" s="57" t="s">
        <v>15170</v>
      </c>
      <c r="Z78" s="61" t="s">
        <v>15504</v>
      </c>
      <c r="AA78" s="61" t="s">
        <v>14312</v>
      </c>
      <c r="AB78" s="58"/>
      <c r="AC78" s="57" t="s">
        <v>15172</v>
      </c>
      <c r="AD78" s="58"/>
      <c r="AE78" s="58"/>
      <c r="AF78" s="58"/>
      <c r="AG78" s="58"/>
      <c r="AH78" s="58"/>
      <c r="AI78" s="58"/>
      <c r="AJ78" s="58"/>
      <c r="AK78" s="56" t="s">
        <v>1285</v>
      </c>
      <c r="AL78" s="56" t="s">
        <v>15676</v>
      </c>
      <c r="AM78" s="58"/>
      <c r="AN78" s="56" t="s">
        <v>15677</v>
      </c>
      <c r="AO78" s="58"/>
      <c r="AP78" s="63">
        <v>45828.664525463</v>
      </c>
      <c r="AQ78" s="56" t="s">
        <v>15678</v>
      </c>
      <c r="AR78" s="61" t="s">
        <v>15448</v>
      </c>
      <c r="AS78" s="57" t="s">
        <v>14184</v>
      </c>
      <c r="AT78" s="56" t="s">
        <v>15177</v>
      </c>
      <c r="AU78" s="56" t="s">
        <v>15679</v>
      </c>
      <c r="AV78" s="58"/>
      <c r="AW78" s="64">
        <v>45710.8725347222</v>
      </c>
      <c r="AX78" s="56" t="s">
        <v>15676</v>
      </c>
      <c r="AY78" s="56" t="s">
        <v>15179</v>
      </c>
      <c r="AZ78" s="58"/>
      <c r="BA78" s="58"/>
      <c r="BB78" s="58"/>
      <c r="BC78" s="56" t="s">
        <v>3124</v>
      </c>
      <c r="BD78" s="56" t="s">
        <v>15353</v>
      </c>
      <c r="BE78" s="56" t="s">
        <v>2834</v>
      </c>
      <c r="BF78" s="56" t="s">
        <v>15181</v>
      </c>
      <c r="BG78" s="58"/>
      <c r="BH78" s="58"/>
      <c r="BI78" s="57" t="s">
        <v>2801</v>
      </c>
      <c r="BJ78" s="58"/>
      <c r="BK78" s="58"/>
      <c r="BL78" s="66">
        <v>3464608</v>
      </c>
      <c r="BM78" s="56" t="s">
        <v>15680</v>
      </c>
      <c r="BN78" s="58"/>
      <c r="BO78" s="67">
        <v>55664</v>
      </c>
      <c r="BP78" s="56" t="s">
        <v>15450</v>
      </c>
      <c r="BQ78" s="58"/>
      <c r="BR78" s="56" t="s">
        <v>15681</v>
      </c>
      <c r="BS78" s="56" t="s">
        <v>1285</v>
      </c>
      <c r="BT78" s="58"/>
      <c r="BU78" s="56" t="s">
        <v>15678</v>
      </c>
      <c r="BV78" s="58"/>
      <c r="BW78" s="58"/>
      <c r="BX78" s="67">
        <v>55664</v>
      </c>
      <c r="BY78" s="56" t="s">
        <v>1285</v>
      </c>
      <c r="BZ78" s="58"/>
      <c r="CA78" s="58"/>
      <c r="CB78" s="58"/>
      <c r="CC78" s="58"/>
      <c r="CD78" s="58"/>
    </row>
    <row r="79" ht="108" spans="1:82">
      <c r="A79" s="56" t="s">
        <v>15682</v>
      </c>
      <c r="B79" s="58"/>
      <c r="C79" s="57" t="s">
        <v>15683</v>
      </c>
      <c r="D79" s="58"/>
      <c r="E79" s="57" t="s">
        <v>15158</v>
      </c>
      <c r="F79" s="57" t="s">
        <v>15684</v>
      </c>
      <c r="G79" s="57" t="s">
        <v>15160</v>
      </c>
      <c r="H79" s="56" t="s">
        <v>2999</v>
      </c>
      <c r="I79" s="60">
        <v>1680</v>
      </c>
      <c r="J79" s="57" t="s">
        <v>1285</v>
      </c>
      <c r="K79" s="57" t="s">
        <v>15162</v>
      </c>
      <c r="L79" s="57" t="s">
        <v>15163</v>
      </c>
      <c r="M79" s="61" t="s">
        <v>14312</v>
      </c>
      <c r="N79" s="62" t="s">
        <v>15187</v>
      </c>
      <c r="O79" s="57" t="s">
        <v>15165</v>
      </c>
      <c r="P79" s="57" t="s">
        <v>15166</v>
      </c>
      <c r="Q79" s="57" t="s">
        <v>2999</v>
      </c>
      <c r="R79" s="57" t="s">
        <v>15219</v>
      </c>
      <c r="S79" s="57" t="s">
        <v>15220</v>
      </c>
      <c r="T79" s="57" t="s">
        <v>15190</v>
      </c>
      <c r="U79" s="57" t="s">
        <v>14184</v>
      </c>
      <c r="V79" s="56" t="s">
        <v>14153</v>
      </c>
      <c r="W79" s="58"/>
      <c r="X79" s="57" t="s">
        <v>15685</v>
      </c>
      <c r="Y79" s="57" t="s">
        <v>15170</v>
      </c>
      <c r="Z79" s="61" t="s">
        <v>15465</v>
      </c>
      <c r="AA79" s="61" t="s">
        <v>14312</v>
      </c>
      <c r="AB79" s="58"/>
      <c r="AC79" s="57" t="s">
        <v>15172</v>
      </c>
      <c r="AD79" s="58"/>
      <c r="AE79" s="58"/>
      <c r="AF79" s="58"/>
      <c r="AG79" s="58"/>
      <c r="AH79" s="58"/>
      <c r="AI79" s="58"/>
      <c r="AJ79" s="58"/>
      <c r="AK79" s="56" t="s">
        <v>1285</v>
      </c>
      <c r="AL79" s="56" t="s">
        <v>15686</v>
      </c>
      <c r="AM79" s="58"/>
      <c r="AN79" s="56" t="s">
        <v>15687</v>
      </c>
      <c r="AO79" s="58"/>
      <c r="AP79" s="63">
        <v>45828.6635763889</v>
      </c>
      <c r="AQ79" s="56" t="s">
        <v>15688</v>
      </c>
      <c r="AR79" s="61" t="s">
        <v>15448</v>
      </c>
      <c r="AS79" s="57" t="s">
        <v>14184</v>
      </c>
      <c r="AT79" s="56" t="s">
        <v>15177</v>
      </c>
      <c r="AU79" s="56" t="s">
        <v>15689</v>
      </c>
      <c r="AV79" s="58"/>
      <c r="AW79" s="64">
        <v>45706.4708564815</v>
      </c>
      <c r="AX79" s="56" t="s">
        <v>15686</v>
      </c>
      <c r="AY79" s="56" t="s">
        <v>15179</v>
      </c>
      <c r="AZ79" s="58"/>
      <c r="BA79" s="58"/>
      <c r="BB79" s="58"/>
      <c r="BC79" s="56" t="s">
        <v>2131</v>
      </c>
      <c r="BD79" s="56" t="s">
        <v>15197</v>
      </c>
      <c r="BE79" s="56" t="s">
        <v>15690</v>
      </c>
      <c r="BF79" s="56" t="s">
        <v>15181</v>
      </c>
      <c r="BG79" s="58"/>
      <c r="BH79" s="58"/>
      <c r="BI79" s="57" t="s">
        <v>2801</v>
      </c>
      <c r="BJ79" s="58"/>
      <c r="BK79" s="58"/>
      <c r="BL79" s="66">
        <v>3454192</v>
      </c>
      <c r="BM79" s="56" t="s">
        <v>15691</v>
      </c>
      <c r="BN79" s="58"/>
      <c r="BO79" s="67">
        <v>1680</v>
      </c>
      <c r="BP79" s="56" t="s">
        <v>15450</v>
      </c>
      <c r="BQ79" s="58"/>
      <c r="BR79" s="56" t="s">
        <v>15692</v>
      </c>
      <c r="BS79" s="56" t="s">
        <v>1285</v>
      </c>
      <c r="BT79" s="58"/>
      <c r="BU79" s="56" t="s">
        <v>15688</v>
      </c>
      <c r="BV79" s="58"/>
      <c r="BW79" s="58"/>
      <c r="BX79" s="67">
        <v>1680</v>
      </c>
      <c r="BY79" s="56" t="s">
        <v>1285</v>
      </c>
      <c r="BZ79" s="58"/>
      <c r="CA79" s="58"/>
      <c r="CB79" s="58"/>
      <c r="CC79" s="58"/>
      <c r="CD79" s="58"/>
    </row>
    <row r="80" ht="108" spans="1:82">
      <c r="A80" s="56" t="s">
        <v>15693</v>
      </c>
      <c r="B80" s="58"/>
      <c r="C80" s="57" t="s">
        <v>15694</v>
      </c>
      <c r="D80" s="58"/>
      <c r="E80" s="57" t="s">
        <v>15158</v>
      </c>
      <c r="F80" s="57" t="s">
        <v>15695</v>
      </c>
      <c r="G80" s="57" t="s">
        <v>15160</v>
      </c>
      <c r="H80" s="56" t="s">
        <v>2938</v>
      </c>
      <c r="I80" s="60">
        <v>22490</v>
      </c>
      <c r="J80" s="57" t="s">
        <v>1285</v>
      </c>
      <c r="K80" s="57" t="s">
        <v>15162</v>
      </c>
      <c r="L80" s="57" t="s">
        <v>15163</v>
      </c>
      <c r="M80" s="61" t="s">
        <v>14312</v>
      </c>
      <c r="N80" s="62" t="s">
        <v>15205</v>
      </c>
      <c r="O80" s="57" t="s">
        <v>15165</v>
      </c>
      <c r="P80" s="57" t="s">
        <v>15166</v>
      </c>
      <c r="Q80" s="57" t="s">
        <v>2938</v>
      </c>
      <c r="R80" s="57" t="s">
        <v>15696</v>
      </c>
      <c r="S80" s="57" t="s">
        <v>15697</v>
      </c>
      <c r="T80" s="57" t="s">
        <v>15190</v>
      </c>
      <c r="U80" s="57" t="s">
        <v>14184</v>
      </c>
      <c r="V80" s="56" t="s">
        <v>14153</v>
      </c>
      <c r="W80" s="58"/>
      <c r="X80" s="57" t="s">
        <v>15698</v>
      </c>
      <c r="Y80" s="57" t="s">
        <v>15170</v>
      </c>
      <c r="Z80" s="61" t="s">
        <v>15465</v>
      </c>
      <c r="AA80" s="61" t="s">
        <v>14312</v>
      </c>
      <c r="AB80" s="58"/>
      <c r="AC80" s="57" t="s">
        <v>15172</v>
      </c>
      <c r="AD80" s="58"/>
      <c r="AE80" s="58"/>
      <c r="AF80" s="58"/>
      <c r="AG80" s="58"/>
      <c r="AH80" s="58"/>
      <c r="AI80" s="58"/>
      <c r="AJ80" s="58"/>
      <c r="AK80" s="56" t="s">
        <v>1285</v>
      </c>
      <c r="AL80" s="56" t="s">
        <v>15699</v>
      </c>
      <c r="AM80" s="58"/>
      <c r="AN80" s="56" t="s">
        <v>15700</v>
      </c>
      <c r="AO80" s="58"/>
      <c r="AP80" s="63">
        <v>45828.6644791667</v>
      </c>
      <c r="AQ80" s="56" t="s">
        <v>15701</v>
      </c>
      <c r="AR80" s="61" t="s">
        <v>15448</v>
      </c>
      <c r="AS80" s="57" t="s">
        <v>14184</v>
      </c>
      <c r="AT80" s="56" t="s">
        <v>15177</v>
      </c>
      <c r="AU80" s="56" t="s">
        <v>15702</v>
      </c>
      <c r="AV80" s="58"/>
      <c r="AW80" s="64">
        <v>45694.8467476852</v>
      </c>
      <c r="AX80" s="56" t="s">
        <v>15699</v>
      </c>
      <c r="AY80" s="56" t="s">
        <v>15179</v>
      </c>
      <c r="AZ80" s="58"/>
      <c r="BA80" s="58"/>
      <c r="BB80" s="58"/>
      <c r="BC80" s="56" t="s">
        <v>15617</v>
      </c>
      <c r="BD80" s="56" t="s">
        <v>15197</v>
      </c>
      <c r="BE80" s="58"/>
      <c r="BF80" s="56" t="s">
        <v>15181</v>
      </c>
      <c r="BG80" s="58"/>
      <c r="BH80" s="58"/>
      <c r="BI80" s="57" t="s">
        <v>2801</v>
      </c>
      <c r="BJ80" s="58"/>
      <c r="BK80" s="58"/>
      <c r="BL80" s="66">
        <v>3407865</v>
      </c>
      <c r="BM80" s="56" t="s">
        <v>15703</v>
      </c>
      <c r="BN80" s="58"/>
      <c r="BO80" s="67">
        <v>730</v>
      </c>
      <c r="BP80" s="56" t="s">
        <v>15450</v>
      </c>
      <c r="BQ80" s="58"/>
      <c r="BR80" s="56" t="s">
        <v>15704</v>
      </c>
      <c r="BS80" s="56" t="s">
        <v>1285</v>
      </c>
      <c r="BT80" s="58"/>
      <c r="BU80" s="56" t="s">
        <v>15701</v>
      </c>
      <c r="BV80" s="58"/>
      <c r="BW80" s="58"/>
      <c r="BX80" s="67">
        <v>730</v>
      </c>
      <c r="BY80" s="58"/>
      <c r="BZ80" s="58"/>
      <c r="CA80" s="58"/>
      <c r="CB80" s="58"/>
      <c r="CC80" s="58"/>
      <c r="CD80" s="58"/>
    </row>
    <row r="81" ht="108" spans="1:82">
      <c r="A81" s="56" t="s">
        <v>15705</v>
      </c>
      <c r="B81" s="58"/>
      <c r="C81" s="57" t="s">
        <v>15694</v>
      </c>
      <c r="D81" s="58"/>
      <c r="E81" s="57" t="s">
        <v>15158</v>
      </c>
      <c r="F81" s="57" t="s">
        <v>15695</v>
      </c>
      <c r="G81" s="57" t="s">
        <v>15160</v>
      </c>
      <c r="H81" s="56" t="s">
        <v>2938</v>
      </c>
      <c r="I81" s="60">
        <v>22490</v>
      </c>
      <c r="J81" s="57" t="s">
        <v>1285</v>
      </c>
      <c r="K81" s="57" t="s">
        <v>15162</v>
      </c>
      <c r="L81" s="57" t="s">
        <v>15163</v>
      </c>
      <c r="M81" s="61" t="s">
        <v>14312</v>
      </c>
      <c r="N81" s="62" t="s">
        <v>15205</v>
      </c>
      <c r="O81" s="57" t="s">
        <v>15165</v>
      </c>
      <c r="P81" s="57" t="s">
        <v>15166</v>
      </c>
      <c r="Q81" s="57" t="s">
        <v>2938</v>
      </c>
      <c r="R81" s="57" t="s">
        <v>15696</v>
      </c>
      <c r="S81" s="57" t="s">
        <v>15697</v>
      </c>
      <c r="T81" s="57" t="s">
        <v>15190</v>
      </c>
      <c r="U81" s="57" t="s">
        <v>14184</v>
      </c>
      <c r="V81" s="56" t="s">
        <v>14153</v>
      </c>
      <c r="W81" s="58"/>
      <c r="X81" s="57" t="s">
        <v>15698</v>
      </c>
      <c r="Y81" s="57" t="s">
        <v>15170</v>
      </c>
      <c r="Z81" s="61" t="s">
        <v>15465</v>
      </c>
      <c r="AA81" s="61" t="s">
        <v>14312</v>
      </c>
      <c r="AB81" s="58"/>
      <c r="AC81" s="57" t="s">
        <v>15172</v>
      </c>
      <c r="AD81" s="58"/>
      <c r="AE81" s="58"/>
      <c r="AF81" s="58"/>
      <c r="AG81" s="58"/>
      <c r="AH81" s="58"/>
      <c r="AI81" s="58"/>
      <c r="AJ81" s="58"/>
      <c r="AK81" s="56" t="s">
        <v>1285</v>
      </c>
      <c r="AL81" s="56" t="s">
        <v>15699</v>
      </c>
      <c r="AM81" s="58"/>
      <c r="AN81" s="56" t="s">
        <v>15700</v>
      </c>
      <c r="AO81" s="58"/>
      <c r="AP81" s="63">
        <v>45828.6644791667</v>
      </c>
      <c r="AQ81" s="56" t="s">
        <v>15701</v>
      </c>
      <c r="AR81" s="61" t="s">
        <v>15448</v>
      </c>
      <c r="AS81" s="57" t="s">
        <v>14184</v>
      </c>
      <c r="AT81" s="56" t="s">
        <v>15177</v>
      </c>
      <c r="AU81" s="56" t="s">
        <v>15702</v>
      </c>
      <c r="AV81" s="58"/>
      <c r="AW81" s="64">
        <v>45694.8467476852</v>
      </c>
      <c r="AX81" s="56" t="s">
        <v>15699</v>
      </c>
      <c r="AY81" s="56" t="s">
        <v>15179</v>
      </c>
      <c r="AZ81" s="58"/>
      <c r="BA81" s="58"/>
      <c r="BB81" s="58"/>
      <c r="BC81" s="56" t="s">
        <v>15213</v>
      </c>
      <c r="BD81" s="56" t="s">
        <v>15197</v>
      </c>
      <c r="BE81" s="58"/>
      <c r="BF81" s="56" t="s">
        <v>15181</v>
      </c>
      <c r="BG81" s="58"/>
      <c r="BH81" s="58"/>
      <c r="BI81" s="57" t="s">
        <v>2801</v>
      </c>
      <c r="BJ81" s="58"/>
      <c r="BK81" s="58"/>
      <c r="BL81" s="66">
        <v>3407864</v>
      </c>
      <c r="BM81" s="56" t="s">
        <v>15703</v>
      </c>
      <c r="BN81" s="58"/>
      <c r="BO81" s="67">
        <v>21760</v>
      </c>
      <c r="BP81" s="56" t="s">
        <v>15450</v>
      </c>
      <c r="BQ81" s="58"/>
      <c r="BR81" s="56" t="s">
        <v>15704</v>
      </c>
      <c r="BS81" s="56" t="s">
        <v>1285</v>
      </c>
      <c r="BT81" s="58"/>
      <c r="BU81" s="56" t="s">
        <v>15701</v>
      </c>
      <c r="BV81" s="58"/>
      <c r="BW81" s="58"/>
      <c r="BX81" s="67">
        <v>21760</v>
      </c>
      <c r="BY81" s="58"/>
      <c r="BZ81" s="58"/>
      <c r="CA81" s="58"/>
      <c r="CB81" s="58"/>
      <c r="CC81" s="58"/>
      <c r="CD81" s="58"/>
    </row>
    <row r="82" ht="108" spans="1:82">
      <c r="A82" s="56" t="s">
        <v>15706</v>
      </c>
      <c r="B82" s="57" t="s">
        <v>15156</v>
      </c>
      <c r="C82" s="58"/>
      <c r="D82" s="57" t="s">
        <v>15707</v>
      </c>
      <c r="E82" s="57" t="s">
        <v>15158</v>
      </c>
      <c r="F82" s="57" t="s">
        <v>15708</v>
      </c>
      <c r="G82" s="57" t="s">
        <v>15160</v>
      </c>
      <c r="H82" s="56" t="s">
        <v>15295</v>
      </c>
      <c r="I82" s="60">
        <v>31358</v>
      </c>
      <c r="J82" s="57" t="s">
        <v>1285</v>
      </c>
      <c r="K82" s="57" t="s">
        <v>15162</v>
      </c>
      <c r="L82" s="57" t="s">
        <v>15163</v>
      </c>
      <c r="M82" s="61" t="s">
        <v>14861</v>
      </c>
      <c r="N82" s="62" t="s">
        <v>14861</v>
      </c>
      <c r="O82" s="57" t="s">
        <v>15165</v>
      </c>
      <c r="P82" s="57" t="s">
        <v>15166</v>
      </c>
      <c r="Q82" s="57" t="s">
        <v>15295</v>
      </c>
      <c r="R82" s="57" t="s">
        <v>15296</v>
      </c>
      <c r="S82" s="57" t="s">
        <v>15297</v>
      </c>
      <c r="T82" s="58"/>
      <c r="U82" s="57" t="s">
        <v>14184</v>
      </c>
      <c r="V82" s="56" t="s">
        <v>14153</v>
      </c>
      <c r="W82" s="58"/>
      <c r="X82" s="57" t="s">
        <v>15437</v>
      </c>
      <c r="Y82" s="57" t="s">
        <v>15170</v>
      </c>
      <c r="Z82" s="61" t="s">
        <v>15709</v>
      </c>
      <c r="AA82" s="61" t="s">
        <v>14861</v>
      </c>
      <c r="AB82" s="57" t="s">
        <v>15171</v>
      </c>
      <c r="AC82" s="57" t="s">
        <v>15172</v>
      </c>
      <c r="AD82" s="58"/>
      <c r="AE82" s="58"/>
      <c r="AF82" s="57" t="s">
        <v>15173</v>
      </c>
      <c r="AG82" s="58"/>
      <c r="AH82" s="58"/>
      <c r="AI82" s="57" t="s">
        <v>15173</v>
      </c>
      <c r="AJ82" s="58"/>
      <c r="AK82" s="56" t="s">
        <v>1285</v>
      </c>
      <c r="AL82" s="56" t="s">
        <v>15710</v>
      </c>
      <c r="AM82" s="58"/>
      <c r="AN82" s="56" t="s">
        <v>15711</v>
      </c>
      <c r="AO82" s="58"/>
      <c r="AP82" s="63">
        <v>45705.5485416667</v>
      </c>
      <c r="AQ82" s="56" t="s">
        <v>15712</v>
      </c>
      <c r="AR82" s="61" t="s">
        <v>14754</v>
      </c>
      <c r="AS82" s="57" t="s">
        <v>14184</v>
      </c>
      <c r="AT82" s="56" t="s">
        <v>15177</v>
      </c>
      <c r="AU82" s="56" t="s">
        <v>15713</v>
      </c>
      <c r="AV82" s="58"/>
      <c r="AW82" s="64">
        <v>45698.7862847222</v>
      </c>
      <c r="AX82" s="56" t="s">
        <v>15710</v>
      </c>
      <c r="AY82" s="56" t="s">
        <v>15179</v>
      </c>
      <c r="AZ82" s="58"/>
      <c r="BA82" s="58"/>
      <c r="BB82" s="58"/>
      <c r="BC82" s="58"/>
      <c r="BD82" s="56" t="s">
        <v>15276</v>
      </c>
      <c r="BE82" s="56" t="s">
        <v>15303</v>
      </c>
      <c r="BF82" s="56" t="s">
        <v>15181</v>
      </c>
      <c r="BG82" s="58"/>
      <c r="BH82" s="58"/>
      <c r="BI82" s="57" t="s">
        <v>2801</v>
      </c>
      <c r="BJ82" s="58"/>
      <c r="BK82" s="58"/>
      <c r="BL82" s="58"/>
      <c r="BM82" s="58"/>
      <c r="BN82" s="67">
        <v>31358</v>
      </c>
      <c r="BO82" s="58"/>
      <c r="BP82" s="56" t="s">
        <v>15714</v>
      </c>
      <c r="BQ82" s="58"/>
      <c r="BR82" s="58"/>
      <c r="BS82" s="58"/>
      <c r="BT82" s="58"/>
      <c r="BU82" s="56" t="s">
        <v>15712</v>
      </c>
      <c r="BV82" s="58"/>
      <c r="BW82" s="58"/>
      <c r="BX82" s="67">
        <v>31358</v>
      </c>
      <c r="BY82" s="56" t="s">
        <v>1285</v>
      </c>
      <c r="BZ82" s="58"/>
      <c r="CA82" s="58"/>
      <c r="CB82" s="58"/>
      <c r="CC82" s="58"/>
      <c r="CD82" s="57" t="s">
        <v>15315</v>
      </c>
    </row>
    <row r="83" ht="108" spans="1:82">
      <c r="A83" s="56" t="s">
        <v>15715</v>
      </c>
      <c r="B83" s="57" t="s">
        <v>15156</v>
      </c>
      <c r="C83" s="58"/>
      <c r="D83" s="57" t="s">
        <v>15716</v>
      </c>
      <c r="E83" s="57" t="s">
        <v>15158</v>
      </c>
      <c r="F83" s="57" t="s">
        <v>15717</v>
      </c>
      <c r="G83" s="57" t="s">
        <v>15160</v>
      </c>
      <c r="H83" s="56" t="s">
        <v>15295</v>
      </c>
      <c r="I83" s="60">
        <v>31358</v>
      </c>
      <c r="J83" s="57" t="s">
        <v>1285</v>
      </c>
      <c r="K83" s="57" t="s">
        <v>15162</v>
      </c>
      <c r="L83" s="57" t="s">
        <v>15163</v>
      </c>
      <c r="M83" s="61" t="s">
        <v>14860</v>
      </c>
      <c r="N83" s="62" t="s">
        <v>14860</v>
      </c>
      <c r="O83" s="57" t="s">
        <v>15165</v>
      </c>
      <c r="P83" s="57" t="s">
        <v>15166</v>
      </c>
      <c r="Q83" s="57" t="s">
        <v>15295</v>
      </c>
      <c r="R83" s="57" t="s">
        <v>15296</v>
      </c>
      <c r="S83" s="57" t="s">
        <v>15297</v>
      </c>
      <c r="T83" s="58"/>
      <c r="U83" s="57" t="s">
        <v>14184</v>
      </c>
      <c r="V83" s="56" t="s">
        <v>14153</v>
      </c>
      <c r="W83" s="58"/>
      <c r="X83" s="57" t="s">
        <v>15271</v>
      </c>
      <c r="Y83" s="57" t="s">
        <v>15170</v>
      </c>
      <c r="Z83" s="61" t="s">
        <v>15709</v>
      </c>
      <c r="AA83" s="61" t="s">
        <v>14860</v>
      </c>
      <c r="AB83" s="57" t="s">
        <v>15171</v>
      </c>
      <c r="AC83" s="57" t="s">
        <v>15172</v>
      </c>
      <c r="AD83" s="58"/>
      <c r="AE83" s="58"/>
      <c r="AF83" s="57" t="s">
        <v>15173</v>
      </c>
      <c r="AG83" s="58"/>
      <c r="AH83" s="58"/>
      <c r="AI83" s="57" t="s">
        <v>15173</v>
      </c>
      <c r="AJ83" s="58"/>
      <c r="AK83" s="56" t="s">
        <v>1285</v>
      </c>
      <c r="AL83" s="56" t="s">
        <v>15718</v>
      </c>
      <c r="AM83" s="58"/>
      <c r="AN83" s="56" t="s">
        <v>15711</v>
      </c>
      <c r="AO83" s="58"/>
      <c r="AP83" s="63">
        <v>45703.5490625</v>
      </c>
      <c r="AQ83" s="56" t="s">
        <v>15719</v>
      </c>
      <c r="AR83" s="61" t="s">
        <v>14754</v>
      </c>
      <c r="AS83" s="57" t="s">
        <v>14184</v>
      </c>
      <c r="AT83" s="56" t="s">
        <v>15177</v>
      </c>
      <c r="AU83" s="56" t="s">
        <v>15720</v>
      </c>
      <c r="AV83" s="58"/>
      <c r="AW83" s="64">
        <v>45698.787650463</v>
      </c>
      <c r="AX83" s="56" t="s">
        <v>15718</v>
      </c>
      <c r="AY83" s="56" t="s">
        <v>15179</v>
      </c>
      <c r="AZ83" s="58"/>
      <c r="BA83" s="58"/>
      <c r="BB83" s="58"/>
      <c r="BC83" s="58"/>
      <c r="BD83" s="56" t="s">
        <v>15276</v>
      </c>
      <c r="BE83" s="56" t="s">
        <v>15303</v>
      </c>
      <c r="BF83" s="56" t="s">
        <v>15181</v>
      </c>
      <c r="BG83" s="58"/>
      <c r="BH83" s="58"/>
      <c r="BI83" s="57" t="s">
        <v>2801</v>
      </c>
      <c r="BJ83" s="58"/>
      <c r="BK83" s="58"/>
      <c r="BL83" s="58"/>
      <c r="BM83" s="58"/>
      <c r="BN83" s="67">
        <v>31358</v>
      </c>
      <c r="BO83" s="58"/>
      <c r="BP83" s="56" t="s">
        <v>15714</v>
      </c>
      <c r="BQ83" s="58"/>
      <c r="BR83" s="58"/>
      <c r="BS83" s="58"/>
      <c r="BT83" s="58"/>
      <c r="BU83" s="56" t="s">
        <v>15719</v>
      </c>
      <c r="BV83" s="58"/>
      <c r="BW83" s="58"/>
      <c r="BX83" s="67">
        <v>31358</v>
      </c>
      <c r="BY83" s="56" t="s">
        <v>1285</v>
      </c>
      <c r="BZ83" s="58"/>
      <c r="CA83" s="58"/>
      <c r="CB83" s="58"/>
      <c r="CC83" s="58"/>
      <c r="CD83" s="57" t="s">
        <v>15315</v>
      </c>
    </row>
    <row r="84" ht="108" spans="1:82">
      <c r="A84" s="56" t="s">
        <v>15721</v>
      </c>
      <c r="B84" s="57" t="s">
        <v>15156</v>
      </c>
      <c r="C84" s="58"/>
      <c r="D84" s="57" t="s">
        <v>15722</v>
      </c>
      <c r="E84" s="57" t="s">
        <v>15158</v>
      </c>
      <c r="F84" s="57" t="s">
        <v>15723</v>
      </c>
      <c r="G84" s="57" t="s">
        <v>15160</v>
      </c>
      <c r="H84" s="56" t="s">
        <v>15319</v>
      </c>
      <c r="I84" s="60">
        <v>1800</v>
      </c>
      <c r="J84" s="57" t="s">
        <v>1285</v>
      </c>
      <c r="K84" s="57" t="s">
        <v>15162</v>
      </c>
      <c r="L84" s="57" t="s">
        <v>15163</v>
      </c>
      <c r="M84" s="61" t="s">
        <v>14860</v>
      </c>
      <c r="N84" s="62" t="s">
        <v>14860</v>
      </c>
      <c r="O84" s="57" t="s">
        <v>15165</v>
      </c>
      <c r="P84" s="57" t="s">
        <v>15166</v>
      </c>
      <c r="Q84" s="57" t="s">
        <v>15319</v>
      </c>
      <c r="R84" s="57" t="s">
        <v>15321</v>
      </c>
      <c r="S84" s="57" t="s">
        <v>15322</v>
      </c>
      <c r="T84" s="58"/>
      <c r="U84" s="57" t="s">
        <v>14184</v>
      </c>
      <c r="V84" s="56" t="s">
        <v>14153</v>
      </c>
      <c r="W84" s="58"/>
      <c r="X84" s="57" t="s">
        <v>15271</v>
      </c>
      <c r="Y84" s="57" t="s">
        <v>15170</v>
      </c>
      <c r="Z84" s="61" t="s">
        <v>15709</v>
      </c>
      <c r="AA84" s="61" t="s">
        <v>14860</v>
      </c>
      <c r="AB84" s="57" t="s">
        <v>15171</v>
      </c>
      <c r="AC84" s="57" t="s">
        <v>15172</v>
      </c>
      <c r="AD84" s="58"/>
      <c r="AE84" s="58"/>
      <c r="AF84" s="57" t="s">
        <v>15173</v>
      </c>
      <c r="AG84" s="58"/>
      <c r="AH84" s="58"/>
      <c r="AI84" s="57" t="s">
        <v>15173</v>
      </c>
      <c r="AJ84" s="58"/>
      <c r="AK84" s="56" t="s">
        <v>1285</v>
      </c>
      <c r="AL84" s="56" t="s">
        <v>15724</v>
      </c>
      <c r="AM84" s="58"/>
      <c r="AN84" s="56" t="s">
        <v>15711</v>
      </c>
      <c r="AO84" s="58"/>
      <c r="AP84" s="63">
        <v>45703.5516550926</v>
      </c>
      <c r="AQ84" s="56" t="s">
        <v>15725</v>
      </c>
      <c r="AR84" s="61" t="s">
        <v>14754</v>
      </c>
      <c r="AS84" s="57" t="s">
        <v>14184</v>
      </c>
      <c r="AT84" s="56" t="s">
        <v>15177</v>
      </c>
      <c r="AU84" s="56" t="s">
        <v>15726</v>
      </c>
      <c r="AV84" s="58"/>
      <c r="AW84" s="64">
        <v>45698.6112962963</v>
      </c>
      <c r="AX84" s="56" t="s">
        <v>15724</v>
      </c>
      <c r="AY84" s="56" t="s">
        <v>15179</v>
      </c>
      <c r="AZ84" s="58"/>
      <c r="BA84" s="58"/>
      <c r="BB84" s="58"/>
      <c r="BC84" s="58"/>
      <c r="BD84" s="56" t="s">
        <v>15276</v>
      </c>
      <c r="BE84" s="56" t="s">
        <v>15327</v>
      </c>
      <c r="BF84" s="56" t="s">
        <v>15181</v>
      </c>
      <c r="BG84" s="58"/>
      <c r="BH84" s="58"/>
      <c r="BI84" s="57" t="s">
        <v>2801</v>
      </c>
      <c r="BJ84" s="58"/>
      <c r="BK84" s="58"/>
      <c r="BL84" s="58"/>
      <c r="BM84" s="58"/>
      <c r="BN84" s="67">
        <v>1800</v>
      </c>
      <c r="BO84" s="58"/>
      <c r="BP84" s="56" t="s">
        <v>15714</v>
      </c>
      <c r="BQ84" s="58"/>
      <c r="BR84" s="58"/>
      <c r="BS84" s="58"/>
      <c r="BT84" s="58"/>
      <c r="BU84" s="56" t="s">
        <v>15725</v>
      </c>
      <c r="BV84" s="58"/>
      <c r="BW84" s="58"/>
      <c r="BX84" s="67">
        <v>1800</v>
      </c>
      <c r="BY84" s="56" t="s">
        <v>1285</v>
      </c>
      <c r="BZ84" s="58"/>
      <c r="CA84" s="58"/>
      <c r="CB84" s="58"/>
      <c r="CC84" s="58"/>
      <c r="CD84" s="57" t="s">
        <v>15315</v>
      </c>
    </row>
    <row r="85" ht="108" spans="1:82">
      <c r="A85" s="56" t="s">
        <v>15727</v>
      </c>
      <c r="B85" s="57" t="s">
        <v>15279</v>
      </c>
      <c r="C85" s="58"/>
      <c r="D85" s="57" t="s">
        <v>15728</v>
      </c>
      <c r="E85" s="57" t="s">
        <v>15158</v>
      </c>
      <c r="F85" s="57" t="s">
        <v>15729</v>
      </c>
      <c r="G85" s="57" t="s">
        <v>15160</v>
      </c>
      <c r="H85" s="56" t="s">
        <v>15282</v>
      </c>
      <c r="I85" s="60">
        <v>10000</v>
      </c>
      <c r="J85" s="57" t="s">
        <v>1285</v>
      </c>
      <c r="K85" s="57" t="s">
        <v>15162</v>
      </c>
      <c r="L85" s="57" t="s">
        <v>15163</v>
      </c>
      <c r="M85" s="61" t="s">
        <v>14860</v>
      </c>
      <c r="N85" s="62" t="s">
        <v>14860</v>
      </c>
      <c r="O85" s="57" t="s">
        <v>15165</v>
      </c>
      <c r="P85" s="57" t="s">
        <v>15166</v>
      </c>
      <c r="Q85" s="57" t="s">
        <v>15282</v>
      </c>
      <c r="R85" s="57" t="s">
        <v>15283</v>
      </c>
      <c r="S85" s="57" t="s">
        <v>15284</v>
      </c>
      <c r="T85" s="58"/>
      <c r="U85" s="57" t="s">
        <v>14184</v>
      </c>
      <c r="V85" s="56" t="s">
        <v>14153</v>
      </c>
      <c r="W85" s="58"/>
      <c r="X85" s="57" t="s">
        <v>15730</v>
      </c>
      <c r="Y85" s="57" t="s">
        <v>15170</v>
      </c>
      <c r="Z85" s="61" t="s">
        <v>15709</v>
      </c>
      <c r="AA85" s="61" t="s">
        <v>14860</v>
      </c>
      <c r="AB85" s="57" t="s">
        <v>15171</v>
      </c>
      <c r="AC85" s="57" t="s">
        <v>15172</v>
      </c>
      <c r="AD85" s="58"/>
      <c r="AE85" s="58"/>
      <c r="AF85" s="57" t="s">
        <v>15173</v>
      </c>
      <c r="AG85" s="58"/>
      <c r="AH85" s="58"/>
      <c r="AI85" s="57" t="s">
        <v>15173</v>
      </c>
      <c r="AJ85" s="58"/>
      <c r="AK85" s="56" t="s">
        <v>1285</v>
      </c>
      <c r="AL85" s="56" t="s">
        <v>15731</v>
      </c>
      <c r="AM85" s="58"/>
      <c r="AN85" s="56" t="s">
        <v>15711</v>
      </c>
      <c r="AO85" s="58"/>
      <c r="AP85" s="63">
        <v>45703.5558680556</v>
      </c>
      <c r="AQ85" s="56" t="s">
        <v>15732</v>
      </c>
      <c r="AR85" s="61" t="s">
        <v>14754</v>
      </c>
      <c r="AS85" s="58"/>
      <c r="AT85" s="56" t="s">
        <v>15289</v>
      </c>
      <c r="AU85" s="56" t="s">
        <v>15733</v>
      </c>
      <c r="AV85" s="56" t="s">
        <v>15728</v>
      </c>
      <c r="AW85" s="64">
        <v>45695.3634953704</v>
      </c>
      <c r="AX85" s="56" t="s">
        <v>15731</v>
      </c>
      <c r="AY85" s="56" t="s">
        <v>15179</v>
      </c>
      <c r="AZ85" s="58"/>
      <c r="BA85" s="58"/>
      <c r="BB85" s="58"/>
      <c r="BC85" s="58"/>
      <c r="BD85" s="56" t="s">
        <v>15180</v>
      </c>
      <c r="BE85" s="58"/>
      <c r="BF85" s="56" t="s">
        <v>15181</v>
      </c>
      <c r="BG85" s="58"/>
      <c r="BH85" s="58"/>
      <c r="BI85" s="57" t="s">
        <v>15291</v>
      </c>
      <c r="BJ85" s="58"/>
      <c r="BK85" s="58"/>
      <c r="BL85" s="58"/>
      <c r="BM85" s="58"/>
      <c r="BN85" s="67">
        <v>10000</v>
      </c>
      <c r="BO85" s="58"/>
      <c r="BP85" s="56" t="s">
        <v>15714</v>
      </c>
      <c r="BQ85" s="58"/>
      <c r="BR85" s="58"/>
      <c r="BS85" s="58"/>
      <c r="BT85" s="56" t="s">
        <v>1285</v>
      </c>
      <c r="BU85" s="56" t="s">
        <v>15732</v>
      </c>
      <c r="BV85" s="58"/>
      <c r="BW85" s="58"/>
      <c r="BX85" s="67">
        <v>10000</v>
      </c>
      <c r="BY85" s="58"/>
      <c r="BZ85" s="56" t="s">
        <v>15160</v>
      </c>
      <c r="CA85" s="58"/>
      <c r="CB85" s="58"/>
      <c r="CC85" s="58"/>
      <c r="CD85" s="57" t="s">
        <v>15315</v>
      </c>
    </row>
    <row r="86" ht="108" spans="1:82">
      <c r="A86" s="56" t="s">
        <v>15734</v>
      </c>
      <c r="B86" s="57" t="s">
        <v>15279</v>
      </c>
      <c r="C86" s="58"/>
      <c r="D86" s="57" t="s">
        <v>15735</v>
      </c>
      <c r="E86" s="57" t="s">
        <v>15158</v>
      </c>
      <c r="F86" s="57" t="s">
        <v>15736</v>
      </c>
      <c r="G86" s="57" t="s">
        <v>15160</v>
      </c>
      <c r="H86" s="56" t="s">
        <v>15282</v>
      </c>
      <c r="I86" s="60">
        <v>6648</v>
      </c>
      <c r="J86" s="57" t="s">
        <v>1285</v>
      </c>
      <c r="K86" s="57" t="s">
        <v>15162</v>
      </c>
      <c r="L86" s="57" t="s">
        <v>15163</v>
      </c>
      <c r="M86" s="61" t="s">
        <v>14860</v>
      </c>
      <c r="N86" s="62" t="s">
        <v>14860</v>
      </c>
      <c r="O86" s="57" t="s">
        <v>15165</v>
      </c>
      <c r="P86" s="57" t="s">
        <v>15166</v>
      </c>
      <c r="Q86" s="57" t="s">
        <v>15282</v>
      </c>
      <c r="R86" s="57" t="s">
        <v>15283</v>
      </c>
      <c r="S86" s="57" t="s">
        <v>15284</v>
      </c>
      <c r="T86" s="58"/>
      <c r="U86" s="57" t="s">
        <v>14184</v>
      </c>
      <c r="V86" s="56" t="s">
        <v>14153</v>
      </c>
      <c r="W86" s="58"/>
      <c r="X86" s="57" t="s">
        <v>15737</v>
      </c>
      <c r="Y86" s="57" t="s">
        <v>15170</v>
      </c>
      <c r="Z86" s="61" t="s">
        <v>15709</v>
      </c>
      <c r="AA86" s="61" t="s">
        <v>14860</v>
      </c>
      <c r="AB86" s="57" t="s">
        <v>15171</v>
      </c>
      <c r="AC86" s="57" t="s">
        <v>15172</v>
      </c>
      <c r="AD86" s="58"/>
      <c r="AE86" s="58"/>
      <c r="AF86" s="57" t="s">
        <v>15173</v>
      </c>
      <c r="AG86" s="58"/>
      <c r="AH86" s="58"/>
      <c r="AI86" s="57" t="s">
        <v>15173</v>
      </c>
      <c r="AJ86" s="58"/>
      <c r="AK86" s="56" t="s">
        <v>1285</v>
      </c>
      <c r="AL86" s="56" t="s">
        <v>15738</v>
      </c>
      <c r="AM86" s="58"/>
      <c r="AN86" s="56" t="s">
        <v>15711</v>
      </c>
      <c r="AO86" s="58"/>
      <c r="AP86" s="63">
        <v>45703.5538310185</v>
      </c>
      <c r="AQ86" s="56" t="s">
        <v>15739</v>
      </c>
      <c r="AR86" s="61" t="s">
        <v>14754</v>
      </c>
      <c r="AS86" s="58"/>
      <c r="AT86" s="56" t="s">
        <v>15289</v>
      </c>
      <c r="AU86" s="56" t="s">
        <v>15740</v>
      </c>
      <c r="AV86" s="56" t="s">
        <v>15735</v>
      </c>
      <c r="AW86" s="64">
        <v>45680.6979282407</v>
      </c>
      <c r="AX86" s="56" t="s">
        <v>15738</v>
      </c>
      <c r="AY86" s="56" t="s">
        <v>15179</v>
      </c>
      <c r="AZ86" s="58"/>
      <c r="BA86" s="58"/>
      <c r="BB86" s="58"/>
      <c r="BC86" s="58"/>
      <c r="BD86" s="56" t="s">
        <v>15741</v>
      </c>
      <c r="BE86" s="58"/>
      <c r="BF86" s="56" t="s">
        <v>15181</v>
      </c>
      <c r="BG86" s="58"/>
      <c r="BH86" s="58"/>
      <c r="BI86" s="57" t="s">
        <v>15291</v>
      </c>
      <c r="BJ86" s="58"/>
      <c r="BK86" s="58"/>
      <c r="BL86" s="58"/>
      <c r="BM86" s="58"/>
      <c r="BN86" s="67">
        <v>6648</v>
      </c>
      <c r="BO86" s="58"/>
      <c r="BP86" s="56" t="s">
        <v>15714</v>
      </c>
      <c r="BQ86" s="58"/>
      <c r="BR86" s="58"/>
      <c r="BS86" s="58"/>
      <c r="BT86" s="56" t="s">
        <v>1285</v>
      </c>
      <c r="BU86" s="56" t="s">
        <v>15739</v>
      </c>
      <c r="BV86" s="58"/>
      <c r="BW86" s="58"/>
      <c r="BX86" s="67">
        <v>6648</v>
      </c>
      <c r="BY86" s="58"/>
      <c r="BZ86" s="56" t="s">
        <v>15160</v>
      </c>
      <c r="CA86" s="58"/>
      <c r="CB86" s="58"/>
      <c r="CC86" s="58"/>
      <c r="CD86" s="57" t="s">
        <v>15315</v>
      </c>
    </row>
    <row r="87" ht="108" spans="1:82">
      <c r="A87" s="56" t="s">
        <v>15742</v>
      </c>
      <c r="B87" s="58"/>
      <c r="C87" s="57" t="s">
        <v>15743</v>
      </c>
      <c r="D87" s="58"/>
      <c r="E87" s="57" t="s">
        <v>15158</v>
      </c>
      <c r="F87" s="57" t="s">
        <v>15744</v>
      </c>
      <c r="G87" s="57" t="s">
        <v>15160</v>
      </c>
      <c r="H87" s="56" t="s">
        <v>5100</v>
      </c>
      <c r="I87" s="60">
        <v>27120</v>
      </c>
      <c r="J87" s="57" t="s">
        <v>1285</v>
      </c>
      <c r="K87" s="57" t="s">
        <v>15162</v>
      </c>
      <c r="L87" s="57" t="s">
        <v>15163</v>
      </c>
      <c r="M87" s="61" t="s">
        <v>14860</v>
      </c>
      <c r="N87" s="62" t="s">
        <v>14860</v>
      </c>
      <c r="O87" s="57" t="s">
        <v>15165</v>
      </c>
      <c r="P87" s="57" t="s">
        <v>15166</v>
      </c>
      <c r="Q87" s="57" t="s">
        <v>5100</v>
      </c>
      <c r="R87" s="57" t="s">
        <v>15745</v>
      </c>
      <c r="S87" s="57" t="s">
        <v>15746</v>
      </c>
      <c r="T87" s="57" t="s">
        <v>15190</v>
      </c>
      <c r="U87" s="57" t="s">
        <v>14184</v>
      </c>
      <c r="V87" s="56" t="s">
        <v>14153</v>
      </c>
      <c r="W87" s="58"/>
      <c r="X87" s="57" t="s">
        <v>15747</v>
      </c>
      <c r="Y87" s="57" t="s">
        <v>15170</v>
      </c>
      <c r="Z87" s="61" t="s">
        <v>15709</v>
      </c>
      <c r="AA87" s="61" t="s">
        <v>14860</v>
      </c>
      <c r="AB87" s="58"/>
      <c r="AC87" s="57" t="s">
        <v>15172</v>
      </c>
      <c r="AD87" s="58"/>
      <c r="AE87" s="58"/>
      <c r="AF87" s="58"/>
      <c r="AG87" s="58"/>
      <c r="AH87" s="58"/>
      <c r="AI87" s="58"/>
      <c r="AJ87" s="58"/>
      <c r="AK87" s="56" t="s">
        <v>1285</v>
      </c>
      <c r="AL87" s="56" t="s">
        <v>15748</v>
      </c>
      <c r="AM87" s="58"/>
      <c r="AN87" s="56" t="s">
        <v>15711</v>
      </c>
      <c r="AO87" s="58"/>
      <c r="AP87" s="63">
        <v>45703.5571643518</v>
      </c>
      <c r="AQ87" s="56" t="s">
        <v>15749</v>
      </c>
      <c r="AR87" s="61" t="s">
        <v>14754</v>
      </c>
      <c r="AS87" s="57" t="s">
        <v>14184</v>
      </c>
      <c r="AT87" s="56" t="s">
        <v>15177</v>
      </c>
      <c r="AU87" s="56" t="s">
        <v>15750</v>
      </c>
      <c r="AV87" s="58"/>
      <c r="AW87" s="64">
        <v>45677.5035416667</v>
      </c>
      <c r="AX87" s="56" t="s">
        <v>15748</v>
      </c>
      <c r="AY87" s="56" t="s">
        <v>15179</v>
      </c>
      <c r="AZ87" s="58"/>
      <c r="BA87" s="58"/>
      <c r="BB87" s="58"/>
      <c r="BC87" s="56" t="s">
        <v>5098</v>
      </c>
      <c r="BD87" s="56" t="s">
        <v>15353</v>
      </c>
      <c r="BE87" s="56" t="s">
        <v>15751</v>
      </c>
      <c r="BF87" s="56" t="s">
        <v>15181</v>
      </c>
      <c r="BG87" s="58"/>
      <c r="BH87" s="58"/>
      <c r="BI87" s="57" t="s">
        <v>2801</v>
      </c>
      <c r="BJ87" s="58"/>
      <c r="BK87" s="58"/>
      <c r="BL87" s="66">
        <v>3401102</v>
      </c>
      <c r="BM87" s="56" t="s">
        <v>15752</v>
      </c>
      <c r="BN87" s="58"/>
      <c r="BO87" s="67">
        <v>27120</v>
      </c>
      <c r="BP87" s="56" t="s">
        <v>15714</v>
      </c>
      <c r="BQ87" s="58"/>
      <c r="BR87" s="56" t="s">
        <v>15753</v>
      </c>
      <c r="BS87" s="56" t="s">
        <v>1285</v>
      </c>
      <c r="BT87" s="58"/>
      <c r="BU87" s="56" t="s">
        <v>15749</v>
      </c>
      <c r="BV87" s="58"/>
      <c r="BW87" s="58"/>
      <c r="BX87" s="67">
        <v>27120</v>
      </c>
      <c r="BY87" s="56" t="s">
        <v>1285</v>
      </c>
      <c r="BZ87" s="58"/>
      <c r="CA87" s="58"/>
      <c r="CB87" s="58"/>
      <c r="CC87" s="58"/>
      <c r="CD87" s="58"/>
    </row>
    <row r="88" ht="108" spans="1:82">
      <c r="A88" s="56" t="s">
        <v>15754</v>
      </c>
      <c r="B88" s="57" t="s">
        <v>15156</v>
      </c>
      <c r="C88" s="58"/>
      <c r="D88" s="57" t="s">
        <v>15755</v>
      </c>
      <c r="E88" s="57" t="s">
        <v>15158</v>
      </c>
      <c r="F88" s="57" t="s">
        <v>15756</v>
      </c>
      <c r="G88" s="57" t="s">
        <v>15160</v>
      </c>
      <c r="H88" s="56" t="s">
        <v>15757</v>
      </c>
      <c r="I88" s="60">
        <v>87050</v>
      </c>
      <c r="J88" s="57" t="s">
        <v>1285</v>
      </c>
      <c r="K88" s="57" t="s">
        <v>15162</v>
      </c>
      <c r="L88" s="57" t="s">
        <v>15163</v>
      </c>
      <c r="M88" s="61" t="s">
        <v>14860</v>
      </c>
      <c r="N88" s="62" t="s">
        <v>14860</v>
      </c>
      <c r="O88" s="57" t="s">
        <v>15165</v>
      </c>
      <c r="P88" s="57" t="s">
        <v>15166</v>
      </c>
      <c r="Q88" s="57" t="s">
        <v>15757</v>
      </c>
      <c r="R88" s="57" t="s">
        <v>15758</v>
      </c>
      <c r="S88" s="57" t="s">
        <v>15759</v>
      </c>
      <c r="T88" s="58"/>
      <c r="U88" s="57" t="s">
        <v>14184</v>
      </c>
      <c r="V88" s="56" t="s">
        <v>14153</v>
      </c>
      <c r="W88" s="58"/>
      <c r="X88" s="57" t="s">
        <v>15310</v>
      </c>
      <c r="Y88" s="57" t="s">
        <v>15170</v>
      </c>
      <c r="Z88" s="61" t="s">
        <v>15709</v>
      </c>
      <c r="AA88" s="61" t="s">
        <v>14860</v>
      </c>
      <c r="AB88" s="57" t="s">
        <v>15171</v>
      </c>
      <c r="AC88" s="57" t="s">
        <v>15172</v>
      </c>
      <c r="AD88" s="58"/>
      <c r="AE88" s="58"/>
      <c r="AF88" s="58"/>
      <c r="AG88" s="58"/>
      <c r="AH88" s="58"/>
      <c r="AI88" s="58"/>
      <c r="AJ88" s="58"/>
      <c r="AK88" s="56" t="s">
        <v>1285</v>
      </c>
      <c r="AL88" s="56" t="s">
        <v>15760</v>
      </c>
      <c r="AM88" s="58"/>
      <c r="AN88" s="56" t="s">
        <v>15711</v>
      </c>
      <c r="AO88" s="58"/>
      <c r="AP88" s="63">
        <v>45703.5549189815</v>
      </c>
      <c r="AQ88" s="56" t="s">
        <v>15761</v>
      </c>
      <c r="AR88" s="61" t="s">
        <v>14754</v>
      </c>
      <c r="AS88" s="57" t="s">
        <v>14184</v>
      </c>
      <c r="AT88" s="56" t="s">
        <v>15177</v>
      </c>
      <c r="AU88" s="56" t="s">
        <v>15762</v>
      </c>
      <c r="AV88" s="58"/>
      <c r="AW88" s="64">
        <v>45664.7849189815</v>
      </c>
      <c r="AX88" s="56" t="s">
        <v>15760</v>
      </c>
      <c r="AY88" s="56" t="s">
        <v>15179</v>
      </c>
      <c r="AZ88" s="58"/>
      <c r="BA88" s="58"/>
      <c r="BB88" s="58"/>
      <c r="BC88" s="58"/>
      <c r="BD88" s="56" t="s">
        <v>15180</v>
      </c>
      <c r="BE88" s="58"/>
      <c r="BF88" s="56" t="s">
        <v>15181</v>
      </c>
      <c r="BG88" s="58"/>
      <c r="BH88" s="58"/>
      <c r="BI88" s="57" t="s">
        <v>732</v>
      </c>
      <c r="BJ88" s="58"/>
      <c r="BK88" s="58"/>
      <c r="BL88" s="58"/>
      <c r="BM88" s="58"/>
      <c r="BN88" s="67">
        <v>87050</v>
      </c>
      <c r="BO88" s="58"/>
      <c r="BP88" s="56" t="s">
        <v>15714</v>
      </c>
      <c r="BQ88" s="58"/>
      <c r="BR88" s="58"/>
      <c r="BS88" s="58"/>
      <c r="BT88" s="58"/>
      <c r="BU88" s="56" t="s">
        <v>15761</v>
      </c>
      <c r="BV88" s="58"/>
      <c r="BW88" s="58"/>
      <c r="BX88" s="67">
        <v>87050</v>
      </c>
      <c r="BY88" s="58"/>
      <c r="BZ88" s="58"/>
      <c r="CA88" s="56" t="s">
        <v>15763</v>
      </c>
      <c r="CB88" s="58"/>
      <c r="CC88" s="58"/>
      <c r="CD88" s="58"/>
    </row>
    <row r="89" ht="81" spans="1:82">
      <c r="A89" s="56" t="s">
        <v>15764</v>
      </c>
      <c r="B89" s="57" t="s">
        <v>15279</v>
      </c>
      <c r="C89" s="58"/>
      <c r="D89" s="57" t="s">
        <v>15765</v>
      </c>
      <c r="E89" s="57" t="s">
        <v>15158</v>
      </c>
      <c r="F89" s="57" t="s">
        <v>15417</v>
      </c>
      <c r="G89" s="57" t="s">
        <v>15264</v>
      </c>
      <c r="H89" s="56" t="s">
        <v>15419</v>
      </c>
      <c r="I89" s="60">
        <v>25000</v>
      </c>
      <c r="J89" s="58"/>
      <c r="K89" s="58"/>
      <c r="L89" s="57" t="s">
        <v>15163</v>
      </c>
      <c r="M89" s="61" t="s">
        <v>14860</v>
      </c>
      <c r="N89" s="62" t="s">
        <v>14860</v>
      </c>
      <c r="O89" s="58"/>
      <c r="P89" s="58"/>
      <c r="Q89" s="57" t="s">
        <v>15419</v>
      </c>
      <c r="R89" s="57" t="s">
        <v>15421</v>
      </c>
      <c r="S89" s="57" t="s">
        <v>15422</v>
      </c>
      <c r="T89" s="58"/>
      <c r="U89" s="58"/>
      <c r="V89" s="56" t="s">
        <v>14153</v>
      </c>
      <c r="W89" s="58"/>
      <c r="X89" s="57" t="s">
        <v>15310</v>
      </c>
      <c r="Y89" s="57" t="s">
        <v>15400</v>
      </c>
      <c r="Z89" s="61" t="s">
        <v>14860</v>
      </c>
      <c r="AA89" s="61" t="s">
        <v>15420</v>
      </c>
      <c r="AB89" s="57" t="s">
        <v>15171</v>
      </c>
      <c r="AC89" s="57" t="s">
        <v>15172</v>
      </c>
      <c r="AD89" s="58"/>
      <c r="AE89" s="58"/>
      <c r="AF89" s="57" t="s">
        <v>15173</v>
      </c>
      <c r="AG89" s="58"/>
      <c r="AH89" s="58"/>
      <c r="AI89" s="57" t="s">
        <v>15173</v>
      </c>
      <c r="AJ89" s="58"/>
      <c r="AK89" s="56" t="s">
        <v>1285</v>
      </c>
      <c r="AL89" s="56" t="s">
        <v>15766</v>
      </c>
      <c r="AM89" s="58"/>
      <c r="AN89" s="56" t="s">
        <v>15767</v>
      </c>
      <c r="AO89" s="58"/>
      <c r="AP89" s="63">
        <v>45730.6924189815</v>
      </c>
      <c r="AQ89" s="58"/>
      <c r="AR89" s="61" t="s">
        <v>14548</v>
      </c>
      <c r="AS89" s="58"/>
      <c r="AT89" s="56" t="s">
        <v>15289</v>
      </c>
      <c r="AU89" s="56" t="s">
        <v>15768</v>
      </c>
      <c r="AV89" s="56" t="s">
        <v>15765</v>
      </c>
      <c r="AW89" s="64">
        <v>45702.829375</v>
      </c>
      <c r="AX89" s="56" t="s">
        <v>15766</v>
      </c>
      <c r="AY89" s="56" t="s">
        <v>15179</v>
      </c>
      <c r="AZ89" s="58"/>
      <c r="BA89" s="58"/>
      <c r="BB89" s="58"/>
      <c r="BC89" s="58"/>
      <c r="BD89" s="56" t="s">
        <v>15429</v>
      </c>
      <c r="BE89" s="58"/>
      <c r="BF89" s="56" t="s">
        <v>15181</v>
      </c>
      <c r="BG89" s="58"/>
      <c r="BH89" s="58"/>
      <c r="BI89" s="57" t="s">
        <v>15291</v>
      </c>
      <c r="BJ89" s="58"/>
      <c r="BK89" s="58"/>
      <c r="BL89" s="58"/>
      <c r="BM89" s="58"/>
      <c r="BN89" s="67">
        <v>25000</v>
      </c>
      <c r="BO89" s="58"/>
      <c r="BP89" s="56" t="s">
        <v>15430</v>
      </c>
      <c r="BQ89" s="58"/>
      <c r="BR89" s="58"/>
      <c r="BS89" s="58"/>
      <c r="BT89" s="56" t="s">
        <v>1285</v>
      </c>
      <c r="BU89" s="58"/>
      <c r="BV89" s="56" t="s">
        <v>15183</v>
      </c>
      <c r="BW89" s="58"/>
      <c r="BX89" s="67">
        <v>25000</v>
      </c>
      <c r="BY89" s="58"/>
      <c r="BZ89" s="56" t="s">
        <v>15264</v>
      </c>
      <c r="CA89" s="58"/>
      <c r="CB89" s="58"/>
      <c r="CC89" s="58"/>
      <c r="CD89" s="57" t="s">
        <v>15315</v>
      </c>
    </row>
    <row r="90" ht="108" spans="1:82">
      <c r="A90" s="56" t="s">
        <v>15769</v>
      </c>
      <c r="B90" s="57" t="s">
        <v>15156</v>
      </c>
      <c r="C90" s="58"/>
      <c r="D90" s="57" t="s">
        <v>15770</v>
      </c>
      <c r="E90" s="57" t="s">
        <v>15158</v>
      </c>
      <c r="F90" s="57" t="s">
        <v>15771</v>
      </c>
      <c r="G90" s="57" t="s">
        <v>15160</v>
      </c>
      <c r="H90" s="56" t="s">
        <v>15772</v>
      </c>
      <c r="I90" s="60">
        <v>1400</v>
      </c>
      <c r="J90" s="57" t="s">
        <v>1285</v>
      </c>
      <c r="K90" s="57" t="s">
        <v>15162</v>
      </c>
      <c r="L90" s="57" t="s">
        <v>15163</v>
      </c>
      <c r="M90" s="61" t="s">
        <v>15773</v>
      </c>
      <c r="N90" s="62" t="s">
        <v>15774</v>
      </c>
      <c r="O90" s="57" t="s">
        <v>15165</v>
      </c>
      <c r="P90" s="57" t="s">
        <v>15166</v>
      </c>
      <c r="Q90" s="57" t="s">
        <v>15772</v>
      </c>
      <c r="R90" s="57" t="s">
        <v>15775</v>
      </c>
      <c r="S90" s="57" t="s">
        <v>15776</v>
      </c>
      <c r="T90" s="58"/>
      <c r="U90" s="57" t="s">
        <v>14184</v>
      </c>
      <c r="V90" s="56" t="s">
        <v>14153</v>
      </c>
      <c r="W90" s="58"/>
      <c r="X90" s="57" t="s">
        <v>15442</v>
      </c>
      <c r="Y90" s="57" t="s">
        <v>15443</v>
      </c>
      <c r="Z90" s="61" t="s">
        <v>15774</v>
      </c>
      <c r="AA90" s="61" t="s">
        <v>15773</v>
      </c>
      <c r="AB90" s="57" t="s">
        <v>15171</v>
      </c>
      <c r="AC90" s="57" t="s">
        <v>15172</v>
      </c>
      <c r="AD90" s="58"/>
      <c r="AE90" s="58"/>
      <c r="AF90" s="57" t="s">
        <v>15173</v>
      </c>
      <c r="AG90" s="58"/>
      <c r="AH90" s="58"/>
      <c r="AI90" s="57" t="s">
        <v>15173</v>
      </c>
      <c r="AJ90" s="58"/>
      <c r="AK90" s="56" t="s">
        <v>1285</v>
      </c>
      <c r="AL90" s="56" t="s">
        <v>15777</v>
      </c>
      <c r="AM90" s="58"/>
      <c r="AN90" s="56" t="s">
        <v>15223</v>
      </c>
      <c r="AO90" s="58"/>
      <c r="AP90" s="63">
        <v>45821.7861574074</v>
      </c>
      <c r="AQ90" s="56" t="s">
        <v>15778</v>
      </c>
      <c r="AR90" s="61" t="s">
        <v>15448</v>
      </c>
      <c r="AS90" s="57" t="s">
        <v>14184</v>
      </c>
      <c r="AT90" s="56" t="s">
        <v>15177</v>
      </c>
      <c r="AU90" s="56" t="s">
        <v>15779</v>
      </c>
      <c r="AV90" s="58"/>
      <c r="AW90" s="64">
        <v>45813.4462731481</v>
      </c>
      <c r="AX90" s="56" t="s">
        <v>15777</v>
      </c>
      <c r="AY90" s="56" t="s">
        <v>15179</v>
      </c>
      <c r="AZ90" s="58"/>
      <c r="BA90" s="58"/>
      <c r="BB90" s="58"/>
      <c r="BC90" s="58"/>
      <c r="BD90" s="56" t="s">
        <v>15276</v>
      </c>
      <c r="BE90" s="56" t="s">
        <v>15780</v>
      </c>
      <c r="BF90" s="56" t="s">
        <v>15181</v>
      </c>
      <c r="BG90" s="58"/>
      <c r="BH90" s="58"/>
      <c r="BI90" s="57" t="s">
        <v>2801</v>
      </c>
      <c r="BJ90" s="58"/>
      <c r="BK90" s="58"/>
      <c r="BL90" s="58"/>
      <c r="BM90" s="58"/>
      <c r="BN90" s="67">
        <v>1400</v>
      </c>
      <c r="BO90" s="58"/>
      <c r="BP90" s="56" t="s">
        <v>15450</v>
      </c>
      <c r="BQ90" s="58"/>
      <c r="BR90" s="58"/>
      <c r="BS90" s="58"/>
      <c r="BT90" s="58"/>
      <c r="BU90" s="56" t="s">
        <v>15778</v>
      </c>
      <c r="BV90" s="58"/>
      <c r="BW90" s="58"/>
      <c r="BX90" s="67">
        <v>1400</v>
      </c>
      <c r="BY90" s="56" t="s">
        <v>1285</v>
      </c>
      <c r="BZ90" s="58"/>
      <c r="CA90" s="56" t="s">
        <v>15160</v>
      </c>
      <c r="CB90" s="56" t="s">
        <v>15183</v>
      </c>
      <c r="CC90" s="58"/>
      <c r="CD90" s="58"/>
    </row>
    <row r="91" ht="108" spans="1:82">
      <c r="A91" s="56" t="s">
        <v>15781</v>
      </c>
      <c r="B91" s="57" t="s">
        <v>15279</v>
      </c>
      <c r="C91" s="58"/>
      <c r="D91" s="57" t="s">
        <v>15782</v>
      </c>
      <c r="E91" s="57" t="s">
        <v>15158</v>
      </c>
      <c r="F91" s="57" t="s">
        <v>15783</v>
      </c>
      <c r="G91" s="57" t="s">
        <v>15160</v>
      </c>
      <c r="H91" s="56" t="s">
        <v>15282</v>
      </c>
      <c r="I91" s="60">
        <v>2476.06</v>
      </c>
      <c r="J91" s="57" t="s">
        <v>1285</v>
      </c>
      <c r="K91" s="57" t="s">
        <v>15162</v>
      </c>
      <c r="L91" s="57" t="s">
        <v>15163</v>
      </c>
      <c r="M91" s="61" t="s">
        <v>15773</v>
      </c>
      <c r="N91" s="62" t="s">
        <v>14395</v>
      </c>
      <c r="O91" s="57" t="s">
        <v>15165</v>
      </c>
      <c r="P91" s="57" t="s">
        <v>15166</v>
      </c>
      <c r="Q91" s="57" t="s">
        <v>15282</v>
      </c>
      <c r="R91" s="57" t="s">
        <v>15283</v>
      </c>
      <c r="S91" s="57" t="s">
        <v>15284</v>
      </c>
      <c r="T91" s="58"/>
      <c r="U91" s="57" t="s">
        <v>14184</v>
      </c>
      <c r="V91" s="56" t="s">
        <v>14153</v>
      </c>
      <c r="W91" s="58"/>
      <c r="X91" s="57" t="s">
        <v>15784</v>
      </c>
      <c r="Y91" s="57" t="s">
        <v>15170</v>
      </c>
      <c r="Z91" s="61" t="s">
        <v>15465</v>
      </c>
      <c r="AA91" s="61" t="s">
        <v>15773</v>
      </c>
      <c r="AB91" s="57" t="s">
        <v>15171</v>
      </c>
      <c r="AC91" s="57" t="s">
        <v>15172</v>
      </c>
      <c r="AD91" s="58"/>
      <c r="AE91" s="58"/>
      <c r="AF91" s="57" t="s">
        <v>15173</v>
      </c>
      <c r="AG91" s="58"/>
      <c r="AH91" s="58"/>
      <c r="AI91" s="57" t="s">
        <v>15173</v>
      </c>
      <c r="AJ91" s="58"/>
      <c r="AK91" s="56" t="s">
        <v>1285</v>
      </c>
      <c r="AL91" s="56" t="s">
        <v>15785</v>
      </c>
      <c r="AM91" s="58"/>
      <c r="AN91" s="56" t="s">
        <v>15786</v>
      </c>
      <c r="AO91" s="58"/>
      <c r="AP91" s="63">
        <v>45821.7951273148</v>
      </c>
      <c r="AQ91" s="56" t="s">
        <v>15787</v>
      </c>
      <c r="AR91" s="61" t="s">
        <v>15448</v>
      </c>
      <c r="AS91" s="58"/>
      <c r="AT91" s="56" t="s">
        <v>15289</v>
      </c>
      <c r="AU91" s="56" t="s">
        <v>15788</v>
      </c>
      <c r="AV91" s="56" t="s">
        <v>15782</v>
      </c>
      <c r="AW91" s="64">
        <v>45793.4960185185</v>
      </c>
      <c r="AX91" s="56" t="s">
        <v>15785</v>
      </c>
      <c r="AY91" s="56" t="s">
        <v>15179</v>
      </c>
      <c r="AZ91" s="58"/>
      <c r="BA91" s="58"/>
      <c r="BB91" s="58"/>
      <c r="BC91" s="58"/>
      <c r="BD91" s="56" t="s">
        <v>15741</v>
      </c>
      <c r="BE91" s="58"/>
      <c r="BF91" s="56" t="s">
        <v>15181</v>
      </c>
      <c r="BG91" s="58"/>
      <c r="BH91" s="58"/>
      <c r="BI91" s="57" t="s">
        <v>15291</v>
      </c>
      <c r="BJ91" s="58"/>
      <c r="BK91" s="58"/>
      <c r="BL91" s="58"/>
      <c r="BM91" s="58"/>
      <c r="BN91" s="67">
        <v>2476.06</v>
      </c>
      <c r="BO91" s="58"/>
      <c r="BP91" s="56" t="s">
        <v>15450</v>
      </c>
      <c r="BQ91" s="58"/>
      <c r="BR91" s="58"/>
      <c r="BS91" s="58"/>
      <c r="BT91" s="56" t="s">
        <v>1285</v>
      </c>
      <c r="BU91" s="56" t="s">
        <v>15787</v>
      </c>
      <c r="BV91" s="58"/>
      <c r="BW91" s="58"/>
      <c r="BX91" s="67">
        <v>2476.06</v>
      </c>
      <c r="BY91" s="58"/>
      <c r="BZ91" s="56" t="s">
        <v>15160</v>
      </c>
      <c r="CA91" s="58"/>
      <c r="CB91" s="58"/>
      <c r="CC91" s="58"/>
      <c r="CD91" s="58"/>
    </row>
    <row r="92" ht="108" spans="1:82">
      <c r="A92" s="56" t="s">
        <v>15789</v>
      </c>
      <c r="B92" s="57" t="s">
        <v>15790</v>
      </c>
      <c r="C92" s="58"/>
      <c r="D92" s="57" t="s">
        <v>15791</v>
      </c>
      <c r="E92" s="57" t="s">
        <v>15158</v>
      </c>
      <c r="F92" s="57" t="s">
        <v>15792</v>
      </c>
      <c r="G92" s="57" t="s">
        <v>15160</v>
      </c>
      <c r="H92" s="56" t="s">
        <v>15793</v>
      </c>
      <c r="I92" s="60">
        <v>17900</v>
      </c>
      <c r="J92" s="57" t="s">
        <v>1285</v>
      </c>
      <c r="K92" s="57" t="s">
        <v>15162</v>
      </c>
      <c r="L92" s="57" t="s">
        <v>15163</v>
      </c>
      <c r="M92" s="61" t="s">
        <v>15773</v>
      </c>
      <c r="N92" s="62" t="s">
        <v>15461</v>
      </c>
      <c r="O92" s="57" t="s">
        <v>15165</v>
      </c>
      <c r="P92" s="57" t="s">
        <v>15166</v>
      </c>
      <c r="Q92" s="57" t="s">
        <v>15793</v>
      </c>
      <c r="R92" s="57" t="s">
        <v>15794</v>
      </c>
      <c r="S92" s="57" t="s">
        <v>15795</v>
      </c>
      <c r="T92" s="58"/>
      <c r="U92" s="57" t="s">
        <v>14184</v>
      </c>
      <c r="V92" s="56" t="s">
        <v>14153</v>
      </c>
      <c r="W92" s="58"/>
      <c r="X92" s="57" t="s">
        <v>15796</v>
      </c>
      <c r="Y92" s="57" t="s">
        <v>15170</v>
      </c>
      <c r="Z92" s="61" t="s">
        <v>15465</v>
      </c>
      <c r="AA92" s="61" t="s">
        <v>15773</v>
      </c>
      <c r="AB92" s="57" t="s">
        <v>15171</v>
      </c>
      <c r="AC92" s="57" t="s">
        <v>15172</v>
      </c>
      <c r="AD92" s="58"/>
      <c r="AE92" s="58"/>
      <c r="AF92" s="57" t="s">
        <v>15173</v>
      </c>
      <c r="AG92" s="58"/>
      <c r="AH92" s="58"/>
      <c r="AI92" s="57" t="s">
        <v>15173</v>
      </c>
      <c r="AJ92" s="58"/>
      <c r="AK92" s="56" t="s">
        <v>1285</v>
      </c>
      <c r="AL92" s="56" t="s">
        <v>15797</v>
      </c>
      <c r="AM92" s="58"/>
      <c r="AN92" s="56" t="s">
        <v>15798</v>
      </c>
      <c r="AO92" s="58"/>
      <c r="AP92" s="63">
        <v>45821.7906944444</v>
      </c>
      <c r="AQ92" s="56" t="s">
        <v>15799</v>
      </c>
      <c r="AR92" s="61" t="s">
        <v>15448</v>
      </c>
      <c r="AS92" s="57" t="s">
        <v>14184</v>
      </c>
      <c r="AT92" s="56" t="s">
        <v>15800</v>
      </c>
      <c r="AU92" s="56" t="s">
        <v>15801</v>
      </c>
      <c r="AV92" s="58"/>
      <c r="AW92" s="64">
        <v>45792.3868634259</v>
      </c>
      <c r="AX92" s="56" t="s">
        <v>15797</v>
      </c>
      <c r="AY92" s="56" t="s">
        <v>15179</v>
      </c>
      <c r="AZ92" s="58"/>
      <c r="BA92" s="58"/>
      <c r="BB92" s="58"/>
      <c r="BC92" s="58"/>
      <c r="BD92" s="56" t="s">
        <v>15802</v>
      </c>
      <c r="BE92" s="58"/>
      <c r="BF92" s="56" t="s">
        <v>15181</v>
      </c>
      <c r="BG92" s="58"/>
      <c r="BH92" s="58"/>
      <c r="BI92" s="57" t="s">
        <v>2801</v>
      </c>
      <c r="BJ92" s="58"/>
      <c r="BK92" s="58"/>
      <c r="BL92" s="58"/>
      <c r="BM92" s="58"/>
      <c r="BN92" s="67">
        <v>17900</v>
      </c>
      <c r="BO92" s="58"/>
      <c r="BP92" s="56" t="s">
        <v>15450</v>
      </c>
      <c r="BQ92" s="58"/>
      <c r="BR92" s="58"/>
      <c r="BS92" s="58"/>
      <c r="BT92" s="58"/>
      <c r="BU92" s="56" t="s">
        <v>15799</v>
      </c>
      <c r="BV92" s="58"/>
      <c r="BW92" s="58"/>
      <c r="BX92" s="67">
        <v>17900</v>
      </c>
      <c r="BY92" s="58"/>
      <c r="BZ92" s="58"/>
      <c r="CA92" s="58"/>
      <c r="CB92" s="58"/>
      <c r="CC92" s="58"/>
      <c r="CD92" s="58"/>
    </row>
    <row r="93" ht="108" spans="1:82">
      <c r="A93" s="56" t="s">
        <v>15803</v>
      </c>
      <c r="B93" s="58"/>
      <c r="C93" s="57" t="s">
        <v>15804</v>
      </c>
      <c r="D93" s="58"/>
      <c r="E93" s="57" t="s">
        <v>15158</v>
      </c>
      <c r="F93" s="57" t="s">
        <v>15805</v>
      </c>
      <c r="G93" s="57" t="s">
        <v>15160</v>
      </c>
      <c r="H93" s="56" t="s">
        <v>3307</v>
      </c>
      <c r="I93" s="60">
        <v>24495</v>
      </c>
      <c r="J93" s="57" t="s">
        <v>1285</v>
      </c>
      <c r="K93" s="57" t="s">
        <v>15162</v>
      </c>
      <c r="L93" s="57" t="s">
        <v>15163</v>
      </c>
      <c r="M93" s="61" t="s">
        <v>15773</v>
      </c>
      <c r="N93" s="62" t="s">
        <v>15504</v>
      </c>
      <c r="O93" s="57" t="s">
        <v>15165</v>
      </c>
      <c r="P93" s="57" t="s">
        <v>15166</v>
      </c>
      <c r="Q93" s="57" t="s">
        <v>3307</v>
      </c>
      <c r="R93" s="57" t="s">
        <v>15462</v>
      </c>
      <c r="S93" s="57" t="s">
        <v>15463</v>
      </c>
      <c r="T93" s="57" t="s">
        <v>15190</v>
      </c>
      <c r="U93" s="57" t="s">
        <v>14184</v>
      </c>
      <c r="V93" s="56" t="s">
        <v>14153</v>
      </c>
      <c r="W93" s="58"/>
      <c r="X93" s="57" t="s">
        <v>15806</v>
      </c>
      <c r="Y93" s="57" t="s">
        <v>15170</v>
      </c>
      <c r="Z93" s="61" t="s">
        <v>15465</v>
      </c>
      <c r="AA93" s="61" t="s">
        <v>15773</v>
      </c>
      <c r="AB93" s="58"/>
      <c r="AC93" s="57" t="s">
        <v>15172</v>
      </c>
      <c r="AD93" s="58"/>
      <c r="AE93" s="58"/>
      <c r="AF93" s="58"/>
      <c r="AG93" s="58"/>
      <c r="AH93" s="58"/>
      <c r="AI93" s="58"/>
      <c r="AJ93" s="58"/>
      <c r="AK93" s="56" t="s">
        <v>1285</v>
      </c>
      <c r="AL93" s="56" t="s">
        <v>15807</v>
      </c>
      <c r="AM93" s="58"/>
      <c r="AN93" s="56" t="s">
        <v>15808</v>
      </c>
      <c r="AO93" s="58"/>
      <c r="AP93" s="63">
        <v>45821.791099537</v>
      </c>
      <c r="AQ93" s="56" t="s">
        <v>15809</v>
      </c>
      <c r="AR93" s="61" t="s">
        <v>15448</v>
      </c>
      <c r="AS93" s="57" t="s">
        <v>14184</v>
      </c>
      <c r="AT93" s="56" t="s">
        <v>15177</v>
      </c>
      <c r="AU93" s="56" t="s">
        <v>15810</v>
      </c>
      <c r="AV93" s="58"/>
      <c r="AW93" s="64">
        <v>45791.746412037</v>
      </c>
      <c r="AX93" s="56" t="s">
        <v>15807</v>
      </c>
      <c r="AY93" s="56" t="s">
        <v>15179</v>
      </c>
      <c r="AZ93" s="58"/>
      <c r="BA93" s="58"/>
      <c r="BB93" s="58"/>
      <c r="BC93" s="56" t="s">
        <v>2902</v>
      </c>
      <c r="BD93" s="56" t="s">
        <v>15353</v>
      </c>
      <c r="BE93" s="56" t="s">
        <v>14986</v>
      </c>
      <c r="BF93" s="56" t="s">
        <v>15181</v>
      </c>
      <c r="BG93" s="58"/>
      <c r="BH93" s="58"/>
      <c r="BI93" s="57" t="s">
        <v>2801</v>
      </c>
      <c r="BJ93" s="58"/>
      <c r="BK93" s="58"/>
      <c r="BL93" s="66">
        <v>3440014</v>
      </c>
      <c r="BM93" s="56" t="s">
        <v>15811</v>
      </c>
      <c r="BN93" s="58"/>
      <c r="BO93" s="67">
        <v>24495</v>
      </c>
      <c r="BP93" s="56" t="s">
        <v>15450</v>
      </c>
      <c r="BQ93" s="58"/>
      <c r="BR93" s="56" t="s">
        <v>15812</v>
      </c>
      <c r="BS93" s="56" t="s">
        <v>1285</v>
      </c>
      <c r="BT93" s="58"/>
      <c r="BU93" s="56" t="s">
        <v>15809</v>
      </c>
      <c r="BV93" s="58"/>
      <c r="BW93" s="58"/>
      <c r="BX93" s="67">
        <v>24495</v>
      </c>
      <c r="BY93" s="56" t="s">
        <v>1285</v>
      </c>
      <c r="BZ93" s="58"/>
      <c r="CA93" s="58"/>
      <c r="CB93" s="58"/>
      <c r="CC93" s="58"/>
      <c r="CD93" s="58"/>
    </row>
    <row r="94" ht="108" spans="1:82">
      <c r="A94" s="56" t="s">
        <v>15813</v>
      </c>
      <c r="B94" s="58"/>
      <c r="C94" s="57" t="s">
        <v>15814</v>
      </c>
      <c r="D94" s="58"/>
      <c r="E94" s="57" t="s">
        <v>15158</v>
      </c>
      <c r="F94" s="57" t="s">
        <v>15815</v>
      </c>
      <c r="G94" s="57" t="s">
        <v>15160</v>
      </c>
      <c r="H94" s="56" t="s">
        <v>4043</v>
      </c>
      <c r="I94" s="60">
        <v>25971</v>
      </c>
      <c r="J94" s="57" t="s">
        <v>1285</v>
      </c>
      <c r="K94" s="57" t="s">
        <v>15162</v>
      </c>
      <c r="L94" s="57" t="s">
        <v>15163</v>
      </c>
      <c r="M94" s="61" t="s">
        <v>15773</v>
      </c>
      <c r="N94" s="62" t="s">
        <v>15515</v>
      </c>
      <c r="O94" s="57" t="s">
        <v>15165</v>
      </c>
      <c r="P94" s="57" t="s">
        <v>15166</v>
      </c>
      <c r="Q94" s="57" t="s">
        <v>4043</v>
      </c>
      <c r="R94" s="57" t="s">
        <v>15492</v>
      </c>
      <c r="S94" s="57" t="s">
        <v>15493</v>
      </c>
      <c r="T94" s="57" t="s">
        <v>15190</v>
      </c>
      <c r="U94" s="57" t="s">
        <v>14184</v>
      </c>
      <c r="V94" s="56" t="s">
        <v>14153</v>
      </c>
      <c r="W94" s="58"/>
      <c r="X94" s="57" t="s">
        <v>15816</v>
      </c>
      <c r="Y94" s="57" t="s">
        <v>15170</v>
      </c>
      <c r="Z94" s="61" t="s">
        <v>15465</v>
      </c>
      <c r="AA94" s="61" t="s">
        <v>15773</v>
      </c>
      <c r="AB94" s="58"/>
      <c r="AC94" s="57" t="s">
        <v>15172</v>
      </c>
      <c r="AD94" s="58"/>
      <c r="AE94" s="58"/>
      <c r="AF94" s="58"/>
      <c r="AG94" s="58"/>
      <c r="AH94" s="58"/>
      <c r="AI94" s="58"/>
      <c r="AJ94" s="58"/>
      <c r="AK94" s="56" t="s">
        <v>1285</v>
      </c>
      <c r="AL94" s="56" t="s">
        <v>15817</v>
      </c>
      <c r="AM94" s="58"/>
      <c r="AN94" s="56" t="s">
        <v>15818</v>
      </c>
      <c r="AO94" s="58"/>
      <c r="AP94" s="63">
        <v>45821.7950462963</v>
      </c>
      <c r="AQ94" s="56" t="s">
        <v>15819</v>
      </c>
      <c r="AR94" s="61" t="s">
        <v>15448</v>
      </c>
      <c r="AS94" s="57" t="s">
        <v>14184</v>
      </c>
      <c r="AT94" s="56" t="s">
        <v>15177</v>
      </c>
      <c r="AU94" s="56" t="s">
        <v>15820</v>
      </c>
      <c r="AV94" s="58"/>
      <c r="AW94" s="64">
        <v>45791.7457291667</v>
      </c>
      <c r="AX94" s="56" t="s">
        <v>15817</v>
      </c>
      <c r="AY94" s="56" t="s">
        <v>15179</v>
      </c>
      <c r="AZ94" s="58"/>
      <c r="BA94" s="58"/>
      <c r="BB94" s="58"/>
      <c r="BC94" s="56" t="s">
        <v>2918</v>
      </c>
      <c r="BD94" s="56" t="s">
        <v>15339</v>
      </c>
      <c r="BE94" s="56" t="s">
        <v>15821</v>
      </c>
      <c r="BF94" s="56" t="s">
        <v>15181</v>
      </c>
      <c r="BG94" s="58"/>
      <c r="BH94" s="58"/>
      <c r="BI94" s="57" t="s">
        <v>2801</v>
      </c>
      <c r="BJ94" s="58"/>
      <c r="BK94" s="58"/>
      <c r="BL94" s="66">
        <v>2915815</v>
      </c>
      <c r="BM94" s="56" t="s">
        <v>15822</v>
      </c>
      <c r="BN94" s="58"/>
      <c r="BO94" s="67">
        <v>25971</v>
      </c>
      <c r="BP94" s="56" t="s">
        <v>15450</v>
      </c>
      <c r="BQ94" s="58"/>
      <c r="BR94" s="56" t="s">
        <v>15823</v>
      </c>
      <c r="BS94" s="56" t="s">
        <v>1285</v>
      </c>
      <c r="BT94" s="58"/>
      <c r="BU94" s="56" t="s">
        <v>15819</v>
      </c>
      <c r="BV94" s="58"/>
      <c r="BW94" s="58"/>
      <c r="BX94" s="67">
        <v>25971</v>
      </c>
      <c r="BY94" s="56" t="s">
        <v>1285</v>
      </c>
      <c r="BZ94" s="58"/>
      <c r="CA94" s="58"/>
      <c r="CB94" s="58"/>
      <c r="CC94" s="58"/>
      <c r="CD94" s="58"/>
    </row>
    <row r="95" ht="108" spans="1:82">
      <c r="A95" s="56" t="s">
        <v>15824</v>
      </c>
      <c r="B95" s="57" t="s">
        <v>15156</v>
      </c>
      <c r="C95" s="58"/>
      <c r="D95" s="57" t="s">
        <v>15825</v>
      </c>
      <c r="E95" s="57" t="s">
        <v>15158</v>
      </c>
      <c r="F95" s="57" t="s">
        <v>15826</v>
      </c>
      <c r="G95" s="57" t="s">
        <v>15160</v>
      </c>
      <c r="H95" s="56" t="s">
        <v>15268</v>
      </c>
      <c r="I95" s="60">
        <v>40980</v>
      </c>
      <c r="J95" s="57" t="s">
        <v>1285</v>
      </c>
      <c r="K95" s="57" t="s">
        <v>15162</v>
      </c>
      <c r="L95" s="57" t="s">
        <v>15163</v>
      </c>
      <c r="M95" s="61" t="s">
        <v>15773</v>
      </c>
      <c r="N95" s="62" t="s">
        <v>15515</v>
      </c>
      <c r="O95" s="57" t="s">
        <v>15165</v>
      </c>
      <c r="P95" s="57" t="s">
        <v>15166</v>
      </c>
      <c r="Q95" s="57" t="s">
        <v>15268</v>
      </c>
      <c r="R95" s="57" t="s">
        <v>15269</v>
      </c>
      <c r="S95" s="57" t="s">
        <v>15270</v>
      </c>
      <c r="T95" s="58"/>
      <c r="U95" s="57" t="s">
        <v>14184</v>
      </c>
      <c r="V95" s="56" t="s">
        <v>14153</v>
      </c>
      <c r="W95" s="58"/>
      <c r="X95" s="57" t="s">
        <v>15442</v>
      </c>
      <c r="Y95" s="57" t="s">
        <v>15170</v>
      </c>
      <c r="Z95" s="61" t="s">
        <v>15461</v>
      </c>
      <c r="AA95" s="61" t="s">
        <v>15773</v>
      </c>
      <c r="AB95" s="57" t="s">
        <v>15171</v>
      </c>
      <c r="AC95" s="57" t="s">
        <v>15172</v>
      </c>
      <c r="AD95" s="58"/>
      <c r="AE95" s="58"/>
      <c r="AF95" s="57" t="s">
        <v>15173</v>
      </c>
      <c r="AG95" s="58"/>
      <c r="AH95" s="58"/>
      <c r="AI95" s="57" t="s">
        <v>15173</v>
      </c>
      <c r="AJ95" s="58"/>
      <c r="AK95" s="56" t="s">
        <v>1285</v>
      </c>
      <c r="AL95" s="56" t="s">
        <v>15827</v>
      </c>
      <c r="AM95" s="58"/>
      <c r="AN95" s="56" t="s">
        <v>15828</v>
      </c>
      <c r="AO95" s="58"/>
      <c r="AP95" s="63">
        <v>45821.791099537</v>
      </c>
      <c r="AQ95" s="56" t="s">
        <v>15829</v>
      </c>
      <c r="AR95" s="61" t="s">
        <v>15448</v>
      </c>
      <c r="AS95" s="57" t="s">
        <v>14184</v>
      </c>
      <c r="AT95" s="56" t="s">
        <v>15177</v>
      </c>
      <c r="AU95" s="56" t="s">
        <v>15830</v>
      </c>
      <c r="AV95" s="58"/>
      <c r="AW95" s="64">
        <v>45786.5906481482</v>
      </c>
      <c r="AX95" s="56" t="s">
        <v>15827</v>
      </c>
      <c r="AY95" s="56" t="s">
        <v>15179</v>
      </c>
      <c r="AZ95" s="58"/>
      <c r="BA95" s="58"/>
      <c r="BB95" s="58"/>
      <c r="BC95" s="58"/>
      <c r="BD95" s="56" t="s">
        <v>15276</v>
      </c>
      <c r="BE95" s="56" t="s">
        <v>15277</v>
      </c>
      <c r="BF95" s="56" t="s">
        <v>15181</v>
      </c>
      <c r="BG95" s="58"/>
      <c r="BH95" s="58"/>
      <c r="BI95" s="57" t="s">
        <v>2801</v>
      </c>
      <c r="BJ95" s="58"/>
      <c r="BK95" s="58"/>
      <c r="BL95" s="58"/>
      <c r="BM95" s="58"/>
      <c r="BN95" s="67">
        <v>40980</v>
      </c>
      <c r="BO95" s="58"/>
      <c r="BP95" s="56" t="s">
        <v>15450</v>
      </c>
      <c r="BQ95" s="58"/>
      <c r="BR95" s="58"/>
      <c r="BS95" s="58"/>
      <c r="BT95" s="56" t="s">
        <v>1285</v>
      </c>
      <c r="BU95" s="56" t="s">
        <v>15829</v>
      </c>
      <c r="BV95" s="58"/>
      <c r="BW95" s="58"/>
      <c r="BX95" s="67">
        <v>40980</v>
      </c>
      <c r="BY95" s="56" t="s">
        <v>1285</v>
      </c>
      <c r="BZ95" s="58"/>
      <c r="CA95" s="56" t="s">
        <v>15183</v>
      </c>
      <c r="CB95" s="56" t="s">
        <v>15183</v>
      </c>
      <c r="CC95" s="58"/>
      <c r="CD95" s="58"/>
    </row>
    <row r="96" ht="108" spans="1:82">
      <c r="A96" s="56" t="s">
        <v>15831</v>
      </c>
      <c r="B96" s="57" t="s">
        <v>15279</v>
      </c>
      <c r="C96" s="58"/>
      <c r="D96" s="57" t="s">
        <v>15832</v>
      </c>
      <c r="E96" s="57" t="s">
        <v>15158</v>
      </c>
      <c r="F96" s="57" t="s">
        <v>15833</v>
      </c>
      <c r="G96" s="57" t="s">
        <v>15160</v>
      </c>
      <c r="H96" s="56" t="s">
        <v>15419</v>
      </c>
      <c r="I96" s="60">
        <v>4517</v>
      </c>
      <c r="J96" s="57" t="s">
        <v>1285</v>
      </c>
      <c r="K96" s="57" t="s">
        <v>15162</v>
      </c>
      <c r="L96" s="57" t="s">
        <v>15163</v>
      </c>
      <c r="M96" s="61" t="s">
        <v>15773</v>
      </c>
      <c r="N96" s="62" t="s">
        <v>15515</v>
      </c>
      <c r="O96" s="57" t="s">
        <v>15165</v>
      </c>
      <c r="P96" s="57" t="s">
        <v>15166</v>
      </c>
      <c r="Q96" s="57" t="s">
        <v>15419</v>
      </c>
      <c r="R96" s="57" t="s">
        <v>15421</v>
      </c>
      <c r="S96" s="57" t="s">
        <v>15422</v>
      </c>
      <c r="T96" s="58"/>
      <c r="U96" s="57" t="s">
        <v>14184</v>
      </c>
      <c r="V96" s="56" t="s">
        <v>14153</v>
      </c>
      <c r="W96" s="58"/>
      <c r="X96" s="57" t="s">
        <v>15310</v>
      </c>
      <c r="Y96" s="57" t="s">
        <v>15170</v>
      </c>
      <c r="Z96" s="61" t="s">
        <v>15465</v>
      </c>
      <c r="AA96" s="61" t="s">
        <v>15773</v>
      </c>
      <c r="AB96" s="57" t="s">
        <v>15171</v>
      </c>
      <c r="AC96" s="57" t="s">
        <v>15172</v>
      </c>
      <c r="AD96" s="58"/>
      <c r="AE96" s="58"/>
      <c r="AF96" s="57" t="s">
        <v>15173</v>
      </c>
      <c r="AG96" s="58"/>
      <c r="AH96" s="58"/>
      <c r="AI96" s="57" t="s">
        <v>15173</v>
      </c>
      <c r="AJ96" s="58"/>
      <c r="AK96" s="56" t="s">
        <v>1285</v>
      </c>
      <c r="AL96" s="56" t="s">
        <v>15834</v>
      </c>
      <c r="AM96" s="58"/>
      <c r="AN96" s="56" t="s">
        <v>15237</v>
      </c>
      <c r="AO96" s="58"/>
      <c r="AP96" s="63">
        <v>45821.7912962963</v>
      </c>
      <c r="AQ96" s="56" t="s">
        <v>15835</v>
      </c>
      <c r="AR96" s="61" t="s">
        <v>15448</v>
      </c>
      <c r="AS96" s="58"/>
      <c r="AT96" s="56" t="s">
        <v>15289</v>
      </c>
      <c r="AU96" s="56" t="s">
        <v>15836</v>
      </c>
      <c r="AV96" s="56" t="s">
        <v>15832</v>
      </c>
      <c r="AW96" s="64">
        <v>45786.4469675926</v>
      </c>
      <c r="AX96" s="56" t="s">
        <v>15834</v>
      </c>
      <c r="AY96" s="56" t="s">
        <v>15179</v>
      </c>
      <c r="AZ96" s="58"/>
      <c r="BA96" s="58"/>
      <c r="BB96" s="58"/>
      <c r="BC96" s="58"/>
      <c r="BD96" s="56" t="s">
        <v>15429</v>
      </c>
      <c r="BE96" s="58"/>
      <c r="BF96" s="56" t="s">
        <v>15181</v>
      </c>
      <c r="BG96" s="58"/>
      <c r="BH96" s="58"/>
      <c r="BI96" s="57" t="s">
        <v>15291</v>
      </c>
      <c r="BJ96" s="58"/>
      <c r="BK96" s="58"/>
      <c r="BL96" s="58"/>
      <c r="BM96" s="58"/>
      <c r="BN96" s="67">
        <v>4517</v>
      </c>
      <c r="BO96" s="58"/>
      <c r="BP96" s="56" t="s">
        <v>15450</v>
      </c>
      <c r="BQ96" s="58"/>
      <c r="BR96" s="58"/>
      <c r="BS96" s="58"/>
      <c r="BT96" s="56" t="s">
        <v>1285</v>
      </c>
      <c r="BU96" s="56" t="s">
        <v>15835</v>
      </c>
      <c r="BV96" s="58"/>
      <c r="BW96" s="58"/>
      <c r="BX96" s="67">
        <v>4517</v>
      </c>
      <c r="BY96" s="58"/>
      <c r="BZ96" s="56" t="s">
        <v>15160</v>
      </c>
      <c r="CA96" s="58"/>
      <c r="CB96" s="58"/>
      <c r="CC96" s="58"/>
      <c r="CD96" s="58"/>
    </row>
    <row r="97" ht="108" spans="1:82">
      <c r="A97" s="56" t="s">
        <v>15837</v>
      </c>
      <c r="B97" s="58"/>
      <c r="C97" s="57" t="s">
        <v>15838</v>
      </c>
      <c r="D97" s="58"/>
      <c r="E97" s="57" t="s">
        <v>15158</v>
      </c>
      <c r="F97" s="57" t="s">
        <v>15839</v>
      </c>
      <c r="G97" s="57" t="s">
        <v>15160</v>
      </c>
      <c r="H97" s="56" t="s">
        <v>3816</v>
      </c>
      <c r="I97" s="60">
        <v>51670.06</v>
      </c>
      <c r="J97" s="57" t="s">
        <v>1285</v>
      </c>
      <c r="K97" s="57" t="s">
        <v>15162</v>
      </c>
      <c r="L97" s="57" t="s">
        <v>15163</v>
      </c>
      <c r="M97" s="61" t="s">
        <v>15773</v>
      </c>
      <c r="N97" s="62" t="s">
        <v>15840</v>
      </c>
      <c r="O97" s="57" t="s">
        <v>15165</v>
      </c>
      <c r="P97" s="57" t="s">
        <v>15166</v>
      </c>
      <c r="Q97" s="57" t="s">
        <v>3816</v>
      </c>
      <c r="R97" s="57" t="s">
        <v>15841</v>
      </c>
      <c r="S97" s="57" t="s">
        <v>15842</v>
      </c>
      <c r="T97" s="57" t="s">
        <v>15190</v>
      </c>
      <c r="U97" s="57" t="s">
        <v>14184</v>
      </c>
      <c r="V97" s="56" t="s">
        <v>14153</v>
      </c>
      <c r="W97" s="58"/>
      <c r="X97" s="57" t="s">
        <v>15843</v>
      </c>
      <c r="Y97" s="57" t="s">
        <v>15170</v>
      </c>
      <c r="Z97" s="61" t="s">
        <v>15465</v>
      </c>
      <c r="AA97" s="61" t="s">
        <v>15773</v>
      </c>
      <c r="AB97" s="58"/>
      <c r="AC97" s="57" t="s">
        <v>15172</v>
      </c>
      <c r="AD97" s="58"/>
      <c r="AE97" s="58"/>
      <c r="AF97" s="58"/>
      <c r="AG97" s="58"/>
      <c r="AH97" s="58"/>
      <c r="AI97" s="58"/>
      <c r="AJ97" s="58"/>
      <c r="AK97" s="56" t="s">
        <v>1285</v>
      </c>
      <c r="AL97" s="56" t="s">
        <v>15844</v>
      </c>
      <c r="AM97" s="58"/>
      <c r="AN97" s="56" t="s">
        <v>15845</v>
      </c>
      <c r="AO97" s="58"/>
      <c r="AP97" s="63">
        <v>45821.7863541667</v>
      </c>
      <c r="AQ97" s="56" t="s">
        <v>15846</v>
      </c>
      <c r="AR97" s="61" t="s">
        <v>15448</v>
      </c>
      <c r="AS97" s="57" t="s">
        <v>14184</v>
      </c>
      <c r="AT97" s="56" t="s">
        <v>15177</v>
      </c>
      <c r="AU97" s="56" t="s">
        <v>15847</v>
      </c>
      <c r="AV97" s="58"/>
      <c r="AW97" s="64">
        <v>45776.4755671296</v>
      </c>
      <c r="AX97" s="56" t="s">
        <v>15844</v>
      </c>
      <c r="AY97" s="56" t="s">
        <v>15179</v>
      </c>
      <c r="AZ97" s="58"/>
      <c r="BA97" s="58"/>
      <c r="BB97" s="58"/>
      <c r="BC97" s="56" t="s">
        <v>3124</v>
      </c>
      <c r="BD97" s="56" t="s">
        <v>15353</v>
      </c>
      <c r="BE97" s="56" t="s">
        <v>2860</v>
      </c>
      <c r="BF97" s="56" t="s">
        <v>15181</v>
      </c>
      <c r="BG97" s="58"/>
      <c r="BH97" s="58"/>
      <c r="BI97" s="57" t="s">
        <v>2801</v>
      </c>
      <c r="BJ97" s="58"/>
      <c r="BK97" s="58"/>
      <c r="BL97" s="66">
        <v>2778031</v>
      </c>
      <c r="BM97" s="56" t="s">
        <v>15848</v>
      </c>
      <c r="BN97" s="58"/>
      <c r="BO97" s="67">
        <v>51670.06</v>
      </c>
      <c r="BP97" s="56" t="s">
        <v>15450</v>
      </c>
      <c r="BQ97" s="58"/>
      <c r="BR97" s="56" t="s">
        <v>15849</v>
      </c>
      <c r="BS97" s="56" t="s">
        <v>1285</v>
      </c>
      <c r="BT97" s="58"/>
      <c r="BU97" s="56" t="s">
        <v>15846</v>
      </c>
      <c r="BV97" s="58"/>
      <c r="BW97" s="58"/>
      <c r="BX97" s="67">
        <v>51670.06</v>
      </c>
      <c r="BY97" s="56" t="s">
        <v>1285</v>
      </c>
      <c r="BZ97" s="58"/>
      <c r="CA97" s="58"/>
      <c r="CB97" s="58"/>
      <c r="CC97" s="58"/>
      <c r="CD97" s="58"/>
    </row>
    <row r="98" ht="108" spans="1:82">
      <c r="A98" s="56" t="s">
        <v>15850</v>
      </c>
      <c r="B98" s="58"/>
      <c r="C98" s="57" t="s">
        <v>15851</v>
      </c>
      <c r="D98" s="58"/>
      <c r="E98" s="57" t="s">
        <v>15158</v>
      </c>
      <c r="F98" s="57" t="s">
        <v>15852</v>
      </c>
      <c r="G98" s="57" t="s">
        <v>15160</v>
      </c>
      <c r="H98" s="56" t="s">
        <v>3294</v>
      </c>
      <c r="I98" s="60">
        <v>71420</v>
      </c>
      <c r="J98" s="57" t="s">
        <v>1285</v>
      </c>
      <c r="K98" s="57" t="s">
        <v>15162</v>
      </c>
      <c r="L98" s="57" t="s">
        <v>15163</v>
      </c>
      <c r="M98" s="61" t="s">
        <v>15773</v>
      </c>
      <c r="N98" s="62" t="s">
        <v>15853</v>
      </c>
      <c r="O98" s="57" t="s">
        <v>15165</v>
      </c>
      <c r="P98" s="57" t="s">
        <v>15166</v>
      </c>
      <c r="Q98" s="57" t="s">
        <v>3294</v>
      </c>
      <c r="R98" s="57" t="s">
        <v>15854</v>
      </c>
      <c r="S98" s="57" t="s">
        <v>15855</v>
      </c>
      <c r="T98" s="57" t="s">
        <v>15190</v>
      </c>
      <c r="U98" s="57" t="s">
        <v>14184</v>
      </c>
      <c r="V98" s="56" t="s">
        <v>14153</v>
      </c>
      <c r="W98" s="58"/>
      <c r="X98" s="57" t="s">
        <v>15856</v>
      </c>
      <c r="Y98" s="57" t="s">
        <v>15170</v>
      </c>
      <c r="Z98" s="61" t="s">
        <v>15465</v>
      </c>
      <c r="AA98" s="61" t="s">
        <v>15773</v>
      </c>
      <c r="AB98" s="58"/>
      <c r="AC98" s="57" t="s">
        <v>15172</v>
      </c>
      <c r="AD98" s="58"/>
      <c r="AE98" s="58"/>
      <c r="AF98" s="58"/>
      <c r="AG98" s="58"/>
      <c r="AH98" s="58"/>
      <c r="AI98" s="58"/>
      <c r="AJ98" s="58"/>
      <c r="AK98" s="56" t="s">
        <v>1285</v>
      </c>
      <c r="AL98" s="56" t="s">
        <v>15857</v>
      </c>
      <c r="AM98" s="58"/>
      <c r="AN98" s="56" t="s">
        <v>15858</v>
      </c>
      <c r="AO98" s="58"/>
      <c r="AP98" s="63">
        <v>45821.7948726852</v>
      </c>
      <c r="AQ98" s="56" t="s">
        <v>15859</v>
      </c>
      <c r="AR98" s="61" t="s">
        <v>15448</v>
      </c>
      <c r="AS98" s="57" t="s">
        <v>14184</v>
      </c>
      <c r="AT98" s="56" t="s">
        <v>15177</v>
      </c>
      <c r="AU98" s="56" t="s">
        <v>15860</v>
      </c>
      <c r="AV98" s="58"/>
      <c r="AW98" s="64">
        <v>45747.8088194444</v>
      </c>
      <c r="AX98" s="56" t="s">
        <v>15857</v>
      </c>
      <c r="AY98" s="56" t="s">
        <v>15179</v>
      </c>
      <c r="AZ98" s="58"/>
      <c r="BA98" s="58"/>
      <c r="BB98" s="58"/>
      <c r="BC98" s="56" t="s">
        <v>15861</v>
      </c>
      <c r="BD98" s="56" t="s">
        <v>15197</v>
      </c>
      <c r="BE98" s="58"/>
      <c r="BF98" s="56" t="s">
        <v>15181</v>
      </c>
      <c r="BG98" s="58"/>
      <c r="BH98" s="58"/>
      <c r="BI98" s="57" t="s">
        <v>2801</v>
      </c>
      <c r="BJ98" s="58"/>
      <c r="BK98" s="58"/>
      <c r="BL98" s="66">
        <v>3482628</v>
      </c>
      <c r="BM98" s="56" t="s">
        <v>15862</v>
      </c>
      <c r="BN98" s="58"/>
      <c r="BO98" s="67">
        <v>4750</v>
      </c>
      <c r="BP98" s="56" t="s">
        <v>15450</v>
      </c>
      <c r="BQ98" s="58"/>
      <c r="BR98" s="56" t="s">
        <v>15863</v>
      </c>
      <c r="BS98" s="56" t="s">
        <v>1285</v>
      </c>
      <c r="BT98" s="58"/>
      <c r="BU98" s="56" t="s">
        <v>15859</v>
      </c>
      <c r="BV98" s="58"/>
      <c r="BW98" s="58"/>
      <c r="BX98" s="67">
        <v>4750</v>
      </c>
      <c r="BY98" s="58"/>
      <c r="BZ98" s="58"/>
      <c r="CA98" s="58"/>
      <c r="CB98" s="58"/>
      <c r="CC98" s="58"/>
      <c r="CD98" s="58"/>
    </row>
    <row r="99" ht="108" spans="1:82">
      <c r="A99" s="56" t="s">
        <v>15864</v>
      </c>
      <c r="B99" s="58"/>
      <c r="C99" s="57" t="s">
        <v>15851</v>
      </c>
      <c r="D99" s="58"/>
      <c r="E99" s="57" t="s">
        <v>15158</v>
      </c>
      <c r="F99" s="57" t="s">
        <v>15852</v>
      </c>
      <c r="G99" s="57" t="s">
        <v>15160</v>
      </c>
      <c r="H99" s="56" t="s">
        <v>3294</v>
      </c>
      <c r="I99" s="60">
        <v>71420</v>
      </c>
      <c r="J99" s="57" t="s">
        <v>1285</v>
      </c>
      <c r="K99" s="57" t="s">
        <v>15162</v>
      </c>
      <c r="L99" s="57" t="s">
        <v>15163</v>
      </c>
      <c r="M99" s="61" t="s">
        <v>15773</v>
      </c>
      <c r="N99" s="62" t="s">
        <v>15853</v>
      </c>
      <c r="O99" s="57" t="s">
        <v>15165</v>
      </c>
      <c r="P99" s="57" t="s">
        <v>15166</v>
      </c>
      <c r="Q99" s="57" t="s">
        <v>3294</v>
      </c>
      <c r="R99" s="57" t="s">
        <v>15854</v>
      </c>
      <c r="S99" s="57" t="s">
        <v>15855</v>
      </c>
      <c r="T99" s="57" t="s">
        <v>15190</v>
      </c>
      <c r="U99" s="57" t="s">
        <v>14184</v>
      </c>
      <c r="V99" s="56" t="s">
        <v>14153</v>
      </c>
      <c r="W99" s="58"/>
      <c r="X99" s="57" t="s">
        <v>15856</v>
      </c>
      <c r="Y99" s="57" t="s">
        <v>15170</v>
      </c>
      <c r="Z99" s="61" t="s">
        <v>15465</v>
      </c>
      <c r="AA99" s="61" t="s">
        <v>15773</v>
      </c>
      <c r="AB99" s="58"/>
      <c r="AC99" s="57" t="s">
        <v>15172</v>
      </c>
      <c r="AD99" s="58"/>
      <c r="AE99" s="58"/>
      <c r="AF99" s="58"/>
      <c r="AG99" s="58"/>
      <c r="AH99" s="58"/>
      <c r="AI99" s="58"/>
      <c r="AJ99" s="58"/>
      <c r="AK99" s="56" t="s">
        <v>1285</v>
      </c>
      <c r="AL99" s="56" t="s">
        <v>15857</v>
      </c>
      <c r="AM99" s="58"/>
      <c r="AN99" s="56" t="s">
        <v>15858</v>
      </c>
      <c r="AO99" s="58"/>
      <c r="AP99" s="63">
        <v>45821.7948726852</v>
      </c>
      <c r="AQ99" s="56" t="s">
        <v>15859</v>
      </c>
      <c r="AR99" s="61" t="s">
        <v>15448</v>
      </c>
      <c r="AS99" s="57" t="s">
        <v>14184</v>
      </c>
      <c r="AT99" s="56" t="s">
        <v>15177</v>
      </c>
      <c r="AU99" s="56" t="s">
        <v>15860</v>
      </c>
      <c r="AV99" s="58"/>
      <c r="AW99" s="64">
        <v>45747.8088194444</v>
      </c>
      <c r="AX99" s="56" t="s">
        <v>15857</v>
      </c>
      <c r="AY99" s="56" t="s">
        <v>15179</v>
      </c>
      <c r="AZ99" s="58"/>
      <c r="BA99" s="58"/>
      <c r="BB99" s="58"/>
      <c r="BC99" s="56" t="s">
        <v>15861</v>
      </c>
      <c r="BD99" s="56" t="s">
        <v>15197</v>
      </c>
      <c r="BE99" s="58"/>
      <c r="BF99" s="56" t="s">
        <v>15181</v>
      </c>
      <c r="BG99" s="58"/>
      <c r="BH99" s="58"/>
      <c r="BI99" s="57" t="s">
        <v>2801</v>
      </c>
      <c r="BJ99" s="58"/>
      <c r="BK99" s="58"/>
      <c r="BL99" s="66">
        <v>3482627</v>
      </c>
      <c r="BM99" s="56" t="s">
        <v>15862</v>
      </c>
      <c r="BN99" s="58"/>
      <c r="BO99" s="67">
        <v>2600</v>
      </c>
      <c r="BP99" s="56" t="s">
        <v>15450</v>
      </c>
      <c r="BQ99" s="58"/>
      <c r="BR99" s="56" t="s">
        <v>15863</v>
      </c>
      <c r="BS99" s="56" t="s">
        <v>1285</v>
      </c>
      <c r="BT99" s="58"/>
      <c r="BU99" s="56" t="s">
        <v>15859</v>
      </c>
      <c r="BV99" s="58"/>
      <c r="BW99" s="58"/>
      <c r="BX99" s="67">
        <v>2600</v>
      </c>
      <c r="BY99" s="58"/>
      <c r="BZ99" s="58"/>
      <c r="CA99" s="58"/>
      <c r="CB99" s="58"/>
      <c r="CC99" s="58"/>
      <c r="CD99" s="58"/>
    </row>
    <row r="100" ht="108" spans="1:82">
      <c r="A100" s="56" t="s">
        <v>15865</v>
      </c>
      <c r="B100" s="58"/>
      <c r="C100" s="57" t="s">
        <v>15851</v>
      </c>
      <c r="D100" s="58"/>
      <c r="E100" s="57" t="s">
        <v>15158</v>
      </c>
      <c r="F100" s="57" t="s">
        <v>15852</v>
      </c>
      <c r="G100" s="57" t="s">
        <v>15160</v>
      </c>
      <c r="H100" s="56" t="s">
        <v>3294</v>
      </c>
      <c r="I100" s="60">
        <v>71420</v>
      </c>
      <c r="J100" s="57" t="s">
        <v>1285</v>
      </c>
      <c r="K100" s="57" t="s">
        <v>15162</v>
      </c>
      <c r="L100" s="57" t="s">
        <v>15163</v>
      </c>
      <c r="M100" s="61" t="s">
        <v>15773</v>
      </c>
      <c r="N100" s="62" t="s">
        <v>15853</v>
      </c>
      <c r="O100" s="57" t="s">
        <v>15165</v>
      </c>
      <c r="P100" s="57" t="s">
        <v>15166</v>
      </c>
      <c r="Q100" s="57" t="s">
        <v>3294</v>
      </c>
      <c r="R100" s="57" t="s">
        <v>15854</v>
      </c>
      <c r="S100" s="57" t="s">
        <v>15855</v>
      </c>
      <c r="T100" s="57" t="s">
        <v>15190</v>
      </c>
      <c r="U100" s="57" t="s">
        <v>14184</v>
      </c>
      <c r="V100" s="56" t="s">
        <v>14153</v>
      </c>
      <c r="W100" s="58"/>
      <c r="X100" s="57" t="s">
        <v>15856</v>
      </c>
      <c r="Y100" s="57" t="s">
        <v>15170</v>
      </c>
      <c r="Z100" s="61" t="s">
        <v>15465</v>
      </c>
      <c r="AA100" s="61" t="s">
        <v>15773</v>
      </c>
      <c r="AB100" s="58"/>
      <c r="AC100" s="57" t="s">
        <v>15172</v>
      </c>
      <c r="AD100" s="58"/>
      <c r="AE100" s="58"/>
      <c r="AF100" s="58"/>
      <c r="AG100" s="58"/>
      <c r="AH100" s="58"/>
      <c r="AI100" s="58"/>
      <c r="AJ100" s="58"/>
      <c r="AK100" s="56" t="s">
        <v>1285</v>
      </c>
      <c r="AL100" s="56" t="s">
        <v>15857</v>
      </c>
      <c r="AM100" s="58"/>
      <c r="AN100" s="56" t="s">
        <v>15858</v>
      </c>
      <c r="AO100" s="58"/>
      <c r="AP100" s="63">
        <v>45821.7948726852</v>
      </c>
      <c r="AQ100" s="56" t="s">
        <v>15859</v>
      </c>
      <c r="AR100" s="61" t="s">
        <v>15448</v>
      </c>
      <c r="AS100" s="57" t="s">
        <v>14184</v>
      </c>
      <c r="AT100" s="56" t="s">
        <v>15177</v>
      </c>
      <c r="AU100" s="56" t="s">
        <v>15860</v>
      </c>
      <c r="AV100" s="58"/>
      <c r="AW100" s="64">
        <v>45747.8088194444</v>
      </c>
      <c r="AX100" s="56" t="s">
        <v>15857</v>
      </c>
      <c r="AY100" s="56" t="s">
        <v>15179</v>
      </c>
      <c r="AZ100" s="58"/>
      <c r="BA100" s="58"/>
      <c r="BB100" s="58"/>
      <c r="BC100" s="56" t="s">
        <v>15861</v>
      </c>
      <c r="BD100" s="56" t="s">
        <v>15197</v>
      </c>
      <c r="BE100" s="58"/>
      <c r="BF100" s="56" t="s">
        <v>15181</v>
      </c>
      <c r="BG100" s="58"/>
      <c r="BH100" s="58"/>
      <c r="BI100" s="57" t="s">
        <v>2801</v>
      </c>
      <c r="BJ100" s="58"/>
      <c r="BK100" s="58"/>
      <c r="BL100" s="66">
        <v>3482630</v>
      </c>
      <c r="BM100" s="56" t="s">
        <v>15862</v>
      </c>
      <c r="BN100" s="58"/>
      <c r="BO100" s="67">
        <v>1360</v>
      </c>
      <c r="BP100" s="56" t="s">
        <v>15450</v>
      </c>
      <c r="BQ100" s="58"/>
      <c r="BR100" s="56" t="s">
        <v>15863</v>
      </c>
      <c r="BS100" s="56" t="s">
        <v>1285</v>
      </c>
      <c r="BT100" s="58"/>
      <c r="BU100" s="56" t="s">
        <v>15859</v>
      </c>
      <c r="BV100" s="58"/>
      <c r="BW100" s="58"/>
      <c r="BX100" s="67">
        <v>1360</v>
      </c>
      <c r="BY100" s="58"/>
      <c r="BZ100" s="58"/>
      <c r="CA100" s="58"/>
      <c r="CB100" s="58"/>
      <c r="CC100" s="58"/>
      <c r="CD100" s="58"/>
    </row>
    <row r="101" ht="108" spans="1:82">
      <c r="A101" s="56" t="s">
        <v>15866</v>
      </c>
      <c r="B101" s="58"/>
      <c r="C101" s="57" t="s">
        <v>15851</v>
      </c>
      <c r="D101" s="58"/>
      <c r="E101" s="57" t="s">
        <v>15158</v>
      </c>
      <c r="F101" s="57" t="s">
        <v>15852</v>
      </c>
      <c r="G101" s="57" t="s">
        <v>15160</v>
      </c>
      <c r="H101" s="56" t="s">
        <v>3294</v>
      </c>
      <c r="I101" s="60">
        <v>71420</v>
      </c>
      <c r="J101" s="57" t="s">
        <v>1285</v>
      </c>
      <c r="K101" s="57" t="s">
        <v>15162</v>
      </c>
      <c r="L101" s="57" t="s">
        <v>15163</v>
      </c>
      <c r="M101" s="61" t="s">
        <v>15773</v>
      </c>
      <c r="N101" s="62" t="s">
        <v>15853</v>
      </c>
      <c r="O101" s="57" t="s">
        <v>15165</v>
      </c>
      <c r="P101" s="57" t="s">
        <v>15166</v>
      </c>
      <c r="Q101" s="57" t="s">
        <v>3294</v>
      </c>
      <c r="R101" s="57" t="s">
        <v>15854</v>
      </c>
      <c r="S101" s="57" t="s">
        <v>15855</v>
      </c>
      <c r="T101" s="57" t="s">
        <v>15190</v>
      </c>
      <c r="U101" s="57" t="s">
        <v>14184</v>
      </c>
      <c r="V101" s="56" t="s">
        <v>14153</v>
      </c>
      <c r="W101" s="58"/>
      <c r="X101" s="57" t="s">
        <v>15856</v>
      </c>
      <c r="Y101" s="57" t="s">
        <v>15170</v>
      </c>
      <c r="Z101" s="61" t="s">
        <v>15465</v>
      </c>
      <c r="AA101" s="61" t="s">
        <v>15773</v>
      </c>
      <c r="AB101" s="58"/>
      <c r="AC101" s="57" t="s">
        <v>15172</v>
      </c>
      <c r="AD101" s="58"/>
      <c r="AE101" s="58"/>
      <c r="AF101" s="58"/>
      <c r="AG101" s="58"/>
      <c r="AH101" s="58"/>
      <c r="AI101" s="58"/>
      <c r="AJ101" s="58"/>
      <c r="AK101" s="56" t="s">
        <v>1285</v>
      </c>
      <c r="AL101" s="56" t="s">
        <v>15857</v>
      </c>
      <c r="AM101" s="58"/>
      <c r="AN101" s="56" t="s">
        <v>15858</v>
      </c>
      <c r="AO101" s="58"/>
      <c r="AP101" s="63">
        <v>45821.7948726852</v>
      </c>
      <c r="AQ101" s="56" t="s">
        <v>15859</v>
      </c>
      <c r="AR101" s="61" t="s">
        <v>15448</v>
      </c>
      <c r="AS101" s="57" t="s">
        <v>14184</v>
      </c>
      <c r="AT101" s="56" t="s">
        <v>15177</v>
      </c>
      <c r="AU101" s="56" t="s">
        <v>15860</v>
      </c>
      <c r="AV101" s="58"/>
      <c r="AW101" s="64">
        <v>45747.8088194444</v>
      </c>
      <c r="AX101" s="56" t="s">
        <v>15857</v>
      </c>
      <c r="AY101" s="56" t="s">
        <v>15179</v>
      </c>
      <c r="AZ101" s="58"/>
      <c r="BA101" s="58"/>
      <c r="BB101" s="58"/>
      <c r="BC101" s="56" t="s">
        <v>15861</v>
      </c>
      <c r="BD101" s="56" t="s">
        <v>15197</v>
      </c>
      <c r="BE101" s="58"/>
      <c r="BF101" s="56" t="s">
        <v>15181</v>
      </c>
      <c r="BG101" s="58"/>
      <c r="BH101" s="58"/>
      <c r="BI101" s="57" t="s">
        <v>2801</v>
      </c>
      <c r="BJ101" s="58"/>
      <c r="BK101" s="58"/>
      <c r="BL101" s="66">
        <v>3482629</v>
      </c>
      <c r="BM101" s="56" t="s">
        <v>15862</v>
      </c>
      <c r="BN101" s="58"/>
      <c r="BO101" s="67">
        <v>2750</v>
      </c>
      <c r="BP101" s="56" t="s">
        <v>15450</v>
      </c>
      <c r="BQ101" s="58"/>
      <c r="BR101" s="56" t="s">
        <v>15863</v>
      </c>
      <c r="BS101" s="56" t="s">
        <v>1285</v>
      </c>
      <c r="BT101" s="58"/>
      <c r="BU101" s="56" t="s">
        <v>15859</v>
      </c>
      <c r="BV101" s="58"/>
      <c r="BW101" s="58"/>
      <c r="BX101" s="67">
        <v>2750</v>
      </c>
      <c r="BY101" s="58"/>
      <c r="BZ101" s="58"/>
      <c r="CA101" s="58"/>
      <c r="CB101" s="58"/>
      <c r="CC101" s="58"/>
      <c r="CD101" s="58"/>
    </row>
    <row r="102" ht="108" spans="1:82">
      <c r="A102" s="56" t="s">
        <v>15867</v>
      </c>
      <c r="B102" s="58"/>
      <c r="C102" s="57" t="s">
        <v>15851</v>
      </c>
      <c r="D102" s="58"/>
      <c r="E102" s="57" t="s">
        <v>15158</v>
      </c>
      <c r="F102" s="57" t="s">
        <v>15852</v>
      </c>
      <c r="G102" s="57" t="s">
        <v>15160</v>
      </c>
      <c r="H102" s="56" t="s">
        <v>3294</v>
      </c>
      <c r="I102" s="60">
        <v>71420</v>
      </c>
      <c r="J102" s="57" t="s">
        <v>1285</v>
      </c>
      <c r="K102" s="57" t="s">
        <v>15162</v>
      </c>
      <c r="L102" s="57" t="s">
        <v>15163</v>
      </c>
      <c r="M102" s="61" t="s">
        <v>15773</v>
      </c>
      <c r="N102" s="62" t="s">
        <v>15853</v>
      </c>
      <c r="O102" s="57" t="s">
        <v>15165</v>
      </c>
      <c r="P102" s="57" t="s">
        <v>15166</v>
      </c>
      <c r="Q102" s="57" t="s">
        <v>3294</v>
      </c>
      <c r="R102" s="57" t="s">
        <v>15854</v>
      </c>
      <c r="S102" s="57" t="s">
        <v>15855</v>
      </c>
      <c r="T102" s="57" t="s">
        <v>15190</v>
      </c>
      <c r="U102" s="57" t="s">
        <v>14184</v>
      </c>
      <c r="V102" s="56" t="s">
        <v>14153</v>
      </c>
      <c r="W102" s="58"/>
      <c r="X102" s="57" t="s">
        <v>15856</v>
      </c>
      <c r="Y102" s="57" t="s">
        <v>15170</v>
      </c>
      <c r="Z102" s="61" t="s">
        <v>15465</v>
      </c>
      <c r="AA102" s="61" t="s">
        <v>15773</v>
      </c>
      <c r="AB102" s="58"/>
      <c r="AC102" s="57" t="s">
        <v>15172</v>
      </c>
      <c r="AD102" s="58"/>
      <c r="AE102" s="58"/>
      <c r="AF102" s="58"/>
      <c r="AG102" s="58"/>
      <c r="AH102" s="58"/>
      <c r="AI102" s="58"/>
      <c r="AJ102" s="58"/>
      <c r="AK102" s="56" t="s">
        <v>1285</v>
      </c>
      <c r="AL102" s="56" t="s">
        <v>15857</v>
      </c>
      <c r="AM102" s="58"/>
      <c r="AN102" s="56" t="s">
        <v>15858</v>
      </c>
      <c r="AO102" s="58"/>
      <c r="AP102" s="63">
        <v>45821.7948726852</v>
      </c>
      <c r="AQ102" s="56" t="s">
        <v>15859</v>
      </c>
      <c r="AR102" s="61" t="s">
        <v>15448</v>
      </c>
      <c r="AS102" s="57" t="s">
        <v>14184</v>
      </c>
      <c r="AT102" s="56" t="s">
        <v>15177</v>
      </c>
      <c r="AU102" s="56" t="s">
        <v>15860</v>
      </c>
      <c r="AV102" s="58"/>
      <c r="AW102" s="64">
        <v>45747.8088194444</v>
      </c>
      <c r="AX102" s="56" t="s">
        <v>15857</v>
      </c>
      <c r="AY102" s="56" t="s">
        <v>15179</v>
      </c>
      <c r="AZ102" s="58"/>
      <c r="BA102" s="58"/>
      <c r="BB102" s="58"/>
      <c r="BC102" s="56" t="s">
        <v>15861</v>
      </c>
      <c r="BD102" s="56" t="s">
        <v>15197</v>
      </c>
      <c r="BE102" s="58"/>
      <c r="BF102" s="56" t="s">
        <v>15181</v>
      </c>
      <c r="BG102" s="58"/>
      <c r="BH102" s="58"/>
      <c r="BI102" s="57" t="s">
        <v>2801</v>
      </c>
      <c r="BJ102" s="58"/>
      <c r="BK102" s="58"/>
      <c r="BL102" s="66">
        <v>3482639</v>
      </c>
      <c r="BM102" s="56" t="s">
        <v>15862</v>
      </c>
      <c r="BN102" s="58"/>
      <c r="BO102" s="67">
        <v>860</v>
      </c>
      <c r="BP102" s="56" t="s">
        <v>15450</v>
      </c>
      <c r="BQ102" s="58"/>
      <c r="BR102" s="56" t="s">
        <v>15863</v>
      </c>
      <c r="BS102" s="56" t="s">
        <v>1285</v>
      </c>
      <c r="BT102" s="58"/>
      <c r="BU102" s="56" t="s">
        <v>15859</v>
      </c>
      <c r="BV102" s="58"/>
      <c r="BW102" s="58"/>
      <c r="BX102" s="67">
        <v>860</v>
      </c>
      <c r="BY102" s="58"/>
      <c r="BZ102" s="58"/>
      <c r="CA102" s="58"/>
      <c r="CB102" s="58"/>
      <c r="CC102" s="58"/>
      <c r="CD102" s="58"/>
    </row>
    <row r="103" ht="108" spans="1:82">
      <c r="A103" s="56" t="s">
        <v>15868</v>
      </c>
      <c r="B103" s="58"/>
      <c r="C103" s="57" t="s">
        <v>15851</v>
      </c>
      <c r="D103" s="58"/>
      <c r="E103" s="57" t="s">
        <v>15158</v>
      </c>
      <c r="F103" s="57" t="s">
        <v>15852</v>
      </c>
      <c r="G103" s="57" t="s">
        <v>15160</v>
      </c>
      <c r="H103" s="56" t="s">
        <v>3294</v>
      </c>
      <c r="I103" s="60">
        <v>71420</v>
      </c>
      <c r="J103" s="57" t="s">
        <v>1285</v>
      </c>
      <c r="K103" s="57" t="s">
        <v>15162</v>
      </c>
      <c r="L103" s="57" t="s">
        <v>15163</v>
      </c>
      <c r="M103" s="61" t="s">
        <v>15773</v>
      </c>
      <c r="N103" s="62" t="s">
        <v>15853</v>
      </c>
      <c r="O103" s="57" t="s">
        <v>15165</v>
      </c>
      <c r="P103" s="57" t="s">
        <v>15166</v>
      </c>
      <c r="Q103" s="57" t="s">
        <v>3294</v>
      </c>
      <c r="R103" s="57" t="s">
        <v>15854</v>
      </c>
      <c r="S103" s="57" t="s">
        <v>15855</v>
      </c>
      <c r="T103" s="57" t="s">
        <v>15190</v>
      </c>
      <c r="U103" s="57" t="s">
        <v>14184</v>
      </c>
      <c r="V103" s="56" t="s">
        <v>14153</v>
      </c>
      <c r="W103" s="58"/>
      <c r="X103" s="57" t="s">
        <v>15856</v>
      </c>
      <c r="Y103" s="57" t="s">
        <v>15170</v>
      </c>
      <c r="Z103" s="61" t="s">
        <v>15465</v>
      </c>
      <c r="AA103" s="61" t="s">
        <v>15773</v>
      </c>
      <c r="AB103" s="58"/>
      <c r="AC103" s="57" t="s">
        <v>15172</v>
      </c>
      <c r="AD103" s="58"/>
      <c r="AE103" s="58"/>
      <c r="AF103" s="58"/>
      <c r="AG103" s="58"/>
      <c r="AH103" s="58"/>
      <c r="AI103" s="58"/>
      <c r="AJ103" s="58"/>
      <c r="AK103" s="56" t="s">
        <v>1285</v>
      </c>
      <c r="AL103" s="56" t="s">
        <v>15857</v>
      </c>
      <c r="AM103" s="58"/>
      <c r="AN103" s="56" t="s">
        <v>15858</v>
      </c>
      <c r="AO103" s="58"/>
      <c r="AP103" s="63">
        <v>45821.7948726852</v>
      </c>
      <c r="AQ103" s="56" t="s">
        <v>15859</v>
      </c>
      <c r="AR103" s="61" t="s">
        <v>15448</v>
      </c>
      <c r="AS103" s="57" t="s">
        <v>14184</v>
      </c>
      <c r="AT103" s="56" t="s">
        <v>15177</v>
      </c>
      <c r="AU103" s="56" t="s">
        <v>15860</v>
      </c>
      <c r="AV103" s="58"/>
      <c r="AW103" s="64">
        <v>45747.8088194444</v>
      </c>
      <c r="AX103" s="56" t="s">
        <v>15857</v>
      </c>
      <c r="AY103" s="56" t="s">
        <v>15179</v>
      </c>
      <c r="AZ103" s="58"/>
      <c r="BA103" s="58"/>
      <c r="BB103" s="58"/>
      <c r="BC103" s="56" t="s">
        <v>15861</v>
      </c>
      <c r="BD103" s="56" t="s">
        <v>15197</v>
      </c>
      <c r="BE103" s="58"/>
      <c r="BF103" s="56" t="s">
        <v>15181</v>
      </c>
      <c r="BG103" s="58"/>
      <c r="BH103" s="58"/>
      <c r="BI103" s="57" t="s">
        <v>2801</v>
      </c>
      <c r="BJ103" s="58"/>
      <c r="BK103" s="58"/>
      <c r="BL103" s="66">
        <v>3482637</v>
      </c>
      <c r="BM103" s="56" t="s">
        <v>15862</v>
      </c>
      <c r="BN103" s="58"/>
      <c r="BO103" s="67">
        <v>5350</v>
      </c>
      <c r="BP103" s="56" t="s">
        <v>15450</v>
      </c>
      <c r="BQ103" s="58"/>
      <c r="BR103" s="56" t="s">
        <v>15863</v>
      </c>
      <c r="BS103" s="56" t="s">
        <v>1285</v>
      </c>
      <c r="BT103" s="58"/>
      <c r="BU103" s="56" t="s">
        <v>15859</v>
      </c>
      <c r="BV103" s="58"/>
      <c r="BW103" s="58"/>
      <c r="BX103" s="67">
        <v>5350</v>
      </c>
      <c r="BY103" s="58"/>
      <c r="BZ103" s="58"/>
      <c r="CA103" s="58"/>
      <c r="CB103" s="58"/>
      <c r="CC103" s="58"/>
      <c r="CD103" s="58"/>
    </row>
    <row r="104" ht="108" spans="1:82">
      <c r="A104" s="56" t="s">
        <v>15869</v>
      </c>
      <c r="B104" s="58"/>
      <c r="C104" s="57" t="s">
        <v>15851</v>
      </c>
      <c r="D104" s="58"/>
      <c r="E104" s="57" t="s">
        <v>15158</v>
      </c>
      <c r="F104" s="57" t="s">
        <v>15852</v>
      </c>
      <c r="G104" s="57" t="s">
        <v>15160</v>
      </c>
      <c r="H104" s="56" t="s">
        <v>3294</v>
      </c>
      <c r="I104" s="60">
        <v>71420</v>
      </c>
      <c r="J104" s="57" t="s">
        <v>1285</v>
      </c>
      <c r="K104" s="57" t="s">
        <v>15162</v>
      </c>
      <c r="L104" s="57" t="s">
        <v>15163</v>
      </c>
      <c r="M104" s="61" t="s">
        <v>15773</v>
      </c>
      <c r="N104" s="62" t="s">
        <v>15853</v>
      </c>
      <c r="O104" s="57" t="s">
        <v>15165</v>
      </c>
      <c r="P104" s="57" t="s">
        <v>15166</v>
      </c>
      <c r="Q104" s="57" t="s">
        <v>3294</v>
      </c>
      <c r="R104" s="57" t="s">
        <v>15854</v>
      </c>
      <c r="S104" s="57" t="s">
        <v>15855</v>
      </c>
      <c r="T104" s="57" t="s">
        <v>15190</v>
      </c>
      <c r="U104" s="57" t="s">
        <v>14184</v>
      </c>
      <c r="V104" s="56" t="s">
        <v>14153</v>
      </c>
      <c r="W104" s="58"/>
      <c r="X104" s="57" t="s">
        <v>15856</v>
      </c>
      <c r="Y104" s="57" t="s">
        <v>15170</v>
      </c>
      <c r="Z104" s="61" t="s">
        <v>15465</v>
      </c>
      <c r="AA104" s="61" t="s">
        <v>15773</v>
      </c>
      <c r="AB104" s="58"/>
      <c r="AC104" s="57" t="s">
        <v>15172</v>
      </c>
      <c r="AD104" s="58"/>
      <c r="AE104" s="58"/>
      <c r="AF104" s="58"/>
      <c r="AG104" s="58"/>
      <c r="AH104" s="58"/>
      <c r="AI104" s="58"/>
      <c r="AJ104" s="58"/>
      <c r="AK104" s="56" t="s">
        <v>1285</v>
      </c>
      <c r="AL104" s="56" t="s">
        <v>15857</v>
      </c>
      <c r="AM104" s="58"/>
      <c r="AN104" s="56" t="s">
        <v>15858</v>
      </c>
      <c r="AO104" s="58"/>
      <c r="AP104" s="63">
        <v>45821.7948726852</v>
      </c>
      <c r="AQ104" s="56" t="s">
        <v>15859</v>
      </c>
      <c r="AR104" s="61" t="s">
        <v>15448</v>
      </c>
      <c r="AS104" s="57" t="s">
        <v>14184</v>
      </c>
      <c r="AT104" s="56" t="s">
        <v>15177</v>
      </c>
      <c r="AU104" s="56" t="s">
        <v>15860</v>
      </c>
      <c r="AV104" s="58"/>
      <c r="AW104" s="64">
        <v>45747.8088194444</v>
      </c>
      <c r="AX104" s="56" t="s">
        <v>15857</v>
      </c>
      <c r="AY104" s="56" t="s">
        <v>15179</v>
      </c>
      <c r="AZ104" s="58"/>
      <c r="BA104" s="58"/>
      <c r="BB104" s="58"/>
      <c r="BC104" s="56" t="s">
        <v>15861</v>
      </c>
      <c r="BD104" s="56" t="s">
        <v>15197</v>
      </c>
      <c r="BE104" s="58"/>
      <c r="BF104" s="56" t="s">
        <v>15181</v>
      </c>
      <c r="BG104" s="58"/>
      <c r="BH104" s="58"/>
      <c r="BI104" s="57" t="s">
        <v>2801</v>
      </c>
      <c r="BJ104" s="58"/>
      <c r="BK104" s="58"/>
      <c r="BL104" s="66">
        <v>3482622</v>
      </c>
      <c r="BM104" s="56" t="s">
        <v>15862</v>
      </c>
      <c r="BN104" s="58"/>
      <c r="BO104" s="67">
        <v>600</v>
      </c>
      <c r="BP104" s="56" t="s">
        <v>15450</v>
      </c>
      <c r="BQ104" s="58"/>
      <c r="BR104" s="56" t="s">
        <v>15863</v>
      </c>
      <c r="BS104" s="56" t="s">
        <v>1285</v>
      </c>
      <c r="BT104" s="58"/>
      <c r="BU104" s="56" t="s">
        <v>15859</v>
      </c>
      <c r="BV104" s="58"/>
      <c r="BW104" s="58"/>
      <c r="BX104" s="67">
        <v>600</v>
      </c>
      <c r="BY104" s="58"/>
      <c r="BZ104" s="58"/>
      <c r="CA104" s="58"/>
      <c r="CB104" s="58"/>
      <c r="CC104" s="58"/>
      <c r="CD104" s="58"/>
    </row>
    <row r="105" ht="108" spans="1:82">
      <c r="A105" s="56" t="s">
        <v>15870</v>
      </c>
      <c r="B105" s="58"/>
      <c r="C105" s="57" t="s">
        <v>15851</v>
      </c>
      <c r="D105" s="58"/>
      <c r="E105" s="57" t="s">
        <v>15158</v>
      </c>
      <c r="F105" s="57" t="s">
        <v>15852</v>
      </c>
      <c r="G105" s="57" t="s">
        <v>15160</v>
      </c>
      <c r="H105" s="56" t="s">
        <v>3294</v>
      </c>
      <c r="I105" s="60">
        <v>71420</v>
      </c>
      <c r="J105" s="57" t="s">
        <v>1285</v>
      </c>
      <c r="K105" s="57" t="s">
        <v>15162</v>
      </c>
      <c r="L105" s="57" t="s">
        <v>15163</v>
      </c>
      <c r="M105" s="61" t="s">
        <v>15773</v>
      </c>
      <c r="N105" s="62" t="s">
        <v>15853</v>
      </c>
      <c r="O105" s="57" t="s">
        <v>15165</v>
      </c>
      <c r="P105" s="57" t="s">
        <v>15166</v>
      </c>
      <c r="Q105" s="57" t="s">
        <v>3294</v>
      </c>
      <c r="R105" s="57" t="s">
        <v>15854</v>
      </c>
      <c r="S105" s="57" t="s">
        <v>15855</v>
      </c>
      <c r="T105" s="57" t="s">
        <v>15190</v>
      </c>
      <c r="U105" s="57" t="s">
        <v>14184</v>
      </c>
      <c r="V105" s="56" t="s">
        <v>14153</v>
      </c>
      <c r="W105" s="58"/>
      <c r="X105" s="57" t="s">
        <v>15856</v>
      </c>
      <c r="Y105" s="57" t="s">
        <v>15170</v>
      </c>
      <c r="Z105" s="61" t="s">
        <v>15465</v>
      </c>
      <c r="AA105" s="61" t="s">
        <v>15773</v>
      </c>
      <c r="AB105" s="58"/>
      <c r="AC105" s="57" t="s">
        <v>15172</v>
      </c>
      <c r="AD105" s="58"/>
      <c r="AE105" s="58"/>
      <c r="AF105" s="58"/>
      <c r="AG105" s="58"/>
      <c r="AH105" s="58"/>
      <c r="AI105" s="58"/>
      <c r="AJ105" s="58"/>
      <c r="AK105" s="56" t="s">
        <v>1285</v>
      </c>
      <c r="AL105" s="56" t="s">
        <v>15857</v>
      </c>
      <c r="AM105" s="58"/>
      <c r="AN105" s="56" t="s">
        <v>15858</v>
      </c>
      <c r="AO105" s="58"/>
      <c r="AP105" s="63">
        <v>45821.7948726852</v>
      </c>
      <c r="AQ105" s="56" t="s">
        <v>15859</v>
      </c>
      <c r="AR105" s="61" t="s">
        <v>15448</v>
      </c>
      <c r="AS105" s="57" t="s">
        <v>14184</v>
      </c>
      <c r="AT105" s="56" t="s">
        <v>15177</v>
      </c>
      <c r="AU105" s="56" t="s">
        <v>15860</v>
      </c>
      <c r="AV105" s="58"/>
      <c r="AW105" s="64">
        <v>45747.8088194444</v>
      </c>
      <c r="AX105" s="56" t="s">
        <v>15857</v>
      </c>
      <c r="AY105" s="56" t="s">
        <v>15179</v>
      </c>
      <c r="AZ105" s="58"/>
      <c r="BA105" s="58"/>
      <c r="BB105" s="58"/>
      <c r="BC105" s="56" t="s">
        <v>15861</v>
      </c>
      <c r="BD105" s="56" t="s">
        <v>15197</v>
      </c>
      <c r="BE105" s="58"/>
      <c r="BF105" s="56" t="s">
        <v>15181</v>
      </c>
      <c r="BG105" s="58"/>
      <c r="BH105" s="58"/>
      <c r="BI105" s="57" t="s">
        <v>2801</v>
      </c>
      <c r="BJ105" s="58"/>
      <c r="BK105" s="58"/>
      <c r="BL105" s="66">
        <v>3482621</v>
      </c>
      <c r="BM105" s="56" t="s">
        <v>15862</v>
      </c>
      <c r="BN105" s="58"/>
      <c r="BO105" s="67">
        <v>1950</v>
      </c>
      <c r="BP105" s="56" t="s">
        <v>15450</v>
      </c>
      <c r="BQ105" s="58"/>
      <c r="BR105" s="56" t="s">
        <v>15863</v>
      </c>
      <c r="BS105" s="56" t="s">
        <v>1285</v>
      </c>
      <c r="BT105" s="58"/>
      <c r="BU105" s="56" t="s">
        <v>15859</v>
      </c>
      <c r="BV105" s="58"/>
      <c r="BW105" s="58"/>
      <c r="BX105" s="67">
        <v>1950</v>
      </c>
      <c r="BY105" s="58"/>
      <c r="BZ105" s="58"/>
      <c r="CA105" s="58"/>
      <c r="CB105" s="58"/>
      <c r="CC105" s="58"/>
      <c r="CD105" s="58"/>
    </row>
    <row r="106" ht="108" spans="1:82">
      <c r="A106" s="56" t="s">
        <v>15871</v>
      </c>
      <c r="B106" s="58"/>
      <c r="C106" s="57" t="s">
        <v>15851</v>
      </c>
      <c r="D106" s="58"/>
      <c r="E106" s="57" t="s">
        <v>15158</v>
      </c>
      <c r="F106" s="57" t="s">
        <v>15852</v>
      </c>
      <c r="G106" s="57" t="s">
        <v>15160</v>
      </c>
      <c r="H106" s="56" t="s">
        <v>3294</v>
      </c>
      <c r="I106" s="60">
        <v>71420</v>
      </c>
      <c r="J106" s="57" t="s">
        <v>1285</v>
      </c>
      <c r="K106" s="57" t="s">
        <v>15162</v>
      </c>
      <c r="L106" s="57" t="s">
        <v>15163</v>
      </c>
      <c r="M106" s="61" t="s">
        <v>15773</v>
      </c>
      <c r="N106" s="62" t="s">
        <v>15853</v>
      </c>
      <c r="O106" s="57" t="s">
        <v>15165</v>
      </c>
      <c r="P106" s="57" t="s">
        <v>15166</v>
      </c>
      <c r="Q106" s="57" t="s">
        <v>3294</v>
      </c>
      <c r="R106" s="57" t="s">
        <v>15854</v>
      </c>
      <c r="S106" s="57" t="s">
        <v>15855</v>
      </c>
      <c r="T106" s="57" t="s">
        <v>15190</v>
      </c>
      <c r="U106" s="57" t="s">
        <v>14184</v>
      </c>
      <c r="V106" s="56" t="s">
        <v>14153</v>
      </c>
      <c r="W106" s="58"/>
      <c r="X106" s="57" t="s">
        <v>15856</v>
      </c>
      <c r="Y106" s="57" t="s">
        <v>15170</v>
      </c>
      <c r="Z106" s="61" t="s">
        <v>15465</v>
      </c>
      <c r="AA106" s="61" t="s">
        <v>15773</v>
      </c>
      <c r="AB106" s="58"/>
      <c r="AC106" s="57" t="s">
        <v>15172</v>
      </c>
      <c r="AD106" s="58"/>
      <c r="AE106" s="58"/>
      <c r="AF106" s="58"/>
      <c r="AG106" s="58"/>
      <c r="AH106" s="58"/>
      <c r="AI106" s="58"/>
      <c r="AJ106" s="58"/>
      <c r="AK106" s="56" t="s">
        <v>1285</v>
      </c>
      <c r="AL106" s="56" t="s">
        <v>15857</v>
      </c>
      <c r="AM106" s="58"/>
      <c r="AN106" s="56" t="s">
        <v>15858</v>
      </c>
      <c r="AO106" s="58"/>
      <c r="AP106" s="63">
        <v>45821.7948726852</v>
      </c>
      <c r="AQ106" s="56" t="s">
        <v>15859</v>
      </c>
      <c r="AR106" s="61" t="s">
        <v>15448</v>
      </c>
      <c r="AS106" s="57" t="s">
        <v>14184</v>
      </c>
      <c r="AT106" s="56" t="s">
        <v>15177</v>
      </c>
      <c r="AU106" s="56" t="s">
        <v>15860</v>
      </c>
      <c r="AV106" s="58"/>
      <c r="AW106" s="64">
        <v>45747.8088194444</v>
      </c>
      <c r="AX106" s="56" t="s">
        <v>15857</v>
      </c>
      <c r="AY106" s="56" t="s">
        <v>15179</v>
      </c>
      <c r="AZ106" s="58"/>
      <c r="BA106" s="58"/>
      <c r="BB106" s="58"/>
      <c r="BC106" s="56" t="s">
        <v>15861</v>
      </c>
      <c r="BD106" s="56" t="s">
        <v>15197</v>
      </c>
      <c r="BE106" s="58"/>
      <c r="BF106" s="56" t="s">
        <v>15181</v>
      </c>
      <c r="BG106" s="58"/>
      <c r="BH106" s="58"/>
      <c r="BI106" s="57" t="s">
        <v>2801</v>
      </c>
      <c r="BJ106" s="58"/>
      <c r="BK106" s="58"/>
      <c r="BL106" s="66">
        <v>3482624</v>
      </c>
      <c r="BM106" s="56" t="s">
        <v>15862</v>
      </c>
      <c r="BN106" s="58"/>
      <c r="BO106" s="67">
        <v>1000</v>
      </c>
      <c r="BP106" s="56" t="s">
        <v>15450</v>
      </c>
      <c r="BQ106" s="58"/>
      <c r="BR106" s="56" t="s">
        <v>15863</v>
      </c>
      <c r="BS106" s="56" t="s">
        <v>1285</v>
      </c>
      <c r="BT106" s="58"/>
      <c r="BU106" s="56" t="s">
        <v>15859</v>
      </c>
      <c r="BV106" s="58"/>
      <c r="BW106" s="58"/>
      <c r="BX106" s="67">
        <v>1000</v>
      </c>
      <c r="BY106" s="58"/>
      <c r="BZ106" s="58"/>
      <c r="CA106" s="58"/>
      <c r="CB106" s="58"/>
      <c r="CC106" s="58"/>
      <c r="CD106" s="58"/>
    </row>
    <row r="107" ht="108" spans="1:82">
      <c r="A107" s="56" t="s">
        <v>15872</v>
      </c>
      <c r="B107" s="58"/>
      <c r="C107" s="57" t="s">
        <v>15851</v>
      </c>
      <c r="D107" s="58"/>
      <c r="E107" s="57" t="s">
        <v>15158</v>
      </c>
      <c r="F107" s="57" t="s">
        <v>15852</v>
      </c>
      <c r="G107" s="57" t="s">
        <v>15160</v>
      </c>
      <c r="H107" s="56" t="s">
        <v>3294</v>
      </c>
      <c r="I107" s="60">
        <v>71420</v>
      </c>
      <c r="J107" s="57" t="s">
        <v>1285</v>
      </c>
      <c r="K107" s="57" t="s">
        <v>15162</v>
      </c>
      <c r="L107" s="57" t="s">
        <v>15163</v>
      </c>
      <c r="M107" s="61" t="s">
        <v>15773</v>
      </c>
      <c r="N107" s="62" t="s">
        <v>15853</v>
      </c>
      <c r="O107" s="57" t="s">
        <v>15165</v>
      </c>
      <c r="P107" s="57" t="s">
        <v>15166</v>
      </c>
      <c r="Q107" s="57" t="s">
        <v>3294</v>
      </c>
      <c r="R107" s="57" t="s">
        <v>15854</v>
      </c>
      <c r="S107" s="57" t="s">
        <v>15855</v>
      </c>
      <c r="T107" s="57" t="s">
        <v>15190</v>
      </c>
      <c r="U107" s="57" t="s">
        <v>14184</v>
      </c>
      <c r="V107" s="56" t="s">
        <v>14153</v>
      </c>
      <c r="W107" s="58"/>
      <c r="X107" s="57" t="s">
        <v>15856</v>
      </c>
      <c r="Y107" s="57" t="s">
        <v>15170</v>
      </c>
      <c r="Z107" s="61" t="s">
        <v>15465</v>
      </c>
      <c r="AA107" s="61" t="s">
        <v>15773</v>
      </c>
      <c r="AB107" s="58"/>
      <c r="AC107" s="57" t="s">
        <v>15172</v>
      </c>
      <c r="AD107" s="58"/>
      <c r="AE107" s="58"/>
      <c r="AF107" s="58"/>
      <c r="AG107" s="58"/>
      <c r="AH107" s="58"/>
      <c r="AI107" s="58"/>
      <c r="AJ107" s="58"/>
      <c r="AK107" s="56" t="s">
        <v>1285</v>
      </c>
      <c r="AL107" s="56" t="s">
        <v>15857</v>
      </c>
      <c r="AM107" s="58"/>
      <c r="AN107" s="56" t="s">
        <v>15858</v>
      </c>
      <c r="AO107" s="58"/>
      <c r="AP107" s="63">
        <v>45821.7948726852</v>
      </c>
      <c r="AQ107" s="56" t="s">
        <v>15859</v>
      </c>
      <c r="AR107" s="61" t="s">
        <v>15448</v>
      </c>
      <c r="AS107" s="57" t="s">
        <v>14184</v>
      </c>
      <c r="AT107" s="56" t="s">
        <v>15177</v>
      </c>
      <c r="AU107" s="56" t="s">
        <v>15860</v>
      </c>
      <c r="AV107" s="58"/>
      <c r="AW107" s="64">
        <v>45747.8088194444</v>
      </c>
      <c r="AX107" s="56" t="s">
        <v>15857</v>
      </c>
      <c r="AY107" s="56" t="s">
        <v>15179</v>
      </c>
      <c r="AZ107" s="58"/>
      <c r="BA107" s="58"/>
      <c r="BB107" s="58"/>
      <c r="BC107" s="56" t="s">
        <v>15861</v>
      </c>
      <c r="BD107" s="56" t="s">
        <v>15197</v>
      </c>
      <c r="BE107" s="58"/>
      <c r="BF107" s="56" t="s">
        <v>15181</v>
      </c>
      <c r="BG107" s="58"/>
      <c r="BH107" s="58"/>
      <c r="BI107" s="57" t="s">
        <v>2801</v>
      </c>
      <c r="BJ107" s="58"/>
      <c r="BK107" s="58"/>
      <c r="BL107" s="66">
        <v>3482623</v>
      </c>
      <c r="BM107" s="56" t="s">
        <v>15862</v>
      </c>
      <c r="BN107" s="58"/>
      <c r="BO107" s="67">
        <v>4600</v>
      </c>
      <c r="BP107" s="56" t="s">
        <v>15450</v>
      </c>
      <c r="BQ107" s="58"/>
      <c r="BR107" s="56" t="s">
        <v>15863</v>
      </c>
      <c r="BS107" s="56" t="s">
        <v>1285</v>
      </c>
      <c r="BT107" s="58"/>
      <c r="BU107" s="56" t="s">
        <v>15859</v>
      </c>
      <c r="BV107" s="58"/>
      <c r="BW107" s="58"/>
      <c r="BX107" s="67">
        <v>4600</v>
      </c>
      <c r="BY107" s="58"/>
      <c r="BZ107" s="58"/>
      <c r="CA107" s="58"/>
      <c r="CB107" s="58"/>
      <c r="CC107" s="58"/>
      <c r="CD107" s="58"/>
    </row>
    <row r="108" ht="108" spans="1:82">
      <c r="A108" s="56" t="s">
        <v>15873</v>
      </c>
      <c r="B108" s="58"/>
      <c r="C108" s="57" t="s">
        <v>15851</v>
      </c>
      <c r="D108" s="58"/>
      <c r="E108" s="57" t="s">
        <v>15158</v>
      </c>
      <c r="F108" s="57" t="s">
        <v>15852</v>
      </c>
      <c r="G108" s="57" t="s">
        <v>15160</v>
      </c>
      <c r="H108" s="56" t="s">
        <v>3294</v>
      </c>
      <c r="I108" s="60">
        <v>71420</v>
      </c>
      <c r="J108" s="57" t="s">
        <v>1285</v>
      </c>
      <c r="K108" s="57" t="s">
        <v>15162</v>
      </c>
      <c r="L108" s="57" t="s">
        <v>15163</v>
      </c>
      <c r="M108" s="61" t="s">
        <v>15773</v>
      </c>
      <c r="N108" s="62" t="s">
        <v>15853</v>
      </c>
      <c r="O108" s="57" t="s">
        <v>15165</v>
      </c>
      <c r="P108" s="57" t="s">
        <v>15166</v>
      </c>
      <c r="Q108" s="57" t="s">
        <v>3294</v>
      </c>
      <c r="R108" s="57" t="s">
        <v>15854</v>
      </c>
      <c r="S108" s="57" t="s">
        <v>15855</v>
      </c>
      <c r="T108" s="57" t="s">
        <v>15190</v>
      </c>
      <c r="U108" s="57" t="s">
        <v>14184</v>
      </c>
      <c r="V108" s="56" t="s">
        <v>14153</v>
      </c>
      <c r="W108" s="58"/>
      <c r="X108" s="57" t="s">
        <v>15856</v>
      </c>
      <c r="Y108" s="57" t="s">
        <v>15170</v>
      </c>
      <c r="Z108" s="61" t="s">
        <v>15465</v>
      </c>
      <c r="AA108" s="61" t="s">
        <v>15773</v>
      </c>
      <c r="AB108" s="58"/>
      <c r="AC108" s="57" t="s">
        <v>15172</v>
      </c>
      <c r="AD108" s="58"/>
      <c r="AE108" s="58"/>
      <c r="AF108" s="58"/>
      <c r="AG108" s="58"/>
      <c r="AH108" s="58"/>
      <c r="AI108" s="58"/>
      <c r="AJ108" s="58"/>
      <c r="AK108" s="56" t="s">
        <v>1285</v>
      </c>
      <c r="AL108" s="56" t="s">
        <v>15857</v>
      </c>
      <c r="AM108" s="58"/>
      <c r="AN108" s="56" t="s">
        <v>15858</v>
      </c>
      <c r="AO108" s="58"/>
      <c r="AP108" s="63">
        <v>45821.7948726852</v>
      </c>
      <c r="AQ108" s="56" t="s">
        <v>15859</v>
      </c>
      <c r="AR108" s="61" t="s">
        <v>15448</v>
      </c>
      <c r="AS108" s="57" t="s">
        <v>14184</v>
      </c>
      <c r="AT108" s="56" t="s">
        <v>15177</v>
      </c>
      <c r="AU108" s="56" t="s">
        <v>15860</v>
      </c>
      <c r="AV108" s="58"/>
      <c r="AW108" s="64">
        <v>45747.8088194444</v>
      </c>
      <c r="AX108" s="56" t="s">
        <v>15857</v>
      </c>
      <c r="AY108" s="56" t="s">
        <v>15179</v>
      </c>
      <c r="AZ108" s="58"/>
      <c r="BA108" s="58"/>
      <c r="BB108" s="58"/>
      <c r="BC108" s="56" t="s">
        <v>15861</v>
      </c>
      <c r="BD108" s="56" t="s">
        <v>15197</v>
      </c>
      <c r="BE108" s="58"/>
      <c r="BF108" s="56" t="s">
        <v>15181</v>
      </c>
      <c r="BG108" s="58"/>
      <c r="BH108" s="58"/>
      <c r="BI108" s="57" t="s">
        <v>2801</v>
      </c>
      <c r="BJ108" s="58"/>
      <c r="BK108" s="58"/>
      <c r="BL108" s="66">
        <v>3482626</v>
      </c>
      <c r="BM108" s="56" t="s">
        <v>15862</v>
      </c>
      <c r="BN108" s="58"/>
      <c r="BO108" s="67">
        <v>1100</v>
      </c>
      <c r="BP108" s="56" t="s">
        <v>15450</v>
      </c>
      <c r="BQ108" s="58"/>
      <c r="BR108" s="56" t="s">
        <v>15863</v>
      </c>
      <c r="BS108" s="56" t="s">
        <v>1285</v>
      </c>
      <c r="BT108" s="58"/>
      <c r="BU108" s="56" t="s">
        <v>15859</v>
      </c>
      <c r="BV108" s="58"/>
      <c r="BW108" s="58"/>
      <c r="BX108" s="67">
        <v>1100</v>
      </c>
      <c r="BY108" s="58"/>
      <c r="BZ108" s="58"/>
      <c r="CA108" s="58"/>
      <c r="CB108" s="58"/>
      <c r="CC108" s="58"/>
      <c r="CD108" s="58"/>
    </row>
    <row r="109" ht="108" spans="1:82">
      <c r="A109" s="56" t="s">
        <v>15874</v>
      </c>
      <c r="B109" s="58"/>
      <c r="C109" s="57" t="s">
        <v>15851</v>
      </c>
      <c r="D109" s="58"/>
      <c r="E109" s="57" t="s">
        <v>15158</v>
      </c>
      <c r="F109" s="57" t="s">
        <v>15852</v>
      </c>
      <c r="G109" s="57" t="s">
        <v>15160</v>
      </c>
      <c r="H109" s="56" t="s">
        <v>3294</v>
      </c>
      <c r="I109" s="60">
        <v>71420</v>
      </c>
      <c r="J109" s="57" t="s">
        <v>1285</v>
      </c>
      <c r="K109" s="57" t="s">
        <v>15162</v>
      </c>
      <c r="L109" s="57" t="s">
        <v>15163</v>
      </c>
      <c r="M109" s="61" t="s">
        <v>15773</v>
      </c>
      <c r="N109" s="62" t="s">
        <v>15853</v>
      </c>
      <c r="O109" s="57" t="s">
        <v>15165</v>
      </c>
      <c r="P109" s="57" t="s">
        <v>15166</v>
      </c>
      <c r="Q109" s="57" t="s">
        <v>3294</v>
      </c>
      <c r="R109" s="57" t="s">
        <v>15854</v>
      </c>
      <c r="S109" s="57" t="s">
        <v>15855</v>
      </c>
      <c r="T109" s="57" t="s">
        <v>15190</v>
      </c>
      <c r="U109" s="57" t="s">
        <v>14184</v>
      </c>
      <c r="V109" s="56" t="s">
        <v>14153</v>
      </c>
      <c r="W109" s="58"/>
      <c r="X109" s="57" t="s">
        <v>15856</v>
      </c>
      <c r="Y109" s="57" t="s">
        <v>15170</v>
      </c>
      <c r="Z109" s="61" t="s">
        <v>15465</v>
      </c>
      <c r="AA109" s="61" t="s">
        <v>15773</v>
      </c>
      <c r="AB109" s="58"/>
      <c r="AC109" s="57" t="s">
        <v>15172</v>
      </c>
      <c r="AD109" s="58"/>
      <c r="AE109" s="58"/>
      <c r="AF109" s="58"/>
      <c r="AG109" s="58"/>
      <c r="AH109" s="58"/>
      <c r="AI109" s="58"/>
      <c r="AJ109" s="58"/>
      <c r="AK109" s="56" t="s">
        <v>1285</v>
      </c>
      <c r="AL109" s="56" t="s">
        <v>15857</v>
      </c>
      <c r="AM109" s="58"/>
      <c r="AN109" s="56" t="s">
        <v>15858</v>
      </c>
      <c r="AO109" s="58"/>
      <c r="AP109" s="63">
        <v>45821.7948726852</v>
      </c>
      <c r="AQ109" s="56" t="s">
        <v>15859</v>
      </c>
      <c r="AR109" s="61" t="s">
        <v>15448</v>
      </c>
      <c r="AS109" s="57" t="s">
        <v>14184</v>
      </c>
      <c r="AT109" s="56" t="s">
        <v>15177</v>
      </c>
      <c r="AU109" s="56" t="s">
        <v>15860</v>
      </c>
      <c r="AV109" s="58"/>
      <c r="AW109" s="64">
        <v>45747.8088194444</v>
      </c>
      <c r="AX109" s="56" t="s">
        <v>15857</v>
      </c>
      <c r="AY109" s="56" t="s">
        <v>15179</v>
      </c>
      <c r="AZ109" s="58"/>
      <c r="BA109" s="58"/>
      <c r="BB109" s="58"/>
      <c r="BC109" s="56" t="s">
        <v>15875</v>
      </c>
      <c r="BD109" s="56" t="s">
        <v>15197</v>
      </c>
      <c r="BE109" s="58"/>
      <c r="BF109" s="56" t="s">
        <v>15181</v>
      </c>
      <c r="BG109" s="58"/>
      <c r="BH109" s="58"/>
      <c r="BI109" s="57" t="s">
        <v>2801</v>
      </c>
      <c r="BJ109" s="58"/>
      <c r="BK109" s="58"/>
      <c r="BL109" s="66">
        <v>3482625</v>
      </c>
      <c r="BM109" s="56" t="s">
        <v>15862</v>
      </c>
      <c r="BN109" s="58"/>
      <c r="BO109" s="67">
        <v>2500</v>
      </c>
      <c r="BP109" s="56" t="s">
        <v>15450</v>
      </c>
      <c r="BQ109" s="58"/>
      <c r="BR109" s="56" t="s">
        <v>15863</v>
      </c>
      <c r="BS109" s="56" t="s">
        <v>1285</v>
      </c>
      <c r="BT109" s="58"/>
      <c r="BU109" s="56" t="s">
        <v>15859</v>
      </c>
      <c r="BV109" s="58"/>
      <c r="BW109" s="58"/>
      <c r="BX109" s="67">
        <v>2500</v>
      </c>
      <c r="BY109" s="58"/>
      <c r="BZ109" s="58"/>
      <c r="CA109" s="58"/>
      <c r="CB109" s="58"/>
      <c r="CC109" s="58"/>
      <c r="CD109" s="58"/>
    </row>
    <row r="110" ht="108" spans="1:82">
      <c r="A110" s="56" t="s">
        <v>15876</v>
      </c>
      <c r="B110" s="58"/>
      <c r="C110" s="57" t="s">
        <v>15851</v>
      </c>
      <c r="D110" s="58"/>
      <c r="E110" s="57" t="s">
        <v>15158</v>
      </c>
      <c r="F110" s="57" t="s">
        <v>15852</v>
      </c>
      <c r="G110" s="57" t="s">
        <v>15160</v>
      </c>
      <c r="H110" s="56" t="s">
        <v>3294</v>
      </c>
      <c r="I110" s="60">
        <v>71420</v>
      </c>
      <c r="J110" s="57" t="s">
        <v>1285</v>
      </c>
      <c r="K110" s="57" t="s">
        <v>15162</v>
      </c>
      <c r="L110" s="57" t="s">
        <v>15163</v>
      </c>
      <c r="M110" s="61" t="s">
        <v>15773</v>
      </c>
      <c r="N110" s="62" t="s">
        <v>15853</v>
      </c>
      <c r="O110" s="57" t="s">
        <v>15165</v>
      </c>
      <c r="P110" s="57" t="s">
        <v>15166</v>
      </c>
      <c r="Q110" s="57" t="s">
        <v>3294</v>
      </c>
      <c r="R110" s="57" t="s">
        <v>15854</v>
      </c>
      <c r="S110" s="57" t="s">
        <v>15855</v>
      </c>
      <c r="T110" s="57" t="s">
        <v>15190</v>
      </c>
      <c r="U110" s="57" t="s">
        <v>14184</v>
      </c>
      <c r="V110" s="56" t="s">
        <v>14153</v>
      </c>
      <c r="W110" s="58"/>
      <c r="X110" s="57" t="s">
        <v>15856</v>
      </c>
      <c r="Y110" s="57" t="s">
        <v>15170</v>
      </c>
      <c r="Z110" s="61" t="s">
        <v>15465</v>
      </c>
      <c r="AA110" s="61" t="s">
        <v>15773</v>
      </c>
      <c r="AB110" s="58"/>
      <c r="AC110" s="57" t="s">
        <v>15172</v>
      </c>
      <c r="AD110" s="58"/>
      <c r="AE110" s="58"/>
      <c r="AF110" s="58"/>
      <c r="AG110" s="58"/>
      <c r="AH110" s="58"/>
      <c r="AI110" s="58"/>
      <c r="AJ110" s="58"/>
      <c r="AK110" s="56" t="s">
        <v>1285</v>
      </c>
      <c r="AL110" s="56" t="s">
        <v>15857</v>
      </c>
      <c r="AM110" s="58"/>
      <c r="AN110" s="56" t="s">
        <v>15858</v>
      </c>
      <c r="AO110" s="58"/>
      <c r="AP110" s="63">
        <v>45821.7948726852</v>
      </c>
      <c r="AQ110" s="56" t="s">
        <v>15859</v>
      </c>
      <c r="AR110" s="61" t="s">
        <v>15448</v>
      </c>
      <c r="AS110" s="57" t="s">
        <v>14184</v>
      </c>
      <c r="AT110" s="56" t="s">
        <v>15177</v>
      </c>
      <c r="AU110" s="56" t="s">
        <v>15860</v>
      </c>
      <c r="AV110" s="58"/>
      <c r="AW110" s="64">
        <v>45747.8088194444</v>
      </c>
      <c r="AX110" s="56" t="s">
        <v>15857</v>
      </c>
      <c r="AY110" s="56" t="s">
        <v>15179</v>
      </c>
      <c r="AZ110" s="58"/>
      <c r="BA110" s="58"/>
      <c r="BB110" s="58"/>
      <c r="BC110" s="56" t="s">
        <v>138</v>
      </c>
      <c r="BD110" s="56" t="s">
        <v>15197</v>
      </c>
      <c r="BE110" s="58"/>
      <c r="BF110" s="56" t="s">
        <v>15181</v>
      </c>
      <c r="BG110" s="58"/>
      <c r="BH110" s="58"/>
      <c r="BI110" s="57" t="s">
        <v>2801</v>
      </c>
      <c r="BJ110" s="58"/>
      <c r="BK110" s="58"/>
      <c r="BL110" s="66">
        <v>3482632</v>
      </c>
      <c r="BM110" s="56" t="s">
        <v>15862</v>
      </c>
      <c r="BN110" s="58"/>
      <c r="BO110" s="67">
        <v>900</v>
      </c>
      <c r="BP110" s="56" t="s">
        <v>15450</v>
      </c>
      <c r="BQ110" s="58"/>
      <c r="BR110" s="56" t="s">
        <v>15863</v>
      </c>
      <c r="BS110" s="56" t="s">
        <v>1285</v>
      </c>
      <c r="BT110" s="58"/>
      <c r="BU110" s="56" t="s">
        <v>15859</v>
      </c>
      <c r="BV110" s="58"/>
      <c r="BW110" s="58"/>
      <c r="BX110" s="67">
        <v>900</v>
      </c>
      <c r="BY110" s="58"/>
      <c r="BZ110" s="58"/>
      <c r="CA110" s="58"/>
      <c r="CB110" s="58"/>
      <c r="CC110" s="58"/>
      <c r="CD110" s="58"/>
    </row>
    <row r="111" ht="108" spans="1:82">
      <c r="A111" s="56" t="s">
        <v>15877</v>
      </c>
      <c r="B111" s="58"/>
      <c r="C111" s="57" t="s">
        <v>15851</v>
      </c>
      <c r="D111" s="58"/>
      <c r="E111" s="57" t="s">
        <v>15158</v>
      </c>
      <c r="F111" s="57" t="s">
        <v>15852</v>
      </c>
      <c r="G111" s="57" t="s">
        <v>15160</v>
      </c>
      <c r="H111" s="56" t="s">
        <v>3294</v>
      </c>
      <c r="I111" s="60">
        <v>71420</v>
      </c>
      <c r="J111" s="57" t="s">
        <v>1285</v>
      </c>
      <c r="K111" s="57" t="s">
        <v>15162</v>
      </c>
      <c r="L111" s="57" t="s">
        <v>15163</v>
      </c>
      <c r="M111" s="61" t="s">
        <v>15773</v>
      </c>
      <c r="N111" s="62" t="s">
        <v>15853</v>
      </c>
      <c r="O111" s="57" t="s">
        <v>15165</v>
      </c>
      <c r="P111" s="57" t="s">
        <v>15166</v>
      </c>
      <c r="Q111" s="57" t="s">
        <v>3294</v>
      </c>
      <c r="R111" s="57" t="s">
        <v>15854</v>
      </c>
      <c r="S111" s="57" t="s">
        <v>15855</v>
      </c>
      <c r="T111" s="57" t="s">
        <v>15190</v>
      </c>
      <c r="U111" s="57" t="s">
        <v>14184</v>
      </c>
      <c r="V111" s="56" t="s">
        <v>14153</v>
      </c>
      <c r="W111" s="58"/>
      <c r="X111" s="57" t="s">
        <v>15856</v>
      </c>
      <c r="Y111" s="57" t="s">
        <v>15170</v>
      </c>
      <c r="Z111" s="61" t="s">
        <v>15465</v>
      </c>
      <c r="AA111" s="61" t="s">
        <v>15773</v>
      </c>
      <c r="AB111" s="58"/>
      <c r="AC111" s="57" t="s">
        <v>15172</v>
      </c>
      <c r="AD111" s="58"/>
      <c r="AE111" s="58"/>
      <c r="AF111" s="58"/>
      <c r="AG111" s="58"/>
      <c r="AH111" s="58"/>
      <c r="AI111" s="58"/>
      <c r="AJ111" s="58"/>
      <c r="AK111" s="56" t="s">
        <v>1285</v>
      </c>
      <c r="AL111" s="56" t="s">
        <v>15857</v>
      </c>
      <c r="AM111" s="58"/>
      <c r="AN111" s="56" t="s">
        <v>15858</v>
      </c>
      <c r="AO111" s="58"/>
      <c r="AP111" s="63">
        <v>45821.7948726852</v>
      </c>
      <c r="AQ111" s="56" t="s">
        <v>15859</v>
      </c>
      <c r="AR111" s="61" t="s">
        <v>15448</v>
      </c>
      <c r="AS111" s="57" t="s">
        <v>14184</v>
      </c>
      <c r="AT111" s="56" t="s">
        <v>15177</v>
      </c>
      <c r="AU111" s="56" t="s">
        <v>15860</v>
      </c>
      <c r="AV111" s="58"/>
      <c r="AW111" s="64">
        <v>45747.8088194444</v>
      </c>
      <c r="AX111" s="56" t="s">
        <v>15857</v>
      </c>
      <c r="AY111" s="56" t="s">
        <v>15179</v>
      </c>
      <c r="AZ111" s="58"/>
      <c r="BA111" s="58"/>
      <c r="BB111" s="58"/>
      <c r="BC111" s="56" t="s">
        <v>15861</v>
      </c>
      <c r="BD111" s="56" t="s">
        <v>15197</v>
      </c>
      <c r="BE111" s="58"/>
      <c r="BF111" s="56" t="s">
        <v>15181</v>
      </c>
      <c r="BG111" s="58"/>
      <c r="BH111" s="58"/>
      <c r="BI111" s="57" t="s">
        <v>2801</v>
      </c>
      <c r="BJ111" s="58"/>
      <c r="BK111" s="58"/>
      <c r="BL111" s="66">
        <v>3482631</v>
      </c>
      <c r="BM111" s="56" t="s">
        <v>15862</v>
      </c>
      <c r="BN111" s="58"/>
      <c r="BO111" s="67">
        <v>5160</v>
      </c>
      <c r="BP111" s="56" t="s">
        <v>15450</v>
      </c>
      <c r="BQ111" s="58"/>
      <c r="BR111" s="56" t="s">
        <v>15863</v>
      </c>
      <c r="BS111" s="56" t="s">
        <v>1285</v>
      </c>
      <c r="BT111" s="58"/>
      <c r="BU111" s="56" t="s">
        <v>15859</v>
      </c>
      <c r="BV111" s="58"/>
      <c r="BW111" s="58"/>
      <c r="BX111" s="67">
        <v>5160</v>
      </c>
      <c r="BY111" s="58"/>
      <c r="BZ111" s="58"/>
      <c r="CA111" s="58"/>
      <c r="CB111" s="58"/>
      <c r="CC111" s="58"/>
      <c r="CD111" s="58"/>
    </row>
    <row r="112" ht="108" spans="1:82">
      <c r="A112" s="56" t="s">
        <v>15878</v>
      </c>
      <c r="B112" s="58"/>
      <c r="C112" s="57" t="s">
        <v>15851</v>
      </c>
      <c r="D112" s="58"/>
      <c r="E112" s="57" t="s">
        <v>15158</v>
      </c>
      <c r="F112" s="57" t="s">
        <v>15852</v>
      </c>
      <c r="G112" s="57" t="s">
        <v>15160</v>
      </c>
      <c r="H112" s="56" t="s">
        <v>3294</v>
      </c>
      <c r="I112" s="60">
        <v>71420</v>
      </c>
      <c r="J112" s="57" t="s">
        <v>1285</v>
      </c>
      <c r="K112" s="57" t="s">
        <v>15162</v>
      </c>
      <c r="L112" s="57" t="s">
        <v>15163</v>
      </c>
      <c r="M112" s="61" t="s">
        <v>15773</v>
      </c>
      <c r="N112" s="62" t="s">
        <v>15853</v>
      </c>
      <c r="O112" s="57" t="s">
        <v>15165</v>
      </c>
      <c r="P112" s="57" t="s">
        <v>15166</v>
      </c>
      <c r="Q112" s="57" t="s">
        <v>3294</v>
      </c>
      <c r="R112" s="57" t="s">
        <v>15854</v>
      </c>
      <c r="S112" s="57" t="s">
        <v>15855</v>
      </c>
      <c r="T112" s="57" t="s">
        <v>15190</v>
      </c>
      <c r="U112" s="57" t="s">
        <v>14184</v>
      </c>
      <c r="V112" s="56" t="s">
        <v>14153</v>
      </c>
      <c r="W112" s="58"/>
      <c r="X112" s="57" t="s">
        <v>15856</v>
      </c>
      <c r="Y112" s="57" t="s">
        <v>15170</v>
      </c>
      <c r="Z112" s="61" t="s">
        <v>15465</v>
      </c>
      <c r="AA112" s="61" t="s">
        <v>15773</v>
      </c>
      <c r="AB112" s="58"/>
      <c r="AC112" s="57" t="s">
        <v>15172</v>
      </c>
      <c r="AD112" s="58"/>
      <c r="AE112" s="58"/>
      <c r="AF112" s="58"/>
      <c r="AG112" s="58"/>
      <c r="AH112" s="58"/>
      <c r="AI112" s="58"/>
      <c r="AJ112" s="58"/>
      <c r="AK112" s="56" t="s">
        <v>1285</v>
      </c>
      <c r="AL112" s="56" t="s">
        <v>15857</v>
      </c>
      <c r="AM112" s="58"/>
      <c r="AN112" s="56" t="s">
        <v>15858</v>
      </c>
      <c r="AO112" s="58"/>
      <c r="AP112" s="63">
        <v>45821.7948726852</v>
      </c>
      <c r="AQ112" s="56" t="s">
        <v>15859</v>
      </c>
      <c r="AR112" s="61" t="s">
        <v>15448</v>
      </c>
      <c r="AS112" s="57" t="s">
        <v>14184</v>
      </c>
      <c r="AT112" s="56" t="s">
        <v>15177</v>
      </c>
      <c r="AU112" s="56" t="s">
        <v>15860</v>
      </c>
      <c r="AV112" s="58"/>
      <c r="AW112" s="64">
        <v>45747.8088194444</v>
      </c>
      <c r="AX112" s="56" t="s">
        <v>15857</v>
      </c>
      <c r="AY112" s="56" t="s">
        <v>15179</v>
      </c>
      <c r="AZ112" s="58"/>
      <c r="BA112" s="58"/>
      <c r="BB112" s="58"/>
      <c r="BC112" s="56" t="s">
        <v>15861</v>
      </c>
      <c r="BD112" s="56" t="s">
        <v>15197</v>
      </c>
      <c r="BE112" s="58"/>
      <c r="BF112" s="56" t="s">
        <v>15181</v>
      </c>
      <c r="BG112" s="58"/>
      <c r="BH112" s="58"/>
      <c r="BI112" s="57" t="s">
        <v>2801</v>
      </c>
      <c r="BJ112" s="58"/>
      <c r="BK112" s="58"/>
      <c r="BL112" s="66">
        <v>3482634</v>
      </c>
      <c r="BM112" s="56" t="s">
        <v>15862</v>
      </c>
      <c r="BN112" s="58"/>
      <c r="BO112" s="67">
        <v>13200</v>
      </c>
      <c r="BP112" s="56" t="s">
        <v>15450</v>
      </c>
      <c r="BQ112" s="58"/>
      <c r="BR112" s="56" t="s">
        <v>15863</v>
      </c>
      <c r="BS112" s="56" t="s">
        <v>1285</v>
      </c>
      <c r="BT112" s="58"/>
      <c r="BU112" s="56" t="s">
        <v>15859</v>
      </c>
      <c r="BV112" s="58"/>
      <c r="BW112" s="58"/>
      <c r="BX112" s="67">
        <v>13200</v>
      </c>
      <c r="BY112" s="58"/>
      <c r="BZ112" s="58"/>
      <c r="CA112" s="58"/>
      <c r="CB112" s="58"/>
      <c r="CC112" s="58"/>
      <c r="CD112" s="58"/>
    </row>
    <row r="113" ht="108" spans="1:82">
      <c r="A113" s="56" t="s">
        <v>15879</v>
      </c>
      <c r="B113" s="58"/>
      <c r="C113" s="57" t="s">
        <v>15851</v>
      </c>
      <c r="D113" s="58"/>
      <c r="E113" s="57" t="s">
        <v>15158</v>
      </c>
      <c r="F113" s="57" t="s">
        <v>15852</v>
      </c>
      <c r="G113" s="57" t="s">
        <v>15160</v>
      </c>
      <c r="H113" s="56" t="s">
        <v>3294</v>
      </c>
      <c r="I113" s="60">
        <v>71420</v>
      </c>
      <c r="J113" s="57" t="s">
        <v>1285</v>
      </c>
      <c r="K113" s="57" t="s">
        <v>15162</v>
      </c>
      <c r="L113" s="57" t="s">
        <v>15163</v>
      </c>
      <c r="M113" s="61" t="s">
        <v>15773</v>
      </c>
      <c r="N113" s="62" t="s">
        <v>15853</v>
      </c>
      <c r="O113" s="57" t="s">
        <v>15165</v>
      </c>
      <c r="P113" s="57" t="s">
        <v>15166</v>
      </c>
      <c r="Q113" s="57" t="s">
        <v>3294</v>
      </c>
      <c r="R113" s="57" t="s">
        <v>15854</v>
      </c>
      <c r="S113" s="57" t="s">
        <v>15855</v>
      </c>
      <c r="T113" s="57" t="s">
        <v>15190</v>
      </c>
      <c r="U113" s="57" t="s">
        <v>14184</v>
      </c>
      <c r="V113" s="56" t="s">
        <v>14153</v>
      </c>
      <c r="W113" s="58"/>
      <c r="X113" s="57" t="s">
        <v>15856</v>
      </c>
      <c r="Y113" s="57" t="s">
        <v>15170</v>
      </c>
      <c r="Z113" s="61" t="s">
        <v>15465</v>
      </c>
      <c r="AA113" s="61" t="s">
        <v>15773</v>
      </c>
      <c r="AB113" s="58"/>
      <c r="AC113" s="57" t="s">
        <v>15172</v>
      </c>
      <c r="AD113" s="58"/>
      <c r="AE113" s="58"/>
      <c r="AF113" s="58"/>
      <c r="AG113" s="58"/>
      <c r="AH113" s="58"/>
      <c r="AI113" s="58"/>
      <c r="AJ113" s="58"/>
      <c r="AK113" s="56" t="s">
        <v>1285</v>
      </c>
      <c r="AL113" s="56" t="s">
        <v>15857</v>
      </c>
      <c r="AM113" s="58"/>
      <c r="AN113" s="56" t="s">
        <v>15858</v>
      </c>
      <c r="AO113" s="58"/>
      <c r="AP113" s="63">
        <v>45821.7948726852</v>
      </c>
      <c r="AQ113" s="56" t="s">
        <v>15859</v>
      </c>
      <c r="AR113" s="61" t="s">
        <v>15448</v>
      </c>
      <c r="AS113" s="57" t="s">
        <v>14184</v>
      </c>
      <c r="AT113" s="56" t="s">
        <v>15177</v>
      </c>
      <c r="AU113" s="56" t="s">
        <v>15860</v>
      </c>
      <c r="AV113" s="58"/>
      <c r="AW113" s="64">
        <v>45747.8088194444</v>
      </c>
      <c r="AX113" s="56" t="s">
        <v>15857</v>
      </c>
      <c r="AY113" s="56" t="s">
        <v>15179</v>
      </c>
      <c r="AZ113" s="58"/>
      <c r="BA113" s="58"/>
      <c r="BB113" s="58"/>
      <c r="BC113" s="56" t="s">
        <v>15861</v>
      </c>
      <c r="BD113" s="56" t="s">
        <v>15197</v>
      </c>
      <c r="BE113" s="58"/>
      <c r="BF113" s="56" t="s">
        <v>15181</v>
      </c>
      <c r="BG113" s="58"/>
      <c r="BH113" s="58"/>
      <c r="BI113" s="57" t="s">
        <v>2801</v>
      </c>
      <c r="BJ113" s="58"/>
      <c r="BK113" s="58"/>
      <c r="BL113" s="66">
        <v>3482633</v>
      </c>
      <c r="BM113" s="56" t="s">
        <v>15862</v>
      </c>
      <c r="BN113" s="58"/>
      <c r="BO113" s="67">
        <v>9460</v>
      </c>
      <c r="BP113" s="56" t="s">
        <v>15450</v>
      </c>
      <c r="BQ113" s="58"/>
      <c r="BR113" s="56" t="s">
        <v>15863</v>
      </c>
      <c r="BS113" s="56" t="s">
        <v>1285</v>
      </c>
      <c r="BT113" s="58"/>
      <c r="BU113" s="56" t="s">
        <v>15859</v>
      </c>
      <c r="BV113" s="58"/>
      <c r="BW113" s="58"/>
      <c r="BX113" s="67">
        <v>9460</v>
      </c>
      <c r="BY113" s="58"/>
      <c r="BZ113" s="58"/>
      <c r="CA113" s="58"/>
      <c r="CB113" s="58"/>
      <c r="CC113" s="58"/>
      <c r="CD113" s="58"/>
    </row>
    <row r="114" ht="108" spans="1:82">
      <c r="A114" s="56" t="s">
        <v>15880</v>
      </c>
      <c r="B114" s="58"/>
      <c r="C114" s="57" t="s">
        <v>15851</v>
      </c>
      <c r="D114" s="58"/>
      <c r="E114" s="57" t="s">
        <v>15158</v>
      </c>
      <c r="F114" s="57" t="s">
        <v>15852</v>
      </c>
      <c r="G114" s="57" t="s">
        <v>15160</v>
      </c>
      <c r="H114" s="56" t="s">
        <v>3294</v>
      </c>
      <c r="I114" s="60">
        <v>71420</v>
      </c>
      <c r="J114" s="57" t="s">
        <v>1285</v>
      </c>
      <c r="K114" s="57" t="s">
        <v>15162</v>
      </c>
      <c r="L114" s="57" t="s">
        <v>15163</v>
      </c>
      <c r="M114" s="61" t="s">
        <v>15773</v>
      </c>
      <c r="N114" s="62" t="s">
        <v>15853</v>
      </c>
      <c r="O114" s="57" t="s">
        <v>15165</v>
      </c>
      <c r="P114" s="57" t="s">
        <v>15166</v>
      </c>
      <c r="Q114" s="57" t="s">
        <v>3294</v>
      </c>
      <c r="R114" s="57" t="s">
        <v>15854</v>
      </c>
      <c r="S114" s="57" t="s">
        <v>15855</v>
      </c>
      <c r="T114" s="57" t="s">
        <v>15190</v>
      </c>
      <c r="U114" s="57" t="s">
        <v>14184</v>
      </c>
      <c r="V114" s="56" t="s">
        <v>14153</v>
      </c>
      <c r="W114" s="58"/>
      <c r="X114" s="57" t="s">
        <v>15856</v>
      </c>
      <c r="Y114" s="57" t="s">
        <v>15170</v>
      </c>
      <c r="Z114" s="61" t="s">
        <v>15465</v>
      </c>
      <c r="AA114" s="61" t="s">
        <v>15773</v>
      </c>
      <c r="AB114" s="58"/>
      <c r="AC114" s="57" t="s">
        <v>15172</v>
      </c>
      <c r="AD114" s="58"/>
      <c r="AE114" s="58"/>
      <c r="AF114" s="58"/>
      <c r="AG114" s="58"/>
      <c r="AH114" s="58"/>
      <c r="AI114" s="58"/>
      <c r="AJ114" s="58"/>
      <c r="AK114" s="56" t="s">
        <v>1285</v>
      </c>
      <c r="AL114" s="56" t="s">
        <v>15857</v>
      </c>
      <c r="AM114" s="58"/>
      <c r="AN114" s="56" t="s">
        <v>15858</v>
      </c>
      <c r="AO114" s="58"/>
      <c r="AP114" s="63">
        <v>45821.7948726852</v>
      </c>
      <c r="AQ114" s="56" t="s">
        <v>15859</v>
      </c>
      <c r="AR114" s="61" t="s">
        <v>15448</v>
      </c>
      <c r="AS114" s="57" t="s">
        <v>14184</v>
      </c>
      <c r="AT114" s="56" t="s">
        <v>15177</v>
      </c>
      <c r="AU114" s="56" t="s">
        <v>15860</v>
      </c>
      <c r="AV114" s="58"/>
      <c r="AW114" s="64">
        <v>45747.8088194444</v>
      </c>
      <c r="AX114" s="56" t="s">
        <v>15857</v>
      </c>
      <c r="AY114" s="56" t="s">
        <v>15179</v>
      </c>
      <c r="AZ114" s="58"/>
      <c r="BA114" s="58"/>
      <c r="BB114" s="58"/>
      <c r="BC114" s="56" t="s">
        <v>15861</v>
      </c>
      <c r="BD114" s="56" t="s">
        <v>15197</v>
      </c>
      <c r="BE114" s="58"/>
      <c r="BF114" s="56" t="s">
        <v>15181</v>
      </c>
      <c r="BG114" s="58"/>
      <c r="BH114" s="58"/>
      <c r="BI114" s="57" t="s">
        <v>2801</v>
      </c>
      <c r="BJ114" s="58"/>
      <c r="BK114" s="58"/>
      <c r="BL114" s="66">
        <v>3482636</v>
      </c>
      <c r="BM114" s="56" t="s">
        <v>15862</v>
      </c>
      <c r="BN114" s="58"/>
      <c r="BO114" s="67">
        <v>6300</v>
      </c>
      <c r="BP114" s="56" t="s">
        <v>15450</v>
      </c>
      <c r="BQ114" s="58"/>
      <c r="BR114" s="56" t="s">
        <v>15863</v>
      </c>
      <c r="BS114" s="56" t="s">
        <v>1285</v>
      </c>
      <c r="BT114" s="58"/>
      <c r="BU114" s="56" t="s">
        <v>15859</v>
      </c>
      <c r="BV114" s="58"/>
      <c r="BW114" s="58"/>
      <c r="BX114" s="67">
        <v>6300</v>
      </c>
      <c r="BY114" s="58"/>
      <c r="BZ114" s="58"/>
      <c r="CA114" s="58"/>
      <c r="CB114" s="58"/>
      <c r="CC114" s="58"/>
      <c r="CD114" s="58"/>
    </row>
    <row r="115" ht="108" spans="1:82">
      <c r="A115" s="56" t="s">
        <v>15881</v>
      </c>
      <c r="B115" s="58"/>
      <c r="C115" s="57" t="s">
        <v>15851</v>
      </c>
      <c r="D115" s="58"/>
      <c r="E115" s="57" t="s">
        <v>15158</v>
      </c>
      <c r="F115" s="57" t="s">
        <v>15852</v>
      </c>
      <c r="G115" s="57" t="s">
        <v>15160</v>
      </c>
      <c r="H115" s="56" t="s">
        <v>3294</v>
      </c>
      <c r="I115" s="60">
        <v>71420</v>
      </c>
      <c r="J115" s="57" t="s">
        <v>1285</v>
      </c>
      <c r="K115" s="57" t="s">
        <v>15162</v>
      </c>
      <c r="L115" s="57" t="s">
        <v>15163</v>
      </c>
      <c r="M115" s="61" t="s">
        <v>15773</v>
      </c>
      <c r="N115" s="62" t="s">
        <v>15853</v>
      </c>
      <c r="O115" s="57" t="s">
        <v>15165</v>
      </c>
      <c r="P115" s="57" t="s">
        <v>15166</v>
      </c>
      <c r="Q115" s="57" t="s">
        <v>3294</v>
      </c>
      <c r="R115" s="57" t="s">
        <v>15854</v>
      </c>
      <c r="S115" s="57" t="s">
        <v>15855</v>
      </c>
      <c r="T115" s="57" t="s">
        <v>15190</v>
      </c>
      <c r="U115" s="57" t="s">
        <v>14184</v>
      </c>
      <c r="V115" s="56" t="s">
        <v>14153</v>
      </c>
      <c r="W115" s="58"/>
      <c r="X115" s="57" t="s">
        <v>15856</v>
      </c>
      <c r="Y115" s="57" t="s">
        <v>15170</v>
      </c>
      <c r="Z115" s="61" t="s">
        <v>15465</v>
      </c>
      <c r="AA115" s="61" t="s">
        <v>15773</v>
      </c>
      <c r="AB115" s="58"/>
      <c r="AC115" s="57" t="s">
        <v>15172</v>
      </c>
      <c r="AD115" s="58"/>
      <c r="AE115" s="58"/>
      <c r="AF115" s="58"/>
      <c r="AG115" s="58"/>
      <c r="AH115" s="58"/>
      <c r="AI115" s="58"/>
      <c r="AJ115" s="58"/>
      <c r="AK115" s="56" t="s">
        <v>1285</v>
      </c>
      <c r="AL115" s="56" t="s">
        <v>15857</v>
      </c>
      <c r="AM115" s="58"/>
      <c r="AN115" s="56" t="s">
        <v>15858</v>
      </c>
      <c r="AO115" s="58"/>
      <c r="AP115" s="63">
        <v>45821.7948726852</v>
      </c>
      <c r="AQ115" s="56" t="s">
        <v>15859</v>
      </c>
      <c r="AR115" s="61" t="s">
        <v>15448</v>
      </c>
      <c r="AS115" s="57" t="s">
        <v>14184</v>
      </c>
      <c r="AT115" s="56" t="s">
        <v>15177</v>
      </c>
      <c r="AU115" s="56" t="s">
        <v>15860</v>
      </c>
      <c r="AV115" s="58"/>
      <c r="AW115" s="64">
        <v>45747.8088194444</v>
      </c>
      <c r="AX115" s="56" t="s">
        <v>15857</v>
      </c>
      <c r="AY115" s="56" t="s">
        <v>15179</v>
      </c>
      <c r="AZ115" s="58"/>
      <c r="BA115" s="58"/>
      <c r="BB115" s="58"/>
      <c r="BC115" s="56" t="s">
        <v>15861</v>
      </c>
      <c r="BD115" s="56" t="s">
        <v>15197</v>
      </c>
      <c r="BE115" s="58"/>
      <c r="BF115" s="56" t="s">
        <v>15181</v>
      </c>
      <c r="BG115" s="58"/>
      <c r="BH115" s="58"/>
      <c r="BI115" s="57" t="s">
        <v>2801</v>
      </c>
      <c r="BJ115" s="58"/>
      <c r="BK115" s="58"/>
      <c r="BL115" s="66">
        <v>3482635</v>
      </c>
      <c r="BM115" s="56" t="s">
        <v>15862</v>
      </c>
      <c r="BN115" s="58"/>
      <c r="BO115" s="67">
        <v>3200</v>
      </c>
      <c r="BP115" s="56" t="s">
        <v>15450</v>
      </c>
      <c r="BQ115" s="58"/>
      <c r="BR115" s="56" t="s">
        <v>15863</v>
      </c>
      <c r="BS115" s="56" t="s">
        <v>1285</v>
      </c>
      <c r="BT115" s="58"/>
      <c r="BU115" s="56" t="s">
        <v>15859</v>
      </c>
      <c r="BV115" s="58"/>
      <c r="BW115" s="58"/>
      <c r="BX115" s="67">
        <v>3200</v>
      </c>
      <c r="BY115" s="58"/>
      <c r="BZ115" s="58"/>
      <c r="CA115" s="58"/>
      <c r="CB115" s="58"/>
      <c r="CC115" s="58"/>
      <c r="CD115" s="58"/>
    </row>
    <row r="116" ht="108" spans="1:82">
      <c r="A116" s="56" t="s">
        <v>15882</v>
      </c>
      <c r="B116" s="58"/>
      <c r="C116" s="57" t="s">
        <v>15851</v>
      </c>
      <c r="D116" s="58"/>
      <c r="E116" s="57" t="s">
        <v>15158</v>
      </c>
      <c r="F116" s="57" t="s">
        <v>15852</v>
      </c>
      <c r="G116" s="57" t="s">
        <v>15160</v>
      </c>
      <c r="H116" s="56" t="s">
        <v>3294</v>
      </c>
      <c r="I116" s="60">
        <v>71420</v>
      </c>
      <c r="J116" s="57" t="s">
        <v>1285</v>
      </c>
      <c r="K116" s="57" t="s">
        <v>15162</v>
      </c>
      <c r="L116" s="57" t="s">
        <v>15163</v>
      </c>
      <c r="M116" s="61" t="s">
        <v>15773</v>
      </c>
      <c r="N116" s="62" t="s">
        <v>15853</v>
      </c>
      <c r="O116" s="57" t="s">
        <v>15165</v>
      </c>
      <c r="P116" s="57" t="s">
        <v>15166</v>
      </c>
      <c r="Q116" s="57" t="s">
        <v>3294</v>
      </c>
      <c r="R116" s="57" t="s">
        <v>15854</v>
      </c>
      <c r="S116" s="57" t="s">
        <v>15855</v>
      </c>
      <c r="T116" s="57" t="s">
        <v>15190</v>
      </c>
      <c r="U116" s="57" t="s">
        <v>14184</v>
      </c>
      <c r="V116" s="56" t="s">
        <v>14153</v>
      </c>
      <c r="W116" s="58"/>
      <c r="X116" s="57" t="s">
        <v>15856</v>
      </c>
      <c r="Y116" s="57" t="s">
        <v>15170</v>
      </c>
      <c r="Z116" s="61" t="s">
        <v>15465</v>
      </c>
      <c r="AA116" s="61" t="s">
        <v>15773</v>
      </c>
      <c r="AB116" s="58"/>
      <c r="AC116" s="57" t="s">
        <v>15172</v>
      </c>
      <c r="AD116" s="58"/>
      <c r="AE116" s="58"/>
      <c r="AF116" s="58"/>
      <c r="AG116" s="58"/>
      <c r="AH116" s="58"/>
      <c r="AI116" s="58"/>
      <c r="AJ116" s="58"/>
      <c r="AK116" s="56" t="s">
        <v>1285</v>
      </c>
      <c r="AL116" s="56" t="s">
        <v>15857</v>
      </c>
      <c r="AM116" s="58"/>
      <c r="AN116" s="56" t="s">
        <v>15858</v>
      </c>
      <c r="AO116" s="58"/>
      <c r="AP116" s="63">
        <v>45821.7948726852</v>
      </c>
      <c r="AQ116" s="56" t="s">
        <v>15859</v>
      </c>
      <c r="AR116" s="61" t="s">
        <v>15448</v>
      </c>
      <c r="AS116" s="57" t="s">
        <v>14184</v>
      </c>
      <c r="AT116" s="56" t="s">
        <v>15177</v>
      </c>
      <c r="AU116" s="56" t="s">
        <v>15860</v>
      </c>
      <c r="AV116" s="58"/>
      <c r="AW116" s="64">
        <v>45747.8088194444</v>
      </c>
      <c r="AX116" s="56" t="s">
        <v>15857</v>
      </c>
      <c r="AY116" s="56" t="s">
        <v>15179</v>
      </c>
      <c r="AZ116" s="58"/>
      <c r="BA116" s="58"/>
      <c r="BB116" s="58"/>
      <c r="BC116" s="56" t="s">
        <v>138</v>
      </c>
      <c r="BD116" s="56" t="s">
        <v>15197</v>
      </c>
      <c r="BE116" s="58"/>
      <c r="BF116" s="56" t="s">
        <v>15181</v>
      </c>
      <c r="BG116" s="58"/>
      <c r="BH116" s="58"/>
      <c r="BI116" s="57" t="s">
        <v>2801</v>
      </c>
      <c r="BJ116" s="58"/>
      <c r="BK116" s="58"/>
      <c r="BL116" s="66">
        <v>3482640</v>
      </c>
      <c r="BM116" s="56" t="s">
        <v>15862</v>
      </c>
      <c r="BN116" s="58"/>
      <c r="BO116" s="67">
        <v>2580</v>
      </c>
      <c r="BP116" s="56" t="s">
        <v>15450</v>
      </c>
      <c r="BQ116" s="58"/>
      <c r="BR116" s="56" t="s">
        <v>15863</v>
      </c>
      <c r="BS116" s="56" t="s">
        <v>1285</v>
      </c>
      <c r="BT116" s="58"/>
      <c r="BU116" s="56" t="s">
        <v>15859</v>
      </c>
      <c r="BV116" s="58"/>
      <c r="BW116" s="58"/>
      <c r="BX116" s="67">
        <v>2580</v>
      </c>
      <c r="BY116" s="58"/>
      <c r="BZ116" s="58"/>
      <c r="CA116" s="58"/>
      <c r="CB116" s="58"/>
      <c r="CC116" s="58"/>
      <c r="CD116" s="58"/>
    </row>
    <row r="117" ht="108" spans="1:82">
      <c r="A117" s="56" t="s">
        <v>15883</v>
      </c>
      <c r="B117" s="58"/>
      <c r="C117" s="57" t="s">
        <v>15851</v>
      </c>
      <c r="D117" s="58"/>
      <c r="E117" s="57" t="s">
        <v>15158</v>
      </c>
      <c r="F117" s="57" t="s">
        <v>15852</v>
      </c>
      <c r="G117" s="57" t="s">
        <v>15160</v>
      </c>
      <c r="H117" s="56" t="s">
        <v>3294</v>
      </c>
      <c r="I117" s="60">
        <v>71420</v>
      </c>
      <c r="J117" s="57" t="s">
        <v>1285</v>
      </c>
      <c r="K117" s="57" t="s">
        <v>15162</v>
      </c>
      <c r="L117" s="57" t="s">
        <v>15163</v>
      </c>
      <c r="M117" s="61" t="s">
        <v>15773</v>
      </c>
      <c r="N117" s="62" t="s">
        <v>15853</v>
      </c>
      <c r="O117" s="57" t="s">
        <v>15165</v>
      </c>
      <c r="P117" s="57" t="s">
        <v>15166</v>
      </c>
      <c r="Q117" s="57" t="s">
        <v>3294</v>
      </c>
      <c r="R117" s="57" t="s">
        <v>15854</v>
      </c>
      <c r="S117" s="57" t="s">
        <v>15855</v>
      </c>
      <c r="T117" s="57" t="s">
        <v>15190</v>
      </c>
      <c r="U117" s="57" t="s">
        <v>14184</v>
      </c>
      <c r="V117" s="56" t="s">
        <v>14153</v>
      </c>
      <c r="W117" s="58"/>
      <c r="X117" s="57" t="s">
        <v>15856</v>
      </c>
      <c r="Y117" s="57" t="s">
        <v>15170</v>
      </c>
      <c r="Z117" s="61" t="s">
        <v>15465</v>
      </c>
      <c r="AA117" s="61" t="s">
        <v>15773</v>
      </c>
      <c r="AB117" s="58"/>
      <c r="AC117" s="57" t="s">
        <v>15172</v>
      </c>
      <c r="AD117" s="58"/>
      <c r="AE117" s="58"/>
      <c r="AF117" s="58"/>
      <c r="AG117" s="58"/>
      <c r="AH117" s="58"/>
      <c r="AI117" s="58"/>
      <c r="AJ117" s="58"/>
      <c r="AK117" s="56" t="s">
        <v>1285</v>
      </c>
      <c r="AL117" s="56" t="s">
        <v>15857</v>
      </c>
      <c r="AM117" s="58"/>
      <c r="AN117" s="56" t="s">
        <v>15858</v>
      </c>
      <c r="AO117" s="58"/>
      <c r="AP117" s="63">
        <v>45821.7948726852</v>
      </c>
      <c r="AQ117" s="56" t="s">
        <v>15859</v>
      </c>
      <c r="AR117" s="61" t="s">
        <v>15448</v>
      </c>
      <c r="AS117" s="57" t="s">
        <v>14184</v>
      </c>
      <c r="AT117" s="56" t="s">
        <v>15177</v>
      </c>
      <c r="AU117" s="56" t="s">
        <v>15860</v>
      </c>
      <c r="AV117" s="58"/>
      <c r="AW117" s="64">
        <v>45747.8088194444</v>
      </c>
      <c r="AX117" s="56" t="s">
        <v>15857</v>
      </c>
      <c r="AY117" s="56" t="s">
        <v>15179</v>
      </c>
      <c r="AZ117" s="58"/>
      <c r="BA117" s="58"/>
      <c r="BB117" s="58"/>
      <c r="BC117" s="56" t="s">
        <v>15861</v>
      </c>
      <c r="BD117" s="56" t="s">
        <v>15197</v>
      </c>
      <c r="BE117" s="58"/>
      <c r="BF117" s="56" t="s">
        <v>15181</v>
      </c>
      <c r="BG117" s="58"/>
      <c r="BH117" s="58"/>
      <c r="BI117" s="57" t="s">
        <v>2801</v>
      </c>
      <c r="BJ117" s="58"/>
      <c r="BK117" s="58"/>
      <c r="BL117" s="66">
        <v>3482638</v>
      </c>
      <c r="BM117" s="56" t="s">
        <v>15862</v>
      </c>
      <c r="BN117" s="58"/>
      <c r="BO117" s="67">
        <v>1200</v>
      </c>
      <c r="BP117" s="56" t="s">
        <v>15450</v>
      </c>
      <c r="BQ117" s="58"/>
      <c r="BR117" s="56" t="s">
        <v>15863</v>
      </c>
      <c r="BS117" s="56" t="s">
        <v>1285</v>
      </c>
      <c r="BT117" s="58"/>
      <c r="BU117" s="56" t="s">
        <v>15859</v>
      </c>
      <c r="BV117" s="58"/>
      <c r="BW117" s="58"/>
      <c r="BX117" s="67">
        <v>1200</v>
      </c>
      <c r="BY117" s="58"/>
      <c r="BZ117" s="58"/>
      <c r="CA117" s="58"/>
      <c r="CB117" s="58"/>
      <c r="CC117" s="58"/>
      <c r="CD117" s="58"/>
    </row>
    <row r="118" ht="108" spans="1:82">
      <c r="A118" s="56" t="s">
        <v>15884</v>
      </c>
      <c r="B118" s="58"/>
      <c r="C118" s="57" t="s">
        <v>15885</v>
      </c>
      <c r="D118" s="58"/>
      <c r="E118" s="57" t="s">
        <v>15158</v>
      </c>
      <c r="F118" s="57" t="s">
        <v>15886</v>
      </c>
      <c r="G118" s="57" t="s">
        <v>15160</v>
      </c>
      <c r="H118" s="56" t="s">
        <v>4151</v>
      </c>
      <c r="I118" s="60">
        <v>9500</v>
      </c>
      <c r="J118" s="57" t="s">
        <v>1285</v>
      </c>
      <c r="K118" s="57" t="s">
        <v>15162</v>
      </c>
      <c r="L118" s="57" t="s">
        <v>15163</v>
      </c>
      <c r="M118" s="61" t="s">
        <v>15773</v>
      </c>
      <c r="N118" s="62" t="s">
        <v>15420</v>
      </c>
      <c r="O118" s="57" t="s">
        <v>15165</v>
      </c>
      <c r="P118" s="57" t="s">
        <v>15166</v>
      </c>
      <c r="Q118" s="57" t="s">
        <v>4151</v>
      </c>
      <c r="R118" s="57" t="s">
        <v>15360</v>
      </c>
      <c r="S118" s="57" t="s">
        <v>15361</v>
      </c>
      <c r="T118" s="57" t="s">
        <v>15190</v>
      </c>
      <c r="U118" s="57" t="s">
        <v>14184</v>
      </c>
      <c r="V118" s="56" t="s">
        <v>14153</v>
      </c>
      <c r="W118" s="58"/>
      <c r="X118" s="57" t="s">
        <v>15887</v>
      </c>
      <c r="Y118" s="57" t="s">
        <v>15170</v>
      </c>
      <c r="Z118" s="61" t="s">
        <v>15465</v>
      </c>
      <c r="AA118" s="61" t="s">
        <v>15773</v>
      </c>
      <c r="AB118" s="58"/>
      <c r="AC118" s="57" t="s">
        <v>15172</v>
      </c>
      <c r="AD118" s="58"/>
      <c r="AE118" s="58"/>
      <c r="AF118" s="58"/>
      <c r="AG118" s="58"/>
      <c r="AH118" s="58"/>
      <c r="AI118" s="58"/>
      <c r="AJ118" s="58"/>
      <c r="AK118" s="56" t="s">
        <v>1285</v>
      </c>
      <c r="AL118" s="56" t="s">
        <v>15888</v>
      </c>
      <c r="AM118" s="58"/>
      <c r="AN118" s="56" t="s">
        <v>15889</v>
      </c>
      <c r="AO118" s="58"/>
      <c r="AP118" s="63">
        <v>45821.7905208333</v>
      </c>
      <c r="AQ118" s="56" t="s">
        <v>15890</v>
      </c>
      <c r="AR118" s="61" t="s">
        <v>15448</v>
      </c>
      <c r="AS118" s="57" t="s">
        <v>14184</v>
      </c>
      <c r="AT118" s="56" t="s">
        <v>15177</v>
      </c>
      <c r="AU118" s="56" t="s">
        <v>15891</v>
      </c>
      <c r="AV118" s="58"/>
      <c r="AW118" s="64">
        <v>45743.4220601852</v>
      </c>
      <c r="AX118" s="56" t="s">
        <v>15888</v>
      </c>
      <c r="AY118" s="56" t="s">
        <v>15179</v>
      </c>
      <c r="AZ118" s="58"/>
      <c r="BA118" s="58"/>
      <c r="BB118" s="58"/>
      <c r="BC118" s="56" t="s">
        <v>4149</v>
      </c>
      <c r="BD118" s="56" t="s">
        <v>15366</v>
      </c>
      <c r="BE118" s="56" t="s">
        <v>2832</v>
      </c>
      <c r="BF118" s="56" t="s">
        <v>15181</v>
      </c>
      <c r="BG118" s="58"/>
      <c r="BH118" s="58"/>
      <c r="BI118" s="57" t="s">
        <v>2801</v>
      </c>
      <c r="BJ118" s="58"/>
      <c r="BK118" s="58"/>
      <c r="BL118" s="66">
        <v>3490781</v>
      </c>
      <c r="BM118" s="56" t="s">
        <v>15892</v>
      </c>
      <c r="BN118" s="58"/>
      <c r="BO118" s="67">
        <v>9500</v>
      </c>
      <c r="BP118" s="56" t="s">
        <v>15450</v>
      </c>
      <c r="BQ118" s="58"/>
      <c r="BR118" s="56" t="s">
        <v>15893</v>
      </c>
      <c r="BS118" s="56" t="s">
        <v>1285</v>
      </c>
      <c r="BT118" s="58"/>
      <c r="BU118" s="56" t="s">
        <v>15890</v>
      </c>
      <c r="BV118" s="58"/>
      <c r="BW118" s="58"/>
      <c r="BX118" s="67">
        <v>9500</v>
      </c>
      <c r="BY118" s="56" t="s">
        <v>1285</v>
      </c>
      <c r="BZ118" s="58"/>
      <c r="CA118" s="58"/>
      <c r="CB118" s="58"/>
      <c r="CC118" s="58"/>
      <c r="CD118" s="58"/>
    </row>
    <row r="119" ht="108" spans="1:82">
      <c r="A119" s="56" t="s">
        <v>15894</v>
      </c>
      <c r="B119" s="58"/>
      <c r="C119" s="57" t="s">
        <v>15895</v>
      </c>
      <c r="D119" s="58"/>
      <c r="E119" s="57" t="s">
        <v>15158</v>
      </c>
      <c r="F119" s="57" t="s">
        <v>15896</v>
      </c>
      <c r="G119" s="57" t="s">
        <v>15160</v>
      </c>
      <c r="H119" s="56" t="s">
        <v>3898</v>
      </c>
      <c r="I119" s="60">
        <v>36116.72</v>
      </c>
      <c r="J119" s="57" t="s">
        <v>1285</v>
      </c>
      <c r="K119" s="57" t="s">
        <v>15162</v>
      </c>
      <c r="L119" s="57" t="s">
        <v>15163</v>
      </c>
      <c r="M119" s="61" t="s">
        <v>15773</v>
      </c>
      <c r="N119" s="62" t="s">
        <v>15420</v>
      </c>
      <c r="O119" s="57" t="s">
        <v>15165</v>
      </c>
      <c r="P119" s="57" t="s">
        <v>15166</v>
      </c>
      <c r="Q119" s="57" t="s">
        <v>3898</v>
      </c>
      <c r="R119" s="57" t="s">
        <v>15383</v>
      </c>
      <c r="S119" s="57" t="s">
        <v>15384</v>
      </c>
      <c r="T119" s="57" t="s">
        <v>15190</v>
      </c>
      <c r="U119" s="57" t="s">
        <v>14184</v>
      </c>
      <c r="V119" s="56" t="s">
        <v>14153</v>
      </c>
      <c r="W119" s="58"/>
      <c r="X119" s="57" t="s">
        <v>15897</v>
      </c>
      <c r="Y119" s="57" t="s">
        <v>15170</v>
      </c>
      <c r="Z119" s="61" t="s">
        <v>15465</v>
      </c>
      <c r="AA119" s="61" t="s">
        <v>15773</v>
      </c>
      <c r="AB119" s="58"/>
      <c r="AC119" s="57" t="s">
        <v>15172</v>
      </c>
      <c r="AD119" s="58"/>
      <c r="AE119" s="58"/>
      <c r="AF119" s="58"/>
      <c r="AG119" s="58"/>
      <c r="AH119" s="58"/>
      <c r="AI119" s="58"/>
      <c r="AJ119" s="58"/>
      <c r="AK119" s="56" t="s">
        <v>1285</v>
      </c>
      <c r="AL119" s="56" t="s">
        <v>15898</v>
      </c>
      <c r="AM119" s="58"/>
      <c r="AN119" s="56" t="s">
        <v>15899</v>
      </c>
      <c r="AO119" s="58"/>
      <c r="AP119" s="63">
        <v>45821.7864930556</v>
      </c>
      <c r="AQ119" s="56" t="s">
        <v>15900</v>
      </c>
      <c r="AR119" s="61" t="s">
        <v>15448</v>
      </c>
      <c r="AS119" s="57" t="s">
        <v>14184</v>
      </c>
      <c r="AT119" s="56" t="s">
        <v>15177</v>
      </c>
      <c r="AU119" s="56" t="s">
        <v>15901</v>
      </c>
      <c r="AV119" s="58"/>
      <c r="AW119" s="64">
        <v>45735.8983796296</v>
      </c>
      <c r="AX119" s="56" t="s">
        <v>15898</v>
      </c>
      <c r="AY119" s="56" t="s">
        <v>15179</v>
      </c>
      <c r="AZ119" s="58"/>
      <c r="BA119" s="58"/>
      <c r="BB119" s="58"/>
      <c r="BC119" s="56" t="s">
        <v>1308</v>
      </c>
      <c r="BD119" s="56" t="s">
        <v>15551</v>
      </c>
      <c r="BE119" s="56" t="s">
        <v>2833</v>
      </c>
      <c r="BF119" s="56" t="s">
        <v>15181</v>
      </c>
      <c r="BG119" s="58"/>
      <c r="BH119" s="58"/>
      <c r="BI119" s="57" t="s">
        <v>2801</v>
      </c>
      <c r="BJ119" s="58"/>
      <c r="BK119" s="58"/>
      <c r="BL119" s="66">
        <v>3492394</v>
      </c>
      <c r="BM119" s="56" t="s">
        <v>15902</v>
      </c>
      <c r="BN119" s="58"/>
      <c r="BO119" s="67">
        <v>36116.72</v>
      </c>
      <c r="BP119" s="56" t="s">
        <v>15450</v>
      </c>
      <c r="BQ119" s="58"/>
      <c r="BR119" s="56" t="s">
        <v>15903</v>
      </c>
      <c r="BS119" s="56" t="s">
        <v>1285</v>
      </c>
      <c r="BT119" s="58"/>
      <c r="BU119" s="56" t="s">
        <v>15900</v>
      </c>
      <c r="BV119" s="58"/>
      <c r="BW119" s="58"/>
      <c r="BX119" s="67">
        <v>36116.72</v>
      </c>
      <c r="BY119" s="56" t="s">
        <v>1285</v>
      </c>
      <c r="BZ119" s="58"/>
      <c r="CA119" s="58"/>
      <c r="CB119" s="58"/>
      <c r="CC119" s="58"/>
      <c r="CD119" s="58"/>
    </row>
    <row r="120" ht="108" spans="1:82">
      <c r="A120" s="56" t="s">
        <v>15904</v>
      </c>
      <c r="B120" s="58"/>
      <c r="C120" s="57" t="s">
        <v>15905</v>
      </c>
      <c r="D120" s="58"/>
      <c r="E120" s="57" t="s">
        <v>15158</v>
      </c>
      <c r="F120" s="57" t="s">
        <v>15906</v>
      </c>
      <c r="G120" s="57" t="s">
        <v>15160</v>
      </c>
      <c r="H120" s="56" t="s">
        <v>3898</v>
      </c>
      <c r="I120" s="60">
        <v>36116.72</v>
      </c>
      <c r="J120" s="57" t="s">
        <v>1285</v>
      </c>
      <c r="K120" s="57" t="s">
        <v>15162</v>
      </c>
      <c r="L120" s="57" t="s">
        <v>15163</v>
      </c>
      <c r="M120" s="61" t="s">
        <v>15773</v>
      </c>
      <c r="N120" s="62" t="s">
        <v>15187</v>
      </c>
      <c r="O120" s="57" t="s">
        <v>15165</v>
      </c>
      <c r="P120" s="57" t="s">
        <v>15166</v>
      </c>
      <c r="Q120" s="57" t="s">
        <v>3898</v>
      </c>
      <c r="R120" s="57" t="s">
        <v>15383</v>
      </c>
      <c r="S120" s="57" t="s">
        <v>15384</v>
      </c>
      <c r="T120" s="57" t="s">
        <v>15190</v>
      </c>
      <c r="U120" s="57" t="s">
        <v>14184</v>
      </c>
      <c r="V120" s="56" t="s">
        <v>14153</v>
      </c>
      <c r="W120" s="58"/>
      <c r="X120" s="57" t="s">
        <v>15907</v>
      </c>
      <c r="Y120" s="57" t="s">
        <v>15170</v>
      </c>
      <c r="Z120" s="61" t="s">
        <v>15465</v>
      </c>
      <c r="AA120" s="61" t="s">
        <v>15773</v>
      </c>
      <c r="AB120" s="58"/>
      <c r="AC120" s="57" t="s">
        <v>15172</v>
      </c>
      <c r="AD120" s="58"/>
      <c r="AE120" s="58"/>
      <c r="AF120" s="58"/>
      <c r="AG120" s="58"/>
      <c r="AH120" s="58"/>
      <c r="AI120" s="58"/>
      <c r="AJ120" s="58"/>
      <c r="AK120" s="56" t="s">
        <v>1285</v>
      </c>
      <c r="AL120" s="56" t="s">
        <v>15908</v>
      </c>
      <c r="AM120" s="58"/>
      <c r="AN120" s="56" t="s">
        <v>15909</v>
      </c>
      <c r="AO120" s="58"/>
      <c r="AP120" s="63">
        <v>45821.7905208333</v>
      </c>
      <c r="AQ120" s="56" t="s">
        <v>15910</v>
      </c>
      <c r="AR120" s="61" t="s">
        <v>15448</v>
      </c>
      <c r="AS120" s="57" t="s">
        <v>14184</v>
      </c>
      <c r="AT120" s="56" t="s">
        <v>15177</v>
      </c>
      <c r="AU120" s="56" t="s">
        <v>15911</v>
      </c>
      <c r="AV120" s="58"/>
      <c r="AW120" s="64">
        <v>45706.7216087963</v>
      </c>
      <c r="AX120" s="56" t="s">
        <v>15908</v>
      </c>
      <c r="AY120" s="56" t="s">
        <v>15179</v>
      </c>
      <c r="AZ120" s="58"/>
      <c r="BA120" s="58"/>
      <c r="BB120" s="58"/>
      <c r="BC120" s="56" t="s">
        <v>1308</v>
      </c>
      <c r="BD120" s="56" t="s">
        <v>15551</v>
      </c>
      <c r="BE120" s="56" t="s">
        <v>15912</v>
      </c>
      <c r="BF120" s="56" t="s">
        <v>15181</v>
      </c>
      <c r="BG120" s="58"/>
      <c r="BH120" s="58"/>
      <c r="BI120" s="57" t="s">
        <v>2801</v>
      </c>
      <c r="BJ120" s="58"/>
      <c r="BK120" s="58"/>
      <c r="BL120" s="66">
        <v>2925827</v>
      </c>
      <c r="BM120" s="56" t="s">
        <v>15913</v>
      </c>
      <c r="BN120" s="58"/>
      <c r="BO120" s="67">
        <v>36116.72</v>
      </c>
      <c r="BP120" s="56" t="s">
        <v>15450</v>
      </c>
      <c r="BQ120" s="58"/>
      <c r="BR120" s="56" t="s">
        <v>15914</v>
      </c>
      <c r="BS120" s="56" t="s">
        <v>1285</v>
      </c>
      <c r="BT120" s="58"/>
      <c r="BU120" s="56" t="s">
        <v>15910</v>
      </c>
      <c r="BV120" s="58"/>
      <c r="BW120" s="58"/>
      <c r="BX120" s="67">
        <v>36116.72</v>
      </c>
      <c r="BY120" s="56" t="s">
        <v>1285</v>
      </c>
      <c r="BZ120" s="58"/>
      <c r="CA120" s="58"/>
      <c r="CB120" s="58"/>
      <c r="CC120" s="58"/>
      <c r="CD120" s="58"/>
    </row>
    <row r="121" ht="81" spans="1:82">
      <c r="A121" s="56" t="s">
        <v>15915</v>
      </c>
      <c r="B121" s="57" t="s">
        <v>15245</v>
      </c>
      <c r="C121" s="58"/>
      <c r="D121" s="57" t="s">
        <v>15916</v>
      </c>
      <c r="E121" s="57" t="s">
        <v>15158</v>
      </c>
      <c r="F121" s="57" t="s">
        <v>15917</v>
      </c>
      <c r="G121" s="57" t="s">
        <v>15183</v>
      </c>
      <c r="H121" s="56" t="s">
        <v>15918</v>
      </c>
      <c r="I121" s="60">
        <v>1194</v>
      </c>
      <c r="J121" s="57" t="s">
        <v>1285</v>
      </c>
      <c r="K121" s="57" t="s">
        <v>15162</v>
      </c>
      <c r="L121" s="57" t="s">
        <v>15163</v>
      </c>
      <c r="M121" s="61" t="s">
        <v>15919</v>
      </c>
      <c r="N121" s="62" t="s">
        <v>15920</v>
      </c>
      <c r="O121" s="57" t="s">
        <v>15250</v>
      </c>
      <c r="P121" s="57" t="s">
        <v>15251</v>
      </c>
      <c r="Q121" s="57" t="s">
        <v>15918</v>
      </c>
      <c r="R121" s="57" t="s">
        <v>15921</v>
      </c>
      <c r="S121" s="57" t="s">
        <v>15922</v>
      </c>
      <c r="T121" s="58"/>
      <c r="U121" s="57" t="s">
        <v>15074</v>
      </c>
      <c r="V121" s="56" t="s">
        <v>14153</v>
      </c>
      <c r="W121" s="58"/>
      <c r="X121" s="57" t="s">
        <v>15923</v>
      </c>
      <c r="Y121" s="57" t="s">
        <v>15170</v>
      </c>
      <c r="Z121" s="61" t="s">
        <v>15920</v>
      </c>
      <c r="AA121" s="61" t="s">
        <v>15919</v>
      </c>
      <c r="AB121" s="57" t="s">
        <v>15256</v>
      </c>
      <c r="AC121" s="57" t="s">
        <v>15172</v>
      </c>
      <c r="AD121" s="58"/>
      <c r="AE121" s="58"/>
      <c r="AF121" s="57" t="s">
        <v>15173</v>
      </c>
      <c r="AG121" s="58"/>
      <c r="AH121" s="58"/>
      <c r="AI121" s="57" t="s">
        <v>15173</v>
      </c>
      <c r="AJ121" s="58"/>
      <c r="AK121" s="56" t="s">
        <v>1285</v>
      </c>
      <c r="AL121" s="56" t="s">
        <v>15924</v>
      </c>
      <c r="AM121" s="58"/>
      <c r="AN121" s="56" t="s">
        <v>15534</v>
      </c>
      <c r="AO121" s="58"/>
      <c r="AP121" s="63">
        <v>45680.8729282407</v>
      </c>
      <c r="AQ121" s="56" t="s">
        <v>15925</v>
      </c>
      <c r="AR121" s="61" t="s">
        <v>14754</v>
      </c>
      <c r="AS121" s="58"/>
      <c r="AT121" s="56" t="s">
        <v>15260</v>
      </c>
      <c r="AU121" s="56" t="s">
        <v>15926</v>
      </c>
      <c r="AV121" s="58"/>
      <c r="AW121" s="64">
        <v>45673.497662037</v>
      </c>
      <c r="AX121" s="56" t="s">
        <v>15924</v>
      </c>
      <c r="AY121" s="56" t="s">
        <v>15179</v>
      </c>
      <c r="AZ121" s="58"/>
      <c r="BA121" s="58"/>
      <c r="BB121" s="58"/>
      <c r="BC121" s="58"/>
      <c r="BD121" s="56" t="s">
        <v>15429</v>
      </c>
      <c r="BE121" s="58"/>
      <c r="BF121" s="56" t="s">
        <v>15181</v>
      </c>
      <c r="BG121" s="58"/>
      <c r="BH121" s="58"/>
      <c r="BI121" s="57" t="s">
        <v>15291</v>
      </c>
      <c r="BJ121" s="58"/>
      <c r="BK121" s="58"/>
      <c r="BL121" s="58"/>
      <c r="BM121" s="58"/>
      <c r="BN121" s="67">
        <v>1194</v>
      </c>
      <c r="BO121" s="58"/>
      <c r="BP121" s="56" t="s">
        <v>15714</v>
      </c>
      <c r="BQ121" s="58"/>
      <c r="BR121" s="58"/>
      <c r="BS121" s="58"/>
      <c r="BT121" s="56" t="s">
        <v>1285</v>
      </c>
      <c r="BU121" s="56" t="s">
        <v>15925</v>
      </c>
      <c r="BV121" s="58"/>
      <c r="BW121" s="58"/>
      <c r="BX121" s="67">
        <v>1194</v>
      </c>
      <c r="BY121" s="58"/>
      <c r="BZ121" s="56" t="s">
        <v>15264</v>
      </c>
      <c r="CA121" s="58"/>
      <c r="CB121" s="58"/>
      <c r="CC121" s="58"/>
      <c r="CD121" s="57" t="s">
        <v>15315</v>
      </c>
    </row>
    <row r="122" ht="81" spans="1:82">
      <c r="A122" s="56" t="s">
        <v>15927</v>
      </c>
      <c r="B122" s="57" t="s">
        <v>15245</v>
      </c>
      <c r="C122" s="58"/>
      <c r="D122" s="57" t="s">
        <v>15928</v>
      </c>
      <c r="E122" s="57" t="s">
        <v>15158</v>
      </c>
      <c r="F122" s="57" t="s">
        <v>15929</v>
      </c>
      <c r="G122" s="57" t="s">
        <v>15183</v>
      </c>
      <c r="H122" s="56" t="s">
        <v>15930</v>
      </c>
      <c r="I122" s="60">
        <v>19900</v>
      </c>
      <c r="J122" s="57" t="s">
        <v>1285</v>
      </c>
      <c r="K122" s="57" t="s">
        <v>15162</v>
      </c>
      <c r="L122" s="57" t="s">
        <v>15163</v>
      </c>
      <c r="M122" s="61" t="s">
        <v>15919</v>
      </c>
      <c r="N122" s="62" t="s">
        <v>15920</v>
      </c>
      <c r="O122" s="57" t="s">
        <v>15250</v>
      </c>
      <c r="P122" s="57" t="s">
        <v>15251</v>
      </c>
      <c r="Q122" s="57" t="s">
        <v>15930</v>
      </c>
      <c r="R122" s="57" t="s">
        <v>15931</v>
      </c>
      <c r="S122" s="57" t="s">
        <v>15922</v>
      </c>
      <c r="T122" s="58"/>
      <c r="U122" s="57" t="s">
        <v>15074</v>
      </c>
      <c r="V122" s="56" t="s">
        <v>14153</v>
      </c>
      <c r="W122" s="58"/>
      <c r="X122" s="57" t="s">
        <v>15932</v>
      </c>
      <c r="Y122" s="57" t="s">
        <v>15170</v>
      </c>
      <c r="Z122" s="61" t="s">
        <v>14909</v>
      </c>
      <c r="AA122" s="61" t="s">
        <v>15919</v>
      </c>
      <c r="AB122" s="57" t="s">
        <v>15256</v>
      </c>
      <c r="AC122" s="57" t="s">
        <v>15172</v>
      </c>
      <c r="AD122" s="58"/>
      <c r="AE122" s="58"/>
      <c r="AF122" s="57" t="s">
        <v>15173</v>
      </c>
      <c r="AG122" s="58"/>
      <c r="AH122" s="58"/>
      <c r="AI122" s="57" t="s">
        <v>15173</v>
      </c>
      <c r="AJ122" s="58"/>
      <c r="AK122" s="56" t="s">
        <v>1285</v>
      </c>
      <c r="AL122" s="56" t="s">
        <v>15933</v>
      </c>
      <c r="AM122" s="58"/>
      <c r="AN122" s="56" t="s">
        <v>15534</v>
      </c>
      <c r="AO122" s="58"/>
      <c r="AP122" s="63">
        <v>45680.8805324074</v>
      </c>
      <c r="AQ122" s="56" t="s">
        <v>15934</v>
      </c>
      <c r="AR122" s="61" t="s">
        <v>14754</v>
      </c>
      <c r="AS122" s="58"/>
      <c r="AT122" s="56" t="s">
        <v>15260</v>
      </c>
      <c r="AU122" s="56" t="s">
        <v>15935</v>
      </c>
      <c r="AV122" s="58"/>
      <c r="AW122" s="64">
        <v>45673.4516435185</v>
      </c>
      <c r="AX122" s="56" t="s">
        <v>15933</v>
      </c>
      <c r="AY122" s="56" t="s">
        <v>15179</v>
      </c>
      <c r="AZ122" s="58"/>
      <c r="BA122" s="58"/>
      <c r="BB122" s="58"/>
      <c r="BC122" s="58"/>
      <c r="BD122" s="56" t="s">
        <v>15429</v>
      </c>
      <c r="BE122" s="58"/>
      <c r="BF122" s="56" t="s">
        <v>15181</v>
      </c>
      <c r="BG122" s="58"/>
      <c r="BH122" s="58"/>
      <c r="BI122" s="57" t="s">
        <v>15291</v>
      </c>
      <c r="BJ122" s="58"/>
      <c r="BK122" s="58"/>
      <c r="BL122" s="58"/>
      <c r="BM122" s="58"/>
      <c r="BN122" s="67">
        <v>19900</v>
      </c>
      <c r="BO122" s="58"/>
      <c r="BP122" s="56" t="s">
        <v>15714</v>
      </c>
      <c r="BQ122" s="58"/>
      <c r="BR122" s="58"/>
      <c r="BS122" s="58"/>
      <c r="BT122" s="56" t="s">
        <v>1285</v>
      </c>
      <c r="BU122" s="56" t="s">
        <v>15934</v>
      </c>
      <c r="BV122" s="58"/>
      <c r="BW122" s="58"/>
      <c r="BX122" s="67">
        <v>19900</v>
      </c>
      <c r="BY122" s="58"/>
      <c r="BZ122" s="56" t="s">
        <v>15264</v>
      </c>
      <c r="CA122" s="58"/>
      <c r="CB122" s="58"/>
      <c r="CC122" s="58"/>
      <c r="CD122" s="57" t="s">
        <v>15315</v>
      </c>
    </row>
    <row r="123" ht="108" spans="1:82">
      <c r="A123" s="56" t="s">
        <v>15936</v>
      </c>
      <c r="B123" s="58"/>
      <c r="C123" s="57" t="s">
        <v>15937</v>
      </c>
      <c r="D123" s="58"/>
      <c r="E123" s="57" t="s">
        <v>15158</v>
      </c>
      <c r="F123" s="57" t="s">
        <v>15938</v>
      </c>
      <c r="G123" s="57" t="s">
        <v>15160</v>
      </c>
      <c r="H123" s="56" t="s">
        <v>5669</v>
      </c>
      <c r="I123" s="60">
        <v>295611.68</v>
      </c>
      <c r="J123" s="57" t="s">
        <v>1285</v>
      </c>
      <c r="K123" s="57" t="s">
        <v>15162</v>
      </c>
      <c r="L123" s="57" t="s">
        <v>15163</v>
      </c>
      <c r="M123" s="61" t="s">
        <v>15919</v>
      </c>
      <c r="N123" s="62" t="s">
        <v>15205</v>
      </c>
      <c r="O123" s="57" t="s">
        <v>15165</v>
      </c>
      <c r="P123" s="57" t="s">
        <v>15166</v>
      </c>
      <c r="Q123" s="57" t="s">
        <v>5669</v>
      </c>
      <c r="R123" s="57" t="s">
        <v>15939</v>
      </c>
      <c r="S123" s="57" t="s">
        <v>15940</v>
      </c>
      <c r="T123" s="57" t="s">
        <v>15190</v>
      </c>
      <c r="U123" s="57" t="s">
        <v>14184</v>
      </c>
      <c r="V123" s="56" t="s">
        <v>14153</v>
      </c>
      <c r="W123" s="58"/>
      <c r="X123" s="57" t="s">
        <v>15941</v>
      </c>
      <c r="Y123" s="57" t="s">
        <v>15170</v>
      </c>
      <c r="Z123" s="61" t="s">
        <v>15919</v>
      </c>
      <c r="AA123" s="61" t="s">
        <v>15919</v>
      </c>
      <c r="AB123" s="58"/>
      <c r="AC123" s="57" t="s">
        <v>15172</v>
      </c>
      <c r="AD123" s="58"/>
      <c r="AE123" s="58"/>
      <c r="AF123" s="58"/>
      <c r="AG123" s="58"/>
      <c r="AH123" s="58"/>
      <c r="AI123" s="58"/>
      <c r="AJ123" s="58"/>
      <c r="AK123" s="56" t="s">
        <v>1285</v>
      </c>
      <c r="AL123" s="56" t="s">
        <v>15942</v>
      </c>
      <c r="AM123" s="58"/>
      <c r="AN123" s="56" t="s">
        <v>15711</v>
      </c>
      <c r="AO123" s="58"/>
      <c r="AP123" s="63">
        <v>45680.8694675926</v>
      </c>
      <c r="AQ123" s="56" t="s">
        <v>15943</v>
      </c>
      <c r="AR123" s="61" t="s">
        <v>14754</v>
      </c>
      <c r="AS123" s="57" t="s">
        <v>14184</v>
      </c>
      <c r="AT123" s="56" t="s">
        <v>15177</v>
      </c>
      <c r="AU123" s="56" t="s">
        <v>15944</v>
      </c>
      <c r="AV123" s="58"/>
      <c r="AW123" s="64">
        <v>45678.7202199074</v>
      </c>
      <c r="AX123" s="56" t="s">
        <v>15942</v>
      </c>
      <c r="AY123" s="56" t="s">
        <v>15179</v>
      </c>
      <c r="AZ123" s="58"/>
      <c r="BA123" s="58"/>
      <c r="BB123" s="58"/>
      <c r="BC123" s="56" t="s">
        <v>2902</v>
      </c>
      <c r="BD123" s="56" t="s">
        <v>15353</v>
      </c>
      <c r="BE123" s="56" t="s">
        <v>15945</v>
      </c>
      <c r="BF123" s="56" t="s">
        <v>15181</v>
      </c>
      <c r="BG123" s="58"/>
      <c r="BH123" s="58"/>
      <c r="BI123" s="57" t="s">
        <v>2801</v>
      </c>
      <c r="BJ123" s="58"/>
      <c r="BK123" s="58"/>
      <c r="BL123" s="66">
        <v>3376721</v>
      </c>
      <c r="BM123" s="56" t="s">
        <v>15946</v>
      </c>
      <c r="BN123" s="58"/>
      <c r="BO123" s="67">
        <v>172560.58</v>
      </c>
      <c r="BP123" s="56" t="s">
        <v>15714</v>
      </c>
      <c r="BQ123" s="58"/>
      <c r="BR123" s="56" t="s">
        <v>15947</v>
      </c>
      <c r="BS123" s="56" t="s">
        <v>1285</v>
      </c>
      <c r="BT123" s="58"/>
      <c r="BU123" s="56" t="s">
        <v>15943</v>
      </c>
      <c r="BV123" s="58"/>
      <c r="BW123" s="58"/>
      <c r="BX123" s="67">
        <v>172560.58</v>
      </c>
      <c r="BY123" s="56" t="s">
        <v>1285</v>
      </c>
      <c r="BZ123" s="58"/>
      <c r="CA123" s="58"/>
      <c r="CB123" s="58"/>
      <c r="CC123" s="58"/>
      <c r="CD123" s="58"/>
    </row>
    <row r="124" ht="108" spans="1:82">
      <c r="A124" s="56" t="s">
        <v>15948</v>
      </c>
      <c r="B124" s="58"/>
      <c r="C124" s="57" t="s">
        <v>15937</v>
      </c>
      <c r="D124" s="58"/>
      <c r="E124" s="57" t="s">
        <v>15158</v>
      </c>
      <c r="F124" s="57" t="s">
        <v>15938</v>
      </c>
      <c r="G124" s="57" t="s">
        <v>15160</v>
      </c>
      <c r="H124" s="56" t="s">
        <v>5669</v>
      </c>
      <c r="I124" s="60">
        <v>295611.68</v>
      </c>
      <c r="J124" s="57" t="s">
        <v>1285</v>
      </c>
      <c r="K124" s="57" t="s">
        <v>15162</v>
      </c>
      <c r="L124" s="57" t="s">
        <v>15163</v>
      </c>
      <c r="M124" s="61" t="s">
        <v>15919</v>
      </c>
      <c r="N124" s="62" t="s">
        <v>15205</v>
      </c>
      <c r="O124" s="57" t="s">
        <v>15165</v>
      </c>
      <c r="P124" s="57" t="s">
        <v>15166</v>
      </c>
      <c r="Q124" s="57" t="s">
        <v>5669</v>
      </c>
      <c r="R124" s="57" t="s">
        <v>15939</v>
      </c>
      <c r="S124" s="57" t="s">
        <v>15940</v>
      </c>
      <c r="T124" s="57" t="s">
        <v>15190</v>
      </c>
      <c r="U124" s="57" t="s">
        <v>14184</v>
      </c>
      <c r="V124" s="56" t="s">
        <v>14153</v>
      </c>
      <c r="W124" s="58"/>
      <c r="X124" s="57" t="s">
        <v>15941</v>
      </c>
      <c r="Y124" s="57" t="s">
        <v>15170</v>
      </c>
      <c r="Z124" s="61" t="s">
        <v>15919</v>
      </c>
      <c r="AA124" s="61" t="s">
        <v>15919</v>
      </c>
      <c r="AB124" s="58"/>
      <c r="AC124" s="57" t="s">
        <v>15172</v>
      </c>
      <c r="AD124" s="58"/>
      <c r="AE124" s="58"/>
      <c r="AF124" s="58"/>
      <c r="AG124" s="58"/>
      <c r="AH124" s="58"/>
      <c r="AI124" s="58"/>
      <c r="AJ124" s="58"/>
      <c r="AK124" s="56" t="s">
        <v>1285</v>
      </c>
      <c r="AL124" s="56" t="s">
        <v>15942</v>
      </c>
      <c r="AM124" s="58"/>
      <c r="AN124" s="56" t="s">
        <v>15711</v>
      </c>
      <c r="AO124" s="58"/>
      <c r="AP124" s="63">
        <v>45680.8694675926</v>
      </c>
      <c r="AQ124" s="56" t="s">
        <v>15943</v>
      </c>
      <c r="AR124" s="61" t="s">
        <v>14754</v>
      </c>
      <c r="AS124" s="57" t="s">
        <v>14184</v>
      </c>
      <c r="AT124" s="56" t="s">
        <v>15177</v>
      </c>
      <c r="AU124" s="56" t="s">
        <v>15944</v>
      </c>
      <c r="AV124" s="58"/>
      <c r="AW124" s="64">
        <v>45678.7202199074</v>
      </c>
      <c r="AX124" s="56" t="s">
        <v>15942</v>
      </c>
      <c r="AY124" s="56" t="s">
        <v>15179</v>
      </c>
      <c r="AZ124" s="58"/>
      <c r="BA124" s="58"/>
      <c r="BB124" s="58"/>
      <c r="BC124" s="56" t="s">
        <v>2902</v>
      </c>
      <c r="BD124" s="56" t="s">
        <v>15353</v>
      </c>
      <c r="BE124" s="56" t="s">
        <v>15945</v>
      </c>
      <c r="BF124" s="56" t="s">
        <v>15181</v>
      </c>
      <c r="BG124" s="58"/>
      <c r="BH124" s="58"/>
      <c r="BI124" s="57" t="s">
        <v>2801</v>
      </c>
      <c r="BJ124" s="58"/>
      <c r="BK124" s="58"/>
      <c r="BL124" s="66">
        <v>3376720</v>
      </c>
      <c r="BM124" s="56" t="s">
        <v>15946</v>
      </c>
      <c r="BN124" s="58"/>
      <c r="BO124" s="67">
        <v>123051.1</v>
      </c>
      <c r="BP124" s="56" t="s">
        <v>15714</v>
      </c>
      <c r="BQ124" s="58"/>
      <c r="BR124" s="56" t="s">
        <v>15947</v>
      </c>
      <c r="BS124" s="56" t="s">
        <v>1285</v>
      </c>
      <c r="BT124" s="58"/>
      <c r="BU124" s="56" t="s">
        <v>15943</v>
      </c>
      <c r="BV124" s="58"/>
      <c r="BW124" s="58"/>
      <c r="BX124" s="67">
        <v>123051.1</v>
      </c>
      <c r="BY124" s="56" t="s">
        <v>1285</v>
      </c>
      <c r="BZ124" s="58"/>
      <c r="CA124" s="58"/>
      <c r="CB124" s="58"/>
      <c r="CC124" s="58"/>
      <c r="CD124" s="58"/>
    </row>
    <row r="125" ht="108" spans="1:82">
      <c r="A125" s="56" t="s">
        <v>15949</v>
      </c>
      <c r="B125" s="57" t="s">
        <v>15950</v>
      </c>
      <c r="C125" s="58"/>
      <c r="D125" s="57" t="s">
        <v>15951</v>
      </c>
      <c r="E125" s="57" t="s">
        <v>15158</v>
      </c>
      <c r="F125" s="57" t="s">
        <v>15952</v>
      </c>
      <c r="G125" s="57" t="s">
        <v>15160</v>
      </c>
      <c r="H125" s="56" t="s">
        <v>15434</v>
      </c>
      <c r="I125" s="60">
        <v>15200</v>
      </c>
      <c r="J125" s="57" t="s">
        <v>1285</v>
      </c>
      <c r="K125" s="57" t="s">
        <v>15162</v>
      </c>
      <c r="L125" s="57" t="s">
        <v>15163</v>
      </c>
      <c r="M125" s="61" t="s">
        <v>15919</v>
      </c>
      <c r="N125" s="62" t="s">
        <v>15953</v>
      </c>
      <c r="O125" s="57" t="s">
        <v>15165</v>
      </c>
      <c r="P125" s="57" t="s">
        <v>15166</v>
      </c>
      <c r="Q125" s="57" t="s">
        <v>15434</v>
      </c>
      <c r="R125" s="57" t="s">
        <v>15435</v>
      </c>
      <c r="S125" s="57" t="s">
        <v>15436</v>
      </c>
      <c r="T125" s="58"/>
      <c r="U125" s="57" t="s">
        <v>14184</v>
      </c>
      <c r="V125" s="56" t="s">
        <v>14153</v>
      </c>
      <c r="W125" s="58"/>
      <c r="X125" s="57" t="s">
        <v>15954</v>
      </c>
      <c r="Y125" s="57" t="s">
        <v>15170</v>
      </c>
      <c r="Z125" s="61" t="s">
        <v>14909</v>
      </c>
      <c r="AA125" s="61" t="s">
        <v>15919</v>
      </c>
      <c r="AB125" s="57" t="s">
        <v>15171</v>
      </c>
      <c r="AC125" s="57" t="s">
        <v>15172</v>
      </c>
      <c r="AD125" s="58"/>
      <c r="AE125" s="58"/>
      <c r="AF125" s="57" t="s">
        <v>15173</v>
      </c>
      <c r="AG125" s="58"/>
      <c r="AH125" s="58"/>
      <c r="AI125" s="57" t="s">
        <v>15173</v>
      </c>
      <c r="AJ125" s="58"/>
      <c r="AK125" s="56" t="s">
        <v>1285</v>
      </c>
      <c r="AL125" s="56" t="s">
        <v>15955</v>
      </c>
      <c r="AM125" s="58"/>
      <c r="AN125" s="56" t="s">
        <v>15711</v>
      </c>
      <c r="AO125" s="58"/>
      <c r="AP125" s="63">
        <v>45680.877037037</v>
      </c>
      <c r="AQ125" s="56" t="s">
        <v>15956</v>
      </c>
      <c r="AR125" s="61" t="s">
        <v>14754</v>
      </c>
      <c r="AS125" s="58"/>
      <c r="AT125" s="56" t="s">
        <v>15957</v>
      </c>
      <c r="AU125" s="56" t="s">
        <v>15958</v>
      </c>
      <c r="AV125" s="56" t="s">
        <v>15951</v>
      </c>
      <c r="AW125" s="64">
        <v>45672.4642476852</v>
      </c>
      <c r="AX125" s="56" t="s">
        <v>15955</v>
      </c>
      <c r="AY125" s="56" t="s">
        <v>15179</v>
      </c>
      <c r="AZ125" s="58"/>
      <c r="BA125" s="58"/>
      <c r="BB125" s="58"/>
      <c r="BC125" s="58"/>
      <c r="BD125" s="56" t="s">
        <v>15959</v>
      </c>
      <c r="BE125" s="58"/>
      <c r="BF125" s="56" t="s">
        <v>15181</v>
      </c>
      <c r="BG125" s="58"/>
      <c r="BH125" s="58"/>
      <c r="BI125" s="57" t="s">
        <v>2801</v>
      </c>
      <c r="BJ125" s="58"/>
      <c r="BK125" s="58"/>
      <c r="BL125" s="58"/>
      <c r="BM125" s="58"/>
      <c r="BN125" s="67">
        <v>15200</v>
      </c>
      <c r="BO125" s="58"/>
      <c r="BP125" s="56" t="s">
        <v>15714</v>
      </c>
      <c r="BQ125" s="58"/>
      <c r="BR125" s="58"/>
      <c r="BS125" s="58"/>
      <c r="BT125" s="56" t="s">
        <v>1285</v>
      </c>
      <c r="BU125" s="56" t="s">
        <v>15956</v>
      </c>
      <c r="BV125" s="58"/>
      <c r="BW125" s="58"/>
      <c r="BX125" s="67">
        <v>15200</v>
      </c>
      <c r="BY125" s="58"/>
      <c r="BZ125" s="56" t="s">
        <v>15160</v>
      </c>
      <c r="CA125" s="58"/>
      <c r="CB125" s="58"/>
      <c r="CC125" s="58"/>
      <c r="CD125" s="57" t="s">
        <v>15315</v>
      </c>
    </row>
    <row r="126" ht="108" spans="1:82">
      <c r="A126" s="56" t="s">
        <v>15960</v>
      </c>
      <c r="B126" s="58"/>
      <c r="C126" s="57" t="s">
        <v>15961</v>
      </c>
      <c r="D126" s="58"/>
      <c r="E126" s="57" t="s">
        <v>15158</v>
      </c>
      <c r="F126" s="57" t="s">
        <v>15962</v>
      </c>
      <c r="G126" s="57" t="s">
        <v>15160</v>
      </c>
      <c r="H126" s="56" t="s">
        <v>2938</v>
      </c>
      <c r="I126" s="60">
        <v>29713.2</v>
      </c>
      <c r="J126" s="58"/>
      <c r="K126" s="58"/>
      <c r="L126" s="57" t="s">
        <v>14203</v>
      </c>
      <c r="M126" s="61" t="s">
        <v>14367</v>
      </c>
      <c r="N126" s="62" t="s">
        <v>14367</v>
      </c>
      <c r="O126" s="57" t="s">
        <v>15165</v>
      </c>
      <c r="P126" s="57" t="s">
        <v>15166</v>
      </c>
      <c r="Q126" s="57" t="s">
        <v>2938</v>
      </c>
      <c r="R126" s="57" t="s">
        <v>15696</v>
      </c>
      <c r="S126" s="57" t="s">
        <v>15697</v>
      </c>
      <c r="T126" s="57" t="s">
        <v>15190</v>
      </c>
      <c r="U126" s="57" t="s">
        <v>14184</v>
      </c>
      <c r="V126" s="56" t="s">
        <v>14153</v>
      </c>
      <c r="W126" s="58"/>
      <c r="X126" s="57" t="s">
        <v>15963</v>
      </c>
      <c r="Y126" s="58"/>
      <c r="Z126" s="61" t="s">
        <v>15964</v>
      </c>
      <c r="AA126" s="58"/>
      <c r="AB126" s="58"/>
      <c r="AC126" s="58"/>
      <c r="AD126" s="58"/>
      <c r="AE126" s="58"/>
      <c r="AF126" s="58"/>
      <c r="AG126" s="58"/>
      <c r="AH126" s="58"/>
      <c r="AI126" s="58"/>
      <c r="AJ126" s="58"/>
      <c r="AK126" s="58"/>
      <c r="AL126" s="58"/>
      <c r="AM126" s="58"/>
      <c r="AN126" s="58"/>
      <c r="AO126" s="58"/>
      <c r="AP126" s="63">
        <v>45823.6208796296</v>
      </c>
      <c r="AQ126" s="58"/>
      <c r="AR126" s="58"/>
      <c r="AS126" s="57" t="s">
        <v>14184</v>
      </c>
      <c r="AT126" s="56" t="s">
        <v>15177</v>
      </c>
      <c r="AU126" s="58"/>
      <c r="AV126" s="58"/>
      <c r="AW126" s="64">
        <v>45823.6192592593</v>
      </c>
      <c r="AX126" s="58"/>
      <c r="AY126" s="56" t="s">
        <v>15179</v>
      </c>
      <c r="AZ126" s="58"/>
      <c r="BA126" s="58"/>
      <c r="BB126" s="58"/>
      <c r="BC126" s="56" t="s">
        <v>15965</v>
      </c>
      <c r="BD126" s="56" t="s">
        <v>15197</v>
      </c>
      <c r="BE126" s="58"/>
      <c r="BF126" s="56" t="s">
        <v>15181</v>
      </c>
      <c r="BG126" s="58"/>
      <c r="BH126" s="58"/>
      <c r="BI126" s="57" t="s">
        <v>2801</v>
      </c>
      <c r="BJ126" s="58"/>
      <c r="BK126" s="58"/>
      <c r="BL126" s="66">
        <v>3587613</v>
      </c>
      <c r="BM126" s="56" t="s">
        <v>15966</v>
      </c>
      <c r="BN126" s="67">
        <v>29713.2</v>
      </c>
      <c r="BO126" s="58"/>
      <c r="BP126" s="58"/>
      <c r="BQ126" s="58"/>
      <c r="BR126" s="56" t="s">
        <v>15967</v>
      </c>
      <c r="BS126" s="56" t="s">
        <v>1285</v>
      </c>
      <c r="BT126" s="58"/>
      <c r="BU126" s="58"/>
      <c r="BV126" s="58"/>
      <c r="BW126" s="58"/>
      <c r="BX126" s="67">
        <v>29713.2</v>
      </c>
      <c r="BY126" s="58"/>
      <c r="BZ126" s="58"/>
      <c r="CA126" s="58"/>
      <c r="CB126" s="58"/>
      <c r="CC126" s="58"/>
      <c r="CD126" s="58"/>
    </row>
    <row r="127" ht="108" spans="1:82">
      <c r="A127" s="56" t="s">
        <v>15968</v>
      </c>
      <c r="B127" s="58"/>
      <c r="C127" s="57" t="s">
        <v>15969</v>
      </c>
      <c r="D127" s="58"/>
      <c r="E127" s="57" t="s">
        <v>15158</v>
      </c>
      <c r="F127" s="57" t="s">
        <v>15970</v>
      </c>
      <c r="G127" s="57" t="s">
        <v>15160</v>
      </c>
      <c r="H127" s="56" t="s">
        <v>2935</v>
      </c>
      <c r="I127" s="60">
        <v>15284.4</v>
      </c>
      <c r="J127" s="58"/>
      <c r="K127" s="58"/>
      <c r="L127" s="57" t="s">
        <v>14203</v>
      </c>
      <c r="M127" s="61" t="s">
        <v>14367</v>
      </c>
      <c r="N127" s="62" t="s">
        <v>14367</v>
      </c>
      <c r="O127" s="57" t="s">
        <v>15165</v>
      </c>
      <c r="P127" s="57" t="s">
        <v>15166</v>
      </c>
      <c r="Q127" s="57" t="s">
        <v>2935</v>
      </c>
      <c r="R127" s="57" t="s">
        <v>15594</v>
      </c>
      <c r="S127" s="57" t="s">
        <v>15595</v>
      </c>
      <c r="T127" s="57" t="s">
        <v>15190</v>
      </c>
      <c r="U127" s="57" t="s">
        <v>14184</v>
      </c>
      <c r="V127" s="56" t="s">
        <v>14153</v>
      </c>
      <c r="W127" s="58"/>
      <c r="X127" s="57" t="s">
        <v>15971</v>
      </c>
      <c r="Y127" s="58"/>
      <c r="Z127" s="61" t="s">
        <v>15964</v>
      </c>
      <c r="AA127" s="58"/>
      <c r="AB127" s="58"/>
      <c r="AC127" s="58"/>
      <c r="AD127" s="58"/>
      <c r="AE127" s="58"/>
      <c r="AF127" s="58"/>
      <c r="AG127" s="58"/>
      <c r="AH127" s="58"/>
      <c r="AI127" s="58"/>
      <c r="AJ127" s="58"/>
      <c r="AK127" s="58"/>
      <c r="AL127" s="58"/>
      <c r="AM127" s="58"/>
      <c r="AN127" s="58"/>
      <c r="AO127" s="58"/>
      <c r="AP127" s="63">
        <v>45823.6222685185</v>
      </c>
      <c r="AQ127" s="58"/>
      <c r="AR127" s="58"/>
      <c r="AS127" s="57" t="s">
        <v>14184</v>
      </c>
      <c r="AT127" s="56" t="s">
        <v>15177</v>
      </c>
      <c r="AU127" s="58"/>
      <c r="AV127" s="58"/>
      <c r="AW127" s="64">
        <v>45823.6196296296</v>
      </c>
      <c r="AX127" s="58"/>
      <c r="AY127" s="56" t="s">
        <v>15179</v>
      </c>
      <c r="AZ127" s="58"/>
      <c r="BA127" s="58"/>
      <c r="BB127" s="58"/>
      <c r="BC127" s="56" t="s">
        <v>15965</v>
      </c>
      <c r="BD127" s="56" t="s">
        <v>15197</v>
      </c>
      <c r="BE127" s="58"/>
      <c r="BF127" s="56" t="s">
        <v>15181</v>
      </c>
      <c r="BG127" s="58"/>
      <c r="BH127" s="58"/>
      <c r="BI127" s="57" t="s">
        <v>2801</v>
      </c>
      <c r="BJ127" s="58"/>
      <c r="BK127" s="58"/>
      <c r="BL127" s="66">
        <v>3579913</v>
      </c>
      <c r="BM127" s="56" t="s">
        <v>15972</v>
      </c>
      <c r="BN127" s="67">
        <v>4501.9</v>
      </c>
      <c r="BO127" s="58"/>
      <c r="BP127" s="58"/>
      <c r="BQ127" s="58"/>
      <c r="BR127" s="56" t="s">
        <v>15973</v>
      </c>
      <c r="BS127" s="56" t="s">
        <v>1285</v>
      </c>
      <c r="BT127" s="58"/>
      <c r="BU127" s="58"/>
      <c r="BV127" s="58"/>
      <c r="BW127" s="58"/>
      <c r="BX127" s="67">
        <v>4501.9</v>
      </c>
      <c r="BY127" s="58"/>
      <c r="BZ127" s="58"/>
      <c r="CA127" s="58"/>
      <c r="CB127" s="58"/>
      <c r="CC127" s="58"/>
      <c r="CD127" s="58"/>
    </row>
    <row r="128" ht="108" spans="1:82">
      <c r="A128" s="56" t="s">
        <v>15974</v>
      </c>
      <c r="B128" s="58"/>
      <c r="C128" s="57" t="s">
        <v>15969</v>
      </c>
      <c r="D128" s="58"/>
      <c r="E128" s="57" t="s">
        <v>15158</v>
      </c>
      <c r="F128" s="57" t="s">
        <v>15970</v>
      </c>
      <c r="G128" s="57" t="s">
        <v>15160</v>
      </c>
      <c r="H128" s="56" t="s">
        <v>2935</v>
      </c>
      <c r="I128" s="60">
        <v>15284.4</v>
      </c>
      <c r="J128" s="58"/>
      <c r="K128" s="58"/>
      <c r="L128" s="57" t="s">
        <v>14203</v>
      </c>
      <c r="M128" s="61" t="s">
        <v>14367</v>
      </c>
      <c r="N128" s="62" t="s">
        <v>14367</v>
      </c>
      <c r="O128" s="57" t="s">
        <v>15165</v>
      </c>
      <c r="P128" s="57" t="s">
        <v>15166</v>
      </c>
      <c r="Q128" s="57" t="s">
        <v>2935</v>
      </c>
      <c r="R128" s="57" t="s">
        <v>15594</v>
      </c>
      <c r="S128" s="57" t="s">
        <v>15595</v>
      </c>
      <c r="T128" s="57" t="s">
        <v>15190</v>
      </c>
      <c r="U128" s="57" t="s">
        <v>14184</v>
      </c>
      <c r="V128" s="56" t="s">
        <v>14153</v>
      </c>
      <c r="W128" s="58"/>
      <c r="X128" s="57" t="s">
        <v>15971</v>
      </c>
      <c r="Y128" s="58"/>
      <c r="Z128" s="61" t="s">
        <v>15964</v>
      </c>
      <c r="AA128" s="58"/>
      <c r="AB128" s="58"/>
      <c r="AC128" s="58"/>
      <c r="AD128" s="58"/>
      <c r="AE128" s="58"/>
      <c r="AF128" s="58"/>
      <c r="AG128" s="58"/>
      <c r="AH128" s="58"/>
      <c r="AI128" s="58"/>
      <c r="AJ128" s="58"/>
      <c r="AK128" s="58"/>
      <c r="AL128" s="58"/>
      <c r="AM128" s="58"/>
      <c r="AN128" s="58"/>
      <c r="AO128" s="58"/>
      <c r="AP128" s="63">
        <v>45823.6222685185</v>
      </c>
      <c r="AQ128" s="58"/>
      <c r="AR128" s="58"/>
      <c r="AS128" s="57" t="s">
        <v>14184</v>
      </c>
      <c r="AT128" s="56" t="s">
        <v>15177</v>
      </c>
      <c r="AU128" s="58"/>
      <c r="AV128" s="58"/>
      <c r="AW128" s="64">
        <v>45823.6196296296</v>
      </c>
      <c r="AX128" s="58"/>
      <c r="AY128" s="56" t="s">
        <v>15179</v>
      </c>
      <c r="AZ128" s="58"/>
      <c r="BA128" s="58"/>
      <c r="BB128" s="58"/>
      <c r="BC128" s="56" t="s">
        <v>15965</v>
      </c>
      <c r="BD128" s="56" t="s">
        <v>15197</v>
      </c>
      <c r="BE128" s="58"/>
      <c r="BF128" s="56" t="s">
        <v>15181</v>
      </c>
      <c r="BG128" s="58"/>
      <c r="BH128" s="58"/>
      <c r="BI128" s="57" t="s">
        <v>2801</v>
      </c>
      <c r="BJ128" s="58"/>
      <c r="BK128" s="58"/>
      <c r="BL128" s="66">
        <v>3588160</v>
      </c>
      <c r="BM128" s="56" t="s">
        <v>15975</v>
      </c>
      <c r="BN128" s="67">
        <v>10782.5</v>
      </c>
      <c r="BO128" s="58"/>
      <c r="BP128" s="58"/>
      <c r="BQ128" s="58"/>
      <c r="BR128" s="56" t="s">
        <v>15973</v>
      </c>
      <c r="BS128" s="56" t="s">
        <v>1285</v>
      </c>
      <c r="BT128" s="58"/>
      <c r="BU128" s="58"/>
      <c r="BV128" s="58"/>
      <c r="BW128" s="58"/>
      <c r="BX128" s="67">
        <v>10782.5</v>
      </c>
      <c r="BY128" s="58"/>
      <c r="BZ128" s="58"/>
      <c r="CA128" s="58"/>
      <c r="CB128" s="58"/>
      <c r="CC128" s="58"/>
      <c r="CD128" s="58"/>
    </row>
    <row r="129" ht="108" spans="1:82">
      <c r="A129" s="56" t="s">
        <v>15976</v>
      </c>
      <c r="B129" s="58"/>
      <c r="C129" s="57" t="s">
        <v>15977</v>
      </c>
      <c r="D129" s="58"/>
      <c r="E129" s="57" t="s">
        <v>15158</v>
      </c>
      <c r="F129" s="57" t="s">
        <v>15978</v>
      </c>
      <c r="G129" s="57" t="s">
        <v>15160</v>
      </c>
      <c r="H129" s="56" t="s">
        <v>2965</v>
      </c>
      <c r="I129" s="60">
        <v>4705.7</v>
      </c>
      <c r="J129" s="58"/>
      <c r="K129" s="58"/>
      <c r="L129" s="57" t="s">
        <v>14203</v>
      </c>
      <c r="M129" s="61" t="s">
        <v>15774</v>
      </c>
      <c r="N129" s="62" t="s">
        <v>15774</v>
      </c>
      <c r="O129" s="57" t="s">
        <v>15165</v>
      </c>
      <c r="P129" s="57" t="s">
        <v>15166</v>
      </c>
      <c r="Q129" s="57" t="s">
        <v>2965</v>
      </c>
      <c r="R129" s="57" t="s">
        <v>15606</v>
      </c>
      <c r="S129" s="57" t="s">
        <v>15607</v>
      </c>
      <c r="T129" s="57" t="s">
        <v>15190</v>
      </c>
      <c r="U129" s="57" t="s">
        <v>14184</v>
      </c>
      <c r="V129" s="56" t="s">
        <v>14153</v>
      </c>
      <c r="W129" s="58"/>
      <c r="X129" s="57" t="s">
        <v>15979</v>
      </c>
      <c r="Y129" s="58"/>
      <c r="Z129" s="61" t="s">
        <v>15980</v>
      </c>
      <c r="AA129" s="58"/>
      <c r="AB129" s="58"/>
      <c r="AC129" s="58"/>
      <c r="AD129" s="58"/>
      <c r="AE129" s="58"/>
      <c r="AF129" s="58"/>
      <c r="AG129" s="58"/>
      <c r="AH129" s="58"/>
      <c r="AI129" s="58"/>
      <c r="AJ129" s="58"/>
      <c r="AK129" s="58"/>
      <c r="AL129" s="58"/>
      <c r="AM129" s="58"/>
      <c r="AN129" s="58"/>
      <c r="AO129" s="58"/>
      <c r="AP129" s="63">
        <v>45820.6128356481</v>
      </c>
      <c r="AQ129" s="58"/>
      <c r="AR129" s="58"/>
      <c r="AS129" s="57" t="s">
        <v>14184</v>
      </c>
      <c r="AT129" s="56" t="s">
        <v>15177</v>
      </c>
      <c r="AU129" s="58"/>
      <c r="AV129" s="58"/>
      <c r="AW129" s="64">
        <v>45820.6106134259</v>
      </c>
      <c r="AX129" s="58"/>
      <c r="AY129" s="56" t="s">
        <v>15179</v>
      </c>
      <c r="AZ129" s="58"/>
      <c r="BA129" s="58"/>
      <c r="BB129" s="58"/>
      <c r="BC129" s="56" t="s">
        <v>2136</v>
      </c>
      <c r="BD129" s="56" t="s">
        <v>15197</v>
      </c>
      <c r="BE129" s="56" t="s">
        <v>15613</v>
      </c>
      <c r="BF129" s="56" t="s">
        <v>15181</v>
      </c>
      <c r="BG129" s="58"/>
      <c r="BH129" s="58"/>
      <c r="BI129" s="57" t="s">
        <v>2801</v>
      </c>
      <c r="BJ129" s="58"/>
      <c r="BK129" s="58"/>
      <c r="BL129" s="66">
        <v>3566961</v>
      </c>
      <c r="BM129" s="56" t="s">
        <v>15981</v>
      </c>
      <c r="BN129" s="67">
        <v>201.9</v>
      </c>
      <c r="BO129" s="58"/>
      <c r="BP129" s="58"/>
      <c r="BQ129" s="58"/>
      <c r="BR129" s="56" t="s">
        <v>15982</v>
      </c>
      <c r="BS129" s="56" t="s">
        <v>1285</v>
      </c>
      <c r="BT129" s="58"/>
      <c r="BU129" s="58"/>
      <c r="BV129" s="58"/>
      <c r="BW129" s="58"/>
      <c r="BX129" s="67">
        <v>201.9</v>
      </c>
      <c r="BY129" s="58"/>
      <c r="BZ129" s="58"/>
      <c r="CA129" s="58"/>
      <c r="CB129" s="58"/>
      <c r="CC129" s="58"/>
      <c r="CD129" s="58"/>
    </row>
    <row r="130" ht="108" spans="1:82">
      <c r="A130" s="56" t="s">
        <v>15983</v>
      </c>
      <c r="B130" s="58"/>
      <c r="C130" s="57" t="s">
        <v>15977</v>
      </c>
      <c r="D130" s="58"/>
      <c r="E130" s="57" t="s">
        <v>15158</v>
      </c>
      <c r="F130" s="57" t="s">
        <v>15978</v>
      </c>
      <c r="G130" s="57" t="s">
        <v>15160</v>
      </c>
      <c r="H130" s="56" t="s">
        <v>2965</v>
      </c>
      <c r="I130" s="60">
        <v>4705.7</v>
      </c>
      <c r="J130" s="58"/>
      <c r="K130" s="58"/>
      <c r="L130" s="57" t="s">
        <v>14203</v>
      </c>
      <c r="M130" s="61" t="s">
        <v>15774</v>
      </c>
      <c r="N130" s="62" t="s">
        <v>15774</v>
      </c>
      <c r="O130" s="57" t="s">
        <v>15165</v>
      </c>
      <c r="P130" s="57" t="s">
        <v>15166</v>
      </c>
      <c r="Q130" s="57" t="s">
        <v>2965</v>
      </c>
      <c r="R130" s="57" t="s">
        <v>15606</v>
      </c>
      <c r="S130" s="57" t="s">
        <v>15607</v>
      </c>
      <c r="T130" s="57" t="s">
        <v>15190</v>
      </c>
      <c r="U130" s="57" t="s">
        <v>14184</v>
      </c>
      <c r="V130" s="56" t="s">
        <v>14153</v>
      </c>
      <c r="W130" s="58"/>
      <c r="X130" s="57" t="s">
        <v>15979</v>
      </c>
      <c r="Y130" s="58"/>
      <c r="Z130" s="61" t="s">
        <v>15980</v>
      </c>
      <c r="AA130" s="58"/>
      <c r="AB130" s="58"/>
      <c r="AC130" s="58"/>
      <c r="AD130" s="58"/>
      <c r="AE130" s="58"/>
      <c r="AF130" s="58"/>
      <c r="AG130" s="58"/>
      <c r="AH130" s="58"/>
      <c r="AI130" s="58"/>
      <c r="AJ130" s="58"/>
      <c r="AK130" s="58"/>
      <c r="AL130" s="58"/>
      <c r="AM130" s="58"/>
      <c r="AN130" s="58"/>
      <c r="AO130" s="58"/>
      <c r="AP130" s="63">
        <v>45820.6128356481</v>
      </c>
      <c r="AQ130" s="58"/>
      <c r="AR130" s="58"/>
      <c r="AS130" s="57" t="s">
        <v>14184</v>
      </c>
      <c r="AT130" s="56" t="s">
        <v>15177</v>
      </c>
      <c r="AU130" s="58"/>
      <c r="AV130" s="58"/>
      <c r="AW130" s="64">
        <v>45820.6106134259</v>
      </c>
      <c r="AX130" s="58"/>
      <c r="AY130" s="56" t="s">
        <v>15179</v>
      </c>
      <c r="AZ130" s="58"/>
      <c r="BA130" s="58"/>
      <c r="BB130" s="58"/>
      <c r="BC130" s="56" t="s">
        <v>15637</v>
      </c>
      <c r="BD130" s="56" t="s">
        <v>15197</v>
      </c>
      <c r="BE130" s="56" t="s">
        <v>15613</v>
      </c>
      <c r="BF130" s="56" t="s">
        <v>15181</v>
      </c>
      <c r="BG130" s="58"/>
      <c r="BH130" s="58"/>
      <c r="BI130" s="57" t="s">
        <v>2801</v>
      </c>
      <c r="BJ130" s="58"/>
      <c r="BK130" s="58"/>
      <c r="BL130" s="66">
        <v>3566957</v>
      </c>
      <c r="BM130" s="56" t="s">
        <v>15981</v>
      </c>
      <c r="BN130" s="67">
        <v>1220.65</v>
      </c>
      <c r="BO130" s="58"/>
      <c r="BP130" s="58"/>
      <c r="BQ130" s="58"/>
      <c r="BR130" s="56" t="s">
        <v>15982</v>
      </c>
      <c r="BS130" s="56" t="s">
        <v>1285</v>
      </c>
      <c r="BT130" s="58"/>
      <c r="BU130" s="58"/>
      <c r="BV130" s="58"/>
      <c r="BW130" s="58"/>
      <c r="BX130" s="67">
        <v>1220.65</v>
      </c>
      <c r="BY130" s="58"/>
      <c r="BZ130" s="58"/>
      <c r="CA130" s="58"/>
      <c r="CB130" s="58"/>
      <c r="CC130" s="58"/>
      <c r="CD130" s="58"/>
    </row>
    <row r="131" ht="108" spans="1:82">
      <c r="A131" s="56" t="s">
        <v>15984</v>
      </c>
      <c r="B131" s="58"/>
      <c r="C131" s="57" t="s">
        <v>15977</v>
      </c>
      <c r="D131" s="58"/>
      <c r="E131" s="57" t="s">
        <v>15158</v>
      </c>
      <c r="F131" s="57" t="s">
        <v>15978</v>
      </c>
      <c r="G131" s="57" t="s">
        <v>15160</v>
      </c>
      <c r="H131" s="56" t="s">
        <v>2965</v>
      </c>
      <c r="I131" s="60">
        <v>4705.7</v>
      </c>
      <c r="J131" s="58"/>
      <c r="K131" s="58"/>
      <c r="L131" s="57" t="s">
        <v>14203</v>
      </c>
      <c r="M131" s="61" t="s">
        <v>15774</v>
      </c>
      <c r="N131" s="62" t="s">
        <v>15774</v>
      </c>
      <c r="O131" s="57" t="s">
        <v>15165</v>
      </c>
      <c r="P131" s="57" t="s">
        <v>15166</v>
      </c>
      <c r="Q131" s="57" t="s">
        <v>2965</v>
      </c>
      <c r="R131" s="57" t="s">
        <v>15606</v>
      </c>
      <c r="S131" s="57" t="s">
        <v>15607</v>
      </c>
      <c r="T131" s="57" t="s">
        <v>15190</v>
      </c>
      <c r="U131" s="57" t="s">
        <v>14184</v>
      </c>
      <c r="V131" s="56" t="s">
        <v>14153</v>
      </c>
      <c r="W131" s="58"/>
      <c r="X131" s="57" t="s">
        <v>15979</v>
      </c>
      <c r="Y131" s="58"/>
      <c r="Z131" s="61" t="s">
        <v>15980</v>
      </c>
      <c r="AA131" s="58"/>
      <c r="AB131" s="58"/>
      <c r="AC131" s="58"/>
      <c r="AD131" s="58"/>
      <c r="AE131" s="58"/>
      <c r="AF131" s="58"/>
      <c r="AG131" s="58"/>
      <c r="AH131" s="58"/>
      <c r="AI131" s="58"/>
      <c r="AJ131" s="58"/>
      <c r="AK131" s="58"/>
      <c r="AL131" s="58"/>
      <c r="AM131" s="58"/>
      <c r="AN131" s="58"/>
      <c r="AO131" s="58"/>
      <c r="AP131" s="63">
        <v>45820.6128356481</v>
      </c>
      <c r="AQ131" s="58"/>
      <c r="AR131" s="58"/>
      <c r="AS131" s="57" t="s">
        <v>14184</v>
      </c>
      <c r="AT131" s="56" t="s">
        <v>15177</v>
      </c>
      <c r="AU131" s="58"/>
      <c r="AV131" s="58"/>
      <c r="AW131" s="64">
        <v>45820.6106134259</v>
      </c>
      <c r="AX131" s="58"/>
      <c r="AY131" s="56" t="s">
        <v>15179</v>
      </c>
      <c r="AZ131" s="58"/>
      <c r="BA131" s="58"/>
      <c r="BB131" s="58"/>
      <c r="BC131" s="56" t="s">
        <v>138</v>
      </c>
      <c r="BD131" s="56" t="s">
        <v>15197</v>
      </c>
      <c r="BE131" s="56" t="s">
        <v>15613</v>
      </c>
      <c r="BF131" s="56" t="s">
        <v>15181</v>
      </c>
      <c r="BG131" s="58"/>
      <c r="BH131" s="58"/>
      <c r="BI131" s="57" t="s">
        <v>2801</v>
      </c>
      <c r="BJ131" s="58"/>
      <c r="BK131" s="58"/>
      <c r="BL131" s="66">
        <v>3566952</v>
      </c>
      <c r="BM131" s="56" t="s">
        <v>15981</v>
      </c>
      <c r="BN131" s="67">
        <v>62.6</v>
      </c>
      <c r="BO131" s="58"/>
      <c r="BP131" s="58"/>
      <c r="BQ131" s="58"/>
      <c r="BR131" s="56" t="s">
        <v>15982</v>
      </c>
      <c r="BS131" s="56" t="s">
        <v>1285</v>
      </c>
      <c r="BT131" s="58"/>
      <c r="BU131" s="58"/>
      <c r="BV131" s="58"/>
      <c r="BW131" s="58"/>
      <c r="BX131" s="67">
        <v>62.6</v>
      </c>
      <c r="BY131" s="58"/>
      <c r="BZ131" s="58"/>
      <c r="CA131" s="58"/>
      <c r="CB131" s="58"/>
      <c r="CC131" s="58"/>
      <c r="CD131" s="58"/>
    </row>
    <row r="132" ht="108" spans="1:82">
      <c r="A132" s="56" t="s">
        <v>15985</v>
      </c>
      <c r="B132" s="58"/>
      <c r="C132" s="57" t="s">
        <v>15977</v>
      </c>
      <c r="D132" s="58"/>
      <c r="E132" s="57" t="s">
        <v>15158</v>
      </c>
      <c r="F132" s="57" t="s">
        <v>15978</v>
      </c>
      <c r="G132" s="57" t="s">
        <v>15160</v>
      </c>
      <c r="H132" s="56" t="s">
        <v>2965</v>
      </c>
      <c r="I132" s="60">
        <v>4705.7</v>
      </c>
      <c r="J132" s="58"/>
      <c r="K132" s="58"/>
      <c r="L132" s="57" t="s">
        <v>14203</v>
      </c>
      <c r="M132" s="61" t="s">
        <v>15774</v>
      </c>
      <c r="N132" s="62" t="s">
        <v>15774</v>
      </c>
      <c r="O132" s="57" t="s">
        <v>15165</v>
      </c>
      <c r="P132" s="57" t="s">
        <v>15166</v>
      </c>
      <c r="Q132" s="57" t="s">
        <v>2965</v>
      </c>
      <c r="R132" s="57" t="s">
        <v>15606</v>
      </c>
      <c r="S132" s="57" t="s">
        <v>15607</v>
      </c>
      <c r="T132" s="57" t="s">
        <v>15190</v>
      </c>
      <c r="U132" s="57" t="s">
        <v>14184</v>
      </c>
      <c r="V132" s="56" t="s">
        <v>14153</v>
      </c>
      <c r="W132" s="58"/>
      <c r="X132" s="57" t="s">
        <v>15979</v>
      </c>
      <c r="Y132" s="58"/>
      <c r="Z132" s="61" t="s">
        <v>15980</v>
      </c>
      <c r="AA132" s="58"/>
      <c r="AB132" s="58"/>
      <c r="AC132" s="58"/>
      <c r="AD132" s="58"/>
      <c r="AE132" s="58"/>
      <c r="AF132" s="58"/>
      <c r="AG132" s="58"/>
      <c r="AH132" s="58"/>
      <c r="AI132" s="58"/>
      <c r="AJ132" s="58"/>
      <c r="AK132" s="58"/>
      <c r="AL132" s="58"/>
      <c r="AM132" s="58"/>
      <c r="AN132" s="58"/>
      <c r="AO132" s="58"/>
      <c r="AP132" s="63">
        <v>45820.6128356481</v>
      </c>
      <c r="AQ132" s="58"/>
      <c r="AR132" s="58"/>
      <c r="AS132" s="57" t="s">
        <v>14184</v>
      </c>
      <c r="AT132" s="56" t="s">
        <v>15177</v>
      </c>
      <c r="AU132" s="58"/>
      <c r="AV132" s="58"/>
      <c r="AW132" s="64">
        <v>45820.6106134259</v>
      </c>
      <c r="AX132" s="58"/>
      <c r="AY132" s="56" t="s">
        <v>15179</v>
      </c>
      <c r="AZ132" s="58"/>
      <c r="BA132" s="58"/>
      <c r="BB132" s="58"/>
      <c r="BC132" s="56" t="s">
        <v>138</v>
      </c>
      <c r="BD132" s="56" t="s">
        <v>15197</v>
      </c>
      <c r="BE132" s="56" t="s">
        <v>15613</v>
      </c>
      <c r="BF132" s="56" t="s">
        <v>15181</v>
      </c>
      <c r="BG132" s="58"/>
      <c r="BH132" s="58"/>
      <c r="BI132" s="57" t="s">
        <v>2801</v>
      </c>
      <c r="BJ132" s="58"/>
      <c r="BK132" s="58"/>
      <c r="BL132" s="66">
        <v>3566948</v>
      </c>
      <c r="BM132" s="56" t="s">
        <v>15981</v>
      </c>
      <c r="BN132" s="67">
        <v>98.49</v>
      </c>
      <c r="BO132" s="58"/>
      <c r="BP132" s="58"/>
      <c r="BQ132" s="58"/>
      <c r="BR132" s="56" t="s">
        <v>15982</v>
      </c>
      <c r="BS132" s="56" t="s">
        <v>1285</v>
      </c>
      <c r="BT132" s="58"/>
      <c r="BU132" s="58"/>
      <c r="BV132" s="58"/>
      <c r="BW132" s="58"/>
      <c r="BX132" s="67">
        <v>98.49</v>
      </c>
      <c r="BY132" s="58"/>
      <c r="BZ132" s="58"/>
      <c r="CA132" s="58"/>
      <c r="CB132" s="58"/>
      <c r="CC132" s="58"/>
      <c r="CD132" s="58"/>
    </row>
    <row r="133" ht="108" spans="1:82">
      <c r="A133" s="56" t="s">
        <v>15986</v>
      </c>
      <c r="B133" s="58"/>
      <c r="C133" s="57" t="s">
        <v>15977</v>
      </c>
      <c r="D133" s="58"/>
      <c r="E133" s="57" t="s">
        <v>15158</v>
      </c>
      <c r="F133" s="57" t="s">
        <v>15978</v>
      </c>
      <c r="G133" s="57" t="s">
        <v>15160</v>
      </c>
      <c r="H133" s="56" t="s">
        <v>2965</v>
      </c>
      <c r="I133" s="60">
        <v>4705.7</v>
      </c>
      <c r="J133" s="58"/>
      <c r="K133" s="58"/>
      <c r="L133" s="57" t="s">
        <v>14203</v>
      </c>
      <c r="M133" s="61" t="s">
        <v>15774</v>
      </c>
      <c r="N133" s="62" t="s">
        <v>15774</v>
      </c>
      <c r="O133" s="57" t="s">
        <v>15165</v>
      </c>
      <c r="P133" s="57" t="s">
        <v>15166</v>
      </c>
      <c r="Q133" s="57" t="s">
        <v>2965</v>
      </c>
      <c r="R133" s="57" t="s">
        <v>15606</v>
      </c>
      <c r="S133" s="57" t="s">
        <v>15607</v>
      </c>
      <c r="T133" s="57" t="s">
        <v>15190</v>
      </c>
      <c r="U133" s="57" t="s">
        <v>14184</v>
      </c>
      <c r="V133" s="56" t="s">
        <v>14153</v>
      </c>
      <c r="W133" s="58"/>
      <c r="X133" s="57" t="s">
        <v>15979</v>
      </c>
      <c r="Y133" s="58"/>
      <c r="Z133" s="61" t="s">
        <v>15980</v>
      </c>
      <c r="AA133" s="58"/>
      <c r="AB133" s="58"/>
      <c r="AC133" s="58"/>
      <c r="AD133" s="58"/>
      <c r="AE133" s="58"/>
      <c r="AF133" s="58"/>
      <c r="AG133" s="58"/>
      <c r="AH133" s="58"/>
      <c r="AI133" s="58"/>
      <c r="AJ133" s="58"/>
      <c r="AK133" s="58"/>
      <c r="AL133" s="58"/>
      <c r="AM133" s="58"/>
      <c r="AN133" s="58"/>
      <c r="AO133" s="58"/>
      <c r="AP133" s="63">
        <v>45820.6128356481</v>
      </c>
      <c r="AQ133" s="58"/>
      <c r="AR133" s="58"/>
      <c r="AS133" s="57" t="s">
        <v>14184</v>
      </c>
      <c r="AT133" s="56" t="s">
        <v>15177</v>
      </c>
      <c r="AU133" s="58"/>
      <c r="AV133" s="58"/>
      <c r="AW133" s="64">
        <v>45820.6106134259</v>
      </c>
      <c r="AX133" s="58"/>
      <c r="AY133" s="56" t="s">
        <v>15179</v>
      </c>
      <c r="AZ133" s="58"/>
      <c r="BA133" s="58"/>
      <c r="BB133" s="58"/>
      <c r="BC133" s="56" t="s">
        <v>138</v>
      </c>
      <c r="BD133" s="56" t="s">
        <v>15197</v>
      </c>
      <c r="BE133" s="56" t="s">
        <v>15613</v>
      </c>
      <c r="BF133" s="56" t="s">
        <v>15181</v>
      </c>
      <c r="BG133" s="58"/>
      <c r="BH133" s="58"/>
      <c r="BI133" s="57" t="s">
        <v>2801</v>
      </c>
      <c r="BJ133" s="58"/>
      <c r="BK133" s="58"/>
      <c r="BL133" s="66">
        <v>3566956</v>
      </c>
      <c r="BM133" s="56" t="s">
        <v>15981</v>
      </c>
      <c r="BN133" s="67">
        <v>29.35</v>
      </c>
      <c r="BO133" s="58"/>
      <c r="BP133" s="58"/>
      <c r="BQ133" s="58"/>
      <c r="BR133" s="56" t="s">
        <v>15982</v>
      </c>
      <c r="BS133" s="56" t="s">
        <v>1285</v>
      </c>
      <c r="BT133" s="58"/>
      <c r="BU133" s="58"/>
      <c r="BV133" s="58"/>
      <c r="BW133" s="58"/>
      <c r="BX133" s="67">
        <v>29.35</v>
      </c>
      <c r="BY133" s="58"/>
      <c r="BZ133" s="58"/>
      <c r="CA133" s="58"/>
      <c r="CB133" s="58"/>
      <c r="CC133" s="58"/>
      <c r="CD133" s="58"/>
    </row>
    <row r="134" ht="108" spans="1:82">
      <c r="A134" s="56" t="s">
        <v>15987</v>
      </c>
      <c r="B134" s="58"/>
      <c r="C134" s="57" t="s">
        <v>15977</v>
      </c>
      <c r="D134" s="58"/>
      <c r="E134" s="57" t="s">
        <v>15158</v>
      </c>
      <c r="F134" s="57" t="s">
        <v>15978</v>
      </c>
      <c r="G134" s="57" t="s">
        <v>15160</v>
      </c>
      <c r="H134" s="56" t="s">
        <v>2965</v>
      </c>
      <c r="I134" s="60">
        <v>4705.7</v>
      </c>
      <c r="J134" s="58"/>
      <c r="K134" s="58"/>
      <c r="L134" s="57" t="s">
        <v>14203</v>
      </c>
      <c r="M134" s="61" t="s">
        <v>15774</v>
      </c>
      <c r="N134" s="62" t="s">
        <v>15774</v>
      </c>
      <c r="O134" s="57" t="s">
        <v>15165</v>
      </c>
      <c r="P134" s="57" t="s">
        <v>15166</v>
      </c>
      <c r="Q134" s="57" t="s">
        <v>2965</v>
      </c>
      <c r="R134" s="57" t="s">
        <v>15606</v>
      </c>
      <c r="S134" s="57" t="s">
        <v>15607</v>
      </c>
      <c r="T134" s="57" t="s">
        <v>15190</v>
      </c>
      <c r="U134" s="57" t="s">
        <v>14184</v>
      </c>
      <c r="V134" s="56" t="s">
        <v>14153</v>
      </c>
      <c r="W134" s="58"/>
      <c r="X134" s="57" t="s">
        <v>15979</v>
      </c>
      <c r="Y134" s="58"/>
      <c r="Z134" s="61" t="s">
        <v>15980</v>
      </c>
      <c r="AA134" s="58"/>
      <c r="AB134" s="58"/>
      <c r="AC134" s="58"/>
      <c r="AD134" s="58"/>
      <c r="AE134" s="58"/>
      <c r="AF134" s="58"/>
      <c r="AG134" s="58"/>
      <c r="AH134" s="58"/>
      <c r="AI134" s="58"/>
      <c r="AJ134" s="58"/>
      <c r="AK134" s="58"/>
      <c r="AL134" s="58"/>
      <c r="AM134" s="58"/>
      <c r="AN134" s="58"/>
      <c r="AO134" s="58"/>
      <c r="AP134" s="63">
        <v>45820.6128356481</v>
      </c>
      <c r="AQ134" s="58"/>
      <c r="AR134" s="58"/>
      <c r="AS134" s="57" t="s">
        <v>14184</v>
      </c>
      <c r="AT134" s="56" t="s">
        <v>15177</v>
      </c>
      <c r="AU134" s="58"/>
      <c r="AV134" s="58"/>
      <c r="AW134" s="64">
        <v>45820.6106134259</v>
      </c>
      <c r="AX134" s="58"/>
      <c r="AY134" s="56" t="s">
        <v>15179</v>
      </c>
      <c r="AZ134" s="58"/>
      <c r="BA134" s="58"/>
      <c r="BB134" s="58"/>
      <c r="BC134" s="56" t="s">
        <v>15637</v>
      </c>
      <c r="BD134" s="56" t="s">
        <v>15197</v>
      </c>
      <c r="BE134" s="56" t="s">
        <v>15613</v>
      </c>
      <c r="BF134" s="56" t="s">
        <v>15181</v>
      </c>
      <c r="BG134" s="58"/>
      <c r="BH134" s="58"/>
      <c r="BI134" s="57" t="s">
        <v>2801</v>
      </c>
      <c r="BJ134" s="58"/>
      <c r="BK134" s="58"/>
      <c r="BL134" s="66">
        <v>3566951</v>
      </c>
      <c r="BM134" s="56" t="s">
        <v>15981</v>
      </c>
      <c r="BN134" s="67">
        <v>392.4</v>
      </c>
      <c r="BO134" s="58"/>
      <c r="BP134" s="58"/>
      <c r="BQ134" s="58"/>
      <c r="BR134" s="56" t="s">
        <v>15982</v>
      </c>
      <c r="BS134" s="56" t="s">
        <v>1285</v>
      </c>
      <c r="BT134" s="58"/>
      <c r="BU134" s="58"/>
      <c r="BV134" s="58"/>
      <c r="BW134" s="58"/>
      <c r="BX134" s="67">
        <v>392.4</v>
      </c>
      <c r="BY134" s="58"/>
      <c r="BZ134" s="58"/>
      <c r="CA134" s="58"/>
      <c r="CB134" s="58"/>
      <c r="CC134" s="58"/>
      <c r="CD134" s="58"/>
    </row>
    <row r="135" ht="108" spans="1:82">
      <c r="A135" s="56" t="s">
        <v>15988</v>
      </c>
      <c r="B135" s="58"/>
      <c r="C135" s="57" t="s">
        <v>15977</v>
      </c>
      <c r="D135" s="58"/>
      <c r="E135" s="57" t="s">
        <v>15158</v>
      </c>
      <c r="F135" s="57" t="s">
        <v>15978</v>
      </c>
      <c r="G135" s="57" t="s">
        <v>15160</v>
      </c>
      <c r="H135" s="56" t="s">
        <v>2965</v>
      </c>
      <c r="I135" s="60">
        <v>4705.7</v>
      </c>
      <c r="J135" s="58"/>
      <c r="K135" s="58"/>
      <c r="L135" s="57" t="s">
        <v>14203</v>
      </c>
      <c r="M135" s="61" t="s">
        <v>15774</v>
      </c>
      <c r="N135" s="62" t="s">
        <v>15774</v>
      </c>
      <c r="O135" s="57" t="s">
        <v>15165</v>
      </c>
      <c r="P135" s="57" t="s">
        <v>15166</v>
      </c>
      <c r="Q135" s="57" t="s">
        <v>2965</v>
      </c>
      <c r="R135" s="57" t="s">
        <v>15606</v>
      </c>
      <c r="S135" s="57" t="s">
        <v>15607</v>
      </c>
      <c r="T135" s="57" t="s">
        <v>15190</v>
      </c>
      <c r="U135" s="57" t="s">
        <v>14184</v>
      </c>
      <c r="V135" s="56" t="s">
        <v>14153</v>
      </c>
      <c r="W135" s="58"/>
      <c r="X135" s="57" t="s">
        <v>15979</v>
      </c>
      <c r="Y135" s="58"/>
      <c r="Z135" s="61" t="s">
        <v>15980</v>
      </c>
      <c r="AA135" s="58"/>
      <c r="AB135" s="58"/>
      <c r="AC135" s="58"/>
      <c r="AD135" s="58"/>
      <c r="AE135" s="58"/>
      <c r="AF135" s="58"/>
      <c r="AG135" s="58"/>
      <c r="AH135" s="58"/>
      <c r="AI135" s="58"/>
      <c r="AJ135" s="58"/>
      <c r="AK135" s="58"/>
      <c r="AL135" s="58"/>
      <c r="AM135" s="58"/>
      <c r="AN135" s="58"/>
      <c r="AO135" s="58"/>
      <c r="AP135" s="63">
        <v>45820.6128356481</v>
      </c>
      <c r="AQ135" s="58"/>
      <c r="AR135" s="58"/>
      <c r="AS135" s="57" t="s">
        <v>14184</v>
      </c>
      <c r="AT135" s="56" t="s">
        <v>15177</v>
      </c>
      <c r="AU135" s="58"/>
      <c r="AV135" s="58"/>
      <c r="AW135" s="64">
        <v>45820.6106134259</v>
      </c>
      <c r="AX135" s="58"/>
      <c r="AY135" s="56" t="s">
        <v>15179</v>
      </c>
      <c r="AZ135" s="58"/>
      <c r="BA135" s="58"/>
      <c r="BB135" s="58"/>
      <c r="BC135" s="56" t="s">
        <v>138</v>
      </c>
      <c r="BD135" s="56" t="s">
        <v>15197</v>
      </c>
      <c r="BE135" s="56" t="s">
        <v>15613</v>
      </c>
      <c r="BF135" s="56" t="s">
        <v>15181</v>
      </c>
      <c r="BG135" s="58"/>
      <c r="BH135" s="58"/>
      <c r="BI135" s="57" t="s">
        <v>2801</v>
      </c>
      <c r="BJ135" s="58"/>
      <c r="BK135" s="58"/>
      <c r="BL135" s="66">
        <v>3566949</v>
      </c>
      <c r="BM135" s="56" t="s">
        <v>15981</v>
      </c>
      <c r="BN135" s="67">
        <v>10.68</v>
      </c>
      <c r="BO135" s="58"/>
      <c r="BP135" s="58"/>
      <c r="BQ135" s="58"/>
      <c r="BR135" s="56" t="s">
        <v>15982</v>
      </c>
      <c r="BS135" s="56" t="s">
        <v>1285</v>
      </c>
      <c r="BT135" s="58"/>
      <c r="BU135" s="58"/>
      <c r="BV135" s="58"/>
      <c r="BW135" s="58"/>
      <c r="BX135" s="67">
        <v>10.68</v>
      </c>
      <c r="BY135" s="58"/>
      <c r="BZ135" s="58"/>
      <c r="CA135" s="58"/>
      <c r="CB135" s="58"/>
      <c r="CC135" s="58"/>
      <c r="CD135" s="58"/>
    </row>
    <row r="136" ht="108" spans="1:82">
      <c r="A136" s="56" t="s">
        <v>15989</v>
      </c>
      <c r="B136" s="58"/>
      <c r="C136" s="57" t="s">
        <v>15977</v>
      </c>
      <c r="D136" s="58"/>
      <c r="E136" s="57" t="s">
        <v>15158</v>
      </c>
      <c r="F136" s="57" t="s">
        <v>15978</v>
      </c>
      <c r="G136" s="57" t="s">
        <v>15160</v>
      </c>
      <c r="H136" s="56" t="s">
        <v>2965</v>
      </c>
      <c r="I136" s="60">
        <v>4705.7</v>
      </c>
      <c r="J136" s="58"/>
      <c r="K136" s="58"/>
      <c r="L136" s="57" t="s">
        <v>14203</v>
      </c>
      <c r="M136" s="61" t="s">
        <v>15774</v>
      </c>
      <c r="N136" s="62" t="s">
        <v>15774</v>
      </c>
      <c r="O136" s="57" t="s">
        <v>15165</v>
      </c>
      <c r="P136" s="57" t="s">
        <v>15166</v>
      </c>
      <c r="Q136" s="57" t="s">
        <v>2965</v>
      </c>
      <c r="R136" s="57" t="s">
        <v>15606</v>
      </c>
      <c r="S136" s="57" t="s">
        <v>15607</v>
      </c>
      <c r="T136" s="57" t="s">
        <v>15190</v>
      </c>
      <c r="U136" s="57" t="s">
        <v>14184</v>
      </c>
      <c r="V136" s="56" t="s">
        <v>14153</v>
      </c>
      <c r="W136" s="58"/>
      <c r="X136" s="57" t="s">
        <v>15979</v>
      </c>
      <c r="Y136" s="58"/>
      <c r="Z136" s="61" t="s">
        <v>15980</v>
      </c>
      <c r="AA136" s="58"/>
      <c r="AB136" s="58"/>
      <c r="AC136" s="58"/>
      <c r="AD136" s="58"/>
      <c r="AE136" s="58"/>
      <c r="AF136" s="58"/>
      <c r="AG136" s="58"/>
      <c r="AH136" s="58"/>
      <c r="AI136" s="58"/>
      <c r="AJ136" s="58"/>
      <c r="AK136" s="58"/>
      <c r="AL136" s="58"/>
      <c r="AM136" s="58"/>
      <c r="AN136" s="58"/>
      <c r="AO136" s="58"/>
      <c r="AP136" s="63">
        <v>45820.6128356481</v>
      </c>
      <c r="AQ136" s="58"/>
      <c r="AR136" s="58"/>
      <c r="AS136" s="57" t="s">
        <v>14184</v>
      </c>
      <c r="AT136" s="56" t="s">
        <v>15177</v>
      </c>
      <c r="AU136" s="58"/>
      <c r="AV136" s="58"/>
      <c r="AW136" s="64">
        <v>45820.6106134259</v>
      </c>
      <c r="AX136" s="58"/>
      <c r="AY136" s="56" t="s">
        <v>15179</v>
      </c>
      <c r="AZ136" s="58"/>
      <c r="BA136" s="58"/>
      <c r="BB136" s="58"/>
      <c r="BC136" s="56" t="s">
        <v>15637</v>
      </c>
      <c r="BD136" s="56" t="s">
        <v>15197</v>
      </c>
      <c r="BE136" s="56" t="s">
        <v>15613</v>
      </c>
      <c r="BF136" s="56" t="s">
        <v>15181</v>
      </c>
      <c r="BG136" s="58"/>
      <c r="BH136" s="58"/>
      <c r="BI136" s="57" t="s">
        <v>2801</v>
      </c>
      <c r="BJ136" s="58"/>
      <c r="BK136" s="58"/>
      <c r="BL136" s="66">
        <v>3566953</v>
      </c>
      <c r="BM136" s="56" t="s">
        <v>15981</v>
      </c>
      <c r="BN136" s="67">
        <v>25.53</v>
      </c>
      <c r="BO136" s="58"/>
      <c r="BP136" s="58"/>
      <c r="BQ136" s="58"/>
      <c r="BR136" s="56" t="s">
        <v>15982</v>
      </c>
      <c r="BS136" s="56" t="s">
        <v>1285</v>
      </c>
      <c r="BT136" s="58"/>
      <c r="BU136" s="58"/>
      <c r="BV136" s="58"/>
      <c r="BW136" s="58"/>
      <c r="BX136" s="67">
        <v>25.53</v>
      </c>
      <c r="BY136" s="58"/>
      <c r="BZ136" s="58"/>
      <c r="CA136" s="58"/>
      <c r="CB136" s="58"/>
      <c r="CC136" s="58"/>
      <c r="CD136" s="58"/>
    </row>
    <row r="137" ht="108" spans="1:82">
      <c r="A137" s="56" t="s">
        <v>15990</v>
      </c>
      <c r="B137" s="58"/>
      <c r="C137" s="57" t="s">
        <v>15977</v>
      </c>
      <c r="D137" s="58"/>
      <c r="E137" s="57" t="s">
        <v>15158</v>
      </c>
      <c r="F137" s="57" t="s">
        <v>15978</v>
      </c>
      <c r="G137" s="57" t="s">
        <v>15160</v>
      </c>
      <c r="H137" s="56" t="s">
        <v>2965</v>
      </c>
      <c r="I137" s="60">
        <v>4705.7</v>
      </c>
      <c r="J137" s="58"/>
      <c r="K137" s="58"/>
      <c r="L137" s="57" t="s">
        <v>14203</v>
      </c>
      <c r="M137" s="61" t="s">
        <v>15774</v>
      </c>
      <c r="N137" s="62" t="s">
        <v>15774</v>
      </c>
      <c r="O137" s="57" t="s">
        <v>15165</v>
      </c>
      <c r="P137" s="57" t="s">
        <v>15166</v>
      </c>
      <c r="Q137" s="57" t="s">
        <v>2965</v>
      </c>
      <c r="R137" s="57" t="s">
        <v>15606</v>
      </c>
      <c r="S137" s="57" t="s">
        <v>15607</v>
      </c>
      <c r="T137" s="57" t="s">
        <v>15190</v>
      </c>
      <c r="U137" s="57" t="s">
        <v>14184</v>
      </c>
      <c r="V137" s="56" t="s">
        <v>14153</v>
      </c>
      <c r="W137" s="58"/>
      <c r="X137" s="57" t="s">
        <v>15979</v>
      </c>
      <c r="Y137" s="58"/>
      <c r="Z137" s="61" t="s">
        <v>15980</v>
      </c>
      <c r="AA137" s="58"/>
      <c r="AB137" s="58"/>
      <c r="AC137" s="58"/>
      <c r="AD137" s="58"/>
      <c r="AE137" s="58"/>
      <c r="AF137" s="58"/>
      <c r="AG137" s="58"/>
      <c r="AH137" s="58"/>
      <c r="AI137" s="58"/>
      <c r="AJ137" s="58"/>
      <c r="AK137" s="58"/>
      <c r="AL137" s="58"/>
      <c r="AM137" s="58"/>
      <c r="AN137" s="58"/>
      <c r="AO137" s="58"/>
      <c r="AP137" s="63">
        <v>45820.6128356481</v>
      </c>
      <c r="AQ137" s="58"/>
      <c r="AR137" s="58"/>
      <c r="AS137" s="57" t="s">
        <v>14184</v>
      </c>
      <c r="AT137" s="56" t="s">
        <v>15177</v>
      </c>
      <c r="AU137" s="58"/>
      <c r="AV137" s="58"/>
      <c r="AW137" s="64">
        <v>45820.6106134259</v>
      </c>
      <c r="AX137" s="58"/>
      <c r="AY137" s="56" t="s">
        <v>15179</v>
      </c>
      <c r="AZ137" s="58"/>
      <c r="BA137" s="58"/>
      <c r="BB137" s="58"/>
      <c r="BC137" s="56" t="s">
        <v>15637</v>
      </c>
      <c r="BD137" s="56" t="s">
        <v>15197</v>
      </c>
      <c r="BE137" s="56" t="s">
        <v>15613</v>
      </c>
      <c r="BF137" s="56" t="s">
        <v>15181</v>
      </c>
      <c r="BG137" s="58"/>
      <c r="BH137" s="58"/>
      <c r="BI137" s="57" t="s">
        <v>2801</v>
      </c>
      <c r="BJ137" s="58"/>
      <c r="BK137" s="58"/>
      <c r="BL137" s="66">
        <v>3566950</v>
      </c>
      <c r="BM137" s="56" t="s">
        <v>15981</v>
      </c>
      <c r="BN137" s="67">
        <v>80.46</v>
      </c>
      <c r="BO137" s="58"/>
      <c r="BP137" s="58"/>
      <c r="BQ137" s="58"/>
      <c r="BR137" s="56" t="s">
        <v>15982</v>
      </c>
      <c r="BS137" s="56" t="s">
        <v>1285</v>
      </c>
      <c r="BT137" s="58"/>
      <c r="BU137" s="58"/>
      <c r="BV137" s="58"/>
      <c r="BW137" s="58"/>
      <c r="BX137" s="67">
        <v>80.46</v>
      </c>
      <c r="BY137" s="58"/>
      <c r="BZ137" s="58"/>
      <c r="CA137" s="58"/>
      <c r="CB137" s="58"/>
      <c r="CC137" s="58"/>
      <c r="CD137" s="58"/>
    </row>
    <row r="138" ht="108" spans="1:82">
      <c r="A138" s="56" t="s">
        <v>15991</v>
      </c>
      <c r="B138" s="58"/>
      <c r="C138" s="57" t="s">
        <v>15977</v>
      </c>
      <c r="D138" s="58"/>
      <c r="E138" s="57" t="s">
        <v>15158</v>
      </c>
      <c r="F138" s="57" t="s">
        <v>15978</v>
      </c>
      <c r="G138" s="57" t="s">
        <v>15160</v>
      </c>
      <c r="H138" s="56" t="s">
        <v>2965</v>
      </c>
      <c r="I138" s="60">
        <v>4705.7</v>
      </c>
      <c r="J138" s="58"/>
      <c r="K138" s="58"/>
      <c r="L138" s="57" t="s">
        <v>14203</v>
      </c>
      <c r="M138" s="61" t="s">
        <v>15774</v>
      </c>
      <c r="N138" s="62" t="s">
        <v>15774</v>
      </c>
      <c r="O138" s="57" t="s">
        <v>15165</v>
      </c>
      <c r="P138" s="57" t="s">
        <v>15166</v>
      </c>
      <c r="Q138" s="57" t="s">
        <v>2965</v>
      </c>
      <c r="R138" s="57" t="s">
        <v>15606</v>
      </c>
      <c r="S138" s="57" t="s">
        <v>15607</v>
      </c>
      <c r="T138" s="57" t="s">
        <v>15190</v>
      </c>
      <c r="U138" s="57" t="s">
        <v>14184</v>
      </c>
      <c r="V138" s="56" t="s">
        <v>14153</v>
      </c>
      <c r="W138" s="58"/>
      <c r="X138" s="57" t="s">
        <v>15979</v>
      </c>
      <c r="Y138" s="58"/>
      <c r="Z138" s="61" t="s">
        <v>15980</v>
      </c>
      <c r="AA138" s="58"/>
      <c r="AB138" s="58"/>
      <c r="AC138" s="58"/>
      <c r="AD138" s="58"/>
      <c r="AE138" s="58"/>
      <c r="AF138" s="58"/>
      <c r="AG138" s="58"/>
      <c r="AH138" s="58"/>
      <c r="AI138" s="58"/>
      <c r="AJ138" s="58"/>
      <c r="AK138" s="58"/>
      <c r="AL138" s="58"/>
      <c r="AM138" s="58"/>
      <c r="AN138" s="58"/>
      <c r="AO138" s="58"/>
      <c r="AP138" s="63">
        <v>45820.6128356481</v>
      </c>
      <c r="AQ138" s="58"/>
      <c r="AR138" s="58"/>
      <c r="AS138" s="57" t="s">
        <v>14184</v>
      </c>
      <c r="AT138" s="56" t="s">
        <v>15177</v>
      </c>
      <c r="AU138" s="58"/>
      <c r="AV138" s="58"/>
      <c r="AW138" s="64">
        <v>45820.6106134259</v>
      </c>
      <c r="AX138" s="58"/>
      <c r="AY138" s="56" t="s">
        <v>15179</v>
      </c>
      <c r="AZ138" s="58"/>
      <c r="BA138" s="58"/>
      <c r="BB138" s="58"/>
      <c r="BC138" s="56" t="s">
        <v>138</v>
      </c>
      <c r="BD138" s="56" t="s">
        <v>15197</v>
      </c>
      <c r="BE138" s="56" t="s">
        <v>15613</v>
      </c>
      <c r="BF138" s="56" t="s">
        <v>15181</v>
      </c>
      <c r="BG138" s="58"/>
      <c r="BH138" s="58"/>
      <c r="BI138" s="57" t="s">
        <v>2801</v>
      </c>
      <c r="BJ138" s="58"/>
      <c r="BK138" s="58"/>
      <c r="BL138" s="66">
        <v>3566955</v>
      </c>
      <c r="BM138" s="56" t="s">
        <v>15981</v>
      </c>
      <c r="BN138" s="67">
        <v>222.88</v>
      </c>
      <c r="BO138" s="58"/>
      <c r="BP138" s="58"/>
      <c r="BQ138" s="58"/>
      <c r="BR138" s="56" t="s">
        <v>15982</v>
      </c>
      <c r="BS138" s="56" t="s">
        <v>1285</v>
      </c>
      <c r="BT138" s="58"/>
      <c r="BU138" s="58"/>
      <c r="BV138" s="58"/>
      <c r="BW138" s="58"/>
      <c r="BX138" s="67">
        <v>222.88</v>
      </c>
      <c r="BY138" s="58"/>
      <c r="BZ138" s="58"/>
      <c r="CA138" s="58"/>
      <c r="CB138" s="58"/>
      <c r="CC138" s="58"/>
      <c r="CD138" s="58"/>
    </row>
    <row r="139" ht="108" spans="1:82">
      <c r="A139" s="56" t="s">
        <v>15992</v>
      </c>
      <c r="B139" s="58"/>
      <c r="C139" s="57" t="s">
        <v>15977</v>
      </c>
      <c r="D139" s="58"/>
      <c r="E139" s="57" t="s">
        <v>15158</v>
      </c>
      <c r="F139" s="57" t="s">
        <v>15978</v>
      </c>
      <c r="G139" s="57" t="s">
        <v>15160</v>
      </c>
      <c r="H139" s="56" t="s">
        <v>2965</v>
      </c>
      <c r="I139" s="60">
        <v>4705.7</v>
      </c>
      <c r="J139" s="58"/>
      <c r="K139" s="58"/>
      <c r="L139" s="57" t="s">
        <v>14203</v>
      </c>
      <c r="M139" s="61" t="s">
        <v>15774</v>
      </c>
      <c r="N139" s="62" t="s">
        <v>15774</v>
      </c>
      <c r="O139" s="57" t="s">
        <v>15165</v>
      </c>
      <c r="P139" s="57" t="s">
        <v>15166</v>
      </c>
      <c r="Q139" s="57" t="s">
        <v>2965</v>
      </c>
      <c r="R139" s="57" t="s">
        <v>15606</v>
      </c>
      <c r="S139" s="57" t="s">
        <v>15607</v>
      </c>
      <c r="T139" s="57" t="s">
        <v>15190</v>
      </c>
      <c r="U139" s="57" t="s">
        <v>14184</v>
      </c>
      <c r="V139" s="56" t="s">
        <v>14153</v>
      </c>
      <c r="W139" s="58"/>
      <c r="X139" s="57" t="s">
        <v>15979</v>
      </c>
      <c r="Y139" s="58"/>
      <c r="Z139" s="61" t="s">
        <v>15980</v>
      </c>
      <c r="AA139" s="58"/>
      <c r="AB139" s="58"/>
      <c r="AC139" s="58"/>
      <c r="AD139" s="58"/>
      <c r="AE139" s="58"/>
      <c r="AF139" s="58"/>
      <c r="AG139" s="58"/>
      <c r="AH139" s="58"/>
      <c r="AI139" s="58"/>
      <c r="AJ139" s="58"/>
      <c r="AK139" s="58"/>
      <c r="AL139" s="58"/>
      <c r="AM139" s="58"/>
      <c r="AN139" s="58"/>
      <c r="AO139" s="58"/>
      <c r="AP139" s="63">
        <v>45820.6128356481</v>
      </c>
      <c r="AQ139" s="58"/>
      <c r="AR139" s="58"/>
      <c r="AS139" s="57" t="s">
        <v>14184</v>
      </c>
      <c r="AT139" s="56" t="s">
        <v>15177</v>
      </c>
      <c r="AU139" s="58"/>
      <c r="AV139" s="58"/>
      <c r="AW139" s="64">
        <v>45820.6106134259</v>
      </c>
      <c r="AX139" s="58"/>
      <c r="AY139" s="56" t="s">
        <v>15179</v>
      </c>
      <c r="AZ139" s="58"/>
      <c r="BA139" s="58"/>
      <c r="BB139" s="58"/>
      <c r="BC139" s="56" t="s">
        <v>15628</v>
      </c>
      <c r="BD139" s="56" t="s">
        <v>15197</v>
      </c>
      <c r="BE139" s="56" t="s">
        <v>15613</v>
      </c>
      <c r="BF139" s="56" t="s">
        <v>15181</v>
      </c>
      <c r="BG139" s="58"/>
      <c r="BH139" s="58"/>
      <c r="BI139" s="57" t="s">
        <v>2801</v>
      </c>
      <c r="BJ139" s="58"/>
      <c r="BK139" s="58"/>
      <c r="BL139" s="66">
        <v>3566962</v>
      </c>
      <c r="BM139" s="56" t="s">
        <v>15981</v>
      </c>
      <c r="BN139" s="67">
        <v>154.9</v>
      </c>
      <c r="BO139" s="58"/>
      <c r="BP139" s="58"/>
      <c r="BQ139" s="58"/>
      <c r="BR139" s="56" t="s">
        <v>15982</v>
      </c>
      <c r="BS139" s="56" t="s">
        <v>1285</v>
      </c>
      <c r="BT139" s="58"/>
      <c r="BU139" s="58"/>
      <c r="BV139" s="58"/>
      <c r="BW139" s="58"/>
      <c r="BX139" s="67">
        <v>154.9</v>
      </c>
      <c r="BY139" s="58"/>
      <c r="BZ139" s="58"/>
      <c r="CA139" s="58"/>
      <c r="CB139" s="58"/>
      <c r="CC139" s="58"/>
      <c r="CD139" s="58"/>
    </row>
    <row r="140" ht="108" spans="1:82">
      <c r="A140" s="56" t="s">
        <v>15993</v>
      </c>
      <c r="B140" s="58"/>
      <c r="C140" s="57" t="s">
        <v>15977</v>
      </c>
      <c r="D140" s="58"/>
      <c r="E140" s="57" t="s">
        <v>15158</v>
      </c>
      <c r="F140" s="57" t="s">
        <v>15978</v>
      </c>
      <c r="G140" s="57" t="s">
        <v>15160</v>
      </c>
      <c r="H140" s="56" t="s">
        <v>2965</v>
      </c>
      <c r="I140" s="60">
        <v>4705.7</v>
      </c>
      <c r="J140" s="58"/>
      <c r="K140" s="58"/>
      <c r="L140" s="57" t="s">
        <v>14203</v>
      </c>
      <c r="M140" s="61" t="s">
        <v>15774</v>
      </c>
      <c r="N140" s="62" t="s">
        <v>15774</v>
      </c>
      <c r="O140" s="57" t="s">
        <v>15165</v>
      </c>
      <c r="P140" s="57" t="s">
        <v>15166</v>
      </c>
      <c r="Q140" s="57" t="s">
        <v>2965</v>
      </c>
      <c r="R140" s="57" t="s">
        <v>15606</v>
      </c>
      <c r="S140" s="57" t="s">
        <v>15607</v>
      </c>
      <c r="T140" s="57" t="s">
        <v>15190</v>
      </c>
      <c r="U140" s="57" t="s">
        <v>14184</v>
      </c>
      <c r="V140" s="56" t="s">
        <v>14153</v>
      </c>
      <c r="W140" s="58"/>
      <c r="X140" s="57" t="s">
        <v>15979</v>
      </c>
      <c r="Y140" s="58"/>
      <c r="Z140" s="61" t="s">
        <v>15980</v>
      </c>
      <c r="AA140" s="58"/>
      <c r="AB140" s="58"/>
      <c r="AC140" s="58"/>
      <c r="AD140" s="58"/>
      <c r="AE140" s="58"/>
      <c r="AF140" s="58"/>
      <c r="AG140" s="58"/>
      <c r="AH140" s="58"/>
      <c r="AI140" s="58"/>
      <c r="AJ140" s="58"/>
      <c r="AK140" s="58"/>
      <c r="AL140" s="58"/>
      <c r="AM140" s="58"/>
      <c r="AN140" s="58"/>
      <c r="AO140" s="58"/>
      <c r="AP140" s="63">
        <v>45820.6128356481</v>
      </c>
      <c r="AQ140" s="58"/>
      <c r="AR140" s="58"/>
      <c r="AS140" s="57" t="s">
        <v>14184</v>
      </c>
      <c r="AT140" s="56" t="s">
        <v>15177</v>
      </c>
      <c r="AU140" s="58"/>
      <c r="AV140" s="58"/>
      <c r="AW140" s="64">
        <v>45820.6106134259</v>
      </c>
      <c r="AX140" s="58"/>
      <c r="AY140" s="56" t="s">
        <v>15179</v>
      </c>
      <c r="AZ140" s="58"/>
      <c r="BA140" s="58"/>
      <c r="BB140" s="58"/>
      <c r="BC140" s="56" t="s">
        <v>15628</v>
      </c>
      <c r="BD140" s="56" t="s">
        <v>15197</v>
      </c>
      <c r="BE140" s="56" t="s">
        <v>15613</v>
      </c>
      <c r="BF140" s="56" t="s">
        <v>15181</v>
      </c>
      <c r="BG140" s="58"/>
      <c r="BH140" s="58"/>
      <c r="BI140" s="57" t="s">
        <v>2801</v>
      </c>
      <c r="BJ140" s="58"/>
      <c r="BK140" s="58"/>
      <c r="BL140" s="66">
        <v>3566958</v>
      </c>
      <c r="BM140" s="56" t="s">
        <v>15981</v>
      </c>
      <c r="BN140" s="67">
        <v>6.13</v>
      </c>
      <c r="BO140" s="58"/>
      <c r="BP140" s="58"/>
      <c r="BQ140" s="58"/>
      <c r="BR140" s="56" t="s">
        <v>15982</v>
      </c>
      <c r="BS140" s="56" t="s">
        <v>1285</v>
      </c>
      <c r="BT140" s="58"/>
      <c r="BU140" s="58"/>
      <c r="BV140" s="58"/>
      <c r="BW140" s="58"/>
      <c r="BX140" s="67">
        <v>6.13</v>
      </c>
      <c r="BY140" s="58"/>
      <c r="BZ140" s="58"/>
      <c r="CA140" s="58"/>
      <c r="CB140" s="58"/>
      <c r="CC140" s="58"/>
      <c r="CD140" s="58"/>
    </row>
    <row r="141" ht="108" spans="1:82">
      <c r="A141" s="56" t="s">
        <v>15994</v>
      </c>
      <c r="B141" s="58"/>
      <c r="C141" s="57" t="s">
        <v>15977</v>
      </c>
      <c r="D141" s="58"/>
      <c r="E141" s="57" t="s">
        <v>15158</v>
      </c>
      <c r="F141" s="57" t="s">
        <v>15978</v>
      </c>
      <c r="G141" s="57" t="s">
        <v>15160</v>
      </c>
      <c r="H141" s="56" t="s">
        <v>2965</v>
      </c>
      <c r="I141" s="60">
        <v>4705.7</v>
      </c>
      <c r="J141" s="58"/>
      <c r="K141" s="58"/>
      <c r="L141" s="57" t="s">
        <v>14203</v>
      </c>
      <c r="M141" s="61" t="s">
        <v>15774</v>
      </c>
      <c r="N141" s="62" t="s">
        <v>15774</v>
      </c>
      <c r="O141" s="57" t="s">
        <v>15165</v>
      </c>
      <c r="P141" s="57" t="s">
        <v>15166</v>
      </c>
      <c r="Q141" s="57" t="s">
        <v>2965</v>
      </c>
      <c r="R141" s="57" t="s">
        <v>15606</v>
      </c>
      <c r="S141" s="57" t="s">
        <v>15607</v>
      </c>
      <c r="T141" s="57" t="s">
        <v>15190</v>
      </c>
      <c r="U141" s="57" t="s">
        <v>14184</v>
      </c>
      <c r="V141" s="56" t="s">
        <v>14153</v>
      </c>
      <c r="W141" s="58"/>
      <c r="X141" s="57" t="s">
        <v>15979</v>
      </c>
      <c r="Y141" s="58"/>
      <c r="Z141" s="61" t="s">
        <v>15980</v>
      </c>
      <c r="AA141" s="58"/>
      <c r="AB141" s="58"/>
      <c r="AC141" s="58"/>
      <c r="AD141" s="58"/>
      <c r="AE141" s="58"/>
      <c r="AF141" s="58"/>
      <c r="AG141" s="58"/>
      <c r="AH141" s="58"/>
      <c r="AI141" s="58"/>
      <c r="AJ141" s="58"/>
      <c r="AK141" s="58"/>
      <c r="AL141" s="58"/>
      <c r="AM141" s="58"/>
      <c r="AN141" s="58"/>
      <c r="AO141" s="58"/>
      <c r="AP141" s="63">
        <v>45820.6128356481</v>
      </c>
      <c r="AQ141" s="58"/>
      <c r="AR141" s="58"/>
      <c r="AS141" s="57" t="s">
        <v>14184</v>
      </c>
      <c r="AT141" s="56" t="s">
        <v>15177</v>
      </c>
      <c r="AU141" s="58"/>
      <c r="AV141" s="58"/>
      <c r="AW141" s="64">
        <v>45820.6106134259</v>
      </c>
      <c r="AX141" s="58"/>
      <c r="AY141" s="56" t="s">
        <v>15179</v>
      </c>
      <c r="AZ141" s="58"/>
      <c r="BA141" s="58"/>
      <c r="BB141" s="58"/>
      <c r="BC141" s="56" t="s">
        <v>2148</v>
      </c>
      <c r="BD141" s="56" t="s">
        <v>15197</v>
      </c>
      <c r="BE141" s="56" t="s">
        <v>15613</v>
      </c>
      <c r="BF141" s="56" t="s">
        <v>15181</v>
      </c>
      <c r="BG141" s="58"/>
      <c r="BH141" s="58"/>
      <c r="BI141" s="57" t="s">
        <v>2801</v>
      </c>
      <c r="BJ141" s="58"/>
      <c r="BK141" s="58"/>
      <c r="BL141" s="66">
        <v>3580825</v>
      </c>
      <c r="BM141" s="56" t="s">
        <v>15995</v>
      </c>
      <c r="BN141" s="67">
        <v>294.9</v>
      </c>
      <c r="BO141" s="58"/>
      <c r="BP141" s="58"/>
      <c r="BQ141" s="58"/>
      <c r="BR141" s="56" t="s">
        <v>15982</v>
      </c>
      <c r="BS141" s="56" t="s">
        <v>1285</v>
      </c>
      <c r="BT141" s="58"/>
      <c r="BU141" s="58"/>
      <c r="BV141" s="58"/>
      <c r="BW141" s="58"/>
      <c r="BX141" s="67">
        <v>294.9</v>
      </c>
      <c r="BY141" s="58"/>
      <c r="BZ141" s="58"/>
      <c r="CA141" s="58"/>
      <c r="CB141" s="58"/>
      <c r="CC141" s="58"/>
      <c r="CD141" s="58"/>
    </row>
    <row r="142" ht="108" spans="1:82">
      <c r="A142" s="56" t="s">
        <v>15996</v>
      </c>
      <c r="B142" s="58"/>
      <c r="C142" s="57" t="s">
        <v>15977</v>
      </c>
      <c r="D142" s="58"/>
      <c r="E142" s="57" t="s">
        <v>15158</v>
      </c>
      <c r="F142" s="57" t="s">
        <v>15978</v>
      </c>
      <c r="G142" s="57" t="s">
        <v>15160</v>
      </c>
      <c r="H142" s="56" t="s">
        <v>2965</v>
      </c>
      <c r="I142" s="60">
        <v>4705.7</v>
      </c>
      <c r="J142" s="58"/>
      <c r="K142" s="58"/>
      <c r="L142" s="57" t="s">
        <v>14203</v>
      </c>
      <c r="M142" s="61" t="s">
        <v>15774</v>
      </c>
      <c r="N142" s="62" t="s">
        <v>15774</v>
      </c>
      <c r="O142" s="57" t="s">
        <v>15165</v>
      </c>
      <c r="P142" s="57" t="s">
        <v>15166</v>
      </c>
      <c r="Q142" s="57" t="s">
        <v>2965</v>
      </c>
      <c r="R142" s="57" t="s">
        <v>15606</v>
      </c>
      <c r="S142" s="57" t="s">
        <v>15607</v>
      </c>
      <c r="T142" s="57" t="s">
        <v>15190</v>
      </c>
      <c r="U142" s="57" t="s">
        <v>14184</v>
      </c>
      <c r="V142" s="56" t="s">
        <v>14153</v>
      </c>
      <c r="W142" s="58"/>
      <c r="X142" s="57" t="s">
        <v>15979</v>
      </c>
      <c r="Y142" s="58"/>
      <c r="Z142" s="61" t="s">
        <v>15980</v>
      </c>
      <c r="AA142" s="58"/>
      <c r="AB142" s="58"/>
      <c r="AC142" s="58"/>
      <c r="AD142" s="58"/>
      <c r="AE142" s="58"/>
      <c r="AF142" s="58"/>
      <c r="AG142" s="58"/>
      <c r="AH142" s="58"/>
      <c r="AI142" s="58"/>
      <c r="AJ142" s="58"/>
      <c r="AK142" s="58"/>
      <c r="AL142" s="58"/>
      <c r="AM142" s="58"/>
      <c r="AN142" s="58"/>
      <c r="AO142" s="58"/>
      <c r="AP142" s="63">
        <v>45820.6128356481</v>
      </c>
      <c r="AQ142" s="58"/>
      <c r="AR142" s="58"/>
      <c r="AS142" s="57" t="s">
        <v>14184</v>
      </c>
      <c r="AT142" s="56" t="s">
        <v>15177</v>
      </c>
      <c r="AU142" s="58"/>
      <c r="AV142" s="58"/>
      <c r="AW142" s="64">
        <v>45820.6106134259</v>
      </c>
      <c r="AX142" s="58"/>
      <c r="AY142" s="56" t="s">
        <v>15179</v>
      </c>
      <c r="AZ142" s="58"/>
      <c r="BA142" s="58"/>
      <c r="BB142" s="58"/>
      <c r="BC142" s="56" t="s">
        <v>2148</v>
      </c>
      <c r="BD142" s="56" t="s">
        <v>15197</v>
      </c>
      <c r="BE142" s="56" t="s">
        <v>15613</v>
      </c>
      <c r="BF142" s="56" t="s">
        <v>15181</v>
      </c>
      <c r="BG142" s="58"/>
      <c r="BH142" s="58"/>
      <c r="BI142" s="57" t="s">
        <v>2801</v>
      </c>
      <c r="BJ142" s="58"/>
      <c r="BK142" s="58"/>
      <c r="BL142" s="66">
        <v>3580827</v>
      </c>
      <c r="BM142" s="56" t="s">
        <v>15995</v>
      </c>
      <c r="BN142" s="67">
        <v>194.4</v>
      </c>
      <c r="BO142" s="58"/>
      <c r="BP142" s="58"/>
      <c r="BQ142" s="58"/>
      <c r="BR142" s="56" t="s">
        <v>15982</v>
      </c>
      <c r="BS142" s="56" t="s">
        <v>1285</v>
      </c>
      <c r="BT142" s="58"/>
      <c r="BU142" s="58"/>
      <c r="BV142" s="58"/>
      <c r="BW142" s="58"/>
      <c r="BX142" s="67">
        <v>194.4</v>
      </c>
      <c r="BY142" s="58"/>
      <c r="BZ142" s="58"/>
      <c r="CA142" s="58"/>
      <c r="CB142" s="58"/>
      <c r="CC142" s="58"/>
      <c r="CD142" s="58"/>
    </row>
    <row r="143" ht="108" spans="1:82">
      <c r="A143" s="56" t="s">
        <v>15997</v>
      </c>
      <c r="B143" s="58"/>
      <c r="C143" s="57" t="s">
        <v>15977</v>
      </c>
      <c r="D143" s="58"/>
      <c r="E143" s="57" t="s">
        <v>15158</v>
      </c>
      <c r="F143" s="57" t="s">
        <v>15978</v>
      </c>
      <c r="G143" s="57" t="s">
        <v>15160</v>
      </c>
      <c r="H143" s="56" t="s">
        <v>2965</v>
      </c>
      <c r="I143" s="60">
        <v>4705.7</v>
      </c>
      <c r="J143" s="58"/>
      <c r="K143" s="58"/>
      <c r="L143" s="57" t="s">
        <v>14203</v>
      </c>
      <c r="M143" s="61" t="s">
        <v>15774</v>
      </c>
      <c r="N143" s="62" t="s">
        <v>15774</v>
      </c>
      <c r="O143" s="57" t="s">
        <v>15165</v>
      </c>
      <c r="P143" s="57" t="s">
        <v>15166</v>
      </c>
      <c r="Q143" s="57" t="s">
        <v>2965</v>
      </c>
      <c r="R143" s="57" t="s">
        <v>15606</v>
      </c>
      <c r="S143" s="57" t="s">
        <v>15607</v>
      </c>
      <c r="T143" s="57" t="s">
        <v>15190</v>
      </c>
      <c r="U143" s="57" t="s">
        <v>14184</v>
      </c>
      <c r="V143" s="56" t="s">
        <v>14153</v>
      </c>
      <c r="W143" s="58"/>
      <c r="X143" s="57" t="s">
        <v>15979</v>
      </c>
      <c r="Y143" s="58"/>
      <c r="Z143" s="61" t="s">
        <v>15980</v>
      </c>
      <c r="AA143" s="58"/>
      <c r="AB143" s="58"/>
      <c r="AC143" s="58"/>
      <c r="AD143" s="58"/>
      <c r="AE143" s="58"/>
      <c r="AF143" s="58"/>
      <c r="AG143" s="58"/>
      <c r="AH143" s="58"/>
      <c r="AI143" s="58"/>
      <c r="AJ143" s="58"/>
      <c r="AK143" s="58"/>
      <c r="AL143" s="58"/>
      <c r="AM143" s="58"/>
      <c r="AN143" s="58"/>
      <c r="AO143" s="58"/>
      <c r="AP143" s="63">
        <v>45820.6128356481</v>
      </c>
      <c r="AQ143" s="58"/>
      <c r="AR143" s="58"/>
      <c r="AS143" s="57" t="s">
        <v>14184</v>
      </c>
      <c r="AT143" s="56" t="s">
        <v>15177</v>
      </c>
      <c r="AU143" s="58"/>
      <c r="AV143" s="58"/>
      <c r="AW143" s="64">
        <v>45820.6106134259</v>
      </c>
      <c r="AX143" s="58"/>
      <c r="AY143" s="56" t="s">
        <v>15179</v>
      </c>
      <c r="AZ143" s="58"/>
      <c r="BA143" s="58"/>
      <c r="BB143" s="58"/>
      <c r="BC143" s="56" t="s">
        <v>2148</v>
      </c>
      <c r="BD143" s="56" t="s">
        <v>15197</v>
      </c>
      <c r="BE143" s="56" t="s">
        <v>15613</v>
      </c>
      <c r="BF143" s="56" t="s">
        <v>15181</v>
      </c>
      <c r="BG143" s="58"/>
      <c r="BH143" s="58"/>
      <c r="BI143" s="57" t="s">
        <v>2801</v>
      </c>
      <c r="BJ143" s="58"/>
      <c r="BK143" s="58"/>
      <c r="BL143" s="66">
        <v>3580828</v>
      </c>
      <c r="BM143" s="56" t="s">
        <v>15995</v>
      </c>
      <c r="BN143" s="67">
        <v>132.3</v>
      </c>
      <c r="BO143" s="58"/>
      <c r="BP143" s="58"/>
      <c r="BQ143" s="58"/>
      <c r="BR143" s="56" t="s">
        <v>15982</v>
      </c>
      <c r="BS143" s="56" t="s">
        <v>1285</v>
      </c>
      <c r="BT143" s="58"/>
      <c r="BU143" s="58"/>
      <c r="BV143" s="58"/>
      <c r="BW143" s="58"/>
      <c r="BX143" s="67">
        <v>132.3</v>
      </c>
      <c r="BY143" s="58"/>
      <c r="BZ143" s="58"/>
      <c r="CA143" s="58"/>
      <c r="CB143" s="58"/>
      <c r="CC143" s="58"/>
      <c r="CD143" s="58"/>
    </row>
    <row r="144" ht="108" spans="1:82">
      <c r="A144" s="56" t="s">
        <v>15998</v>
      </c>
      <c r="B144" s="58"/>
      <c r="C144" s="57" t="s">
        <v>15977</v>
      </c>
      <c r="D144" s="58"/>
      <c r="E144" s="57" t="s">
        <v>15158</v>
      </c>
      <c r="F144" s="57" t="s">
        <v>15978</v>
      </c>
      <c r="G144" s="57" t="s">
        <v>15160</v>
      </c>
      <c r="H144" s="56" t="s">
        <v>2965</v>
      </c>
      <c r="I144" s="60">
        <v>4705.7</v>
      </c>
      <c r="J144" s="58"/>
      <c r="K144" s="58"/>
      <c r="L144" s="57" t="s">
        <v>14203</v>
      </c>
      <c r="M144" s="61" t="s">
        <v>15774</v>
      </c>
      <c r="N144" s="62" t="s">
        <v>15774</v>
      </c>
      <c r="O144" s="57" t="s">
        <v>15165</v>
      </c>
      <c r="P144" s="57" t="s">
        <v>15166</v>
      </c>
      <c r="Q144" s="57" t="s">
        <v>2965</v>
      </c>
      <c r="R144" s="57" t="s">
        <v>15606</v>
      </c>
      <c r="S144" s="57" t="s">
        <v>15607</v>
      </c>
      <c r="T144" s="57" t="s">
        <v>15190</v>
      </c>
      <c r="U144" s="57" t="s">
        <v>14184</v>
      </c>
      <c r="V144" s="56" t="s">
        <v>14153</v>
      </c>
      <c r="W144" s="58"/>
      <c r="X144" s="57" t="s">
        <v>15979</v>
      </c>
      <c r="Y144" s="58"/>
      <c r="Z144" s="61" t="s">
        <v>15980</v>
      </c>
      <c r="AA144" s="58"/>
      <c r="AB144" s="58"/>
      <c r="AC144" s="58"/>
      <c r="AD144" s="58"/>
      <c r="AE144" s="58"/>
      <c r="AF144" s="58"/>
      <c r="AG144" s="58"/>
      <c r="AH144" s="58"/>
      <c r="AI144" s="58"/>
      <c r="AJ144" s="58"/>
      <c r="AK144" s="58"/>
      <c r="AL144" s="58"/>
      <c r="AM144" s="58"/>
      <c r="AN144" s="58"/>
      <c r="AO144" s="58"/>
      <c r="AP144" s="63">
        <v>45820.6128356481</v>
      </c>
      <c r="AQ144" s="58"/>
      <c r="AR144" s="58"/>
      <c r="AS144" s="57" t="s">
        <v>14184</v>
      </c>
      <c r="AT144" s="56" t="s">
        <v>15177</v>
      </c>
      <c r="AU144" s="58"/>
      <c r="AV144" s="58"/>
      <c r="AW144" s="64">
        <v>45820.6106134259</v>
      </c>
      <c r="AX144" s="58"/>
      <c r="AY144" s="56" t="s">
        <v>15179</v>
      </c>
      <c r="AZ144" s="58"/>
      <c r="BA144" s="58"/>
      <c r="BB144" s="58"/>
      <c r="BC144" s="56" t="s">
        <v>15637</v>
      </c>
      <c r="BD144" s="56" t="s">
        <v>15197</v>
      </c>
      <c r="BE144" s="56" t="s">
        <v>15613</v>
      </c>
      <c r="BF144" s="56" t="s">
        <v>15181</v>
      </c>
      <c r="BG144" s="58"/>
      <c r="BH144" s="58"/>
      <c r="BI144" s="57" t="s">
        <v>2801</v>
      </c>
      <c r="BJ144" s="58"/>
      <c r="BK144" s="58"/>
      <c r="BL144" s="66">
        <v>3580826</v>
      </c>
      <c r="BM144" s="56" t="s">
        <v>15995</v>
      </c>
      <c r="BN144" s="67">
        <v>148.71</v>
      </c>
      <c r="BO144" s="58"/>
      <c r="BP144" s="58"/>
      <c r="BQ144" s="58"/>
      <c r="BR144" s="56" t="s">
        <v>15982</v>
      </c>
      <c r="BS144" s="56" t="s">
        <v>1285</v>
      </c>
      <c r="BT144" s="58"/>
      <c r="BU144" s="58"/>
      <c r="BV144" s="58"/>
      <c r="BW144" s="58"/>
      <c r="BX144" s="67">
        <v>148.71</v>
      </c>
      <c r="BY144" s="58"/>
      <c r="BZ144" s="58"/>
      <c r="CA144" s="58"/>
      <c r="CB144" s="58"/>
      <c r="CC144" s="58"/>
      <c r="CD144" s="58"/>
    </row>
    <row r="145" ht="108" spans="1:82">
      <c r="A145" s="56" t="s">
        <v>15999</v>
      </c>
      <c r="B145" s="58"/>
      <c r="C145" s="57" t="s">
        <v>15977</v>
      </c>
      <c r="D145" s="58"/>
      <c r="E145" s="57" t="s">
        <v>15158</v>
      </c>
      <c r="F145" s="57" t="s">
        <v>15978</v>
      </c>
      <c r="G145" s="57" t="s">
        <v>15160</v>
      </c>
      <c r="H145" s="56" t="s">
        <v>2965</v>
      </c>
      <c r="I145" s="60">
        <v>4705.7</v>
      </c>
      <c r="J145" s="58"/>
      <c r="K145" s="58"/>
      <c r="L145" s="57" t="s">
        <v>14203</v>
      </c>
      <c r="M145" s="61" t="s">
        <v>15774</v>
      </c>
      <c r="N145" s="62" t="s">
        <v>15774</v>
      </c>
      <c r="O145" s="57" t="s">
        <v>15165</v>
      </c>
      <c r="P145" s="57" t="s">
        <v>15166</v>
      </c>
      <c r="Q145" s="57" t="s">
        <v>2965</v>
      </c>
      <c r="R145" s="57" t="s">
        <v>15606</v>
      </c>
      <c r="S145" s="57" t="s">
        <v>15607</v>
      </c>
      <c r="T145" s="57" t="s">
        <v>15190</v>
      </c>
      <c r="U145" s="57" t="s">
        <v>14184</v>
      </c>
      <c r="V145" s="56" t="s">
        <v>14153</v>
      </c>
      <c r="W145" s="58"/>
      <c r="X145" s="57" t="s">
        <v>15979</v>
      </c>
      <c r="Y145" s="58"/>
      <c r="Z145" s="61" t="s">
        <v>15980</v>
      </c>
      <c r="AA145" s="58"/>
      <c r="AB145" s="58"/>
      <c r="AC145" s="58"/>
      <c r="AD145" s="58"/>
      <c r="AE145" s="58"/>
      <c r="AF145" s="58"/>
      <c r="AG145" s="58"/>
      <c r="AH145" s="58"/>
      <c r="AI145" s="58"/>
      <c r="AJ145" s="58"/>
      <c r="AK145" s="58"/>
      <c r="AL145" s="58"/>
      <c r="AM145" s="58"/>
      <c r="AN145" s="58"/>
      <c r="AO145" s="58"/>
      <c r="AP145" s="63">
        <v>45820.6128356481</v>
      </c>
      <c r="AQ145" s="58"/>
      <c r="AR145" s="58"/>
      <c r="AS145" s="57" t="s">
        <v>14184</v>
      </c>
      <c r="AT145" s="56" t="s">
        <v>15177</v>
      </c>
      <c r="AU145" s="58"/>
      <c r="AV145" s="58"/>
      <c r="AW145" s="64">
        <v>45820.6106134259</v>
      </c>
      <c r="AX145" s="58"/>
      <c r="AY145" s="56" t="s">
        <v>15179</v>
      </c>
      <c r="AZ145" s="58"/>
      <c r="BA145" s="58"/>
      <c r="BB145" s="58"/>
      <c r="BC145" s="56" t="s">
        <v>15628</v>
      </c>
      <c r="BD145" s="56" t="s">
        <v>15197</v>
      </c>
      <c r="BE145" s="56" t="s">
        <v>15613</v>
      </c>
      <c r="BF145" s="56" t="s">
        <v>15181</v>
      </c>
      <c r="BG145" s="58"/>
      <c r="BH145" s="58"/>
      <c r="BI145" s="57" t="s">
        <v>2801</v>
      </c>
      <c r="BJ145" s="58"/>
      <c r="BK145" s="58"/>
      <c r="BL145" s="66">
        <v>3566959</v>
      </c>
      <c r="BM145" s="56" t="s">
        <v>15981</v>
      </c>
      <c r="BN145" s="67">
        <v>35.1</v>
      </c>
      <c r="BO145" s="58"/>
      <c r="BP145" s="58"/>
      <c r="BQ145" s="58"/>
      <c r="BR145" s="56" t="s">
        <v>15982</v>
      </c>
      <c r="BS145" s="56" t="s">
        <v>1285</v>
      </c>
      <c r="BT145" s="58"/>
      <c r="BU145" s="58"/>
      <c r="BV145" s="58"/>
      <c r="BW145" s="58"/>
      <c r="BX145" s="67">
        <v>35.1</v>
      </c>
      <c r="BY145" s="58"/>
      <c r="BZ145" s="58"/>
      <c r="CA145" s="58"/>
      <c r="CB145" s="58"/>
      <c r="CC145" s="58"/>
      <c r="CD145" s="58"/>
    </row>
    <row r="146" ht="108" spans="1:82">
      <c r="A146" s="56" t="s">
        <v>16000</v>
      </c>
      <c r="B146" s="58"/>
      <c r="C146" s="57" t="s">
        <v>15977</v>
      </c>
      <c r="D146" s="58"/>
      <c r="E146" s="57" t="s">
        <v>15158</v>
      </c>
      <c r="F146" s="57" t="s">
        <v>15978</v>
      </c>
      <c r="G146" s="57" t="s">
        <v>15160</v>
      </c>
      <c r="H146" s="56" t="s">
        <v>2965</v>
      </c>
      <c r="I146" s="60">
        <v>4705.7</v>
      </c>
      <c r="J146" s="58"/>
      <c r="K146" s="58"/>
      <c r="L146" s="57" t="s">
        <v>14203</v>
      </c>
      <c r="M146" s="61" t="s">
        <v>15774</v>
      </c>
      <c r="N146" s="62" t="s">
        <v>15774</v>
      </c>
      <c r="O146" s="57" t="s">
        <v>15165</v>
      </c>
      <c r="P146" s="57" t="s">
        <v>15166</v>
      </c>
      <c r="Q146" s="57" t="s">
        <v>2965</v>
      </c>
      <c r="R146" s="57" t="s">
        <v>15606</v>
      </c>
      <c r="S146" s="57" t="s">
        <v>15607</v>
      </c>
      <c r="T146" s="57" t="s">
        <v>15190</v>
      </c>
      <c r="U146" s="57" t="s">
        <v>14184</v>
      </c>
      <c r="V146" s="56" t="s">
        <v>14153</v>
      </c>
      <c r="W146" s="58"/>
      <c r="X146" s="57" t="s">
        <v>15979</v>
      </c>
      <c r="Y146" s="58"/>
      <c r="Z146" s="61" t="s">
        <v>15980</v>
      </c>
      <c r="AA146" s="58"/>
      <c r="AB146" s="58"/>
      <c r="AC146" s="58"/>
      <c r="AD146" s="58"/>
      <c r="AE146" s="58"/>
      <c r="AF146" s="58"/>
      <c r="AG146" s="58"/>
      <c r="AH146" s="58"/>
      <c r="AI146" s="58"/>
      <c r="AJ146" s="58"/>
      <c r="AK146" s="58"/>
      <c r="AL146" s="58"/>
      <c r="AM146" s="58"/>
      <c r="AN146" s="58"/>
      <c r="AO146" s="58"/>
      <c r="AP146" s="63">
        <v>45820.6128356481</v>
      </c>
      <c r="AQ146" s="58"/>
      <c r="AR146" s="58"/>
      <c r="AS146" s="57" t="s">
        <v>14184</v>
      </c>
      <c r="AT146" s="56" t="s">
        <v>15177</v>
      </c>
      <c r="AU146" s="58"/>
      <c r="AV146" s="58"/>
      <c r="AW146" s="64">
        <v>45820.6106134259</v>
      </c>
      <c r="AX146" s="58"/>
      <c r="AY146" s="56" t="s">
        <v>15179</v>
      </c>
      <c r="AZ146" s="58"/>
      <c r="BA146" s="58"/>
      <c r="BB146" s="58"/>
      <c r="BC146" s="56" t="s">
        <v>2140</v>
      </c>
      <c r="BD146" s="56" t="s">
        <v>15197</v>
      </c>
      <c r="BE146" s="56" t="s">
        <v>15613</v>
      </c>
      <c r="BF146" s="56" t="s">
        <v>15181</v>
      </c>
      <c r="BG146" s="58"/>
      <c r="BH146" s="58"/>
      <c r="BI146" s="57" t="s">
        <v>2801</v>
      </c>
      <c r="BJ146" s="58"/>
      <c r="BK146" s="58"/>
      <c r="BL146" s="66">
        <v>3566964</v>
      </c>
      <c r="BM146" s="56" t="s">
        <v>15981</v>
      </c>
      <c r="BN146" s="67">
        <v>287.5</v>
      </c>
      <c r="BO146" s="58"/>
      <c r="BP146" s="58"/>
      <c r="BQ146" s="58"/>
      <c r="BR146" s="56" t="s">
        <v>15982</v>
      </c>
      <c r="BS146" s="56" t="s">
        <v>1285</v>
      </c>
      <c r="BT146" s="58"/>
      <c r="BU146" s="58"/>
      <c r="BV146" s="58"/>
      <c r="BW146" s="58"/>
      <c r="BX146" s="67">
        <v>287.5</v>
      </c>
      <c r="BY146" s="58"/>
      <c r="BZ146" s="58"/>
      <c r="CA146" s="58"/>
      <c r="CB146" s="58"/>
      <c r="CC146" s="58"/>
      <c r="CD146" s="58"/>
    </row>
    <row r="147" ht="108" spans="1:82">
      <c r="A147" s="56" t="s">
        <v>16001</v>
      </c>
      <c r="B147" s="58"/>
      <c r="C147" s="57" t="s">
        <v>15977</v>
      </c>
      <c r="D147" s="58"/>
      <c r="E147" s="57" t="s">
        <v>15158</v>
      </c>
      <c r="F147" s="57" t="s">
        <v>15978</v>
      </c>
      <c r="G147" s="57" t="s">
        <v>15160</v>
      </c>
      <c r="H147" s="56" t="s">
        <v>2965</v>
      </c>
      <c r="I147" s="60">
        <v>4705.7</v>
      </c>
      <c r="J147" s="58"/>
      <c r="K147" s="58"/>
      <c r="L147" s="57" t="s">
        <v>14203</v>
      </c>
      <c r="M147" s="61" t="s">
        <v>15774</v>
      </c>
      <c r="N147" s="62" t="s">
        <v>15774</v>
      </c>
      <c r="O147" s="57" t="s">
        <v>15165</v>
      </c>
      <c r="P147" s="57" t="s">
        <v>15166</v>
      </c>
      <c r="Q147" s="57" t="s">
        <v>2965</v>
      </c>
      <c r="R147" s="57" t="s">
        <v>15606</v>
      </c>
      <c r="S147" s="57" t="s">
        <v>15607</v>
      </c>
      <c r="T147" s="57" t="s">
        <v>15190</v>
      </c>
      <c r="U147" s="57" t="s">
        <v>14184</v>
      </c>
      <c r="V147" s="56" t="s">
        <v>14153</v>
      </c>
      <c r="W147" s="58"/>
      <c r="X147" s="57" t="s">
        <v>15979</v>
      </c>
      <c r="Y147" s="58"/>
      <c r="Z147" s="61" t="s">
        <v>15980</v>
      </c>
      <c r="AA147" s="58"/>
      <c r="AB147" s="58"/>
      <c r="AC147" s="58"/>
      <c r="AD147" s="58"/>
      <c r="AE147" s="58"/>
      <c r="AF147" s="58"/>
      <c r="AG147" s="58"/>
      <c r="AH147" s="58"/>
      <c r="AI147" s="58"/>
      <c r="AJ147" s="58"/>
      <c r="AK147" s="58"/>
      <c r="AL147" s="58"/>
      <c r="AM147" s="58"/>
      <c r="AN147" s="58"/>
      <c r="AO147" s="58"/>
      <c r="AP147" s="63">
        <v>45820.6128356481</v>
      </c>
      <c r="AQ147" s="58"/>
      <c r="AR147" s="58"/>
      <c r="AS147" s="57" t="s">
        <v>14184</v>
      </c>
      <c r="AT147" s="56" t="s">
        <v>15177</v>
      </c>
      <c r="AU147" s="58"/>
      <c r="AV147" s="58"/>
      <c r="AW147" s="64">
        <v>45820.6106134259</v>
      </c>
      <c r="AX147" s="58"/>
      <c r="AY147" s="56" t="s">
        <v>15179</v>
      </c>
      <c r="AZ147" s="58"/>
      <c r="BA147" s="58"/>
      <c r="BB147" s="58"/>
      <c r="BC147" s="56" t="s">
        <v>2148</v>
      </c>
      <c r="BD147" s="56" t="s">
        <v>15197</v>
      </c>
      <c r="BE147" s="56" t="s">
        <v>15613</v>
      </c>
      <c r="BF147" s="56" t="s">
        <v>15181</v>
      </c>
      <c r="BG147" s="58"/>
      <c r="BH147" s="58"/>
      <c r="BI147" s="57" t="s">
        <v>2801</v>
      </c>
      <c r="BJ147" s="58"/>
      <c r="BK147" s="58"/>
      <c r="BL147" s="66">
        <v>3566965</v>
      </c>
      <c r="BM147" s="56" t="s">
        <v>15981</v>
      </c>
      <c r="BN147" s="67">
        <v>135</v>
      </c>
      <c r="BO147" s="58"/>
      <c r="BP147" s="58"/>
      <c r="BQ147" s="58"/>
      <c r="BR147" s="56" t="s">
        <v>15982</v>
      </c>
      <c r="BS147" s="56" t="s">
        <v>1285</v>
      </c>
      <c r="BT147" s="58"/>
      <c r="BU147" s="58"/>
      <c r="BV147" s="58"/>
      <c r="BW147" s="58"/>
      <c r="BX147" s="67">
        <v>135</v>
      </c>
      <c r="BY147" s="58"/>
      <c r="BZ147" s="58"/>
      <c r="CA147" s="58"/>
      <c r="CB147" s="58"/>
      <c r="CC147" s="58"/>
      <c r="CD147" s="58"/>
    </row>
    <row r="148" ht="108" spans="1:82">
      <c r="A148" s="56" t="s">
        <v>16002</v>
      </c>
      <c r="B148" s="58"/>
      <c r="C148" s="57" t="s">
        <v>15977</v>
      </c>
      <c r="D148" s="58"/>
      <c r="E148" s="57" t="s">
        <v>15158</v>
      </c>
      <c r="F148" s="57" t="s">
        <v>15978</v>
      </c>
      <c r="G148" s="57" t="s">
        <v>15160</v>
      </c>
      <c r="H148" s="56" t="s">
        <v>2965</v>
      </c>
      <c r="I148" s="60">
        <v>4705.7</v>
      </c>
      <c r="J148" s="58"/>
      <c r="K148" s="58"/>
      <c r="L148" s="57" t="s">
        <v>14203</v>
      </c>
      <c r="M148" s="61" t="s">
        <v>15774</v>
      </c>
      <c r="N148" s="62" t="s">
        <v>15774</v>
      </c>
      <c r="O148" s="57" t="s">
        <v>15165</v>
      </c>
      <c r="P148" s="57" t="s">
        <v>15166</v>
      </c>
      <c r="Q148" s="57" t="s">
        <v>2965</v>
      </c>
      <c r="R148" s="57" t="s">
        <v>15606</v>
      </c>
      <c r="S148" s="57" t="s">
        <v>15607</v>
      </c>
      <c r="T148" s="57" t="s">
        <v>15190</v>
      </c>
      <c r="U148" s="57" t="s">
        <v>14184</v>
      </c>
      <c r="V148" s="56" t="s">
        <v>14153</v>
      </c>
      <c r="W148" s="58"/>
      <c r="X148" s="57" t="s">
        <v>15979</v>
      </c>
      <c r="Y148" s="58"/>
      <c r="Z148" s="61" t="s">
        <v>15980</v>
      </c>
      <c r="AA148" s="58"/>
      <c r="AB148" s="58"/>
      <c r="AC148" s="58"/>
      <c r="AD148" s="58"/>
      <c r="AE148" s="58"/>
      <c r="AF148" s="58"/>
      <c r="AG148" s="58"/>
      <c r="AH148" s="58"/>
      <c r="AI148" s="58"/>
      <c r="AJ148" s="58"/>
      <c r="AK148" s="58"/>
      <c r="AL148" s="58"/>
      <c r="AM148" s="58"/>
      <c r="AN148" s="58"/>
      <c r="AO148" s="58"/>
      <c r="AP148" s="63">
        <v>45820.6128356481</v>
      </c>
      <c r="AQ148" s="58"/>
      <c r="AR148" s="58"/>
      <c r="AS148" s="57" t="s">
        <v>14184</v>
      </c>
      <c r="AT148" s="56" t="s">
        <v>15177</v>
      </c>
      <c r="AU148" s="58"/>
      <c r="AV148" s="58"/>
      <c r="AW148" s="64">
        <v>45820.6106134259</v>
      </c>
      <c r="AX148" s="58"/>
      <c r="AY148" s="56" t="s">
        <v>15179</v>
      </c>
      <c r="AZ148" s="58"/>
      <c r="BA148" s="58"/>
      <c r="BB148" s="58"/>
      <c r="BC148" s="56" t="s">
        <v>15637</v>
      </c>
      <c r="BD148" s="56" t="s">
        <v>15197</v>
      </c>
      <c r="BE148" s="56" t="s">
        <v>15613</v>
      </c>
      <c r="BF148" s="56" t="s">
        <v>15181</v>
      </c>
      <c r="BG148" s="58"/>
      <c r="BH148" s="58"/>
      <c r="BI148" s="57" t="s">
        <v>2801</v>
      </c>
      <c r="BJ148" s="58"/>
      <c r="BK148" s="58"/>
      <c r="BL148" s="66">
        <v>3566954</v>
      </c>
      <c r="BM148" s="56" t="s">
        <v>15981</v>
      </c>
      <c r="BN148" s="67">
        <v>770.34</v>
      </c>
      <c r="BO148" s="58"/>
      <c r="BP148" s="58"/>
      <c r="BQ148" s="58"/>
      <c r="BR148" s="56" t="s">
        <v>15982</v>
      </c>
      <c r="BS148" s="56" t="s">
        <v>1285</v>
      </c>
      <c r="BT148" s="58"/>
      <c r="BU148" s="58"/>
      <c r="BV148" s="58"/>
      <c r="BW148" s="58"/>
      <c r="BX148" s="67">
        <v>770.34</v>
      </c>
      <c r="BY148" s="58"/>
      <c r="BZ148" s="58"/>
      <c r="CA148" s="58"/>
      <c r="CB148" s="58"/>
      <c r="CC148" s="58"/>
      <c r="CD148" s="58"/>
    </row>
    <row r="149" ht="108" spans="1:82">
      <c r="A149" s="56" t="s">
        <v>16003</v>
      </c>
      <c r="B149" s="58"/>
      <c r="C149" s="57" t="s">
        <v>15977</v>
      </c>
      <c r="D149" s="58"/>
      <c r="E149" s="57" t="s">
        <v>15158</v>
      </c>
      <c r="F149" s="57" t="s">
        <v>15978</v>
      </c>
      <c r="G149" s="57" t="s">
        <v>15160</v>
      </c>
      <c r="H149" s="56" t="s">
        <v>2965</v>
      </c>
      <c r="I149" s="60">
        <v>4705.7</v>
      </c>
      <c r="J149" s="58"/>
      <c r="K149" s="58"/>
      <c r="L149" s="57" t="s">
        <v>14203</v>
      </c>
      <c r="M149" s="61" t="s">
        <v>15774</v>
      </c>
      <c r="N149" s="62" t="s">
        <v>15774</v>
      </c>
      <c r="O149" s="57" t="s">
        <v>15165</v>
      </c>
      <c r="P149" s="57" t="s">
        <v>15166</v>
      </c>
      <c r="Q149" s="57" t="s">
        <v>2965</v>
      </c>
      <c r="R149" s="57" t="s">
        <v>15606</v>
      </c>
      <c r="S149" s="57" t="s">
        <v>15607</v>
      </c>
      <c r="T149" s="57" t="s">
        <v>15190</v>
      </c>
      <c r="U149" s="57" t="s">
        <v>14184</v>
      </c>
      <c r="V149" s="56" t="s">
        <v>14153</v>
      </c>
      <c r="W149" s="58"/>
      <c r="X149" s="57" t="s">
        <v>15979</v>
      </c>
      <c r="Y149" s="58"/>
      <c r="Z149" s="61" t="s">
        <v>15980</v>
      </c>
      <c r="AA149" s="58"/>
      <c r="AB149" s="58"/>
      <c r="AC149" s="58"/>
      <c r="AD149" s="58"/>
      <c r="AE149" s="58"/>
      <c r="AF149" s="58"/>
      <c r="AG149" s="58"/>
      <c r="AH149" s="58"/>
      <c r="AI149" s="58"/>
      <c r="AJ149" s="58"/>
      <c r="AK149" s="58"/>
      <c r="AL149" s="58"/>
      <c r="AM149" s="58"/>
      <c r="AN149" s="58"/>
      <c r="AO149" s="58"/>
      <c r="AP149" s="63">
        <v>45820.6128356481</v>
      </c>
      <c r="AQ149" s="58"/>
      <c r="AR149" s="58"/>
      <c r="AS149" s="57" t="s">
        <v>14184</v>
      </c>
      <c r="AT149" s="56" t="s">
        <v>15177</v>
      </c>
      <c r="AU149" s="58"/>
      <c r="AV149" s="58"/>
      <c r="AW149" s="64">
        <v>45820.6106134259</v>
      </c>
      <c r="AX149" s="58"/>
      <c r="AY149" s="56" t="s">
        <v>15179</v>
      </c>
      <c r="AZ149" s="58"/>
      <c r="BA149" s="58"/>
      <c r="BB149" s="58"/>
      <c r="BC149" s="56" t="s">
        <v>2140</v>
      </c>
      <c r="BD149" s="56" t="s">
        <v>15197</v>
      </c>
      <c r="BE149" s="56" t="s">
        <v>15613</v>
      </c>
      <c r="BF149" s="56" t="s">
        <v>15181</v>
      </c>
      <c r="BG149" s="58"/>
      <c r="BH149" s="58"/>
      <c r="BI149" s="57" t="s">
        <v>2801</v>
      </c>
      <c r="BJ149" s="58"/>
      <c r="BK149" s="58"/>
      <c r="BL149" s="66">
        <v>3566963</v>
      </c>
      <c r="BM149" s="56" t="s">
        <v>15981</v>
      </c>
      <c r="BN149" s="67">
        <v>104.04</v>
      </c>
      <c r="BO149" s="58"/>
      <c r="BP149" s="58"/>
      <c r="BQ149" s="58"/>
      <c r="BR149" s="56" t="s">
        <v>15982</v>
      </c>
      <c r="BS149" s="56" t="s">
        <v>1285</v>
      </c>
      <c r="BT149" s="58"/>
      <c r="BU149" s="58"/>
      <c r="BV149" s="58"/>
      <c r="BW149" s="58"/>
      <c r="BX149" s="67">
        <v>104.04</v>
      </c>
      <c r="BY149" s="58"/>
      <c r="BZ149" s="58"/>
      <c r="CA149" s="58"/>
      <c r="CB149" s="58"/>
      <c r="CC149" s="58"/>
      <c r="CD149" s="58"/>
    </row>
    <row r="150" ht="108" spans="1:82">
      <c r="A150" s="56" t="s">
        <v>16004</v>
      </c>
      <c r="B150" s="58"/>
      <c r="C150" s="57" t="s">
        <v>15977</v>
      </c>
      <c r="D150" s="58"/>
      <c r="E150" s="57" t="s">
        <v>15158</v>
      </c>
      <c r="F150" s="57" t="s">
        <v>15978</v>
      </c>
      <c r="G150" s="57" t="s">
        <v>15160</v>
      </c>
      <c r="H150" s="56" t="s">
        <v>2965</v>
      </c>
      <c r="I150" s="60">
        <v>4705.7</v>
      </c>
      <c r="J150" s="58"/>
      <c r="K150" s="58"/>
      <c r="L150" s="57" t="s">
        <v>14203</v>
      </c>
      <c r="M150" s="61" t="s">
        <v>15774</v>
      </c>
      <c r="N150" s="62" t="s">
        <v>15774</v>
      </c>
      <c r="O150" s="57" t="s">
        <v>15165</v>
      </c>
      <c r="P150" s="57" t="s">
        <v>15166</v>
      </c>
      <c r="Q150" s="57" t="s">
        <v>2965</v>
      </c>
      <c r="R150" s="57" t="s">
        <v>15606</v>
      </c>
      <c r="S150" s="57" t="s">
        <v>15607</v>
      </c>
      <c r="T150" s="57" t="s">
        <v>15190</v>
      </c>
      <c r="U150" s="57" t="s">
        <v>14184</v>
      </c>
      <c r="V150" s="56" t="s">
        <v>14153</v>
      </c>
      <c r="W150" s="58"/>
      <c r="X150" s="57" t="s">
        <v>15979</v>
      </c>
      <c r="Y150" s="58"/>
      <c r="Z150" s="61" t="s">
        <v>15980</v>
      </c>
      <c r="AA150" s="58"/>
      <c r="AB150" s="58"/>
      <c r="AC150" s="58"/>
      <c r="AD150" s="58"/>
      <c r="AE150" s="58"/>
      <c r="AF150" s="58"/>
      <c r="AG150" s="58"/>
      <c r="AH150" s="58"/>
      <c r="AI150" s="58"/>
      <c r="AJ150" s="58"/>
      <c r="AK150" s="58"/>
      <c r="AL150" s="58"/>
      <c r="AM150" s="58"/>
      <c r="AN150" s="58"/>
      <c r="AO150" s="58"/>
      <c r="AP150" s="63">
        <v>45820.6128356481</v>
      </c>
      <c r="AQ150" s="58"/>
      <c r="AR150" s="58"/>
      <c r="AS150" s="57" t="s">
        <v>14184</v>
      </c>
      <c r="AT150" s="56" t="s">
        <v>15177</v>
      </c>
      <c r="AU150" s="58"/>
      <c r="AV150" s="58"/>
      <c r="AW150" s="64">
        <v>45820.6106134259</v>
      </c>
      <c r="AX150" s="58"/>
      <c r="AY150" s="56" t="s">
        <v>15179</v>
      </c>
      <c r="AZ150" s="58"/>
      <c r="BA150" s="58"/>
      <c r="BB150" s="58"/>
      <c r="BC150" s="56" t="s">
        <v>2136</v>
      </c>
      <c r="BD150" s="56" t="s">
        <v>15197</v>
      </c>
      <c r="BE150" s="56" t="s">
        <v>15613</v>
      </c>
      <c r="BF150" s="56" t="s">
        <v>15181</v>
      </c>
      <c r="BG150" s="58"/>
      <c r="BH150" s="58"/>
      <c r="BI150" s="57" t="s">
        <v>2801</v>
      </c>
      <c r="BJ150" s="58"/>
      <c r="BK150" s="58"/>
      <c r="BL150" s="66">
        <v>3566960</v>
      </c>
      <c r="BM150" s="56" t="s">
        <v>15981</v>
      </c>
      <c r="BN150" s="67">
        <v>97.44</v>
      </c>
      <c r="BO150" s="58"/>
      <c r="BP150" s="58"/>
      <c r="BQ150" s="58"/>
      <c r="BR150" s="56" t="s">
        <v>15982</v>
      </c>
      <c r="BS150" s="56" t="s">
        <v>1285</v>
      </c>
      <c r="BT150" s="58"/>
      <c r="BU150" s="58"/>
      <c r="BV150" s="58"/>
      <c r="BW150" s="58"/>
      <c r="BX150" s="67">
        <v>97.44</v>
      </c>
      <c r="BY150" s="58"/>
      <c r="BZ150" s="58"/>
      <c r="CA150" s="58"/>
      <c r="CB150" s="58"/>
      <c r="CC150" s="58"/>
      <c r="CD150" s="58"/>
    </row>
    <row r="151" ht="108" spans="1:82">
      <c r="A151" s="56" t="s">
        <v>16005</v>
      </c>
      <c r="B151" s="58"/>
      <c r="C151" s="57" t="s">
        <v>16006</v>
      </c>
      <c r="D151" s="58"/>
      <c r="E151" s="57" t="s">
        <v>15158</v>
      </c>
      <c r="F151" s="57" t="s">
        <v>16007</v>
      </c>
      <c r="G151" s="57" t="s">
        <v>15160</v>
      </c>
      <c r="H151" s="56" t="s">
        <v>3805</v>
      </c>
      <c r="I151" s="60">
        <v>6780</v>
      </c>
      <c r="J151" s="58"/>
      <c r="K151" s="58"/>
      <c r="L151" s="57" t="s">
        <v>14203</v>
      </c>
      <c r="M151" s="61" t="s">
        <v>15774</v>
      </c>
      <c r="N151" s="62" t="s">
        <v>15774</v>
      </c>
      <c r="O151" s="57" t="s">
        <v>15165</v>
      </c>
      <c r="P151" s="57" t="s">
        <v>15166</v>
      </c>
      <c r="Q151" s="57" t="s">
        <v>3805</v>
      </c>
      <c r="R151" s="57" t="s">
        <v>16008</v>
      </c>
      <c r="S151" s="57" t="s">
        <v>16009</v>
      </c>
      <c r="T151" s="57" t="s">
        <v>15190</v>
      </c>
      <c r="U151" s="57" t="s">
        <v>14184</v>
      </c>
      <c r="V151" s="56" t="s">
        <v>14153</v>
      </c>
      <c r="W151" s="58"/>
      <c r="X151" s="57" t="s">
        <v>16010</v>
      </c>
      <c r="Y151" s="58"/>
      <c r="Z151" s="61" t="s">
        <v>15964</v>
      </c>
      <c r="AA151" s="58"/>
      <c r="AB151" s="58"/>
      <c r="AC151" s="58"/>
      <c r="AD151" s="58"/>
      <c r="AE151" s="58"/>
      <c r="AF151" s="58"/>
      <c r="AG151" s="58"/>
      <c r="AH151" s="58"/>
      <c r="AI151" s="58"/>
      <c r="AJ151" s="58"/>
      <c r="AK151" s="58"/>
      <c r="AL151" s="58"/>
      <c r="AM151" s="58"/>
      <c r="AN151" s="58"/>
      <c r="AO151" s="58"/>
      <c r="AP151" s="63">
        <v>45823.6208796296</v>
      </c>
      <c r="AQ151" s="58"/>
      <c r="AR151" s="58"/>
      <c r="AS151" s="57" t="s">
        <v>14184</v>
      </c>
      <c r="AT151" s="56" t="s">
        <v>15177</v>
      </c>
      <c r="AU151" s="58"/>
      <c r="AV151" s="58"/>
      <c r="AW151" s="64">
        <v>45823.6191550926</v>
      </c>
      <c r="AX151" s="58"/>
      <c r="AY151" s="56" t="s">
        <v>15179</v>
      </c>
      <c r="AZ151" s="58"/>
      <c r="BA151" s="58"/>
      <c r="BB151" s="58"/>
      <c r="BC151" s="56" t="s">
        <v>16011</v>
      </c>
      <c r="BD151" s="56" t="s">
        <v>15197</v>
      </c>
      <c r="BE151" s="58"/>
      <c r="BF151" s="56" t="s">
        <v>15181</v>
      </c>
      <c r="BG151" s="58"/>
      <c r="BH151" s="58"/>
      <c r="BI151" s="57" t="s">
        <v>2801</v>
      </c>
      <c r="BJ151" s="58"/>
      <c r="BK151" s="58"/>
      <c r="BL151" s="66">
        <v>3529027</v>
      </c>
      <c r="BM151" s="56" t="s">
        <v>16012</v>
      </c>
      <c r="BN151" s="67">
        <v>6780</v>
      </c>
      <c r="BO151" s="58"/>
      <c r="BP151" s="58"/>
      <c r="BQ151" s="58"/>
      <c r="BR151" s="56" t="s">
        <v>16013</v>
      </c>
      <c r="BS151" s="56" t="s">
        <v>1285</v>
      </c>
      <c r="BT151" s="58"/>
      <c r="BU151" s="58"/>
      <c r="BV151" s="58"/>
      <c r="BW151" s="58"/>
      <c r="BX151" s="67">
        <v>6780</v>
      </c>
      <c r="BY151" s="58"/>
      <c r="BZ151" s="58"/>
      <c r="CA151" s="58"/>
      <c r="CB151" s="58"/>
      <c r="CC151" s="58"/>
      <c r="CD151" s="58"/>
    </row>
    <row r="152" ht="108" spans="1:82">
      <c r="A152" s="56" t="s">
        <v>16014</v>
      </c>
      <c r="B152" s="58"/>
      <c r="C152" s="57" t="s">
        <v>16015</v>
      </c>
      <c r="D152" s="58"/>
      <c r="E152" s="57" t="s">
        <v>15158</v>
      </c>
      <c r="F152" s="57" t="s">
        <v>16016</v>
      </c>
      <c r="G152" s="57" t="s">
        <v>15160</v>
      </c>
      <c r="H152" s="56" t="s">
        <v>3304</v>
      </c>
      <c r="I152" s="60">
        <v>600</v>
      </c>
      <c r="J152" s="58"/>
      <c r="K152" s="58"/>
      <c r="L152" s="57" t="s">
        <v>14203</v>
      </c>
      <c r="M152" s="61" t="s">
        <v>15774</v>
      </c>
      <c r="N152" s="62" t="s">
        <v>15774</v>
      </c>
      <c r="O152" s="57" t="s">
        <v>15165</v>
      </c>
      <c r="P152" s="57" t="s">
        <v>15166</v>
      </c>
      <c r="Q152" s="57" t="s">
        <v>3304</v>
      </c>
      <c r="R152" s="57" t="s">
        <v>15206</v>
      </c>
      <c r="S152" s="57" t="s">
        <v>15207</v>
      </c>
      <c r="T152" s="57" t="s">
        <v>15190</v>
      </c>
      <c r="U152" s="57" t="s">
        <v>14184</v>
      </c>
      <c r="V152" s="56" t="s">
        <v>14153</v>
      </c>
      <c r="W152" s="58"/>
      <c r="X152" s="57" t="s">
        <v>16017</v>
      </c>
      <c r="Y152" s="58"/>
      <c r="Z152" s="61" t="s">
        <v>15980</v>
      </c>
      <c r="AA152" s="58"/>
      <c r="AB152" s="58"/>
      <c r="AC152" s="58"/>
      <c r="AD152" s="58"/>
      <c r="AE152" s="58"/>
      <c r="AF152" s="58"/>
      <c r="AG152" s="58"/>
      <c r="AH152" s="58"/>
      <c r="AI152" s="58"/>
      <c r="AJ152" s="58"/>
      <c r="AK152" s="58"/>
      <c r="AL152" s="58"/>
      <c r="AM152" s="58"/>
      <c r="AN152" s="58"/>
      <c r="AO152" s="58"/>
      <c r="AP152" s="63">
        <v>45820.5961689815</v>
      </c>
      <c r="AQ152" s="58"/>
      <c r="AR152" s="58"/>
      <c r="AS152" s="57" t="s">
        <v>14184</v>
      </c>
      <c r="AT152" s="56" t="s">
        <v>15177</v>
      </c>
      <c r="AU152" s="58"/>
      <c r="AV152" s="58"/>
      <c r="AW152" s="64">
        <v>45820.5944791667</v>
      </c>
      <c r="AX152" s="58"/>
      <c r="AY152" s="56" t="s">
        <v>15179</v>
      </c>
      <c r="AZ152" s="58"/>
      <c r="BA152" s="58"/>
      <c r="BB152" s="58"/>
      <c r="BC152" s="56" t="s">
        <v>15213</v>
      </c>
      <c r="BD152" s="56" t="s">
        <v>15197</v>
      </c>
      <c r="BE152" s="58"/>
      <c r="BF152" s="56" t="s">
        <v>15181</v>
      </c>
      <c r="BG152" s="58"/>
      <c r="BH152" s="58"/>
      <c r="BI152" s="57" t="s">
        <v>2801</v>
      </c>
      <c r="BJ152" s="58"/>
      <c r="BK152" s="58"/>
      <c r="BL152" s="66">
        <v>3519132</v>
      </c>
      <c r="BM152" s="56" t="s">
        <v>16018</v>
      </c>
      <c r="BN152" s="67">
        <v>600</v>
      </c>
      <c r="BO152" s="58"/>
      <c r="BP152" s="58"/>
      <c r="BQ152" s="58"/>
      <c r="BR152" s="56" t="s">
        <v>16019</v>
      </c>
      <c r="BS152" s="56" t="s">
        <v>1285</v>
      </c>
      <c r="BT152" s="58"/>
      <c r="BU152" s="58"/>
      <c r="BV152" s="58"/>
      <c r="BW152" s="58"/>
      <c r="BX152" s="67">
        <v>600</v>
      </c>
      <c r="BY152" s="58"/>
      <c r="BZ152" s="58"/>
      <c r="CA152" s="58"/>
      <c r="CB152" s="58"/>
      <c r="CC152" s="58"/>
      <c r="CD152" s="58"/>
    </row>
    <row r="153" ht="108" spans="1:82">
      <c r="A153" s="56" t="s">
        <v>16020</v>
      </c>
      <c r="B153" s="58"/>
      <c r="C153" s="57" t="s">
        <v>16021</v>
      </c>
      <c r="D153" s="58"/>
      <c r="E153" s="57" t="s">
        <v>15158</v>
      </c>
      <c r="F153" s="57" t="s">
        <v>16022</v>
      </c>
      <c r="G153" s="57" t="s">
        <v>15160</v>
      </c>
      <c r="H153" s="56" t="s">
        <v>2928</v>
      </c>
      <c r="I153" s="60">
        <v>5680</v>
      </c>
      <c r="J153" s="58"/>
      <c r="K153" s="58"/>
      <c r="L153" s="57" t="s">
        <v>14203</v>
      </c>
      <c r="M153" s="61" t="s">
        <v>15404</v>
      </c>
      <c r="N153" s="62" t="s">
        <v>15404</v>
      </c>
      <c r="O153" s="57" t="s">
        <v>15165</v>
      </c>
      <c r="P153" s="57" t="s">
        <v>15166</v>
      </c>
      <c r="Q153" s="57" t="s">
        <v>2928</v>
      </c>
      <c r="R153" s="57" t="s">
        <v>16023</v>
      </c>
      <c r="S153" s="57" t="s">
        <v>16024</v>
      </c>
      <c r="T153" s="57" t="s">
        <v>15190</v>
      </c>
      <c r="U153" s="57" t="s">
        <v>14184</v>
      </c>
      <c r="V153" s="56" t="s">
        <v>14153</v>
      </c>
      <c r="W153" s="58"/>
      <c r="X153" s="57" t="s">
        <v>16025</v>
      </c>
      <c r="Y153" s="58"/>
      <c r="Z153" s="61" t="s">
        <v>14367</v>
      </c>
      <c r="AA153" s="58"/>
      <c r="AB153" s="58"/>
      <c r="AC153" s="58"/>
      <c r="AD153" s="58"/>
      <c r="AE153" s="58"/>
      <c r="AF153" s="58"/>
      <c r="AG153" s="58"/>
      <c r="AH153" s="58"/>
      <c r="AI153" s="58"/>
      <c r="AJ153" s="58"/>
      <c r="AK153" s="58"/>
      <c r="AL153" s="58"/>
      <c r="AM153" s="58"/>
      <c r="AN153" s="58"/>
      <c r="AO153" s="58"/>
      <c r="AP153" s="63">
        <v>45814.7750231481</v>
      </c>
      <c r="AQ153" s="58"/>
      <c r="AR153" s="58"/>
      <c r="AS153" s="57" t="s">
        <v>14184</v>
      </c>
      <c r="AT153" s="56" t="s">
        <v>15177</v>
      </c>
      <c r="AU153" s="58"/>
      <c r="AV153" s="58"/>
      <c r="AW153" s="64">
        <v>45814.7728703704</v>
      </c>
      <c r="AX153" s="58"/>
      <c r="AY153" s="56" t="s">
        <v>15179</v>
      </c>
      <c r="AZ153" s="58"/>
      <c r="BA153" s="58"/>
      <c r="BB153" s="58"/>
      <c r="BC153" s="56" t="s">
        <v>15965</v>
      </c>
      <c r="BD153" s="56" t="s">
        <v>15197</v>
      </c>
      <c r="BE153" s="58"/>
      <c r="BF153" s="56" t="s">
        <v>15181</v>
      </c>
      <c r="BG153" s="58"/>
      <c r="BH153" s="58"/>
      <c r="BI153" s="57" t="s">
        <v>2801</v>
      </c>
      <c r="BJ153" s="58"/>
      <c r="BK153" s="58"/>
      <c r="BL153" s="66">
        <v>3579258</v>
      </c>
      <c r="BM153" s="56" t="s">
        <v>16026</v>
      </c>
      <c r="BN153" s="67">
        <v>5680</v>
      </c>
      <c r="BO153" s="58"/>
      <c r="BP153" s="58"/>
      <c r="BQ153" s="58"/>
      <c r="BR153" s="56" t="s">
        <v>16027</v>
      </c>
      <c r="BS153" s="56" t="s">
        <v>1285</v>
      </c>
      <c r="BT153" s="58"/>
      <c r="BU153" s="58"/>
      <c r="BV153" s="58"/>
      <c r="BW153" s="58"/>
      <c r="BX153" s="67">
        <v>5680</v>
      </c>
      <c r="BY153" s="58"/>
      <c r="BZ153" s="58"/>
      <c r="CA153" s="58"/>
      <c r="CB153" s="58"/>
      <c r="CC153" s="58"/>
      <c r="CD153" s="58"/>
    </row>
    <row r="154" ht="108" spans="1:82">
      <c r="A154" s="56" t="s">
        <v>16028</v>
      </c>
      <c r="B154" s="58"/>
      <c r="C154" s="57" t="s">
        <v>16029</v>
      </c>
      <c r="D154" s="58"/>
      <c r="E154" s="57" t="s">
        <v>15158</v>
      </c>
      <c r="F154" s="57" t="s">
        <v>16030</v>
      </c>
      <c r="G154" s="57" t="s">
        <v>15160</v>
      </c>
      <c r="H154" s="56" t="s">
        <v>2958</v>
      </c>
      <c r="I154" s="60">
        <v>9674.11</v>
      </c>
      <c r="J154" s="58"/>
      <c r="K154" s="58"/>
      <c r="L154" s="57" t="s">
        <v>14203</v>
      </c>
      <c r="M154" s="61" t="s">
        <v>15404</v>
      </c>
      <c r="N154" s="62" t="s">
        <v>15404</v>
      </c>
      <c r="O154" s="57" t="s">
        <v>15165</v>
      </c>
      <c r="P154" s="57" t="s">
        <v>15166</v>
      </c>
      <c r="Q154" s="57" t="s">
        <v>2958</v>
      </c>
      <c r="R154" s="57" t="s">
        <v>16031</v>
      </c>
      <c r="S154" s="57" t="s">
        <v>16032</v>
      </c>
      <c r="T154" s="57" t="s">
        <v>15190</v>
      </c>
      <c r="U154" s="57" t="s">
        <v>14184</v>
      </c>
      <c r="V154" s="56" t="s">
        <v>14153</v>
      </c>
      <c r="W154" s="58"/>
      <c r="X154" s="57" t="s">
        <v>16033</v>
      </c>
      <c r="Y154" s="58"/>
      <c r="Z154" s="61" t="s">
        <v>15774</v>
      </c>
      <c r="AA154" s="58"/>
      <c r="AB154" s="58"/>
      <c r="AC154" s="58"/>
      <c r="AD154" s="58"/>
      <c r="AE154" s="58"/>
      <c r="AF154" s="58"/>
      <c r="AG154" s="58"/>
      <c r="AH154" s="58"/>
      <c r="AI154" s="58"/>
      <c r="AJ154" s="58"/>
      <c r="AK154" s="58"/>
      <c r="AL154" s="58"/>
      <c r="AM154" s="58"/>
      <c r="AN154" s="58"/>
      <c r="AO154" s="58"/>
      <c r="AP154" s="63">
        <v>45813.4794212963</v>
      </c>
      <c r="AQ154" s="58"/>
      <c r="AR154" s="58"/>
      <c r="AS154" s="57" t="s">
        <v>14184</v>
      </c>
      <c r="AT154" s="56" t="s">
        <v>15177</v>
      </c>
      <c r="AU154" s="58"/>
      <c r="AV154" s="58"/>
      <c r="AW154" s="64">
        <v>45813.4769560185</v>
      </c>
      <c r="AX154" s="58"/>
      <c r="AY154" s="56" t="s">
        <v>15179</v>
      </c>
      <c r="AZ154" s="58"/>
      <c r="BA154" s="58"/>
      <c r="BB154" s="58"/>
      <c r="BC154" s="56" t="s">
        <v>15213</v>
      </c>
      <c r="BD154" s="56" t="s">
        <v>15197</v>
      </c>
      <c r="BE154" s="56" t="s">
        <v>16034</v>
      </c>
      <c r="BF154" s="56" t="s">
        <v>15181</v>
      </c>
      <c r="BG154" s="58"/>
      <c r="BH154" s="58"/>
      <c r="BI154" s="57" t="s">
        <v>2801</v>
      </c>
      <c r="BJ154" s="58"/>
      <c r="BK154" s="58"/>
      <c r="BL154" s="66">
        <v>3580432</v>
      </c>
      <c r="BM154" s="56" t="s">
        <v>16035</v>
      </c>
      <c r="BN154" s="67">
        <v>740</v>
      </c>
      <c r="BO154" s="58"/>
      <c r="BP154" s="58"/>
      <c r="BQ154" s="58"/>
      <c r="BR154" s="56" t="s">
        <v>16036</v>
      </c>
      <c r="BS154" s="56" t="s">
        <v>1285</v>
      </c>
      <c r="BT154" s="58"/>
      <c r="BU154" s="58"/>
      <c r="BV154" s="58"/>
      <c r="BW154" s="58"/>
      <c r="BX154" s="67">
        <v>740</v>
      </c>
      <c r="BY154" s="58"/>
      <c r="BZ154" s="58"/>
      <c r="CA154" s="58"/>
      <c r="CB154" s="58"/>
      <c r="CC154" s="58"/>
      <c r="CD154" s="58"/>
    </row>
    <row r="155" ht="108" spans="1:82">
      <c r="A155" s="56" t="s">
        <v>16037</v>
      </c>
      <c r="B155" s="58"/>
      <c r="C155" s="57" t="s">
        <v>16029</v>
      </c>
      <c r="D155" s="58"/>
      <c r="E155" s="57" t="s">
        <v>15158</v>
      </c>
      <c r="F155" s="57" t="s">
        <v>16030</v>
      </c>
      <c r="G155" s="57" t="s">
        <v>15160</v>
      </c>
      <c r="H155" s="56" t="s">
        <v>2958</v>
      </c>
      <c r="I155" s="60">
        <v>9674.11</v>
      </c>
      <c r="J155" s="58"/>
      <c r="K155" s="58"/>
      <c r="L155" s="57" t="s">
        <v>14203</v>
      </c>
      <c r="M155" s="61" t="s">
        <v>15404</v>
      </c>
      <c r="N155" s="62" t="s">
        <v>15404</v>
      </c>
      <c r="O155" s="57" t="s">
        <v>15165</v>
      </c>
      <c r="P155" s="57" t="s">
        <v>15166</v>
      </c>
      <c r="Q155" s="57" t="s">
        <v>2958</v>
      </c>
      <c r="R155" s="57" t="s">
        <v>16031</v>
      </c>
      <c r="S155" s="57" t="s">
        <v>16032</v>
      </c>
      <c r="T155" s="57" t="s">
        <v>15190</v>
      </c>
      <c r="U155" s="57" t="s">
        <v>14184</v>
      </c>
      <c r="V155" s="56" t="s">
        <v>14153</v>
      </c>
      <c r="W155" s="58"/>
      <c r="X155" s="57" t="s">
        <v>16033</v>
      </c>
      <c r="Y155" s="58"/>
      <c r="Z155" s="61" t="s">
        <v>15774</v>
      </c>
      <c r="AA155" s="58"/>
      <c r="AB155" s="58"/>
      <c r="AC155" s="58"/>
      <c r="AD155" s="58"/>
      <c r="AE155" s="58"/>
      <c r="AF155" s="58"/>
      <c r="AG155" s="58"/>
      <c r="AH155" s="58"/>
      <c r="AI155" s="58"/>
      <c r="AJ155" s="58"/>
      <c r="AK155" s="58"/>
      <c r="AL155" s="58"/>
      <c r="AM155" s="58"/>
      <c r="AN155" s="58"/>
      <c r="AO155" s="58"/>
      <c r="AP155" s="63">
        <v>45813.4794212963</v>
      </c>
      <c r="AQ155" s="58"/>
      <c r="AR155" s="58"/>
      <c r="AS155" s="57" t="s">
        <v>14184</v>
      </c>
      <c r="AT155" s="56" t="s">
        <v>15177</v>
      </c>
      <c r="AU155" s="58"/>
      <c r="AV155" s="58"/>
      <c r="AW155" s="64">
        <v>45813.4769560185</v>
      </c>
      <c r="AX155" s="58"/>
      <c r="AY155" s="56" t="s">
        <v>15179</v>
      </c>
      <c r="AZ155" s="58"/>
      <c r="BA155" s="58"/>
      <c r="BB155" s="58"/>
      <c r="BC155" s="56" t="s">
        <v>15213</v>
      </c>
      <c r="BD155" s="56" t="s">
        <v>15197</v>
      </c>
      <c r="BE155" s="56" t="s">
        <v>16034</v>
      </c>
      <c r="BF155" s="56" t="s">
        <v>15181</v>
      </c>
      <c r="BG155" s="58"/>
      <c r="BH155" s="58"/>
      <c r="BI155" s="57" t="s">
        <v>2801</v>
      </c>
      <c r="BJ155" s="58"/>
      <c r="BK155" s="58"/>
      <c r="BL155" s="66">
        <v>3580433</v>
      </c>
      <c r="BM155" s="56" t="s">
        <v>16035</v>
      </c>
      <c r="BN155" s="67">
        <v>1728</v>
      </c>
      <c r="BO155" s="58"/>
      <c r="BP155" s="58"/>
      <c r="BQ155" s="58"/>
      <c r="BR155" s="56" t="s">
        <v>16036</v>
      </c>
      <c r="BS155" s="56" t="s">
        <v>1285</v>
      </c>
      <c r="BT155" s="58"/>
      <c r="BU155" s="58"/>
      <c r="BV155" s="58"/>
      <c r="BW155" s="58"/>
      <c r="BX155" s="67">
        <v>1728</v>
      </c>
      <c r="BY155" s="58"/>
      <c r="BZ155" s="58"/>
      <c r="CA155" s="58"/>
      <c r="CB155" s="58"/>
      <c r="CC155" s="58"/>
      <c r="CD155" s="58"/>
    </row>
    <row r="156" ht="108" spans="1:82">
      <c r="A156" s="56" t="s">
        <v>16038</v>
      </c>
      <c r="B156" s="58"/>
      <c r="C156" s="57" t="s">
        <v>16029</v>
      </c>
      <c r="D156" s="58"/>
      <c r="E156" s="57" t="s">
        <v>15158</v>
      </c>
      <c r="F156" s="57" t="s">
        <v>16030</v>
      </c>
      <c r="G156" s="57" t="s">
        <v>15160</v>
      </c>
      <c r="H156" s="56" t="s">
        <v>2958</v>
      </c>
      <c r="I156" s="60">
        <v>9674.11</v>
      </c>
      <c r="J156" s="58"/>
      <c r="K156" s="58"/>
      <c r="L156" s="57" t="s">
        <v>14203</v>
      </c>
      <c r="M156" s="61" t="s">
        <v>15404</v>
      </c>
      <c r="N156" s="62" t="s">
        <v>15404</v>
      </c>
      <c r="O156" s="57" t="s">
        <v>15165</v>
      </c>
      <c r="P156" s="57" t="s">
        <v>15166</v>
      </c>
      <c r="Q156" s="57" t="s">
        <v>2958</v>
      </c>
      <c r="R156" s="57" t="s">
        <v>16031</v>
      </c>
      <c r="S156" s="57" t="s">
        <v>16032</v>
      </c>
      <c r="T156" s="57" t="s">
        <v>15190</v>
      </c>
      <c r="U156" s="57" t="s">
        <v>14184</v>
      </c>
      <c r="V156" s="56" t="s">
        <v>14153</v>
      </c>
      <c r="W156" s="58"/>
      <c r="X156" s="57" t="s">
        <v>16033</v>
      </c>
      <c r="Y156" s="58"/>
      <c r="Z156" s="61" t="s">
        <v>15774</v>
      </c>
      <c r="AA156" s="58"/>
      <c r="AB156" s="58"/>
      <c r="AC156" s="58"/>
      <c r="AD156" s="58"/>
      <c r="AE156" s="58"/>
      <c r="AF156" s="58"/>
      <c r="AG156" s="58"/>
      <c r="AH156" s="58"/>
      <c r="AI156" s="58"/>
      <c r="AJ156" s="58"/>
      <c r="AK156" s="58"/>
      <c r="AL156" s="58"/>
      <c r="AM156" s="58"/>
      <c r="AN156" s="58"/>
      <c r="AO156" s="58"/>
      <c r="AP156" s="63">
        <v>45813.4794212963</v>
      </c>
      <c r="AQ156" s="58"/>
      <c r="AR156" s="58"/>
      <c r="AS156" s="57" t="s">
        <v>14184</v>
      </c>
      <c r="AT156" s="56" t="s">
        <v>15177</v>
      </c>
      <c r="AU156" s="58"/>
      <c r="AV156" s="58"/>
      <c r="AW156" s="64">
        <v>45813.4769560185</v>
      </c>
      <c r="AX156" s="58"/>
      <c r="AY156" s="56" t="s">
        <v>15179</v>
      </c>
      <c r="AZ156" s="58"/>
      <c r="BA156" s="58"/>
      <c r="BB156" s="58"/>
      <c r="BC156" s="56" t="s">
        <v>15213</v>
      </c>
      <c r="BD156" s="56" t="s">
        <v>15197</v>
      </c>
      <c r="BE156" s="56" t="s">
        <v>16034</v>
      </c>
      <c r="BF156" s="56" t="s">
        <v>15181</v>
      </c>
      <c r="BG156" s="58"/>
      <c r="BH156" s="58"/>
      <c r="BI156" s="57" t="s">
        <v>2801</v>
      </c>
      <c r="BJ156" s="58"/>
      <c r="BK156" s="58"/>
      <c r="BL156" s="66">
        <v>3580430</v>
      </c>
      <c r="BM156" s="56" t="s">
        <v>16035</v>
      </c>
      <c r="BN156" s="67">
        <v>31.36</v>
      </c>
      <c r="BO156" s="58"/>
      <c r="BP156" s="58"/>
      <c r="BQ156" s="58"/>
      <c r="BR156" s="56" t="s">
        <v>16036</v>
      </c>
      <c r="BS156" s="56" t="s">
        <v>1285</v>
      </c>
      <c r="BT156" s="58"/>
      <c r="BU156" s="58"/>
      <c r="BV156" s="58"/>
      <c r="BW156" s="58"/>
      <c r="BX156" s="67">
        <v>31.36</v>
      </c>
      <c r="BY156" s="58"/>
      <c r="BZ156" s="58"/>
      <c r="CA156" s="58"/>
      <c r="CB156" s="58"/>
      <c r="CC156" s="58"/>
      <c r="CD156" s="58"/>
    </row>
    <row r="157" ht="108" spans="1:82">
      <c r="A157" s="56" t="s">
        <v>16039</v>
      </c>
      <c r="B157" s="58"/>
      <c r="C157" s="57" t="s">
        <v>16029</v>
      </c>
      <c r="D157" s="58"/>
      <c r="E157" s="57" t="s">
        <v>15158</v>
      </c>
      <c r="F157" s="57" t="s">
        <v>16030</v>
      </c>
      <c r="G157" s="57" t="s">
        <v>15160</v>
      </c>
      <c r="H157" s="56" t="s">
        <v>2958</v>
      </c>
      <c r="I157" s="60">
        <v>9674.11</v>
      </c>
      <c r="J157" s="58"/>
      <c r="K157" s="58"/>
      <c r="L157" s="57" t="s">
        <v>14203</v>
      </c>
      <c r="M157" s="61" t="s">
        <v>15404</v>
      </c>
      <c r="N157" s="62" t="s">
        <v>15404</v>
      </c>
      <c r="O157" s="57" t="s">
        <v>15165</v>
      </c>
      <c r="P157" s="57" t="s">
        <v>15166</v>
      </c>
      <c r="Q157" s="57" t="s">
        <v>2958</v>
      </c>
      <c r="R157" s="57" t="s">
        <v>16031</v>
      </c>
      <c r="S157" s="57" t="s">
        <v>16032</v>
      </c>
      <c r="T157" s="57" t="s">
        <v>15190</v>
      </c>
      <c r="U157" s="57" t="s">
        <v>14184</v>
      </c>
      <c r="V157" s="56" t="s">
        <v>14153</v>
      </c>
      <c r="W157" s="58"/>
      <c r="X157" s="57" t="s">
        <v>16033</v>
      </c>
      <c r="Y157" s="58"/>
      <c r="Z157" s="61" t="s">
        <v>15774</v>
      </c>
      <c r="AA157" s="58"/>
      <c r="AB157" s="58"/>
      <c r="AC157" s="58"/>
      <c r="AD157" s="58"/>
      <c r="AE157" s="58"/>
      <c r="AF157" s="58"/>
      <c r="AG157" s="58"/>
      <c r="AH157" s="58"/>
      <c r="AI157" s="58"/>
      <c r="AJ157" s="58"/>
      <c r="AK157" s="58"/>
      <c r="AL157" s="58"/>
      <c r="AM157" s="58"/>
      <c r="AN157" s="58"/>
      <c r="AO157" s="58"/>
      <c r="AP157" s="63">
        <v>45813.4794212963</v>
      </c>
      <c r="AQ157" s="58"/>
      <c r="AR157" s="58"/>
      <c r="AS157" s="57" t="s">
        <v>14184</v>
      </c>
      <c r="AT157" s="56" t="s">
        <v>15177</v>
      </c>
      <c r="AU157" s="58"/>
      <c r="AV157" s="58"/>
      <c r="AW157" s="64">
        <v>45813.4769560185</v>
      </c>
      <c r="AX157" s="58"/>
      <c r="AY157" s="56" t="s">
        <v>15179</v>
      </c>
      <c r="AZ157" s="58"/>
      <c r="BA157" s="58"/>
      <c r="BB157" s="58"/>
      <c r="BC157" s="56" t="s">
        <v>15213</v>
      </c>
      <c r="BD157" s="56" t="s">
        <v>15197</v>
      </c>
      <c r="BE157" s="56" t="s">
        <v>16034</v>
      </c>
      <c r="BF157" s="56" t="s">
        <v>15181</v>
      </c>
      <c r="BG157" s="58"/>
      <c r="BH157" s="58"/>
      <c r="BI157" s="57" t="s">
        <v>2801</v>
      </c>
      <c r="BJ157" s="58"/>
      <c r="BK157" s="58"/>
      <c r="BL157" s="66">
        <v>3580431</v>
      </c>
      <c r="BM157" s="56" t="s">
        <v>16035</v>
      </c>
      <c r="BN157" s="67">
        <v>20.25</v>
      </c>
      <c r="BO157" s="58"/>
      <c r="BP157" s="58"/>
      <c r="BQ157" s="58"/>
      <c r="BR157" s="56" t="s">
        <v>16036</v>
      </c>
      <c r="BS157" s="56" t="s">
        <v>1285</v>
      </c>
      <c r="BT157" s="58"/>
      <c r="BU157" s="58"/>
      <c r="BV157" s="58"/>
      <c r="BW157" s="58"/>
      <c r="BX157" s="67">
        <v>20.25</v>
      </c>
      <c r="BY157" s="58"/>
      <c r="BZ157" s="58"/>
      <c r="CA157" s="58"/>
      <c r="CB157" s="58"/>
      <c r="CC157" s="58"/>
      <c r="CD157" s="58"/>
    </row>
    <row r="158" ht="108" spans="1:82">
      <c r="A158" s="56" t="s">
        <v>16040</v>
      </c>
      <c r="B158" s="58"/>
      <c r="C158" s="57" t="s">
        <v>16029</v>
      </c>
      <c r="D158" s="58"/>
      <c r="E158" s="57" t="s">
        <v>15158</v>
      </c>
      <c r="F158" s="57" t="s">
        <v>16030</v>
      </c>
      <c r="G158" s="57" t="s">
        <v>15160</v>
      </c>
      <c r="H158" s="56" t="s">
        <v>2958</v>
      </c>
      <c r="I158" s="60">
        <v>9674.11</v>
      </c>
      <c r="J158" s="58"/>
      <c r="K158" s="58"/>
      <c r="L158" s="57" t="s">
        <v>14203</v>
      </c>
      <c r="M158" s="61" t="s">
        <v>15404</v>
      </c>
      <c r="N158" s="62" t="s">
        <v>15404</v>
      </c>
      <c r="O158" s="57" t="s">
        <v>15165</v>
      </c>
      <c r="P158" s="57" t="s">
        <v>15166</v>
      </c>
      <c r="Q158" s="57" t="s">
        <v>2958</v>
      </c>
      <c r="R158" s="57" t="s">
        <v>16031</v>
      </c>
      <c r="S158" s="57" t="s">
        <v>16032</v>
      </c>
      <c r="T158" s="57" t="s">
        <v>15190</v>
      </c>
      <c r="U158" s="57" t="s">
        <v>14184</v>
      </c>
      <c r="V158" s="56" t="s">
        <v>14153</v>
      </c>
      <c r="W158" s="58"/>
      <c r="X158" s="57" t="s">
        <v>16033</v>
      </c>
      <c r="Y158" s="58"/>
      <c r="Z158" s="61" t="s">
        <v>15774</v>
      </c>
      <c r="AA158" s="58"/>
      <c r="AB158" s="58"/>
      <c r="AC158" s="58"/>
      <c r="AD158" s="58"/>
      <c r="AE158" s="58"/>
      <c r="AF158" s="58"/>
      <c r="AG158" s="58"/>
      <c r="AH158" s="58"/>
      <c r="AI158" s="58"/>
      <c r="AJ158" s="58"/>
      <c r="AK158" s="58"/>
      <c r="AL158" s="58"/>
      <c r="AM158" s="58"/>
      <c r="AN158" s="58"/>
      <c r="AO158" s="58"/>
      <c r="AP158" s="63">
        <v>45813.4794212963</v>
      </c>
      <c r="AQ158" s="58"/>
      <c r="AR158" s="58"/>
      <c r="AS158" s="57" t="s">
        <v>14184</v>
      </c>
      <c r="AT158" s="56" t="s">
        <v>15177</v>
      </c>
      <c r="AU158" s="58"/>
      <c r="AV158" s="58"/>
      <c r="AW158" s="64">
        <v>45813.4769560185</v>
      </c>
      <c r="AX158" s="58"/>
      <c r="AY158" s="56" t="s">
        <v>15179</v>
      </c>
      <c r="AZ158" s="58"/>
      <c r="BA158" s="58"/>
      <c r="BB158" s="58"/>
      <c r="BC158" s="56" t="s">
        <v>16041</v>
      </c>
      <c r="BD158" s="56" t="s">
        <v>15197</v>
      </c>
      <c r="BE158" s="56" t="s">
        <v>16034</v>
      </c>
      <c r="BF158" s="56" t="s">
        <v>15181</v>
      </c>
      <c r="BG158" s="58"/>
      <c r="BH158" s="58"/>
      <c r="BI158" s="57" t="s">
        <v>2801</v>
      </c>
      <c r="BJ158" s="58"/>
      <c r="BK158" s="58"/>
      <c r="BL158" s="66">
        <v>3580434</v>
      </c>
      <c r="BM158" s="56" t="s">
        <v>16035</v>
      </c>
      <c r="BN158" s="67">
        <v>264.6</v>
      </c>
      <c r="BO158" s="58"/>
      <c r="BP158" s="58"/>
      <c r="BQ158" s="58"/>
      <c r="BR158" s="56" t="s">
        <v>16036</v>
      </c>
      <c r="BS158" s="56" t="s">
        <v>1285</v>
      </c>
      <c r="BT158" s="58"/>
      <c r="BU158" s="58"/>
      <c r="BV158" s="58"/>
      <c r="BW158" s="58"/>
      <c r="BX158" s="67">
        <v>264.6</v>
      </c>
      <c r="BY158" s="58"/>
      <c r="BZ158" s="58"/>
      <c r="CA158" s="58"/>
      <c r="CB158" s="58"/>
      <c r="CC158" s="58"/>
      <c r="CD158" s="58"/>
    </row>
    <row r="159" ht="108" spans="1:82">
      <c r="A159" s="56" t="s">
        <v>16042</v>
      </c>
      <c r="B159" s="58"/>
      <c r="C159" s="57" t="s">
        <v>16029</v>
      </c>
      <c r="D159" s="58"/>
      <c r="E159" s="57" t="s">
        <v>15158</v>
      </c>
      <c r="F159" s="57" t="s">
        <v>16030</v>
      </c>
      <c r="G159" s="57" t="s">
        <v>15160</v>
      </c>
      <c r="H159" s="56" t="s">
        <v>2958</v>
      </c>
      <c r="I159" s="60">
        <v>9674.11</v>
      </c>
      <c r="J159" s="58"/>
      <c r="K159" s="58"/>
      <c r="L159" s="57" t="s">
        <v>14203</v>
      </c>
      <c r="M159" s="61" t="s">
        <v>15404</v>
      </c>
      <c r="N159" s="62" t="s">
        <v>15404</v>
      </c>
      <c r="O159" s="57" t="s">
        <v>15165</v>
      </c>
      <c r="P159" s="57" t="s">
        <v>15166</v>
      </c>
      <c r="Q159" s="57" t="s">
        <v>2958</v>
      </c>
      <c r="R159" s="57" t="s">
        <v>16031</v>
      </c>
      <c r="S159" s="57" t="s">
        <v>16032</v>
      </c>
      <c r="T159" s="57" t="s">
        <v>15190</v>
      </c>
      <c r="U159" s="57" t="s">
        <v>14184</v>
      </c>
      <c r="V159" s="56" t="s">
        <v>14153</v>
      </c>
      <c r="W159" s="58"/>
      <c r="X159" s="57" t="s">
        <v>16033</v>
      </c>
      <c r="Y159" s="58"/>
      <c r="Z159" s="61" t="s">
        <v>15774</v>
      </c>
      <c r="AA159" s="58"/>
      <c r="AB159" s="58"/>
      <c r="AC159" s="58"/>
      <c r="AD159" s="58"/>
      <c r="AE159" s="58"/>
      <c r="AF159" s="58"/>
      <c r="AG159" s="58"/>
      <c r="AH159" s="58"/>
      <c r="AI159" s="58"/>
      <c r="AJ159" s="58"/>
      <c r="AK159" s="58"/>
      <c r="AL159" s="58"/>
      <c r="AM159" s="58"/>
      <c r="AN159" s="58"/>
      <c r="AO159" s="58"/>
      <c r="AP159" s="63">
        <v>45813.4794212963</v>
      </c>
      <c r="AQ159" s="58"/>
      <c r="AR159" s="58"/>
      <c r="AS159" s="57" t="s">
        <v>14184</v>
      </c>
      <c r="AT159" s="56" t="s">
        <v>15177</v>
      </c>
      <c r="AU159" s="58"/>
      <c r="AV159" s="58"/>
      <c r="AW159" s="64">
        <v>45813.4769560185</v>
      </c>
      <c r="AX159" s="58"/>
      <c r="AY159" s="56" t="s">
        <v>15179</v>
      </c>
      <c r="AZ159" s="58"/>
      <c r="BA159" s="58"/>
      <c r="BB159" s="58"/>
      <c r="BC159" s="56" t="s">
        <v>16041</v>
      </c>
      <c r="BD159" s="56" t="s">
        <v>15197</v>
      </c>
      <c r="BE159" s="56" t="s">
        <v>16034</v>
      </c>
      <c r="BF159" s="56" t="s">
        <v>15181</v>
      </c>
      <c r="BG159" s="58"/>
      <c r="BH159" s="58"/>
      <c r="BI159" s="57" t="s">
        <v>2801</v>
      </c>
      <c r="BJ159" s="58"/>
      <c r="BK159" s="58"/>
      <c r="BL159" s="66">
        <v>3580437</v>
      </c>
      <c r="BM159" s="56" t="s">
        <v>16035</v>
      </c>
      <c r="BN159" s="67">
        <v>1488</v>
      </c>
      <c r="BO159" s="58"/>
      <c r="BP159" s="58"/>
      <c r="BQ159" s="58"/>
      <c r="BR159" s="56" t="s">
        <v>16036</v>
      </c>
      <c r="BS159" s="56" t="s">
        <v>1285</v>
      </c>
      <c r="BT159" s="58"/>
      <c r="BU159" s="58"/>
      <c r="BV159" s="58"/>
      <c r="BW159" s="58"/>
      <c r="BX159" s="67">
        <v>1488</v>
      </c>
      <c r="BY159" s="58"/>
      <c r="BZ159" s="58"/>
      <c r="CA159" s="58"/>
      <c r="CB159" s="58"/>
      <c r="CC159" s="58"/>
      <c r="CD159" s="58"/>
    </row>
    <row r="160" ht="108" spans="1:82">
      <c r="A160" s="56" t="s">
        <v>16043</v>
      </c>
      <c r="B160" s="58"/>
      <c r="C160" s="57" t="s">
        <v>16029</v>
      </c>
      <c r="D160" s="58"/>
      <c r="E160" s="57" t="s">
        <v>15158</v>
      </c>
      <c r="F160" s="57" t="s">
        <v>16030</v>
      </c>
      <c r="G160" s="57" t="s">
        <v>15160</v>
      </c>
      <c r="H160" s="56" t="s">
        <v>2958</v>
      </c>
      <c r="I160" s="60">
        <v>9674.11</v>
      </c>
      <c r="J160" s="58"/>
      <c r="K160" s="58"/>
      <c r="L160" s="57" t="s">
        <v>14203</v>
      </c>
      <c r="M160" s="61" t="s">
        <v>15404</v>
      </c>
      <c r="N160" s="62" t="s">
        <v>15404</v>
      </c>
      <c r="O160" s="57" t="s">
        <v>15165</v>
      </c>
      <c r="P160" s="57" t="s">
        <v>15166</v>
      </c>
      <c r="Q160" s="57" t="s">
        <v>2958</v>
      </c>
      <c r="R160" s="57" t="s">
        <v>16031</v>
      </c>
      <c r="S160" s="57" t="s">
        <v>16032</v>
      </c>
      <c r="T160" s="57" t="s">
        <v>15190</v>
      </c>
      <c r="U160" s="57" t="s">
        <v>14184</v>
      </c>
      <c r="V160" s="56" t="s">
        <v>14153</v>
      </c>
      <c r="W160" s="58"/>
      <c r="X160" s="57" t="s">
        <v>16033</v>
      </c>
      <c r="Y160" s="58"/>
      <c r="Z160" s="61" t="s">
        <v>15774</v>
      </c>
      <c r="AA160" s="58"/>
      <c r="AB160" s="58"/>
      <c r="AC160" s="58"/>
      <c r="AD160" s="58"/>
      <c r="AE160" s="58"/>
      <c r="AF160" s="58"/>
      <c r="AG160" s="58"/>
      <c r="AH160" s="58"/>
      <c r="AI160" s="58"/>
      <c r="AJ160" s="58"/>
      <c r="AK160" s="58"/>
      <c r="AL160" s="58"/>
      <c r="AM160" s="58"/>
      <c r="AN160" s="58"/>
      <c r="AO160" s="58"/>
      <c r="AP160" s="63">
        <v>45813.4794212963</v>
      </c>
      <c r="AQ160" s="58"/>
      <c r="AR160" s="58"/>
      <c r="AS160" s="57" t="s">
        <v>14184</v>
      </c>
      <c r="AT160" s="56" t="s">
        <v>15177</v>
      </c>
      <c r="AU160" s="58"/>
      <c r="AV160" s="58"/>
      <c r="AW160" s="64">
        <v>45813.4769560185</v>
      </c>
      <c r="AX160" s="58"/>
      <c r="AY160" s="56" t="s">
        <v>15179</v>
      </c>
      <c r="AZ160" s="58"/>
      <c r="BA160" s="58"/>
      <c r="BB160" s="58"/>
      <c r="BC160" s="56" t="s">
        <v>15213</v>
      </c>
      <c r="BD160" s="56" t="s">
        <v>15197</v>
      </c>
      <c r="BE160" s="56" t="s">
        <v>16034</v>
      </c>
      <c r="BF160" s="56" t="s">
        <v>15181</v>
      </c>
      <c r="BG160" s="58"/>
      <c r="BH160" s="58"/>
      <c r="BI160" s="57" t="s">
        <v>2801</v>
      </c>
      <c r="BJ160" s="58"/>
      <c r="BK160" s="58"/>
      <c r="BL160" s="66">
        <v>3580425</v>
      </c>
      <c r="BM160" s="56" t="s">
        <v>16035</v>
      </c>
      <c r="BN160" s="67">
        <v>18.9</v>
      </c>
      <c r="BO160" s="58"/>
      <c r="BP160" s="58"/>
      <c r="BQ160" s="58"/>
      <c r="BR160" s="56" t="s">
        <v>16036</v>
      </c>
      <c r="BS160" s="56" t="s">
        <v>1285</v>
      </c>
      <c r="BT160" s="58"/>
      <c r="BU160" s="58"/>
      <c r="BV160" s="58"/>
      <c r="BW160" s="58"/>
      <c r="BX160" s="67">
        <v>18.9</v>
      </c>
      <c r="BY160" s="58"/>
      <c r="BZ160" s="58"/>
      <c r="CA160" s="58"/>
      <c r="CB160" s="58"/>
      <c r="CC160" s="58"/>
      <c r="CD160" s="58"/>
    </row>
    <row r="161" ht="108" spans="1:82">
      <c r="A161" s="56" t="s">
        <v>16044</v>
      </c>
      <c r="B161" s="58"/>
      <c r="C161" s="57" t="s">
        <v>16029</v>
      </c>
      <c r="D161" s="58"/>
      <c r="E161" s="57" t="s">
        <v>15158</v>
      </c>
      <c r="F161" s="57" t="s">
        <v>16030</v>
      </c>
      <c r="G161" s="57" t="s">
        <v>15160</v>
      </c>
      <c r="H161" s="56" t="s">
        <v>2958</v>
      </c>
      <c r="I161" s="60">
        <v>9674.11</v>
      </c>
      <c r="J161" s="58"/>
      <c r="K161" s="58"/>
      <c r="L161" s="57" t="s">
        <v>14203</v>
      </c>
      <c r="M161" s="61" t="s">
        <v>15404</v>
      </c>
      <c r="N161" s="62" t="s">
        <v>15404</v>
      </c>
      <c r="O161" s="57" t="s">
        <v>15165</v>
      </c>
      <c r="P161" s="57" t="s">
        <v>15166</v>
      </c>
      <c r="Q161" s="57" t="s">
        <v>2958</v>
      </c>
      <c r="R161" s="57" t="s">
        <v>16031</v>
      </c>
      <c r="S161" s="57" t="s">
        <v>16032</v>
      </c>
      <c r="T161" s="57" t="s">
        <v>15190</v>
      </c>
      <c r="U161" s="57" t="s">
        <v>14184</v>
      </c>
      <c r="V161" s="56" t="s">
        <v>14153</v>
      </c>
      <c r="W161" s="58"/>
      <c r="X161" s="57" t="s">
        <v>16033</v>
      </c>
      <c r="Y161" s="58"/>
      <c r="Z161" s="61" t="s">
        <v>15774</v>
      </c>
      <c r="AA161" s="58"/>
      <c r="AB161" s="58"/>
      <c r="AC161" s="58"/>
      <c r="AD161" s="58"/>
      <c r="AE161" s="58"/>
      <c r="AF161" s="58"/>
      <c r="AG161" s="58"/>
      <c r="AH161" s="58"/>
      <c r="AI161" s="58"/>
      <c r="AJ161" s="58"/>
      <c r="AK161" s="58"/>
      <c r="AL161" s="58"/>
      <c r="AM161" s="58"/>
      <c r="AN161" s="58"/>
      <c r="AO161" s="58"/>
      <c r="AP161" s="63">
        <v>45813.4794212963</v>
      </c>
      <c r="AQ161" s="58"/>
      <c r="AR161" s="58"/>
      <c r="AS161" s="57" t="s">
        <v>14184</v>
      </c>
      <c r="AT161" s="56" t="s">
        <v>15177</v>
      </c>
      <c r="AU161" s="58"/>
      <c r="AV161" s="58"/>
      <c r="AW161" s="64">
        <v>45813.4769560185</v>
      </c>
      <c r="AX161" s="58"/>
      <c r="AY161" s="56" t="s">
        <v>15179</v>
      </c>
      <c r="AZ161" s="58"/>
      <c r="BA161" s="58"/>
      <c r="BB161" s="58"/>
      <c r="BC161" s="56" t="s">
        <v>16041</v>
      </c>
      <c r="BD161" s="56" t="s">
        <v>15197</v>
      </c>
      <c r="BE161" s="56" t="s">
        <v>16034</v>
      </c>
      <c r="BF161" s="56" t="s">
        <v>15181</v>
      </c>
      <c r="BG161" s="58"/>
      <c r="BH161" s="58"/>
      <c r="BI161" s="57" t="s">
        <v>2801</v>
      </c>
      <c r="BJ161" s="58"/>
      <c r="BK161" s="58"/>
      <c r="BL161" s="66">
        <v>3580435</v>
      </c>
      <c r="BM161" s="56" t="s">
        <v>16035</v>
      </c>
      <c r="BN161" s="67">
        <v>1360</v>
      </c>
      <c r="BO161" s="58"/>
      <c r="BP161" s="58"/>
      <c r="BQ161" s="58"/>
      <c r="BR161" s="56" t="s">
        <v>16036</v>
      </c>
      <c r="BS161" s="56" t="s">
        <v>1285</v>
      </c>
      <c r="BT161" s="58"/>
      <c r="BU161" s="58"/>
      <c r="BV161" s="58"/>
      <c r="BW161" s="58"/>
      <c r="BX161" s="67">
        <v>1360</v>
      </c>
      <c r="BY161" s="58"/>
      <c r="BZ161" s="58"/>
      <c r="CA161" s="58"/>
      <c r="CB161" s="58"/>
      <c r="CC161" s="58"/>
      <c r="CD161" s="58"/>
    </row>
    <row r="162" ht="108" spans="1:82">
      <c r="A162" s="56" t="s">
        <v>16045</v>
      </c>
      <c r="B162" s="58"/>
      <c r="C162" s="57" t="s">
        <v>16029</v>
      </c>
      <c r="D162" s="58"/>
      <c r="E162" s="57" t="s">
        <v>15158</v>
      </c>
      <c r="F162" s="57" t="s">
        <v>16030</v>
      </c>
      <c r="G162" s="57" t="s">
        <v>15160</v>
      </c>
      <c r="H162" s="56" t="s">
        <v>2958</v>
      </c>
      <c r="I162" s="60">
        <v>9674.11</v>
      </c>
      <c r="J162" s="58"/>
      <c r="K162" s="58"/>
      <c r="L162" s="57" t="s">
        <v>14203</v>
      </c>
      <c r="M162" s="61" t="s">
        <v>15404</v>
      </c>
      <c r="N162" s="62" t="s">
        <v>15404</v>
      </c>
      <c r="O162" s="57" t="s">
        <v>15165</v>
      </c>
      <c r="P162" s="57" t="s">
        <v>15166</v>
      </c>
      <c r="Q162" s="57" t="s">
        <v>2958</v>
      </c>
      <c r="R162" s="57" t="s">
        <v>16031</v>
      </c>
      <c r="S162" s="57" t="s">
        <v>16032</v>
      </c>
      <c r="T162" s="57" t="s">
        <v>15190</v>
      </c>
      <c r="U162" s="57" t="s">
        <v>14184</v>
      </c>
      <c r="V162" s="56" t="s">
        <v>14153</v>
      </c>
      <c r="W162" s="58"/>
      <c r="X162" s="57" t="s">
        <v>16033</v>
      </c>
      <c r="Y162" s="58"/>
      <c r="Z162" s="61" t="s">
        <v>15774</v>
      </c>
      <c r="AA162" s="58"/>
      <c r="AB162" s="58"/>
      <c r="AC162" s="58"/>
      <c r="AD162" s="58"/>
      <c r="AE162" s="58"/>
      <c r="AF162" s="58"/>
      <c r="AG162" s="58"/>
      <c r="AH162" s="58"/>
      <c r="AI162" s="58"/>
      <c r="AJ162" s="58"/>
      <c r="AK162" s="58"/>
      <c r="AL162" s="58"/>
      <c r="AM162" s="58"/>
      <c r="AN162" s="58"/>
      <c r="AO162" s="58"/>
      <c r="AP162" s="63">
        <v>45813.4794212963</v>
      </c>
      <c r="AQ162" s="58"/>
      <c r="AR162" s="58"/>
      <c r="AS162" s="57" t="s">
        <v>14184</v>
      </c>
      <c r="AT162" s="56" t="s">
        <v>15177</v>
      </c>
      <c r="AU162" s="58"/>
      <c r="AV162" s="58"/>
      <c r="AW162" s="64">
        <v>45813.4769560185</v>
      </c>
      <c r="AX162" s="58"/>
      <c r="AY162" s="56" t="s">
        <v>15179</v>
      </c>
      <c r="AZ162" s="58"/>
      <c r="BA162" s="58"/>
      <c r="BB162" s="58"/>
      <c r="BC162" s="56" t="s">
        <v>16041</v>
      </c>
      <c r="BD162" s="56" t="s">
        <v>15197</v>
      </c>
      <c r="BE162" s="56" t="s">
        <v>16034</v>
      </c>
      <c r="BF162" s="56" t="s">
        <v>15181</v>
      </c>
      <c r="BG162" s="58"/>
      <c r="BH162" s="58"/>
      <c r="BI162" s="57" t="s">
        <v>2801</v>
      </c>
      <c r="BJ162" s="58"/>
      <c r="BK162" s="58"/>
      <c r="BL162" s="66">
        <v>3580436</v>
      </c>
      <c r="BM162" s="56" t="s">
        <v>16035</v>
      </c>
      <c r="BN162" s="67">
        <v>3180</v>
      </c>
      <c r="BO162" s="58"/>
      <c r="BP162" s="58"/>
      <c r="BQ162" s="58"/>
      <c r="BR162" s="56" t="s">
        <v>16036</v>
      </c>
      <c r="BS162" s="56" t="s">
        <v>1285</v>
      </c>
      <c r="BT162" s="58"/>
      <c r="BU162" s="58"/>
      <c r="BV162" s="58"/>
      <c r="BW162" s="58"/>
      <c r="BX162" s="67">
        <v>3180</v>
      </c>
      <c r="BY162" s="58"/>
      <c r="BZ162" s="58"/>
      <c r="CA162" s="58"/>
      <c r="CB162" s="58"/>
      <c r="CC162" s="58"/>
      <c r="CD162" s="58"/>
    </row>
    <row r="163" ht="108" spans="1:82">
      <c r="A163" s="56" t="s">
        <v>16046</v>
      </c>
      <c r="B163" s="58"/>
      <c r="C163" s="57" t="s">
        <v>16029</v>
      </c>
      <c r="D163" s="58"/>
      <c r="E163" s="57" t="s">
        <v>15158</v>
      </c>
      <c r="F163" s="57" t="s">
        <v>16030</v>
      </c>
      <c r="G163" s="57" t="s">
        <v>15160</v>
      </c>
      <c r="H163" s="56" t="s">
        <v>2958</v>
      </c>
      <c r="I163" s="60">
        <v>9674.11</v>
      </c>
      <c r="J163" s="58"/>
      <c r="K163" s="58"/>
      <c r="L163" s="57" t="s">
        <v>14203</v>
      </c>
      <c r="M163" s="61" t="s">
        <v>15404</v>
      </c>
      <c r="N163" s="62" t="s">
        <v>15404</v>
      </c>
      <c r="O163" s="57" t="s">
        <v>15165</v>
      </c>
      <c r="P163" s="57" t="s">
        <v>15166</v>
      </c>
      <c r="Q163" s="57" t="s">
        <v>2958</v>
      </c>
      <c r="R163" s="57" t="s">
        <v>16031</v>
      </c>
      <c r="S163" s="57" t="s">
        <v>16032</v>
      </c>
      <c r="T163" s="57" t="s">
        <v>15190</v>
      </c>
      <c r="U163" s="57" t="s">
        <v>14184</v>
      </c>
      <c r="V163" s="56" t="s">
        <v>14153</v>
      </c>
      <c r="W163" s="58"/>
      <c r="X163" s="57" t="s">
        <v>16033</v>
      </c>
      <c r="Y163" s="58"/>
      <c r="Z163" s="61" t="s">
        <v>15774</v>
      </c>
      <c r="AA163" s="58"/>
      <c r="AB163" s="58"/>
      <c r="AC163" s="58"/>
      <c r="AD163" s="58"/>
      <c r="AE163" s="58"/>
      <c r="AF163" s="58"/>
      <c r="AG163" s="58"/>
      <c r="AH163" s="58"/>
      <c r="AI163" s="58"/>
      <c r="AJ163" s="58"/>
      <c r="AK163" s="58"/>
      <c r="AL163" s="58"/>
      <c r="AM163" s="58"/>
      <c r="AN163" s="58"/>
      <c r="AO163" s="58"/>
      <c r="AP163" s="63">
        <v>45813.4794212963</v>
      </c>
      <c r="AQ163" s="58"/>
      <c r="AR163" s="58"/>
      <c r="AS163" s="57" t="s">
        <v>14184</v>
      </c>
      <c r="AT163" s="56" t="s">
        <v>15177</v>
      </c>
      <c r="AU163" s="58"/>
      <c r="AV163" s="58"/>
      <c r="AW163" s="64">
        <v>45813.4769560185</v>
      </c>
      <c r="AX163" s="58"/>
      <c r="AY163" s="56" t="s">
        <v>15179</v>
      </c>
      <c r="AZ163" s="58"/>
      <c r="BA163" s="58"/>
      <c r="BB163" s="58"/>
      <c r="BC163" s="56" t="s">
        <v>15213</v>
      </c>
      <c r="BD163" s="56" t="s">
        <v>15197</v>
      </c>
      <c r="BE163" s="56" t="s">
        <v>16034</v>
      </c>
      <c r="BF163" s="56" t="s">
        <v>15181</v>
      </c>
      <c r="BG163" s="58"/>
      <c r="BH163" s="58"/>
      <c r="BI163" s="57" t="s">
        <v>2801</v>
      </c>
      <c r="BJ163" s="58"/>
      <c r="BK163" s="58"/>
      <c r="BL163" s="66">
        <v>3580428</v>
      </c>
      <c r="BM163" s="56" t="s">
        <v>16035</v>
      </c>
      <c r="BN163" s="67">
        <v>306</v>
      </c>
      <c r="BO163" s="58"/>
      <c r="BP163" s="58"/>
      <c r="BQ163" s="58"/>
      <c r="BR163" s="56" t="s">
        <v>16036</v>
      </c>
      <c r="BS163" s="56" t="s">
        <v>1285</v>
      </c>
      <c r="BT163" s="58"/>
      <c r="BU163" s="58"/>
      <c r="BV163" s="58"/>
      <c r="BW163" s="58"/>
      <c r="BX163" s="67">
        <v>306</v>
      </c>
      <c r="BY163" s="58"/>
      <c r="BZ163" s="58"/>
      <c r="CA163" s="58"/>
      <c r="CB163" s="58"/>
      <c r="CC163" s="58"/>
      <c r="CD163" s="58"/>
    </row>
    <row r="164" ht="108" spans="1:82">
      <c r="A164" s="56" t="s">
        <v>16047</v>
      </c>
      <c r="B164" s="58"/>
      <c r="C164" s="57" t="s">
        <v>16029</v>
      </c>
      <c r="D164" s="58"/>
      <c r="E164" s="57" t="s">
        <v>15158</v>
      </c>
      <c r="F164" s="57" t="s">
        <v>16030</v>
      </c>
      <c r="G164" s="57" t="s">
        <v>15160</v>
      </c>
      <c r="H164" s="56" t="s">
        <v>2958</v>
      </c>
      <c r="I164" s="60">
        <v>9674.11</v>
      </c>
      <c r="J164" s="58"/>
      <c r="K164" s="58"/>
      <c r="L164" s="57" t="s">
        <v>14203</v>
      </c>
      <c r="M164" s="61" t="s">
        <v>15404</v>
      </c>
      <c r="N164" s="62" t="s">
        <v>15404</v>
      </c>
      <c r="O164" s="57" t="s">
        <v>15165</v>
      </c>
      <c r="P164" s="57" t="s">
        <v>15166</v>
      </c>
      <c r="Q164" s="57" t="s">
        <v>2958</v>
      </c>
      <c r="R164" s="57" t="s">
        <v>16031</v>
      </c>
      <c r="S164" s="57" t="s">
        <v>16032</v>
      </c>
      <c r="T164" s="57" t="s">
        <v>15190</v>
      </c>
      <c r="U164" s="57" t="s">
        <v>14184</v>
      </c>
      <c r="V164" s="56" t="s">
        <v>14153</v>
      </c>
      <c r="W164" s="58"/>
      <c r="X164" s="57" t="s">
        <v>16033</v>
      </c>
      <c r="Y164" s="58"/>
      <c r="Z164" s="61" t="s">
        <v>15774</v>
      </c>
      <c r="AA164" s="58"/>
      <c r="AB164" s="58"/>
      <c r="AC164" s="58"/>
      <c r="AD164" s="58"/>
      <c r="AE164" s="58"/>
      <c r="AF164" s="58"/>
      <c r="AG164" s="58"/>
      <c r="AH164" s="58"/>
      <c r="AI164" s="58"/>
      <c r="AJ164" s="58"/>
      <c r="AK164" s="58"/>
      <c r="AL164" s="58"/>
      <c r="AM164" s="58"/>
      <c r="AN164" s="58"/>
      <c r="AO164" s="58"/>
      <c r="AP164" s="63">
        <v>45813.4794212963</v>
      </c>
      <c r="AQ164" s="58"/>
      <c r="AR164" s="58"/>
      <c r="AS164" s="57" t="s">
        <v>14184</v>
      </c>
      <c r="AT164" s="56" t="s">
        <v>15177</v>
      </c>
      <c r="AU164" s="58"/>
      <c r="AV164" s="58"/>
      <c r="AW164" s="64">
        <v>45813.4769560185</v>
      </c>
      <c r="AX164" s="58"/>
      <c r="AY164" s="56" t="s">
        <v>15179</v>
      </c>
      <c r="AZ164" s="58"/>
      <c r="BA164" s="58"/>
      <c r="BB164" s="58"/>
      <c r="BC164" s="56" t="s">
        <v>15213</v>
      </c>
      <c r="BD164" s="56" t="s">
        <v>15197</v>
      </c>
      <c r="BE164" s="56" t="s">
        <v>16034</v>
      </c>
      <c r="BF164" s="56" t="s">
        <v>15181</v>
      </c>
      <c r="BG164" s="58"/>
      <c r="BH164" s="58"/>
      <c r="BI164" s="57" t="s">
        <v>2801</v>
      </c>
      <c r="BJ164" s="58"/>
      <c r="BK164" s="58"/>
      <c r="BL164" s="66">
        <v>3580429</v>
      </c>
      <c r="BM164" s="56" t="s">
        <v>16035</v>
      </c>
      <c r="BN164" s="67">
        <v>53</v>
      </c>
      <c r="BO164" s="58"/>
      <c r="BP164" s="58"/>
      <c r="BQ164" s="58"/>
      <c r="BR164" s="56" t="s">
        <v>16036</v>
      </c>
      <c r="BS164" s="56" t="s">
        <v>1285</v>
      </c>
      <c r="BT164" s="58"/>
      <c r="BU164" s="58"/>
      <c r="BV164" s="58"/>
      <c r="BW164" s="58"/>
      <c r="BX164" s="67">
        <v>53</v>
      </c>
      <c r="BY164" s="58"/>
      <c r="BZ164" s="58"/>
      <c r="CA164" s="58"/>
      <c r="CB164" s="58"/>
      <c r="CC164" s="58"/>
      <c r="CD164" s="58"/>
    </row>
    <row r="165" ht="108" spans="1:82">
      <c r="A165" s="56" t="s">
        <v>16048</v>
      </c>
      <c r="B165" s="58"/>
      <c r="C165" s="57" t="s">
        <v>16029</v>
      </c>
      <c r="D165" s="58"/>
      <c r="E165" s="57" t="s">
        <v>15158</v>
      </c>
      <c r="F165" s="57" t="s">
        <v>16030</v>
      </c>
      <c r="G165" s="57" t="s">
        <v>15160</v>
      </c>
      <c r="H165" s="56" t="s">
        <v>2958</v>
      </c>
      <c r="I165" s="60">
        <v>9674.11</v>
      </c>
      <c r="J165" s="58"/>
      <c r="K165" s="58"/>
      <c r="L165" s="57" t="s">
        <v>14203</v>
      </c>
      <c r="M165" s="61" t="s">
        <v>15404</v>
      </c>
      <c r="N165" s="62" t="s">
        <v>15404</v>
      </c>
      <c r="O165" s="57" t="s">
        <v>15165</v>
      </c>
      <c r="P165" s="57" t="s">
        <v>15166</v>
      </c>
      <c r="Q165" s="57" t="s">
        <v>2958</v>
      </c>
      <c r="R165" s="57" t="s">
        <v>16031</v>
      </c>
      <c r="S165" s="57" t="s">
        <v>16032</v>
      </c>
      <c r="T165" s="57" t="s">
        <v>15190</v>
      </c>
      <c r="U165" s="57" t="s">
        <v>14184</v>
      </c>
      <c r="V165" s="56" t="s">
        <v>14153</v>
      </c>
      <c r="W165" s="58"/>
      <c r="X165" s="57" t="s">
        <v>16033</v>
      </c>
      <c r="Y165" s="58"/>
      <c r="Z165" s="61" t="s">
        <v>15774</v>
      </c>
      <c r="AA165" s="58"/>
      <c r="AB165" s="58"/>
      <c r="AC165" s="58"/>
      <c r="AD165" s="58"/>
      <c r="AE165" s="58"/>
      <c r="AF165" s="58"/>
      <c r="AG165" s="58"/>
      <c r="AH165" s="58"/>
      <c r="AI165" s="58"/>
      <c r="AJ165" s="58"/>
      <c r="AK165" s="58"/>
      <c r="AL165" s="58"/>
      <c r="AM165" s="58"/>
      <c r="AN165" s="58"/>
      <c r="AO165" s="58"/>
      <c r="AP165" s="63">
        <v>45813.4794212963</v>
      </c>
      <c r="AQ165" s="58"/>
      <c r="AR165" s="58"/>
      <c r="AS165" s="57" t="s">
        <v>14184</v>
      </c>
      <c r="AT165" s="56" t="s">
        <v>15177</v>
      </c>
      <c r="AU165" s="58"/>
      <c r="AV165" s="58"/>
      <c r="AW165" s="64">
        <v>45813.4769560185</v>
      </c>
      <c r="AX165" s="58"/>
      <c r="AY165" s="56" t="s">
        <v>15179</v>
      </c>
      <c r="AZ165" s="58"/>
      <c r="BA165" s="58"/>
      <c r="BB165" s="58"/>
      <c r="BC165" s="56" t="s">
        <v>15213</v>
      </c>
      <c r="BD165" s="56" t="s">
        <v>15197</v>
      </c>
      <c r="BE165" s="56" t="s">
        <v>16034</v>
      </c>
      <c r="BF165" s="56" t="s">
        <v>15181</v>
      </c>
      <c r="BG165" s="58"/>
      <c r="BH165" s="58"/>
      <c r="BI165" s="57" t="s">
        <v>2801</v>
      </c>
      <c r="BJ165" s="58"/>
      <c r="BK165" s="58"/>
      <c r="BL165" s="66">
        <v>3580426</v>
      </c>
      <c r="BM165" s="56" t="s">
        <v>16035</v>
      </c>
      <c r="BN165" s="67">
        <v>466</v>
      </c>
      <c r="BO165" s="58"/>
      <c r="BP165" s="58"/>
      <c r="BQ165" s="58"/>
      <c r="BR165" s="56" t="s">
        <v>16036</v>
      </c>
      <c r="BS165" s="56" t="s">
        <v>1285</v>
      </c>
      <c r="BT165" s="58"/>
      <c r="BU165" s="58"/>
      <c r="BV165" s="58"/>
      <c r="BW165" s="58"/>
      <c r="BX165" s="67">
        <v>466</v>
      </c>
      <c r="BY165" s="58"/>
      <c r="BZ165" s="58"/>
      <c r="CA165" s="58"/>
      <c r="CB165" s="58"/>
      <c r="CC165" s="58"/>
      <c r="CD165" s="58"/>
    </row>
    <row r="166" ht="108" spans="1:82">
      <c r="A166" s="56" t="s">
        <v>16049</v>
      </c>
      <c r="B166" s="58"/>
      <c r="C166" s="57" t="s">
        <v>16029</v>
      </c>
      <c r="D166" s="58"/>
      <c r="E166" s="57" t="s">
        <v>15158</v>
      </c>
      <c r="F166" s="57" t="s">
        <v>16030</v>
      </c>
      <c r="G166" s="57" t="s">
        <v>15160</v>
      </c>
      <c r="H166" s="56" t="s">
        <v>2958</v>
      </c>
      <c r="I166" s="60">
        <v>9674.11</v>
      </c>
      <c r="J166" s="58"/>
      <c r="K166" s="58"/>
      <c r="L166" s="57" t="s">
        <v>14203</v>
      </c>
      <c r="M166" s="61" t="s">
        <v>15404</v>
      </c>
      <c r="N166" s="62" t="s">
        <v>15404</v>
      </c>
      <c r="O166" s="57" t="s">
        <v>15165</v>
      </c>
      <c r="P166" s="57" t="s">
        <v>15166</v>
      </c>
      <c r="Q166" s="57" t="s">
        <v>2958</v>
      </c>
      <c r="R166" s="57" t="s">
        <v>16031</v>
      </c>
      <c r="S166" s="57" t="s">
        <v>16032</v>
      </c>
      <c r="T166" s="57" t="s">
        <v>15190</v>
      </c>
      <c r="U166" s="57" t="s">
        <v>14184</v>
      </c>
      <c r="V166" s="56" t="s">
        <v>14153</v>
      </c>
      <c r="W166" s="58"/>
      <c r="X166" s="57" t="s">
        <v>16033</v>
      </c>
      <c r="Y166" s="58"/>
      <c r="Z166" s="61" t="s">
        <v>15774</v>
      </c>
      <c r="AA166" s="58"/>
      <c r="AB166" s="58"/>
      <c r="AC166" s="58"/>
      <c r="AD166" s="58"/>
      <c r="AE166" s="58"/>
      <c r="AF166" s="58"/>
      <c r="AG166" s="58"/>
      <c r="AH166" s="58"/>
      <c r="AI166" s="58"/>
      <c r="AJ166" s="58"/>
      <c r="AK166" s="58"/>
      <c r="AL166" s="58"/>
      <c r="AM166" s="58"/>
      <c r="AN166" s="58"/>
      <c r="AO166" s="58"/>
      <c r="AP166" s="63">
        <v>45813.4794212963</v>
      </c>
      <c r="AQ166" s="58"/>
      <c r="AR166" s="58"/>
      <c r="AS166" s="57" t="s">
        <v>14184</v>
      </c>
      <c r="AT166" s="56" t="s">
        <v>15177</v>
      </c>
      <c r="AU166" s="58"/>
      <c r="AV166" s="58"/>
      <c r="AW166" s="64">
        <v>45813.4769560185</v>
      </c>
      <c r="AX166" s="58"/>
      <c r="AY166" s="56" t="s">
        <v>15179</v>
      </c>
      <c r="AZ166" s="58"/>
      <c r="BA166" s="58"/>
      <c r="BB166" s="58"/>
      <c r="BC166" s="56" t="s">
        <v>15213</v>
      </c>
      <c r="BD166" s="56" t="s">
        <v>15197</v>
      </c>
      <c r="BE166" s="56" t="s">
        <v>16034</v>
      </c>
      <c r="BF166" s="56" t="s">
        <v>15181</v>
      </c>
      <c r="BG166" s="58"/>
      <c r="BH166" s="58"/>
      <c r="BI166" s="57" t="s">
        <v>2801</v>
      </c>
      <c r="BJ166" s="58"/>
      <c r="BK166" s="58"/>
      <c r="BL166" s="66">
        <v>3580427</v>
      </c>
      <c r="BM166" s="56" t="s">
        <v>16035</v>
      </c>
      <c r="BN166" s="67">
        <v>18</v>
      </c>
      <c r="BO166" s="58"/>
      <c r="BP166" s="58"/>
      <c r="BQ166" s="58"/>
      <c r="BR166" s="56" t="s">
        <v>16036</v>
      </c>
      <c r="BS166" s="56" t="s">
        <v>1285</v>
      </c>
      <c r="BT166" s="58"/>
      <c r="BU166" s="58"/>
      <c r="BV166" s="58"/>
      <c r="BW166" s="58"/>
      <c r="BX166" s="67">
        <v>18</v>
      </c>
      <c r="BY166" s="58"/>
      <c r="BZ166" s="58"/>
      <c r="CA166" s="58"/>
      <c r="CB166" s="58"/>
      <c r="CC166" s="58"/>
      <c r="CD166" s="58"/>
    </row>
    <row r="167" ht="108" spans="1:82">
      <c r="A167" s="56" t="s">
        <v>16050</v>
      </c>
      <c r="B167" s="58"/>
      <c r="C167" s="57" t="s">
        <v>16051</v>
      </c>
      <c r="D167" s="58"/>
      <c r="E167" s="57" t="s">
        <v>15158</v>
      </c>
      <c r="F167" s="57" t="s">
        <v>16052</v>
      </c>
      <c r="G167" s="57" t="s">
        <v>15160</v>
      </c>
      <c r="H167" s="56" t="s">
        <v>2932</v>
      </c>
      <c r="I167" s="60">
        <v>34494.2</v>
      </c>
      <c r="J167" s="58"/>
      <c r="K167" s="58"/>
      <c r="L167" s="57" t="s">
        <v>14203</v>
      </c>
      <c r="M167" s="61" t="s">
        <v>15404</v>
      </c>
      <c r="N167" s="62" t="s">
        <v>15404</v>
      </c>
      <c r="O167" s="57" t="s">
        <v>15165</v>
      </c>
      <c r="P167" s="57" t="s">
        <v>15166</v>
      </c>
      <c r="Q167" s="57" t="s">
        <v>2932</v>
      </c>
      <c r="R167" s="57" t="s">
        <v>16053</v>
      </c>
      <c r="S167" s="57" t="s">
        <v>16054</v>
      </c>
      <c r="T167" s="57" t="s">
        <v>15190</v>
      </c>
      <c r="U167" s="57" t="s">
        <v>14184</v>
      </c>
      <c r="V167" s="56" t="s">
        <v>14153</v>
      </c>
      <c r="W167" s="58"/>
      <c r="X167" s="57" t="s">
        <v>16055</v>
      </c>
      <c r="Y167" s="58"/>
      <c r="Z167" s="61" t="s">
        <v>16056</v>
      </c>
      <c r="AA167" s="58"/>
      <c r="AB167" s="58"/>
      <c r="AC167" s="58"/>
      <c r="AD167" s="58"/>
      <c r="AE167" s="58"/>
      <c r="AF167" s="58"/>
      <c r="AG167" s="58"/>
      <c r="AH167" s="58"/>
      <c r="AI167" s="58"/>
      <c r="AJ167" s="58"/>
      <c r="AK167" s="58"/>
      <c r="AL167" s="58"/>
      <c r="AM167" s="58"/>
      <c r="AN167" s="58"/>
      <c r="AO167" s="58"/>
      <c r="AP167" s="63">
        <v>45812.4682175926</v>
      </c>
      <c r="AQ167" s="58"/>
      <c r="AR167" s="58"/>
      <c r="AS167" s="57" t="s">
        <v>14184</v>
      </c>
      <c r="AT167" s="56" t="s">
        <v>15177</v>
      </c>
      <c r="AU167" s="58"/>
      <c r="AV167" s="58"/>
      <c r="AW167" s="64">
        <v>45812.4659837963</v>
      </c>
      <c r="AX167" s="58"/>
      <c r="AY167" s="56" t="s">
        <v>15179</v>
      </c>
      <c r="AZ167" s="58"/>
      <c r="BA167" s="58"/>
      <c r="BB167" s="58"/>
      <c r="BC167" s="56" t="s">
        <v>15965</v>
      </c>
      <c r="BD167" s="56" t="s">
        <v>15197</v>
      </c>
      <c r="BE167" s="58"/>
      <c r="BF167" s="56" t="s">
        <v>15181</v>
      </c>
      <c r="BG167" s="58"/>
      <c r="BH167" s="58"/>
      <c r="BI167" s="57" t="s">
        <v>2801</v>
      </c>
      <c r="BJ167" s="58"/>
      <c r="BK167" s="58"/>
      <c r="BL167" s="66">
        <v>3579257</v>
      </c>
      <c r="BM167" s="56" t="s">
        <v>16057</v>
      </c>
      <c r="BN167" s="67">
        <v>34494.2</v>
      </c>
      <c r="BO167" s="58"/>
      <c r="BP167" s="58"/>
      <c r="BQ167" s="58"/>
      <c r="BR167" s="56" t="s">
        <v>16058</v>
      </c>
      <c r="BS167" s="56" t="s">
        <v>1285</v>
      </c>
      <c r="BT167" s="58"/>
      <c r="BU167" s="58"/>
      <c r="BV167" s="58"/>
      <c r="BW167" s="58"/>
      <c r="BX167" s="67">
        <v>34494.2</v>
      </c>
      <c r="BY167" s="58"/>
      <c r="BZ167" s="58"/>
      <c r="CA167" s="58"/>
      <c r="CB167" s="58"/>
      <c r="CC167" s="58"/>
      <c r="CD167" s="58"/>
    </row>
    <row r="168" ht="108" spans="1:82">
      <c r="A168" s="56" t="s">
        <v>16059</v>
      </c>
      <c r="B168" s="58"/>
      <c r="C168" s="57" t="s">
        <v>16060</v>
      </c>
      <c r="D168" s="58"/>
      <c r="E168" s="57" t="s">
        <v>15158</v>
      </c>
      <c r="F168" s="57" t="s">
        <v>16061</v>
      </c>
      <c r="G168" s="57" t="s">
        <v>15160</v>
      </c>
      <c r="H168" s="56" t="s">
        <v>2999</v>
      </c>
      <c r="I168" s="60">
        <v>1190</v>
      </c>
      <c r="J168" s="58"/>
      <c r="K168" s="58"/>
      <c r="L168" s="57" t="s">
        <v>14203</v>
      </c>
      <c r="M168" s="61" t="s">
        <v>15404</v>
      </c>
      <c r="N168" s="62" t="s">
        <v>15404</v>
      </c>
      <c r="O168" s="57" t="s">
        <v>15165</v>
      </c>
      <c r="P168" s="57" t="s">
        <v>15166</v>
      </c>
      <c r="Q168" s="57" t="s">
        <v>2999</v>
      </c>
      <c r="R168" s="57" t="s">
        <v>15219</v>
      </c>
      <c r="S168" s="57" t="s">
        <v>15220</v>
      </c>
      <c r="T168" s="57" t="s">
        <v>15190</v>
      </c>
      <c r="U168" s="57" t="s">
        <v>14184</v>
      </c>
      <c r="V168" s="56" t="s">
        <v>14153</v>
      </c>
      <c r="W168" s="58"/>
      <c r="X168" s="57" t="s">
        <v>16062</v>
      </c>
      <c r="Y168" s="58"/>
      <c r="Z168" s="61" t="s">
        <v>16056</v>
      </c>
      <c r="AA168" s="58"/>
      <c r="AB168" s="58"/>
      <c r="AC168" s="58"/>
      <c r="AD168" s="58"/>
      <c r="AE168" s="58"/>
      <c r="AF168" s="58"/>
      <c r="AG168" s="58"/>
      <c r="AH168" s="58"/>
      <c r="AI168" s="58"/>
      <c r="AJ168" s="58"/>
      <c r="AK168" s="58"/>
      <c r="AL168" s="58"/>
      <c r="AM168" s="58"/>
      <c r="AN168" s="58"/>
      <c r="AO168" s="58"/>
      <c r="AP168" s="63">
        <v>45812.4585185185</v>
      </c>
      <c r="AQ168" s="58"/>
      <c r="AR168" s="58"/>
      <c r="AS168" s="57" t="s">
        <v>14184</v>
      </c>
      <c r="AT168" s="56" t="s">
        <v>15177</v>
      </c>
      <c r="AU168" s="58"/>
      <c r="AV168" s="58"/>
      <c r="AW168" s="64">
        <v>45812.4568518518</v>
      </c>
      <c r="AX168" s="58"/>
      <c r="AY168" s="56" t="s">
        <v>15179</v>
      </c>
      <c r="AZ168" s="58"/>
      <c r="BA168" s="58"/>
      <c r="BB168" s="58"/>
      <c r="BC168" s="56" t="s">
        <v>2131</v>
      </c>
      <c r="BD168" s="56" t="s">
        <v>15197</v>
      </c>
      <c r="BE168" s="56" t="s">
        <v>15690</v>
      </c>
      <c r="BF168" s="56" t="s">
        <v>15181</v>
      </c>
      <c r="BG168" s="58"/>
      <c r="BH168" s="58"/>
      <c r="BI168" s="57" t="s">
        <v>2801</v>
      </c>
      <c r="BJ168" s="58"/>
      <c r="BK168" s="58"/>
      <c r="BL168" s="66">
        <v>3580424</v>
      </c>
      <c r="BM168" s="56" t="s">
        <v>16063</v>
      </c>
      <c r="BN168" s="67">
        <v>1190</v>
      </c>
      <c r="BO168" s="58"/>
      <c r="BP168" s="58"/>
      <c r="BQ168" s="58"/>
      <c r="BR168" s="56" t="s">
        <v>16064</v>
      </c>
      <c r="BS168" s="56" t="s">
        <v>1285</v>
      </c>
      <c r="BT168" s="58"/>
      <c r="BU168" s="58"/>
      <c r="BV168" s="58"/>
      <c r="BW168" s="58"/>
      <c r="BX168" s="67">
        <v>1190</v>
      </c>
      <c r="BY168" s="58"/>
      <c r="BZ168" s="58"/>
      <c r="CA168" s="58"/>
      <c r="CB168" s="58"/>
      <c r="CC168" s="58"/>
      <c r="CD168" s="58"/>
    </row>
    <row r="169" ht="108" spans="1:82">
      <c r="A169" s="56" t="s">
        <v>16065</v>
      </c>
      <c r="B169" s="58"/>
      <c r="C169" s="57" t="s">
        <v>16066</v>
      </c>
      <c r="D169" s="58"/>
      <c r="E169" s="57" t="s">
        <v>15158</v>
      </c>
      <c r="F169" s="57" t="s">
        <v>16067</v>
      </c>
      <c r="G169" s="57" t="s">
        <v>15160</v>
      </c>
      <c r="H169" s="56" t="s">
        <v>3025</v>
      </c>
      <c r="I169" s="60">
        <v>975.78</v>
      </c>
      <c r="J169" s="58"/>
      <c r="K169" s="58"/>
      <c r="L169" s="57" t="s">
        <v>14203</v>
      </c>
      <c r="M169" s="61" t="s">
        <v>15404</v>
      </c>
      <c r="N169" s="62" t="s">
        <v>15404</v>
      </c>
      <c r="O169" s="57" t="s">
        <v>15165</v>
      </c>
      <c r="P169" s="57" t="s">
        <v>15166</v>
      </c>
      <c r="Q169" s="57" t="s">
        <v>3025</v>
      </c>
      <c r="R169" s="57" t="s">
        <v>16068</v>
      </c>
      <c r="S169" s="57" t="s">
        <v>16069</v>
      </c>
      <c r="T169" s="57" t="s">
        <v>15190</v>
      </c>
      <c r="U169" s="57" t="s">
        <v>14184</v>
      </c>
      <c r="V169" s="56" t="s">
        <v>14153</v>
      </c>
      <c r="W169" s="58"/>
      <c r="X169" s="57" t="s">
        <v>16070</v>
      </c>
      <c r="Y169" s="58"/>
      <c r="Z169" s="61" t="s">
        <v>16056</v>
      </c>
      <c r="AA169" s="58"/>
      <c r="AB169" s="58"/>
      <c r="AC169" s="58"/>
      <c r="AD169" s="58"/>
      <c r="AE169" s="58"/>
      <c r="AF169" s="58"/>
      <c r="AG169" s="58"/>
      <c r="AH169" s="58"/>
      <c r="AI169" s="58"/>
      <c r="AJ169" s="58"/>
      <c r="AK169" s="58"/>
      <c r="AL169" s="58"/>
      <c r="AM169" s="58"/>
      <c r="AN169" s="58"/>
      <c r="AO169" s="58"/>
      <c r="AP169" s="63">
        <v>45812.4598958333</v>
      </c>
      <c r="AQ169" s="58"/>
      <c r="AR169" s="58"/>
      <c r="AS169" s="57" t="s">
        <v>14184</v>
      </c>
      <c r="AT169" s="56" t="s">
        <v>15177</v>
      </c>
      <c r="AU169" s="58"/>
      <c r="AV169" s="58"/>
      <c r="AW169" s="64">
        <v>45812.457337963</v>
      </c>
      <c r="AX169" s="58"/>
      <c r="AY169" s="56" t="s">
        <v>15179</v>
      </c>
      <c r="AZ169" s="58"/>
      <c r="BA169" s="58"/>
      <c r="BB169" s="58"/>
      <c r="BC169" s="56" t="s">
        <v>1697</v>
      </c>
      <c r="BD169" s="56" t="s">
        <v>15197</v>
      </c>
      <c r="BE169" s="56" t="s">
        <v>16071</v>
      </c>
      <c r="BF169" s="56" t="s">
        <v>15181</v>
      </c>
      <c r="BG169" s="58"/>
      <c r="BH169" s="58"/>
      <c r="BI169" s="57" t="s">
        <v>2801</v>
      </c>
      <c r="BJ169" s="58"/>
      <c r="BK169" s="58"/>
      <c r="BL169" s="66">
        <v>3571975</v>
      </c>
      <c r="BM169" s="56" t="s">
        <v>16072</v>
      </c>
      <c r="BN169" s="67">
        <v>127.44</v>
      </c>
      <c r="BO169" s="58"/>
      <c r="BP169" s="58"/>
      <c r="BQ169" s="58"/>
      <c r="BR169" s="56" t="s">
        <v>16073</v>
      </c>
      <c r="BS169" s="56" t="s">
        <v>1285</v>
      </c>
      <c r="BT169" s="58"/>
      <c r="BU169" s="58"/>
      <c r="BV169" s="58"/>
      <c r="BW169" s="58"/>
      <c r="BX169" s="67">
        <v>127.44</v>
      </c>
      <c r="BY169" s="58"/>
      <c r="BZ169" s="58"/>
      <c r="CA169" s="58"/>
      <c r="CB169" s="58"/>
      <c r="CC169" s="58"/>
      <c r="CD169" s="58"/>
    </row>
    <row r="170" ht="108" spans="1:82">
      <c r="A170" s="56" t="s">
        <v>16074</v>
      </c>
      <c r="B170" s="58"/>
      <c r="C170" s="57" t="s">
        <v>16066</v>
      </c>
      <c r="D170" s="58"/>
      <c r="E170" s="57" t="s">
        <v>15158</v>
      </c>
      <c r="F170" s="57" t="s">
        <v>16067</v>
      </c>
      <c r="G170" s="57" t="s">
        <v>15160</v>
      </c>
      <c r="H170" s="56" t="s">
        <v>3025</v>
      </c>
      <c r="I170" s="60">
        <v>975.78</v>
      </c>
      <c r="J170" s="58"/>
      <c r="K170" s="58"/>
      <c r="L170" s="57" t="s">
        <v>14203</v>
      </c>
      <c r="M170" s="61" t="s">
        <v>15404</v>
      </c>
      <c r="N170" s="62" t="s">
        <v>15404</v>
      </c>
      <c r="O170" s="57" t="s">
        <v>15165</v>
      </c>
      <c r="P170" s="57" t="s">
        <v>15166</v>
      </c>
      <c r="Q170" s="57" t="s">
        <v>3025</v>
      </c>
      <c r="R170" s="57" t="s">
        <v>16068</v>
      </c>
      <c r="S170" s="57" t="s">
        <v>16069</v>
      </c>
      <c r="T170" s="57" t="s">
        <v>15190</v>
      </c>
      <c r="U170" s="57" t="s">
        <v>14184</v>
      </c>
      <c r="V170" s="56" t="s">
        <v>14153</v>
      </c>
      <c r="W170" s="58"/>
      <c r="X170" s="57" t="s">
        <v>16070</v>
      </c>
      <c r="Y170" s="58"/>
      <c r="Z170" s="61" t="s">
        <v>16056</v>
      </c>
      <c r="AA170" s="58"/>
      <c r="AB170" s="58"/>
      <c r="AC170" s="58"/>
      <c r="AD170" s="58"/>
      <c r="AE170" s="58"/>
      <c r="AF170" s="58"/>
      <c r="AG170" s="58"/>
      <c r="AH170" s="58"/>
      <c r="AI170" s="58"/>
      <c r="AJ170" s="58"/>
      <c r="AK170" s="58"/>
      <c r="AL170" s="58"/>
      <c r="AM170" s="58"/>
      <c r="AN170" s="58"/>
      <c r="AO170" s="58"/>
      <c r="AP170" s="63">
        <v>45812.4598958333</v>
      </c>
      <c r="AQ170" s="58"/>
      <c r="AR170" s="58"/>
      <c r="AS170" s="57" t="s">
        <v>14184</v>
      </c>
      <c r="AT170" s="56" t="s">
        <v>15177</v>
      </c>
      <c r="AU170" s="58"/>
      <c r="AV170" s="58"/>
      <c r="AW170" s="64">
        <v>45812.457337963</v>
      </c>
      <c r="AX170" s="58"/>
      <c r="AY170" s="56" t="s">
        <v>15179</v>
      </c>
      <c r="AZ170" s="58"/>
      <c r="BA170" s="58"/>
      <c r="BB170" s="58"/>
      <c r="BC170" s="56" t="s">
        <v>1664</v>
      </c>
      <c r="BD170" s="56" t="s">
        <v>15197</v>
      </c>
      <c r="BE170" s="56" t="s">
        <v>16071</v>
      </c>
      <c r="BF170" s="56" t="s">
        <v>15181</v>
      </c>
      <c r="BG170" s="58"/>
      <c r="BH170" s="58"/>
      <c r="BI170" s="57" t="s">
        <v>2801</v>
      </c>
      <c r="BJ170" s="58"/>
      <c r="BK170" s="58"/>
      <c r="BL170" s="66">
        <v>3571976</v>
      </c>
      <c r="BM170" s="56" t="s">
        <v>16072</v>
      </c>
      <c r="BN170" s="67">
        <v>339</v>
      </c>
      <c r="BO170" s="58"/>
      <c r="BP170" s="58"/>
      <c r="BQ170" s="58"/>
      <c r="BR170" s="56" t="s">
        <v>16073</v>
      </c>
      <c r="BS170" s="56" t="s">
        <v>1285</v>
      </c>
      <c r="BT170" s="58"/>
      <c r="BU170" s="58"/>
      <c r="BV170" s="58"/>
      <c r="BW170" s="58"/>
      <c r="BX170" s="67">
        <v>339</v>
      </c>
      <c r="BY170" s="58"/>
      <c r="BZ170" s="58"/>
      <c r="CA170" s="58"/>
      <c r="CB170" s="58"/>
      <c r="CC170" s="58"/>
      <c r="CD170" s="58"/>
    </row>
    <row r="171" ht="108" spans="1:82">
      <c r="A171" s="56" t="s">
        <v>16075</v>
      </c>
      <c r="B171" s="58"/>
      <c r="C171" s="57" t="s">
        <v>16066</v>
      </c>
      <c r="D171" s="58"/>
      <c r="E171" s="57" t="s">
        <v>15158</v>
      </c>
      <c r="F171" s="57" t="s">
        <v>16067</v>
      </c>
      <c r="G171" s="57" t="s">
        <v>15160</v>
      </c>
      <c r="H171" s="56" t="s">
        <v>3025</v>
      </c>
      <c r="I171" s="60">
        <v>975.78</v>
      </c>
      <c r="J171" s="58"/>
      <c r="K171" s="58"/>
      <c r="L171" s="57" t="s">
        <v>14203</v>
      </c>
      <c r="M171" s="61" t="s">
        <v>15404</v>
      </c>
      <c r="N171" s="62" t="s">
        <v>15404</v>
      </c>
      <c r="O171" s="57" t="s">
        <v>15165</v>
      </c>
      <c r="P171" s="57" t="s">
        <v>15166</v>
      </c>
      <c r="Q171" s="57" t="s">
        <v>3025</v>
      </c>
      <c r="R171" s="57" t="s">
        <v>16068</v>
      </c>
      <c r="S171" s="57" t="s">
        <v>16069</v>
      </c>
      <c r="T171" s="57" t="s">
        <v>15190</v>
      </c>
      <c r="U171" s="57" t="s">
        <v>14184</v>
      </c>
      <c r="V171" s="56" t="s">
        <v>14153</v>
      </c>
      <c r="W171" s="58"/>
      <c r="X171" s="57" t="s">
        <v>16070</v>
      </c>
      <c r="Y171" s="58"/>
      <c r="Z171" s="61" t="s">
        <v>16056</v>
      </c>
      <c r="AA171" s="58"/>
      <c r="AB171" s="58"/>
      <c r="AC171" s="58"/>
      <c r="AD171" s="58"/>
      <c r="AE171" s="58"/>
      <c r="AF171" s="58"/>
      <c r="AG171" s="58"/>
      <c r="AH171" s="58"/>
      <c r="AI171" s="58"/>
      <c r="AJ171" s="58"/>
      <c r="AK171" s="58"/>
      <c r="AL171" s="58"/>
      <c r="AM171" s="58"/>
      <c r="AN171" s="58"/>
      <c r="AO171" s="58"/>
      <c r="AP171" s="63">
        <v>45812.4598958333</v>
      </c>
      <c r="AQ171" s="58"/>
      <c r="AR171" s="58"/>
      <c r="AS171" s="57" t="s">
        <v>14184</v>
      </c>
      <c r="AT171" s="56" t="s">
        <v>15177</v>
      </c>
      <c r="AU171" s="58"/>
      <c r="AV171" s="58"/>
      <c r="AW171" s="64">
        <v>45812.457337963</v>
      </c>
      <c r="AX171" s="58"/>
      <c r="AY171" s="56" t="s">
        <v>15179</v>
      </c>
      <c r="AZ171" s="58"/>
      <c r="BA171" s="58"/>
      <c r="BB171" s="58"/>
      <c r="BC171" s="56" t="s">
        <v>16076</v>
      </c>
      <c r="BD171" s="56" t="s">
        <v>15197</v>
      </c>
      <c r="BE171" s="56" t="s">
        <v>16071</v>
      </c>
      <c r="BF171" s="56" t="s">
        <v>15181</v>
      </c>
      <c r="BG171" s="58"/>
      <c r="BH171" s="58"/>
      <c r="BI171" s="57" t="s">
        <v>2801</v>
      </c>
      <c r="BJ171" s="58"/>
      <c r="BK171" s="58"/>
      <c r="BL171" s="66">
        <v>3571977</v>
      </c>
      <c r="BM171" s="56" t="s">
        <v>16072</v>
      </c>
      <c r="BN171" s="67">
        <v>42</v>
      </c>
      <c r="BO171" s="58"/>
      <c r="BP171" s="58"/>
      <c r="BQ171" s="58"/>
      <c r="BR171" s="56" t="s">
        <v>16073</v>
      </c>
      <c r="BS171" s="56" t="s">
        <v>1285</v>
      </c>
      <c r="BT171" s="58"/>
      <c r="BU171" s="58"/>
      <c r="BV171" s="58"/>
      <c r="BW171" s="58"/>
      <c r="BX171" s="67">
        <v>42</v>
      </c>
      <c r="BY171" s="58"/>
      <c r="BZ171" s="58"/>
      <c r="CA171" s="58"/>
      <c r="CB171" s="58"/>
      <c r="CC171" s="58"/>
      <c r="CD171" s="58"/>
    </row>
    <row r="172" ht="108" spans="1:82">
      <c r="A172" s="56" t="s">
        <v>16077</v>
      </c>
      <c r="B172" s="58"/>
      <c r="C172" s="57" t="s">
        <v>16066</v>
      </c>
      <c r="D172" s="58"/>
      <c r="E172" s="57" t="s">
        <v>15158</v>
      </c>
      <c r="F172" s="57" t="s">
        <v>16067</v>
      </c>
      <c r="G172" s="57" t="s">
        <v>15160</v>
      </c>
      <c r="H172" s="56" t="s">
        <v>3025</v>
      </c>
      <c r="I172" s="60">
        <v>975.78</v>
      </c>
      <c r="J172" s="58"/>
      <c r="K172" s="58"/>
      <c r="L172" s="57" t="s">
        <v>14203</v>
      </c>
      <c r="M172" s="61" t="s">
        <v>15404</v>
      </c>
      <c r="N172" s="62" t="s">
        <v>15404</v>
      </c>
      <c r="O172" s="57" t="s">
        <v>15165</v>
      </c>
      <c r="P172" s="57" t="s">
        <v>15166</v>
      </c>
      <c r="Q172" s="57" t="s">
        <v>3025</v>
      </c>
      <c r="R172" s="57" t="s">
        <v>16068</v>
      </c>
      <c r="S172" s="57" t="s">
        <v>16069</v>
      </c>
      <c r="T172" s="57" t="s">
        <v>15190</v>
      </c>
      <c r="U172" s="57" t="s">
        <v>14184</v>
      </c>
      <c r="V172" s="56" t="s">
        <v>14153</v>
      </c>
      <c r="W172" s="58"/>
      <c r="X172" s="57" t="s">
        <v>16070</v>
      </c>
      <c r="Y172" s="58"/>
      <c r="Z172" s="61" t="s">
        <v>16056</v>
      </c>
      <c r="AA172" s="58"/>
      <c r="AB172" s="58"/>
      <c r="AC172" s="58"/>
      <c r="AD172" s="58"/>
      <c r="AE172" s="58"/>
      <c r="AF172" s="58"/>
      <c r="AG172" s="58"/>
      <c r="AH172" s="58"/>
      <c r="AI172" s="58"/>
      <c r="AJ172" s="58"/>
      <c r="AK172" s="58"/>
      <c r="AL172" s="58"/>
      <c r="AM172" s="58"/>
      <c r="AN172" s="58"/>
      <c r="AO172" s="58"/>
      <c r="AP172" s="63">
        <v>45812.4598958333</v>
      </c>
      <c r="AQ172" s="58"/>
      <c r="AR172" s="58"/>
      <c r="AS172" s="57" t="s">
        <v>14184</v>
      </c>
      <c r="AT172" s="56" t="s">
        <v>15177</v>
      </c>
      <c r="AU172" s="58"/>
      <c r="AV172" s="58"/>
      <c r="AW172" s="64">
        <v>45812.457337963</v>
      </c>
      <c r="AX172" s="58"/>
      <c r="AY172" s="56" t="s">
        <v>15179</v>
      </c>
      <c r="AZ172" s="58"/>
      <c r="BA172" s="58"/>
      <c r="BB172" s="58"/>
      <c r="BC172" s="56" t="s">
        <v>1664</v>
      </c>
      <c r="BD172" s="56" t="s">
        <v>15197</v>
      </c>
      <c r="BE172" s="56" t="s">
        <v>16071</v>
      </c>
      <c r="BF172" s="56" t="s">
        <v>15181</v>
      </c>
      <c r="BG172" s="58"/>
      <c r="BH172" s="58"/>
      <c r="BI172" s="57" t="s">
        <v>2801</v>
      </c>
      <c r="BJ172" s="58"/>
      <c r="BK172" s="58"/>
      <c r="BL172" s="66">
        <v>3571978</v>
      </c>
      <c r="BM172" s="56" t="s">
        <v>16072</v>
      </c>
      <c r="BN172" s="67">
        <v>467.34</v>
      </c>
      <c r="BO172" s="58"/>
      <c r="BP172" s="58"/>
      <c r="BQ172" s="58"/>
      <c r="BR172" s="56" t="s">
        <v>16073</v>
      </c>
      <c r="BS172" s="56" t="s">
        <v>1285</v>
      </c>
      <c r="BT172" s="58"/>
      <c r="BU172" s="58"/>
      <c r="BV172" s="58"/>
      <c r="BW172" s="58"/>
      <c r="BX172" s="67">
        <v>467.34</v>
      </c>
      <c r="BY172" s="58"/>
      <c r="BZ172" s="58"/>
      <c r="CA172" s="58"/>
      <c r="CB172" s="58"/>
      <c r="CC172" s="58"/>
      <c r="CD172" s="58"/>
    </row>
    <row r="173" ht="108" spans="1:82">
      <c r="A173" s="56" t="s">
        <v>16078</v>
      </c>
      <c r="B173" s="57" t="s">
        <v>15156</v>
      </c>
      <c r="C173" s="58"/>
      <c r="D173" s="57" t="s">
        <v>16079</v>
      </c>
      <c r="E173" s="57" t="s">
        <v>15158</v>
      </c>
      <c r="F173" s="57" t="s">
        <v>16080</v>
      </c>
      <c r="G173" s="57" t="s">
        <v>15160</v>
      </c>
      <c r="H173" s="56" t="s">
        <v>15295</v>
      </c>
      <c r="I173" s="60">
        <v>31358</v>
      </c>
      <c r="J173" s="57" t="s">
        <v>1285</v>
      </c>
      <c r="K173" s="57" t="s">
        <v>15162</v>
      </c>
      <c r="L173" s="57" t="s">
        <v>15163</v>
      </c>
      <c r="M173" s="61" t="s">
        <v>15465</v>
      </c>
      <c r="N173" s="62" t="s">
        <v>14331</v>
      </c>
      <c r="O173" s="57" t="s">
        <v>15165</v>
      </c>
      <c r="P173" s="57" t="s">
        <v>15166</v>
      </c>
      <c r="Q173" s="57" t="s">
        <v>15295</v>
      </c>
      <c r="R173" s="57" t="s">
        <v>15296</v>
      </c>
      <c r="S173" s="57" t="s">
        <v>15297</v>
      </c>
      <c r="T173" s="58"/>
      <c r="U173" s="57" t="s">
        <v>14184</v>
      </c>
      <c r="V173" s="56" t="s">
        <v>14153</v>
      </c>
      <c r="W173" s="58"/>
      <c r="X173" s="57" t="s">
        <v>16081</v>
      </c>
      <c r="Y173" s="57" t="s">
        <v>15170</v>
      </c>
      <c r="Z173" s="61" t="s">
        <v>15461</v>
      </c>
      <c r="AA173" s="61" t="s">
        <v>15465</v>
      </c>
      <c r="AB173" s="57" t="s">
        <v>15171</v>
      </c>
      <c r="AC173" s="57" t="s">
        <v>15172</v>
      </c>
      <c r="AD173" s="58"/>
      <c r="AE173" s="58"/>
      <c r="AF173" s="57" t="s">
        <v>15173</v>
      </c>
      <c r="AG173" s="58"/>
      <c r="AH173" s="58"/>
      <c r="AI173" s="57" t="s">
        <v>15173</v>
      </c>
      <c r="AJ173" s="58"/>
      <c r="AK173" s="56" t="s">
        <v>1285</v>
      </c>
      <c r="AL173" s="56" t="s">
        <v>16082</v>
      </c>
      <c r="AM173" s="58"/>
      <c r="AN173" s="56" t="s">
        <v>16083</v>
      </c>
      <c r="AO173" s="58"/>
      <c r="AP173" s="63">
        <v>45807.5415046296</v>
      </c>
      <c r="AQ173" s="56" t="s">
        <v>16084</v>
      </c>
      <c r="AR173" s="61" t="s">
        <v>15448</v>
      </c>
      <c r="AS173" s="57" t="s">
        <v>14184</v>
      </c>
      <c r="AT173" s="56" t="s">
        <v>15177</v>
      </c>
      <c r="AU173" s="56" t="s">
        <v>16085</v>
      </c>
      <c r="AV173" s="58"/>
      <c r="AW173" s="64">
        <v>45785.9198842593</v>
      </c>
      <c r="AX173" s="56" t="s">
        <v>16082</v>
      </c>
      <c r="AY173" s="56" t="s">
        <v>15179</v>
      </c>
      <c r="AZ173" s="58"/>
      <c r="BA173" s="58"/>
      <c r="BB173" s="58"/>
      <c r="BC173" s="58"/>
      <c r="BD173" s="56" t="s">
        <v>15276</v>
      </c>
      <c r="BE173" s="56" t="s">
        <v>15303</v>
      </c>
      <c r="BF173" s="56" t="s">
        <v>15181</v>
      </c>
      <c r="BG173" s="58"/>
      <c r="BH173" s="58"/>
      <c r="BI173" s="57" t="s">
        <v>2801</v>
      </c>
      <c r="BJ173" s="58"/>
      <c r="BK173" s="58"/>
      <c r="BL173" s="58"/>
      <c r="BM173" s="58"/>
      <c r="BN173" s="67">
        <v>31358</v>
      </c>
      <c r="BO173" s="58"/>
      <c r="BP173" s="56" t="s">
        <v>15450</v>
      </c>
      <c r="BQ173" s="58"/>
      <c r="BR173" s="58"/>
      <c r="BS173" s="58"/>
      <c r="BT173" s="58"/>
      <c r="BU173" s="56" t="s">
        <v>16084</v>
      </c>
      <c r="BV173" s="58"/>
      <c r="BW173" s="58"/>
      <c r="BX173" s="67">
        <v>31358</v>
      </c>
      <c r="BY173" s="56" t="s">
        <v>1285</v>
      </c>
      <c r="BZ173" s="58"/>
      <c r="CA173" s="56" t="s">
        <v>15183</v>
      </c>
      <c r="CB173" s="56" t="s">
        <v>15183</v>
      </c>
      <c r="CC173" s="58"/>
      <c r="CD173" s="58"/>
    </row>
    <row r="174" ht="108" spans="1:82">
      <c r="A174" s="56" t="s">
        <v>16086</v>
      </c>
      <c r="B174" s="57" t="s">
        <v>15156</v>
      </c>
      <c r="C174" s="58"/>
      <c r="D174" s="57" t="s">
        <v>16087</v>
      </c>
      <c r="E174" s="57" t="s">
        <v>15158</v>
      </c>
      <c r="F174" s="57" t="s">
        <v>16088</v>
      </c>
      <c r="G174" s="57" t="s">
        <v>15160</v>
      </c>
      <c r="H174" s="56" t="s">
        <v>15268</v>
      </c>
      <c r="I174" s="60">
        <v>40980</v>
      </c>
      <c r="J174" s="57" t="s">
        <v>1285</v>
      </c>
      <c r="K174" s="57" t="s">
        <v>15162</v>
      </c>
      <c r="L174" s="57" t="s">
        <v>15163</v>
      </c>
      <c r="M174" s="61" t="s">
        <v>15465</v>
      </c>
      <c r="N174" s="62" t="s">
        <v>15030</v>
      </c>
      <c r="O174" s="57" t="s">
        <v>15165</v>
      </c>
      <c r="P174" s="57" t="s">
        <v>15166</v>
      </c>
      <c r="Q174" s="57" t="s">
        <v>15268</v>
      </c>
      <c r="R174" s="57" t="s">
        <v>15269</v>
      </c>
      <c r="S174" s="57" t="s">
        <v>15270</v>
      </c>
      <c r="T174" s="58"/>
      <c r="U174" s="57" t="s">
        <v>14184</v>
      </c>
      <c r="V174" s="56" t="s">
        <v>14153</v>
      </c>
      <c r="W174" s="58"/>
      <c r="X174" s="57" t="s">
        <v>16081</v>
      </c>
      <c r="Y174" s="57" t="s">
        <v>15170</v>
      </c>
      <c r="Z174" s="61" t="s">
        <v>15504</v>
      </c>
      <c r="AA174" s="61" t="s">
        <v>15465</v>
      </c>
      <c r="AB174" s="57" t="s">
        <v>15171</v>
      </c>
      <c r="AC174" s="57" t="s">
        <v>15172</v>
      </c>
      <c r="AD174" s="58"/>
      <c r="AE174" s="58"/>
      <c r="AF174" s="57" t="s">
        <v>15173</v>
      </c>
      <c r="AG174" s="58"/>
      <c r="AH174" s="58"/>
      <c r="AI174" s="57" t="s">
        <v>15173</v>
      </c>
      <c r="AJ174" s="58"/>
      <c r="AK174" s="56" t="s">
        <v>1285</v>
      </c>
      <c r="AL174" s="56" t="s">
        <v>16089</v>
      </c>
      <c r="AM174" s="58"/>
      <c r="AN174" s="56" t="s">
        <v>15324</v>
      </c>
      <c r="AO174" s="58"/>
      <c r="AP174" s="63">
        <v>45807.5415277778</v>
      </c>
      <c r="AQ174" s="56" t="s">
        <v>16090</v>
      </c>
      <c r="AR174" s="61" t="s">
        <v>15448</v>
      </c>
      <c r="AS174" s="57" t="s">
        <v>14184</v>
      </c>
      <c r="AT174" s="56" t="s">
        <v>15177</v>
      </c>
      <c r="AU174" s="56" t="s">
        <v>16091</v>
      </c>
      <c r="AV174" s="58"/>
      <c r="AW174" s="64">
        <v>45777.6683217593</v>
      </c>
      <c r="AX174" s="56" t="s">
        <v>16089</v>
      </c>
      <c r="AY174" s="56" t="s">
        <v>15179</v>
      </c>
      <c r="AZ174" s="58"/>
      <c r="BA174" s="58"/>
      <c r="BB174" s="58"/>
      <c r="BC174" s="58"/>
      <c r="BD174" s="56" t="s">
        <v>15276</v>
      </c>
      <c r="BE174" s="56" t="s">
        <v>15277</v>
      </c>
      <c r="BF174" s="56" t="s">
        <v>15181</v>
      </c>
      <c r="BG174" s="58"/>
      <c r="BH174" s="58"/>
      <c r="BI174" s="57" t="s">
        <v>2801</v>
      </c>
      <c r="BJ174" s="58"/>
      <c r="BK174" s="58"/>
      <c r="BL174" s="58"/>
      <c r="BM174" s="58"/>
      <c r="BN174" s="67">
        <v>40980</v>
      </c>
      <c r="BO174" s="58"/>
      <c r="BP174" s="56" t="s">
        <v>15450</v>
      </c>
      <c r="BQ174" s="58"/>
      <c r="BR174" s="58"/>
      <c r="BS174" s="58"/>
      <c r="BT174" s="56" t="s">
        <v>1285</v>
      </c>
      <c r="BU174" s="56" t="s">
        <v>16090</v>
      </c>
      <c r="BV174" s="58"/>
      <c r="BW174" s="58"/>
      <c r="BX174" s="67">
        <v>40980</v>
      </c>
      <c r="BY174" s="56" t="s">
        <v>1285</v>
      </c>
      <c r="BZ174" s="58"/>
      <c r="CA174" s="56" t="s">
        <v>15183</v>
      </c>
      <c r="CB174" s="56" t="s">
        <v>15183</v>
      </c>
      <c r="CC174" s="58"/>
      <c r="CD174" s="58"/>
    </row>
    <row r="175" ht="108" spans="1:82">
      <c r="A175" s="56" t="s">
        <v>16092</v>
      </c>
      <c r="B175" s="58"/>
      <c r="C175" s="57" t="s">
        <v>16093</v>
      </c>
      <c r="D175" s="58"/>
      <c r="E175" s="57" t="s">
        <v>15158</v>
      </c>
      <c r="F175" s="57" t="s">
        <v>16094</v>
      </c>
      <c r="G175" s="57" t="s">
        <v>15160</v>
      </c>
      <c r="H175" s="56" t="s">
        <v>4058</v>
      </c>
      <c r="I175" s="60">
        <v>24000</v>
      </c>
      <c r="J175" s="57" t="s">
        <v>1285</v>
      </c>
      <c r="K175" s="57" t="s">
        <v>15162</v>
      </c>
      <c r="L175" s="57" t="s">
        <v>15163</v>
      </c>
      <c r="M175" s="61" t="s">
        <v>15465</v>
      </c>
      <c r="N175" s="62" t="s">
        <v>15331</v>
      </c>
      <c r="O175" s="57" t="s">
        <v>15165</v>
      </c>
      <c r="P175" s="57" t="s">
        <v>15166</v>
      </c>
      <c r="Q175" s="57" t="s">
        <v>4058</v>
      </c>
      <c r="R175" s="57" t="s">
        <v>16095</v>
      </c>
      <c r="S175" s="57" t="s">
        <v>16096</v>
      </c>
      <c r="T175" s="57" t="s">
        <v>15190</v>
      </c>
      <c r="U175" s="57" t="s">
        <v>14184</v>
      </c>
      <c r="V175" s="56" t="s">
        <v>14153</v>
      </c>
      <c r="W175" s="58"/>
      <c r="X175" s="57" t="s">
        <v>16097</v>
      </c>
      <c r="Y175" s="57" t="s">
        <v>15170</v>
      </c>
      <c r="Z175" s="61" t="s">
        <v>15504</v>
      </c>
      <c r="AA175" s="61" t="s">
        <v>15465</v>
      </c>
      <c r="AB175" s="58"/>
      <c r="AC175" s="57" t="s">
        <v>15172</v>
      </c>
      <c r="AD175" s="58"/>
      <c r="AE175" s="58"/>
      <c r="AF175" s="58"/>
      <c r="AG175" s="58"/>
      <c r="AH175" s="58"/>
      <c r="AI175" s="58"/>
      <c r="AJ175" s="58"/>
      <c r="AK175" s="56" t="s">
        <v>1285</v>
      </c>
      <c r="AL175" s="56" t="s">
        <v>16098</v>
      </c>
      <c r="AM175" s="58"/>
      <c r="AN175" s="56" t="s">
        <v>16099</v>
      </c>
      <c r="AO175" s="58"/>
      <c r="AP175" s="63">
        <v>45807.5415277778</v>
      </c>
      <c r="AQ175" s="56" t="s">
        <v>16100</v>
      </c>
      <c r="AR175" s="61" t="s">
        <v>15448</v>
      </c>
      <c r="AS175" s="57" t="s">
        <v>14184</v>
      </c>
      <c r="AT175" s="56" t="s">
        <v>15177</v>
      </c>
      <c r="AU175" s="56" t="s">
        <v>16101</v>
      </c>
      <c r="AV175" s="58"/>
      <c r="AW175" s="64">
        <v>45719.7571990741</v>
      </c>
      <c r="AX175" s="56" t="s">
        <v>16098</v>
      </c>
      <c r="AY175" s="56" t="s">
        <v>15179</v>
      </c>
      <c r="AZ175" s="58"/>
      <c r="BA175" s="58"/>
      <c r="BB175" s="58"/>
      <c r="BC175" s="56" t="s">
        <v>4048</v>
      </c>
      <c r="BD175" s="56" t="s">
        <v>15482</v>
      </c>
      <c r="BE175" s="56" t="s">
        <v>16102</v>
      </c>
      <c r="BF175" s="56" t="s">
        <v>15181</v>
      </c>
      <c r="BG175" s="58"/>
      <c r="BH175" s="58"/>
      <c r="BI175" s="57" t="s">
        <v>2801</v>
      </c>
      <c r="BJ175" s="58"/>
      <c r="BK175" s="58"/>
      <c r="BL175" s="66">
        <v>3194925</v>
      </c>
      <c r="BM175" s="56" t="s">
        <v>16103</v>
      </c>
      <c r="BN175" s="58"/>
      <c r="BO175" s="67">
        <v>12000</v>
      </c>
      <c r="BP175" s="56" t="s">
        <v>15450</v>
      </c>
      <c r="BQ175" s="58"/>
      <c r="BR175" s="56" t="s">
        <v>16104</v>
      </c>
      <c r="BS175" s="56" t="s">
        <v>1285</v>
      </c>
      <c r="BT175" s="58"/>
      <c r="BU175" s="56" t="s">
        <v>16100</v>
      </c>
      <c r="BV175" s="58"/>
      <c r="BW175" s="58"/>
      <c r="BX175" s="67">
        <v>12000</v>
      </c>
      <c r="BY175" s="56" t="s">
        <v>1285</v>
      </c>
      <c r="BZ175" s="58"/>
      <c r="CA175" s="58"/>
      <c r="CB175" s="58"/>
      <c r="CC175" s="58"/>
      <c r="CD175" s="58"/>
    </row>
    <row r="176" ht="108" spans="1:82">
      <c r="A176" s="56" t="s">
        <v>16105</v>
      </c>
      <c r="B176" s="58"/>
      <c r="C176" s="57" t="s">
        <v>16093</v>
      </c>
      <c r="D176" s="58"/>
      <c r="E176" s="57" t="s">
        <v>15158</v>
      </c>
      <c r="F176" s="57" t="s">
        <v>16094</v>
      </c>
      <c r="G176" s="57" t="s">
        <v>15160</v>
      </c>
      <c r="H176" s="56" t="s">
        <v>4058</v>
      </c>
      <c r="I176" s="60">
        <v>24000</v>
      </c>
      <c r="J176" s="57" t="s">
        <v>1285</v>
      </c>
      <c r="K176" s="57" t="s">
        <v>15162</v>
      </c>
      <c r="L176" s="57" t="s">
        <v>15163</v>
      </c>
      <c r="M176" s="61" t="s">
        <v>15465</v>
      </c>
      <c r="N176" s="62" t="s">
        <v>15331</v>
      </c>
      <c r="O176" s="57" t="s">
        <v>15165</v>
      </c>
      <c r="P176" s="57" t="s">
        <v>15166</v>
      </c>
      <c r="Q176" s="57" t="s">
        <v>4058</v>
      </c>
      <c r="R176" s="57" t="s">
        <v>16095</v>
      </c>
      <c r="S176" s="57" t="s">
        <v>16096</v>
      </c>
      <c r="T176" s="57" t="s">
        <v>15190</v>
      </c>
      <c r="U176" s="57" t="s">
        <v>14184</v>
      </c>
      <c r="V176" s="56" t="s">
        <v>14153</v>
      </c>
      <c r="W176" s="58"/>
      <c r="X176" s="57" t="s">
        <v>16097</v>
      </c>
      <c r="Y176" s="57" t="s">
        <v>15170</v>
      </c>
      <c r="Z176" s="61" t="s">
        <v>15504</v>
      </c>
      <c r="AA176" s="61" t="s">
        <v>15465</v>
      </c>
      <c r="AB176" s="58"/>
      <c r="AC176" s="57" t="s">
        <v>15172</v>
      </c>
      <c r="AD176" s="58"/>
      <c r="AE176" s="58"/>
      <c r="AF176" s="58"/>
      <c r="AG176" s="58"/>
      <c r="AH176" s="58"/>
      <c r="AI176" s="58"/>
      <c r="AJ176" s="58"/>
      <c r="AK176" s="56" t="s">
        <v>1285</v>
      </c>
      <c r="AL176" s="56" t="s">
        <v>16098</v>
      </c>
      <c r="AM176" s="58"/>
      <c r="AN176" s="56" t="s">
        <v>16099</v>
      </c>
      <c r="AO176" s="58"/>
      <c r="AP176" s="63">
        <v>45807.5415277778</v>
      </c>
      <c r="AQ176" s="56" t="s">
        <v>16100</v>
      </c>
      <c r="AR176" s="61" t="s">
        <v>15448</v>
      </c>
      <c r="AS176" s="57" t="s">
        <v>14184</v>
      </c>
      <c r="AT176" s="56" t="s">
        <v>15177</v>
      </c>
      <c r="AU176" s="56" t="s">
        <v>16101</v>
      </c>
      <c r="AV176" s="58"/>
      <c r="AW176" s="64">
        <v>45719.7571990741</v>
      </c>
      <c r="AX176" s="56" t="s">
        <v>16098</v>
      </c>
      <c r="AY176" s="56" t="s">
        <v>15179</v>
      </c>
      <c r="AZ176" s="58"/>
      <c r="BA176" s="58"/>
      <c r="BB176" s="58"/>
      <c r="BC176" s="56" t="s">
        <v>4048</v>
      </c>
      <c r="BD176" s="56" t="s">
        <v>15482</v>
      </c>
      <c r="BE176" s="56" t="s">
        <v>16102</v>
      </c>
      <c r="BF176" s="56" t="s">
        <v>15181</v>
      </c>
      <c r="BG176" s="58"/>
      <c r="BH176" s="58"/>
      <c r="BI176" s="57" t="s">
        <v>2801</v>
      </c>
      <c r="BJ176" s="58"/>
      <c r="BK176" s="58"/>
      <c r="BL176" s="66">
        <v>3194925</v>
      </c>
      <c r="BM176" s="56" t="s">
        <v>16103</v>
      </c>
      <c r="BN176" s="58"/>
      <c r="BO176" s="67">
        <v>12000</v>
      </c>
      <c r="BP176" s="56" t="s">
        <v>15450</v>
      </c>
      <c r="BQ176" s="58"/>
      <c r="BR176" s="56" t="s">
        <v>16104</v>
      </c>
      <c r="BS176" s="56" t="s">
        <v>1285</v>
      </c>
      <c r="BT176" s="58"/>
      <c r="BU176" s="56" t="s">
        <v>16100</v>
      </c>
      <c r="BV176" s="58"/>
      <c r="BW176" s="58"/>
      <c r="BX176" s="67">
        <v>12000</v>
      </c>
      <c r="BY176" s="56" t="s">
        <v>1285</v>
      </c>
      <c r="BZ176" s="58"/>
      <c r="CA176" s="58"/>
      <c r="CB176" s="58"/>
      <c r="CC176" s="58"/>
      <c r="CD176" s="58"/>
    </row>
    <row r="177" ht="108" spans="1:82">
      <c r="A177" s="56" t="s">
        <v>16106</v>
      </c>
      <c r="B177" s="58"/>
      <c r="C177" s="57" t="s">
        <v>16107</v>
      </c>
      <c r="D177" s="58"/>
      <c r="E177" s="57" t="s">
        <v>15158</v>
      </c>
      <c r="F177" s="57" t="s">
        <v>16108</v>
      </c>
      <c r="G177" s="57" t="s">
        <v>15160</v>
      </c>
      <c r="H177" s="56" t="s">
        <v>4084</v>
      </c>
      <c r="I177" s="60">
        <v>4666.66</v>
      </c>
      <c r="J177" s="57" t="s">
        <v>1285</v>
      </c>
      <c r="K177" s="57" t="s">
        <v>15162</v>
      </c>
      <c r="L177" s="57" t="s">
        <v>15163</v>
      </c>
      <c r="M177" s="61" t="s">
        <v>15465</v>
      </c>
      <c r="N177" s="62" t="s">
        <v>15672</v>
      </c>
      <c r="O177" s="57" t="s">
        <v>15165</v>
      </c>
      <c r="P177" s="57" t="s">
        <v>15166</v>
      </c>
      <c r="Q177" s="57" t="s">
        <v>4084</v>
      </c>
      <c r="R177" s="57" t="s">
        <v>15544</v>
      </c>
      <c r="S177" s="57" t="s">
        <v>15545</v>
      </c>
      <c r="T177" s="57" t="s">
        <v>15190</v>
      </c>
      <c r="U177" s="57" t="s">
        <v>14184</v>
      </c>
      <c r="V177" s="56" t="s">
        <v>14153</v>
      </c>
      <c r="W177" s="58"/>
      <c r="X177" s="57" t="s">
        <v>16109</v>
      </c>
      <c r="Y177" s="57" t="s">
        <v>15170</v>
      </c>
      <c r="Z177" s="61" t="s">
        <v>15504</v>
      </c>
      <c r="AA177" s="61" t="s">
        <v>15465</v>
      </c>
      <c r="AB177" s="58"/>
      <c r="AC177" s="57" t="s">
        <v>15172</v>
      </c>
      <c r="AD177" s="58"/>
      <c r="AE177" s="58"/>
      <c r="AF177" s="58"/>
      <c r="AG177" s="58"/>
      <c r="AH177" s="58"/>
      <c r="AI177" s="58"/>
      <c r="AJ177" s="58"/>
      <c r="AK177" s="56" t="s">
        <v>1285</v>
      </c>
      <c r="AL177" s="56" t="s">
        <v>16110</v>
      </c>
      <c r="AM177" s="58"/>
      <c r="AN177" s="56" t="s">
        <v>16111</v>
      </c>
      <c r="AO177" s="58"/>
      <c r="AP177" s="63">
        <v>45807.5377777778</v>
      </c>
      <c r="AQ177" s="56" t="s">
        <v>16112</v>
      </c>
      <c r="AR177" s="61" t="s">
        <v>15448</v>
      </c>
      <c r="AS177" s="57" t="s">
        <v>14184</v>
      </c>
      <c r="AT177" s="56" t="s">
        <v>15177</v>
      </c>
      <c r="AU177" s="56" t="s">
        <v>16113</v>
      </c>
      <c r="AV177" s="58"/>
      <c r="AW177" s="64">
        <v>45708.7920949074</v>
      </c>
      <c r="AX177" s="56" t="s">
        <v>16110</v>
      </c>
      <c r="AY177" s="56" t="s">
        <v>15179</v>
      </c>
      <c r="AZ177" s="58"/>
      <c r="BA177" s="58"/>
      <c r="BB177" s="58"/>
      <c r="BC177" s="56" t="s">
        <v>3117</v>
      </c>
      <c r="BD177" s="56" t="s">
        <v>15551</v>
      </c>
      <c r="BE177" s="56" t="s">
        <v>16114</v>
      </c>
      <c r="BF177" s="56" t="s">
        <v>15181</v>
      </c>
      <c r="BG177" s="58"/>
      <c r="BH177" s="58"/>
      <c r="BI177" s="57" t="s">
        <v>2801</v>
      </c>
      <c r="BJ177" s="58"/>
      <c r="BK177" s="58"/>
      <c r="BL177" s="66">
        <v>3210941</v>
      </c>
      <c r="BM177" s="56" t="s">
        <v>16115</v>
      </c>
      <c r="BN177" s="58"/>
      <c r="BO177" s="67">
        <v>4666.66</v>
      </c>
      <c r="BP177" s="56" t="s">
        <v>15450</v>
      </c>
      <c r="BQ177" s="58"/>
      <c r="BR177" s="56" t="s">
        <v>16116</v>
      </c>
      <c r="BS177" s="56" t="s">
        <v>1285</v>
      </c>
      <c r="BT177" s="58"/>
      <c r="BU177" s="56" t="s">
        <v>16112</v>
      </c>
      <c r="BV177" s="58"/>
      <c r="BW177" s="58"/>
      <c r="BX177" s="67">
        <v>4666.66</v>
      </c>
      <c r="BY177" s="56" t="s">
        <v>1285</v>
      </c>
      <c r="BZ177" s="58"/>
      <c r="CA177" s="58"/>
      <c r="CB177" s="58"/>
      <c r="CC177" s="58"/>
      <c r="CD177" s="58"/>
    </row>
    <row r="178" ht="108" spans="1:82">
      <c r="A178" s="56" t="s">
        <v>16117</v>
      </c>
      <c r="B178" s="58"/>
      <c r="C178" s="57" t="s">
        <v>16118</v>
      </c>
      <c r="D178" s="58"/>
      <c r="E178" s="57" t="s">
        <v>15158</v>
      </c>
      <c r="F178" s="57" t="s">
        <v>16119</v>
      </c>
      <c r="G178" s="57" t="s">
        <v>15160</v>
      </c>
      <c r="H178" s="56" t="s">
        <v>4158</v>
      </c>
      <c r="I178" s="60">
        <v>29605</v>
      </c>
      <c r="J178" s="57" t="s">
        <v>1285</v>
      </c>
      <c r="K178" s="57" t="s">
        <v>15162</v>
      </c>
      <c r="L178" s="57" t="s">
        <v>15163</v>
      </c>
      <c r="M178" s="61" t="s">
        <v>15465</v>
      </c>
      <c r="N178" s="62" t="s">
        <v>15672</v>
      </c>
      <c r="O178" s="57" t="s">
        <v>15165</v>
      </c>
      <c r="P178" s="57" t="s">
        <v>15166</v>
      </c>
      <c r="Q178" s="57" t="s">
        <v>4158</v>
      </c>
      <c r="R178" s="57" t="s">
        <v>16120</v>
      </c>
      <c r="S178" s="57" t="s">
        <v>16121</v>
      </c>
      <c r="T178" s="57" t="s">
        <v>15190</v>
      </c>
      <c r="U178" s="57" t="s">
        <v>14184</v>
      </c>
      <c r="V178" s="56" t="s">
        <v>14153</v>
      </c>
      <c r="W178" s="58"/>
      <c r="X178" s="57" t="s">
        <v>16122</v>
      </c>
      <c r="Y178" s="57" t="s">
        <v>15170</v>
      </c>
      <c r="Z178" s="61" t="s">
        <v>15504</v>
      </c>
      <c r="AA178" s="61" t="s">
        <v>15465</v>
      </c>
      <c r="AB178" s="58"/>
      <c r="AC178" s="57" t="s">
        <v>15172</v>
      </c>
      <c r="AD178" s="58"/>
      <c r="AE178" s="58"/>
      <c r="AF178" s="58"/>
      <c r="AG178" s="58"/>
      <c r="AH178" s="58"/>
      <c r="AI178" s="58"/>
      <c r="AJ178" s="58"/>
      <c r="AK178" s="56" t="s">
        <v>1285</v>
      </c>
      <c r="AL178" s="56" t="s">
        <v>16123</v>
      </c>
      <c r="AM178" s="58"/>
      <c r="AN178" s="56" t="s">
        <v>16124</v>
      </c>
      <c r="AO178" s="58"/>
      <c r="AP178" s="63">
        <v>45807.5415277778</v>
      </c>
      <c r="AQ178" s="56" t="s">
        <v>16125</v>
      </c>
      <c r="AR178" s="61" t="s">
        <v>15448</v>
      </c>
      <c r="AS178" s="57" t="s">
        <v>14184</v>
      </c>
      <c r="AT178" s="56" t="s">
        <v>15177</v>
      </c>
      <c r="AU178" s="56" t="s">
        <v>16126</v>
      </c>
      <c r="AV178" s="58"/>
      <c r="AW178" s="64">
        <v>45708.7688310185</v>
      </c>
      <c r="AX178" s="56" t="s">
        <v>16123</v>
      </c>
      <c r="AY178" s="56" t="s">
        <v>15179</v>
      </c>
      <c r="AZ178" s="58"/>
      <c r="BA178" s="58"/>
      <c r="BB178" s="58"/>
      <c r="BC178" s="56" t="s">
        <v>4156</v>
      </c>
      <c r="BD178" s="56" t="s">
        <v>15482</v>
      </c>
      <c r="BE178" s="56" t="s">
        <v>16127</v>
      </c>
      <c r="BF178" s="56" t="s">
        <v>15181</v>
      </c>
      <c r="BG178" s="58"/>
      <c r="BH178" s="58"/>
      <c r="BI178" s="57" t="s">
        <v>2801</v>
      </c>
      <c r="BJ178" s="58"/>
      <c r="BK178" s="58"/>
      <c r="BL178" s="66">
        <v>3210940</v>
      </c>
      <c r="BM178" s="56" t="s">
        <v>16128</v>
      </c>
      <c r="BN178" s="58"/>
      <c r="BO178" s="67">
        <v>29605</v>
      </c>
      <c r="BP178" s="56" t="s">
        <v>15450</v>
      </c>
      <c r="BQ178" s="58"/>
      <c r="BR178" s="56" t="s">
        <v>16129</v>
      </c>
      <c r="BS178" s="56" t="s">
        <v>1285</v>
      </c>
      <c r="BT178" s="58"/>
      <c r="BU178" s="56" t="s">
        <v>16125</v>
      </c>
      <c r="BV178" s="58"/>
      <c r="BW178" s="58"/>
      <c r="BX178" s="67">
        <v>29605</v>
      </c>
      <c r="BY178" s="56" t="s">
        <v>1285</v>
      </c>
      <c r="BZ178" s="58"/>
      <c r="CA178" s="58"/>
      <c r="CB178" s="58"/>
      <c r="CC178" s="58"/>
      <c r="CD178" s="58"/>
    </row>
    <row r="179" ht="108" spans="1:82">
      <c r="A179" s="56" t="s">
        <v>16130</v>
      </c>
      <c r="B179" s="58"/>
      <c r="C179" s="57" t="s">
        <v>16131</v>
      </c>
      <c r="D179" s="58"/>
      <c r="E179" s="57" t="s">
        <v>15158</v>
      </c>
      <c r="F179" s="57" t="s">
        <v>16132</v>
      </c>
      <c r="G179" s="57" t="s">
        <v>15160</v>
      </c>
      <c r="H179" s="56" t="s">
        <v>3898</v>
      </c>
      <c r="I179" s="60">
        <v>484741.2</v>
      </c>
      <c r="J179" s="57" t="s">
        <v>1285</v>
      </c>
      <c r="K179" s="57" t="s">
        <v>15162</v>
      </c>
      <c r="L179" s="57" t="s">
        <v>15163</v>
      </c>
      <c r="M179" s="61" t="s">
        <v>15465</v>
      </c>
      <c r="N179" s="62" t="s">
        <v>14860</v>
      </c>
      <c r="O179" s="57" t="s">
        <v>15165</v>
      </c>
      <c r="P179" s="57" t="s">
        <v>15166</v>
      </c>
      <c r="Q179" s="57" t="s">
        <v>3898</v>
      </c>
      <c r="R179" s="57" t="s">
        <v>15383</v>
      </c>
      <c r="S179" s="57" t="s">
        <v>15384</v>
      </c>
      <c r="T179" s="57" t="s">
        <v>15190</v>
      </c>
      <c r="U179" s="57" t="s">
        <v>14184</v>
      </c>
      <c r="V179" s="56" t="s">
        <v>14153</v>
      </c>
      <c r="W179" s="58"/>
      <c r="X179" s="57" t="s">
        <v>16133</v>
      </c>
      <c r="Y179" s="57" t="s">
        <v>15170</v>
      </c>
      <c r="Z179" s="61" t="s">
        <v>15504</v>
      </c>
      <c r="AA179" s="61" t="s">
        <v>15465</v>
      </c>
      <c r="AB179" s="58"/>
      <c r="AC179" s="57" t="s">
        <v>15172</v>
      </c>
      <c r="AD179" s="58"/>
      <c r="AE179" s="58"/>
      <c r="AF179" s="58"/>
      <c r="AG179" s="58"/>
      <c r="AH179" s="58"/>
      <c r="AI179" s="58"/>
      <c r="AJ179" s="58"/>
      <c r="AK179" s="56" t="s">
        <v>1285</v>
      </c>
      <c r="AL179" s="56" t="s">
        <v>16134</v>
      </c>
      <c r="AM179" s="58"/>
      <c r="AN179" s="56" t="s">
        <v>16135</v>
      </c>
      <c r="AO179" s="58"/>
      <c r="AP179" s="63">
        <v>45807.5369097222</v>
      </c>
      <c r="AQ179" s="56" t="s">
        <v>16136</v>
      </c>
      <c r="AR179" s="61" t="s">
        <v>15448</v>
      </c>
      <c r="AS179" s="57" t="s">
        <v>14184</v>
      </c>
      <c r="AT179" s="56" t="s">
        <v>15177</v>
      </c>
      <c r="AU179" s="56" t="s">
        <v>16137</v>
      </c>
      <c r="AV179" s="58"/>
      <c r="AW179" s="64">
        <v>45706.7203935185</v>
      </c>
      <c r="AX179" s="56" t="s">
        <v>16134</v>
      </c>
      <c r="AY179" s="56" t="s">
        <v>15179</v>
      </c>
      <c r="AZ179" s="58"/>
      <c r="BA179" s="58"/>
      <c r="BB179" s="58"/>
      <c r="BC179" s="56" t="s">
        <v>4143</v>
      </c>
      <c r="BD179" s="56" t="s">
        <v>15551</v>
      </c>
      <c r="BE179" s="56" t="s">
        <v>16138</v>
      </c>
      <c r="BF179" s="56" t="s">
        <v>15181</v>
      </c>
      <c r="BG179" s="58"/>
      <c r="BH179" s="58"/>
      <c r="BI179" s="57" t="s">
        <v>2801</v>
      </c>
      <c r="BJ179" s="58"/>
      <c r="BK179" s="58"/>
      <c r="BL179" s="66">
        <v>3046707</v>
      </c>
      <c r="BM179" s="56" t="s">
        <v>16139</v>
      </c>
      <c r="BN179" s="58"/>
      <c r="BO179" s="67">
        <v>484741.2</v>
      </c>
      <c r="BP179" s="56" t="s">
        <v>15450</v>
      </c>
      <c r="BQ179" s="58"/>
      <c r="BR179" s="56" t="s">
        <v>16140</v>
      </c>
      <c r="BS179" s="56" t="s">
        <v>1285</v>
      </c>
      <c r="BT179" s="58"/>
      <c r="BU179" s="56" t="s">
        <v>16136</v>
      </c>
      <c r="BV179" s="58"/>
      <c r="BW179" s="58"/>
      <c r="BX179" s="67">
        <v>484741.2</v>
      </c>
      <c r="BY179" s="56" t="s">
        <v>1285</v>
      </c>
      <c r="BZ179" s="58"/>
      <c r="CA179" s="58"/>
      <c r="CB179" s="58"/>
      <c r="CC179" s="58"/>
      <c r="CD179" s="58"/>
    </row>
    <row r="180" ht="108" spans="1:82">
      <c r="A180" s="56" t="s">
        <v>16141</v>
      </c>
      <c r="B180" s="58"/>
      <c r="C180" s="57" t="s">
        <v>16142</v>
      </c>
      <c r="D180" s="58"/>
      <c r="E180" s="57" t="s">
        <v>15158</v>
      </c>
      <c r="F180" s="57" t="s">
        <v>16143</v>
      </c>
      <c r="G180" s="57" t="s">
        <v>15160</v>
      </c>
      <c r="H180" s="56" t="s">
        <v>3805</v>
      </c>
      <c r="I180" s="60">
        <v>22620</v>
      </c>
      <c r="J180" s="57" t="s">
        <v>1285</v>
      </c>
      <c r="K180" s="57" t="s">
        <v>15162</v>
      </c>
      <c r="L180" s="57" t="s">
        <v>15163</v>
      </c>
      <c r="M180" s="61" t="s">
        <v>15465</v>
      </c>
      <c r="N180" s="62" t="s">
        <v>15187</v>
      </c>
      <c r="O180" s="57" t="s">
        <v>15165</v>
      </c>
      <c r="P180" s="57" t="s">
        <v>15166</v>
      </c>
      <c r="Q180" s="57" t="s">
        <v>3805</v>
      </c>
      <c r="R180" s="57" t="s">
        <v>16008</v>
      </c>
      <c r="S180" s="57" t="s">
        <v>16009</v>
      </c>
      <c r="T180" s="57" t="s">
        <v>15190</v>
      </c>
      <c r="U180" s="57" t="s">
        <v>14184</v>
      </c>
      <c r="V180" s="56" t="s">
        <v>14153</v>
      </c>
      <c r="W180" s="58"/>
      <c r="X180" s="57" t="s">
        <v>16144</v>
      </c>
      <c r="Y180" s="57" t="s">
        <v>15170</v>
      </c>
      <c r="Z180" s="61" t="s">
        <v>15255</v>
      </c>
      <c r="AA180" s="61" t="s">
        <v>15465</v>
      </c>
      <c r="AB180" s="58"/>
      <c r="AC180" s="57" t="s">
        <v>15172</v>
      </c>
      <c r="AD180" s="58"/>
      <c r="AE180" s="58"/>
      <c r="AF180" s="58"/>
      <c r="AG180" s="58"/>
      <c r="AH180" s="58"/>
      <c r="AI180" s="58"/>
      <c r="AJ180" s="58"/>
      <c r="AK180" s="56" t="s">
        <v>1285</v>
      </c>
      <c r="AL180" s="56" t="s">
        <v>16145</v>
      </c>
      <c r="AM180" s="58"/>
      <c r="AN180" s="56" t="s">
        <v>15175</v>
      </c>
      <c r="AO180" s="58"/>
      <c r="AP180" s="63">
        <v>45807.5370023148</v>
      </c>
      <c r="AQ180" s="56" t="s">
        <v>16146</v>
      </c>
      <c r="AR180" s="61" t="s">
        <v>15448</v>
      </c>
      <c r="AS180" s="57" t="s">
        <v>14184</v>
      </c>
      <c r="AT180" s="56" t="s">
        <v>15177</v>
      </c>
      <c r="AU180" s="56" t="s">
        <v>16147</v>
      </c>
      <c r="AV180" s="58"/>
      <c r="AW180" s="64">
        <v>45706.7193055556</v>
      </c>
      <c r="AX180" s="56" t="s">
        <v>16145</v>
      </c>
      <c r="AY180" s="56" t="s">
        <v>15179</v>
      </c>
      <c r="AZ180" s="58"/>
      <c r="BA180" s="58"/>
      <c r="BB180" s="58"/>
      <c r="BC180" s="56" t="s">
        <v>6784</v>
      </c>
      <c r="BD180" s="56" t="s">
        <v>16148</v>
      </c>
      <c r="BE180" s="56" t="s">
        <v>16149</v>
      </c>
      <c r="BF180" s="56" t="s">
        <v>15181</v>
      </c>
      <c r="BG180" s="58"/>
      <c r="BH180" s="58"/>
      <c r="BI180" s="57" t="s">
        <v>2801</v>
      </c>
      <c r="BJ180" s="58"/>
      <c r="BK180" s="58"/>
      <c r="BL180" s="66">
        <v>3125843</v>
      </c>
      <c r="BM180" s="56" t="s">
        <v>16150</v>
      </c>
      <c r="BN180" s="58"/>
      <c r="BO180" s="67">
        <v>7540</v>
      </c>
      <c r="BP180" s="56" t="s">
        <v>15450</v>
      </c>
      <c r="BQ180" s="58"/>
      <c r="BR180" s="56" t="s">
        <v>16151</v>
      </c>
      <c r="BS180" s="56" t="s">
        <v>1285</v>
      </c>
      <c r="BT180" s="58"/>
      <c r="BU180" s="56" t="s">
        <v>16146</v>
      </c>
      <c r="BV180" s="58"/>
      <c r="BW180" s="58"/>
      <c r="BX180" s="67">
        <v>7540</v>
      </c>
      <c r="BY180" s="56" t="s">
        <v>1285</v>
      </c>
      <c r="BZ180" s="58"/>
      <c r="CA180" s="58"/>
      <c r="CB180" s="58"/>
      <c r="CC180" s="58"/>
      <c r="CD180" s="58"/>
    </row>
    <row r="181" ht="108" spans="1:82">
      <c r="A181" s="56" t="s">
        <v>16152</v>
      </c>
      <c r="B181" s="58"/>
      <c r="C181" s="57" t="s">
        <v>16142</v>
      </c>
      <c r="D181" s="58"/>
      <c r="E181" s="57" t="s">
        <v>15158</v>
      </c>
      <c r="F181" s="57" t="s">
        <v>16143</v>
      </c>
      <c r="G181" s="57" t="s">
        <v>15160</v>
      </c>
      <c r="H181" s="56" t="s">
        <v>3805</v>
      </c>
      <c r="I181" s="60">
        <v>22620</v>
      </c>
      <c r="J181" s="57" t="s">
        <v>1285</v>
      </c>
      <c r="K181" s="57" t="s">
        <v>15162</v>
      </c>
      <c r="L181" s="57" t="s">
        <v>15163</v>
      </c>
      <c r="M181" s="61" t="s">
        <v>15465</v>
      </c>
      <c r="N181" s="62" t="s">
        <v>15187</v>
      </c>
      <c r="O181" s="57" t="s">
        <v>15165</v>
      </c>
      <c r="P181" s="57" t="s">
        <v>15166</v>
      </c>
      <c r="Q181" s="57" t="s">
        <v>3805</v>
      </c>
      <c r="R181" s="57" t="s">
        <v>16008</v>
      </c>
      <c r="S181" s="57" t="s">
        <v>16009</v>
      </c>
      <c r="T181" s="57" t="s">
        <v>15190</v>
      </c>
      <c r="U181" s="57" t="s">
        <v>14184</v>
      </c>
      <c r="V181" s="56" t="s">
        <v>14153</v>
      </c>
      <c r="W181" s="58"/>
      <c r="X181" s="57" t="s">
        <v>16144</v>
      </c>
      <c r="Y181" s="57" t="s">
        <v>15170</v>
      </c>
      <c r="Z181" s="61" t="s">
        <v>15255</v>
      </c>
      <c r="AA181" s="61" t="s">
        <v>15465</v>
      </c>
      <c r="AB181" s="58"/>
      <c r="AC181" s="57" t="s">
        <v>15172</v>
      </c>
      <c r="AD181" s="58"/>
      <c r="AE181" s="58"/>
      <c r="AF181" s="58"/>
      <c r="AG181" s="58"/>
      <c r="AH181" s="58"/>
      <c r="AI181" s="58"/>
      <c r="AJ181" s="58"/>
      <c r="AK181" s="56" t="s">
        <v>1285</v>
      </c>
      <c r="AL181" s="56" t="s">
        <v>16145</v>
      </c>
      <c r="AM181" s="58"/>
      <c r="AN181" s="56" t="s">
        <v>15175</v>
      </c>
      <c r="AO181" s="58"/>
      <c r="AP181" s="63">
        <v>45807.5370023148</v>
      </c>
      <c r="AQ181" s="56" t="s">
        <v>16146</v>
      </c>
      <c r="AR181" s="61" t="s">
        <v>15448</v>
      </c>
      <c r="AS181" s="57" t="s">
        <v>14184</v>
      </c>
      <c r="AT181" s="56" t="s">
        <v>15177</v>
      </c>
      <c r="AU181" s="56" t="s">
        <v>16147</v>
      </c>
      <c r="AV181" s="58"/>
      <c r="AW181" s="64">
        <v>45706.7193055556</v>
      </c>
      <c r="AX181" s="56" t="s">
        <v>16145</v>
      </c>
      <c r="AY181" s="56" t="s">
        <v>15179</v>
      </c>
      <c r="AZ181" s="58"/>
      <c r="BA181" s="58"/>
      <c r="BB181" s="58"/>
      <c r="BC181" s="56" t="s">
        <v>6784</v>
      </c>
      <c r="BD181" s="56" t="s">
        <v>16148</v>
      </c>
      <c r="BE181" s="56" t="s">
        <v>16149</v>
      </c>
      <c r="BF181" s="56" t="s">
        <v>15181</v>
      </c>
      <c r="BG181" s="58"/>
      <c r="BH181" s="58"/>
      <c r="BI181" s="57" t="s">
        <v>2801</v>
      </c>
      <c r="BJ181" s="58"/>
      <c r="BK181" s="58"/>
      <c r="BL181" s="66">
        <v>3125843</v>
      </c>
      <c r="BM181" s="56" t="s">
        <v>16150</v>
      </c>
      <c r="BN181" s="58"/>
      <c r="BO181" s="67">
        <v>7540</v>
      </c>
      <c r="BP181" s="56" t="s">
        <v>15450</v>
      </c>
      <c r="BQ181" s="58"/>
      <c r="BR181" s="56" t="s">
        <v>16151</v>
      </c>
      <c r="BS181" s="56" t="s">
        <v>1285</v>
      </c>
      <c r="BT181" s="58"/>
      <c r="BU181" s="56" t="s">
        <v>16146</v>
      </c>
      <c r="BV181" s="58"/>
      <c r="BW181" s="58"/>
      <c r="BX181" s="67">
        <v>7540</v>
      </c>
      <c r="BY181" s="56" t="s">
        <v>1285</v>
      </c>
      <c r="BZ181" s="58"/>
      <c r="CA181" s="58"/>
      <c r="CB181" s="58"/>
      <c r="CC181" s="58"/>
      <c r="CD181" s="58"/>
    </row>
    <row r="182" ht="108" spans="1:82">
      <c r="A182" s="56" t="s">
        <v>16153</v>
      </c>
      <c r="B182" s="58"/>
      <c r="C182" s="57" t="s">
        <v>16142</v>
      </c>
      <c r="D182" s="58"/>
      <c r="E182" s="57" t="s">
        <v>15158</v>
      </c>
      <c r="F182" s="57" t="s">
        <v>16143</v>
      </c>
      <c r="G182" s="57" t="s">
        <v>15160</v>
      </c>
      <c r="H182" s="56" t="s">
        <v>3805</v>
      </c>
      <c r="I182" s="60">
        <v>22620</v>
      </c>
      <c r="J182" s="57" t="s">
        <v>1285</v>
      </c>
      <c r="K182" s="57" t="s">
        <v>15162</v>
      </c>
      <c r="L182" s="57" t="s">
        <v>15163</v>
      </c>
      <c r="M182" s="61" t="s">
        <v>15465</v>
      </c>
      <c r="N182" s="62" t="s">
        <v>15187</v>
      </c>
      <c r="O182" s="57" t="s">
        <v>15165</v>
      </c>
      <c r="P182" s="57" t="s">
        <v>15166</v>
      </c>
      <c r="Q182" s="57" t="s">
        <v>3805</v>
      </c>
      <c r="R182" s="57" t="s">
        <v>16008</v>
      </c>
      <c r="S182" s="57" t="s">
        <v>16009</v>
      </c>
      <c r="T182" s="57" t="s">
        <v>15190</v>
      </c>
      <c r="U182" s="57" t="s">
        <v>14184</v>
      </c>
      <c r="V182" s="56" t="s">
        <v>14153</v>
      </c>
      <c r="W182" s="58"/>
      <c r="X182" s="57" t="s">
        <v>16144</v>
      </c>
      <c r="Y182" s="57" t="s">
        <v>15170</v>
      </c>
      <c r="Z182" s="61" t="s">
        <v>15255</v>
      </c>
      <c r="AA182" s="61" t="s">
        <v>15465</v>
      </c>
      <c r="AB182" s="58"/>
      <c r="AC182" s="57" t="s">
        <v>15172</v>
      </c>
      <c r="AD182" s="58"/>
      <c r="AE182" s="58"/>
      <c r="AF182" s="58"/>
      <c r="AG182" s="58"/>
      <c r="AH182" s="58"/>
      <c r="AI182" s="58"/>
      <c r="AJ182" s="58"/>
      <c r="AK182" s="56" t="s">
        <v>1285</v>
      </c>
      <c r="AL182" s="56" t="s">
        <v>16145</v>
      </c>
      <c r="AM182" s="58"/>
      <c r="AN182" s="56" t="s">
        <v>15175</v>
      </c>
      <c r="AO182" s="58"/>
      <c r="AP182" s="63">
        <v>45807.5370023148</v>
      </c>
      <c r="AQ182" s="56" t="s">
        <v>16146</v>
      </c>
      <c r="AR182" s="61" t="s">
        <v>15448</v>
      </c>
      <c r="AS182" s="57" t="s">
        <v>14184</v>
      </c>
      <c r="AT182" s="56" t="s">
        <v>15177</v>
      </c>
      <c r="AU182" s="56" t="s">
        <v>16147</v>
      </c>
      <c r="AV182" s="58"/>
      <c r="AW182" s="64">
        <v>45706.7193055556</v>
      </c>
      <c r="AX182" s="56" t="s">
        <v>16145</v>
      </c>
      <c r="AY182" s="56" t="s">
        <v>15179</v>
      </c>
      <c r="AZ182" s="58"/>
      <c r="BA182" s="58"/>
      <c r="BB182" s="58"/>
      <c r="BC182" s="56" t="s">
        <v>6784</v>
      </c>
      <c r="BD182" s="56" t="s">
        <v>16148</v>
      </c>
      <c r="BE182" s="56" t="s">
        <v>16149</v>
      </c>
      <c r="BF182" s="56" t="s">
        <v>15181</v>
      </c>
      <c r="BG182" s="58"/>
      <c r="BH182" s="58"/>
      <c r="BI182" s="57" t="s">
        <v>2801</v>
      </c>
      <c r="BJ182" s="58"/>
      <c r="BK182" s="58"/>
      <c r="BL182" s="66">
        <v>3125843</v>
      </c>
      <c r="BM182" s="56" t="s">
        <v>16150</v>
      </c>
      <c r="BN182" s="58"/>
      <c r="BO182" s="67">
        <v>7540</v>
      </c>
      <c r="BP182" s="56" t="s">
        <v>15450</v>
      </c>
      <c r="BQ182" s="58"/>
      <c r="BR182" s="56" t="s">
        <v>16151</v>
      </c>
      <c r="BS182" s="56" t="s">
        <v>1285</v>
      </c>
      <c r="BT182" s="58"/>
      <c r="BU182" s="56" t="s">
        <v>16146</v>
      </c>
      <c r="BV182" s="58"/>
      <c r="BW182" s="58"/>
      <c r="BX182" s="67">
        <v>7540</v>
      </c>
      <c r="BY182" s="56" t="s">
        <v>1285</v>
      </c>
      <c r="BZ182" s="58"/>
      <c r="CA182" s="58"/>
      <c r="CB182" s="58"/>
      <c r="CC182" s="58"/>
      <c r="CD182" s="58"/>
    </row>
    <row r="183" ht="108" spans="1:82">
      <c r="A183" s="56" t="s">
        <v>16154</v>
      </c>
      <c r="B183" s="58"/>
      <c r="C183" s="57" t="s">
        <v>16155</v>
      </c>
      <c r="D183" s="58"/>
      <c r="E183" s="57" t="s">
        <v>15158</v>
      </c>
      <c r="F183" s="57" t="s">
        <v>16156</v>
      </c>
      <c r="G183" s="57" t="s">
        <v>15160</v>
      </c>
      <c r="H183" s="56" t="s">
        <v>6789</v>
      </c>
      <c r="I183" s="60">
        <v>17569.5</v>
      </c>
      <c r="J183" s="57" t="s">
        <v>1285</v>
      </c>
      <c r="K183" s="57" t="s">
        <v>15162</v>
      </c>
      <c r="L183" s="57" t="s">
        <v>15163</v>
      </c>
      <c r="M183" s="61" t="s">
        <v>15465</v>
      </c>
      <c r="N183" s="62" t="s">
        <v>15187</v>
      </c>
      <c r="O183" s="57" t="s">
        <v>15165</v>
      </c>
      <c r="P183" s="57" t="s">
        <v>15166</v>
      </c>
      <c r="Q183" s="57" t="s">
        <v>6789</v>
      </c>
      <c r="R183" s="57" t="s">
        <v>16157</v>
      </c>
      <c r="S183" s="57" t="s">
        <v>16024</v>
      </c>
      <c r="T183" s="57" t="s">
        <v>15190</v>
      </c>
      <c r="U183" s="57" t="s">
        <v>14184</v>
      </c>
      <c r="V183" s="56" t="s">
        <v>14153</v>
      </c>
      <c r="W183" s="58"/>
      <c r="X183" s="57" t="s">
        <v>16158</v>
      </c>
      <c r="Y183" s="57" t="s">
        <v>15170</v>
      </c>
      <c r="Z183" s="61" t="s">
        <v>14605</v>
      </c>
      <c r="AA183" s="61" t="s">
        <v>15465</v>
      </c>
      <c r="AB183" s="58"/>
      <c r="AC183" s="57" t="s">
        <v>15172</v>
      </c>
      <c r="AD183" s="58"/>
      <c r="AE183" s="58"/>
      <c r="AF183" s="58"/>
      <c r="AG183" s="58"/>
      <c r="AH183" s="58"/>
      <c r="AI183" s="58"/>
      <c r="AJ183" s="58"/>
      <c r="AK183" s="56" t="s">
        <v>1285</v>
      </c>
      <c r="AL183" s="56" t="s">
        <v>16159</v>
      </c>
      <c r="AM183" s="58"/>
      <c r="AN183" s="56" t="s">
        <v>16160</v>
      </c>
      <c r="AO183" s="58"/>
      <c r="AP183" s="63">
        <v>45807.5362152778</v>
      </c>
      <c r="AQ183" s="56" t="s">
        <v>16161</v>
      </c>
      <c r="AR183" s="61" t="s">
        <v>15448</v>
      </c>
      <c r="AS183" s="57" t="s">
        <v>14184</v>
      </c>
      <c r="AT183" s="56" t="s">
        <v>15177</v>
      </c>
      <c r="AU183" s="56" t="s">
        <v>16162</v>
      </c>
      <c r="AV183" s="58"/>
      <c r="AW183" s="64">
        <v>45705.9636921296</v>
      </c>
      <c r="AX183" s="56" t="s">
        <v>16159</v>
      </c>
      <c r="AY183" s="56" t="s">
        <v>15179</v>
      </c>
      <c r="AZ183" s="58"/>
      <c r="BA183" s="58"/>
      <c r="BB183" s="58"/>
      <c r="BC183" s="56" t="s">
        <v>4167</v>
      </c>
      <c r="BD183" s="56" t="s">
        <v>16148</v>
      </c>
      <c r="BE183" s="56" t="s">
        <v>16163</v>
      </c>
      <c r="BF183" s="56" t="s">
        <v>15181</v>
      </c>
      <c r="BG183" s="58"/>
      <c r="BH183" s="58"/>
      <c r="BI183" s="57" t="s">
        <v>2801</v>
      </c>
      <c r="BJ183" s="58"/>
      <c r="BK183" s="58"/>
      <c r="BL183" s="66">
        <v>3125844</v>
      </c>
      <c r="BM183" s="56" t="s">
        <v>16164</v>
      </c>
      <c r="BN183" s="58"/>
      <c r="BO183" s="67">
        <v>5856.5</v>
      </c>
      <c r="BP183" s="56" t="s">
        <v>15450</v>
      </c>
      <c r="BQ183" s="58"/>
      <c r="BR183" s="56" t="s">
        <v>16165</v>
      </c>
      <c r="BS183" s="56" t="s">
        <v>1285</v>
      </c>
      <c r="BT183" s="58"/>
      <c r="BU183" s="56" t="s">
        <v>16161</v>
      </c>
      <c r="BV183" s="58"/>
      <c r="BW183" s="58"/>
      <c r="BX183" s="67">
        <v>5856.5</v>
      </c>
      <c r="BY183" s="56" t="s">
        <v>1285</v>
      </c>
      <c r="BZ183" s="58"/>
      <c r="CA183" s="58"/>
      <c r="CB183" s="58"/>
      <c r="CC183" s="58"/>
      <c r="CD183" s="58"/>
    </row>
    <row r="184" ht="108" spans="1:82">
      <c r="A184" s="56" t="s">
        <v>16166</v>
      </c>
      <c r="B184" s="58"/>
      <c r="C184" s="57" t="s">
        <v>16155</v>
      </c>
      <c r="D184" s="58"/>
      <c r="E184" s="57" t="s">
        <v>15158</v>
      </c>
      <c r="F184" s="57" t="s">
        <v>16156</v>
      </c>
      <c r="G184" s="57" t="s">
        <v>15160</v>
      </c>
      <c r="H184" s="56" t="s">
        <v>6789</v>
      </c>
      <c r="I184" s="60">
        <v>17569.5</v>
      </c>
      <c r="J184" s="57" t="s">
        <v>1285</v>
      </c>
      <c r="K184" s="57" t="s">
        <v>15162</v>
      </c>
      <c r="L184" s="57" t="s">
        <v>15163</v>
      </c>
      <c r="M184" s="61" t="s">
        <v>15465</v>
      </c>
      <c r="N184" s="62" t="s">
        <v>15187</v>
      </c>
      <c r="O184" s="57" t="s">
        <v>15165</v>
      </c>
      <c r="P184" s="57" t="s">
        <v>15166</v>
      </c>
      <c r="Q184" s="57" t="s">
        <v>6789</v>
      </c>
      <c r="R184" s="57" t="s">
        <v>16157</v>
      </c>
      <c r="S184" s="57" t="s">
        <v>16024</v>
      </c>
      <c r="T184" s="57" t="s">
        <v>15190</v>
      </c>
      <c r="U184" s="57" t="s">
        <v>14184</v>
      </c>
      <c r="V184" s="56" t="s">
        <v>14153</v>
      </c>
      <c r="W184" s="58"/>
      <c r="X184" s="57" t="s">
        <v>16158</v>
      </c>
      <c r="Y184" s="57" t="s">
        <v>15170</v>
      </c>
      <c r="Z184" s="61" t="s">
        <v>14605</v>
      </c>
      <c r="AA184" s="61" t="s">
        <v>15465</v>
      </c>
      <c r="AB184" s="58"/>
      <c r="AC184" s="57" t="s">
        <v>15172</v>
      </c>
      <c r="AD184" s="58"/>
      <c r="AE184" s="58"/>
      <c r="AF184" s="58"/>
      <c r="AG184" s="58"/>
      <c r="AH184" s="58"/>
      <c r="AI184" s="58"/>
      <c r="AJ184" s="58"/>
      <c r="AK184" s="56" t="s">
        <v>1285</v>
      </c>
      <c r="AL184" s="56" t="s">
        <v>16159</v>
      </c>
      <c r="AM184" s="58"/>
      <c r="AN184" s="56" t="s">
        <v>16160</v>
      </c>
      <c r="AO184" s="58"/>
      <c r="AP184" s="63">
        <v>45807.5362152778</v>
      </c>
      <c r="AQ184" s="56" t="s">
        <v>16161</v>
      </c>
      <c r="AR184" s="61" t="s">
        <v>15448</v>
      </c>
      <c r="AS184" s="57" t="s">
        <v>14184</v>
      </c>
      <c r="AT184" s="56" t="s">
        <v>15177</v>
      </c>
      <c r="AU184" s="56" t="s">
        <v>16162</v>
      </c>
      <c r="AV184" s="58"/>
      <c r="AW184" s="64">
        <v>45705.9636921296</v>
      </c>
      <c r="AX184" s="56" t="s">
        <v>16159</v>
      </c>
      <c r="AY184" s="56" t="s">
        <v>15179</v>
      </c>
      <c r="AZ184" s="58"/>
      <c r="BA184" s="58"/>
      <c r="BB184" s="58"/>
      <c r="BC184" s="56" t="s">
        <v>4167</v>
      </c>
      <c r="BD184" s="56" t="s">
        <v>16148</v>
      </c>
      <c r="BE184" s="56" t="s">
        <v>16163</v>
      </c>
      <c r="BF184" s="56" t="s">
        <v>15181</v>
      </c>
      <c r="BG184" s="58"/>
      <c r="BH184" s="58"/>
      <c r="BI184" s="57" t="s">
        <v>2801</v>
      </c>
      <c r="BJ184" s="58"/>
      <c r="BK184" s="58"/>
      <c r="BL184" s="66">
        <v>3125844</v>
      </c>
      <c r="BM184" s="56" t="s">
        <v>16164</v>
      </c>
      <c r="BN184" s="58"/>
      <c r="BO184" s="67">
        <v>5856.5</v>
      </c>
      <c r="BP184" s="56" t="s">
        <v>15450</v>
      </c>
      <c r="BQ184" s="58"/>
      <c r="BR184" s="56" t="s">
        <v>16165</v>
      </c>
      <c r="BS184" s="56" t="s">
        <v>1285</v>
      </c>
      <c r="BT184" s="58"/>
      <c r="BU184" s="56" t="s">
        <v>16161</v>
      </c>
      <c r="BV184" s="58"/>
      <c r="BW184" s="58"/>
      <c r="BX184" s="67">
        <v>5856.5</v>
      </c>
      <c r="BY184" s="56" t="s">
        <v>1285</v>
      </c>
      <c r="BZ184" s="58"/>
      <c r="CA184" s="58"/>
      <c r="CB184" s="58"/>
      <c r="CC184" s="58"/>
      <c r="CD184" s="58"/>
    </row>
    <row r="185" ht="108" spans="1:82">
      <c r="A185" s="56" t="s">
        <v>16167</v>
      </c>
      <c r="B185" s="58"/>
      <c r="C185" s="57" t="s">
        <v>16155</v>
      </c>
      <c r="D185" s="58"/>
      <c r="E185" s="57" t="s">
        <v>15158</v>
      </c>
      <c r="F185" s="57" t="s">
        <v>16156</v>
      </c>
      <c r="G185" s="57" t="s">
        <v>15160</v>
      </c>
      <c r="H185" s="56" t="s">
        <v>6789</v>
      </c>
      <c r="I185" s="60">
        <v>17569.5</v>
      </c>
      <c r="J185" s="57" t="s">
        <v>1285</v>
      </c>
      <c r="K185" s="57" t="s">
        <v>15162</v>
      </c>
      <c r="L185" s="57" t="s">
        <v>15163</v>
      </c>
      <c r="M185" s="61" t="s">
        <v>15465</v>
      </c>
      <c r="N185" s="62" t="s">
        <v>15187</v>
      </c>
      <c r="O185" s="57" t="s">
        <v>15165</v>
      </c>
      <c r="P185" s="57" t="s">
        <v>15166</v>
      </c>
      <c r="Q185" s="57" t="s">
        <v>6789</v>
      </c>
      <c r="R185" s="57" t="s">
        <v>16157</v>
      </c>
      <c r="S185" s="57" t="s">
        <v>16024</v>
      </c>
      <c r="T185" s="57" t="s">
        <v>15190</v>
      </c>
      <c r="U185" s="57" t="s">
        <v>14184</v>
      </c>
      <c r="V185" s="56" t="s">
        <v>14153</v>
      </c>
      <c r="W185" s="58"/>
      <c r="X185" s="57" t="s">
        <v>16158</v>
      </c>
      <c r="Y185" s="57" t="s">
        <v>15170</v>
      </c>
      <c r="Z185" s="61" t="s">
        <v>14605</v>
      </c>
      <c r="AA185" s="61" t="s">
        <v>15465</v>
      </c>
      <c r="AB185" s="58"/>
      <c r="AC185" s="57" t="s">
        <v>15172</v>
      </c>
      <c r="AD185" s="58"/>
      <c r="AE185" s="58"/>
      <c r="AF185" s="58"/>
      <c r="AG185" s="58"/>
      <c r="AH185" s="58"/>
      <c r="AI185" s="58"/>
      <c r="AJ185" s="58"/>
      <c r="AK185" s="56" t="s">
        <v>1285</v>
      </c>
      <c r="AL185" s="56" t="s">
        <v>16159</v>
      </c>
      <c r="AM185" s="58"/>
      <c r="AN185" s="56" t="s">
        <v>16160</v>
      </c>
      <c r="AO185" s="58"/>
      <c r="AP185" s="63">
        <v>45807.5362152778</v>
      </c>
      <c r="AQ185" s="56" t="s">
        <v>16161</v>
      </c>
      <c r="AR185" s="61" t="s">
        <v>15448</v>
      </c>
      <c r="AS185" s="57" t="s">
        <v>14184</v>
      </c>
      <c r="AT185" s="56" t="s">
        <v>15177</v>
      </c>
      <c r="AU185" s="56" t="s">
        <v>16162</v>
      </c>
      <c r="AV185" s="58"/>
      <c r="AW185" s="64">
        <v>45705.9636921296</v>
      </c>
      <c r="AX185" s="56" t="s">
        <v>16159</v>
      </c>
      <c r="AY185" s="56" t="s">
        <v>15179</v>
      </c>
      <c r="AZ185" s="58"/>
      <c r="BA185" s="58"/>
      <c r="BB185" s="58"/>
      <c r="BC185" s="56" t="s">
        <v>4167</v>
      </c>
      <c r="BD185" s="56" t="s">
        <v>16148</v>
      </c>
      <c r="BE185" s="56" t="s">
        <v>16163</v>
      </c>
      <c r="BF185" s="56" t="s">
        <v>15181</v>
      </c>
      <c r="BG185" s="58"/>
      <c r="BH185" s="58"/>
      <c r="BI185" s="57" t="s">
        <v>2801</v>
      </c>
      <c r="BJ185" s="58"/>
      <c r="BK185" s="58"/>
      <c r="BL185" s="66">
        <v>3125844</v>
      </c>
      <c r="BM185" s="56" t="s">
        <v>16164</v>
      </c>
      <c r="BN185" s="58"/>
      <c r="BO185" s="67">
        <v>5856.5</v>
      </c>
      <c r="BP185" s="56" t="s">
        <v>15450</v>
      </c>
      <c r="BQ185" s="58"/>
      <c r="BR185" s="56" t="s">
        <v>16165</v>
      </c>
      <c r="BS185" s="56" t="s">
        <v>1285</v>
      </c>
      <c r="BT185" s="58"/>
      <c r="BU185" s="56" t="s">
        <v>16161</v>
      </c>
      <c r="BV185" s="58"/>
      <c r="BW185" s="58"/>
      <c r="BX185" s="67">
        <v>5856.5</v>
      </c>
      <c r="BY185" s="56" t="s">
        <v>1285</v>
      </c>
      <c r="BZ185" s="58"/>
      <c r="CA185" s="58"/>
      <c r="CB185" s="58"/>
      <c r="CC185" s="58"/>
      <c r="CD185" s="58"/>
    </row>
    <row r="186" ht="108" spans="1:82">
      <c r="A186" s="56" t="s">
        <v>16168</v>
      </c>
      <c r="B186" s="58"/>
      <c r="C186" s="57" t="s">
        <v>16169</v>
      </c>
      <c r="D186" s="58"/>
      <c r="E186" s="57" t="s">
        <v>15158</v>
      </c>
      <c r="F186" s="57" t="s">
        <v>16170</v>
      </c>
      <c r="G186" s="57" t="s">
        <v>15160</v>
      </c>
      <c r="H186" s="56" t="s">
        <v>4639</v>
      </c>
      <c r="I186" s="60">
        <v>218994</v>
      </c>
      <c r="J186" s="57" t="s">
        <v>1285</v>
      </c>
      <c r="K186" s="57" t="s">
        <v>15162</v>
      </c>
      <c r="L186" s="57" t="s">
        <v>15163</v>
      </c>
      <c r="M186" s="61" t="s">
        <v>15465</v>
      </c>
      <c r="N186" s="62" t="s">
        <v>15205</v>
      </c>
      <c r="O186" s="57" t="s">
        <v>15165</v>
      </c>
      <c r="P186" s="57" t="s">
        <v>15166</v>
      </c>
      <c r="Q186" s="57" t="s">
        <v>4639</v>
      </c>
      <c r="R186" s="57" t="s">
        <v>16171</v>
      </c>
      <c r="S186" s="57" t="s">
        <v>16172</v>
      </c>
      <c r="T186" s="57" t="s">
        <v>15190</v>
      </c>
      <c r="U186" s="57" t="s">
        <v>14184</v>
      </c>
      <c r="V186" s="56" t="s">
        <v>14153</v>
      </c>
      <c r="W186" s="58"/>
      <c r="X186" s="57" t="s">
        <v>16173</v>
      </c>
      <c r="Y186" s="57" t="s">
        <v>15170</v>
      </c>
      <c r="Z186" s="61" t="s">
        <v>15504</v>
      </c>
      <c r="AA186" s="61" t="s">
        <v>15465</v>
      </c>
      <c r="AB186" s="58"/>
      <c r="AC186" s="57" t="s">
        <v>15172</v>
      </c>
      <c r="AD186" s="58"/>
      <c r="AE186" s="58"/>
      <c r="AF186" s="58"/>
      <c r="AG186" s="58"/>
      <c r="AH186" s="58"/>
      <c r="AI186" s="58"/>
      <c r="AJ186" s="58"/>
      <c r="AK186" s="56" t="s">
        <v>1285</v>
      </c>
      <c r="AL186" s="56" t="s">
        <v>16174</v>
      </c>
      <c r="AM186" s="58"/>
      <c r="AN186" s="56" t="s">
        <v>15387</v>
      </c>
      <c r="AO186" s="58"/>
      <c r="AP186" s="63">
        <v>45807.5364236111</v>
      </c>
      <c r="AQ186" s="56" t="s">
        <v>16175</v>
      </c>
      <c r="AR186" s="61" t="s">
        <v>15448</v>
      </c>
      <c r="AS186" s="57" t="s">
        <v>14184</v>
      </c>
      <c r="AT186" s="56" t="s">
        <v>15177</v>
      </c>
      <c r="AU186" s="56" t="s">
        <v>16176</v>
      </c>
      <c r="AV186" s="58"/>
      <c r="AW186" s="64">
        <v>45694.8086921296</v>
      </c>
      <c r="AX186" s="56" t="s">
        <v>16174</v>
      </c>
      <c r="AY186" s="56" t="s">
        <v>15179</v>
      </c>
      <c r="AZ186" s="58"/>
      <c r="BA186" s="58"/>
      <c r="BB186" s="58"/>
      <c r="BC186" s="56" t="s">
        <v>16177</v>
      </c>
      <c r="BD186" s="56" t="s">
        <v>15197</v>
      </c>
      <c r="BE186" s="58"/>
      <c r="BF186" s="56" t="s">
        <v>15181</v>
      </c>
      <c r="BG186" s="58"/>
      <c r="BH186" s="58"/>
      <c r="BI186" s="57" t="s">
        <v>2801</v>
      </c>
      <c r="BJ186" s="58"/>
      <c r="BK186" s="58"/>
      <c r="BL186" s="66">
        <v>3406261</v>
      </c>
      <c r="BM186" s="56" t="s">
        <v>16178</v>
      </c>
      <c r="BN186" s="58"/>
      <c r="BO186" s="67">
        <v>36270</v>
      </c>
      <c r="BP186" s="56" t="s">
        <v>15450</v>
      </c>
      <c r="BQ186" s="58"/>
      <c r="BR186" s="56" t="s">
        <v>16179</v>
      </c>
      <c r="BS186" s="56" t="s">
        <v>1285</v>
      </c>
      <c r="BT186" s="58"/>
      <c r="BU186" s="56" t="s">
        <v>16175</v>
      </c>
      <c r="BV186" s="58"/>
      <c r="BW186" s="58"/>
      <c r="BX186" s="67">
        <v>36270</v>
      </c>
      <c r="BY186" s="58"/>
      <c r="BZ186" s="58"/>
      <c r="CA186" s="58"/>
      <c r="CB186" s="58"/>
      <c r="CC186" s="58"/>
      <c r="CD186" s="58"/>
    </row>
    <row r="187" ht="108" spans="1:82">
      <c r="A187" s="56" t="s">
        <v>16180</v>
      </c>
      <c r="B187" s="58"/>
      <c r="C187" s="57" t="s">
        <v>16169</v>
      </c>
      <c r="D187" s="58"/>
      <c r="E187" s="57" t="s">
        <v>15158</v>
      </c>
      <c r="F187" s="57" t="s">
        <v>16170</v>
      </c>
      <c r="G187" s="57" t="s">
        <v>15160</v>
      </c>
      <c r="H187" s="56" t="s">
        <v>4639</v>
      </c>
      <c r="I187" s="60">
        <v>218994</v>
      </c>
      <c r="J187" s="57" t="s">
        <v>1285</v>
      </c>
      <c r="K187" s="57" t="s">
        <v>15162</v>
      </c>
      <c r="L187" s="57" t="s">
        <v>15163</v>
      </c>
      <c r="M187" s="61" t="s">
        <v>15465</v>
      </c>
      <c r="N187" s="62" t="s">
        <v>15205</v>
      </c>
      <c r="O187" s="57" t="s">
        <v>15165</v>
      </c>
      <c r="P187" s="57" t="s">
        <v>15166</v>
      </c>
      <c r="Q187" s="57" t="s">
        <v>4639</v>
      </c>
      <c r="R187" s="57" t="s">
        <v>16171</v>
      </c>
      <c r="S187" s="57" t="s">
        <v>16172</v>
      </c>
      <c r="T187" s="57" t="s">
        <v>15190</v>
      </c>
      <c r="U187" s="57" t="s">
        <v>14184</v>
      </c>
      <c r="V187" s="56" t="s">
        <v>14153</v>
      </c>
      <c r="W187" s="58"/>
      <c r="X187" s="57" t="s">
        <v>16173</v>
      </c>
      <c r="Y187" s="57" t="s">
        <v>15170</v>
      </c>
      <c r="Z187" s="61" t="s">
        <v>15504</v>
      </c>
      <c r="AA187" s="61" t="s">
        <v>15465</v>
      </c>
      <c r="AB187" s="58"/>
      <c r="AC187" s="57" t="s">
        <v>15172</v>
      </c>
      <c r="AD187" s="58"/>
      <c r="AE187" s="58"/>
      <c r="AF187" s="58"/>
      <c r="AG187" s="58"/>
      <c r="AH187" s="58"/>
      <c r="AI187" s="58"/>
      <c r="AJ187" s="58"/>
      <c r="AK187" s="56" t="s">
        <v>1285</v>
      </c>
      <c r="AL187" s="56" t="s">
        <v>16174</v>
      </c>
      <c r="AM187" s="58"/>
      <c r="AN187" s="56" t="s">
        <v>15387</v>
      </c>
      <c r="AO187" s="58"/>
      <c r="AP187" s="63">
        <v>45807.5364236111</v>
      </c>
      <c r="AQ187" s="56" t="s">
        <v>16175</v>
      </c>
      <c r="AR187" s="61" t="s">
        <v>15448</v>
      </c>
      <c r="AS187" s="57" t="s">
        <v>14184</v>
      </c>
      <c r="AT187" s="56" t="s">
        <v>15177</v>
      </c>
      <c r="AU187" s="56" t="s">
        <v>16176</v>
      </c>
      <c r="AV187" s="58"/>
      <c r="AW187" s="64">
        <v>45694.8086921296</v>
      </c>
      <c r="AX187" s="56" t="s">
        <v>16174</v>
      </c>
      <c r="AY187" s="56" t="s">
        <v>15179</v>
      </c>
      <c r="AZ187" s="58"/>
      <c r="BA187" s="58"/>
      <c r="BB187" s="58"/>
      <c r="BC187" s="56" t="s">
        <v>16181</v>
      </c>
      <c r="BD187" s="56" t="s">
        <v>15197</v>
      </c>
      <c r="BE187" s="58"/>
      <c r="BF187" s="56" t="s">
        <v>15181</v>
      </c>
      <c r="BG187" s="58"/>
      <c r="BH187" s="58"/>
      <c r="BI187" s="57" t="s">
        <v>2801</v>
      </c>
      <c r="BJ187" s="58"/>
      <c r="BK187" s="58"/>
      <c r="BL187" s="66">
        <v>3406260</v>
      </c>
      <c r="BM187" s="56" t="s">
        <v>16178</v>
      </c>
      <c r="BN187" s="58"/>
      <c r="BO187" s="67">
        <v>46284</v>
      </c>
      <c r="BP187" s="56" t="s">
        <v>15450</v>
      </c>
      <c r="BQ187" s="58"/>
      <c r="BR187" s="56" t="s">
        <v>16179</v>
      </c>
      <c r="BS187" s="56" t="s">
        <v>1285</v>
      </c>
      <c r="BT187" s="58"/>
      <c r="BU187" s="56" t="s">
        <v>16175</v>
      </c>
      <c r="BV187" s="58"/>
      <c r="BW187" s="58"/>
      <c r="BX187" s="67">
        <v>46284</v>
      </c>
      <c r="BY187" s="58"/>
      <c r="BZ187" s="58"/>
      <c r="CA187" s="58"/>
      <c r="CB187" s="58"/>
      <c r="CC187" s="58"/>
      <c r="CD187" s="58"/>
    </row>
    <row r="188" ht="108" spans="1:82">
      <c r="A188" s="56" t="s">
        <v>16182</v>
      </c>
      <c r="B188" s="58"/>
      <c r="C188" s="57" t="s">
        <v>16169</v>
      </c>
      <c r="D188" s="58"/>
      <c r="E188" s="57" t="s">
        <v>15158</v>
      </c>
      <c r="F188" s="57" t="s">
        <v>16170</v>
      </c>
      <c r="G188" s="57" t="s">
        <v>15160</v>
      </c>
      <c r="H188" s="56" t="s">
        <v>4639</v>
      </c>
      <c r="I188" s="60">
        <v>218994</v>
      </c>
      <c r="J188" s="57" t="s">
        <v>1285</v>
      </c>
      <c r="K188" s="57" t="s">
        <v>15162</v>
      </c>
      <c r="L188" s="57" t="s">
        <v>15163</v>
      </c>
      <c r="M188" s="61" t="s">
        <v>15465</v>
      </c>
      <c r="N188" s="62" t="s">
        <v>15205</v>
      </c>
      <c r="O188" s="57" t="s">
        <v>15165</v>
      </c>
      <c r="P188" s="57" t="s">
        <v>15166</v>
      </c>
      <c r="Q188" s="57" t="s">
        <v>4639</v>
      </c>
      <c r="R188" s="57" t="s">
        <v>16171</v>
      </c>
      <c r="S188" s="57" t="s">
        <v>16172</v>
      </c>
      <c r="T188" s="57" t="s">
        <v>15190</v>
      </c>
      <c r="U188" s="57" t="s">
        <v>14184</v>
      </c>
      <c r="V188" s="56" t="s">
        <v>14153</v>
      </c>
      <c r="W188" s="58"/>
      <c r="X188" s="57" t="s">
        <v>16173</v>
      </c>
      <c r="Y188" s="57" t="s">
        <v>15170</v>
      </c>
      <c r="Z188" s="61" t="s">
        <v>15504</v>
      </c>
      <c r="AA188" s="61" t="s">
        <v>15465</v>
      </c>
      <c r="AB188" s="58"/>
      <c r="AC188" s="57" t="s">
        <v>15172</v>
      </c>
      <c r="AD188" s="58"/>
      <c r="AE188" s="58"/>
      <c r="AF188" s="58"/>
      <c r="AG188" s="58"/>
      <c r="AH188" s="58"/>
      <c r="AI188" s="58"/>
      <c r="AJ188" s="58"/>
      <c r="AK188" s="56" t="s">
        <v>1285</v>
      </c>
      <c r="AL188" s="56" t="s">
        <v>16174</v>
      </c>
      <c r="AM188" s="58"/>
      <c r="AN188" s="56" t="s">
        <v>15387</v>
      </c>
      <c r="AO188" s="58"/>
      <c r="AP188" s="63">
        <v>45807.5364236111</v>
      </c>
      <c r="AQ188" s="56" t="s">
        <v>16175</v>
      </c>
      <c r="AR188" s="61" t="s">
        <v>15448</v>
      </c>
      <c r="AS188" s="57" t="s">
        <v>14184</v>
      </c>
      <c r="AT188" s="56" t="s">
        <v>15177</v>
      </c>
      <c r="AU188" s="56" t="s">
        <v>16176</v>
      </c>
      <c r="AV188" s="58"/>
      <c r="AW188" s="64">
        <v>45694.8086921296</v>
      </c>
      <c r="AX188" s="56" t="s">
        <v>16174</v>
      </c>
      <c r="AY188" s="56" t="s">
        <v>15179</v>
      </c>
      <c r="AZ188" s="58"/>
      <c r="BA188" s="58"/>
      <c r="BB188" s="58"/>
      <c r="BC188" s="56" t="s">
        <v>16181</v>
      </c>
      <c r="BD188" s="56" t="s">
        <v>15197</v>
      </c>
      <c r="BE188" s="58"/>
      <c r="BF188" s="56" t="s">
        <v>15181</v>
      </c>
      <c r="BG188" s="58"/>
      <c r="BH188" s="58"/>
      <c r="BI188" s="57" t="s">
        <v>2801</v>
      </c>
      <c r="BJ188" s="58"/>
      <c r="BK188" s="58"/>
      <c r="BL188" s="66">
        <v>3406257</v>
      </c>
      <c r="BM188" s="56" t="s">
        <v>16178</v>
      </c>
      <c r="BN188" s="58"/>
      <c r="BO188" s="67">
        <v>100740</v>
      </c>
      <c r="BP188" s="56" t="s">
        <v>15450</v>
      </c>
      <c r="BQ188" s="58"/>
      <c r="BR188" s="56" t="s">
        <v>16179</v>
      </c>
      <c r="BS188" s="56" t="s">
        <v>1285</v>
      </c>
      <c r="BT188" s="58"/>
      <c r="BU188" s="56" t="s">
        <v>16175</v>
      </c>
      <c r="BV188" s="58"/>
      <c r="BW188" s="58"/>
      <c r="BX188" s="67">
        <v>100740</v>
      </c>
      <c r="BY188" s="58"/>
      <c r="BZ188" s="58"/>
      <c r="CA188" s="58"/>
      <c r="CB188" s="58"/>
      <c r="CC188" s="58"/>
      <c r="CD188" s="58"/>
    </row>
    <row r="189" ht="108" spans="1:82">
      <c r="A189" s="56" t="s">
        <v>16183</v>
      </c>
      <c r="B189" s="58"/>
      <c r="C189" s="57" t="s">
        <v>16169</v>
      </c>
      <c r="D189" s="58"/>
      <c r="E189" s="57" t="s">
        <v>15158</v>
      </c>
      <c r="F189" s="57" t="s">
        <v>16170</v>
      </c>
      <c r="G189" s="57" t="s">
        <v>15160</v>
      </c>
      <c r="H189" s="56" t="s">
        <v>4639</v>
      </c>
      <c r="I189" s="60">
        <v>218994</v>
      </c>
      <c r="J189" s="57" t="s">
        <v>1285</v>
      </c>
      <c r="K189" s="57" t="s">
        <v>15162</v>
      </c>
      <c r="L189" s="57" t="s">
        <v>15163</v>
      </c>
      <c r="M189" s="61" t="s">
        <v>15465</v>
      </c>
      <c r="N189" s="62" t="s">
        <v>15205</v>
      </c>
      <c r="O189" s="57" t="s">
        <v>15165</v>
      </c>
      <c r="P189" s="57" t="s">
        <v>15166</v>
      </c>
      <c r="Q189" s="57" t="s">
        <v>4639</v>
      </c>
      <c r="R189" s="57" t="s">
        <v>16171</v>
      </c>
      <c r="S189" s="57" t="s">
        <v>16172</v>
      </c>
      <c r="T189" s="57" t="s">
        <v>15190</v>
      </c>
      <c r="U189" s="57" t="s">
        <v>14184</v>
      </c>
      <c r="V189" s="56" t="s">
        <v>14153</v>
      </c>
      <c r="W189" s="58"/>
      <c r="X189" s="57" t="s">
        <v>16173</v>
      </c>
      <c r="Y189" s="57" t="s">
        <v>15170</v>
      </c>
      <c r="Z189" s="61" t="s">
        <v>15504</v>
      </c>
      <c r="AA189" s="61" t="s">
        <v>15465</v>
      </c>
      <c r="AB189" s="58"/>
      <c r="AC189" s="57" t="s">
        <v>15172</v>
      </c>
      <c r="AD189" s="58"/>
      <c r="AE189" s="58"/>
      <c r="AF189" s="58"/>
      <c r="AG189" s="58"/>
      <c r="AH189" s="58"/>
      <c r="AI189" s="58"/>
      <c r="AJ189" s="58"/>
      <c r="AK189" s="56" t="s">
        <v>1285</v>
      </c>
      <c r="AL189" s="56" t="s">
        <v>16174</v>
      </c>
      <c r="AM189" s="58"/>
      <c r="AN189" s="56" t="s">
        <v>15387</v>
      </c>
      <c r="AO189" s="58"/>
      <c r="AP189" s="63">
        <v>45807.5364236111</v>
      </c>
      <c r="AQ189" s="56" t="s">
        <v>16175</v>
      </c>
      <c r="AR189" s="61" t="s">
        <v>15448</v>
      </c>
      <c r="AS189" s="57" t="s">
        <v>14184</v>
      </c>
      <c r="AT189" s="56" t="s">
        <v>15177</v>
      </c>
      <c r="AU189" s="56" t="s">
        <v>16176</v>
      </c>
      <c r="AV189" s="58"/>
      <c r="AW189" s="64">
        <v>45694.8086921296</v>
      </c>
      <c r="AX189" s="56" t="s">
        <v>16174</v>
      </c>
      <c r="AY189" s="56" t="s">
        <v>15179</v>
      </c>
      <c r="AZ189" s="58"/>
      <c r="BA189" s="58"/>
      <c r="BB189" s="58"/>
      <c r="BC189" s="56" t="s">
        <v>16181</v>
      </c>
      <c r="BD189" s="56" t="s">
        <v>15197</v>
      </c>
      <c r="BE189" s="58"/>
      <c r="BF189" s="56" t="s">
        <v>15181</v>
      </c>
      <c r="BG189" s="58"/>
      <c r="BH189" s="58"/>
      <c r="BI189" s="57" t="s">
        <v>2801</v>
      </c>
      <c r="BJ189" s="58"/>
      <c r="BK189" s="58"/>
      <c r="BL189" s="66">
        <v>3406259</v>
      </c>
      <c r="BM189" s="56" t="s">
        <v>16178</v>
      </c>
      <c r="BN189" s="58"/>
      <c r="BO189" s="67">
        <v>21900</v>
      </c>
      <c r="BP189" s="56" t="s">
        <v>15450</v>
      </c>
      <c r="BQ189" s="58"/>
      <c r="BR189" s="56" t="s">
        <v>16179</v>
      </c>
      <c r="BS189" s="56" t="s">
        <v>1285</v>
      </c>
      <c r="BT189" s="58"/>
      <c r="BU189" s="56" t="s">
        <v>16175</v>
      </c>
      <c r="BV189" s="58"/>
      <c r="BW189" s="58"/>
      <c r="BX189" s="67">
        <v>21900</v>
      </c>
      <c r="BY189" s="58"/>
      <c r="BZ189" s="58"/>
      <c r="CA189" s="58"/>
      <c r="CB189" s="58"/>
      <c r="CC189" s="58"/>
      <c r="CD189" s="58"/>
    </row>
    <row r="190" ht="108" spans="1:82">
      <c r="A190" s="56" t="s">
        <v>16184</v>
      </c>
      <c r="B190" s="58"/>
      <c r="C190" s="57" t="s">
        <v>16169</v>
      </c>
      <c r="D190" s="58"/>
      <c r="E190" s="57" t="s">
        <v>15158</v>
      </c>
      <c r="F190" s="57" t="s">
        <v>16170</v>
      </c>
      <c r="G190" s="57" t="s">
        <v>15160</v>
      </c>
      <c r="H190" s="56" t="s">
        <v>4639</v>
      </c>
      <c r="I190" s="60">
        <v>218994</v>
      </c>
      <c r="J190" s="57" t="s">
        <v>1285</v>
      </c>
      <c r="K190" s="57" t="s">
        <v>15162</v>
      </c>
      <c r="L190" s="57" t="s">
        <v>15163</v>
      </c>
      <c r="M190" s="61" t="s">
        <v>15465</v>
      </c>
      <c r="N190" s="62" t="s">
        <v>15205</v>
      </c>
      <c r="O190" s="57" t="s">
        <v>15165</v>
      </c>
      <c r="P190" s="57" t="s">
        <v>15166</v>
      </c>
      <c r="Q190" s="57" t="s">
        <v>4639</v>
      </c>
      <c r="R190" s="57" t="s">
        <v>16171</v>
      </c>
      <c r="S190" s="57" t="s">
        <v>16172</v>
      </c>
      <c r="T190" s="57" t="s">
        <v>15190</v>
      </c>
      <c r="U190" s="57" t="s">
        <v>14184</v>
      </c>
      <c r="V190" s="56" t="s">
        <v>14153</v>
      </c>
      <c r="W190" s="58"/>
      <c r="X190" s="57" t="s">
        <v>16173</v>
      </c>
      <c r="Y190" s="57" t="s">
        <v>15170</v>
      </c>
      <c r="Z190" s="61" t="s">
        <v>15504</v>
      </c>
      <c r="AA190" s="61" t="s">
        <v>15465</v>
      </c>
      <c r="AB190" s="58"/>
      <c r="AC190" s="57" t="s">
        <v>15172</v>
      </c>
      <c r="AD190" s="58"/>
      <c r="AE190" s="58"/>
      <c r="AF190" s="58"/>
      <c r="AG190" s="58"/>
      <c r="AH190" s="58"/>
      <c r="AI190" s="58"/>
      <c r="AJ190" s="58"/>
      <c r="AK190" s="56" t="s">
        <v>1285</v>
      </c>
      <c r="AL190" s="56" t="s">
        <v>16174</v>
      </c>
      <c r="AM190" s="58"/>
      <c r="AN190" s="56" t="s">
        <v>15387</v>
      </c>
      <c r="AO190" s="58"/>
      <c r="AP190" s="63">
        <v>45807.5364236111</v>
      </c>
      <c r="AQ190" s="56" t="s">
        <v>16175</v>
      </c>
      <c r="AR190" s="61" t="s">
        <v>15448</v>
      </c>
      <c r="AS190" s="57" t="s">
        <v>14184</v>
      </c>
      <c r="AT190" s="56" t="s">
        <v>15177</v>
      </c>
      <c r="AU190" s="56" t="s">
        <v>16176</v>
      </c>
      <c r="AV190" s="58"/>
      <c r="AW190" s="64">
        <v>45694.8086921296</v>
      </c>
      <c r="AX190" s="56" t="s">
        <v>16174</v>
      </c>
      <c r="AY190" s="56" t="s">
        <v>15179</v>
      </c>
      <c r="AZ190" s="58"/>
      <c r="BA190" s="58"/>
      <c r="BB190" s="58"/>
      <c r="BC190" s="56" t="s">
        <v>16181</v>
      </c>
      <c r="BD190" s="56" t="s">
        <v>15197</v>
      </c>
      <c r="BE190" s="58"/>
      <c r="BF190" s="56" t="s">
        <v>15181</v>
      </c>
      <c r="BG190" s="58"/>
      <c r="BH190" s="58"/>
      <c r="BI190" s="57" t="s">
        <v>2801</v>
      </c>
      <c r="BJ190" s="58"/>
      <c r="BK190" s="58"/>
      <c r="BL190" s="66">
        <v>3406258</v>
      </c>
      <c r="BM190" s="56" t="s">
        <v>16178</v>
      </c>
      <c r="BN190" s="58"/>
      <c r="BO190" s="67">
        <v>13800</v>
      </c>
      <c r="BP190" s="56" t="s">
        <v>15450</v>
      </c>
      <c r="BQ190" s="58"/>
      <c r="BR190" s="56" t="s">
        <v>16179</v>
      </c>
      <c r="BS190" s="56" t="s">
        <v>1285</v>
      </c>
      <c r="BT190" s="58"/>
      <c r="BU190" s="56" t="s">
        <v>16175</v>
      </c>
      <c r="BV190" s="58"/>
      <c r="BW190" s="58"/>
      <c r="BX190" s="67">
        <v>13800</v>
      </c>
      <c r="BY190" s="58"/>
      <c r="BZ190" s="58"/>
      <c r="CA190" s="58"/>
      <c r="CB190" s="58"/>
      <c r="CC190" s="58"/>
      <c r="CD190" s="58"/>
    </row>
    <row r="191" ht="121.5" spans="1:82">
      <c r="A191" s="56" t="s">
        <v>16185</v>
      </c>
      <c r="B191" s="58"/>
      <c r="C191" s="57" t="s">
        <v>16186</v>
      </c>
      <c r="D191" s="58"/>
      <c r="E191" s="57" t="s">
        <v>15158</v>
      </c>
      <c r="F191" s="57" t="s">
        <v>16187</v>
      </c>
      <c r="G191" s="57" t="s">
        <v>15160</v>
      </c>
      <c r="H191" s="56" t="s">
        <v>2935</v>
      </c>
      <c r="I191" s="60">
        <v>75281.7</v>
      </c>
      <c r="J191" s="57" t="s">
        <v>1285</v>
      </c>
      <c r="K191" s="57" t="s">
        <v>15162</v>
      </c>
      <c r="L191" s="57" t="s">
        <v>15163</v>
      </c>
      <c r="M191" s="61" t="s">
        <v>15465</v>
      </c>
      <c r="N191" s="62" t="s">
        <v>15205</v>
      </c>
      <c r="O191" s="57" t="s">
        <v>15165</v>
      </c>
      <c r="P191" s="57" t="s">
        <v>15166</v>
      </c>
      <c r="Q191" s="57" t="s">
        <v>2935</v>
      </c>
      <c r="R191" s="57" t="s">
        <v>15594</v>
      </c>
      <c r="S191" s="57" t="s">
        <v>15595</v>
      </c>
      <c r="T191" s="57" t="s">
        <v>15190</v>
      </c>
      <c r="U191" s="57" t="s">
        <v>14184</v>
      </c>
      <c r="V191" s="56" t="s">
        <v>14153</v>
      </c>
      <c r="W191" s="58"/>
      <c r="X191" s="57" t="s">
        <v>16188</v>
      </c>
      <c r="Y191" s="57" t="s">
        <v>15170</v>
      </c>
      <c r="Z191" s="61" t="s">
        <v>14605</v>
      </c>
      <c r="AA191" s="61" t="s">
        <v>15465</v>
      </c>
      <c r="AB191" s="58"/>
      <c r="AC191" s="57" t="s">
        <v>15172</v>
      </c>
      <c r="AD191" s="58"/>
      <c r="AE191" s="58"/>
      <c r="AF191" s="58"/>
      <c r="AG191" s="58"/>
      <c r="AH191" s="58"/>
      <c r="AI191" s="58"/>
      <c r="AJ191" s="58"/>
      <c r="AK191" s="56" t="s">
        <v>1285</v>
      </c>
      <c r="AL191" s="56" t="s">
        <v>16189</v>
      </c>
      <c r="AM191" s="58"/>
      <c r="AN191" s="56" t="s">
        <v>15312</v>
      </c>
      <c r="AO191" s="58"/>
      <c r="AP191" s="63">
        <v>45807.5391087963</v>
      </c>
      <c r="AQ191" s="56" t="s">
        <v>16190</v>
      </c>
      <c r="AR191" s="61" t="s">
        <v>15448</v>
      </c>
      <c r="AS191" s="57" t="s">
        <v>14184</v>
      </c>
      <c r="AT191" s="56" t="s">
        <v>15177</v>
      </c>
      <c r="AU191" s="56" t="s">
        <v>16191</v>
      </c>
      <c r="AV191" s="58"/>
      <c r="AW191" s="64">
        <v>45694.803599537</v>
      </c>
      <c r="AX191" s="56" t="s">
        <v>16189</v>
      </c>
      <c r="AY191" s="56" t="s">
        <v>15179</v>
      </c>
      <c r="AZ191" s="58"/>
      <c r="BA191" s="58"/>
      <c r="BB191" s="58"/>
      <c r="BC191" s="56" t="s">
        <v>15617</v>
      </c>
      <c r="BD191" s="56" t="s">
        <v>15197</v>
      </c>
      <c r="BE191" s="58"/>
      <c r="BF191" s="56" t="s">
        <v>15181</v>
      </c>
      <c r="BG191" s="58"/>
      <c r="BH191" s="58"/>
      <c r="BI191" s="57" t="s">
        <v>2801</v>
      </c>
      <c r="BJ191" s="58"/>
      <c r="BK191" s="58"/>
      <c r="BL191" s="66">
        <v>3441048</v>
      </c>
      <c r="BM191" s="56" t="s">
        <v>16192</v>
      </c>
      <c r="BN191" s="58"/>
      <c r="BO191" s="67">
        <v>770</v>
      </c>
      <c r="BP191" s="56" t="s">
        <v>15450</v>
      </c>
      <c r="BQ191" s="58"/>
      <c r="BR191" s="56" t="s">
        <v>16193</v>
      </c>
      <c r="BS191" s="56" t="s">
        <v>1285</v>
      </c>
      <c r="BT191" s="58"/>
      <c r="BU191" s="56" t="s">
        <v>16190</v>
      </c>
      <c r="BV191" s="58"/>
      <c r="BW191" s="58"/>
      <c r="BX191" s="67">
        <v>770</v>
      </c>
      <c r="BY191" s="58"/>
      <c r="BZ191" s="58"/>
      <c r="CA191" s="58"/>
      <c r="CB191" s="58"/>
      <c r="CC191" s="58"/>
      <c r="CD191" s="58"/>
    </row>
    <row r="192" ht="121.5" spans="1:82">
      <c r="A192" s="56" t="s">
        <v>16194</v>
      </c>
      <c r="B192" s="58"/>
      <c r="C192" s="57" t="s">
        <v>16186</v>
      </c>
      <c r="D192" s="58"/>
      <c r="E192" s="57" t="s">
        <v>15158</v>
      </c>
      <c r="F192" s="57" t="s">
        <v>16187</v>
      </c>
      <c r="G192" s="57" t="s">
        <v>15160</v>
      </c>
      <c r="H192" s="56" t="s">
        <v>2935</v>
      </c>
      <c r="I192" s="60">
        <v>75281.7</v>
      </c>
      <c r="J192" s="57" t="s">
        <v>1285</v>
      </c>
      <c r="K192" s="57" t="s">
        <v>15162</v>
      </c>
      <c r="L192" s="57" t="s">
        <v>15163</v>
      </c>
      <c r="M192" s="61" t="s">
        <v>15465</v>
      </c>
      <c r="N192" s="62" t="s">
        <v>15205</v>
      </c>
      <c r="O192" s="57" t="s">
        <v>15165</v>
      </c>
      <c r="P192" s="57" t="s">
        <v>15166</v>
      </c>
      <c r="Q192" s="57" t="s">
        <v>2935</v>
      </c>
      <c r="R192" s="57" t="s">
        <v>15594</v>
      </c>
      <c r="S192" s="57" t="s">
        <v>15595</v>
      </c>
      <c r="T192" s="57" t="s">
        <v>15190</v>
      </c>
      <c r="U192" s="57" t="s">
        <v>14184</v>
      </c>
      <c r="V192" s="56" t="s">
        <v>14153</v>
      </c>
      <c r="W192" s="58"/>
      <c r="X192" s="57" t="s">
        <v>16188</v>
      </c>
      <c r="Y192" s="57" t="s">
        <v>15170</v>
      </c>
      <c r="Z192" s="61" t="s">
        <v>14605</v>
      </c>
      <c r="AA192" s="61" t="s">
        <v>15465</v>
      </c>
      <c r="AB192" s="58"/>
      <c r="AC192" s="57" t="s">
        <v>15172</v>
      </c>
      <c r="AD192" s="58"/>
      <c r="AE192" s="58"/>
      <c r="AF192" s="58"/>
      <c r="AG192" s="58"/>
      <c r="AH192" s="58"/>
      <c r="AI192" s="58"/>
      <c r="AJ192" s="58"/>
      <c r="AK192" s="56" t="s">
        <v>1285</v>
      </c>
      <c r="AL192" s="56" t="s">
        <v>16189</v>
      </c>
      <c r="AM192" s="58"/>
      <c r="AN192" s="56" t="s">
        <v>15312</v>
      </c>
      <c r="AO192" s="58"/>
      <c r="AP192" s="63">
        <v>45807.5391087963</v>
      </c>
      <c r="AQ192" s="56" t="s">
        <v>16190</v>
      </c>
      <c r="AR192" s="61" t="s">
        <v>15448</v>
      </c>
      <c r="AS192" s="57" t="s">
        <v>14184</v>
      </c>
      <c r="AT192" s="56" t="s">
        <v>15177</v>
      </c>
      <c r="AU192" s="56" t="s">
        <v>16191</v>
      </c>
      <c r="AV192" s="58"/>
      <c r="AW192" s="64">
        <v>45694.803599537</v>
      </c>
      <c r="AX192" s="56" t="s">
        <v>16189</v>
      </c>
      <c r="AY192" s="56" t="s">
        <v>15179</v>
      </c>
      <c r="AZ192" s="58"/>
      <c r="BA192" s="58"/>
      <c r="BB192" s="58"/>
      <c r="BC192" s="56" t="s">
        <v>138</v>
      </c>
      <c r="BD192" s="56" t="s">
        <v>15197</v>
      </c>
      <c r="BE192" s="58"/>
      <c r="BF192" s="56" t="s">
        <v>15181</v>
      </c>
      <c r="BG192" s="58"/>
      <c r="BH192" s="58"/>
      <c r="BI192" s="57" t="s">
        <v>2801</v>
      </c>
      <c r="BJ192" s="58"/>
      <c r="BK192" s="58"/>
      <c r="BL192" s="66">
        <v>3441047</v>
      </c>
      <c r="BM192" s="56" t="s">
        <v>16192</v>
      </c>
      <c r="BN192" s="58"/>
      <c r="BO192" s="67">
        <v>705</v>
      </c>
      <c r="BP192" s="56" t="s">
        <v>15450</v>
      </c>
      <c r="BQ192" s="58"/>
      <c r="BR192" s="56" t="s">
        <v>16193</v>
      </c>
      <c r="BS192" s="56" t="s">
        <v>1285</v>
      </c>
      <c r="BT192" s="58"/>
      <c r="BU192" s="56" t="s">
        <v>16190</v>
      </c>
      <c r="BV192" s="58"/>
      <c r="BW192" s="58"/>
      <c r="BX192" s="67">
        <v>705</v>
      </c>
      <c r="BY192" s="58"/>
      <c r="BZ192" s="58"/>
      <c r="CA192" s="58"/>
      <c r="CB192" s="58"/>
      <c r="CC192" s="58"/>
      <c r="CD192" s="58"/>
    </row>
    <row r="193" ht="121.5" spans="1:82">
      <c r="A193" s="56" t="s">
        <v>16195</v>
      </c>
      <c r="B193" s="58"/>
      <c r="C193" s="57" t="s">
        <v>16186</v>
      </c>
      <c r="D193" s="58"/>
      <c r="E193" s="57" t="s">
        <v>15158</v>
      </c>
      <c r="F193" s="57" t="s">
        <v>16187</v>
      </c>
      <c r="G193" s="57" t="s">
        <v>15160</v>
      </c>
      <c r="H193" s="56" t="s">
        <v>2935</v>
      </c>
      <c r="I193" s="60">
        <v>75281.7</v>
      </c>
      <c r="J193" s="57" t="s">
        <v>1285</v>
      </c>
      <c r="K193" s="57" t="s">
        <v>15162</v>
      </c>
      <c r="L193" s="57" t="s">
        <v>15163</v>
      </c>
      <c r="M193" s="61" t="s">
        <v>15465</v>
      </c>
      <c r="N193" s="62" t="s">
        <v>15205</v>
      </c>
      <c r="O193" s="57" t="s">
        <v>15165</v>
      </c>
      <c r="P193" s="57" t="s">
        <v>15166</v>
      </c>
      <c r="Q193" s="57" t="s">
        <v>2935</v>
      </c>
      <c r="R193" s="57" t="s">
        <v>15594</v>
      </c>
      <c r="S193" s="57" t="s">
        <v>15595</v>
      </c>
      <c r="T193" s="57" t="s">
        <v>15190</v>
      </c>
      <c r="U193" s="57" t="s">
        <v>14184</v>
      </c>
      <c r="V193" s="56" t="s">
        <v>14153</v>
      </c>
      <c r="W193" s="58"/>
      <c r="X193" s="57" t="s">
        <v>16188</v>
      </c>
      <c r="Y193" s="57" t="s">
        <v>15170</v>
      </c>
      <c r="Z193" s="61" t="s">
        <v>14605</v>
      </c>
      <c r="AA193" s="61" t="s">
        <v>15465</v>
      </c>
      <c r="AB193" s="58"/>
      <c r="AC193" s="57" t="s">
        <v>15172</v>
      </c>
      <c r="AD193" s="58"/>
      <c r="AE193" s="58"/>
      <c r="AF193" s="58"/>
      <c r="AG193" s="58"/>
      <c r="AH193" s="58"/>
      <c r="AI193" s="58"/>
      <c r="AJ193" s="58"/>
      <c r="AK193" s="56" t="s">
        <v>1285</v>
      </c>
      <c r="AL193" s="56" t="s">
        <v>16189</v>
      </c>
      <c r="AM193" s="58"/>
      <c r="AN193" s="56" t="s">
        <v>15312</v>
      </c>
      <c r="AO193" s="58"/>
      <c r="AP193" s="63">
        <v>45807.5391087963</v>
      </c>
      <c r="AQ193" s="56" t="s">
        <v>16190</v>
      </c>
      <c r="AR193" s="61" t="s">
        <v>15448</v>
      </c>
      <c r="AS193" s="57" t="s">
        <v>14184</v>
      </c>
      <c r="AT193" s="56" t="s">
        <v>15177</v>
      </c>
      <c r="AU193" s="56" t="s">
        <v>16191</v>
      </c>
      <c r="AV193" s="58"/>
      <c r="AW193" s="64">
        <v>45694.803599537</v>
      </c>
      <c r="AX193" s="56" t="s">
        <v>16189</v>
      </c>
      <c r="AY193" s="56" t="s">
        <v>15179</v>
      </c>
      <c r="AZ193" s="58"/>
      <c r="BA193" s="58"/>
      <c r="BB193" s="58"/>
      <c r="BC193" s="56" t="s">
        <v>15213</v>
      </c>
      <c r="BD193" s="56" t="s">
        <v>15197</v>
      </c>
      <c r="BE193" s="58"/>
      <c r="BF193" s="56" t="s">
        <v>15181</v>
      </c>
      <c r="BG193" s="58"/>
      <c r="BH193" s="58"/>
      <c r="BI193" s="57" t="s">
        <v>2801</v>
      </c>
      <c r="BJ193" s="58"/>
      <c r="BK193" s="58"/>
      <c r="BL193" s="66">
        <v>3441046</v>
      </c>
      <c r="BM193" s="56" t="s">
        <v>16192</v>
      </c>
      <c r="BN193" s="58"/>
      <c r="BO193" s="67">
        <v>589</v>
      </c>
      <c r="BP193" s="56" t="s">
        <v>15450</v>
      </c>
      <c r="BQ193" s="58"/>
      <c r="BR193" s="56" t="s">
        <v>16193</v>
      </c>
      <c r="BS193" s="56" t="s">
        <v>1285</v>
      </c>
      <c r="BT193" s="58"/>
      <c r="BU193" s="56" t="s">
        <v>16190</v>
      </c>
      <c r="BV193" s="58"/>
      <c r="BW193" s="58"/>
      <c r="BX193" s="67">
        <v>589</v>
      </c>
      <c r="BY193" s="58"/>
      <c r="BZ193" s="58"/>
      <c r="CA193" s="58"/>
      <c r="CB193" s="58"/>
      <c r="CC193" s="58"/>
      <c r="CD193" s="58"/>
    </row>
    <row r="194" ht="121.5" spans="1:82">
      <c r="A194" s="56" t="s">
        <v>16196</v>
      </c>
      <c r="B194" s="58"/>
      <c r="C194" s="57" t="s">
        <v>16186</v>
      </c>
      <c r="D194" s="58"/>
      <c r="E194" s="57" t="s">
        <v>15158</v>
      </c>
      <c r="F194" s="57" t="s">
        <v>16187</v>
      </c>
      <c r="G194" s="57" t="s">
        <v>15160</v>
      </c>
      <c r="H194" s="56" t="s">
        <v>2935</v>
      </c>
      <c r="I194" s="60">
        <v>75281.7</v>
      </c>
      <c r="J194" s="57" t="s">
        <v>1285</v>
      </c>
      <c r="K194" s="57" t="s">
        <v>15162</v>
      </c>
      <c r="L194" s="57" t="s">
        <v>15163</v>
      </c>
      <c r="M194" s="61" t="s">
        <v>15465</v>
      </c>
      <c r="N194" s="62" t="s">
        <v>15205</v>
      </c>
      <c r="O194" s="57" t="s">
        <v>15165</v>
      </c>
      <c r="P194" s="57" t="s">
        <v>15166</v>
      </c>
      <c r="Q194" s="57" t="s">
        <v>2935</v>
      </c>
      <c r="R194" s="57" t="s">
        <v>15594</v>
      </c>
      <c r="S194" s="57" t="s">
        <v>15595</v>
      </c>
      <c r="T194" s="57" t="s">
        <v>15190</v>
      </c>
      <c r="U194" s="57" t="s">
        <v>14184</v>
      </c>
      <c r="V194" s="56" t="s">
        <v>14153</v>
      </c>
      <c r="W194" s="58"/>
      <c r="X194" s="57" t="s">
        <v>16188</v>
      </c>
      <c r="Y194" s="57" t="s">
        <v>15170</v>
      </c>
      <c r="Z194" s="61" t="s">
        <v>14605</v>
      </c>
      <c r="AA194" s="61" t="s">
        <v>15465</v>
      </c>
      <c r="AB194" s="58"/>
      <c r="AC194" s="57" t="s">
        <v>15172</v>
      </c>
      <c r="AD194" s="58"/>
      <c r="AE194" s="58"/>
      <c r="AF194" s="58"/>
      <c r="AG194" s="58"/>
      <c r="AH194" s="58"/>
      <c r="AI194" s="58"/>
      <c r="AJ194" s="58"/>
      <c r="AK194" s="56" t="s">
        <v>1285</v>
      </c>
      <c r="AL194" s="56" t="s">
        <v>16189</v>
      </c>
      <c r="AM194" s="58"/>
      <c r="AN194" s="56" t="s">
        <v>15312</v>
      </c>
      <c r="AO194" s="58"/>
      <c r="AP194" s="63">
        <v>45807.5391087963</v>
      </c>
      <c r="AQ194" s="56" t="s">
        <v>16190</v>
      </c>
      <c r="AR194" s="61" t="s">
        <v>15448</v>
      </c>
      <c r="AS194" s="57" t="s">
        <v>14184</v>
      </c>
      <c r="AT194" s="56" t="s">
        <v>15177</v>
      </c>
      <c r="AU194" s="56" t="s">
        <v>16191</v>
      </c>
      <c r="AV194" s="58"/>
      <c r="AW194" s="64">
        <v>45694.803599537</v>
      </c>
      <c r="AX194" s="56" t="s">
        <v>16189</v>
      </c>
      <c r="AY194" s="56" t="s">
        <v>15179</v>
      </c>
      <c r="AZ194" s="58"/>
      <c r="BA194" s="58"/>
      <c r="BB194" s="58"/>
      <c r="BC194" s="56" t="s">
        <v>16197</v>
      </c>
      <c r="BD194" s="56" t="s">
        <v>15197</v>
      </c>
      <c r="BE194" s="58"/>
      <c r="BF194" s="56" t="s">
        <v>15181</v>
      </c>
      <c r="BG194" s="58"/>
      <c r="BH194" s="58"/>
      <c r="BI194" s="57" t="s">
        <v>2801</v>
      </c>
      <c r="BJ194" s="58"/>
      <c r="BK194" s="58"/>
      <c r="BL194" s="66">
        <v>3441045</v>
      </c>
      <c r="BM194" s="56" t="s">
        <v>16192</v>
      </c>
      <c r="BN194" s="58"/>
      <c r="BO194" s="67">
        <v>274.5</v>
      </c>
      <c r="BP194" s="56" t="s">
        <v>15450</v>
      </c>
      <c r="BQ194" s="58"/>
      <c r="BR194" s="56" t="s">
        <v>16193</v>
      </c>
      <c r="BS194" s="56" t="s">
        <v>1285</v>
      </c>
      <c r="BT194" s="58"/>
      <c r="BU194" s="56" t="s">
        <v>16190</v>
      </c>
      <c r="BV194" s="58"/>
      <c r="BW194" s="58"/>
      <c r="BX194" s="67">
        <v>274.5</v>
      </c>
      <c r="BY194" s="58"/>
      <c r="BZ194" s="58"/>
      <c r="CA194" s="58"/>
      <c r="CB194" s="58"/>
      <c r="CC194" s="58"/>
      <c r="CD194" s="58"/>
    </row>
    <row r="195" ht="121.5" spans="1:82">
      <c r="A195" s="56" t="s">
        <v>16198</v>
      </c>
      <c r="B195" s="58"/>
      <c r="C195" s="57" t="s">
        <v>16186</v>
      </c>
      <c r="D195" s="58"/>
      <c r="E195" s="57" t="s">
        <v>15158</v>
      </c>
      <c r="F195" s="57" t="s">
        <v>16187</v>
      </c>
      <c r="G195" s="57" t="s">
        <v>15160</v>
      </c>
      <c r="H195" s="56" t="s">
        <v>2935</v>
      </c>
      <c r="I195" s="60">
        <v>75281.7</v>
      </c>
      <c r="J195" s="57" t="s">
        <v>1285</v>
      </c>
      <c r="K195" s="57" t="s">
        <v>15162</v>
      </c>
      <c r="L195" s="57" t="s">
        <v>15163</v>
      </c>
      <c r="M195" s="61" t="s">
        <v>15465</v>
      </c>
      <c r="N195" s="62" t="s">
        <v>15205</v>
      </c>
      <c r="O195" s="57" t="s">
        <v>15165</v>
      </c>
      <c r="P195" s="57" t="s">
        <v>15166</v>
      </c>
      <c r="Q195" s="57" t="s">
        <v>2935</v>
      </c>
      <c r="R195" s="57" t="s">
        <v>15594</v>
      </c>
      <c r="S195" s="57" t="s">
        <v>15595</v>
      </c>
      <c r="T195" s="57" t="s">
        <v>15190</v>
      </c>
      <c r="U195" s="57" t="s">
        <v>14184</v>
      </c>
      <c r="V195" s="56" t="s">
        <v>14153</v>
      </c>
      <c r="W195" s="58"/>
      <c r="X195" s="57" t="s">
        <v>16188</v>
      </c>
      <c r="Y195" s="57" t="s">
        <v>15170</v>
      </c>
      <c r="Z195" s="61" t="s">
        <v>14605</v>
      </c>
      <c r="AA195" s="61" t="s">
        <v>15465</v>
      </c>
      <c r="AB195" s="58"/>
      <c r="AC195" s="57" t="s">
        <v>15172</v>
      </c>
      <c r="AD195" s="58"/>
      <c r="AE195" s="58"/>
      <c r="AF195" s="58"/>
      <c r="AG195" s="58"/>
      <c r="AH195" s="58"/>
      <c r="AI195" s="58"/>
      <c r="AJ195" s="58"/>
      <c r="AK195" s="56" t="s">
        <v>1285</v>
      </c>
      <c r="AL195" s="56" t="s">
        <v>16189</v>
      </c>
      <c r="AM195" s="58"/>
      <c r="AN195" s="56" t="s">
        <v>15312</v>
      </c>
      <c r="AO195" s="58"/>
      <c r="AP195" s="63">
        <v>45807.5391087963</v>
      </c>
      <c r="AQ195" s="56" t="s">
        <v>16190</v>
      </c>
      <c r="AR195" s="61" t="s">
        <v>15448</v>
      </c>
      <c r="AS195" s="57" t="s">
        <v>14184</v>
      </c>
      <c r="AT195" s="56" t="s">
        <v>15177</v>
      </c>
      <c r="AU195" s="56" t="s">
        <v>16191</v>
      </c>
      <c r="AV195" s="58"/>
      <c r="AW195" s="64">
        <v>45694.803599537</v>
      </c>
      <c r="AX195" s="56" t="s">
        <v>16189</v>
      </c>
      <c r="AY195" s="56" t="s">
        <v>15179</v>
      </c>
      <c r="AZ195" s="58"/>
      <c r="BA195" s="58"/>
      <c r="BB195" s="58"/>
      <c r="BC195" s="56" t="s">
        <v>15213</v>
      </c>
      <c r="BD195" s="56" t="s">
        <v>15197</v>
      </c>
      <c r="BE195" s="58"/>
      <c r="BF195" s="56" t="s">
        <v>15181</v>
      </c>
      <c r="BG195" s="58"/>
      <c r="BH195" s="58"/>
      <c r="BI195" s="57" t="s">
        <v>2801</v>
      </c>
      <c r="BJ195" s="58"/>
      <c r="BK195" s="58"/>
      <c r="BL195" s="66">
        <v>3441043</v>
      </c>
      <c r="BM195" s="56" t="s">
        <v>16192</v>
      </c>
      <c r="BN195" s="58"/>
      <c r="BO195" s="67">
        <v>92.7</v>
      </c>
      <c r="BP195" s="56" t="s">
        <v>15450</v>
      </c>
      <c r="BQ195" s="58"/>
      <c r="BR195" s="56" t="s">
        <v>16193</v>
      </c>
      <c r="BS195" s="56" t="s">
        <v>1285</v>
      </c>
      <c r="BT195" s="58"/>
      <c r="BU195" s="56" t="s">
        <v>16190</v>
      </c>
      <c r="BV195" s="58"/>
      <c r="BW195" s="58"/>
      <c r="BX195" s="67">
        <v>92.7</v>
      </c>
      <c r="BY195" s="58"/>
      <c r="BZ195" s="58"/>
      <c r="CA195" s="58"/>
      <c r="CB195" s="58"/>
      <c r="CC195" s="58"/>
      <c r="CD195" s="58"/>
    </row>
    <row r="196" ht="121.5" spans="1:82">
      <c r="A196" s="56" t="s">
        <v>16199</v>
      </c>
      <c r="B196" s="58"/>
      <c r="C196" s="57" t="s">
        <v>16186</v>
      </c>
      <c r="D196" s="58"/>
      <c r="E196" s="57" t="s">
        <v>15158</v>
      </c>
      <c r="F196" s="57" t="s">
        <v>16187</v>
      </c>
      <c r="G196" s="57" t="s">
        <v>15160</v>
      </c>
      <c r="H196" s="56" t="s">
        <v>2935</v>
      </c>
      <c r="I196" s="60">
        <v>75281.7</v>
      </c>
      <c r="J196" s="57" t="s">
        <v>1285</v>
      </c>
      <c r="K196" s="57" t="s">
        <v>15162</v>
      </c>
      <c r="L196" s="57" t="s">
        <v>15163</v>
      </c>
      <c r="M196" s="61" t="s">
        <v>15465</v>
      </c>
      <c r="N196" s="62" t="s">
        <v>15205</v>
      </c>
      <c r="O196" s="57" t="s">
        <v>15165</v>
      </c>
      <c r="P196" s="57" t="s">
        <v>15166</v>
      </c>
      <c r="Q196" s="57" t="s">
        <v>2935</v>
      </c>
      <c r="R196" s="57" t="s">
        <v>15594</v>
      </c>
      <c r="S196" s="57" t="s">
        <v>15595</v>
      </c>
      <c r="T196" s="57" t="s">
        <v>15190</v>
      </c>
      <c r="U196" s="57" t="s">
        <v>14184</v>
      </c>
      <c r="V196" s="56" t="s">
        <v>14153</v>
      </c>
      <c r="W196" s="58"/>
      <c r="X196" s="57" t="s">
        <v>16188</v>
      </c>
      <c r="Y196" s="57" t="s">
        <v>15170</v>
      </c>
      <c r="Z196" s="61" t="s">
        <v>14605</v>
      </c>
      <c r="AA196" s="61" t="s">
        <v>15465</v>
      </c>
      <c r="AB196" s="58"/>
      <c r="AC196" s="57" t="s">
        <v>15172</v>
      </c>
      <c r="AD196" s="58"/>
      <c r="AE196" s="58"/>
      <c r="AF196" s="58"/>
      <c r="AG196" s="58"/>
      <c r="AH196" s="58"/>
      <c r="AI196" s="58"/>
      <c r="AJ196" s="58"/>
      <c r="AK196" s="56" t="s">
        <v>1285</v>
      </c>
      <c r="AL196" s="56" t="s">
        <v>16189</v>
      </c>
      <c r="AM196" s="58"/>
      <c r="AN196" s="56" t="s">
        <v>15312</v>
      </c>
      <c r="AO196" s="58"/>
      <c r="AP196" s="63">
        <v>45807.5391087963</v>
      </c>
      <c r="AQ196" s="56" t="s">
        <v>16190</v>
      </c>
      <c r="AR196" s="61" t="s">
        <v>15448</v>
      </c>
      <c r="AS196" s="57" t="s">
        <v>14184</v>
      </c>
      <c r="AT196" s="56" t="s">
        <v>15177</v>
      </c>
      <c r="AU196" s="56" t="s">
        <v>16191</v>
      </c>
      <c r="AV196" s="58"/>
      <c r="AW196" s="64">
        <v>45694.803599537</v>
      </c>
      <c r="AX196" s="56" t="s">
        <v>16189</v>
      </c>
      <c r="AY196" s="56" t="s">
        <v>15179</v>
      </c>
      <c r="AZ196" s="58"/>
      <c r="BA196" s="58"/>
      <c r="BB196" s="58"/>
      <c r="BC196" s="56" t="s">
        <v>15213</v>
      </c>
      <c r="BD196" s="56" t="s">
        <v>15197</v>
      </c>
      <c r="BE196" s="58"/>
      <c r="BF196" s="56" t="s">
        <v>15181</v>
      </c>
      <c r="BG196" s="58"/>
      <c r="BH196" s="58"/>
      <c r="BI196" s="57" t="s">
        <v>2801</v>
      </c>
      <c r="BJ196" s="58"/>
      <c r="BK196" s="58"/>
      <c r="BL196" s="66">
        <v>3441042</v>
      </c>
      <c r="BM196" s="56" t="s">
        <v>16192</v>
      </c>
      <c r="BN196" s="58"/>
      <c r="BO196" s="67">
        <v>136</v>
      </c>
      <c r="BP196" s="56" t="s">
        <v>15450</v>
      </c>
      <c r="BQ196" s="58"/>
      <c r="BR196" s="56" t="s">
        <v>16193</v>
      </c>
      <c r="BS196" s="56" t="s">
        <v>1285</v>
      </c>
      <c r="BT196" s="58"/>
      <c r="BU196" s="56" t="s">
        <v>16190</v>
      </c>
      <c r="BV196" s="58"/>
      <c r="BW196" s="58"/>
      <c r="BX196" s="67">
        <v>136</v>
      </c>
      <c r="BY196" s="58"/>
      <c r="BZ196" s="58"/>
      <c r="CA196" s="58"/>
      <c r="CB196" s="58"/>
      <c r="CC196" s="58"/>
      <c r="CD196" s="58"/>
    </row>
    <row r="197" ht="121.5" spans="1:82">
      <c r="A197" s="56" t="s">
        <v>16200</v>
      </c>
      <c r="B197" s="58"/>
      <c r="C197" s="57" t="s">
        <v>16186</v>
      </c>
      <c r="D197" s="58"/>
      <c r="E197" s="57" t="s">
        <v>15158</v>
      </c>
      <c r="F197" s="57" t="s">
        <v>16187</v>
      </c>
      <c r="G197" s="57" t="s">
        <v>15160</v>
      </c>
      <c r="H197" s="56" t="s">
        <v>2935</v>
      </c>
      <c r="I197" s="60">
        <v>75281.7</v>
      </c>
      <c r="J197" s="57" t="s">
        <v>1285</v>
      </c>
      <c r="K197" s="57" t="s">
        <v>15162</v>
      </c>
      <c r="L197" s="57" t="s">
        <v>15163</v>
      </c>
      <c r="M197" s="61" t="s">
        <v>15465</v>
      </c>
      <c r="N197" s="62" t="s">
        <v>15205</v>
      </c>
      <c r="O197" s="57" t="s">
        <v>15165</v>
      </c>
      <c r="P197" s="57" t="s">
        <v>15166</v>
      </c>
      <c r="Q197" s="57" t="s">
        <v>2935</v>
      </c>
      <c r="R197" s="57" t="s">
        <v>15594</v>
      </c>
      <c r="S197" s="57" t="s">
        <v>15595</v>
      </c>
      <c r="T197" s="57" t="s">
        <v>15190</v>
      </c>
      <c r="U197" s="57" t="s">
        <v>14184</v>
      </c>
      <c r="V197" s="56" t="s">
        <v>14153</v>
      </c>
      <c r="W197" s="58"/>
      <c r="X197" s="57" t="s">
        <v>16188</v>
      </c>
      <c r="Y197" s="57" t="s">
        <v>15170</v>
      </c>
      <c r="Z197" s="61" t="s">
        <v>14605</v>
      </c>
      <c r="AA197" s="61" t="s">
        <v>15465</v>
      </c>
      <c r="AB197" s="58"/>
      <c r="AC197" s="57" t="s">
        <v>15172</v>
      </c>
      <c r="AD197" s="58"/>
      <c r="AE197" s="58"/>
      <c r="AF197" s="58"/>
      <c r="AG197" s="58"/>
      <c r="AH197" s="58"/>
      <c r="AI197" s="58"/>
      <c r="AJ197" s="58"/>
      <c r="AK197" s="56" t="s">
        <v>1285</v>
      </c>
      <c r="AL197" s="56" t="s">
        <v>16189</v>
      </c>
      <c r="AM197" s="58"/>
      <c r="AN197" s="56" t="s">
        <v>15312</v>
      </c>
      <c r="AO197" s="58"/>
      <c r="AP197" s="63">
        <v>45807.5391087963</v>
      </c>
      <c r="AQ197" s="56" t="s">
        <v>16190</v>
      </c>
      <c r="AR197" s="61" t="s">
        <v>15448</v>
      </c>
      <c r="AS197" s="57" t="s">
        <v>14184</v>
      </c>
      <c r="AT197" s="56" t="s">
        <v>15177</v>
      </c>
      <c r="AU197" s="56" t="s">
        <v>16191</v>
      </c>
      <c r="AV197" s="58"/>
      <c r="AW197" s="64">
        <v>45694.803599537</v>
      </c>
      <c r="AX197" s="56" t="s">
        <v>16189</v>
      </c>
      <c r="AY197" s="56" t="s">
        <v>15179</v>
      </c>
      <c r="AZ197" s="58"/>
      <c r="BA197" s="58"/>
      <c r="BB197" s="58"/>
      <c r="BC197" s="56" t="s">
        <v>15196</v>
      </c>
      <c r="BD197" s="56" t="s">
        <v>15197</v>
      </c>
      <c r="BE197" s="58"/>
      <c r="BF197" s="56" t="s">
        <v>15181</v>
      </c>
      <c r="BG197" s="58"/>
      <c r="BH197" s="58"/>
      <c r="BI197" s="57" t="s">
        <v>2801</v>
      </c>
      <c r="BJ197" s="58"/>
      <c r="BK197" s="58"/>
      <c r="BL197" s="66">
        <v>3441041</v>
      </c>
      <c r="BM197" s="56" t="s">
        <v>16192</v>
      </c>
      <c r="BN197" s="58"/>
      <c r="BO197" s="67">
        <v>210</v>
      </c>
      <c r="BP197" s="56" t="s">
        <v>15450</v>
      </c>
      <c r="BQ197" s="58"/>
      <c r="BR197" s="56" t="s">
        <v>16193</v>
      </c>
      <c r="BS197" s="56" t="s">
        <v>1285</v>
      </c>
      <c r="BT197" s="58"/>
      <c r="BU197" s="56" t="s">
        <v>16190</v>
      </c>
      <c r="BV197" s="58"/>
      <c r="BW197" s="58"/>
      <c r="BX197" s="67">
        <v>210</v>
      </c>
      <c r="BY197" s="58"/>
      <c r="BZ197" s="58"/>
      <c r="CA197" s="58"/>
      <c r="CB197" s="58"/>
      <c r="CC197" s="58"/>
      <c r="CD197" s="58"/>
    </row>
    <row r="198" ht="121.5" spans="1:82">
      <c r="A198" s="56" t="s">
        <v>16201</v>
      </c>
      <c r="B198" s="58"/>
      <c r="C198" s="57" t="s">
        <v>16186</v>
      </c>
      <c r="D198" s="58"/>
      <c r="E198" s="57" t="s">
        <v>15158</v>
      </c>
      <c r="F198" s="57" t="s">
        <v>16187</v>
      </c>
      <c r="G198" s="57" t="s">
        <v>15160</v>
      </c>
      <c r="H198" s="56" t="s">
        <v>2935</v>
      </c>
      <c r="I198" s="60">
        <v>75281.7</v>
      </c>
      <c r="J198" s="57" t="s">
        <v>1285</v>
      </c>
      <c r="K198" s="57" t="s">
        <v>15162</v>
      </c>
      <c r="L198" s="57" t="s">
        <v>15163</v>
      </c>
      <c r="M198" s="61" t="s">
        <v>15465</v>
      </c>
      <c r="N198" s="62" t="s">
        <v>15205</v>
      </c>
      <c r="O198" s="57" t="s">
        <v>15165</v>
      </c>
      <c r="P198" s="57" t="s">
        <v>15166</v>
      </c>
      <c r="Q198" s="57" t="s">
        <v>2935</v>
      </c>
      <c r="R198" s="57" t="s">
        <v>15594</v>
      </c>
      <c r="S198" s="57" t="s">
        <v>15595</v>
      </c>
      <c r="T198" s="57" t="s">
        <v>15190</v>
      </c>
      <c r="U198" s="57" t="s">
        <v>14184</v>
      </c>
      <c r="V198" s="56" t="s">
        <v>14153</v>
      </c>
      <c r="W198" s="58"/>
      <c r="X198" s="57" t="s">
        <v>16188</v>
      </c>
      <c r="Y198" s="57" t="s">
        <v>15170</v>
      </c>
      <c r="Z198" s="61" t="s">
        <v>14605</v>
      </c>
      <c r="AA198" s="61" t="s">
        <v>15465</v>
      </c>
      <c r="AB198" s="58"/>
      <c r="AC198" s="57" t="s">
        <v>15172</v>
      </c>
      <c r="AD198" s="58"/>
      <c r="AE198" s="58"/>
      <c r="AF198" s="58"/>
      <c r="AG198" s="58"/>
      <c r="AH198" s="58"/>
      <c r="AI198" s="58"/>
      <c r="AJ198" s="58"/>
      <c r="AK198" s="56" t="s">
        <v>1285</v>
      </c>
      <c r="AL198" s="56" t="s">
        <v>16189</v>
      </c>
      <c r="AM198" s="58"/>
      <c r="AN198" s="56" t="s">
        <v>15312</v>
      </c>
      <c r="AO198" s="58"/>
      <c r="AP198" s="63">
        <v>45807.5391087963</v>
      </c>
      <c r="AQ198" s="56" t="s">
        <v>16190</v>
      </c>
      <c r="AR198" s="61" t="s">
        <v>15448</v>
      </c>
      <c r="AS198" s="57" t="s">
        <v>14184</v>
      </c>
      <c r="AT198" s="56" t="s">
        <v>15177</v>
      </c>
      <c r="AU198" s="56" t="s">
        <v>16191</v>
      </c>
      <c r="AV198" s="58"/>
      <c r="AW198" s="64">
        <v>45694.803599537</v>
      </c>
      <c r="AX198" s="56" t="s">
        <v>16189</v>
      </c>
      <c r="AY198" s="56" t="s">
        <v>15179</v>
      </c>
      <c r="AZ198" s="58"/>
      <c r="BA198" s="58"/>
      <c r="BB198" s="58"/>
      <c r="BC198" s="56" t="s">
        <v>2148</v>
      </c>
      <c r="BD198" s="56" t="s">
        <v>15197</v>
      </c>
      <c r="BE198" s="58"/>
      <c r="BF198" s="56" t="s">
        <v>15181</v>
      </c>
      <c r="BG198" s="58"/>
      <c r="BH198" s="58"/>
      <c r="BI198" s="57" t="s">
        <v>2801</v>
      </c>
      <c r="BJ198" s="58"/>
      <c r="BK198" s="58"/>
      <c r="BL198" s="66">
        <v>3441040</v>
      </c>
      <c r="BM198" s="56" t="s">
        <v>16192</v>
      </c>
      <c r="BN198" s="58"/>
      <c r="BO198" s="67">
        <v>230</v>
      </c>
      <c r="BP198" s="56" t="s">
        <v>15450</v>
      </c>
      <c r="BQ198" s="58"/>
      <c r="BR198" s="56" t="s">
        <v>16193</v>
      </c>
      <c r="BS198" s="56" t="s">
        <v>1285</v>
      </c>
      <c r="BT198" s="58"/>
      <c r="BU198" s="56" t="s">
        <v>16190</v>
      </c>
      <c r="BV198" s="58"/>
      <c r="BW198" s="58"/>
      <c r="BX198" s="67">
        <v>230</v>
      </c>
      <c r="BY198" s="58"/>
      <c r="BZ198" s="58"/>
      <c r="CA198" s="58"/>
      <c r="CB198" s="58"/>
      <c r="CC198" s="58"/>
      <c r="CD198" s="58"/>
    </row>
    <row r="199" ht="121.5" spans="1:82">
      <c r="A199" s="56" t="s">
        <v>16202</v>
      </c>
      <c r="B199" s="58"/>
      <c r="C199" s="57" t="s">
        <v>16186</v>
      </c>
      <c r="D199" s="58"/>
      <c r="E199" s="57" t="s">
        <v>15158</v>
      </c>
      <c r="F199" s="57" t="s">
        <v>16187</v>
      </c>
      <c r="G199" s="57" t="s">
        <v>15160</v>
      </c>
      <c r="H199" s="56" t="s">
        <v>2935</v>
      </c>
      <c r="I199" s="60">
        <v>75281.7</v>
      </c>
      <c r="J199" s="57" t="s">
        <v>1285</v>
      </c>
      <c r="K199" s="57" t="s">
        <v>15162</v>
      </c>
      <c r="L199" s="57" t="s">
        <v>15163</v>
      </c>
      <c r="M199" s="61" t="s">
        <v>15465</v>
      </c>
      <c r="N199" s="62" t="s">
        <v>15205</v>
      </c>
      <c r="O199" s="57" t="s">
        <v>15165</v>
      </c>
      <c r="P199" s="57" t="s">
        <v>15166</v>
      </c>
      <c r="Q199" s="57" t="s">
        <v>2935</v>
      </c>
      <c r="R199" s="57" t="s">
        <v>15594</v>
      </c>
      <c r="S199" s="57" t="s">
        <v>15595</v>
      </c>
      <c r="T199" s="57" t="s">
        <v>15190</v>
      </c>
      <c r="U199" s="57" t="s">
        <v>14184</v>
      </c>
      <c r="V199" s="56" t="s">
        <v>14153</v>
      </c>
      <c r="W199" s="58"/>
      <c r="X199" s="57" t="s">
        <v>16188</v>
      </c>
      <c r="Y199" s="57" t="s">
        <v>15170</v>
      </c>
      <c r="Z199" s="61" t="s">
        <v>14605</v>
      </c>
      <c r="AA199" s="61" t="s">
        <v>15465</v>
      </c>
      <c r="AB199" s="58"/>
      <c r="AC199" s="57" t="s">
        <v>15172</v>
      </c>
      <c r="AD199" s="58"/>
      <c r="AE199" s="58"/>
      <c r="AF199" s="58"/>
      <c r="AG199" s="58"/>
      <c r="AH199" s="58"/>
      <c r="AI199" s="58"/>
      <c r="AJ199" s="58"/>
      <c r="AK199" s="56" t="s">
        <v>1285</v>
      </c>
      <c r="AL199" s="56" t="s">
        <v>16189</v>
      </c>
      <c r="AM199" s="58"/>
      <c r="AN199" s="56" t="s">
        <v>15312</v>
      </c>
      <c r="AO199" s="58"/>
      <c r="AP199" s="63">
        <v>45807.5391087963</v>
      </c>
      <c r="AQ199" s="56" t="s">
        <v>16190</v>
      </c>
      <c r="AR199" s="61" t="s">
        <v>15448</v>
      </c>
      <c r="AS199" s="57" t="s">
        <v>14184</v>
      </c>
      <c r="AT199" s="56" t="s">
        <v>15177</v>
      </c>
      <c r="AU199" s="56" t="s">
        <v>16191</v>
      </c>
      <c r="AV199" s="58"/>
      <c r="AW199" s="64">
        <v>45694.803599537</v>
      </c>
      <c r="AX199" s="56" t="s">
        <v>16189</v>
      </c>
      <c r="AY199" s="56" t="s">
        <v>15179</v>
      </c>
      <c r="AZ199" s="58"/>
      <c r="BA199" s="58"/>
      <c r="BB199" s="58"/>
      <c r="BC199" s="56" t="s">
        <v>15196</v>
      </c>
      <c r="BD199" s="56" t="s">
        <v>15197</v>
      </c>
      <c r="BE199" s="58"/>
      <c r="BF199" s="56" t="s">
        <v>15181</v>
      </c>
      <c r="BG199" s="58"/>
      <c r="BH199" s="58"/>
      <c r="BI199" s="57" t="s">
        <v>2801</v>
      </c>
      <c r="BJ199" s="58"/>
      <c r="BK199" s="58"/>
      <c r="BL199" s="66">
        <v>3441039</v>
      </c>
      <c r="BM199" s="56" t="s">
        <v>16192</v>
      </c>
      <c r="BN199" s="58"/>
      <c r="BO199" s="67">
        <v>2628</v>
      </c>
      <c r="BP199" s="56" t="s">
        <v>15450</v>
      </c>
      <c r="BQ199" s="58"/>
      <c r="BR199" s="56" t="s">
        <v>16193</v>
      </c>
      <c r="BS199" s="56" t="s">
        <v>1285</v>
      </c>
      <c r="BT199" s="58"/>
      <c r="BU199" s="56" t="s">
        <v>16190</v>
      </c>
      <c r="BV199" s="58"/>
      <c r="BW199" s="58"/>
      <c r="BX199" s="67">
        <v>2628</v>
      </c>
      <c r="BY199" s="58"/>
      <c r="BZ199" s="58"/>
      <c r="CA199" s="58"/>
      <c r="CB199" s="58"/>
      <c r="CC199" s="58"/>
      <c r="CD199" s="58"/>
    </row>
    <row r="200" ht="121.5" spans="1:82">
      <c r="A200" s="56" t="s">
        <v>16203</v>
      </c>
      <c r="B200" s="58"/>
      <c r="C200" s="57" t="s">
        <v>16186</v>
      </c>
      <c r="D200" s="58"/>
      <c r="E200" s="57" t="s">
        <v>15158</v>
      </c>
      <c r="F200" s="57" t="s">
        <v>16187</v>
      </c>
      <c r="G200" s="57" t="s">
        <v>15160</v>
      </c>
      <c r="H200" s="56" t="s">
        <v>2935</v>
      </c>
      <c r="I200" s="60">
        <v>75281.7</v>
      </c>
      <c r="J200" s="57" t="s">
        <v>1285</v>
      </c>
      <c r="K200" s="57" t="s">
        <v>15162</v>
      </c>
      <c r="L200" s="57" t="s">
        <v>15163</v>
      </c>
      <c r="M200" s="61" t="s">
        <v>15465</v>
      </c>
      <c r="N200" s="62" t="s">
        <v>15205</v>
      </c>
      <c r="O200" s="57" t="s">
        <v>15165</v>
      </c>
      <c r="P200" s="57" t="s">
        <v>15166</v>
      </c>
      <c r="Q200" s="57" t="s">
        <v>2935</v>
      </c>
      <c r="R200" s="57" t="s">
        <v>15594</v>
      </c>
      <c r="S200" s="57" t="s">
        <v>15595</v>
      </c>
      <c r="T200" s="57" t="s">
        <v>15190</v>
      </c>
      <c r="U200" s="57" t="s">
        <v>14184</v>
      </c>
      <c r="V200" s="56" t="s">
        <v>14153</v>
      </c>
      <c r="W200" s="58"/>
      <c r="X200" s="57" t="s">
        <v>16188</v>
      </c>
      <c r="Y200" s="57" t="s">
        <v>15170</v>
      </c>
      <c r="Z200" s="61" t="s">
        <v>14605</v>
      </c>
      <c r="AA200" s="61" t="s">
        <v>15465</v>
      </c>
      <c r="AB200" s="58"/>
      <c r="AC200" s="57" t="s">
        <v>15172</v>
      </c>
      <c r="AD200" s="58"/>
      <c r="AE200" s="58"/>
      <c r="AF200" s="58"/>
      <c r="AG200" s="58"/>
      <c r="AH200" s="58"/>
      <c r="AI200" s="58"/>
      <c r="AJ200" s="58"/>
      <c r="AK200" s="56" t="s">
        <v>1285</v>
      </c>
      <c r="AL200" s="56" t="s">
        <v>16189</v>
      </c>
      <c r="AM200" s="58"/>
      <c r="AN200" s="56" t="s">
        <v>15312</v>
      </c>
      <c r="AO200" s="58"/>
      <c r="AP200" s="63">
        <v>45807.5391087963</v>
      </c>
      <c r="AQ200" s="56" t="s">
        <v>16190</v>
      </c>
      <c r="AR200" s="61" t="s">
        <v>15448</v>
      </c>
      <c r="AS200" s="57" t="s">
        <v>14184</v>
      </c>
      <c r="AT200" s="56" t="s">
        <v>15177</v>
      </c>
      <c r="AU200" s="56" t="s">
        <v>16191</v>
      </c>
      <c r="AV200" s="58"/>
      <c r="AW200" s="64">
        <v>45694.803599537</v>
      </c>
      <c r="AX200" s="56" t="s">
        <v>16189</v>
      </c>
      <c r="AY200" s="56" t="s">
        <v>15179</v>
      </c>
      <c r="AZ200" s="58"/>
      <c r="BA200" s="58"/>
      <c r="BB200" s="58"/>
      <c r="BC200" s="56" t="s">
        <v>2146</v>
      </c>
      <c r="BD200" s="56" t="s">
        <v>15197</v>
      </c>
      <c r="BE200" s="58"/>
      <c r="BF200" s="56" t="s">
        <v>15181</v>
      </c>
      <c r="BG200" s="58"/>
      <c r="BH200" s="58"/>
      <c r="BI200" s="57" t="s">
        <v>2801</v>
      </c>
      <c r="BJ200" s="58"/>
      <c r="BK200" s="58"/>
      <c r="BL200" s="66">
        <v>3441037</v>
      </c>
      <c r="BM200" s="56" t="s">
        <v>16192</v>
      </c>
      <c r="BN200" s="58"/>
      <c r="BO200" s="67">
        <v>23520</v>
      </c>
      <c r="BP200" s="56" t="s">
        <v>15450</v>
      </c>
      <c r="BQ200" s="58"/>
      <c r="BR200" s="56" t="s">
        <v>16193</v>
      </c>
      <c r="BS200" s="56" t="s">
        <v>1285</v>
      </c>
      <c r="BT200" s="58"/>
      <c r="BU200" s="56" t="s">
        <v>16190</v>
      </c>
      <c r="BV200" s="58"/>
      <c r="BW200" s="58"/>
      <c r="BX200" s="67">
        <v>23520</v>
      </c>
      <c r="BY200" s="58"/>
      <c r="BZ200" s="58"/>
      <c r="CA200" s="58"/>
      <c r="CB200" s="58"/>
      <c r="CC200" s="58"/>
      <c r="CD200" s="58"/>
    </row>
    <row r="201" ht="121.5" spans="1:82">
      <c r="A201" s="56" t="s">
        <v>16204</v>
      </c>
      <c r="B201" s="58"/>
      <c r="C201" s="57" t="s">
        <v>16186</v>
      </c>
      <c r="D201" s="58"/>
      <c r="E201" s="57" t="s">
        <v>15158</v>
      </c>
      <c r="F201" s="57" t="s">
        <v>16187</v>
      </c>
      <c r="G201" s="57" t="s">
        <v>15160</v>
      </c>
      <c r="H201" s="56" t="s">
        <v>2935</v>
      </c>
      <c r="I201" s="60">
        <v>75281.7</v>
      </c>
      <c r="J201" s="57" t="s">
        <v>1285</v>
      </c>
      <c r="K201" s="57" t="s">
        <v>15162</v>
      </c>
      <c r="L201" s="57" t="s">
        <v>15163</v>
      </c>
      <c r="M201" s="61" t="s">
        <v>15465</v>
      </c>
      <c r="N201" s="62" t="s">
        <v>15205</v>
      </c>
      <c r="O201" s="57" t="s">
        <v>15165</v>
      </c>
      <c r="P201" s="57" t="s">
        <v>15166</v>
      </c>
      <c r="Q201" s="57" t="s">
        <v>2935</v>
      </c>
      <c r="R201" s="57" t="s">
        <v>15594</v>
      </c>
      <c r="S201" s="57" t="s">
        <v>15595</v>
      </c>
      <c r="T201" s="57" t="s">
        <v>15190</v>
      </c>
      <c r="U201" s="57" t="s">
        <v>14184</v>
      </c>
      <c r="V201" s="56" t="s">
        <v>14153</v>
      </c>
      <c r="W201" s="58"/>
      <c r="X201" s="57" t="s">
        <v>16188</v>
      </c>
      <c r="Y201" s="57" t="s">
        <v>15170</v>
      </c>
      <c r="Z201" s="61" t="s">
        <v>14605</v>
      </c>
      <c r="AA201" s="61" t="s">
        <v>15465</v>
      </c>
      <c r="AB201" s="58"/>
      <c r="AC201" s="57" t="s">
        <v>15172</v>
      </c>
      <c r="AD201" s="58"/>
      <c r="AE201" s="58"/>
      <c r="AF201" s="58"/>
      <c r="AG201" s="58"/>
      <c r="AH201" s="58"/>
      <c r="AI201" s="58"/>
      <c r="AJ201" s="58"/>
      <c r="AK201" s="56" t="s">
        <v>1285</v>
      </c>
      <c r="AL201" s="56" t="s">
        <v>16189</v>
      </c>
      <c r="AM201" s="58"/>
      <c r="AN201" s="56" t="s">
        <v>15312</v>
      </c>
      <c r="AO201" s="58"/>
      <c r="AP201" s="63">
        <v>45807.5391087963</v>
      </c>
      <c r="AQ201" s="56" t="s">
        <v>16190</v>
      </c>
      <c r="AR201" s="61" t="s">
        <v>15448</v>
      </c>
      <c r="AS201" s="57" t="s">
        <v>14184</v>
      </c>
      <c r="AT201" s="56" t="s">
        <v>15177</v>
      </c>
      <c r="AU201" s="56" t="s">
        <v>16191</v>
      </c>
      <c r="AV201" s="58"/>
      <c r="AW201" s="64">
        <v>45694.803599537</v>
      </c>
      <c r="AX201" s="56" t="s">
        <v>16189</v>
      </c>
      <c r="AY201" s="56" t="s">
        <v>15179</v>
      </c>
      <c r="AZ201" s="58"/>
      <c r="BA201" s="58"/>
      <c r="BB201" s="58"/>
      <c r="BC201" s="56" t="s">
        <v>15637</v>
      </c>
      <c r="BD201" s="56" t="s">
        <v>15197</v>
      </c>
      <c r="BE201" s="58"/>
      <c r="BF201" s="56" t="s">
        <v>15181</v>
      </c>
      <c r="BG201" s="58"/>
      <c r="BH201" s="58"/>
      <c r="BI201" s="57" t="s">
        <v>2801</v>
      </c>
      <c r="BJ201" s="58"/>
      <c r="BK201" s="58"/>
      <c r="BL201" s="66">
        <v>3436621</v>
      </c>
      <c r="BM201" s="56" t="s">
        <v>16205</v>
      </c>
      <c r="BN201" s="58"/>
      <c r="BO201" s="67">
        <v>1210</v>
      </c>
      <c r="BP201" s="56" t="s">
        <v>15450</v>
      </c>
      <c r="BQ201" s="58"/>
      <c r="BR201" s="56" t="s">
        <v>16193</v>
      </c>
      <c r="BS201" s="56" t="s">
        <v>1285</v>
      </c>
      <c r="BT201" s="58"/>
      <c r="BU201" s="56" t="s">
        <v>16190</v>
      </c>
      <c r="BV201" s="58"/>
      <c r="BW201" s="58"/>
      <c r="BX201" s="67">
        <v>1210</v>
      </c>
      <c r="BY201" s="58"/>
      <c r="BZ201" s="58"/>
      <c r="CA201" s="58"/>
      <c r="CB201" s="58"/>
      <c r="CC201" s="58"/>
      <c r="CD201" s="58"/>
    </row>
    <row r="202" ht="121.5" spans="1:82">
      <c r="A202" s="56" t="s">
        <v>16206</v>
      </c>
      <c r="B202" s="58"/>
      <c r="C202" s="57" t="s">
        <v>16186</v>
      </c>
      <c r="D202" s="58"/>
      <c r="E202" s="57" t="s">
        <v>15158</v>
      </c>
      <c r="F202" s="57" t="s">
        <v>16187</v>
      </c>
      <c r="G202" s="57" t="s">
        <v>15160</v>
      </c>
      <c r="H202" s="56" t="s">
        <v>2935</v>
      </c>
      <c r="I202" s="60">
        <v>75281.7</v>
      </c>
      <c r="J202" s="57" t="s">
        <v>1285</v>
      </c>
      <c r="K202" s="57" t="s">
        <v>15162</v>
      </c>
      <c r="L202" s="57" t="s">
        <v>15163</v>
      </c>
      <c r="M202" s="61" t="s">
        <v>15465</v>
      </c>
      <c r="N202" s="62" t="s">
        <v>15205</v>
      </c>
      <c r="O202" s="57" t="s">
        <v>15165</v>
      </c>
      <c r="P202" s="57" t="s">
        <v>15166</v>
      </c>
      <c r="Q202" s="57" t="s">
        <v>2935</v>
      </c>
      <c r="R202" s="57" t="s">
        <v>15594</v>
      </c>
      <c r="S202" s="57" t="s">
        <v>15595</v>
      </c>
      <c r="T202" s="57" t="s">
        <v>15190</v>
      </c>
      <c r="U202" s="57" t="s">
        <v>14184</v>
      </c>
      <c r="V202" s="56" t="s">
        <v>14153</v>
      </c>
      <c r="W202" s="58"/>
      <c r="X202" s="57" t="s">
        <v>16188</v>
      </c>
      <c r="Y202" s="57" t="s">
        <v>15170</v>
      </c>
      <c r="Z202" s="61" t="s">
        <v>14605</v>
      </c>
      <c r="AA202" s="61" t="s">
        <v>15465</v>
      </c>
      <c r="AB202" s="58"/>
      <c r="AC202" s="57" t="s">
        <v>15172</v>
      </c>
      <c r="AD202" s="58"/>
      <c r="AE202" s="58"/>
      <c r="AF202" s="58"/>
      <c r="AG202" s="58"/>
      <c r="AH202" s="58"/>
      <c r="AI202" s="58"/>
      <c r="AJ202" s="58"/>
      <c r="AK202" s="56" t="s">
        <v>1285</v>
      </c>
      <c r="AL202" s="56" t="s">
        <v>16189</v>
      </c>
      <c r="AM202" s="58"/>
      <c r="AN202" s="56" t="s">
        <v>15312</v>
      </c>
      <c r="AO202" s="58"/>
      <c r="AP202" s="63">
        <v>45807.5391087963</v>
      </c>
      <c r="AQ202" s="56" t="s">
        <v>16190</v>
      </c>
      <c r="AR202" s="61" t="s">
        <v>15448</v>
      </c>
      <c r="AS202" s="57" t="s">
        <v>14184</v>
      </c>
      <c r="AT202" s="56" t="s">
        <v>15177</v>
      </c>
      <c r="AU202" s="56" t="s">
        <v>16191</v>
      </c>
      <c r="AV202" s="58"/>
      <c r="AW202" s="64">
        <v>45694.803599537</v>
      </c>
      <c r="AX202" s="56" t="s">
        <v>16189</v>
      </c>
      <c r="AY202" s="56" t="s">
        <v>15179</v>
      </c>
      <c r="AZ202" s="58"/>
      <c r="BA202" s="58"/>
      <c r="BB202" s="58"/>
      <c r="BC202" s="56" t="s">
        <v>15637</v>
      </c>
      <c r="BD202" s="56" t="s">
        <v>15197</v>
      </c>
      <c r="BE202" s="58"/>
      <c r="BF202" s="56" t="s">
        <v>15181</v>
      </c>
      <c r="BG202" s="58"/>
      <c r="BH202" s="58"/>
      <c r="BI202" s="57" t="s">
        <v>2801</v>
      </c>
      <c r="BJ202" s="58"/>
      <c r="BK202" s="58"/>
      <c r="BL202" s="66">
        <v>3436620</v>
      </c>
      <c r="BM202" s="56" t="s">
        <v>16205</v>
      </c>
      <c r="BN202" s="58"/>
      <c r="BO202" s="67">
        <v>1540</v>
      </c>
      <c r="BP202" s="56" t="s">
        <v>15450</v>
      </c>
      <c r="BQ202" s="58"/>
      <c r="BR202" s="56" t="s">
        <v>16193</v>
      </c>
      <c r="BS202" s="56" t="s">
        <v>1285</v>
      </c>
      <c r="BT202" s="58"/>
      <c r="BU202" s="56" t="s">
        <v>16190</v>
      </c>
      <c r="BV202" s="58"/>
      <c r="BW202" s="58"/>
      <c r="BX202" s="67">
        <v>1540</v>
      </c>
      <c r="BY202" s="58"/>
      <c r="BZ202" s="58"/>
      <c r="CA202" s="58"/>
      <c r="CB202" s="58"/>
      <c r="CC202" s="58"/>
      <c r="CD202" s="58"/>
    </row>
    <row r="203" ht="121.5" spans="1:82">
      <c r="A203" s="56" t="s">
        <v>16207</v>
      </c>
      <c r="B203" s="58"/>
      <c r="C203" s="57" t="s">
        <v>16186</v>
      </c>
      <c r="D203" s="58"/>
      <c r="E203" s="57" t="s">
        <v>15158</v>
      </c>
      <c r="F203" s="57" t="s">
        <v>16187</v>
      </c>
      <c r="G203" s="57" t="s">
        <v>15160</v>
      </c>
      <c r="H203" s="56" t="s">
        <v>2935</v>
      </c>
      <c r="I203" s="60">
        <v>75281.7</v>
      </c>
      <c r="J203" s="57" t="s">
        <v>1285</v>
      </c>
      <c r="K203" s="57" t="s">
        <v>15162</v>
      </c>
      <c r="L203" s="57" t="s">
        <v>15163</v>
      </c>
      <c r="M203" s="61" t="s">
        <v>15465</v>
      </c>
      <c r="N203" s="62" t="s">
        <v>15205</v>
      </c>
      <c r="O203" s="57" t="s">
        <v>15165</v>
      </c>
      <c r="P203" s="57" t="s">
        <v>15166</v>
      </c>
      <c r="Q203" s="57" t="s">
        <v>2935</v>
      </c>
      <c r="R203" s="57" t="s">
        <v>15594</v>
      </c>
      <c r="S203" s="57" t="s">
        <v>15595</v>
      </c>
      <c r="T203" s="57" t="s">
        <v>15190</v>
      </c>
      <c r="U203" s="57" t="s">
        <v>14184</v>
      </c>
      <c r="V203" s="56" t="s">
        <v>14153</v>
      </c>
      <c r="W203" s="58"/>
      <c r="X203" s="57" t="s">
        <v>16188</v>
      </c>
      <c r="Y203" s="57" t="s">
        <v>15170</v>
      </c>
      <c r="Z203" s="61" t="s">
        <v>14605</v>
      </c>
      <c r="AA203" s="61" t="s">
        <v>15465</v>
      </c>
      <c r="AB203" s="58"/>
      <c r="AC203" s="57" t="s">
        <v>15172</v>
      </c>
      <c r="AD203" s="58"/>
      <c r="AE203" s="58"/>
      <c r="AF203" s="58"/>
      <c r="AG203" s="58"/>
      <c r="AH203" s="58"/>
      <c r="AI203" s="58"/>
      <c r="AJ203" s="58"/>
      <c r="AK203" s="56" t="s">
        <v>1285</v>
      </c>
      <c r="AL203" s="56" t="s">
        <v>16189</v>
      </c>
      <c r="AM203" s="58"/>
      <c r="AN203" s="56" t="s">
        <v>15312</v>
      </c>
      <c r="AO203" s="58"/>
      <c r="AP203" s="63">
        <v>45807.5391087963</v>
      </c>
      <c r="AQ203" s="56" t="s">
        <v>16190</v>
      </c>
      <c r="AR203" s="61" t="s">
        <v>15448</v>
      </c>
      <c r="AS203" s="57" t="s">
        <v>14184</v>
      </c>
      <c r="AT203" s="56" t="s">
        <v>15177</v>
      </c>
      <c r="AU203" s="56" t="s">
        <v>16191</v>
      </c>
      <c r="AV203" s="58"/>
      <c r="AW203" s="64">
        <v>45694.803599537</v>
      </c>
      <c r="AX203" s="56" t="s">
        <v>16189</v>
      </c>
      <c r="AY203" s="56" t="s">
        <v>15179</v>
      </c>
      <c r="AZ203" s="58"/>
      <c r="BA203" s="58"/>
      <c r="BB203" s="58"/>
      <c r="BC203" s="56" t="s">
        <v>15637</v>
      </c>
      <c r="BD203" s="56" t="s">
        <v>15197</v>
      </c>
      <c r="BE203" s="58"/>
      <c r="BF203" s="56" t="s">
        <v>15181</v>
      </c>
      <c r="BG203" s="58"/>
      <c r="BH203" s="58"/>
      <c r="BI203" s="57" t="s">
        <v>2801</v>
      </c>
      <c r="BJ203" s="58"/>
      <c r="BK203" s="58"/>
      <c r="BL203" s="66">
        <v>3436619</v>
      </c>
      <c r="BM203" s="56" t="s">
        <v>16205</v>
      </c>
      <c r="BN203" s="58"/>
      <c r="BO203" s="67">
        <v>11154</v>
      </c>
      <c r="BP203" s="56" t="s">
        <v>15450</v>
      </c>
      <c r="BQ203" s="58"/>
      <c r="BR203" s="56" t="s">
        <v>16193</v>
      </c>
      <c r="BS203" s="56" t="s">
        <v>1285</v>
      </c>
      <c r="BT203" s="58"/>
      <c r="BU203" s="56" t="s">
        <v>16190</v>
      </c>
      <c r="BV203" s="58"/>
      <c r="BW203" s="58"/>
      <c r="BX203" s="67">
        <v>11154</v>
      </c>
      <c r="BY203" s="58"/>
      <c r="BZ203" s="58"/>
      <c r="CA203" s="58"/>
      <c r="CB203" s="58"/>
      <c r="CC203" s="58"/>
      <c r="CD203" s="58"/>
    </row>
    <row r="204" ht="121.5" spans="1:82">
      <c r="A204" s="56" t="s">
        <v>16208</v>
      </c>
      <c r="B204" s="58"/>
      <c r="C204" s="57" t="s">
        <v>16186</v>
      </c>
      <c r="D204" s="58"/>
      <c r="E204" s="57" t="s">
        <v>15158</v>
      </c>
      <c r="F204" s="57" t="s">
        <v>16187</v>
      </c>
      <c r="G204" s="57" t="s">
        <v>15160</v>
      </c>
      <c r="H204" s="56" t="s">
        <v>2935</v>
      </c>
      <c r="I204" s="60">
        <v>75281.7</v>
      </c>
      <c r="J204" s="57" t="s">
        <v>1285</v>
      </c>
      <c r="K204" s="57" t="s">
        <v>15162</v>
      </c>
      <c r="L204" s="57" t="s">
        <v>15163</v>
      </c>
      <c r="M204" s="61" t="s">
        <v>15465</v>
      </c>
      <c r="N204" s="62" t="s">
        <v>15205</v>
      </c>
      <c r="O204" s="57" t="s">
        <v>15165</v>
      </c>
      <c r="P204" s="57" t="s">
        <v>15166</v>
      </c>
      <c r="Q204" s="57" t="s">
        <v>2935</v>
      </c>
      <c r="R204" s="57" t="s">
        <v>15594</v>
      </c>
      <c r="S204" s="57" t="s">
        <v>15595</v>
      </c>
      <c r="T204" s="57" t="s">
        <v>15190</v>
      </c>
      <c r="U204" s="57" t="s">
        <v>14184</v>
      </c>
      <c r="V204" s="56" t="s">
        <v>14153</v>
      </c>
      <c r="W204" s="58"/>
      <c r="X204" s="57" t="s">
        <v>16188</v>
      </c>
      <c r="Y204" s="57" t="s">
        <v>15170</v>
      </c>
      <c r="Z204" s="61" t="s">
        <v>14605</v>
      </c>
      <c r="AA204" s="61" t="s">
        <v>15465</v>
      </c>
      <c r="AB204" s="58"/>
      <c r="AC204" s="57" t="s">
        <v>15172</v>
      </c>
      <c r="AD204" s="58"/>
      <c r="AE204" s="58"/>
      <c r="AF204" s="58"/>
      <c r="AG204" s="58"/>
      <c r="AH204" s="58"/>
      <c r="AI204" s="58"/>
      <c r="AJ204" s="58"/>
      <c r="AK204" s="56" t="s">
        <v>1285</v>
      </c>
      <c r="AL204" s="56" t="s">
        <v>16189</v>
      </c>
      <c r="AM204" s="58"/>
      <c r="AN204" s="56" t="s">
        <v>15312</v>
      </c>
      <c r="AO204" s="58"/>
      <c r="AP204" s="63">
        <v>45807.5391087963</v>
      </c>
      <c r="AQ204" s="56" t="s">
        <v>16190</v>
      </c>
      <c r="AR204" s="61" t="s">
        <v>15448</v>
      </c>
      <c r="AS204" s="57" t="s">
        <v>14184</v>
      </c>
      <c r="AT204" s="56" t="s">
        <v>15177</v>
      </c>
      <c r="AU204" s="56" t="s">
        <v>16191</v>
      </c>
      <c r="AV204" s="58"/>
      <c r="AW204" s="64">
        <v>45694.803599537</v>
      </c>
      <c r="AX204" s="56" t="s">
        <v>16189</v>
      </c>
      <c r="AY204" s="56" t="s">
        <v>15179</v>
      </c>
      <c r="AZ204" s="58"/>
      <c r="BA204" s="58"/>
      <c r="BB204" s="58"/>
      <c r="BC204" s="56" t="s">
        <v>15637</v>
      </c>
      <c r="BD204" s="56" t="s">
        <v>15197</v>
      </c>
      <c r="BE204" s="58"/>
      <c r="BF204" s="56" t="s">
        <v>15181</v>
      </c>
      <c r="BG204" s="58"/>
      <c r="BH204" s="58"/>
      <c r="BI204" s="57" t="s">
        <v>2801</v>
      </c>
      <c r="BJ204" s="58"/>
      <c r="BK204" s="58"/>
      <c r="BL204" s="66">
        <v>3436618</v>
      </c>
      <c r="BM204" s="56" t="s">
        <v>16205</v>
      </c>
      <c r="BN204" s="58"/>
      <c r="BO204" s="67">
        <v>6700</v>
      </c>
      <c r="BP204" s="56" t="s">
        <v>15450</v>
      </c>
      <c r="BQ204" s="58"/>
      <c r="BR204" s="56" t="s">
        <v>16193</v>
      </c>
      <c r="BS204" s="56" t="s">
        <v>1285</v>
      </c>
      <c r="BT204" s="58"/>
      <c r="BU204" s="56" t="s">
        <v>16190</v>
      </c>
      <c r="BV204" s="58"/>
      <c r="BW204" s="58"/>
      <c r="BX204" s="67">
        <v>6700</v>
      </c>
      <c r="BY204" s="58"/>
      <c r="BZ204" s="58"/>
      <c r="CA204" s="58"/>
      <c r="CB204" s="58"/>
      <c r="CC204" s="58"/>
      <c r="CD204" s="58"/>
    </row>
    <row r="205" ht="81" spans="1:82">
      <c r="A205" s="56" t="s">
        <v>16209</v>
      </c>
      <c r="B205" s="57" t="s">
        <v>15245</v>
      </c>
      <c r="C205" s="58"/>
      <c r="D205" s="57" t="s">
        <v>16210</v>
      </c>
      <c r="E205" s="57" t="s">
        <v>15158</v>
      </c>
      <c r="F205" s="57" t="s">
        <v>16211</v>
      </c>
      <c r="G205" s="57" t="s">
        <v>15183</v>
      </c>
      <c r="H205" s="56" t="s">
        <v>15918</v>
      </c>
      <c r="I205" s="60">
        <v>14300</v>
      </c>
      <c r="J205" s="57" t="s">
        <v>1285</v>
      </c>
      <c r="K205" s="57" t="s">
        <v>15162</v>
      </c>
      <c r="L205" s="57" t="s">
        <v>15163</v>
      </c>
      <c r="M205" s="61" t="s">
        <v>16212</v>
      </c>
      <c r="N205" s="62" t="s">
        <v>15920</v>
      </c>
      <c r="O205" s="57" t="s">
        <v>15250</v>
      </c>
      <c r="P205" s="57" t="s">
        <v>15251</v>
      </c>
      <c r="Q205" s="57" t="s">
        <v>15918</v>
      </c>
      <c r="R205" s="57" t="s">
        <v>15921</v>
      </c>
      <c r="S205" s="57" t="s">
        <v>15922</v>
      </c>
      <c r="T205" s="58"/>
      <c r="U205" s="57" t="s">
        <v>15074</v>
      </c>
      <c r="V205" s="56" t="s">
        <v>14153</v>
      </c>
      <c r="W205" s="58"/>
      <c r="X205" s="57" t="s">
        <v>15923</v>
      </c>
      <c r="Y205" s="57" t="s">
        <v>15170</v>
      </c>
      <c r="Z205" s="61" t="s">
        <v>15920</v>
      </c>
      <c r="AA205" s="61" t="s">
        <v>16212</v>
      </c>
      <c r="AB205" s="57" t="s">
        <v>15256</v>
      </c>
      <c r="AC205" s="57" t="s">
        <v>15172</v>
      </c>
      <c r="AD205" s="58"/>
      <c r="AE205" s="58"/>
      <c r="AF205" s="57" t="s">
        <v>15173</v>
      </c>
      <c r="AG205" s="58"/>
      <c r="AH205" s="58"/>
      <c r="AI205" s="57" t="s">
        <v>15173</v>
      </c>
      <c r="AJ205" s="58"/>
      <c r="AK205" s="56" t="s">
        <v>1285</v>
      </c>
      <c r="AL205" s="56" t="s">
        <v>16213</v>
      </c>
      <c r="AM205" s="58"/>
      <c r="AN205" s="56" t="s">
        <v>15534</v>
      </c>
      <c r="AO205" s="58"/>
      <c r="AP205" s="63">
        <v>45674.8885300926</v>
      </c>
      <c r="AQ205" s="56" t="s">
        <v>16214</v>
      </c>
      <c r="AR205" s="61" t="s">
        <v>14754</v>
      </c>
      <c r="AS205" s="58"/>
      <c r="AT205" s="56" t="s">
        <v>15260</v>
      </c>
      <c r="AU205" s="56" t="s">
        <v>16215</v>
      </c>
      <c r="AV205" s="58"/>
      <c r="AW205" s="64">
        <v>45673.5001041667</v>
      </c>
      <c r="AX205" s="56" t="s">
        <v>16213</v>
      </c>
      <c r="AY205" s="56" t="s">
        <v>15179</v>
      </c>
      <c r="AZ205" s="58"/>
      <c r="BA205" s="58"/>
      <c r="BB205" s="58"/>
      <c r="BC205" s="58"/>
      <c r="BD205" s="56" t="s">
        <v>15429</v>
      </c>
      <c r="BE205" s="58"/>
      <c r="BF205" s="56" t="s">
        <v>15181</v>
      </c>
      <c r="BG205" s="58"/>
      <c r="BH205" s="58"/>
      <c r="BI205" s="57" t="s">
        <v>15291</v>
      </c>
      <c r="BJ205" s="58"/>
      <c r="BK205" s="58"/>
      <c r="BL205" s="58"/>
      <c r="BM205" s="58"/>
      <c r="BN205" s="67">
        <v>14300</v>
      </c>
      <c r="BO205" s="58"/>
      <c r="BP205" s="56" t="s">
        <v>15714</v>
      </c>
      <c r="BQ205" s="58"/>
      <c r="BR205" s="58"/>
      <c r="BS205" s="58"/>
      <c r="BT205" s="56" t="s">
        <v>1285</v>
      </c>
      <c r="BU205" s="56" t="s">
        <v>16214</v>
      </c>
      <c r="BV205" s="58"/>
      <c r="BW205" s="58"/>
      <c r="BX205" s="67">
        <v>14300</v>
      </c>
      <c r="BY205" s="58"/>
      <c r="BZ205" s="56" t="s">
        <v>15264</v>
      </c>
      <c r="CA205" s="58"/>
      <c r="CB205" s="58"/>
      <c r="CC205" s="58"/>
      <c r="CD205" s="57" t="s">
        <v>15315</v>
      </c>
    </row>
    <row r="206" ht="81" spans="1:82">
      <c r="A206" s="56" t="s">
        <v>16216</v>
      </c>
      <c r="B206" s="57" t="s">
        <v>15279</v>
      </c>
      <c r="C206" s="58"/>
      <c r="D206" s="57" t="s">
        <v>16217</v>
      </c>
      <c r="E206" s="57" t="s">
        <v>15158</v>
      </c>
      <c r="F206" s="57" t="s">
        <v>16210</v>
      </c>
      <c r="G206" s="57" t="s">
        <v>15264</v>
      </c>
      <c r="H206" s="56" t="s">
        <v>15918</v>
      </c>
      <c r="I206" s="60">
        <v>14300</v>
      </c>
      <c r="J206" s="58"/>
      <c r="K206" s="58"/>
      <c r="L206" s="57" t="s">
        <v>15163</v>
      </c>
      <c r="M206" s="61" t="s">
        <v>16212</v>
      </c>
      <c r="N206" s="62" t="s">
        <v>16218</v>
      </c>
      <c r="O206" s="58"/>
      <c r="P206" s="58"/>
      <c r="Q206" s="57" t="s">
        <v>15918</v>
      </c>
      <c r="R206" s="57" t="s">
        <v>15921</v>
      </c>
      <c r="S206" s="57" t="s">
        <v>15922</v>
      </c>
      <c r="T206" s="58"/>
      <c r="U206" s="58"/>
      <c r="V206" s="56" t="s">
        <v>14153</v>
      </c>
      <c r="W206" s="58"/>
      <c r="X206" s="57" t="s">
        <v>15923</v>
      </c>
      <c r="Y206" s="57" t="s">
        <v>15170</v>
      </c>
      <c r="Z206" s="61" t="s">
        <v>15920</v>
      </c>
      <c r="AA206" s="61" t="s">
        <v>16212</v>
      </c>
      <c r="AB206" s="57" t="s">
        <v>15171</v>
      </c>
      <c r="AC206" s="57" t="s">
        <v>15172</v>
      </c>
      <c r="AD206" s="58"/>
      <c r="AE206" s="58"/>
      <c r="AF206" s="58"/>
      <c r="AG206" s="58"/>
      <c r="AH206" s="58"/>
      <c r="AI206" s="58"/>
      <c r="AJ206" s="58"/>
      <c r="AK206" s="56" t="s">
        <v>1285</v>
      </c>
      <c r="AL206" s="56" t="s">
        <v>16219</v>
      </c>
      <c r="AM206" s="58"/>
      <c r="AN206" s="56" t="s">
        <v>16220</v>
      </c>
      <c r="AO206" s="58"/>
      <c r="AP206" s="63">
        <v>45674.8132175926</v>
      </c>
      <c r="AQ206" s="58"/>
      <c r="AR206" s="61" t="s">
        <v>14754</v>
      </c>
      <c r="AS206" s="58"/>
      <c r="AT206" s="56" t="s">
        <v>15289</v>
      </c>
      <c r="AU206" s="56" t="s">
        <v>16221</v>
      </c>
      <c r="AV206" s="56" t="s">
        <v>16217</v>
      </c>
      <c r="AW206" s="64">
        <v>45663.8015509259</v>
      </c>
      <c r="AX206" s="56" t="s">
        <v>16219</v>
      </c>
      <c r="AY206" s="56" t="s">
        <v>15179</v>
      </c>
      <c r="AZ206" s="58"/>
      <c r="BA206" s="58"/>
      <c r="BB206" s="58"/>
      <c r="BC206" s="58"/>
      <c r="BD206" s="56" t="s">
        <v>15429</v>
      </c>
      <c r="BE206" s="58"/>
      <c r="BF206" s="56" t="s">
        <v>15181</v>
      </c>
      <c r="BG206" s="58"/>
      <c r="BH206" s="58"/>
      <c r="BI206" s="57" t="s">
        <v>15291</v>
      </c>
      <c r="BJ206" s="58"/>
      <c r="BK206" s="58"/>
      <c r="BL206" s="58"/>
      <c r="BM206" s="58"/>
      <c r="BN206" s="67">
        <v>14300</v>
      </c>
      <c r="BO206" s="58"/>
      <c r="BP206" s="56" t="s">
        <v>15714</v>
      </c>
      <c r="BQ206" s="58"/>
      <c r="BR206" s="58"/>
      <c r="BS206" s="58"/>
      <c r="BT206" s="56" t="s">
        <v>1285</v>
      </c>
      <c r="BU206" s="58"/>
      <c r="BV206" s="56" t="s">
        <v>15183</v>
      </c>
      <c r="BW206" s="58"/>
      <c r="BX206" s="67">
        <v>14300</v>
      </c>
      <c r="BY206" s="58"/>
      <c r="BZ206" s="56" t="s">
        <v>15264</v>
      </c>
      <c r="CA206" s="56" t="s">
        <v>15763</v>
      </c>
      <c r="CB206" s="58"/>
      <c r="CC206" s="58"/>
      <c r="CD206" s="58"/>
    </row>
    <row r="207" ht="121.5" spans="1:82">
      <c r="A207" s="56" t="s">
        <v>16222</v>
      </c>
      <c r="B207" s="58"/>
      <c r="C207" s="57" t="s">
        <v>16186</v>
      </c>
      <c r="D207" s="58"/>
      <c r="E207" s="57" t="s">
        <v>15158</v>
      </c>
      <c r="F207" s="57" t="s">
        <v>16187</v>
      </c>
      <c r="G207" s="57" t="s">
        <v>15160</v>
      </c>
      <c r="H207" s="56" t="s">
        <v>2935</v>
      </c>
      <c r="I207" s="60">
        <v>75281.7</v>
      </c>
      <c r="J207" s="57" t="s">
        <v>1285</v>
      </c>
      <c r="K207" s="57" t="s">
        <v>15162</v>
      </c>
      <c r="L207" s="57" t="s">
        <v>15163</v>
      </c>
      <c r="M207" s="61" t="s">
        <v>15465</v>
      </c>
      <c r="N207" s="62" t="s">
        <v>15205</v>
      </c>
      <c r="O207" s="57" t="s">
        <v>15165</v>
      </c>
      <c r="P207" s="57" t="s">
        <v>15166</v>
      </c>
      <c r="Q207" s="57" t="s">
        <v>2935</v>
      </c>
      <c r="R207" s="57" t="s">
        <v>15594</v>
      </c>
      <c r="S207" s="57" t="s">
        <v>15595</v>
      </c>
      <c r="T207" s="57" t="s">
        <v>15190</v>
      </c>
      <c r="U207" s="57" t="s">
        <v>14184</v>
      </c>
      <c r="V207" s="56" t="s">
        <v>14153</v>
      </c>
      <c r="W207" s="58"/>
      <c r="X207" s="57" t="s">
        <v>16188</v>
      </c>
      <c r="Y207" s="57" t="s">
        <v>15170</v>
      </c>
      <c r="Z207" s="61" t="s">
        <v>14605</v>
      </c>
      <c r="AA207" s="61" t="s">
        <v>15465</v>
      </c>
      <c r="AB207" s="58"/>
      <c r="AC207" s="57" t="s">
        <v>15172</v>
      </c>
      <c r="AD207" s="58"/>
      <c r="AE207" s="58"/>
      <c r="AF207" s="58"/>
      <c r="AG207" s="58"/>
      <c r="AH207" s="58"/>
      <c r="AI207" s="58"/>
      <c r="AJ207" s="58"/>
      <c r="AK207" s="56" t="s">
        <v>1285</v>
      </c>
      <c r="AL207" s="56" t="s">
        <v>16189</v>
      </c>
      <c r="AM207" s="58"/>
      <c r="AN207" s="56" t="s">
        <v>15312</v>
      </c>
      <c r="AO207" s="58"/>
      <c r="AP207" s="63">
        <v>45807.5391087963</v>
      </c>
      <c r="AQ207" s="56" t="s">
        <v>16190</v>
      </c>
      <c r="AR207" s="61" t="s">
        <v>15448</v>
      </c>
      <c r="AS207" s="57" t="s">
        <v>14184</v>
      </c>
      <c r="AT207" s="56" t="s">
        <v>15177</v>
      </c>
      <c r="AU207" s="56" t="s">
        <v>16191</v>
      </c>
      <c r="AV207" s="58"/>
      <c r="AW207" s="64">
        <v>45694.803599537</v>
      </c>
      <c r="AX207" s="56" t="s">
        <v>16189</v>
      </c>
      <c r="AY207" s="56" t="s">
        <v>15179</v>
      </c>
      <c r="AZ207" s="58"/>
      <c r="BA207" s="58"/>
      <c r="BB207" s="58"/>
      <c r="BC207" s="56" t="s">
        <v>16041</v>
      </c>
      <c r="BD207" s="56" t="s">
        <v>15197</v>
      </c>
      <c r="BE207" s="58"/>
      <c r="BF207" s="56" t="s">
        <v>15181</v>
      </c>
      <c r="BG207" s="58"/>
      <c r="BH207" s="58"/>
      <c r="BI207" s="57" t="s">
        <v>2801</v>
      </c>
      <c r="BJ207" s="58"/>
      <c r="BK207" s="58"/>
      <c r="BL207" s="66">
        <v>3441038</v>
      </c>
      <c r="BM207" s="56" t="s">
        <v>16192</v>
      </c>
      <c r="BN207" s="58"/>
      <c r="BO207" s="67">
        <v>7578</v>
      </c>
      <c r="BP207" s="56" t="s">
        <v>15450</v>
      </c>
      <c r="BQ207" s="58"/>
      <c r="BR207" s="56" t="s">
        <v>16193</v>
      </c>
      <c r="BS207" s="56" t="s">
        <v>1285</v>
      </c>
      <c r="BT207" s="58"/>
      <c r="BU207" s="56" t="s">
        <v>16190</v>
      </c>
      <c r="BV207" s="58"/>
      <c r="BW207" s="58"/>
      <c r="BX207" s="67">
        <v>7578</v>
      </c>
      <c r="BY207" s="58"/>
      <c r="BZ207" s="58"/>
      <c r="CA207" s="58"/>
      <c r="CB207" s="58"/>
      <c r="CC207" s="58"/>
      <c r="CD207" s="58"/>
    </row>
    <row r="208" ht="121.5" spans="1:82">
      <c r="A208" s="56" t="s">
        <v>16223</v>
      </c>
      <c r="B208" s="58"/>
      <c r="C208" s="57" t="s">
        <v>16186</v>
      </c>
      <c r="D208" s="58"/>
      <c r="E208" s="57" t="s">
        <v>15158</v>
      </c>
      <c r="F208" s="57" t="s">
        <v>16187</v>
      </c>
      <c r="G208" s="57" t="s">
        <v>15160</v>
      </c>
      <c r="H208" s="56" t="s">
        <v>2935</v>
      </c>
      <c r="I208" s="60">
        <v>75281.7</v>
      </c>
      <c r="J208" s="57" t="s">
        <v>1285</v>
      </c>
      <c r="K208" s="57" t="s">
        <v>15162</v>
      </c>
      <c r="L208" s="57" t="s">
        <v>15163</v>
      </c>
      <c r="M208" s="61" t="s">
        <v>15465</v>
      </c>
      <c r="N208" s="62" t="s">
        <v>15205</v>
      </c>
      <c r="O208" s="57" t="s">
        <v>15165</v>
      </c>
      <c r="P208" s="57" t="s">
        <v>15166</v>
      </c>
      <c r="Q208" s="57" t="s">
        <v>2935</v>
      </c>
      <c r="R208" s="57" t="s">
        <v>15594</v>
      </c>
      <c r="S208" s="57" t="s">
        <v>15595</v>
      </c>
      <c r="T208" s="57" t="s">
        <v>15190</v>
      </c>
      <c r="U208" s="57" t="s">
        <v>14184</v>
      </c>
      <c r="V208" s="56" t="s">
        <v>14153</v>
      </c>
      <c r="W208" s="58"/>
      <c r="X208" s="57" t="s">
        <v>16188</v>
      </c>
      <c r="Y208" s="57" t="s">
        <v>15170</v>
      </c>
      <c r="Z208" s="61" t="s">
        <v>14605</v>
      </c>
      <c r="AA208" s="61" t="s">
        <v>15465</v>
      </c>
      <c r="AB208" s="58"/>
      <c r="AC208" s="57" t="s">
        <v>15172</v>
      </c>
      <c r="AD208" s="58"/>
      <c r="AE208" s="58"/>
      <c r="AF208" s="58"/>
      <c r="AG208" s="58"/>
      <c r="AH208" s="58"/>
      <c r="AI208" s="58"/>
      <c r="AJ208" s="58"/>
      <c r="AK208" s="56" t="s">
        <v>1285</v>
      </c>
      <c r="AL208" s="56" t="s">
        <v>16189</v>
      </c>
      <c r="AM208" s="58"/>
      <c r="AN208" s="56" t="s">
        <v>15312</v>
      </c>
      <c r="AO208" s="58"/>
      <c r="AP208" s="63">
        <v>45807.5391087963</v>
      </c>
      <c r="AQ208" s="56" t="s">
        <v>16190</v>
      </c>
      <c r="AR208" s="61" t="s">
        <v>15448</v>
      </c>
      <c r="AS208" s="57" t="s">
        <v>14184</v>
      </c>
      <c r="AT208" s="56" t="s">
        <v>15177</v>
      </c>
      <c r="AU208" s="56" t="s">
        <v>16191</v>
      </c>
      <c r="AV208" s="58"/>
      <c r="AW208" s="64">
        <v>45694.803599537</v>
      </c>
      <c r="AX208" s="56" t="s">
        <v>16189</v>
      </c>
      <c r="AY208" s="56" t="s">
        <v>15179</v>
      </c>
      <c r="AZ208" s="58"/>
      <c r="BA208" s="58"/>
      <c r="BB208" s="58"/>
      <c r="BC208" s="56" t="s">
        <v>15213</v>
      </c>
      <c r="BD208" s="56" t="s">
        <v>15197</v>
      </c>
      <c r="BE208" s="58"/>
      <c r="BF208" s="56" t="s">
        <v>15181</v>
      </c>
      <c r="BG208" s="58"/>
      <c r="BH208" s="58"/>
      <c r="BI208" s="57" t="s">
        <v>2801</v>
      </c>
      <c r="BJ208" s="58"/>
      <c r="BK208" s="58"/>
      <c r="BL208" s="66">
        <v>3429289</v>
      </c>
      <c r="BM208" s="56" t="s">
        <v>16224</v>
      </c>
      <c r="BN208" s="58"/>
      <c r="BO208" s="67">
        <v>594</v>
      </c>
      <c r="BP208" s="56" t="s">
        <v>15450</v>
      </c>
      <c r="BQ208" s="58"/>
      <c r="BR208" s="56" t="s">
        <v>16193</v>
      </c>
      <c r="BS208" s="56" t="s">
        <v>1285</v>
      </c>
      <c r="BT208" s="58"/>
      <c r="BU208" s="56" t="s">
        <v>16190</v>
      </c>
      <c r="BV208" s="58"/>
      <c r="BW208" s="58"/>
      <c r="BX208" s="67">
        <v>594</v>
      </c>
      <c r="BY208" s="58"/>
      <c r="BZ208" s="58"/>
      <c r="CA208" s="58"/>
      <c r="CB208" s="58"/>
      <c r="CC208" s="58"/>
      <c r="CD208" s="58"/>
    </row>
    <row r="209" ht="121.5" spans="1:82">
      <c r="A209" s="56" t="s">
        <v>16225</v>
      </c>
      <c r="B209" s="58"/>
      <c r="C209" s="57" t="s">
        <v>16186</v>
      </c>
      <c r="D209" s="58"/>
      <c r="E209" s="57" t="s">
        <v>15158</v>
      </c>
      <c r="F209" s="57" t="s">
        <v>16187</v>
      </c>
      <c r="G209" s="57" t="s">
        <v>15160</v>
      </c>
      <c r="H209" s="56" t="s">
        <v>2935</v>
      </c>
      <c r="I209" s="60">
        <v>75281.7</v>
      </c>
      <c r="J209" s="57" t="s">
        <v>1285</v>
      </c>
      <c r="K209" s="57" t="s">
        <v>15162</v>
      </c>
      <c r="L209" s="57" t="s">
        <v>15163</v>
      </c>
      <c r="M209" s="61" t="s">
        <v>15465</v>
      </c>
      <c r="N209" s="62" t="s">
        <v>15205</v>
      </c>
      <c r="O209" s="57" t="s">
        <v>15165</v>
      </c>
      <c r="P209" s="57" t="s">
        <v>15166</v>
      </c>
      <c r="Q209" s="57" t="s">
        <v>2935</v>
      </c>
      <c r="R209" s="57" t="s">
        <v>15594</v>
      </c>
      <c r="S209" s="57" t="s">
        <v>15595</v>
      </c>
      <c r="T209" s="57" t="s">
        <v>15190</v>
      </c>
      <c r="U209" s="57" t="s">
        <v>14184</v>
      </c>
      <c r="V209" s="56" t="s">
        <v>14153</v>
      </c>
      <c r="W209" s="58"/>
      <c r="X209" s="57" t="s">
        <v>16188</v>
      </c>
      <c r="Y209" s="57" t="s">
        <v>15170</v>
      </c>
      <c r="Z209" s="61" t="s">
        <v>14605</v>
      </c>
      <c r="AA209" s="61" t="s">
        <v>15465</v>
      </c>
      <c r="AB209" s="58"/>
      <c r="AC209" s="57" t="s">
        <v>15172</v>
      </c>
      <c r="AD209" s="58"/>
      <c r="AE209" s="58"/>
      <c r="AF209" s="58"/>
      <c r="AG209" s="58"/>
      <c r="AH209" s="58"/>
      <c r="AI209" s="58"/>
      <c r="AJ209" s="58"/>
      <c r="AK209" s="56" t="s">
        <v>1285</v>
      </c>
      <c r="AL209" s="56" t="s">
        <v>16189</v>
      </c>
      <c r="AM209" s="58"/>
      <c r="AN209" s="56" t="s">
        <v>15312</v>
      </c>
      <c r="AO209" s="58"/>
      <c r="AP209" s="63">
        <v>45807.5391087963</v>
      </c>
      <c r="AQ209" s="56" t="s">
        <v>16190</v>
      </c>
      <c r="AR209" s="61" t="s">
        <v>15448</v>
      </c>
      <c r="AS209" s="57" t="s">
        <v>14184</v>
      </c>
      <c r="AT209" s="56" t="s">
        <v>15177</v>
      </c>
      <c r="AU209" s="56" t="s">
        <v>16191</v>
      </c>
      <c r="AV209" s="58"/>
      <c r="AW209" s="64">
        <v>45694.803599537</v>
      </c>
      <c r="AX209" s="56" t="s">
        <v>16189</v>
      </c>
      <c r="AY209" s="56" t="s">
        <v>15179</v>
      </c>
      <c r="AZ209" s="58"/>
      <c r="BA209" s="58"/>
      <c r="BB209" s="58"/>
      <c r="BC209" s="56" t="s">
        <v>138</v>
      </c>
      <c r="BD209" s="56" t="s">
        <v>15197</v>
      </c>
      <c r="BE209" s="58"/>
      <c r="BF209" s="56" t="s">
        <v>15181</v>
      </c>
      <c r="BG209" s="58"/>
      <c r="BH209" s="58"/>
      <c r="BI209" s="57" t="s">
        <v>2801</v>
      </c>
      <c r="BJ209" s="58"/>
      <c r="BK209" s="58"/>
      <c r="BL209" s="66">
        <v>3429290</v>
      </c>
      <c r="BM209" s="56" t="s">
        <v>16224</v>
      </c>
      <c r="BN209" s="58"/>
      <c r="BO209" s="67">
        <v>108</v>
      </c>
      <c r="BP209" s="56" t="s">
        <v>15450</v>
      </c>
      <c r="BQ209" s="58"/>
      <c r="BR209" s="56" t="s">
        <v>16193</v>
      </c>
      <c r="BS209" s="56" t="s">
        <v>1285</v>
      </c>
      <c r="BT209" s="58"/>
      <c r="BU209" s="56" t="s">
        <v>16190</v>
      </c>
      <c r="BV209" s="58"/>
      <c r="BW209" s="58"/>
      <c r="BX209" s="67">
        <v>108</v>
      </c>
      <c r="BY209" s="58"/>
      <c r="BZ209" s="58"/>
      <c r="CA209" s="58"/>
      <c r="CB209" s="58"/>
      <c r="CC209" s="58"/>
      <c r="CD209" s="58"/>
    </row>
    <row r="210" ht="121.5" spans="1:82">
      <c r="A210" s="56" t="s">
        <v>16226</v>
      </c>
      <c r="B210" s="58"/>
      <c r="C210" s="57" t="s">
        <v>16186</v>
      </c>
      <c r="D210" s="58"/>
      <c r="E210" s="57" t="s">
        <v>15158</v>
      </c>
      <c r="F210" s="57" t="s">
        <v>16187</v>
      </c>
      <c r="G210" s="57" t="s">
        <v>15160</v>
      </c>
      <c r="H210" s="56" t="s">
        <v>2935</v>
      </c>
      <c r="I210" s="60">
        <v>75281.7</v>
      </c>
      <c r="J210" s="57" t="s">
        <v>1285</v>
      </c>
      <c r="K210" s="57" t="s">
        <v>15162</v>
      </c>
      <c r="L210" s="57" t="s">
        <v>15163</v>
      </c>
      <c r="M210" s="61" t="s">
        <v>15465</v>
      </c>
      <c r="N210" s="62" t="s">
        <v>15205</v>
      </c>
      <c r="O210" s="57" t="s">
        <v>15165</v>
      </c>
      <c r="P210" s="57" t="s">
        <v>15166</v>
      </c>
      <c r="Q210" s="57" t="s">
        <v>2935</v>
      </c>
      <c r="R210" s="57" t="s">
        <v>15594</v>
      </c>
      <c r="S210" s="57" t="s">
        <v>15595</v>
      </c>
      <c r="T210" s="57" t="s">
        <v>15190</v>
      </c>
      <c r="U210" s="57" t="s">
        <v>14184</v>
      </c>
      <c r="V210" s="56" t="s">
        <v>14153</v>
      </c>
      <c r="W210" s="58"/>
      <c r="X210" s="57" t="s">
        <v>16188</v>
      </c>
      <c r="Y210" s="57" t="s">
        <v>15170</v>
      </c>
      <c r="Z210" s="61" t="s">
        <v>14605</v>
      </c>
      <c r="AA210" s="61" t="s">
        <v>15465</v>
      </c>
      <c r="AB210" s="58"/>
      <c r="AC210" s="57" t="s">
        <v>15172</v>
      </c>
      <c r="AD210" s="58"/>
      <c r="AE210" s="58"/>
      <c r="AF210" s="58"/>
      <c r="AG210" s="58"/>
      <c r="AH210" s="58"/>
      <c r="AI210" s="58"/>
      <c r="AJ210" s="58"/>
      <c r="AK210" s="56" t="s">
        <v>1285</v>
      </c>
      <c r="AL210" s="56" t="s">
        <v>16189</v>
      </c>
      <c r="AM210" s="58"/>
      <c r="AN210" s="56" t="s">
        <v>15312</v>
      </c>
      <c r="AO210" s="58"/>
      <c r="AP210" s="63">
        <v>45807.5391087963</v>
      </c>
      <c r="AQ210" s="56" t="s">
        <v>16190</v>
      </c>
      <c r="AR210" s="61" t="s">
        <v>15448</v>
      </c>
      <c r="AS210" s="57" t="s">
        <v>14184</v>
      </c>
      <c r="AT210" s="56" t="s">
        <v>15177</v>
      </c>
      <c r="AU210" s="56" t="s">
        <v>16191</v>
      </c>
      <c r="AV210" s="58"/>
      <c r="AW210" s="64">
        <v>45694.803599537</v>
      </c>
      <c r="AX210" s="56" t="s">
        <v>16189</v>
      </c>
      <c r="AY210" s="56" t="s">
        <v>15179</v>
      </c>
      <c r="AZ210" s="58"/>
      <c r="BA210" s="58"/>
      <c r="BB210" s="58"/>
      <c r="BC210" s="56" t="s">
        <v>15196</v>
      </c>
      <c r="BD210" s="56" t="s">
        <v>15197</v>
      </c>
      <c r="BE210" s="58"/>
      <c r="BF210" s="56" t="s">
        <v>15181</v>
      </c>
      <c r="BG210" s="58"/>
      <c r="BH210" s="58"/>
      <c r="BI210" s="57" t="s">
        <v>2801</v>
      </c>
      <c r="BJ210" s="58"/>
      <c r="BK210" s="58"/>
      <c r="BL210" s="66">
        <v>3436616</v>
      </c>
      <c r="BM210" s="56" t="s">
        <v>16205</v>
      </c>
      <c r="BN210" s="58"/>
      <c r="BO210" s="67">
        <v>12750</v>
      </c>
      <c r="BP210" s="56" t="s">
        <v>15450</v>
      </c>
      <c r="BQ210" s="58"/>
      <c r="BR210" s="56" t="s">
        <v>16193</v>
      </c>
      <c r="BS210" s="56" t="s">
        <v>1285</v>
      </c>
      <c r="BT210" s="58"/>
      <c r="BU210" s="56" t="s">
        <v>16190</v>
      </c>
      <c r="BV210" s="58"/>
      <c r="BW210" s="58"/>
      <c r="BX210" s="67">
        <v>12750</v>
      </c>
      <c r="BY210" s="58"/>
      <c r="BZ210" s="58"/>
      <c r="CA210" s="58"/>
      <c r="CB210" s="58"/>
      <c r="CC210" s="58"/>
      <c r="CD210" s="58"/>
    </row>
    <row r="211" ht="121.5" spans="1:82">
      <c r="A211" s="56" t="s">
        <v>16227</v>
      </c>
      <c r="B211" s="58"/>
      <c r="C211" s="57" t="s">
        <v>16186</v>
      </c>
      <c r="D211" s="58"/>
      <c r="E211" s="57" t="s">
        <v>15158</v>
      </c>
      <c r="F211" s="57" t="s">
        <v>16187</v>
      </c>
      <c r="G211" s="57" t="s">
        <v>15160</v>
      </c>
      <c r="H211" s="56" t="s">
        <v>2935</v>
      </c>
      <c r="I211" s="60">
        <v>75281.7</v>
      </c>
      <c r="J211" s="57" t="s">
        <v>1285</v>
      </c>
      <c r="K211" s="57" t="s">
        <v>15162</v>
      </c>
      <c r="L211" s="57" t="s">
        <v>15163</v>
      </c>
      <c r="M211" s="61" t="s">
        <v>15465</v>
      </c>
      <c r="N211" s="62" t="s">
        <v>15205</v>
      </c>
      <c r="O211" s="57" t="s">
        <v>15165</v>
      </c>
      <c r="P211" s="57" t="s">
        <v>15166</v>
      </c>
      <c r="Q211" s="57" t="s">
        <v>2935</v>
      </c>
      <c r="R211" s="57" t="s">
        <v>15594</v>
      </c>
      <c r="S211" s="57" t="s">
        <v>15595</v>
      </c>
      <c r="T211" s="57" t="s">
        <v>15190</v>
      </c>
      <c r="U211" s="57" t="s">
        <v>14184</v>
      </c>
      <c r="V211" s="56" t="s">
        <v>14153</v>
      </c>
      <c r="W211" s="58"/>
      <c r="X211" s="57" t="s">
        <v>16188</v>
      </c>
      <c r="Y211" s="57" t="s">
        <v>15170</v>
      </c>
      <c r="Z211" s="61" t="s">
        <v>14605</v>
      </c>
      <c r="AA211" s="61" t="s">
        <v>15465</v>
      </c>
      <c r="AB211" s="58"/>
      <c r="AC211" s="57" t="s">
        <v>15172</v>
      </c>
      <c r="AD211" s="58"/>
      <c r="AE211" s="58"/>
      <c r="AF211" s="58"/>
      <c r="AG211" s="58"/>
      <c r="AH211" s="58"/>
      <c r="AI211" s="58"/>
      <c r="AJ211" s="58"/>
      <c r="AK211" s="56" t="s">
        <v>1285</v>
      </c>
      <c r="AL211" s="56" t="s">
        <v>16189</v>
      </c>
      <c r="AM211" s="58"/>
      <c r="AN211" s="56" t="s">
        <v>15312</v>
      </c>
      <c r="AO211" s="58"/>
      <c r="AP211" s="63">
        <v>45807.5391087963</v>
      </c>
      <c r="AQ211" s="56" t="s">
        <v>16190</v>
      </c>
      <c r="AR211" s="61" t="s">
        <v>15448</v>
      </c>
      <c r="AS211" s="57" t="s">
        <v>14184</v>
      </c>
      <c r="AT211" s="56" t="s">
        <v>15177</v>
      </c>
      <c r="AU211" s="56" t="s">
        <v>16191</v>
      </c>
      <c r="AV211" s="58"/>
      <c r="AW211" s="64">
        <v>45694.803599537</v>
      </c>
      <c r="AX211" s="56" t="s">
        <v>16189</v>
      </c>
      <c r="AY211" s="56" t="s">
        <v>15179</v>
      </c>
      <c r="AZ211" s="58"/>
      <c r="BA211" s="58"/>
      <c r="BB211" s="58"/>
      <c r="BC211" s="56" t="s">
        <v>16041</v>
      </c>
      <c r="BD211" s="56" t="s">
        <v>15197</v>
      </c>
      <c r="BE211" s="58"/>
      <c r="BF211" s="56" t="s">
        <v>15181</v>
      </c>
      <c r="BG211" s="58"/>
      <c r="BH211" s="58"/>
      <c r="BI211" s="57" t="s">
        <v>2801</v>
      </c>
      <c r="BJ211" s="58"/>
      <c r="BK211" s="58"/>
      <c r="BL211" s="66">
        <v>3436617</v>
      </c>
      <c r="BM211" s="56" t="s">
        <v>16205</v>
      </c>
      <c r="BN211" s="58"/>
      <c r="BO211" s="67">
        <v>1008</v>
      </c>
      <c r="BP211" s="56" t="s">
        <v>15450</v>
      </c>
      <c r="BQ211" s="58"/>
      <c r="BR211" s="56" t="s">
        <v>16193</v>
      </c>
      <c r="BS211" s="56" t="s">
        <v>1285</v>
      </c>
      <c r="BT211" s="58"/>
      <c r="BU211" s="56" t="s">
        <v>16190</v>
      </c>
      <c r="BV211" s="58"/>
      <c r="BW211" s="58"/>
      <c r="BX211" s="67">
        <v>1008</v>
      </c>
      <c r="BY211" s="58"/>
      <c r="BZ211" s="58"/>
      <c r="CA211" s="58"/>
      <c r="CB211" s="58"/>
      <c r="CC211" s="58"/>
      <c r="CD211" s="58"/>
    </row>
    <row r="212" ht="121.5" spans="1:82">
      <c r="A212" s="56" t="s">
        <v>16228</v>
      </c>
      <c r="B212" s="58"/>
      <c r="C212" s="57" t="s">
        <v>16186</v>
      </c>
      <c r="D212" s="58"/>
      <c r="E212" s="57" t="s">
        <v>15158</v>
      </c>
      <c r="F212" s="57" t="s">
        <v>16187</v>
      </c>
      <c r="G212" s="57" t="s">
        <v>15160</v>
      </c>
      <c r="H212" s="56" t="s">
        <v>2935</v>
      </c>
      <c r="I212" s="60">
        <v>75281.7</v>
      </c>
      <c r="J212" s="57" t="s">
        <v>1285</v>
      </c>
      <c r="K212" s="57" t="s">
        <v>15162</v>
      </c>
      <c r="L212" s="57" t="s">
        <v>15163</v>
      </c>
      <c r="M212" s="61" t="s">
        <v>15465</v>
      </c>
      <c r="N212" s="62" t="s">
        <v>15205</v>
      </c>
      <c r="O212" s="57" t="s">
        <v>15165</v>
      </c>
      <c r="P212" s="57" t="s">
        <v>15166</v>
      </c>
      <c r="Q212" s="57" t="s">
        <v>2935</v>
      </c>
      <c r="R212" s="57" t="s">
        <v>15594</v>
      </c>
      <c r="S212" s="57" t="s">
        <v>15595</v>
      </c>
      <c r="T212" s="57" t="s">
        <v>15190</v>
      </c>
      <c r="U212" s="57" t="s">
        <v>14184</v>
      </c>
      <c r="V212" s="56" t="s">
        <v>14153</v>
      </c>
      <c r="W212" s="58"/>
      <c r="X212" s="57" t="s">
        <v>16188</v>
      </c>
      <c r="Y212" s="57" t="s">
        <v>15170</v>
      </c>
      <c r="Z212" s="61" t="s">
        <v>14605</v>
      </c>
      <c r="AA212" s="61" t="s">
        <v>15465</v>
      </c>
      <c r="AB212" s="58"/>
      <c r="AC212" s="57" t="s">
        <v>15172</v>
      </c>
      <c r="AD212" s="58"/>
      <c r="AE212" s="58"/>
      <c r="AF212" s="58"/>
      <c r="AG212" s="58"/>
      <c r="AH212" s="58"/>
      <c r="AI212" s="58"/>
      <c r="AJ212" s="58"/>
      <c r="AK212" s="56" t="s">
        <v>1285</v>
      </c>
      <c r="AL212" s="56" t="s">
        <v>16189</v>
      </c>
      <c r="AM212" s="58"/>
      <c r="AN212" s="56" t="s">
        <v>15312</v>
      </c>
      <c r="AO212" s="58"/>
      <c r="AP212" s="63">
        <v>45807.5391087963</v>
      </c>
      <c r="AQ212" s="56" t="s">
        <v>16190</v>
      </c>
      <c r="AR212" s="61" t="s">
        <v>15448</v>
      </c>
      <c r="AS212" s="57" t="s">
        <v>14184</v>
      </c>
      <c r="AT212" s="56" t="s">
        <v>15177</v>
      </c>
      <c r="AU212" s="56" t="s">
        <v>16191</v>
      </c>
      <c r="AV212" s="58"/>
      <c r="AW212" s="64">
        <v>45694.803599537</v>
      </c>
      <c r="AX212" s="56" t="s">
        <v>16189</v>
      </c>
      <c r="AY212" s="56" t="s">
        <v>15179</v>
      </c>
      <c r="AZ212" s="58"/>
      <c r="BA212" s="58"/>
      <c r="BB212" s="58"/>
      <c r="BC212" s="56" t="s">
        <v>15213</v>
      </c>
      <c r="BD212" s="56" t="s">
        <v>15197</v>
      </c>
      <c r="BE212" s="58"/>
      <c r="BF212" s="56" t="s">
        <v>15181</v>
      </c>
      <c r="BG212" s="58"/>
      <c r="BH212" s="58"/>
      <c r="BI212" s="57" t="s">
        <v>2801</v>
      </c>
      <c r="BJ212" s="58"/>
      <c r="BK212" s="58"/>
      <c r="BL212" s="66">
        <v>3441044</v>
      </c>
      <c r="BM212" s="56" t="s">
        <v>16192</v>
      </c>
      <c r="BN212" s="58"/>
      <c r="BO212" s="67">
        <v>972</v>
      </c>
      <c r="BP212" s="56" t="s">
        <v>15450</v>
      </c>
      <c r="BQ212" s="58"/>
      <c r="BR212" s="56" t="s">
        <v>16193</v>
      </c>
      <c r="BS212" s="56" t="s">
        <v>1285</v>
      </c>
      <c r="BT212" s="58"/>
      <c r="BU212" s="56" t="s">
        <v>16190</v>
      </c>
      <c r="BV212" s="58"/>
      <c r="BW212" s="58"/>
      <c r="BX212" s="67">
        <v>972</v>
      </c>
      <c r="BY212" s="58"/>
      <c r="BZ212" s="58"/>
      <c r="CA212" s="58"/>
      <c r="CB212" s="58"/>
      <c r="CC212" s="58"/>
      <c r="CD212" s="58"/>
    </row>
    <row r="213" ht="121.5" spans="1:82">
      <c r="A213" s="56" t="s">
        <v>16229</v>
      </c>
      <c r="B213" s="58"/>
      <c r="C213" s="57" t="s">
        <v>16186</v>
      </c>
      <c r="D213" s="58"/>
      <c r="E213" s="57" t="s">
        <v>15158</v>
      </c>
      <c r="F213" s="57" t="s">
        <v>16187</v>
      </c>
      <c r="G213" s="57" t="s">
        <v>15160</v>
      </c>
      <c r="H213" s="56" t="s">
        <v>2935</v>
      </c>
      <c r="I213" s="60">
        <v>75281.7</v>
      </c>
      <c r="J213" s="57" t="s">
        <v>1285</v>
      </c>
      <c r="K213" s="57" t="s">
        <v>15162</v>
      </c>
      <c r="L213" s="57" t="s">
        <v>15163</v>
      </c>
      <c r="M213" s="61" t="s">
        <v>15465</v>
      </c>
      <c r="N213" s="62" t="s">
        <v>15205</v>
      </c>
      <c r="O213" s="57" t="s">
        <v>15165</v>
      </c>
      <c r="P213" s="57" t="s">
        <v>15166</v>
      </c>
      <c r="Q213" s="57" t="s">
        <v>2935</v>
      </c>
      <c r="R213" s="57" t="s">
        <v>15594</v>
      </c>
      <c r="S213" s="57" t="s">
        <v>15595</v>
      </c>
      <c r="T213" s="57" t="s">
        <v>15190</v>
      </c>
      <c r="U213" s="57" t="s">
        <v>14184</v>
      </c>
      <c r="V213" s="56" t="s">
        <v>14153</v>
      </c>
      <c r="W213" s="58"/>
      <c r="X213" s="57" t="s">
        <v>16188</v>
      </c>
      <c r="Y213" s="57" t="s">
        <v>15170</v>
      </c>
      <c r="Z213" s="61" t="s">
        <v>14605</v>
      </c>
      <c r="AA213" s="61" t="s">
        <v>15465</v>
      </c>
      <c r="AB213" s="58"/>
      <c r="AC213" s="57" t="s">
        <v>15172</v>
      </c>
      <c r="AD213" s="58"/>
      <c r="AE213" s="58"/>
      <c r="AF213" s="58"/>
      <c r="AG213" s="58"/>
      <c r="AH213" s="58"/>
      <c r="AI213" s="58"/>
      <c r="AJ213" s="58"/>
      <c r="AK213" s="56" t="s">
        <v>1285</v>
      </c>
      <c r="AL213" s="56" t="s">
        <v>16189</v>
      </c>
      <c r="AM213" s="58"/>
      <c r="AN213" s="56" t="s">
        <v>15312</v>
      </c>
      <c r="AO213" s="58"/>
      <c r="AP213" s="63">
        <v>45807.5391087963</v>
      </c>
      <c r="AQ213" s="56" t="s">
        <v>16190</v>
      </c>
      <c r="AR213" s="61" t="s">
        <v>15448</v>
      </c>
      <c r="AS213" s="57" t="s">
        <v>14184</v>
      </c>
      <c r="AT213" s="56" t="s">
        <v>15177</v>
      </c>
      <c r="AU213" s="56" t="s">
        <v>16191</v>
      </c>
      <c r="AV213" s="58"/>
      <c r="AW213" s="64">
        <v>45694.803599537</v>
      </c>
      <c r="AX213" s="56" t="s">
        <v>16189</v>
      </c>
      <c r="AY213" s="56" t="s">
        <v>15179</v>
      </c>
      <c r="AZ213" s="58"/>
      <c r="BA213" s="58"/>
      <c r="BB213" s="58"/>
      <c r="BC213" s="56" t="s">
        <v>2148</v>
      </c>
      <c r="BD213" s="56" t="s">
        <v>15197</v>
      </c>
      <c r="BE213" s="58"/>
      <c r="BF213" s="56" t="s">
        <v>15181</v>
      </c>
      <c r="BG213" s="58"/>
      <c r="BH213" s="58"/>
      <c r="BI213" s="57" t="s">
        <v>2801</v>
      </c>
      <c r="BJ213" s="58"/>
      <c r="BK213" s="58"/>
      <c r="BL213" s="66">
        <v>3441049</v>
      </c>
      <c r="BM213" s="56" t="s">
        <v>16192</v>
      </c>
      <c r="BN213" s="58"/>
      <c r="BO213" s="67">
        <v>2062.5</v>
      </c>
      <c r="BP213" s="56" t="s">
        <v>15450</v>
      </c>
      <c r="BQ213" s="58"/>
      <c r="BR213" s="56" t="s">
        <v>16193</v>
      </c>
      <c r="BS213" s="56" t="s">
        <v>1285</v>
      </c>
      <c r="BT213" s="58"/>
      <c r="BU213" s="56" t="s">
        <v>16190</v>
      </c>
      <c r="BV213" s="58"/>
      <c r="BW213" s="58"/>
      <c r="BX213" s="67">
        <v>2062.5</v>
      </c>
      <c r="BY213" s="58"/>
      <c r="BZ213" s="58"/>
      <c r="CA213" s="58"/>
      <c r="CB213" s="58"/>
      <c r="CC213" s="58"/>
      <c r="CD213" s="58"/>
    </row>
    <row r="214" ht="121.5" spans="1:82">
      <c r="A214" s="56" t="s">
        <v>16230</v>
      </c>
      <c r="B214" s="58"/>
      <c r="C214" s="57" t="s">
        <v>16186</v>
      </c>
      <c r="D214" s="58"/>
      <c r="E214" s="57" t="s">
        <v>15158</v>
      </c>
      <c r="F214" s="57" t="s">
        <v>16187</v>
      </c>
      <c r="G214" s="57" t="s">
        <v>15160</v>
      </c>
      <c r="H214" s="56" t="s">
        <v>2935</v>
      </c>
      <c r="I214" s="60">
        <v>75281.7</v>
      </c>
      <c r="J214" s="57" t="s">
        <v>1285</v>
      </c>
      <c r="K214" s="57" t="s">
        <v>15162</v>
      </c>
      <c r="L214" s="57" t="s">
        <v>15163</v>
      </c>
      <c r="M214" s="61" t="s">
        <v>15465</v>
      </c>
      <c r="N214" s="62" t="s">
        <v>15205</v>
      </c>
      <c r="O214" s="57" t="s">
        <v>15165</v>
      </c>
      <c r="P214" s="57" t="s">
        <v>15166</v>
      </c>
      <c r="Q214" s="57" t="s">
        <v>2935</v>
      </c>
      <c r="R214" s="57" t="s">
        <v>15594</v>
      </c>
      <c r="S214" s="57" t="s">
        <v>15595</v>
      </c>
      <c r="T214" s="57" t="s">
        <v>15190</v>
      </c>
      <c r="U214" s="57" t="s">
        <v>14184</v>
      </c>
      <c r="V214" s="56" t="s">
        <v>14153</v>
      </c>
      <c r="W214" s="58"/>
      <c r="X214" s="57" t="s">
        <v>16188</v>
      </c>
      <c r="Y214" s="57" t="s">
        <v>15170</v>
      </c>
      <c r="Z214" s="61" t="s">
        <v>14605</v>
      </c>
      <c r="AA214" s="61" t="s">
        <v>15465</v>
      </c>
      <c r="AB214" s="58"/>
      <c r="AC214" s="57" t="s">
        <v>15172</v>
      </c>
      <c r="AD214" s="58"/>
      <c r="AE214" s="58"/>
      <c r="AF214" s="58"/>
      <c r="AG214" s="58"/>
      <c r="AH214" s="58"/>
      <c r="AI214" s="58"/>
      <c r="AJ214" s="58"/>
      <c r="AK214" s="56" t="s">
        <v>1285</v>
      </c>
      <c r="AL214" s="56" t="s">
        <v>16189</v>
      </c>
      <c r="AM214" s="58"/>
      <c r="AN214" s="56" t="s">
        <v>15312</v>
      </c>
      <c r="AO214" s="58"/>
      <c r="AP214" s="63">
        <v>45807.5391087963</v>
      </c>
      <c r="AQ214" s="56" t="s">
        <v>16190</v>
      </c>
      <c r="AR214" s="61" t="s">
        <v>15448</v>
      </c>
      <c r="AS214" s="57" t="s">
        <v>14184</v>
      </c>
      <c r="AT214" s="56" t="s">
        <v>15177</v>
      </c>
      <c r="AU214" s="56" t="s">
        <v>16191</v>
      </c>
      <c r="AV214" s="58"/>
      <c r="AW214" s="64">
        <v>45694.803599537</v>
      </c>
      <c r="AX214" s="56" t="s">
        <v>16189</v>
      </c>
      <c r="AY214" s="56" t="s">
        <v>15179</v>
      </c>
      <c r="AZ214" s="58"/>
      <c r="BA214" s="58"/>
      <c r="BB214" s="58"/>
      <c r="BC214" s="56" t="s">
        <v>2140</v>
      </c>
      <c r="BD214" s="56" t="s">
        <v>15197</v>
      </c>
      <c r="BE214" s="58"/>
      <c r="BF214" s="56" t="s">
        <v>15181</v>
      </c>
      <c r="BG214" s="58"/>
      <c r="BH214" s="58"/>
      <c r="BI214" s="57" t="s">
        <v>2801</v>
      </c>
      <c r="BJ214" s="58"/>
      <c r="BK214" s="58"/>
      <c r="BL214" s="66">
        <v>3441050</v>
      </c>
      <c r="BM214" s="56" t="s">
        <v>16192</v>
      </c>
      <c r="BN214" s="58"/>
      <c r="BO214" s="67">
        <v>450</v>
      </c>
      <c r="BP214" s="56" t="s">
        <v>15450</v>
      </c>
      <c r="BQ214" s="58"/>
      <c r="BR214" s="56" t="s">
        <v>16193</v>
      </c>
      <c r="BS214" s="56" t="s">
        <v>1285</v>
      </c>
      <c r="BT214" s="58"/>
      <c r="BU214" s="56" t="s">
        <v>16190</v>
      </c>
      <c r="BV214" s="58"/>
      <c r="BW214" s="58"/>
      <c r="BX214" s="67">
        <v>450</v>
      </c>
      <c r="BY214" s="58"/>
      <c r="BZ214" s="58"/>
      <c r="CA214" s="58"/>
      <c r="CB214" s="58"/>
      <c r="CC214" s="58"/>
      <c r="CD214" s="58"/>
    </row>
    <row r="215" ht="108" spans="1:82">
      <c r="A215" s="56" t="s">
        <v>16231</v>
      </c>
      <c r="B215" s="58"/>
      <c r="C215" s="57" t="s">
        <v>16232</v>
      </c>
      <c r="D215" s="58"/>
      <c r="E215" s="57" t="s">
        <v>15158</v>
      </c>
      <c r="F215" s="57" t="s">
        <v>16233</v>
      </c>
      <c r="G215" s="57" t="s">
        <v>15160</v>
      </c>
      <c r="H215" s="56" t="s">
        <v>3075</v>
      </c>
      <c r="I215" s="60">
        <v>3880</v>
      </c>
      <c r="J215" s="57" t="s">
        <v>1285</v>
      </c>
      <c r="K215" s="57" t="s">
        <v>15162</v>
      </c>
      <c r="L215" s="57" t="s">
        <v>15163</v>
      </c>
      <c r="M215" s="61" t="s">
        <v>15465</v>
      </c>
      <c r="N215" s="62" t="s">
        <v>14909</v>
      </c>
      <c r="O215" s="57" t="s">
        <v>15165</v>
      </c>
      <c r="P215" s="57" t="s">
        <v>15166</v>
      </c>
      <c r="Q215" s="57" t="s">
        <v>3075</v>
      </c>
      <c r="R215" s="57" t="s">
        <v>15659</v>
      </c>
      <c r="S215" s="57" t="s">
        <v>15660</v>
      </c>
      <c r="T215" s="57" t="s">
        <v>15190</v>
      </c>
      <c r="U215" s="57" t="s">
        <v>14184</v>
      </c>
      <c r="V215" s="56" t="s">
        <v>14153</v>
      </c>
      <c r="W215" s="58"/>
      <c r="X215" s="57" t="s">
        <v>16234</v>
      </c>
      <c r="Y215" s="57" t="s">
        <v>15170</v>
      </c>
      <c r="Z215" s="61" t="s">
        <v>14605</v>
      </c>
      <c r="AA215" s="61" t="s">
        <v>15465</v>
      </c>
      <c r="AB215" s="58"/>
      <c r="AC215" s="57" t="s">
        <v>15172</v>
      </c>
      <c r="AD215" s="58"/>
      <c r="AE215" s="58"/>
      <c r="AF215" s="58"/>
      <c r="AG215" s="58"/>
      <c r="AH215" s="58"/>
      <c r="AI215" s="58"/>
      <c r="AJ215" s="58"/>
      <c r="AK215" s="56" t="s">
        <v>1285</v>
      </c>
      <c r="AL215" s="56" t="s">
        <v>16235</v>
      </c>
      <c r="AM215" s="58"/>
      <c r="AN215" s="56" t="s">
        <v>15287</v>
      </c>
      <c r="AO215" s="58"/>
      <c r="AP215" s="63">
        <v>45807.5415277778</v>
      </c>
      <c r="AQ215" s="56" t="s">
        <v>16236</v>
      </c>
      <c r="AR215" s="61" t="s">
        <v>15448</v>
      </c>
      <c r="AS215" s="57" t="s">
        <v>14184</v>
      </c>
      <c r="AT215" s="56" t="s">
        <v>15177</v>
      </c>
      <c r="AU215" s="56" t="s">
        <v>16237</v>
      </c>
      <c r="AV215" s="58"/>
      <c r="AW215" s="64">
        <v>45680.68875</v>
      </c>
      <c r="AX215" s="56" t="s">
        <v>16235</v>
      </c>
      <c r="AY215" s="56" t="s">
        <v>15179</v>
      </c>
      <c r="AZ215" s="58"/>
      <c r="BA215" s="58"/>
      <c r="BB215" s="58"/>
      <c r="BC215" s="56" t="s">
        <v>15653</v>
      </c>
      <c r="BD215" s="56" t="s">
        <v>15197</v>
      </c>
      <c r="BE215" s="56" t="s">
        <v>15666</v>
      </c>
      <c r="BF215" s="56" t="s">
        <v>15181</v>
      </c>
      <c r="BG215" s="58"/>
      <c r="BH215" s="58"/>
      <c r="BI215" s="57" t="s">
        <v>2801</v>
      </c>
      <c r="BJ215" s="58"/>
      <c r="BK215" s="58"/>
      <c r="BL215" s="66">
        <v>3400706</v>
      </c>
      <c r="BM215" s="56" t="s">
        <v>16238</v>
      </c>
      <c r="BN215" s="58"/>
      <c r="BO215" s="67">
        <v>3880</v>
      </c>
      <c r="BP215" s="56" t="s">
        <v>15450</v>
      </c>
      <c r="BQ215" s="58"/>
      <c r="BR215" s="56" t="s">
        <v>16239</v>
      </c>
      <c r="BS215" s="56" t="s">
        <v>1285</v>
      </c>
      <c r="BT215" s="58"/>
      <c r="BU215" s="56" t="s">
        <v>16236</v>
      </c>
      <c r="BV215" s="58"/>
      <c r="BW215" s="58"/>
      <c r="BX215" s="67">
        <v>3880</v>
      </c>
      <c r="BY215" s="56" t="s">
        <v>1285</v>
      </c>
      <c r="BZ215" s="58"/>
      <c r="CA215" s="58"/>
      <c r="CB215" s="58"/>
      <c r="CC215" s="58"/>
      <c r="CD215" s="58"/>
    </row>
    <row r="216" ht="108" spans="1:82">
      <c r="A216" s="56" t="s">
        <v>16240</v>
      </c>
      <c r="B216" s="58"/>
      <c r="C216" s="57" t="s">
        <v>16241</v>
      </c>
      <c r="D216" s="58"/>
      <c r="E216" s="57" t="s">
        <v>15158</v>
      </c>
      <c r="F216" s="57" t="s">
        <v>16242</v>
      </c>
      <c r="G216" s="57" t="s">
        <v>15160</v>
      </c>
      <c r="H216" s="56" t="s">
        <v>2932</v>
      </c>
      <c r="I216" s="60">
        <v>19900.5</v>
      </c>
      <c r="J216" s="57" t="s">
        <v>1285</v>
      </c>
      <c r="K216" s="57" t="s">
        <v>15162</v>
      </c>
      <c r="L216" s="57" t="s">
        <v>15163</v>
      </c>
      <c r="M216" s="61" t="s">
        <v>15465</v>
      </c>
      <c r="N216" s="62" t="s">
        <v>14909</v>
      </c>
      <c r="O216" s="57" t="s">
        <v>15165</v>
      </c>
      <c r="P216" s="57" t="s">
        <v>15166</v>
      </c>
      <c r="Q216" s="57" t="s">
        <v>2932</v>
      </c>
      <c r="R216" s="57" t="s">
        <v>16053</v>
      </c>
      <c r="S216" s="57" t="s">
        <v>16054</v>
      </c>
      <c r="T216" s="57" t="s">
        <v>15190</v>
      </c>
      <c r="U216" s="57" t="s">
        <v>14184</v>
      </c>
      <c r="V216" s="56" t="s">
        <v>14153</v>
      </c>
      <c r="W216" s="58"/>
      <c r="X216" s="57" t="s">
        <v>15698</v>
      </c>
      <c r="Y216" s="57" t="s">
        <v>15170</v>
      </c>
      <c r="Z216" s="61" t="s">
        <v>15504</v>
      </c>
      <c r="AA216" s="61" t="s">
        <v>15465</v>
      </c>
      <c r="AB216" s="58"/>
      <c r="AC216" s="57" t="s">
        <v>15172</v>
      </c>
      <c r="AD216" s="58"/>
      <c r="AE216" s="58"/>
      <c r="AF216" s="58"/>
      <c r="AG216" s="58"/>
      <c r="AH216" s="58"/>
      <c r="AI216" s="58"/>
      <c r="AJ216" s="58"/>
      <c r="AK216" s="56" t="s">
        <v>1285</v>
      </c>
      <c r="AL216" s="56" t="s">
        <v>16243</v>
      </c>
      <c r="AM216" s="58"/>
      <c r="AN216" s="56" t="s">
        <v>15375</v>
      </c>
      <c r="AO216" s="58"/>
      <c r="AP216" s="63">
        <v>45807.5369097222</v>
      </c>
      <c r="AQ216" s="56" t="s">
        <v>16244</v>
      </c>
      <c r="AR216" s="61" t="s">
        <v>15448</v>
      </c>
      <c r="AS216" s="57" t="s">
        <v>14184</v>
      </c>
      <c r="AT216" s="56" t="s">
        <v>15177</v>
      </c>
      <c r="AU216" s="56" t="s">
        <v>16245</v>
      </c>
      <c r="AV216" s="58"/>
      <c r="AW216" s="64">
        <v>45679.9343171296</v>
      </c>
      <c r="AX216" s="56" t="s">
        <v>16243</v>
      </c>
      <c r="AY216" s="56" t="s">
        <v>15179</v>
      </c>
      <c r="AZ216" s="58"/>
      <c r="BA216" s="58"/>
      <c r="BB216" s="58"/>
      <c r="BC216" s="56" t="s">
        <v>15617</v>
      </c>
      <c r="BD216" s="56" t="s">
        <v>15197</v>
      </c>
      <c r="BE216" s="58"/>
      <c r="BF216" s="56" t="s">
        <v>15181</v>
      </c>
      <c r="BG216" s="58"/>
      <c r="BH216" s="58"/>
      <c r="BI216" s="57" t="s">
        <v>2801</v>
      </c>
      <c r="BJ216" s="58"/>
      <c r="BK216" s="58"/>
      <c r="BL216" s="66">
        <v>3398689</v>
      </c>
      <c r="BM216" s="56" t="s">
        <v>16246</v>
      </c>
      <c r="BN216" s="58"/>
      <c r="BO216" s="67">
        <v>19900.5</v>
      </c>
      <c r="BP216" s="56" t="s">
        <v>15450</v>
      </c>
      <c r="BQ216" s="58"/>
      <c r="BR216" s="56" t="s">
        <v>16247</v>
      </c>
      <c r="BS216" s="56" t="s">
        <v>1285</v>
      </c>
      <c r="BT216" s="58"/>
      <c r="BU216" s="56" t="s">
        <v>16244</v>
      </c>
      <c r="BV216" s="58"/>
      <c r="BW216" s="58"/>
      <c r="BX216" s="67">
        <v>19900.5</v>
      </c>
      <c r="BY216" s="58"/>
      <c r="BZ216" s="58"/>
      <c r="CA216" s="58"/>
      <c r="CB216" s="58"/>
      <c r="CC216" s="58"/>
      <c r="CD216" s="58"/>
    </row>
    <row r="217" ht="108" spans="1:82">
      <c r="A217" s="56" t="s">
        <v>16248</v>
      </c>
      <c r="B217" s="57" t="s">
        <v>15156</v>
      </c>
      <c r="C217" s="58"/>
      <c r="D217" s="57" t="s">
        <v>16249</v>
      </c>
      <c r="E217" s="57" t="s">
        <v>15158</v>
      </c>
      <c r="F217" s="57" t="s">
        <v>16250</v>
      </c>
      <c r="G217" s="57" t="s">
        <v>15160</v>
      </c>
      <c r="H217" s="56" t="s">
        <v>15074</v>
      </c>
      <c r="I217" s="60">
        <v>254400</v>
      </c>
      <c r="J217" s="57" t="s">
        <v>1285</v>
      </c>
      <c r="K217" s="57" t="s">
        <v>15162</v>
      </c>
      <c r="L217" s="57" t="s">
        <v>15163</v>
      </c>
      <c r="M217" s="61" t="s">
        <v>15465</v>
      </c>
      <c r="N217" s="62" t="s">
        <v>15920</v>
      </c>
      <c r="O217" s="57" t="s">
        <v>15165</v>
      </c>
      <c r="P217" s="57" t="s">
        <v>15166</v>
      </c>
      <c r="Q217" s="57" t="s">
        <v>15074</v>
      </c>
      <c r="R217" s="57" t="s">
        <v>16251</v>
      </c>
      <c r="S217" s="57" t="s">
        <v>16252</v>
      </c>
      <c r="T217" s="58"/>
      <c r="U217" s="57" t="s">
        <v>14184</v>
      </c>
      <c r="V217" s="56" t="s">
        <v>14153</v>
      </c>
      <c r="W217" s="58"/>
      <c r="X217" s="57" t="s">
        <v>16253</v>
      </c>
      <c r="Y217" s="57" t="s">
        <v>15443</v>
      </c>
      <c r="Z217" s="61" t="s">
        <v>16254</v>
      </c>
      <c r="AA217" s="61" t="s">
        <v>15465</v>
      </c>
      <c r="AB217" s="57" t="s">
        <v>15171</v>
      </c>
      <c r="AC217" s="57" t="s">
        <v>15172</v>
      </c>
      <c r="AD217" s="58"/>
      <c r="AE217" s="58"/>
      <c r="AF217" s="57" t="s">
        <v>15173</v>
      </c>
      <c r="AG217" s="58"/>
      <c r="AH217" s="58"/>
      <c r="AI217" s="57" t="s">
        <v>15173</v>
      </c>
      <c r="AJ217" s="58"/>
      <c r="AK217" s="56" t="s">
        <v>1285</v>
      </c>
      <c r="AL217" s="56" t="s">
        <v>16255</v>
      </c>
      <c r="AM217" s="58"/>
      <c r="AN217" s="56" t="s">
        <v>15300</v>
      </c>
      <c r="AO217" s="58"/>
      <c r="AP217" s="63">
        <v>45807.541875</v>
      </c>
      <c r="AQ217" s="56" t="s">
        <v>16256</v>
      </c>
      <c r="AR217" s="61" t="s">
        <v>15448</v>
      </c>
      <c r="AS217" s="57" t="s">
        <v>14184</v>
      </c>
      <c r="AT217" s="56" t="s">
        <v>15177</v>
      </c>
      <c r="AU217" s="56" t="s">
        <v>16257</v>
      </c>
      <c r="AV217" s="58"/>
      <c r="AW217" s="64">
        <v>45673.4570833333</v>
      </c>
      <c r="AX217" s="56" t="s">
        <v>16255</v>
      </c>
      <c r="AY217" s="56" t="s">
        <v>15179</v>
      </c>
      <c r="AZ217" s="58"/>
      <c r="BA217" s="58"/>
      <c r="BB217" s="58"/>
      <c r="BC217" s="58"/>
      <c r="BD217" s="56" t="s">
        <v>16258</v>
      </c>
      <c r="BE217" s="58"/>
      <c r="BF217" s="56" t="s">
        <v>15181</v>
      </c>
      <c r="BG217" s="58"/>
      <c r="BH217" s="58"/>
      <c r="BI217" s="57" t="s">
        <v>2801</v>
      </c>
      <c r="BJ217" s="58"/>
      <c r="BK217" s="58"/>
      <c r="BL217" s="58"/>
      <c r="BM217" s="58"/>
      <c r="BN217" s="67">
        <v>254400</v>
      </c>
      <c r="BO217" s="58"/>
      <c r="BP217" s="56" t="s">
        <v>15450</v>
      </c>
      <c r="BQ217" s="58"/>
      <c r="BR217" s="58"/>
      <c r="BS217" s="58"/>
      <c r="BT217" s="58"/>
      <c r="BU217" s="56" t="s">
        <v>16256</v>
      </c>
      <c r="BV217" s="58"/>
      <c r="BW217" s="58"/>
      <c r="BX217" s="67">
        <v>254400</v>
      </c>
      <c r="BY217" s="58"/>
      <c r="BZ217" s="58"/>
      <c r="CA217" s="58"/>
      <c r="CB217" s="58"/>
      <c r="CC217" s="58"/>
      <c r="CD217" s="57" t="s">
        <v>15315</v>
      </c>
    </row>
    <row r="218" ht="108" spans="1:82">
      <c r="A218" s="56" t="s">
        <v>16259</v>
      </c>
      <c r="B218" s="57" t="s">
        <v>15156</v>
      </c>
      <c r="C218" s="58"/>
      <c r="D218" s="57" t="s">
        <v>16260</v>
      </c>
      <c r="E218" s="57" t="s">
        <v>15158</v>
      </c>
      <c r="F218" s="57" t="s">
        <v>16261</v>
      </c>
      <c r="G218" s="57" t="s">
        <v>15160</v>
      </c>
      <c r="H218" s="56" t="s">
        <v>15319</v>
      </c>
      <c r="I218" s="60">
        <v>1800</v>
      </c>
      <c r="J218" s="57" t="s">
        <v>1285</v>
      </c>
      <c r="K218" s="57" t="s">
        <v>15162</v>
      </c>
      <c r="L218" s="57" t="s">
        <v>15163</v>
      </c>
      <c r="M218" s="61" t="s">
        <v>15920</v>
      </c>
      <c r="N218" s="62" t="s">
        <v>16218</v>
      </c>
      <c r="O218" s="57" t="s">
        <v>15165</v>
      </c>
      <c r="P218" s="57" t="s">
        <v>15166</v>
      </c>
      <c r="Q218" s="57" t="s">
        <v>15319</v>
      </c>
      <c r="R218" s="57" t="s">
        <v>15321</v>
      </c>
      <c r="S218" s="57" t="s">
        <v>15322</v>
      </c>
      <c r="T218" s="58"/>
      <c r="U218" s="57" t="s">
        <v>14184</v>
      </c>
      <c r="V218" s="56" t="s">
        <v>14153</v>
      </c>
      <c r="W218" s="58"/>
      <c r="X218" s="57" t="s">
        <v>16262</v>
      </c>
      <c r="Y218" s="57" t="s">
        <v>15170</v>
      </c>
      <c r="Z218" s="61" t="s">
        <v>16263</v>
      </c>
      <c r="AA218" s="61" t="s">
        <v>15920</v>
      </c>
      <c r="AB218" s="57" t="s">
        <v>15171</v>
      </c>
      <c r="AC218" s="57" t="s">
        <v>15172</v>
      </c>
      <c r="AD218" s="58"/>
      <c r="AE218" s="58"/>
      <c r="AF218" s="58"/>
      <c r="AG218" s="58"/>
      <c r="AH218" s="58"/>
      <c r="AI218" s="58"/>
      <c r="AJ218" s="58"/>
      <c r="AK218" s="56" t="s">
        <v>1285</v>
      </c>
      <c r="AL218" s="56" t="s">
        <v>16264</v>
      </c>
      <c r="AM218" s="58"/>
      <c r="AN218" s="56" t="s">
        <v>15909</v>
      </c>
      <c r="AO218" s="58"/>
      <c r="AP218" s="63">
        <v>45673.8906944444</v>
      </c>
      <c r="AQ218" s="56" t="s">
        <v>16265</v>
      </c>
      <c r="AR218" s="61" t="s">
        <v>16266</v>
      </c>
      <c r="AS218" s="57" t="s">
        <v>14184</v>
      </c>
      <c r="AT218" s="56" t="s">
        <v>15177</v>
      </c>
      <c r="AU218" s="56" t="s">
        <v>16267</v>
      </c>
      <c r="AV218" s="58"/>
      <c r="AW218" s="64">
        <v>45663.7487847222</v>
      </c>
      <c r="AX218" s="56" t="s">
        <v>16264</v>
      </c>
      <c r="AY218" s="56" t="s">
        <v>15179</v>
      </c>
      <c r="AZ218" s="58"/>
      <c r="BA218" s="58"/>
      <c r="BB218" s="58"/>
      <c r="BC218" s="58"/>
      <c r="BD218" s="56" t="s">
        <v>15276</v>
      </c>
      <c r="BE218" s="56" t="s">
        <v>15327</v>
      </c>
      <c r="BF218" s="56" t="s">
        <v>15181</v>
      </c>
      <c r="BG218" s="58"/>
      <c r="BH218" s="58"/>
      <c r="BI218" s="57" t="s">
        <v>2801</v>
      </c>
      <c r="BJ218" s="58"/>
      <c r="BK218" s="58"/>
      <c r="BL218" s="58"/>
      <c r="BM218" s="58"/>
      <c r="BN218" s="67">
        <v>1800</v>
      </c>
      <c r="BO218" s="58"/>
      <c r="BP218" s="56" t="s">
        <v>16268</v>
      </c>
      <c r="BQ218" s="58"/>
      <c r="BR218" s="58"/>
      <c r="BS218" s="58"/>
      <c r="BT218" s="58"/>
      <c r="BU218" s="56" t="s">
        <v>16265</v>
      </c>
      <c r="BV218" s="58"/>
      <c r="BW218" s="58"/>
      <c r="BX218" s="67">
        <v>1800</v>
      </c>
      <c r="BY218" s="56" t="s">
        <v>1285</v>
      </c>
      <c r="BZ218" s="58"/>
      <c r="CA218" s="56" t="s">
        <v>15763</v>
      </c>
      <c r="CB218" s="58"/>
      <c r="CC218" s="58"/>
      <c r="CD218" s="58"/>
    </row>
    <row r="219" ht="108" spans="1:82">
      <c r="A219" s="56" t="s">
        <v>16269</v>
      </c>
      <c r="B219" s="57" t="s">
        <v>15279</v>
      </c>
      <c r="C219" s="58"/>
      <c r="D219" s="57" t="s">
        <v>16270</v>
      </c>
      <c r="E219" s="57" t="s">
        <v>15158</v>
      </c>
      <c r="F219" s="57" t="s">
        <v>16271</v>
      </c>
      <c r="G219" s="57" t="s">
        <v>15160</v>
      </c>
      <c r="H219" s="56" t="s">
        <v>15307</v>
      </c>
      <c r="I219" s="60">
        <v>4978</v>
      </c>
      <c r="J219" s="57" t="s">
        <v>1285</v>
      </c>
      <c r="K219" s="57" t="s">
        <v>15162</v>
      </c>
      <c r="L219" s="57" t="s">
        <v>15163</v>
      </c>
      <c r="M219" s="61" t="s">
        <v>15920</v>
      </c>
      <c r="N219" s="62" t="s">
        <v>16272</v>
      </c>
      <c r="O219" s="57" t="s">
        <v>15165</v>
      </c>
      <c r="P219" s="57" t="s">
        <v>15166</v>
      </c>
      <c r="Q219" s="57" t="s">
        <v>15307</v>
      </c>
      <c r="R219" s="57" t="s">
        <v>15308</v>
      </c>
      <c r="S219" s="57" t="s">
        <v>15309</v>
      </c>
      <c r="T219" s="58"/>
      <c r="U219" s="57" t="s">
        <v>14184</v>
      </c>
      <c r="V219" s="56" t="s">
        <v>14153</v>
      </c>
      <c r="W219" s="58"/>
      <c r="X219" s="57" t="s">
        <v>15310</v>
      </c>
      <c r="Y219" s="57" t="s">
        <v>15170</v>
      </c>
      <c r="Z219" s="61" t="s">
        <v>16263</v>
      </c>
      <c r="AA219" s="61" t="s">
        <v>15920</v>
      </c>
      <c r="AB219" s="57" t="s">
        <v>15171</v>
      </c>
      <c r="AC219" s="57" t="s">
        <v>15172</v>
      </c>
      <c r="AD219" s="58"/>
      <c r="AE219" s="58"/>
      <c r="AF219" s="58"/>
      <c r="AG219" s="58"/>
      <c r="AH219" s="58"/>
      <c r="AI219" s="58"/>
      <c r="AJ219" s="58"/>
      <c r="AK219" s="56" t="s">
        <v>1285</v>
      </c>
      <c r="AL219" s="56" t="s">
        <v>16273</v>
      </c>
      <c r="AM219" s="58"/>
      <c r="AN219" s="56" t="s">
        <v>15562</v>
      </c>
      <c r="AO219" s="58"/>
      <c r="AP219" s="63">
        <v>45673.9057407407</v>
      </c>
      <c r="AQ219" s="56" t="s">
        <v>16274</v>
      </c>
      <c r="AR219" s="61" t="s">
        <v>16266</v>
      </c>
      <c r="AS219" s="58"/>
      <c r="AT219" s="56" t="s">
        <v>15289</v>
      </c>
      <c r="AU219" s="56" t="s">
        <v>16275</v>
      </c>
      <c r="AV219" s="56" t="s">
        <v>16270</v>
      </c>
      <c r="AW219" s="64">
        <v>45660.6240046296</v>
      </c>
      <c r="AX219" s="56" t="s">
        <v>16273</v>
      </c>
      <c r="AY219" s="56" t="s">
        <v>15179</v>
      </c>
      <c r="AZ219" s="58"/>
      <c r="BA219" s="58"/>
      <c r="BB219" s="58"/>
      <c r="BC219" s="58"/>
      <c r="BD219" s="56" t="s">
        <v>15429</v>
      </c>
      <c r="BE219" s="58"/>
      <c r="BF219" s="56" t="s">
        <v>15181</v>
      </c>
      <c r="BG219" s="58"/>
      <c r="BH219" s="58"/>
      <c r="BI219" s="57" t="s">
        <v>15291</v>
      </c>
      <c r="BJ219" s="58"/>
      <c r="BK219" s="58"/>
      <c r="BL219" s="58"/>
      <c r="BM219" s="58"/>
      <c r="BN219" s="67">
        <v>4978</v>
      </c>
      <c r="BO219" s="58"/>
      <c r="BP219" s="56" t="s">
        <v>16268</v>
      </c>
      <c r="BQ219" s="58"/>
      <c r="BR219" s="58"/>
      <c r="BS219" s="58"/>
      <c r="BT219" s="56" t="s">
        <v>1285</v>
      </c>
      <c r="BU219" s="56" t="s">
        <v>16274</v>
      </c>
      <c r="BV219" s="58"/>
      <c r="BW219" s="58"/>
      <c r="BX219" s="67">
        <v>4978</v>
      </c>
      <c r="BY219" s="58"/>
      <c r="BZ219" s="56" t="s">
        <v>15160</v>
      </c>
      <c r="CA219" s="56" t="s">
        <v>15763</v>
      </c>
      <c r="CB219" s="58"/>
      <c r="CC219" s="58"/>
      <c r="CD219" s="58"/>
    </row>
    <row r="220" ht="108" spans="1:82">
      <c r="A220" s="56" t="s">
        <v>16276</v>
      </c>
      <c r="B220" s="57" t="s">
        <v>15156</v>
      </c>
      <c r="C220" s="58"/>
      <c r="D220" s="57" t="s">
        <v>16277</v>
      </c>
      <c r="E220" s="57" t="s">
        <v>15158</v>
      </c>
      <c r="F220" s="57" t="s">
        <v>16278</v>
      </c>
      <c r="G220" s="57" t="s">
        <v>15160</v>
      </c>
      <c r="H220" s="56" t="s">
        <v>16279</v>
      </c>
      <c r="I220" s="60">
        <v>7970</v>
      </c>
      <c r="J220" s="57" t="s">
        <v>1285</v>
      </c>
      <c r="K220" s="57" t="s">
        <v>15162</v>
      </c>
      <c r="L220" s="57" t="s">
        <v>15163</v>
      </c>
      <c r="M220" s="61" t="s">
        <v>16280</v>
      </c>
      <c r="N220" s="62" t="s">
        <v>15515</v>
      </c>
      <c r="O220" s="57" t="s">
        <v>15165</v>
      </c>
      <c r="P220" s="57" t="s">
        <v>15166</v>
      </c>
      <c r="Q220" s="57" t="s">
        <v>16279</v>
      </c>
      <c r="R220" s="57" t="s">
        <v>16281</v>
      </c>
      <c r="S220" s="57" t="s">
        <v>15297</v>
      </c>
      <c r="T220" s="58"/>
      <c r="U220" s="57" t="s">
        <v>14184</v>
      </c>
      <c r="V220" s="56" t="s">
        <v>14153</v>
      </c>
      <c r="W220" s="58"/>
      <c r="X220" s="57" t="s">
        <v>15442</v>
      </c>
      <c r="Y220" s="57" t="s">
        <v>15170</v>
      </c>
      <c r="Z220" s="61" t="s">
        <v>15461</v>
      </c>
      <c r="AA220" s="61" t="s">
        <v>16280</v>
      </c>
      <c r="AB220" s="57" t="s">
        <v>15171</v>
      </c>
      <c r="AC220" s="57" t="s">
        <v>15172</v>
      </c>
      <c r="AD220" s="58"/>
      <c r="AE220" s="58"/>
      <c r="AF220" s="57" t="s">
        <v>15173</v>
      </c>
      <c r="AG220" s="58"/>
      <c r="AH220" s="58"/>
      <c r="AI220" s="57" t="s">
        <v>15173</v>
      </c>
      <c r="AJ220" s="58"/>
      <c r="AK220" s="56" t="s">
        <v>1285</v>
      </c>
      <c r="AL220" s="56" t="s">
        <v>16282</v>
      </c>
      <c r="AM220" s="58"/>
      <c r="AN220" s="56" t="s">
        <v>15845</v>
      </c>
      <c r="AO220" s="58"/>
      <c r="AP220" s="63">
        <v>45800.5369791667</v>
      </c>
      <c r="AQ220" s="56" t="s">
        <v>16283</v>
      </c>
      <c r="AR220" s="61" t="s">
        <v>15404</v>
      </c>
      <c r="AS220" s="57" t="s">
        <v>14184</v>
      </c>
      <c r="AT220" s="56" t="s">
        <v>15177</v>
      </c>
      <c r="AU220" s="56" t="s">
        <v>16284</v>
      </c>
      <c r="AV220" s="58"/>
      <c r="AW220" s="64">
        <v>45786.6142013889</v>
      </c>
      <c r="AX220" s="56" t="s">
        <v>16282</v>
      </c>
      <c r="AY220" s="56" t="s">
        <v>15179</v>
      </c>
      <c r="AZ220" s="58"/>
      <c r="BA220" s="58"/>
      <c r="BB220" s="58"/>
      <c r="BC220" s="58"/>
      <c r="BD220" s="56" t="s">
        <v>15276</v>
      </c>
      <c r="BE220" s="56" t="s">
        <v>16285</v>
      </c>
      <c r="BF220" s="56" t="s">
        <v>15181</v>
      </c>
      <c r="BG220" s="58"/>
      <c r="BH220" s="58"/>
      <c r="BI220" s="57" t="s">
        <v>2801</v>
      </c>
      <c r="BJ220" s="58"/>
      <c r="BK220" s="58"/>
      <c r="BL220" s="58"/>
      <c r="BM220" s="58"/>
      <c r="BN220" s="67">
        <v>7970</v>
      </c>
      <c r="BO220" s="58"/>
      <c r="BP220" s="56" t="s">
        <v>15409</v>
      </c>
      <c r="BQ220" s="58"/>
      <c r="BR220" s="58"/>
      <c r="BS220" s="58"/>
      <c r="BT220" s="56" t="s">
        <v>1285</v>
      </c>
      <c r="BU220" s="56" t="s">
        <v>16283</v>
      </c>
      <c r="BV220" s="58"/>
      <c r="BW220" s="58"/>
      <c r="BX220" s="67">
        <v>7970</v>
      </c>
      <c r="BY220" s="56" t="s">
        <v>1285</v>
      </c>
      <c r="BZ220" s="58"/>
      <c r="CA220" s="56" t="s">
        <v>15183</v>
      </c>
      <c r="CB220" s="56" t="s">
        <v>15183</v>
      </c>
      <c r="CC220" s="58"/>
      <c r="CD220" s="58"/>
    </row>
    <row r="221" ht="108" spans="1:82">
      <c r="A221" s="56" t="s">
        <v>16286</v>
      </c>
      <c r="B221" s="57" t="s">
        <v>15156</v>
      </c>
      <c r="C221" s="58"/>
      <c r="D221" s="57" t="s">
        <v>16287</v>
      </c>
      <c r="E221" s="57" t="s">
        <v>15158</v>
      </c>
      <c r="F221" s="57" t="s">
        <v>16288</v>
      </c>
      <c r="G221" s="57" t="s">
        <v>15160</v>
      </c>
      <c r="H221" s="56" t="s">
        <v>15319</v>
      </c>
      <c r="I221" s="60">
        <v>1800</v>
      </c>
      <c r="J221" s="57" t="s">
        <v>1285</v>
      </c>
      <c r="K221" s="57" t="s">
        <v>15162</v>
      </c>
      <c r="L221" s="57" t="s">
        <v>15163</v>
      </c>
      <c r="M221" s="61" t="s">
        <v>16280</v>
      </c>
      <c r="N221" s="62" t="s">
        <v>15030</v>
      </c>
      <c r="O221" s="57" t="s">
        <v>15165</v>
      </c>
      <c r="P221" s="57" t="s">
        <v>15166</v>
      </c>
      <c r="Q221" s="57" t="s">
        <v>15319</v>
      </c>
      <c r="R221" s="57" t="s">
        <v>15321</v>
      </c>
      <c r="S221" s="57" t="s">
        <v>15322</v>
      </c>
      <c r="T221" s="58"/>
      <c r="U221" s="57" t="s">
        <v>14184</v>
      </c>
      <c r="V221" s="56" t="s">
        <v>14153</v>
      </c>
      <c r="W221" s="58"/>
      <c r="X221" s="57" t="s">
        <v>16081</v>
      </c>
      <c r="Y221" s="57" t="s">
        <v>15170</v>
      </c>
      <c r="Z221" s="61" t="s">
        <v>15504</v>
      </c>
      <c r="AA221" s="61" t="s">
        <v>16280</v>
      </c>
      <c r="AB221" s="57" t="s">
        <v>15171</v>
      </c>
      <c r="AC221" s="57" t="s">
        <v>15172</v>
      </c>
      <c r="AD221" s="58"/>
      <c r="AE221" s="58"/>
      <c r="AF221" s="57" t="s">
        <v>15173</v>
      </c>
      <c r="AG221" s="58"/>
      <c r="AH221" s="58"/>
      <c r="AI221" s="57" t="s">
        <v>15173</v>
      </c>
      <c r="AJ221" s="58"/>
      <c r="AK221" s="56" t="s">
        <v>1285</v>
      </c>
      <c r="AL221" s="56" t="s">
        <v>16289</v>
      </c>
      <c r="AM221" s="58"/>
      <c r="AN221" s="56" t="s">
        <v>15858</v>
      </c>
      <c r="AO221" s="58"/>
      <c r="AP221" s="63">
        <v>45800.5376851852</v>
      </c>
      <c r="AQ221" s="56" t="s">
        <v>16290</v>
      </c>
      <c r="AR221" s="61" t="s">
        <v>15404</v>
      </c>
      <c r="AS221" s="57" t="s">
        <v>14184</v>
      </c>
      <c r="AT221" s="56" t="s">
        <v>15177</v>
      </c>
      <c r="AU221" s="56" t="s">
        <v>16291</v>
      </c>
      <c r="AV221" s="58"/>
      <c r="AW221" s="64">
        <v>45777.6697106482</v>
      </c>
      <c r="AX221" s="56" t="s">
        <v>16289</v>
      </c>
      <c r="AY221" s="56" t="s">
        <v>15179</v>
      </c>
      <c r="AZ221" s="58"/>
      <c r="BA221" s="58"/>
      <c r="BB221" s="58"/>
      <c r="BC221" s="58"/>
      <c r="BD221" s="56" t="s">
        <v>15276</v>
      </c>
      <c r="BE221" s="56" t="s">
        <v>15327</v>
      </c>
      <c r="BF221" s="56" t="s">
        <v>15181</v>
      </c>
      <c r="BG221" s="58"/>
      <c r="BH221" s="58"/>
      <c r="BI221" s="57" t="s">
        <v>2801</v>
      </c>
      <c r="BJ221" s="58"/>
      <c r="BK221" s="58"/>
      <c r="BL221" s="58"/>
      <c r="BM221" s="58"/>
      <c r="BN221" s="67">
        <v>1800</v>
      </c>
      <c r="BO221" s="58"/>
      <c r="BP221" s="56" t="s">
        <v>15409</v>
      </c>
      <c r="BQ221" s="58"/>
      <c r="BR221" s="58"/>
      <c r="BS221" s="58"/>
      <c r="BT221" s="58"/>
      <c r="BU221" s="56" t="s">
        <v>16290</v>
      </c>
      <c r="BV221" s="58"/>
      <c r="BW221" s="58"/>
      <c r="BX221" s="67">
        <v>1800</v>
      </c>
      <c r="BY221" s="56" t="s">
        <v>1285</v>
      </c>
      <c r="BZ221" s="58"/>
      <c r="CA221" s="56" t="s">
        <v>15183</v>
      </c>
      <c r="CB221" s="56" t="s">
        <v>15183</v>
      </c>
      <c r="CC221" s="58"/>
      <c r="CD221" s="58"/>
    </row>
    <row r="222" ht="108" spans="1:82">
      <c r="A222" s="56" t="s">
        <v>16292</v>
      </c>
      <c r="B222" s="57" t="s">
        <v>15279</v>
      </c>
      <c r="C222" s="58"/>
      <c r="D222" s="57" t="s">
        <v>16293</v>
      </c>
      <c r="E222" s="57" t="s">
        <v>15158</v>
      </c>
      <c r="F222" s="57" t="s">
        <v>16294</v>
      </c>
      <c r="G222" s="57" t="s">
        <v>15160</v>
      </c>
      <c r="H222" s="56" t="s">
        <v>15282</v>
      </c>
      <c r="I222" s="60">
        <v>4800</v>
      </c>
      <c r="J222" s="57" t="s">
        <v>1285</v>
      </c>
      <c r="K222" s="57" t="s">
        <v>15162</v>
      </c>
      <c r="L222" s="57" t="s">
        <v>15163</v>
      </c>
      <c r="M222" s="61" t="s">
        <v>16280</v>
      </c>
      <c r="N222" s="62" t="s">
        <v>15030</v>
      </c>
      <c r="O222" s="57" t="s">
        <v>15165</v>
      </c>
      <c r="P222" s="57" t="s">
        <v>15166</v>
      </c>
      <c r="Q222" s="57" t="s">
        <v>15282</v>
      </c>
      <c r="R222" s="57" t="s">
        <v>15283</v>
      </c>
      <c r="S222" s="57" t="s">
        <v>15284</v>
      </c>
      <c r="T222" s="58"/>
      <c r="U222" s="57" t="s">
        <v>14184</v>
      </c>
      <c r="V222" s="56" t="s">
        <v>14153</v>
      </c>
      <c r="W222" s="58"/>
      <c r="X222" s="57" t="s">
        <v>16295</v>
      </c>
      <c r="Y222" s="57" t="s">
        <v>15170</v>
      </c>
      <c r="Z222" s="61" t="s">
        <v>15504</v>
      </c>
      <c r="AA222" s="61" t="s">
        <v>16280</v>
      </c>
      <c r="AB222" s="57" t="s">
        <v>15171</v>
      </c>
      <c r="AC222" s="57" t="s">
        <v>15172</v>
      </c>
      <c r="AD222" s="58"/>
      <c r="AE222" s="58"/>
      <c r="AF222" s="57" t="s">
        <v>15173</v>
      </c>
      <c r="AG222" s="58"/>
      <c r="AH222" s="58"/>
      <c r="AI222" s="57" t="s">
        <v>15173</v>
      </c>
      <c r="AJ222" s="58"/>
      <c r="AK222" s="56" t="s">
        <v>1285</v>
      </c>
      <c r="AL222" s="56" t="s">
        <v>16296</v>
      </c>
      <c r="AM222" s="58"/>
      <c r="AN222" s="56" t="s">
        <v>16297</v>
      </c>
      <c r="AO222" s="58"/>
      <c r="AP222" s="63">
        <v>45800.5381828704</v>
      </c>
      <c r="AQ222" s="56" t="s">
        <v>16298</v>
      </c>
      <c r="AR222" s="61" t="s">
        <v>15404</v>
      </c>
      <c r="AS222" s="58"/>
      <c r="AT222" s="56" t="s">
        <v>15289</v>
      </c>
      <c r="AU222" s="56" t="s">
        <v>16299</v>
      </c>
      <c r="AV222" s="56" t="s">
        <v>16293</v>
      </c>
      <c r="AW222" s="64">
        <v>45777.3858912037</v>
      </c>
      <c r="AX222" s="56" t="s">
        <v>16296</v>
      </c>
      <c r="AY222" s="56" t="s">
        <v>15179</v>
      </c>
      <c r="AZ222" s="58"/>
      <c r="BA222" s="58"/>
      <c r="BB222" s="58"/>
      <c r="BC222" s="58"/>
      <c r="BD222" s="56" t="s">
        <v>15180</v>
      </c>
      <c r="BE222" s="58"/>
      <c r="BF222" s="56" t="s">
        <v>15181</v>
      </c>
      <c r="BG222" s="58"/>
      <c r="BH222" s="58"/>
      <c r="BI222" s="57" t="s">
        <v>15291</v>
      </c>
      <c r="BJ222" s="58"/>
      <c r="BK222" s="58"/>
      <c r="BL222" s="58"/>
      <c r="BM222" s="58"/>
      <c r="BN222" s="67">
        <v>4800</v>
      </c>
      <c r="BO222" s="58"/>
      <c r="BP222" s="56" t="s">
        <v>15409</v>
      </c>
      <c r="BQ222" s="58"/>
      <c r="BR222" s="58"/>
      <c r="BS222" s="58"/>
      <c r="BT222" s="56" t="s">
        <v>1285</v>
      </c>
      <c r="BU222" s="56" t="s">
        <v>16298</v>
      </c>
      <c r="BV222" s="58"/>
      <c r="BW222" s="58"/>
      <c r="BX222" s="67">
        <v>4800</v>
      </c>
      <c r="BY222" s="58"/>
      <c r="BZ222" s="56" t="s">
        <v>15160</v>
      </c>
      <c r="CA222" s="58"/>
      <c r="CB222" s="58"/>
      <c r="CC222" s="58"/>
      <c r="CD222" s="58"/>
    </row>
    <row r="223" ht="108" spans="1:82">
      <c r="A223" s="56" t="s">
        <v>16300</v>
      </c>
      <c r="B223" s="57" t="s">
        <v>15156</v>
      </c>
      <c r="C223" s="58"/>
      <c r="D223" s="57" t="s">
        <v>16301</v>
      </c>
      <c r="E223" s="57" t="s">
        <v>15158</v>
      </c>
      <c r="F223" s="57" t="s">
        <v>16302</v>
      </c>
      <c r="G223" s="57" t="s">
        <v>15160</v>
      </c>
      <c r="H223" s="56" t="s">
        <v>16303</v>
      </c>
      <c r="I223" s="60">
        <v>3000</v>
      </c>
      <c r="J223" s="57" t="s">
        <v>1285</v>
      </c>
      <c r="K223" s="57" t="s">
        <v>15162</v>
      </c>
      <c r="L223" s="57" t="s">
        <v>15163</v>
      </c>
      <c r="M223" s="61" t="s">
        <v>16280</v>
      </c>
      <c r="N223" s="62" t="s">
        <v>16304</v>
      </c>
      <c r="O223" s="57" t="s">
        <v>15165</v>
      </c>
      <c r="P223" s="57" t="s">
        <v>15166</v>
      </c>
      <c r="Q223" s="57" t="s">
        <v>16303</v>
      </c>
      <c r="R223" s="57" t="s">
        <v>16305</v>
      </c>
      <c r="S223" s="57" t="s">
        <v>16306</v>
      </c>
      <c r="T223" s="58"/>
      <c r="U223" s="57" t="s">
        <v>14184</v>
      </c>
      <c r="V223" s="56" t="s">
        <v>14153</v>
      </c>
      <c r="W223" s="58"/>
      <c r="X223" s="57" t="s">
        <v>16307</v>
      </c>
      <c r="Y223" s="57" t="s">
        <v>15170</v>
      </c>
      <c r="Z223" s="61" t="s">
        <v>15504</v>
      </c>
      <c r="AA223" s="61" t="s">
        <v>16280</v>
      </c>
      <c r="AB223" s="57" t="s">
        <v>15171</v>
      </c>
      <c r="AC223" s="57" t="s">
        <v>15172</v>
      </c>
      <c r="AD223" s="58"/>
      <c r="AE223" s="58"/>
      <c r="AF223" s="57" t="s">
        <v>15173</v>
      </c>
      <c r="AG223" s="58"/>
      <c r="AH223" s="58"/>
      <c r="AI223" s="57" t="s">
        <v>15173</v>
      </c>
      <c r="AJ223" s="58"/>
      <c r="AK223" s="56" t="s">
        <v>1285</v>
      </c>
      <c r="AL223" s="56" t="s">
        <v>16308</v>
      </c>
      <c r="AM223" s="58"/>
      <c r="AN223" s="56" t="s">
        <v>15818</v>
      </c>
      <c r="AO223" s="58"/>
      <c r="AP223" s="63">
        <v>45800.5364930556</v>
      </c>
      <c r="AQ223" s="56" t="s">
        <v>16309</v>
      </c>
      <c r="AR223" s="61" t="s">
        <v>15404</v>
      </c>
      <c r="AS223" s="57" t="s">
        <v>14184</v>
      </c>
      <c r="AT223" s="56" t="s">
        <v>15177</v>
      </c>
      <c r="AU223" s="56" t="s">
        <v>16310</v>
      </c>
      <c r="AV223" s="58"/>
      <c r="AW223" s="64">
        <v>45775.5745601852</v>
      </c>
      <c r="AX223" s="56" t="s">
        <v>16308</v>
      </c>
      <c r="AY223" s="56" t="s">
        <v>15179</v>
      </c>
      <c r="AZ223" s="58"/>
      <c r="BA223" s="58"/>
      <c r="BB223" s="58"/>
      <c r="BC223" s="58"/>
      <c r="BD223" s="56" t="s">
        <v>16311</v>
      </c>
      <c r="BE223" s="58"/>
      <c r="BF223" s="56" t="s">
        <v>15181</v>
      </c>
      <c r="BG223" s="58"/>
      <c r="BH223" s="58"/>
      <c r="BI223" s="57" t="s">
        <v>732</v>
      </c>
      <c r="BJ223" s="58"/>
      <c r="BK223" s="58"/>
      <c r="BL223" s="58"/>
      <c r="BM223" s="58"/>
      <c r="BN223" s="67">
        <v>3000</v>
      </c>
      <c r="BO223" s="58"/>
      <c r="BP223" s="56" t="s">
        <v>15409</v>
      </c>
      <c r="BQ223" s="58"/>
      <c r="BR223" s="58"/>
      <c r="BS223" s="58"/>
      <c r="BT223" s="58"/>
      <c r="BU223" s="56" t="s">
        <v>16309</v>
      </c>
      <c r="BV223" s="58"/>
      <c r="BW223" s="58"/>
      <c r="BX223" s="67">
        <v>3000</v>
      </c>
      <c r="BY223" s="58"/>
      <c r="BZ223" s="58"/>
      <c r="CA223" s="56" t="s">
        <v>15183</v>
      </c>
      <c r="CB223" s="56" t="s">
        <v>15183</v>
      </c>
      <c r="CC223" s="58"/>
      <c r="CD223" s="58"/>
    </row>
    <row r="224" ht="108" spans="1:82">
      <c r="A224" s="56" t="s">
        <v>16312</v>
      </c>
      <c r="B224" s="57" t="s">
        <v>15156</v>
      </c>
      <c r="C224" s="58"/>
      <c r="D224" s="57" t="s">
        <v>16313</v>
      </c>
      <c r="E224" s="57" t="s">
        <v>15158</v>
      </c>
      <c r="F224" s="57" t="s">
        <v>16314</v>
      </c>
      <c r="G224" s="57" t="s">
        <v>15160</v>
      </c>
      <c r="H224" s="56" t="s">
        <v>15248</v>
      </c>
      <c r="I224" s="60">
        <v>11032</v>
      </c>
      <c r="J224" s="57" t="s">
        <v>1285</v>
      </c>
      <c r="K224" s="57" t="s">
        <v>15162</v>
      </c>
      <c r="L224" s="57" t="s">
        <v>15163</v>
      </c>
      <c r="M224" s="61" t="s">
        <v>16280</v>
      </c>
      <c r="N224" s="58"/>
      <c r="O224" s="57" t="s">
        <v>15165</v>
      </c>
      <c r="P224" s="57" t="s">
        <v>15166</v>
      </c>
      <c r="Q224" s="57" t="s">
        <v>15248</v>
      </c>
      <c r="R224" s="57" t="s">
        <v>15252</v>
      </c>
      <c r="S224" s="57" t="s">
        <v>15253</v>
      </c>
      <c r="T224" s="58"/>
      <c r="U224" s="57" t="s">
        <v>14184</v>
      </c>
      <c r="V224" s="56" t="s">
        <v>14153</v>
      </c>
      <c r="W224" s="58"/>
      <c r="X224" s="57" t="s">
        <v>16315</v>
      </c>
      <c r="Y224" s="57" t="s">
        <v>15170</v>
      </c>
      <c r="Z224" s="61" t="s">
        <v>15504</v>
      </c>
      <c r="AA224" s="61" t="s">
        <v>16280</v>
      </c>
      <c r="AB224" s="57" t="s">
        <v>15171</v>
      </c>
      <c r="AC224" s="57" t="s">
        <v>15172</v>
      </c>
      <c r="AD224" s="58"/>
      <c r="AE224" s="58"/>
      <c r="AF224" s="57" t="s">
        <v>15173</v>
      </c>
      <c r="AG224" s="58"/>
      <c r="AH224" s="58"/>
      <c r="AI224" s="57" t="s">
        <v>15173</v>
      </c>
      <c r="AJ224" s="58"/>
      <c r="AK224" s="56" t="s">
        <v>1285</v>
      </c>
      <c r="AL224" s="56" t="s">
        <v>16316</v>
      </c>
      <c r="AM224" s="58"/>
      <c r="AN224" s="56" t="s">
        <v>15909</v>
      </c>
      <c r="AO224" s="58"/>
      <c r="AP224" s="63">
        <v>45800.5401851852</v>
      </c>
      <c r="AQ224" s="56" t="s">
        <v>16317</v>
      </c>
      <c r="AR224" s="61" t="s">
        <v>15404</v>
      </c>
      <c r="AS224" s="57" t="s">
        <v>14184</v>
      </c>
      <c r="AT224" s="56" t="s">
        <v>15177</v>
      </c>
      <c r="AU224" s="56" t="s">
        <v>16318</v>
      </c>
      <c r="AV224" s="58"/>
      <c r="AW224" s="64">
        <v>45756.3851736111</v>
      </c>
      <c r="AX224" s="56" t="s">
        <v>16316</v>
      </c>
      <c r="AY224" s="56" t="s">
        <v>15179</v>
      </c>
      <c r="AZ224" s="58"/>
      <c r="BA224" s="58"/>
      <c r="BB224" s="58"/>
      <c r="BC224" s="58"/>
      <c r="BD224" s="56" t="s">
        <v>15802</v>
      </c>
      <c r="BE224" s="58"/>
      <c r="BF224" s="56" t="s">
        <v>15181</v>
      </c>
      <c r="BG224" s="58"/>
      <c r="BH224" s="58"/>
      <c r="BI224" s="57" t="s">
        <v>2801</v>
      </c>
      <c r="BJ224" s="58"/>
      <c r="BK224" s="58"/>
      <c r="BL224" s="58"/>
      <c r="BM224" s="58"/>
      <c r="BN224" s="67">
        <v>11032</v>
      </c>
      <c r="BO224" s="58"/>
      <c r="BP224" s="56" t="s">
        <v>15409</v>
      </c>
      <c r="BQ224" s="58"/>
      <c r="BR224" s="58"/>
      <c r="BS224" s="58"/>
      <c r="BT224" s="58"/>
      <c r="BU224" s="56" t="s">
        <v>16317</v>
      </c>
      <c r="BV224" s="58"/>
      <c r="BW224" s="58"/>
      <c r="BX224" s="67">
        <v>11032</v>
      </c>
      <c r="BY224" s="58"/>
      <c r="BZ224" s="58"/>
      <c r="CA224" s="56" t="s">
        <v>15183</v>
      </c>
      <c r="CB224" s="56" t="s">
        <v>15183</v>
      </c>
      <c r="CC224" s="58"/>
      <c r="CD224" s="58"/>
    </row>
    <row r="225" ht="108" spans="1:82">
      <c r="A225" s="56" t="s">
        <v>16319</v>
      </c>
      <c r="B225" s="58"/>
      <c r="C225" s="57" t="s">
        <v>16320</v>
      </c>
      <c r="D225" s="58"/>
      <c r="E225" s="57" t="s">
        <v>15158</v>
      </c>
      <c r="F225" s="57" t="s">
        <v>16321</v>
      </c>
      <c r="G225" s="57" t="s">
        <v>15160</v>
      </c>
      <c r="H225" s="56" t="s">
        <v>4711</v>
      </c>
      <c r="I225" s="60">
        <v>3750</v>
      </c>
      <c r="J225" s="57" t="s">
        <v>1285</v>
      </c>
      <c r="K225" s="57" t="s">
        <v>15162</v>
      </c>
      <c r="L225" s="57" t="s">
        <v>15163</v>
      </c>
      <c r="M225" s="61" t="s">
        <v>16280</v>
      </c>
      <c r="N225" s="62" t="s">
        <v>16322</v>
      </c>
      <c r="O225" s="57" t="s">
        <v>15165</v>
      </c>
      <c r="P225" s="57" t="s">
        <v>15166</v>
      </c>
      <c r="Q225" s="57" t="s">
        <v>4711</v>
      </c>
      <c r="R225" s="57" t="s">
        <v>16323</v>
      </c>
      <c r="S225" s="57" t="s">
        <v>16324</v>
      </c>
      <c r="T225" s="57" t="s">
        <v>15190</v>
      </c>
      <c r="U225" s="57" t="s">
        <v>14184</v>
      </c>
      <c r="V225" s="56" t="s">
        <v>14153</v>
      </c>
      <c r="W225" s="58"/>
      <c r="X225" s="57" t="s">
        <v>16325</v>
      </c>
      <c r="Y225" s="57" t="s">
        <v>15170</v>
      </c>
      <c r="Z225" s="61" t="s">
        <v>15504</v>
      </c>
      <c r="AA225" s="61" t="s">
        <v>16280</v>
      </c>
      <c r="AB225" s="58"/>
      <c r="AC225" s="57" t="s">
        <v>15172</v>
      </c>
      <c r="AD225" s="58"/>
      <c r="AE225" s="58"/>
      <c r="AF225" s="58"/>
      <c r="AG225" s="58"/>
      <c r="AH225" s="58"/>
      <c r="AI225" s="58"/>
      <c r="AJ225" s="58"/>
      <c r="AK225" s="56" t="s">
        <v>1285</v>
      </c>
      <c r="AL225" s="56" t="s">
        <v>16326</v>
      </c>
      <c r="AM225" s="58"/>
      <c r="AN225" s="56" t="s">
        <v>15808</v>
      </c>
      <c r="AO225" s="58"/>
      <c r="AP225" s="63">
        <v>45800.5400578704</v>
      </c>
      <c r="AQ225" s="56" t="s">
        <v>16327</v>
      </c>
      <c r="AR225" s="61" t="s">
        <v>15404</v>
      </c>
      <c r="AS225" s="57" t="s">
        <v>14184</v>
      </c>
      <c r="AT225" s="56" t="s">
        <v>15177</v>
      </c>
      <c r="AU225" s="56" t="s">
        <v>16328</v>
      </c>
      <c r="AV225" s="58"/>
      <c r="AW225" s="64">
        <v>45749.4356828704</v>
      </c>
      <c r="AX225" s="56" t="s">
        <v>16326</v>
      </c>
      <c r="AY225" s="56" t="s">
        <v>15179</v>
      </c>
      <c r="AZ225" s="58"/>
      <c r="BA225" s="58"/>
      <c r="BB225" s="58"/>
      <c r="BC225" s="56" t="s">
        <v>2902</v>
      </c>
      <c r="BD225" s="56" t="s">
        <v>15353</v>
      </c>
      <c r="BE225" s="56" t="s">
        <v>16329</v>
      </c>
      <c r="BF225" s="56" t="s">
        <v>15181</v>
      </c>
      <c r="BG225" s="58"/>
      <c r="BH225" s="58"/>
      <c r="BI225" s="57" t="s">
        <v>2801</v>
      </c>
      <c r="BJ225" s="58"/>
      <c r="BK225" s="58"/>
      <c r="BL225" s="66">
        <v>3333033</v>
      </c>
      <c r="BM225" s="56" t="s">
        <v>16330</v>
      </c>
      <c r="BN225" s="58"/>
      <c r="BO225" s="67">
        <v>3750</v>
      </c>
      <c r="BP225" s="56" t="s">
        <v>15409</v>
      </c>
      <c r="BQ225" s="58"/>
      <c r="BR225" s="56" t="s">
        <v>16331</v>
      </c>
      <c r="BS225" s="56" t="s">
        <v>1285</v>
      </c>
      <c r="BT225" s="58"/>
      <c r="BU225" s="56" t="s">
        <v>16327</v>
      </c>
      <c r="BV225" s="58"/>
      <c r="BW225" s="58"/>
      <c r="BX225" s="67">
        <v>3750</v>
      </c>
      <c r="BY225" s="56" t="s">
        <v>1285</v>
      </c>
      <c r="BZ225" s="58"/>
      <c r="CA225" s="58"/>
      <c r="CB225" s="58"/>
      <c r="CC225" s="58"/>
      <c r="CD225" s="58"/>
    </row>
    <row r="226" ht="108" spans="1:82">
      <c r="A226" s="56" t="s">
        <v>16332</v>
      </c>
      <c r="B226" s="58"/>
      <c r="C226" s="57" t="s">
        <v>16333</v>
      </c>
      <c r="D226" s="58"/>
      <c r="E226" s="57" t="s">
        <v>15158</v>
      </c>
      <c r="F226" s="57" t="s">
        <v>16334</v>
      </c>
      <c r="G226" s="57" t="s">
        <v>15160</v>
      </c>
      <c r="H226" s="56" t="s">
        <v>2958</v>
      </c>
      <c r="I226" s="60">
        <v>69.65</v>
      </c>
      <c r="J226" s="57" t="s">
        <v>1285</v>
      </c>
      <c r="K226" s="57" t="s">
        <v>15162</v>
      </c>
      <c r="L226" s="57" t="s">
        <v>15163</v>
      </c>
      <c r="M226" s="61" t="s">
        <v>16280</v>
      </c>
      <c r="N226" s="62" t="s">
        <v>15331</v>
      </c>
      <c r="O226" s="57" t="s">
        <v>15165</v>
      </c>
      <c r="P226" s="57" t="s">
        <v>15166</v>
      </c>
      <c r="Q226" s="57" t="s">
        <v>2958</v>
      </c>
      <c r="R226" s="57" t="s">
        <v>16031</v>
      </c>
      <c r="S226" s="57" t="s">
        <v>16032</v>
      </c>
      <c r="T226" s="57" t="s">
        <v>15190</v>
      </c>
      <c r="U226" s="57" t="s">
        <v>14184</v>
      </c>
      <c r="V226" s="56" t="s">
        <v>14153</v>
      </c>
      <c r="W226" s="58"/>
      <c r="X226" s="57" t="s">
        <v>16335</v>
      </c>
      <c r="Y226" s="57" t="s">
        <v>15170</v>
      </c>
      <c r="Z226" s="61" t="s">
        <v>15504</v>
      </c>
      <c r="AA226" s="61" t="s">
        <v>16280</v>
      </c>
      <c r="AB226" s="58"/>
      <c r="AC226" s="57" t="s">
        <v>15172</v>
      </c>
      <c r="AD226" s="58"/>
      <c r="AE226" s="58"/>
      <c r="AF226" s="58"/>
      <c r="AG226" s="58"/>
      <c r="AH226" s="58"/>
      <c r="AI226" s="58"/>
      <c r="AJ226" s="58"/>
      <c r="AK226" s="56" t="s">
        <v>1285</v>
      </c>
      <c r="AL226" s="56" t="s">
        <v>16336</v>
      </c>
      <c r="AM226" s="58"/>
      <c r="AN226" s="56" t="s">
        <v>15899</v>
      </c>
      <c r="AO226" s="58"/>
      <c r="AP226" s="63">
        <v>45800.5361458333</v>
      </c>
      <c r="AQ226" s="56" t="s">
        <v>16337</v>
      </c>
      <c r="AR226" s="61" t="s">
        <v>15404</v>
      </c>
      <c r="AS226" s="57" t="s">
        <v>14184</v>
      </c>
      <c r="AT226" s="56" t="s">
        <v>15177</v>
      </c>
      <c r="AU226" s="56" t="s">
        <v>16338</v>
      </c>
      <c r="AV226" s="58"/>
      <c r="AW226" s="64">
        <v>45720.6775115741</v>
      </c>
      <c r="AX226" s="56" t="s">
        <v>16336</v>
      </c>
      <c r="AY226" s="56" t="s">
        <v>15179</v>
      </c>
      <c r="AZ226" s="58"/>
      <c r="BA226" s="58"/>
      <c r="BB226" s="58"/>
      <c r="BC226" s="56" t="s">
        <v>16041</v>
      </c>
      <c r="BD226" s="56" t="s">
        <v>15197</v>
      </c>
      <c r="BE226" s="56" t="s">
        <v>16034</v>
      </c>
      <c r="BF226" s="56" t="s">
        <v>15181</v>
      </c>
      <c r="BG226" s="58"/>
      <c r="BH226" s="58"/>
      <c r="BI226" s="57" t="s">
        <v>2801</v>
      </c>
      <c r="BJ226" s="58"/>
      <c r="BK226" s="58"/>
      <c r="BL226" s="66">
        <v>3457643</v>
      </c>
      <c r="BM226" s="56" t="s">
        <v>16339</v>
      </c>
      <c r="BN226" s="58"/>
      <c r="BO226" s="67">
        <v>69.65</v>
      </c>
      <c r="BP226" s="56" t="s">
        <v>15409</v>
      </c>
      <c r="BQ226" s="58"/>
      <c r="BR226" s="56" t="s">
        <v>16340</v>
      </c>
      <c r="BS226" s="56" t="s">
        <v>1285</v>
      </c>
      <c r="BT226" s="58"/>
      <c r="BU226" s="56" t="s">
        <v>16337</v>
      </c>
      <c r="BV226" s="58"/>
      <c r="BW226" s="58"/>
      <c r="BX226" s="67">
        <v>69.65</v>
      </c>
      <c r="BY226" s="56" t="s">
        <v>1285</v>
      </c>
      <c r="BZ226" s="58"/>
      <c r="CA226" s="58"/>
      <c r="CB226" s="58"/>
      <c r="CC226" s="58"/>
      <c r="CD226" s="58"/>
    </row>
    <row r="227" ht="108" spans="1:82">
      <c r="A227" s="56" t="s">
        <v>16341</v>
      </c>
      <c r="B227" s="58"/>
      <c r="C227" s="57" t="s">
        <v>16342</v>
      </c>
      <c r="D227" s="58"/>
      <c r="E227" s="57" t="s">
        <v>15158</v>
      </c>
      <c r="F227" s="57" t="s">
        <v>16343</v>
      </c>
      <c r="G227" s="57" t="s">
        <v>15160</v>
      </c>
      <c r="H227" s="56" t="s">
        <v>4050</v>
      </c>
      <c r="I227" s="60">
        <v>11000</v>
      </c>
      <c r="J227" s="57" t="s">
        <v>1285</v>
      </c>
      <c r="K227" s="57" t="s">
        <v>15162</v>
      </c>
      <c r="L227" s="57" t="s">
        <v>15163</v>
      </c>
      <c r="M227" s="61" t="s">
        <v>16280</v>
      </c>
      <c r="N227" s="62" t="s">
        <v>15672</v>
      </c>
      <c r="O227" s="57" t="s">
        <v>15165</v>
      </c>
      <c r="P227" s="57" t="s">
        <v>15166</v>
      </c>
      <c r="Q227" s="57" t="s">
        <v>4050</v>
      </c>
      <c r="R227" s="57" t="s">
        <v>15516</v>
      </c>
      <c r="S227" s="57" t="s">
        <v>15517</v>
      </c>
      <c r="T227" s="57" t="s">
        <v>15190</v>
      </c>
      <c r="U227" s="57" t="s">
        <v>14184</v>
      </c>
      <c r="V227" s="56" t="s">
        <v>14153</v>
      </c>
      <c r="W227" s="58"/>
      <c r="X227" s="57" t="s">
        <v>16344</v>
      </c>
      <c r="Y227" s="57" t="s">
        <v>15170</v>
      </c>
      <c r="Z227" s="61" t="s">
        <v>14605</v>
      </c>
      <c r="AA227" s="61" t="s">
        <v>16280</v>
      </c>
      <c r="AB227" s="58"/>
      <c r="AC227" s="57" t="s">
        <v>15172</v>
      </c>
      <c r="AD227" s="58"/>
      <c r="AE227" s="58"/>
      <c r="AF227" s="58"/>
      <c r="AG227" s="58"/>
      <c r="AH227" s="58"/>
      <c r="AI227" s="58"/>
      <c r="AJ227" s="58"/>
      <c r="AK227" s="56" t="s">
        <v>1285</v>
      </c>
      <c r="AL227" s="56" t="s">
        <v>16345</v>
      </c>
      <c r="AM227" s="58"/>
      <c r="AN227" s="56" t="s">
        <v>15562</v>
      </c>
      <c r="AO227" s="58"/>
      <c r="AP227" s="63">
        <v>45800.5382638889</v>
      </c>
      <c r="AQ227" s="56" t="s">
        <v>16346</v>
      </c>
      <c r="AR227" s="61" t="s">
        <v>15404</v>
      </c>
      <c r="AS227" s="57" t="s">
        <v>14184</v>
      </c>
      <c r="AT227" s="56" t="s">
        <v>15177</v>
      </c>
      <c r="AU227" s="56" t="s">
        <v>16347</v>
      </c>
      <c r="AV227" s="58"/>
      <c r="AW227" s="64">
        <v>45713.3994097222</v>
      </c>
      <c r="AX227" s="56" t="s">
        <v>16345</v>
      </c>
      <c r="AY227" s="56" t="s">
        <v>15179</v>
      </c>
      <c r="AZ227" s="58"/>
      <c r="BA227" s="58"/>
      <c r="BB227" s="58"/>
      <c r="BC227" s="56" t="s">
        <v>4048</v>
      </c>
      <c r="BD227" s="56" t="s">
        <v>15482</v>
      </c>
      <c r="BE227" s="56" t="s">
        <v>16348</v>
      </c>
      <c r="BF227" s="56" t="s">
        <v>15181</v>
      </c>
      <c r="BG227" s="58"/>
      <c r="BH227" s="58"/>
      <c r="BI227" s="57" t="s">
        <v>2801</v>
      </c>
      <c r="BJ227" s="58"/>
      <c r="BK227" s="58"/>
      <c r="BL227" s="66">
        <v>2991068</v>
      </c>
      <c r="BM227" s="56" t="s">
        <v>16349</v>
      </c>
      <c r="BN227" s="58"/>
      <c r="BO227" s="67">
        <v>11000</v>
      </c>
      <c r="BP227" s="56" t="s">
        <v>15409</v>
      </c>
      <c r="BQ227" s="58"/>
      <c r="BR227" s="56" t="s">
        <v>16350</v>
      </c>
      <c r="BS227" s="56" t="s">
        <v>1285</v>
      </c>
      <c r="BT227" s="58"/>
      <c r="BU227" s="56" t="s">
        <v>16346</v>
      </c>
      <c r="BV227" s="58"/>
      <c r="BW227" s="58"/>
      <c r="BX227" s="67">
        <v>11000</v>
      </c>
      <c r="BY227" s="56" t="s">
        <v>1285</v>
      </c>
      <c r="BZ227" s="58"/>
      <c r="CA227" s="58"/>
      <c r="CB227" s="58"/>
      <c r="CC227" s="58"/>
      <c r="CD227" s="58"/>
    </row>
    <row r="228" ht="108" spans="1:82">
      <c r="A228" s="56" t="s">
        <v>16351</v>
      </c>
      <c r="B228" s="58"/>
      <c r="C228" s="57" t="s">
        <v>16352</v>
      </c>
      <c r="D228" s="58"/>
      <c r="E228" s="57" t="s">
        <v>15158</v>
      </c>
      <c r="F228" s="57" t="s">
        <v>16353</v>
      </c>
      <c r="G228" s="57" t="s">
        <v>15160</v>
      </c>
      <c r="H228" s="56" t="s">
        <v>4065</v>
      </c>
      <c r="I228" s="60">
        <v>12262</v>
      </c>
      <c r="J228" s="57" t="s">
        <v>1285</v>
      </c>
      <c r="K228" s="57" t="s">
        <v>15162</v>
      </c>
      <c r="L228" s="57" t="s">
        <v>15163</v>
      </c>
      <c r="M228" s="61" t="s">
        <v>16280</v>
      </c>
      <c r="N228" s="62" t="s">
        <v>15187</v>
      </c>
      <c r="O228" s="57" t="s">
        <v>15165</v>
      </c>
      <c r="P228" s="57" t="s">
        <v>15166</v>
      </c>
      <c r="Q228" s="57" t="s">
        <v>4065</v>
      </c>
      <c r="R228" s="57" t="s">
        <v>16354</v>
      </c>
      <c r="S228" s="57" t="s">
        <v>16355</v>
      </c>
      <c r="T228" s="57" t="s">
        <v>15190</v>
      </c>
      <c r="U228" s="57" t="s">
        <v>14184</v>
      </c>
      <c r="V228" s="56" t="s">
        <v>14153</v>
      </c>
      <c r="W228" s="58"/>
      <c r="X228" s="57" t="s">
        <v>16356</v>
      </c>
      <c r="Y228" s="57" t="s">
        <v>15170</v>
      </c>
      <c r="Z228" s="61" t="s">
        <v>14605</v>
      </c>
      <c r="AA228" s="61" t="s">
        <v>16280</v>
      </c>
      <c r="AB228" s="58"/>
      <c r="AC228" s="57" t="s">
        <v>15172</v>
      </c>
      <c r="AD228" s="58"/>
      <c r="AE228" s="58"/>
      <c r="AF228" s="58"/>
      <c r="AG228" s="58"/>
      <c r="AH228" s="58"/>
      <c r="AI228" s="58"/>
      <c r="AJ228" s="58"/>
      <c r="AK228" s="56" t="s">
        <v>1285</v>
      </c>
      <c r="AL228" s="56" t="s">
        <v>16357</v>
      </c>
      <c r="AM228" s="58"/>
      <c r="AN228" s="56" t="s">
        <v>15446</v>
      </c>
      <c r="AO228" s="58"/>
      <c r="AP228" s="63">
        <v>45800.5396527778</v>
      </c>
      <c r="AQ228" s="56" t="s">
        <v>16358</v>
      </c>
      <c r="AR228" s="61" t="s">
        <v>15404</v>
      </c>
      <c r="AS228" s="57" t="s">
        <v>14184</v>
      </c>
      <c r="AT228" s="56" t="s">
        <v>15177</v>
      </c>
      <c r="AU228" s="56" t="s">
        <v>16359</v>
      </c>
      <c r="AV228" s="58"/>
      <c r="AW228" s="64">
        <v>45706.7185300926</v>
      </c>
      <c r="AX228" s="56" t="s">
        <v>16357</v>
      </c>
      <c r="AY228" s="56" t="s">
        <v>15179</v>
      </c>
      <c r="AZ228" s="58"/>
      <c r="BA228" s="58"/>
      <c r="BB228" s="58"/>
      <c r="BC228" s="56" t="s">
        <v>4063</v>
      </c>
      <c r="BD228" s="56" t="s">
        <v>15551</v>
      </c>
      <c r="BE228" s="56" t="s">
        <v>16360</v>
      </c>
      <c r="BF228" s="56" t="s">
        <v>15181</v>
      </c>
      <c r="BG228" s="58"/>
      <c r="BH228" s="58"/>
      <c r="BI228" s="57" t="s">
        <v>2801</v>
      </c>
      <c r="BJ228" s="58"/>
      <c r="BK228" s="58"/>
      <c r="BL228" s="66">
        <v>2964609</v>
      </c>
      <c r="BM228" s="56" t="s">
        <v>16361</v>
      </c>
      <c r="BN228" s="58"/>
      <c r="BO228" s="67">
        <v>12262</v>
      </c>
      <c r="BP228" s="56" t="s">
        <v>15409</v>
      </c>
      <c r="BQ228" s="58"/>
      <c r="BR228" s="56" t="s">
        <v>16362</v>
      </c>
      <c r="BS228" s="56" t="s">
        <v>1285</v>
      </c>
      <c r="BT228" s="58"/>
      <c r="BU228" s="56" t="s">
        <v>16358</v>
      </c>
      <c r="BV228" s="58"/>
      <c r="BW228" s="58"/>
      <c r="BX228" s="67">
        <v>12262</v>
      </c>
      <c r="BY228" s="56" t="s">
        <v>1285</v>
      </c>
      <c r="BZ228" s="58"/>
      <c r="CA228" s="58"/>
      <c r="CB228" s="58"/>
      <c r="CC228" s="58"/>
      <c r="CD228" s="58"/>
    </row>
    <row r="229" ht="108" spans="1:82">
      <c r="A229" s="56" t="s">
        <v>16363</v>
      </c>
      <c r="B229" s="57" t="s">
        <v>15156</v>
      </c>
      <c r="C229" s="58"/>
      <c r="D229" s="57" t="s">
        <v>16364</v>
      </c>
      <c r="E229" s="57" t="s">
        <v>15158</v>
      </c>
      <c r="F229" s="57" t="s">
        <v>16365</v>
      </c>
      <c r="G229" s="57" t="s">
        <v>15160</v>
      </c>
      <c r="H229" s="56" t="s">
        <v>15772</v>
      </c>
      <c r="I229" s="60">
        <v>1400</v>
      </c>
      <c r="J229" s="57" t="s">
        <v>1285</v>
      </c>
      <c r="K229" s="57" t="s">
        <v>15162</v>
      </c>
      <c r="L229" s="57" t="s">
        <v>15163</v>
      </c>
      <c r="M229" s="61" t="s">
        <v>15461</v>
      </c>
      <c r="N229" s="62" t="s">
        <v>14331</v>
      </c>
      <c r="O229" s="57" t="s">
        <v>15165</v>
      </c>
      <c r="P229" s="57" t="s">
        <v>15166</v>
      </c>
      <c r="Q229" s="57" t="s">
        <v>15772</v>
      </c>
      <c r="R229" s="57" t="s">
        <v>15775</v>
      </c>
      <c r="S229" s="57" t="s">
        <v>15776</v>
      </c>
      <c r="T229" s="58"/>
      <c r="U229" s="57" t="s">
        <v>14184</v>
      </c>
      <c r="V229" s="56" t="s">
        <v>14153</v>
      </c>
      <c r="W229" s="58"/>
      <c r="X229" s="57" t="s">
        <v>16081</v>
      </c>
      <c r="Y229" s="57" t="s">
        <v>15443</v>
      </c>
      <c r="Z229" s="61" t="s">
        <v>15559</v>
      </c>
      <c r="AA229" s="61" t="s">
        <v>15461</v>
      </c>
      <c r="AB229" s="57" t="s">
        <v>15171</v>
      </c>
      <c r="AC229" s="57" t="s">
        <v>15172</v>
      </c>
      <c r="AD229" s="58"/>
      <c r="AE229" s="58"/>
      <c r="AF229" s="57" t="s">
        <v>15173</v>
      </c>
      <c r="AG229" s="58"/>
      <c r="AH229" s="58"/>
      <c r="AI229" s="57" t="s">
        <v>15173</v>
      </c>
      <c r="AJ229" s="58"/>
      <c r="AK229" s="56" t="s">
        <v>1285</v>
      </c>
      <c r="AL229" s="56" t="s">
        <v>16366</v>
      </c>
      <c r="AM229" s="58"/>
      <c r="AN229" s="56" t="s">
        <v>16367</v>
      </c>
      <c r="AO229" s="58"/>
      <c r="AP229" s="63">
        <v>45792.5422800926</v>
      </c>
      <c r="AQ229" s="56" t="s">
        <v>16368</v>
      </c>
      <c r="AR229" s="61" t="s">
        <v>15404</v>
      </c>
      <c r="AS229" s="57" t="s">
        <v>14184</v>
      </c>
      <c r="AT229" s="56" t="s">
        <v>15177</v>
      </c>
      <c r="AU229" s="56" t="s">
        <v>16369</v>
      </c>
      <c r="AV229" s="58"/>
      <c r="AW229" s="64">
        <v>45785.6378703704</v>
      </c>
      <c r="AX229" s="56" t="s">
        <v>16366</v>
      </c>
      <c r="AY229" s="56" t="s">
        <v>15179</v>
      </c>
      <c r="AZ229" s="58"/>
      <c r="BA229" s="58"/>
      <c r="BB229" s="58"/>
      <c r="BC229" s="58"/>
      <c r="BD229" s="56" t="s">
        <v>15276</v>
      </c>
      <c r="BE229" s="56" t="s">
        <v>15780</v>
      </c>
      <c r="BF229" s="56" t="s">
        <v>15181</v>
      </c>
      <c r="BG229" s="58"/>
      <c r="BH229" s="58"/>
      <c r="BI229" s="57" t="s">
        <v>2801</v>
      </c>
      <c r="BJ229" s="58"/>
      <c r="BK229" s="58"/>
      <c r="BL229" s="58"/>
      <c r="BM229" s="58"/>
      <c r="BN229" s="67">
        <v>1400</v>
      </c>
      <c r="BO229" s="58"/>
      <c r="BP229" s="56" t="s">
        <v>15409</v>
      </c>
      <c r="BQ229" s="58"/>
      <c r="BR229" s="58"/>
      <c r="BS229" s="58"/>
      <c r="BT229" s="58"/>
      <c r="BU229" s="56" t="s">
        <v>16368</v>
      </c>
      <c r="BV229" s="58"/>
      <c r="BW229" s="58"/>
      <c r="BX229" s="67">
        <v>1400</v>
      </c>
      <c r="BY229" s="56" t="s">
        <v>1285</v>
      </c>
      <c r="BZ229" s="58"/>
      <c r="CA229" s="56" t="s">
        <v>15183</v>
      </c>
      <c r="CB229" s="56" t="s">
        <v>15183</v>
      </c>
      <c r="CC229" s="58"/>
      <c r="CD229" s="58"/>
    </row>
    <row r="230" ht="108" spans="1:82">
      <c r="A230" s="56" t="s">
        <v>16370</v>
      </c>
      <c r="B230" s="57" t="s">
        <v>15950</v>
      </c>
      <c r="C230" s="58"/>
      <c r="D230" s="57" t="s">
        <v>16371</v>
      </c>
      <c r="E230" s="57" t="s">
        <v>15158</v>
      </c>
      <c r="F230" s="57" t="s">
        <v>16372</v>
      </c>
      <c r="G230" s="57" t="s">
        <v>15160</v>
      </c>
      <c r="H230" s="56" t="s">
        <v>15772</v>
      </c>
      <c r="I230" s="60">
        <v>2800</v>
      </c>
      <c r="J230" s="57" t="s">
        <v>1285</v>
      </c>
      <c r="K230" s="57" t="s">
        <v>15162</v>
      </c>
      <c r="L230" s="57" t="s">
        <v>15163</v>
      </c>
      <c r="M230" s="61" t="s">
        <v>15461</v>
      </c>
      <c r="N230" s="62" t="s">
        <v>15164</v>
      </c>
      <c r="O230" s="57" t="s">
        <v>15165</v>
      </c>
      <c r="P230" s="57" t="s">
        <v>15166</v>
      </c>
      <c r="Q230" s="57" t="s">
        <v>15772</v>
      </c>
      <c r="R230" s="57" t="s">
        <v>15775</v>
      </c>
      <c r="S230" s="57" t="s">
        <v>15776</v>
      </c>
      <c r="T230" s="58"/>
      <c r="U230" s="57" t="s">
        <v>14184</v>
      </c>
      <c r="V230" s="56" t="s">
        <v>14153</v>
      </c>
      <c r="W230" s="58"/>
      <c r="X230" s="57" t="s">
        <v>16373</v>
      </c>
      <c r="Y230" s="57" t="s">
        <v>15170</v>
      </c>
      <c r="Z230" s="61" t="s">
        <v>15504</v>
      </c>
      <c r="AA230" s="61" t="s">
        <v>15461</v>
      </c>
      <c r="AB230" s="57" t="s">
        <v>15171</v>
      </c>
      <c r="AC230" s="57" t="s">
        <v>15172</v>
      </c>
      <c r="AD230" s="58"/>
      <c r="AE230" s="58"/>
      <c r="AF230" s="57" t="s">
        <v>15173</v>
      </c>
      <c r="AG230" s="58"/>
      <c r="AH230" s="58"/>
      <c r="AI230" s="57" t="s">
        <v>15173</v>
      </c>
      <c r="AJ230" s="58"/>
      <c r="AK230" s="56" t="s">
        <v>1285</v>
      </c>
      <c r="AL230" s="56" t="s">
        <v>16374</v>
      </c>
      <c r="AM230" s="58"/>
      <c r="AN230" s="56" t="s">
        <v>15786</v>
      </c>
      <c r="AO230" s="58"/>
      <c r="AP230" s="63">
        <v>45792.5434953704</v>
      </c>
      <c r="AQ230" s="56" t="s">
        <v>16375</v>
      </c>
      <c r="AR230" s="61" t="s">
        <v>15404</v>
      </c>
      <c r="AS230" s="58"/>
      <c r="AT230" s="56" t="s">
        <v>15957</v>
      </c>
      <c r="AU230" s="56" t="s">
        <v>16376</v>
      </c>
      <c r="AV230" s="56" t="s">
        <v>16371</v>
      </c>
      <c r="AW230" s="64">
        <v>45770.7892939815</v>
      </c>
      <c r="AX230" s="56" t="s">
        <v>16374</v>
      </c>
      <c r="AY230" s="56" t="s">
        <v>15179</v>
      </c>
      <c r="AZ230" s="58"/>
      <c r="BA230" s="58"/>
      <c r="BB230" s="58"/>
      <c r="BC230" s="58"/>
      <c r="BD230" s="56" t="s">
        <v>15959</v>
      </c>
      <c r="BE230" s="58"/>
      <c r="BF230" s="56" t="s">
        <v>15181</v>
      </c>
      <c r="BG230" s="58"/>
      <c r="BH230" s="58"/>
      <c r="BI230" s="57" t="s">
        <v>2801</v>
      </c>
      <c r="BJ230" s="58"/>
      <c r="BK230" s="58"/>
      <c r="BL230" s="58"/>
      <c r="BM230" s="58"/>
      <c r="BN230" s="67">
        <v>2800</v>
      </c>
      <c r="BO230" s="58"/>
      <c r="BP230" s="56" t="s">
        <v>15409</v>
      </c>
      <c r="BQ230" s="58"/>
      <c r="BR230" s="58"/>
      <c r="BS230" s="58"/>
      <c r="BT230" s="58"/>
      <c r="BU230" s="56" t="s">
        <v>16375</v>
      </c>
      <c r="BV230" s="58"/>
      <c r="BW230" s="58"/>
      <c r="BX230" s="67">
        <v>2800</v>
      </c>
      <c r="BY230" s="58"/>
      <c r="BZ230" s="56" t="s">
        <v>15160</v>
      </c>
      <c r="CA230" s="58"/>
      <c r="CB230" s="58"/>
      <c r="CC230" s="58"/>
      <c r="CD230" s="58"/>
    </row>
    <row r="231" ht="108" spans="1:82">
      <c r="A231" s="56" t="s">
        <v>16377</v>
      </c>
      <c r="B231" s="57" t="s">
        <v>15156</v>
      </c>
      <c r="C231" s="58"/>
      <c r="D231" s="57" t="s">
        <v>16378</v>
      </c>
      <c r="E231" s="57" t="s">
        <v>15158</v>
      </c>
      <c r="F231" s="57" t="s">
        <v>16379</v>
      </c>
      <c r="G231" s="57" t="s">
        <v>15160</v>
      </c>
      <c r="H231" s="56" t="s">
        <v>15268</v>
      </c>
      <c r="I231" s="60">
        <v>40980</v>
      </c>
      <c r="J231" s="58"/>
      <c r="K231" s="58"/>
      <c r="L231" s="57" t="s">
        <v>14203</v>
      </c>
      <c r="M231" s="61" t="s">
        <v>16380</v>
      </c>
      <c r="N231" s="62" t="s">
        <v>16380</v>
      </c>
      <c r="O231" s="57" t="s">
        <v>15165</v>
      </c>
      <c r="P231" s="57" t="s">
        <v>15166</v>
      </c>
      <c r="Q231" s="57" t="s">
        <v>15268</v>
      </c>
      <c r="R231" s="57" t="s">
        <v>15269</v>
      </c>
      <c r="S231" s="57" t="s">
        <v>15270</v>
      </c>
      <c r="T231" s="58"/>
      <c r="U231" s="57" t="s">
        <v>14184</v>
      </c>
      <c r="V231" s="56" t="s">
        <v>14153</v>
      </c>
      <c r="W231" s="58"/>
      <c r="X231" s="57" t="s">
        <v>16381</v>
      </c>
      <c r="Y231" s="58"/>
      <c r="Z231" s="58"/>
      <c r="AA231" s="58"/>
      <c r="AB231" s="57" t="s">
        <v>15171</v>
      </c>
      <c r="AC231" s="57" t="s">
        <v>15173</v>
      </c>
      <c r="AD231" s="58"/>
      <c r="AE231" s="58"/>
      <c r="AF231" s="57" t="s">
        <v>15173</v>
      </c>
      <c r="AG231" s="58"/>
      <c r="AH231" s="58"/>
      <c r="AI231" s="57" t="s">
        <v>15173</v>
      </c>
      <c r="AJ231" s="58"/>
      <c r="AK231" s="58"/>
      <c r="AL231" s="58"/>
      <c r="AM231" s="58"/>
      <c r="AN231" s="58"/>
      <c r="AO231" s="58"/>
      <c r="AP231" s="63">
        <v>45866.68</v>
      </c>
      <c r="AQ231" s="58"/>
      <c r="AR231" s="58"/>
      <c r="AS231" s="57" t="s">
        <v>14184</v>
      </c>
      <c r="AT231" s="56" t="s">
        <v>15177</v>
      </c>
      <c r="AU231" s="58"/>
      <c r="AV231" s="58"/>
      <c r="AW231" s="64">
        <v>45866.6349074074</v>
      </c>
      <c r="AX231" s="58"/>
      <c r="AY231" s="56" t="s">
        <v>15179</v>
      </c>
      <c r="AZ231" s="58"/>
      <c r="BA231" s="58"/>
      <c r="BB231" s="58"/>
      <c r="BC231" s="58"/>
      <c r="BD231" s="56" t="s">
        <v>15276</v>
      </c>
      <c r="BE231" s="56" t="s">
        <v>15277</v>
      </c>
      <c r="BF231" s="56" t="s">
        <v>15181</v>
      </c>
      <c r="BG231" s="58"/>
      <c r="BH231" s="58"/>
      <c r="BI231" s="57" t="s">
        <v>2801</v>
      </c>
      <c r="BJ231" s="58"/>
      <c r="BK231" s="58"/>
      <c r="BL231" s="58"/>
      <c r="BM231" s="58"/>
      <c r="BN231" s="67">
        <v>40980</v>
      </c>
      <c r="BO231" s="58"/>
      <c r="BP231" s="58"/>
      <c r="BQ231" s="58"/>
      <c r="BR231" s="58"/>
      <c r="BS231" s="58"/>
      <c r="BT231" s="56" t="s">
        <v>1285</v>
      </c>
      <c r="BU231" s="58"/>
      <c r="BV231" s="58"/>
      <c r="BW231" s="58"/>
      <c r="BX231" s="67">
        <v>40980</v>
      </c>
      <c r="BY231" s="58"/>
      <c r="BZ231" s="58"/>
      <c r="CA231" s="56" t="s">
        <v>15160</v>
      </c>
      <c r="CB231" s="56" t="s">
        <v>15183</v>
      </c>
      <c r="CC231" s="58"/>
      <c r="CD231" s="58"/>
    </row>
    <row r="232" ht="108" spans="1:82">
      <c r="A232" s="56" t="s">
        <v>16382</v>
      </c>
      <c r="B232" s="57" t="s">
        <v>15156</v>
      </c>
      <c r="C232" s="58"/>
      <c r="D232" s="57" t="s">
        <v>16383</v>
      </c>
      <c r="E232" s="57" t="s">
        <v>15158</v>
      </c>
      <c r="F232" s="57" t="s">
        <v>16384</v>
      </c>
      <c r="G232" s="57" t="s">
        <v>15160</v>
      </c>
      <c r="H232" s="56" t="s">
        <v>15295</v>
      </c>
      <c r="I232" s="60">
        <v>31358</v>
      </c>
      <c r="J232" s="58"/>
      <c r="K232" s="58"/>
      <c r="L232" s="57" t="s">
        <v>14203</v>
      </c>
      <c r="M232" s="61" t="s">
        <v>16380</v>
      </c>
      <c r="N232" s="62" t="s">
        <v>16380</v>
      </c>
      <c r="O232" s="57" t="s">
        <v>15165</v>
      </c>
      <c r="P232" s="57" t="s">
        <v>15166</v>
      </c>
      <c r="Q232" s="57" t="s">
        <v>15295</v>
      </c>
      <c r="R232" s="57" t="s">
        <v>15296</v>
      </c>
      <c r="S232" s="57" t="s">
        <v>15297</v>
      </c>
      <c r="T232" s="58"/>
      <c r="U232" s="57" t="s">
        <v>14184</v>
      </c>
      <c r="V232" s="56" t="s">
        <v>14153</v>
      </c>
      <c r="W232" s="58"/>
      <c r="X232" s="57" t="s">
        <v>16381</v>
      </c>
      <c r="Y232" s="58"/>
      <c r="Z232" s="58"/>
      <c r="AA232" s="58"/>
      <c r="AB232" s="57" t="s">
        <v>15171</v>
      </c>
      <c r="AC232" s="57" t="s">
        <v>15173</v>
      </c>
      <c r="AD232" s="58"/>
      <c r="AE232" s="58"/>
      <c r="AF232" s="57" t="s">
        <v>15173</v>
      </c>
      <c r="AG232" s="58"/>
      <c r="AH232" s="58"/>
      <c r="AI232" s="57" t="s">
        <v>15173</v>
      </c>
      <c r="AJ232" s="58"/>
      <c r="AK232" s="58"/>
      <c r="AL232" s="58"/>
      <c r="AM232" s="58"/>
      <c r="AN232" s="58"/>
      <c r="AO232" s="58"/>
      <c r="AP232" s="63">
        <v>45866.6799884259</v>
      </c>
      <c r="AQ232" s="58"/>
      <c r="AR232" s="58"/>
      <c r="AS232" s="57" t="s">
        <v>14184</v>
      </c>
      <c r="AT232" s="56" t="s">
        <v>15177</v>
      </c>
      <c r="AU232" s="58"/>
      <c r="AV232" s="58"/>
      <c r="AW232" s="64">
        <v>45866.6349074074</v>
      </c>
      <c r="AX232" s="58"/>
      <c r="AY232" s="56" t="s">
        <v>15179</v>
      </c>
      <c r="AZ232" s="58"/>
      <c r="BA232" s="58"/>
      <c r="BB232" s="58"/>
      <c r="BC232" s="58"/>
      <c r="BD232" s="56" t="s">
        <v>15276</v>
      </c>
      <c r="BE232" s="56" t="s">
        <v>15303</v>
      </c>
      <c r="BF232" s="56" t="s">
        <v>15181</v>
      </c>
      <c r="BG232" s="58"/>
      <c r="BH232" s="58"/>
      <c r="BI232" s="57" t="s">
        <v>2801</v>
      </c>
      <c r="BJ232" s="58"/>
      <c r="BK232" s="58"/>
      <c r="BL232" s="58"/>
      <c r="BM232" s="58"/>
      <c r="BN232" s="67">
        <v>31358</v>
      </c>
      <c r="BO232" s="58"/>
      <c r="BP232" s="58"/>
      <c r="BQ232" s="58"/>
      <c r="BR232" s="58"/>
      <c r="BS232" s="58"/>
      <c r="BT232" s="58"/>
      <c r="BU232" s="58"/>
      <c r="BV232" s="58"/>
      <c r="BW232" s="58"/>
      <c r="BX232" s="67">
        <v>31358</v>
      </c>
      <c r="BY232" s="58"/>
      <c r="BZ232" s="58"/>
      <c r="CA232" s="56" t="s">
        <v>15160</v>
      </c>
      <c r="CB232" s="56" t="s">
        <v>15183</v>
      </c>
      <c r="CC232" s="58"/>
      <c r="CD232" s="58"/>
    </row>
    <row r="233" ht="108" spans="1:82">
      <c r="A233" s="56" t="s">
        <v>16385</v>
      </c>
      <c r="B233" s="57" t="s">
        <v>15156</v>
      </c>
      <c r="C233" s="58"/>
      <c r="D233" s="57" t="s">
        <v>16386</v>
      </c>
      <c r="E233" s="57" t="s">
        <v>15158</v>
      </c>
      <c r="F233" s="57" t="s">
        <v>16387</v>
      </c>
      <c r="G233" s="57" t="s">
        <v>15160</v>
      </c>
      <c r="H233" s="56" t="s">
        <v>16279</v>
      </c>
      <c r="I233" s="60">
        <v>7970</v>
      </c>
      <c r="J233" s="57" t="s">
        <v>1285</v>
      </c>
      <c r="K233" s="57" t="s">
        <v>15162</v>
      </c>
      <c r="L233" s="57" t="s">
        <v>15163</v>
      </c>
      <c r="M233" s="61" t="s">
        <v>16388</v>
      </c>
      <c r="N233" s="62" t="s">
        <v>16389</v>
      </c>
      <c r="O233" s="57" t="s">
        <v>15165</v>
      </c>
      <c r="P233" s="57" t="s">
        <v>15166</v>
      </c>
      <c r="Q233" s="57" t="s">
        <v>16279</v>
      </c>
      <c r="R233" s="57" t="s">
        <v>16281</v>
      </c>
      <c r="S233" s="57" t="s">
        <v>15297</v>
      </c>
      <c r="T233" s="58"/>
      <c r="U233" s="57" t="s">
        <v>14184</v>
      </c>
      <c r="V233" s="56" t="s">
        <v>14153</v>
      </c>
      <c r="W233" s="58"/>
      <c r="X233" s="57" t="s">
        <v>16381</v>
      </c>
      <c r="Y233" s="57" t="s">
        <v>15170</v>
      </c>
      <c r="Z233" s="61" t="s">
        <v>16390</v>
      </c>
      <c r="AA233" s="61" t="s">
        <v>16388</v>
      </c>
      <c r="AB233" s="57" t="s">
        <v>15171</v>
      </c>
      <c r="AC233" s="57" t="s">
        <v>16391</v>
      </c>
      <c r="AD233" s="58"/>
      <c r="AE233" s="58"/>
      <c r="AF233" s="57" t="s">
        <v>15173</v>
      </c>
      <c r="AG233" s="58"/>
      <c r="AH233" s="58"/>
      <c r="AI233" s="57" t="s">
        <v>15173</v>
      </c>
      <c r="AJ233" s="58"/>
      <c r="AK233" s="56" t="s">
        <v>1285</v>
      </c>
      <c r="AL233" s="56" t="s">
        <v>16392</v>
      </c>
      <c r="AM233" s="58"/>
      <c r="AN233" s="56" t="s">
        <v>15598</v>
      </c>
      <c r="AO233" s="58"/>
      <c r="AP233" s="63">
        <v>45862.5372106481</v>
      </c>
      <c r="AQ233" s="56" t="s">
        <v>16393</v>
      </c>
      <c r="AR233" s="61" t="s">
        <v>14645</v>
      </c>
      <c r="AS233" s="57" t="s">
        <v>14184</v>
      </c>
      <c r="AT233" s="56" t="s">
        <v>15177</v>
      </c>
      <c r="AU233" s="56" t="s">
        <v>16394</v>
      </c>
      <c r="AV233" s="58"/>
      <c r="AW233" s="64">
        <v>45840.4213310185</v>
      </c>
      <c r="AX233" s="56" t="s">
        <v>16392</v>
      </c>
      <c r="AY233" s="56" t="s">
        <v>15179</v>
      </c>
      <c r="AZ233" s="58"/>
      <c r="BA233" s="58"/>
      <c r="BB233" s="58"/>
      <c r="BC233" s="58"/>
      <c r="BD233" s="56" t="s">
        <v>15276</v>
      </c>
      <c r="BE233" s="56" t="s">
        <v>16285</v>
      </c>
      <c r="BF233" s="56" t="s">
        <v>15181</v>
      </c>
      <c r="BG233" s="58"/>
      <c r="BH233" s="58"/>
      <c r="BI233" s="57" t="s">
        <v>2801</v>
      </c>
      <c r="BJ233" s="58"/>
      <c r="BK233" s="58"/>
      <c r="BL233" s="58"/>
      <c r="BM233" s="58"/>
      <c r="BN233" s="67">
        <v>7970</v>
      </c>
      <c r="BO233" s="58"/>
      <c r="BP233" s="56" t="s">
        <v>16395</v>
      </c>
      <c r="BQ233" s="58"/>
      <c r="BR233" s="58"/>
      <c r="BS233" s="58"/>
      <c r="BT233" s="56" t="s">
        <v>1285</v>
      </c>
      <c r="BU233" s="56" t="s">
        <v>16393</v>
      </c>
      <c r="BV233" s="58"/>
      <c r="BW233" s="58"/>
      <c r="BX233" s="67">
        <v>7970</v>
      </c>
      <c r="BY233" s="56" t="s">
        <v>1285</v>
      </c>
      <c r="BZ233" s="58"/>
      <c r="CA233" s="56" t="s">
        <v>15160</v>
      </c>
      <c r="CB233" s="56" t="s">
        <v>15183</v>
      </c>
      <c r="CC233" s="58"/>
      <c r="CD233" s="58"/>
    </row>
    <row r="234" ht="108" spans="1:82">
      <c r="A234" s="56" t="s">
        <v>16396</v>
      </c>
      <c r="B234" s="58"/>
      <c r="C234" s="57" t="s">
        <v>16397</v>
      </c>
      <c r="D234" s="58"/>
      <c r="E234" s="57" t="s">
        <v>15158</v>
      </c>
      <c r="F234" s="57" t="s">
        <v>16398</v>
      </c>
      <c r="G234" s="57" t="s">
        <v>15160</v>
      </c>
      <c r="H234" s="56" t="s">
        <v>4084</v>
      </c>
      <c r="I234" s="60">
        <v>4666.66</v>
      </c>
      <c r="J234" s="58"/>
      <c r="K234" s="58"/>
      <c r="L234" s="57" t="s">
        <v>14203</v>
      </c>
      <c r="M234" s="61" t="s">
        <v>16399</v>
      </c>
      <c r="N234" s="62" t="s">
        <v>16399</v>
      </c>
      <c r="O234" s="57" t="s">
        <v>15165</v>
      </c>
      <c r="P234" s="57" t="s">
        <v>15166</v>
      </c>
      <c r="Q234" s="57" t="s">
        <v>4084</v>
      </c>
      <c r="R234" s="57" t="s">
        <v>15544</v>
      </c>
      <c r="S234" s="57" t="s">
        <v>15545</v>
      </c>
      <c r="T234" s="57" t="s">
        <v>15190</v>
      </c>
      <c r="U234" s="57" t="s">
        <v>14184</v>
      </c>
      <c r="V234" s="56" t="s">
        <v>14153</v>
      </c>
      <c r="W234" s="58"/>
      <c r="X234" s="57" t="s">
        <v>16400</v>
      </c>
      <c r="Y234" s="58"/>
      <c r="Z234" s="61" t="s">
        <v>16380</v>
      </c>
      <c r="AA234" s="58"/>
      <c r="AB234" s="58"/>
      <c r="AC234" s="58"/>
      <c r="AD234" s="58"/>
      <c r="AE234" s="58"/>
      <c r="AF234" s="58"/>
      <c r="AG234" s="58"/>
      <c r="AH234" s="58"/>
      <c r="AI234" s="58"/>
      <c r="AJ234" s="58"/>
      <c r="AK234" s="58"/>
      <c r="AL234" s="58"/>
      <c r="AM234" s="58"/>
      <c r="AN234" s="58"/>
      <c r="AO234" s="58"/>
      <c r="AP234" s="63">
        <v>45866.6182060185</v>
      </c>
      <c r="AQ234" s="58"/>
      <c r="AR234" s="58"/>
      <c r="AS234" s="57" t="s">
        <v>14184</v>
      </c>
      <c r="AT234" s="56" t="s">
        <v>15177</v>
      </c>
      <c r="AU234" s="58"/>
      <c r="AV234" s="58"/>
      <c r="AW234" s="64">
        <v>45866.6073263889</v>
      </c>
      <c r="AX234" s="58"/>
      <c r="AY234" s="56" t="s">
        <v>15179</v>
      </c>
      <c r="AZ234" s="58"/>
      <c r="BA234" s="58"/>
      <c r="BB234" s="58"/>
      <c r="BC234" s="56" t="s">
        <v>3117</v>
      </c>
      <c r="BD234" s="56" t="s">
        <v>15551</v>
      </c>
      <c r="BE234" s="56" t="s">
        <v>2821</v>
      </c>
      <c r="BF234" s="56" t="s">
        <v>15181</v>
      </c>
      <c r="BG234" s="58"/>
      <c r="BH234" s="58"/>
      <c r="BI234" s="57" t="s">
        <v>2801</v>
      </c>
      <c r="BJ234" s="58"/>
      <c r="BK234" s="58"/>
      <c r="BL234" s="66">
        <v>3566735</v>
      </c>
      <c r="BM234" s="56" t="s">
        <v>16401</v>
      </c>
      <c r="BN234" s="67">
        <v>4666.66</v>
      </c>
      <c r="BO234" s="58"/>
      <c r="BP234" s="58"/>
      <c r="BQ234" s="58"/>
      <c r="BR234" s="56" t="s">
        <v>16402</v>
      </c>
      <c r="BS234" s="56" t="s">
        <v>1285</v>
      </c>
      <c r="BT234" s="58"/>
      <c r="BU234" s="58"/>
      <c r="BV234" s="58"/>
      <c r="BW234" s="58"/>
      <c r="BX234" s="67">
        <v>4666.66</v>
      </c>
      <c r="BY234" s="58"/>
      <c r="BZ234" s="58"/>
      <c r="CA234" s="58"/>
      <c r="CB234" s="58"/>
      <c r="CC234" s="58"/>
      <c r="CD234" s="58"/>
    </row>
    <row r="235" ht="108" spans="1:82">
      <c r="A235" s="56" t="s">
        <v>16403</v>
      </c>
      <c r="B235" s="58"/>
      <c r="C235" s="57" t="s">
        <v>16404</v>
      </c>
      <c r="D235" s="58"/>
      <c r="E235" s="57" t="s">
        <v>15158</v>
      </c>
      <c r="F235" s="57" t="s">
        <v>16405</v>
      </c>
      <c r="G235" s="57" t="s">
        <v>15160</v>
      </c>
      <c r="H235" s="56" t="s">
        <v>4043</v>
      </c>
      <c r="I235" s="60">
        <v>6810</v>
      </c>
      <c r="J235" s="58"/>
      <c r="K235" s="58"/>
      <c r="L235" s="57" t="s">
        <v>14203</v>
      </c>
      <c r="M235" s="61" t="s">
        <v>16406</v>
      </c>
      <c r="N235" s="62" t="s">
        <v>16406</v>
      </c>
      <c r="O235" s="57" t="s">
        <v>15165</v>
      </c>
      <c r="P235" s="57" t="s">
        <v>15166</v>
      </c>
      <c r="Q235" s="57" t="s">
        <v>4043</v>
      </c>
      <c r="R235" s="57" t="s">
        <v>15492</v>
      </c>
      <c r="S235" s="57" t="s">
        <v>15493</v>
      </c>
      <c r="T235" s="57" t="s">
        <v>15190</v>
      </c>
      <c r="U235" s="57" t="s">
        <v>14184</v>
      </c>
      <c r="V235" s="56" t="s">
        <v>14153</v>
      </c>
      <c r="W235" s="58"/>
      <c r="X235" s="57" t="s">
        <v>16407</v>
      </c>
      <c r="Y235" s="58"/>
      <c r="Z235" s="61" t="s">
        <v>16380</v>
      </c>
      <c r="AA235" s="58"/>
      <c r="AB235" s="58"/>
      <c r="AC235" s="58"/>
      <c r="AD235" s="58"/>
      <c r="AE235" s="58"/>
      <c r="AF235" s="58"/>
      <c r="AG235" s="58"/>
      <c r="AH235" s="58"/>
      <c r="AI235" s="58"/>
      <c r="AJ235" s="58"/>
      <c r="AK235" s="58"/>
      <c r="AL235" s="58"/>
      <c r="AM235" s="58"/>
      <c r="AN235" s="58"/>
      <c r="AO235" s="58"/>
      <c r="AP235" s="63">
        <v>45866.6475694444</v>
      </c>
      <c r="AQ235" s="58"/>
      <c r="AR235" s="58"/>
      <c r="AS235" s="57" t="s">
        <v>14184</v>
      </c>
      <c r="AT235" s="56" t="s">
        <v>15177</v>
      </c>
      <c r="AU235" s="58"/>
      <c r="AV235" s="58"/>
      <c r="AW235" s="64">
        <v>45866.6320949074</v>
      </c>
      <c r="AX235" s="58"/>
      <c r="AY235" s="56" t="s">
        <v>15179</v>
      </c>
      <c r="AZ235" s="58"/>
      <c r="BA235" s="58"/>
      <c r="BB235" s="58"/>
      <c r="BC235" s="56" t="s">
        <v>2918</v>
      </c>
      <c r="BD235" s="56" t="s">
        <v>15339</v>
      </c>
      <c r="BE235" s="56" t="s">
        <v>2867</v>
      </c>
      <c r="BF235" s="56" t="s">
        <v>15181</v>
      </c>
      <c r="BG235" s="58"/>
      <c r="BH235" s="58"/>
      <c r="BI235" s="57" t="s">
        <v>2801</v>
      </c>
      <c r="BJ235" s="58"/>
      <c r="BK235" s="58"/>
      <c r="BL235" s="66">
        <v>3496860</v>
      </c>
      <c r="BM235" s="56" t="s">
        <v>16408</v>
      </c>
      <c r="BN235" s="67">
        <v>6810</v>
      </c>
      <c r="BO235" s="58"/>
      <c r="BP235" s="58"/>
      <c r="BQ235" s="58"/>
      <c r="BR235" s="56" t="s">
        <v>16409</v>
      </c>
      <c r="BS235" s="56" t="s">
        <v>1285</v>
      </c>
      <c r="BT235" s="58"/>
      <c r="BU235" s="58"/>
      <c r="BV235" s="58"/>
      <c r="BW235" s="58"/>
      <c r="BX235" s="67">
        <v>6810</v>
      </c>
      <c r="BY235" s="58"/>
      <c r="BZ235" s="58"/>
      <c r="CA235" s="58"/>
      <c r="CB235" s="58"/>
      <c r="CC235" s="58"/>
      <c r="CD235" s="58"/>
    </row>
    <row r="236" ht="108" spans="1:82">
      <c r="A236" s="56" t="s">
        <v>16410</v>
      </c>
      <c r="B236" s="58"/>
      <c r="C236" s="57" t="s">
        <v>16411</v>
      </c>
      <c r="D236" s="58"/>
      <c r="E236" s="57" t="s">
        <v>15158</v>
      </c>
      <c r="F236" s="57" t="s">
        <v>16412</v>
      </c>
      <c r="G236" s="57" t="s">
        <v>15160</v>
      </c>
      <c r="H236" s="56" t="s">
        <v>4054</v>
      </c>
      <c r="I236" s="60">
        <v>5365.79</v>
      </c>
      <c r="J236" s="58"/>
      <c r="K236" s="58"/>
      <c r="L236" s="57" t="s">
        <v>14203</v>
      </c>
      <c r="M236" s="61" t="s">
        <v>16406</v>
      </c>
      <c r="N236" s="62" t="s">
        <v>16406</v>
      </c>
      <c r="O236" s="57" t="s">
        <v>15165</v>
      </c>
      <c r="P236" s="57" t="s">
        <v>15166</v>
      </c>
      <c r="Q236" s="57" t="s">
        <v>4054</v>
      </c>
      <c r="R236" s="57" t="s">
        <v>15530</v>
      </c>
      <c r="S236" s="57" t="s">
        <v>15531</v>
      </c>
      <c r="T236" s="57" t="s">
        <v>15190</v>
      </c>
      <c r="U236" s="57" t="s">
        <v>14184</v>
      </c>
      <c r="V236" s="56" t="s">
        <v>14153</v>
      </c>
      <c r="W236" s="58"/>
      <c r="X236" s="57" t="s">
        <v>16413</v>
      </c>
      <c r="Y236" s="58"/>
      <c r="Z236" s="61" t="s">
        <v>16380</v>
      </c>
      <c r="AA236" s="58"/>
      <c r="AB236" s="58"/>
      <c r="AC236" s="58"/>
      <c r="AD236" s="58"/>
      <c r="AE236" s="58"/>
      <c r="AF236" s="58"/>
      <c r="AG236" s="58"/>
      <c r="AH236" s="58"/>
      <c r="AI236" s="58"/>
      <c r="AJ236" s="58"/>
      <c r="AK236" s="58"/>
      <c r="AL236" s="58"/>
      <c r="AM236" s="58"/>
      <c r="AN236" s="58"/>
      <c r="AO236" s="58"/>
      <c r="AP236" s="63">
        <v>45866.6411921296</v>
      </c>
      <c r="AQ236" s="58"/>
      <c r="AR236" s="58"/>
      <c r="AS236" s="57" t="s">
        <v>14184</v>
      </c>
      <c r="AT236" s="56" t="s">
        <v>15177</v>
      </c>
      <c r="AU236" s="58"/>
      <c r="AV236" s="58"/>
      <c r="AW236" s="64">
        <v>45866.6325115741</v>
      </c>
      <c r="AX236" s="58"/>
      <c r="AY236" s="56" t="s">
        <v>15179</v>
      </c>
      <c r="AZ236" s="58"/>
      <c r="BA236" s="58"/>
      <c r="BB236" s="58"/>
      <c r="BC236" s="56" t="s">
        <v>2902</v>
      </c>
      <c r="BD236" s="56" t="s">
        <v>15353</v>
      </c>
      <c r="BE236" s="56" t="s">
        <v>2868</v>
      </c>
      <c r="BF236" s="56" t="s">
        <v>15181</v>
      </c>
      <c r="BG236" s="58"/>
      <c r="BH236" s="58"/>
      <c r="BI236" s="57" t="s">
        <v>2801</v>
      </c>
      <c r="BJ236" s="58"/>
      <c r="BK236" s="58"/>
      <c r="BL236" s="66">
        <v>3505693</v>
      </c>
      <c r="BM236" s="56" t="s">
        <v>16414</v>
      </c>
      <c r="BN236" s="67">
        <v>5365.79</v>
      </c>
      <c r="BO236" s="58"/>
      <c r="BP236" s="58"/>
      <c r="BQ236" s="58"/>
      <c r="BR236" s="56" t="s">
        <v>16415</v>
      </c>
      <c r="BS236" s="56" t="s">
        <v>1285</v>
      </c>
      <c r="BT236" s="58"/>
      <c r="BU236" s="58"/>
      <c r="BV236" s="58"/>
      <c r="BW236" s="58"/>
      <c r="BX236" s="67">
        <v>5365.79</v>
      </c>
      <c r="BY236" s="58"/>
      <c r="BZ236" s="58"/>
      <c r="CA236" s="58"/>
      <c r="CB236" s="58"/>
      <c r="CC236" s="58"/>
      <c r="CD236" s="58"/>
    </row>
    <row r="237" ht="108" spans="1:82">
      <c r="A237" s="56" t="s">
        <v>16416</v>
      </c>
      <c r="B237" s="58"/>
      <c r="C237" s="57" t="s">
        <v>16417</v>
      </c>
      <c r="D237" s="58"/>
      <c r="E237" s="57" t="s">
        <v>15158</v>
      </c>
      <c r="F237" s="57" t="s">
        <v>16418</v>
      </c>
      <c r="G237" s="57" t="s">
        <v>15160</v>
      </c>
      <c r="H237" s="56" t="s">
        <v>3898</v>
      </c>
      <c r="I237" s="60">
        <v>484468.13</v>
      </c>
      <c r="J237" s="57" t="s">
        <v>1285</v>
      </c>
      <c r="K237" s="57" t="s">
        <v>15162</v>
      </c>
      <c r="L237" s="57" t="s">
        <v>15163</v>
      </c>
      <c r="M237" s="61" t="s">
        <v>16390</v>
      </c>
      <c r="N237" s="62" t="s">
        <v>16056</v>
      </c>
      <c r="O237" s="57" t="s">
        <v>15165</v>
      </c>
      <c r="P237" s="57" t="s">
        <v>15166</v>
      </c>
      <c r="Q237" s="57" t="s">
        <v>3898</v>
      </c>
      <c r="R237" s="57" t="s">
        <v>15383</v>
      </c>
      <c r="S237" s="57" t="s">
        <v>15384</v>
      </c>
      <c r="T237" s="57" t="s">
        <v>15190</v>
      </c>
      <c r="U237" s="57" t="s">
        <v>14184</v>
      </c>
      <c r="V237" s="56" t="s">
        <v>14153</v>
      </c>
      <c r="W237" s="58"/>
      <c r="X237" s="57" t="s">
        <v>16419</v>
      </c>
      <c r="Y237" s="57" t="s">
        <v>15170</v>
      </c>
      <c r="Z237" s="61" t="s">
        <v>16389</v>
      </c>
      <c r="AA237" s="61" t="s">
        <v>16390</v>
      </c>
      <c r="AB237" s="58"/>
      <c r="AC237" s="57" t="s">
        <v>16391</v>
      </c>
      <c r="AD237" s="58"/>
      <c r="AE237" s="58"/>
      <c r="AF237" s="58"/>
      <c r="AG237" s="58"/>
      <c r="AH237" s="58"/>
      <c r="AI237" s="58"/>
      <c r="AJ237" s="58"/>
      <c r="AK237" s="56" t="s">
        <v>1285</v>
      </c>
      <c r="AL237" s="56" t="s">
        <v>16420</v>
      </c>
      <c r="AM237" s="58"/>
      <c r="AN237" s="56" t="s">
        <v>15573</v>
      </c>
      <c r="AO237" s="58"/>
      <c r="AP237" s="63">
        <v>45856.7903703704</v>
      </c>
      <c r="AQ237" s="56" t="s">
        <v>16421</v>
      </c>
      <c r="AR237" s="61" t="s">
        <v>14645</v>
      </c>
      <c r="AS237" s="57" t="s">
        <v>14184</v>
      </c>
      <c r="AT237" s="56" t="s">
        <v>15177</v>
      </c>
      <c r="AU237" s="56" t="s">
        <v>16422</v>
      </c>
      <c r="AV237" s="58"/>
      <c r="AW237" s="64">
        <v>45818.8591666667</v>
      </c>
      <c r="AX237" s="56" t="s">
        <v>16420</v>
      </c>
      <c r="AY237" s="56" t="s">
        <v>15179</v>
      </c>
      <c r="AZ237" s="58"/>
      <c r="BA237" s="58"/>
      <c r="BB237" s="58"/>
      <c r="BC237" s="56" t="s">
        <v>4143</v>
      </c>
      <c r="BD237" s="56" t="s">
        <v>15551</v>
      </c>
      <c r="BE237" s="56" t="s">
        <v>2816</v>
      </c>
      <c r="BF237" s="56" t="s">
        <v>15181</v>
      </c>
      <c r="BG237" s="58"/>
      <c r="BH237" s="58"/>
      <c r="BI237" s="57" t="s">
        <v>2801</v>
      </c>
      <c r="BJ237" s="58"/>
      <c r="BK237" s="58"/>
      <c r="BL237" s="66">
        <v>3497184</v>
      </c>
      <c r="BM237" s="56" t="s">
        <v>16423</v>
      </c>
      <c r="BN237" s="58"/>
      <c r="BO237" s="67">
        <v>484468.13</v>
      </c>
      <c r="BP237" s="56" t="s">
        <v>16395</v>
      </c>
      <c r="BQ237" s="58"/>
      <c r="BR237" s="56" t="s">
        <v>16424</v>
      </c>
      <c r="BS237" s="56" t="s">
        <v>1285</v>
      </c>
      <c r="BT237" s="58"/>
      <c r="BU237" s="56" t="s">
        <v>16421</v>
      </c>
      <c r="BV237" s="58"/>
      <c r="BW237" s="58"/>
      <c r="BX237" s="67">
        <v>484468.13</v>
      </c>
      <c r="BY237" s="56" t="s">
        <v>1285</v>
      </c>
      <c r="BZ237" s="58"/>
      <c r="CA237" s="58"/>
      <c r="CB237" s="58"/>
      <c r="CC237" s="58"/>
      <c r="CD237" s="58"/>
    </row>
    <row r="238" ht="108" spans="1:82">
      <c r="A238" s="56" t="s">
        <v>16425</v>
      </c>
      <c r="B238" s="58"/>
      <c r="C238" s="57" t="s">
        <v>16426</v>
      </c>
      <c r="D238" s="58"/>
      <c r="E238" s="57" t="s">
        <v>15158</v>
      </c>
      <c r="F238" s="57" t="s">
        <v>16427</v>
      </c>
      <c r="G238" s="57" t="s">
        <v>15160</v>
      </c>
      <c r="H238" s="56" t="s">
        <v>3898</v>
      </c>
      <c r="I238" s="60">
        <v>484468.13</v>
      </c>
      <c r="J238" s="57" t="s">
        <v>1285</v>
      </c>
      <c r="K238" s="57" t="s">
        <v>15162</v>
      </c>
      <c r="L238" s="57" t="s">
        <v>15163</v>
      </c>
      <c r="M238" s="61" t="s">
        <v>16390</v>
      </c>
      <c r="N238" s="62" t="s">
        <v>16280</v>
      </c>
      <c r="O238" s="57" t="s">
        <v>15165</v>
      </c>
      <c r="P238" s="57" t="s">
        <v>15166</v>
      </c>
      <c r="Q238" s="57" t="s">
        <v>3898</v>
      </c>
      <c r="R238" s="57" t="s">
        <v>15383</v>
      </c>
      <c r="S238" s="57" t="s">
        <v>15384</v>
      </c>
      <c r="T238" s="57" t="s">
        <v>15190</v>
      </c>
      <c r="U238" s="57" t="s">
        <v>14184</v>
      </c>
      <c r="V238" s="56" t="s">
        <v>14153</v>
      </c>
      <c r="W238" s="58"/>
      <c r="X238" s="57" t="s">
        <v>16428</v>
      </c>
      <c r="Y238" s="57" t="s">
        <v>15170</v>
      </c>
      <c r="Z238" s="61" t="s">
        <v>16389</v>
      </c>
      <c r="AA238" s="61" t="s">
        <v>16390</v>
      </c>
      <c r="AB238" s="58"/>
      <c r="AC238" s="57" t="s">
        <v>16391</v>
      </c>
      <c r="AD238" s="58"/>
      <c r="AE238" s="58"/>
      <c r="AF238" s="58"/>
      <c r="AG238" s="58"/>
      <c r="AH238" s="58"/>
      <c r="AI238" s="58"/>
      <c r="AJ238" s="58"/>
      <c r="AK238" s="56" t="s">
        <v>1285</v>
      </c>
      <c r="AL238" s="56" t="s">
        <v>16429</v>
      </c>
      <c r="AM238" s="58"/>
      <c r="AN238" s="56" t="s">
        <v>15586</v>
      </c>
      <c r="AO238" s="58"/>
      <c r="AP238" s="63">
        <v>45856.669212963</v>
      </c>
      <c r="AQ238" s="56" t="s">
        <v>16430</v>
      </c>
      <c r="AR238" s="61" t="s">
        <v>14645</v>
      </c>
      <c r="AS238" s="57" t="s">
        <v>14184</v>
      </c>
      <c r="AT238" s="56" t="s">
        <v>15177</v>
      </c>
      <c r="AU238" s="56" t="s">
        <v>16431</v>
      </c>
      <c r="AV238" s="58"/>
      <c r="AW238" s="64">
        <v>45812.4515046296</v>
      </c>
      <c r="AX238" s="56" t="s">
        <v>16429</v>
      </c>
      <c r="AY238" s="56" t="s">
        <v>15179</v>
      </c>
      <c r="AZ238" s="58"/>
      <c r="BA238" s="58"/>
      <c r="BB238" s="58"/>
      <c r="BC238" s="56" t="s">
        <v>4143</v>
      </c>
      <c r="BD238" s="56" t="s">
        <v>15551</v>
      </c>
      <c r="BE238" s="56" t="s">
        <v>2816</v>
      </c>
      <c r="BF238" s="56" t="s">
        <v>15181</v>
      </c>
      <c r="BG238" s="58"/>
      <c r="BH238" s="58"/>
      <c r="BI238" s="57" t="s">
        <v>2801</v>
      </c>
      <c r="BJ238" s="58"/>
      <c r="BK238" s="58"/>
      <c r="BL238" s="66">
        <v>3497184</v>
      </c>
      <c r="BM238" s="56" t="s">
        <v>16432</v>
      </c>
      <c r="BN238" s="58"/>
      <c r="BO238" s="67">
        <v>484468.13</v>
      </c>
      <c r="BP238" s="56" t="s">
        <v>16395</v>
      </c>
      <c r="BQ238" s="58"/>
      <c r="BR238" s="56" t="s">
        <v>16433</v>
      </c>
      <c r="BS238" s="56" t="s">
        <v>1285</v>
      </c>
      <c r="BT238" s="58"/>
      <c r="BU238" s="56" t="s">
        <v>16430</v>
      </c>
      <c r="BV238" s="58"/>
      <c r="BW238" s="58"/>
      <c r="BX238" s="67">
        <v>484468.13</v>
      </c>
      <c r="BY238" s="56" t="s">
        <v>1285</v>
      </c>
      <c r="BZ238" s="58"/>
      <c r="CA238" s="58"/>
      <c r="CB238" s="58"/>
      <c r="CC238" s="58"/>
      <c r="CD238" s="58"/>
    </row>
    <row r="239" ht="108" spans="1:82">
      <c r="A239" s="56" t="s">
        <v>16434</v>
      </c>
      <c r="B239" s="57" t="s">
        <v>15156</v>
      </c>
      <c r="C239" s="58"/>
      <c r="D239" s="57" t="s">
        <v>16435</v>
      </c>
      <c r="E239" s="57" t="s">
        <v>15158</v>
      </c>
      <c r="F239" s="57" t="s">
        <v>16436</v>
      </c>
      <c r="G239" s="57" t="s">
        <v>15160</v>
      </c>
      <c r="H239" s="56" t="s">
        <v>15772</v>
      </c>
      <c r="I239" s="60">
        <v>1400</v>
      </c>
      <c r="J239" s="57" t="s">
        <v>1285</v>
      </c>
      <c r="K239" s="57" t="s">
        <v>15162</v>
      </c>
      <c r="L239" s="57" t="s">
        <v>15163</v>
      </c>
      <c r="M239" s="61" t="s">
        <v>16437</v>
      </c>
      <c r="N239" s="62" t="s">
        <v>16438</v>
      </c>
      <c r="O239" s="57" t="s">
        <v>15165</v>
      </c>
      <c r="P239" s="57" t="s">
        <v>15166</v>
      </c>
      <c r="Q239" s="57" t="s">
        <v>15772</v>
      </c>
      <c r="R239" s="57" t="s">
        <v>15775</v>
      </c>
      <c r="S239" s="57" t="s">
        <v>15776</v>
      </c>
      <c r="T239" s="58"/>
      <c r="U239" s="57" t="s">
        <v>14184</v>
      </c>
      <c r="V239" s="56" t="s">
        <v>14153</v>
      </c>
      <c r="W239" s="58"/>
      <c r="X239" s="57" t="s">
        <v>16439</v>
      </c>
      <c r="Y239" s="57" t="s">
        <v>15443</v>
      </c>
      <c r="Z239" s="61" t="s">
        <v>14573</v>
      </c>
      <c r="AA239" s="61" t="s">
        <v>16437</v>
      </c>
      <c r="AB239" s="57" t="s">
        <v>15171</v>
      </c>
      <c r="AC239" s="57" t="s">
        <v>16391</v>
      </c>
      <c r="AD239" s="58"/>
      <c r="AE239" s="58"/>
      <c r="AF239" s="57" t="s">
        <v>15173</v>
      </c>
      <c r="AG239" s="58"/>
      <c r="AH239" s="58"/>
      <c r="AI239" s="57" t="s">
        <v>15173</v>
      </c>
      <c r="AJ239" s="58"/>
      <c r="AK239" s="56" t="s">
        <v>1285</v>
      </c>
      <c r="AL239" s="56" t="s">
        <v>16440</v>
      </c>
      <c r="AM239" s="58"/>
      <c r="AN239" s="56" t="s">
        <v>15467</v>
      </c>
      <c r="AO239" s="58"/>
      <c r="AP239" s="63">
        <v>45854.7876157407</v>
      </c>
      <c r="AQ239" s="56" t="s">
        <v>16441</v>
      </c>
      <c r="AR239" s="61" t="s">
        <v>14645</v>
      </c>
      <c r="AS239" s="57" t="s">
        <v>14184</v>
      </c>
      <c r="AT239" s="56" t="s">
        <v>15177</v>
      </c>
      <c r="AU239" s="56" t="s">
        <v>16442</v>
      </c>
      <c r="AV239" s="58"/>
      <c r="AW239" s="64">
        <v>45841.7574189815</v>
      </c>
      <c r="AX239" s="56" t="s">
        <v>16440</v>
      </c>
      <c r="AY239" s="56" t="s">
        <v>15179</v>
      </c>
      <c r="AZ239" s="58"/>
      <c r="BA239" s="58"/>
      <c r="BB239" s="58"/>
      <c r="BC239" s="58"/>
      <c r="BD239" s="56" t="s">
        <v>15276</v>
      </c>
      <c r="BE239" s="56" t="s">
        <v>15780</v>
      </c>
      <c r="BF239" s="56" t="s">
        <v>15181</v>
      </c>
      <c r="BG239" s="58"/>
      <c r="BH239" s="58"/>
      <c r="BI239" s="57" t="s">
        <v>2801</v>
      </c>
      <c r="BJ239" s="58"/>
      <c r="BK239" s="58"/>
      <c r="BL239" s="58"/>
      <c r="BM239" s="58"/>
      <c r="BN239" s="67">
        <v>1400</v>
      </c>
      <c r="BO239" s="58"/>
      <c r="BP239" s="56" t="s">
        <v>16395</v>
      </c>
      <c r="BQ239" s="58"/>
      <c r="BR239" s="58"/>
      <c r="BS239" s="58"/>
      <c r="BT239" s="58"/>
      <c r="BU239" s="56" t="s">
        <v>16441</v>
      </c>
      <c r="BV239" s="58"/>
      <c r="BW239" s="58"/>
      <c r="BX239" s="67">
        <v>1400</v>
      </c>
      <c r="BY239" s="56" t="s">
        <v>1285</v>
      </c>
      <c r="BZ239" s="58"/>
      <c r="CA239" s="56" t="s">
        <v>15160</v>
      </c>
      <c r="CB239" s="56" t="s">
        <v>15183</v>
      </c>
      <c r="CC239" s="58"/>
      <c r="CD239" s="58"/>
    </row>
    <row r="240" ht="108" spans="1:82">
      <c r="A240" s="56" t="s">
        <v>16443</v>
      </c>
      <c r="B240" s="57" t="s">
        <v>15156</v>
      </c>
      <c r="C240" s="58"/>
      <c r="D240" s="57" t="s">
        <v>16444</v>
      </c>
      <c r="E240" s="57" t="s">
        <v>15158</v>
      </c>
      <c r="F240" s="57" t="s">
        <v>16445</v>
      </c>
      <c r="G240" s="57" t="s">
        <v>15160</v>
      </c>
      <c r="H240" s="56" t="s">
        <v>15295</v>
      </c>
      <c r="I240" s="60">
        <v>31358</v>
      </c>
      <c r="J240" s="57" t="s">
        <v>1285</v>
      </c>
      <c r="K240" s="57" t="s">
        <v>15162</v>
      </c>
      <c r="L240" s="57" t="s">
        <v>15163</v>
      </c>
      <c r="M240" s="61" t="s">
        <v>16437</v>
      </c>
      <c r="N240" s="62" t="s">
        <v>16438</v>
      </c>
      <c r="O240" s="57" t="s">
        <v>15165</v>
      </c>
      <c r="P240" s="57" t="s">
        <v>15166</v>
      </c>
      <c r="Q240" s="57" t="s">
        <v>15295</v>
      </c>
      <c r="R240" s="57" t="s">
        <v>15296</v>
      </c>
      <c r="S240" s="57" t="s">
        <v>15297</v>
      </c>
      <c r="T240" s="58"/>
      <c r="U240" s="57" t="s">
        <v>14184</v>
      </c>
      <c r="V240" s="56" t="s">
        <v>14153</v>
      </c>
      <c r="W240" s="58"/>
      <c r="X240" s="57" t="s">
        <v>16439</v>
      </c>
      <c r="Y240" s="57" t="s">
        <v>15443</v>
      </c>
      <c r="Z240" s="61" t="s">
        <v>14573</v>
      </c>
      <c r="AA240" s="61" t="s">
        <v>16437</v>
      </c>
      <c r="AB240" s="57" t="s">
        <v>15171</v>
      </c>
      <c r="AC240" s="57" t="s">
        <v>16391</v>
      </c>
      <c r="AD240" s="58"/>
      <c r="AE240" s="58"/>
      <c r="AF240" s="57" t="s">
        <v>15173</v>
      </c>
      <c r="AG240" s="58"/>
      <c r="AH240" s="58"/>
      <c r="AI240" s="57" t="s">
        <v>15173</v>
      </c>
      <c r="AJ240" s="58"/>
      <c r="AK240" s="56" t="s">
        <v>1285</v>
      </c>
      <c r="AL240" s="56" t="s">
        <v>16446</v>
      </c>
      <c r="AM240" s="58"/>
      <c r="AN240" s="56" t="s">
        <v>15677</v>
      </c>
      <c r="AO240" s="58"/>
      <c r="AP240" s="63">
        <v>45854.7871296296</v>
      </c>
      <c r="AQ240" s="56" t="s">
        <v>16447</v>
      </c>
      <c r="AR240" s="61" t="s">
        <v>14645</v>
      </c>
      <c r="AS240" s="57" t="s">
        <v>14184</v>
      </c>
      <c r="AT240" s="56" t="s">
        <v>15177</v>
      </c>
      <c r="AU240" s="56" t="s">
        <v>16448</v>
      </c>
      <c r="AV240" s="58"/>
      <c r="AW240" s="64">
        <v>45841.7546527778</v>
      </c>
      <c r="AX240" s="56" t="s">
        <v>16446</v>
      </c>
      <c r="AY240" s="56" t="s">
        <v>15179</v>
      </c>
      <c r="AZ240" s="58"/>
      <c r="BA240" s="58"/>
      <c r="BB240" s="58"/>
      <c r="BC240" s="58"/>
      <c r="BD240" s="56" t="s">
        <v>15276</v>
      </c>
      <c r="BE240" s="56" t="s">
        <v>15303</v>
      </c>
      <c r="BF240" s="56" t="s">
        <v>15181</v>
      </c>
      <c r="BG240" s="58"/>
      <c r="BH240" s="58"/>
      <c r="BI240" s="57" t="s">
        <v>2801</v>
      </c>
      <c r="BJ240" s="58"/>
      <c r="BK240" s="58"/>
      <c r="BL240" s="58"/>
      <c r="BM240" s="58"/>
      <c r="BN240" s="67">
        <v>31358</v>
      </c>
      <c r="BO240" s="58"/>
      <c r="BP240" s="56" t="s">
        <v>16395</v>
      </c>
      <c r="BQ240" s="58"/>
      <c r="BR240" s="58"/>
      <c r="BS240" s="58"/>
      <c r="BT240" s="58"/>
      <c r="BU240" s="56" t="s">
        <v>16447</v>
      </c>
      <c r="BV240" s="58"/>
      <c r="BW240" s="58"/>
      <c r="BX240" s="67">
        <v>31358</v>
      </c>
      <c r="BY240" s="56" t="s">
        <v>1285</v>
      </c>
      <c r="BZ240" s="58"/>
      <c r="CA240" s="56" t="s">
        <v>15160</v>
      </c>
      <c r="CB240" s="56" t="s">
        <v>15183</v>
      </c>
      <c r="CC240" s="58"/>
      <c r="CD240" s="58"/>
    </row>
    <row r="241" ht="108" spans="1:82">
      <c r="A241" s="56" t="s">
        <v>16449</v>
      </c>
      <c r="B241" s="57" t="s">
        <v>15156</v>
      </c>
      <c r="C241" s="58"/>
      <c r="D241" s="57" t="s">
        <v>16450</v>
      </c>
      <c r="E241" s="57" t="s">
        <v>15158</v>
      </c>
      <c r="F241" s="57" t="s">
        <v>16451</v>
      </c>
      <c r="G241" s="57" t="s">
        <v>15160</v>
      </c>
      <c r="H241" s="56" t="s">
        <v>15319</v>
      </c>
      <c r="I241" s="60">
        <v>1800</v>
      </c>
      <c r="J241" s="57" t="s">
        <v>1285</v>
      </c>
      <c r="K241" s="57" t="s">
        <v>15162</v>
      </c>
      <c r="L241" s="57" t="s">
        <v>15163</v>
      </c>
      <c r="M241" s="61" t="s">
        <v>16437</v>
      </c>
      <c r="N241" s="62" t="s">
        <v>16438</v>
      </c>
      <c r="O241" s="57" t="s">
        <v>15165</v>
      </c>
      <c r="P241" s="57" t="s">
        <v>15166</v>
      </c>
      <c r="Q241" s="57" t="s">
        <v>15319</v>
      </c>
      <c r="R241" s="57" t="s">
        <v>15321</v>
      </c>
      <c r="S241" s="57" t="s">
        <v>15322</v>
      </c>
      <c r="T241" s="58"/>
      <c r="U241" s="57" t="s">
        <v>14184</v>
      </c>
      <c r="V241" s="56" t="s">
        <v>14153</v>
      </c>
      <c r="W241" s="58"/>
      <c r="X241" s="57" t="s">
        <v>16439</v>
      </c>
      <c r="Y241" s="57" t="s">
        <v>15443</v>
      </c>
      <c r="Z241" s="61" t="s">
        <v>14573</v>
      </c>
      <c r="AA241" s="61" t="s">
        <v>16437</v>
      </c>
      <c r="AB241" s="57" t="s">
        <v>15171</v>
      </c>
      <c r="AC241" s="57" t="s">
        <v>16391</v>
      </c>
      <c r="AD241" s="58"/>
      <c r="AE241" s="58"/>
      <c r="AF241" s="57" t="s">
        <v>15173</v>
      </c>
      <c r="AG241" s="58"/>
      <c r="AH241" s="58"/>
      <c r="AI241" s="57" t="s">
        <v>15173</v>
      </c>
      <c r="AJ241" s="58"/>
      <c r="AK241" s="56" t="s">
        <v>1285</v>
      </c>
      <c r="AL241" s="56" t="s">
        <v>16452</v>
      </c>
      <c r="AM241" s="58"/>
      <c r="AN241" s="56" t="s">
        <v>15507</v>
      </c>
      <c r="AO241" s="58"/>
      <c r="AP241" s="63">
        <v>45854.7911111111</v>
      </c>
      <c r="AQ241" s="56" t="s">
        <v>16453</v>
      </c>
      <c r="AR241" s="61" t="s">
        <v>14645</v>
      </c>
      <c r="AS241" s="57" t="s">
        <v>14184</v>
      </c>
      <c r="AT241" s="56" t="s">
        <v>15177</v>
      </c>
      <c r="AU241" s="56" t="s">
        <v>16454</v>
      </c>
      <c r="AV241" s="58"/>
      <c r="AW241" s="64">
        <v>45841.7533217593</v>
      </c>
      <c r="AX241" s="56" t="s">
        <v>16452</v>
      </c>
      <c r="AY241" s="56" t="s">
        <v>15179</v>
      </c>
      <c r="AZ241" s="58"/>
      <c r="BA241" s="58"/>
      <c r="BB241" s="58"/>
      <c r="BC241" s="58"/>
      <c r="BD241" s="56" t="s">
        <v>15276</v>
      </c>
      <c r="BE241" s="56" t="s">
        <v>15327</v>
      </c>
      <c r="BF241" s="56" t="s">
        <v>15181</v>
      </c>
      <c r="BG241" s="58"/>
      <c r="BH241" s="58"/>
      <c r="BI241" s="57" t="s">
        <v>2801</v>
      </c>
      <c r="BJ241" s="58"/>
      <c r="BK241" s="58"/>
      <c r="BL241" s="58"/>
      <c r="BM241" s="58"/>
      <c r="BN241" s="67">
        <v>1800</v>
      </c>
      <c r="BO241" s="58"/>
      <c r="BP241" s="56" t="s">
        <v>16395</v>
      </c>
      <c r="BQ241" s="58"/>
      <c r="BR241" s="58"/>
      <c r="BS241" s="58"/>
      <c r="BT241" s="58"/>
      <c r="BU241" s="56" t="s">
        <v>16453</v>
      </c>
      <c r="BV241" s="58"/>
      <c r="BW241" s="58"/>
      <c r="BX241" s="67">
        <v>1800</v>
      </c>
      <c r="BY241" s="56" t="s">
        <v>1285</v>
      </c>
      <c r="BZ241" s="58"/>
      <c r="CA241" s="56" t="s">
        <v>15160</v>
      </c>
      <c r="CB241" s="56" t="s">
        <v>15183</v>
      </c>
      <c r="CC241" s="58"/>
      <c r="CD241" s="58"/>
    </row>
    <row r="242" ht="108" spans="1:82">
      <c r="A242" s="56" t="s">
        <v>16455</v>
      </c>
      <c r="B242" s="58"/>
      <c r="C242" s="57" t="s">
        <v>16456</v>
      </c>
      <c r="D242" s="58"/>
      <c r="E242" s="57" t="s">
        <v>15158</v>
      </c>
      <c r="F242" s="57" t="s">
        <v>16457</v>
      </c>
      <c r="G242" s="57" t="s">
        <v>15160</v>
      </c>
      <c r="H242" s="56" t="s">
        <v>3898</v>
      </c>
      <c r="I242" s="60">
        <v>484468.13</v>
      </c>
      <c r="J242" s="57" t="s">
        <v>1285</v>
      </c>
      <c r="K242" s="57" t="s">
        <v>15162</v>
      </c>
      <c r="L242" s="57" t="s">
        <v>15163</v>
      </c>
      <c r="M242" s="61" t="s">
        <v>16437</v>
      </c>
      <c r="N242" s="62" t="s">
        <v>16280</v>
      </c>
      <c r="O242" s="57" t="s">
        <v>15165</v>
      </c>
      <c r="P242" s="57" t="s">
        <v>15166</v>
      </c>
      <c r="Q242" s="57" t="s">
        <v>3898</v>
      </c>
      <c r="R242" s="57" t="s">
        <v>15383</v>
      </c>
      <c r="S242" s="57" t="s">
        <v>15384</v>
      </c>
      <c r="T242" s="57" t="s">
        <v>15190</v>
      </c>
      <c r="U242" s="57" t="s">
        <v>14184</v>
      </c>
      <c r="V242" s="56" t="s">
        <v>14153</v>
      </c>
      <c r="W242" s="58"/>
      <c r="X242" s="57" t="s">
        <v>16458</v>
      </c>
      <c r="Y242" s="57" t="s">
        <v>15170</v>
      </c>
      <c r="Z242" s="61" t="s">
        <v>16389</v>
      </c>
      <c r="AA242" s="61" t="s">
        <v>16437</v>
      </c>
      <c r="AB242" s="58"/>
      <c r="AC242" s="57" t="s">
        <v>16391</v>
      </c>
      <c r="AD242" s="58"/>
      <c r="AE242" s="58"/>
      <c r="AF242" s="58"/>
      <c r="AG242" s="58"/>
      <c r="AH242" s="58"/>
      <c r="AI242" s="58"/>
      <c r="AJ242" s="58"/>
      <c r="AK242" s="56" t="s">
        <v>1285</v>
      </c>
      <c r="AL242" s="56" t="s">
        <v>16459</v>
      </c>
      <c r="AM242" s="58"/>
      <c r="AN242" s="56" t="s">
        <v>15663</v>
      </c>
      <c r="AO242" s="58"/>
      <c r="AP242" s="63">
        <v>45854.9129282407</v>
      </c>
      <c r="AQ242" s="56" t="s">
        <v>16460</v>
      </c>
      <c r="AR242" s="61" t="s">
        <v>14645</v>
      </c>
      <c r="AS242" s="57" t="s">
        <v>14184</v>
      </c>
      <c r="AT242" s="56" t="s">
        <v>15177</v>
      </c>
      <c r="AU242" s="56" t="s">
        <v>16461</v>
      </c>
      <c r="AV242" s="58"/>
      <c r="AW242" s="64">
        <v>45812.4515972222</v>
      </c>
      <c r="AX242" s="56" t="s">
        <v>16459</v>
      </c>
      <c r="AY242" s="56" t="s">
        <v>15179</v>
      </c>
      <c r="AZ242" s="58"/>
      <c r="BA242" s="58"/>
      <c r="BB242" s="58"/>
      <c r="BC242" s="56" t="s">
        <v>4143</v>
      </c>
      <c r="BD242" s="56" t="s">
        <v>15551</v>
      </c>
      <c r="BE242" s="56" t="s">
        <v>2816</v>
      </c>
      <c r="BF242" s="56" t="s">
        <v>15181</v>
      </c>
      <c r="BG242" s="58"/>
      <c r="BH242" s="58"/>
      <c r="BI242" s="57" t="s">
        <v>2801</v>
      </c>
      <c r="BJ242" s="58"/>
      <c r="BK242" s="58"/>
      <c r="BL242" s="66">
        <v>3497184</v>
      </c>
      <c r="BM242" s="56" t="s">
        <v>16462</v>
      </c>
      <c r="BN242" s="58"/>
      <c r="BO242" s="67">
        <v>484468.13</v>
      </c>
      <c r="BP242" s="56" t="s">
        <v>16395</v>
      </c>
      <c r="BQ242" s="58"/>
      <c r="BR242" s="56" t="s">
        <v>16463</v>
      </c>
      <c r="BS242" s="56" t="s">
        <v>1285</v>
      </c>
      <c r="BT242" s="58"/>
      <c r="BU242" s="56" t="s">
        <v>16460</v>
      </c>
      <c r="BV242" s="58"/>
      <c r="BW242" s="58"/>
      <c r="BX242" s="67">
        <v>484468.13</v>
      </c>
      <c r="BY242" s="56" t="s">
        <v>1285</v>
      </c>
      <c r="BZ242" s="58"/>
      <c r="CA242" s="58"/>
      <c r="CB242" s="58"/>
      <c r="CC242" s="58"/>
      <c r="CD242" s="58"/>
    </row>
    <row r="243" ht="108" spans="1:82">
      <c r="A243" s="56" t="s">
        <v>16464</v>
      </c>
      <c r="B243" s="58"/>
      <c r="C243" s="57" t="s">
        <v>16465</v>
      </c>
      <c r="D243" s="58"/>
      <c r="E243" s="57" t="s">
        <v>15158</v>
      </c>
      <c r="F243" s="57" t="s">
        <v>16466</v>
      </c>
      <c r="G243" s="57" t="s">
        <v>15160</v>
      </c>
      <c r="H243" s="56" t="s">
        <v>2938</v>
      </c>
      <c r="I243" s="60">
        <v>65014</v>
      </c>
      <c r="J243" s="57" t="s">
        <v>1285</v>
      </c>
      <c r="K243" s="57" t="s">
        <v>15162</v>
      </c>
      <c r="L243" s="57" t="s">
        <v>15163</v>
      </c>
      <c r="M243" s="61" t="s">
        <v>16437</v>
      </c>
      <c r="N243" s="62" t="s">
        <v>14457</v>
      </c>
      <c r="O243" s="57" t="s">
        <v>15165</v>
      </c>
      <c r="P243" s="57" t="s">
        <v>15166</v>
      </c>
      <c r="Q243" s="57" t="s">
        <v>2938</v>
      </c>
      <c r="R243" s="57" t="s">
        <v>15696</v>
      </c>
      <c r="S243" s="57" t="s">
        <v>15697</v>
      </c>
      <c r="T243" s="57" t="s">
        <v>15190</v>
      </c>
      <c r="U243" s="57" t="s">
        <v>14184</v>
      </c>
      <c r="V243" s="56" t="s">
        <v>14153</v>
      </c>
      <c r="W243" s="58"/>
      <c r="X243" s="57" t="s">
        <v>16467</v>
      </c>
      <c r="Y243" s="57" t="s">
        <v>15170</v>
      </c>
      <c r="Z243" s="61" t="s">
        <v>16389</v>
      </c>
      <c r="AA243" s="61" t="s">
        <v>16437</v>
      </c>
      <c r="AB243" s="58"/>
      <c r="AC243" s="57" t="s">
        <v>16391</v>
      </c>
      <c r="AD243" s="58"/>
      <c r="AE243" s="58"/>
      <c r="AF243" s="58"/>
      <c r="AG243" s="58"/>
      <c r="AH243" s="58"/>
      <c r="AI243" s="58"/>
      <c r="AJ243" s="58"/>
      <c r="AK243" s="56" t="s">
        <v>1285</v>
      </c>
      <c r="AL243" s="56" t="s">
        <v>16468</v>
      </c>
      <c r="AM243" s="58"/>
      <c r="AN243" s="56" t="s">
        <v>15496</v>
      </c>
      <c r="AO243" s="58"/>
      <c r="AP243" s="63">
        <v>45854.789849537</v>
      </c>
      <c r="AQ243" s="56" t="s">
        <v>16469</v>
      </c>
      <c r="AR243" s="61" t="s">
        <v>14645</v>
      </c>
      <c r="AS243" s="57" t="s">
        <v>14184</v>
      </c>
      <c r="AT243" s="56" t="s">
        <v>15177</v>
      </c>
      <c r="AU243" s="56" t="s">
        <v>16470</v>
      </c>
      <c r="AV243" s="58"/>
      <c r="AW243" s="64">
        <v>45792.5974074074</v>
      </c>
      <c r="AX243" s="56" t="s">
        <v>16468</v>
      </c>
      <c r="AY243" s="56" t="s">
        <v>15179</v>
      </c>
      <c r="AZ243" s="58"/>
      <c r="BA243" s="58"/>
      <c r="BB243" s="58"/>
      <c r="BC243" s="56" t="s">
        <v>15213</v>
      </c>
      <c r="BD243" s="56" t="s">
        <v>15197</v>
      </c>
      <c r="BE243" s="58"/>
      <c r="BF243" s="56" t="s">
        <v>15181</v>
      </c>
      <c r="BG243" s="58"/>
      <c r="BH243" s="58"/>
      <c r="BI243" s="57" t="s">
        <v>2801</v>
      </c>
      <c r="BJ243" s="58"/>
      <c r="BK243" s="58"/>
      <c r="BL243" s="66">
        <v>3531802</v>
      </c>
      <c r="BM243" s="56" t="s">
        <v>16471</v>
      </c>
      <c r="BN243" s="58"/>
      <c r="BO243" s="67">
        <v>28084</v>
      </c>
      <c r="BP243" s="56" t="s">
        <v>16395</v>
      </c>
      <c r="BQ243" s="58"/>
      <c r="BR243" s="56" t="s">
        <v>16472</v>
      </c>
      <c r="BS243" s="56" t="s">
        <v>1285</v>
      </c>
      <c r="BT243" s="58"/>
      <c r="BU243" s="56" t="s">
        <v>16469</v>
      </c>
      <c r="BV243" s="58"/>
      <c r="BW243" s="58"/>
      <c r="BX243" s="67">
        <v>28084</v>
      </c>
      <c r="BY243" s="58"/>
      <c r="BZ243" s="58"/>
      <c r="CA243" s="58"/>
      <c r="CB243" s="58"/>
      <c r="CC243" s="58"/>
      <c r="CD243" s="58"/>
    </row>
    <row r="244" ht="108" spans="1:82">
      <c r="A244" s="56" t="s">
        <v>16473</v>
      </c>
      <c r="B244" s="58"/>
      <c r="C244" s="57" t="s">
        <v>16465</v>
      </c>
      <c r="D244" s="58"/>
      <c r="E244" s="57" t="s">
        <v>15158</v>
      </c>
      <c r="F244" s="57" t="s">
        <v>16466</v>
      </c>
      <c r="G244" s="57" t="s">
        <v>15160</v>
      </c>
      <c r="H244" s="56" t="s">
        <v>2938</v>
      </c>
      <c r="I244" s="60">
        <v>65014</v>
      </c>
      <c r="J244" s="57" t="s">
        <v>1285</v>
      </c>
      <c r="K244" s="57" t="s">
        <v>15162</v>
      </c>
      <c r="L244" s="57" t="s">
        <v>15163</v>
      </c>
      <c r="M244" s="61" t="s">
        <v>16437</v>
      </c>
      <c r="N244" s="62" t="s">
        <v>14457</v>
      </c>
      <c r="O244" s="57" t="s">
        <v>15165</v>
      </c>
      <c r="P244" s="57" t="s">
        <v>15166</v>
      </c>
      <c r="Q244" s="57" t="s">
        <v>2938</v>
      </c>
      <c r="R244" s="57" t="s">
        <v>15696</v>
      </c>
      <c r="S244" s="57" t="s">
        <v>15697</v>
      </c>
      <c r="T244" s="57" t="s">
        <v>15190</v>
      </c>
      <c r="U244" s="57" t="s">
        <v>14184</v>
      </c>
      <c r="V244" s="56" t="s">
        <v>14153</v>
      </c>
      <c r="W244" s="58"/>
      <c r="X244" s="57" t="s">
        <v>16467</v>
      </c>
      <c r="Y244" s="57" t="s">
        <v>15170</v>
      </c>
      <c r="Z244" s="61" t="s">
        <v>16389</v>
      </c>
      <c r="AA244" s="61" t="s">
        <v>16437</v>
      </c>
      <c r="AB244" s="58"/>
      <c r="AC244" s="57" t="s">
        <v>16391</v>
      </c>
      <c r="AD244" s="58"/>
      <c r="AE244" s="58"/>
      <c r="AF244" s="58"/>
      <c r="AG244" s="58"/>
      <c r="AH244" s="58"/>
      <c r="AI244" s="58"/>
      <c r="AJ244" s="58"/>
      <c r="AK244" s="56" t="s">
        <v>1285</v>
      </c>
      <c r="AL244" s="56" t="s">
        <v>16468</v>
      </c>
      <c r="AM244" s="58"/>
      <c r="AN244" s="56" t="s">
        <v>15496</v>
      </c>
      <c r="AO244" s="58"/>
      <c r="AP244" s="63">
        <v>45854.789849537</v>
      </c>
      <c r="AQ244" s="56" t="s">
        <v>16469</v>
      </c>
      <c r="AR244" s="61" t="s">
        <v>14645</v>
      </c>
      <c r="AS244" s="57" t="s">
        <v>14184</v>
      </c>
      <c r="AT244" s="56" t="s">
        <v>15177</v>
      </c>
      <c r="AU244" s="56" t="s">
        <v>16470</v>
      </c>
      <c r="AV244" s="58"/>
      <c r="AW244" s="64">
        <v>45792.5974074074</v>
      </c>
      <c r="AX244" s="56" t="s">
        <v>16468</v>
      </c>
      <c r="AY244" s="56" t="s">
        <v>15179</v>
      </c>
      <c r="AZ244" s="58"/>
      <c r="BA244" s="58"/>
      <c r="BB244" s="58"/>
      <c r="BC244" s="56" t="s">
        <v>15861</v>
      </c>
      <c r="BD244" s="56" t="s">
        <v>15197</v>
      </c>
      <c r="BE244" s="58"/>
      <c r="BF244" s="56" t="s">
        <v>15181</v>
      </c>
      <c r="BG244" s="58"/>
      <c r="BH244" s="58"/>
      <c r="BI244" s="57" t="s">
        <v>2801</v>
      </c>
      <c r="BJ244" s="58"/>
      <c r="BK244" s="58"/>
      <c r="BL244" s="66">
        <v>3531803</v>
      </c>
      <c r="BM244" s="56" t="s">
        <v>16471</v>
      </c>
      <c r="BN244" s="58"/>
      <c r="BO244" s="67">
        <v>1372</v>
      </c>
      <c r="BP244" s="56" t="s">
        <v>16395</v>
      </c>
      <c r="BQ244" s="58"/>
      <c r="BR244" s="56" t="s">
        <v>16472</v>
      </c>
      <c r="BS244" s="56" t="s">
        <v>1285</v>
      </c>
      <c r="BT244" s="58"/>
      <c r="BU244" s="56" t="s">
        <v>16469</v>
      </c>
      <c r="BV244" s="58"/>
      <c r="BW244" s="58"/>
      <c r="BX244" s="67">
        <v>1372</v>
      </c>
      <c r="BY244" s="58"/>
      <c r="BZ244" s="58"/>
      <c r="CA244" s="58"/>
      <c r="CB244" s="58"/>
      <c r="CC244" s="58"/>
      <c r="CD244" s="58"/>
    </row>
    <row r="245" ht="108" spans="1:82">
      <c r="A245" s="56" t="s">
        <v>16474</v>
      </c>
      <c r="B245" s="58"/>
      <c r="C245" s="57" t="s">
        <v>16465</v>
      </c>
      <c r="D245" s="58"/>
      <c r="E245" s="57" t="s">
        <v>15158</v>
      </c>
      <c r="F245" s="57" t="s">
        <v>16466</v>
      </c>
      <c r="G245" s="57" t="s">
        <v>15160</v>
      </c>
      <c r="H245" s="56" t="s">
        <v>2938</v>
      </c>
      <c r="I245" s="60">
        <v>65014</v>
      </c>
      <c r="J245" s="57" t="s">
        <v>1285</v>
      </c>
      <c r="K245" s="57" t="s">
        <v>15162</v>
      </c>
      <c r="L245" s="57" t="s">
        <v>15163</v>
      </c>
      <c r="M245" s="61" t="s">
        <v>16437</v>
      </c>
      <c r="N245" s="62" t="s">
        <v>14457</v>
      </c>
      <c r="O245" s="57" t="s">
        <v>15165</v>
      </c>
      <c r="P245" s="57" t="s">
        <v>15166</v>
      </c>
      <c r="Q245" s="57" t="s">
        <v>2938</v>
      </c>
      <c r="R245" s="57" t="s">
        <v>15696</v>
      </c>
      <c r="S245" s="57" t="s">
        <v>15697</v>
      </c>
      <c r="T245" s="57" t="s">
        <v>15190</v>
      </c>
      <c r="U245" s="57" t="s">
        <v>14184</v>
      </c>
      <c r="V245" s="56" t="s">
        <v>14153</v>
      </c>
      <c r="W245" s="58"/>
      <c r="X245" s="57" t="s">
        <v>16467</v>
      </c>
      <c r="Y245" s="57" t="s">
        <v>15170</v>
      </c>
      <c r="Z245" s="61" t="s">
        <v>16389</v>
      </c>
      <c r="AA245" s="61" t="s">
        <v>16437</v>
      </c>
      <c r="AB245" s="58"/>
      <c r="AC245" s="57" t="s">
        <v>16391</v>
      </c>
      <c r="AD245" s="58"/>
      <c r="AE245" s="58"/>
      <c r="AF245" s="58"/>
      <c r="AG245" s="58"/>
      <c r="AH245" s="58"/>
      <c r="AI245" s="58"/>
      <c r="AJ245" s="58"/>
      <c r="AK245" s="56" t="s">
        <v>1285</v>
      </c>
      <c r="AL245" s="56" t="s">
        <v>16468</v>
      </c>
      <c r="AM245" s="58"/>
      <c r="AN245" s="56" t="s">
        <v>15496</v>
      </c>
      <c r="AO245" s="58"/>
      <c r="AP245" s="63">
        <v>45854.789849537</v>
      </c>
      <c r="AQ245" s="56" t="s">
        <v>16469</v>
      </c>
      <c r="AR245" s="61" t="s">
        <v>14645</v>
      </c>
      <c r="AS245" s="57" t="s">
        <v>14184</v>
      </c>
      <c r="AT245" s="56" t="s">
        <v>15177</v>
      </c>
      <c r="AU245" s="56" t="s">
        <v>16470</v>
      </c>
      <c r="AV245" s="58"/>
      <c r="AW245" s="64">
        <v>45792.5974074074</v>
      </c>
      <c r="AX245" s="56" t="s">
        <v>16468</v>
      </c>
      <c r="AY245" s="56" t="s">
        <v>15179</v>
      </c>
      <c r="AZ245" s="58"/>
      <c r="BA245" s="58"/>
      <c r="BB245" s="58"/>
      <c r="BC245" s="56" t="s">
        <v>15617</v>
      </c>
      <c r="BD245" s="56" t="s">
        <v>15197</v>
      </c>
      <c r="BE245" s="58"/>
      <c r="BF245" s="56" t="s">
        <v>15181</v>
      </c>
      <c r="BG245" s="58"/>
      <c r="BH245" s="58"/>
      <c r="BI245" s="57" t="s">
        <v>2801</v>
      </c>
      <c r="BJ245" s="58"/>
      <c r="BK245" s="58"/>
      <c r="BL245" s="66">
        <v>3531804</v>
      </c>
      <c r="BM245" s="56" t="s">
        <v>16471</v>
      </c>
      <c r="BN245" s="58"/>
      <c r="BO245" s="67">
        <v>2800</v>
      </c>
      <c r="BP245" s="56" t="s">
        <v>16395</v>
      </c>
      <c r="BQ245" s="58"/>
      <c r="BR245" s="56" t="s">
        <v>16472</v>
      </c>
      <c r="BS245" s="56" t="s">
        <v>1285</v>
      </c>
      <c r="BT245" s="58"/>
      <c r="BU245" s="56" t="s">
        <v>16469</v>
      </c>
      <c r="BV245" s="58"/>
      <c r="BW245" s="58"/>
      <c r="BX245" s="67">
        <v>2800</v>
      </c>
      <c r="BY245" s="58"/>
      <c r="BZ245" s="58"/>
      <c r="CA245" s="58"/>
      <c r="CB245" s="58"/>
      <c r="CC245" s="58"/>
      <c r="CD245" s="58"/>
    </row>
    <row r="246" ht="108" spans="1:82">
      <c r="A246" s="56" t="s">
        <v>16475</v>
      </c>
      <c r="B246" s="58"/>
      <c r="C246" s="57" t="s">
        <v>16465</v>
      </c>
      <c r="D246" s="58"/>
      <c r="E246" s="57" t="s">
        <v>15158</v>
      </c>
      <c r="F246" s="57" t="s">
        <v>16466</v>
      </c>
      <c r="G246" s="57" t="s">
        <v>15160</v>
      </c>
      <c r="H246" s="56" t="s">
        <v>2938</v>
      </c>
      <c r="I246" s="60">
        <v>65014</v>
      </c>
      <c r="J246" s="57" t="s">
        <v>1285</v>
      </c>
      <c r="K246" s="57" t="s">
        <v>15162</v>
      </c>
      <c r="L246" s="57" t="s">
        <v>15163</v>
      </c>
      <c r="M246" s="61" t="s">
        <v>16437</v>
      </c>
      <c r="N246" s="62" t="s">
        <v>14457</v>
      </c>
      <c r="O246" s="57" t="s">
        <v>15165</v>
      </c>
      <c r="P246" s="57" t="s">
        <v>15166</v>
      </c>
      <c r="Q246" s="57" t="s">
        <v>2938</v>
      </c>
      <c r="R246" s="57" t="s">
        <v>15696</v>
      </c>
      <c r="S246" s="57" t="s">
        <v>15697</v>
      </c>
      <c r="T246" s="57" t="s">
        <v>15190</v>
      </c>
      <c r="U246" s="57" t="s">
        <v>14184</v>
      </c>
      <c r="V246" s="56" t="s">
        <v>14153</v>
      </c>
      <c r="W246" s="58"/>
      <c r="X246" s="57" t="s">
        <v>16467</v>
      </c>
      <c r="Y246" s="57" t="s">
        <v>15170</v>
      </c>
      <c r="Z246" s="61" t="s">
        <v>16389</v>
      </c>
      <c r="AA246" s="61" t="s">
        <v>16437</v>
      </c>
      <c r="AB246" s="58"/>
      <c r="AC246" s="57" t="s">
        <v>16391</v>
      </c>
      <c r="AD246" s="58"/>
      <c r="AE246" s="58"/>
      <c r="AF246" s="58"/>
      <c r="AG246" s="58"/>
      <c r="AH246" s="58"/>
      <c r="AI246" s="58"/>
      <c r="AJ246" s="58"/>
      <c r="AK246" s="56" t="s">
        <v>1285</v>
      </c>
      <c r="AL246" s="56" t="s">
        <v>16468</v>
      </c>
      <c r="AM246" s="58"/>
      <c r="AN246" s="56" t="s">
        <v>15496</v>
      </c>
      <c r="AO246" s="58"/>
      <c r="AP246" s="63">
        <v>45854.789849537</v>
      </c>
      <c r="AQ246" s="56" t="s">
        <v>16469</v>
      </c>
      <c r="AR246" s="61" t="s">
        <v>14645</v>
      </c>
      <c r="AS246" s="57" t="s">
        <v>14184</v>
      </c>
      <c r="AT246" s="56" t="s">
        <v>15177</v>
      </c>
      <c r="AU246" s="56" t="s">
        <v>16470</v>
      </c>
      <c r="AV246" s="58"/>
      <c r="AW246" s="64">
        <v>45792.5974074074</v>
      </c>
      <c r="AX246" s="56" t="s">
        <v>16468</v>
      </c>
      <c r="AY246" s="56" t="s">
        <v>15179</v>
      </c>
      <c r="AZ246" s="58"/>
      <c r="BA246" s="58"/>
      <c r="BB246" s="58"/>
      <c r="BC246" s="56" t="s">
        <v>15617</v>
      </c>
      <c r="BD246" s="56" t="s">
        <v>15197</v>
      </c>
      <c r="BE246" s="58"/>
      <c r="BF246" s="56" t="s">
        <v>15181</v>
      </c>
      <c r="BG246" s="58"/>
      <c r="BH246" s="58"/>
      <c r="BI246" s="57" t="s">
        <v>2801</v>
      </c>
      <c r="BJ246" s="58"/>
      <c r="BK246" s="58"/>
      <c r="BL246" s="66">
        <v>3531805</v>
      </c>
      <c r="BM246" s="56" t="s">
        <v>16471</v>
      </c>
      <c r="BN246" s="58"/>
      <c r="BO246" s="67">
        <v>1940.4</v>
      </c>
      <c r="BP246" s="56" t="s">
        <v>16395</v>
      </c>
      <c r="BQ246" s="58"/>
      <c r="BR246" s="56" t="s">
        <v>16472</v>
      </c>
      <c r="BS246" s="56" t="s">
        <v>1285</v>
      </c>
      <c r="BT246" s="58"/>
      <c r="BU246" s="56" t="s">
        <v>16469</v>
      </c>
      <c r="BV246" s="58"/>
      <c r="BW246" s="58"/>
      <c r="BX246" s="67">
        <v>1940.4</v>
      </c>
      <c r="BY246" s="58"/>
      <c r="BZ246" s="58"/>
      <c r="CA246" s="58"/>
      <c r="CB246" s="58"/>
      <c r="CC246" s="58"/>
      <c r="CD246" s="58"/>
    </row>
    <row r="247" ht="108" spans="1:82">
      <c r="A247" s="56" t="s">
        <v>16476</v>
      </c>
      <c r="B247" s="58"/>
      <c r="C247" s="57" t="s">
        <v>16465</v>
      </c>
      <c r="D247" s="58"/>
      <c r="E247" s="57" t="s">
        <v>15158</v>
      </c>
      <c r="F247" s="57" t="s">
        <v>16466</v>
      </c>
      <c r="G247" s="57" t="s">
        <v>15160</v>
      </c>
      <c r="H247" s="56" t="s">
        <v>2938</v>
      </c>
      <c r="I247" s="60">
        <v>65014</v>
      </c>
      <c r="J247" s="57" t="s">
        <v>1285</v>
      </c>
      <c r="K247" s="57" t="s">
        <v>15162</v>
      </c>
      <c r="L247" s="57" t="s">
        <v>15163</v>
      </c>
      <c r="M247" s="61" t="s">
        <v>16437</v>
      </c>
      <c r="N247" s="62" t="s">
        <v>14457</v>
      </c>
      <c r="O247" s="57" t="s">
        <v>15165</v>
      </c>
      <c r="P247" s="57" t="s">
        <v>15166</v>
      </c>
      <c r="Q247" s="57" t="s">
        <v>2938</v>
      </c>
      <c r="R247" s="57" t="s">
        <v>15696</v>
      </c>
      <c r="S247" s="57" t="s">
        <v>15697</v>
      </c>
      <c r="T247" s="57" t="s">
        <v>15190</v>
      </c>
      <c r="U247" s="57" t="s">
        <v>14184</v>
      </c>
      <c r="V247" s="56" t="s">
        <v>14153</v>
      </c>
      <c r="W247" s="58"/>
      <c r="X247" s="57" t="s">
        <v>16467</v>
      </c>
      <c r="Y247" s="57" t="s">
        <v>15170</v>
      </c>
      <c r="Z247" s="61" t="s">
        <v>16389</v>
      </c>
      <c r="AA247" s="61" t="s">
        <v>16437</v>
      </c>
      <c r="AB247" s="58"/>
      <c r="AC247" s="57" t="s">
        <v>16391</v>
      </c>
      <c r="AD247" s="58"/>
      <c r="AE247" s="58"/>
      <c r="AF247" s="58"/>
      <c r="AG247" s="58"/>
      <c r="AH247" s="58"/>
      <c r="AI247" s="58"/>
      <c r="AJ247" s="58"/>
      <c r="AK247" s="56" t="s">
        <v>1285</v>
      </c>
      <c r="AL247" s="56" t="s">
        <v>16468</v>
      </c>
      <c r="AM247" s="58"/>
      <c r="AN247" s="56" t="s">
        <v>15496</v>
      </c>
      <c r="AO247" s="58"/>
      <c r="AP247" s="63">
        <v>45854.789849537</v>
      </c>
      <c r="AQ247" s="56" t="s">
        <v>16469</v>
      </c>
      <c r="AR247" s="61" t="s">
        <v>14645</v>
      </c>
      <c r="AS247" s="57" t="s">
        <v>14184</v>
      </c>
      <c r="AT247" s="56" t="s">
        <v>15177</v>
      </c>
      <c r="AU247" s="56" t="s">
        <v>16470</v>
      </c>
      <c r="AV247" s="58"/>
      <c r="AW247" s="64">
        <v>45792.5974074074</v>
      </c>
      <c r="AX247" s="56" t="s">
        <v>16468</v>
      </c>
      <c r="AY247" s="56" t="s">
        <v>15179</v>
      </c>
      <c r="AZ247" s="58"/>
      <c r="BA247" s="58"/>
      <c r="BB247" s="58"/>
      <c r="BC247" s="56" t="s">
        <v>15965</v>
      </c>
      <c r="BD247" s="56" t="s">
        <v>15197</v>
      </c>
      <c r="BE247" s="58"/>
      <c r="BF247" s="56" t="s">
        <v>15181</v>
      </c>
      <c r="BG247" s="58"/>
      <c r="BH247" s="58"/>
      <c r="BI247" s="57" t="s">
        <v>2801</v>
      </c>
      <c r="BJ247" s="58"/>
      <c r="BK247" s="58"/>
      <c r="BL247" s="66">
        <v>3567403</v>
      </c>
      <c r="BM247" s="56" t="s">
        <v>16477</v>
      </c>
      <c r="BN247" s="58"/>
      <c r="BO247" s="67">
        <v>30817.6</v>
      </c>
      <c r="BP247" s="56" t="s">
        <v>16395</v>
      </c>
      <c r="BQ247" s="58"/>
      <c r="BR247" s="56" t="s">
        <v>16472</v>
      </c>
      <c r="BS247" s="56" t="s">
        <v>1285</v>
      </c>
      <c r="BT247" s="58"/>
      <c r="BU247" s="56" t="s">
        <v>16469</v>
      </c>
      <c r="BV247" s="58"/>
      <c r="BW247" s="58"/>
      <c r="BX247" s="67">
        <v>30817.6</v>
      </c>
      <c r="BY247" s="58"/>
      <c r="BZ247" s="58"/>
      <c r="CA247" s="58"/>
      <c r="CB247" s="58"/>
      <c r="CC247" s="58"/>
      <c r="CD247" s="58"/>
    </row>
    <row r="248" ht="108" spans="1:82">
      <c r="A248" s="56" t="s">
        <v>16478</v>
      </c>
      <c r="B248" s="58"/>
      <c r="C248" s="57" t="s">
        <v>16479</v>
      </c>
      <c r="D248" s="58"/>
      <c r="E248" s="57" t="s">
        <v>15158</v>
      </c>
      <c r="F248" s="57" t="s">
        <v>16480</v>
      </c>
      <c r="G248" s="57" t="s">
        <v>15160</v>
      </c>
      <c r="H248" s="56" t="s">
        <v>4058</v>
      </c>
      <c r="I248" s="60">
        <v>24000</v>
      </c>
      <c r="J248" s="58"/>
      <c r="K248" s="58"/>
      <c r="L248" s="57" t="s">
        <v>14203</v>
      </c>
      <c r="M248" s="61" t="s">
        <v>16481</v>
      </c>
      <c r="N248" s="62" t="s">
        <v>16481</v>
      </c>
      <c r="O248" s="57" t="s">
        <v>15165</v>
      </c>
      <c r="P248" s="57" t="s">
        <v>15166</v>
      </c>
      <c r="Q248" s="57" t="s">
        <v>4058</v>
      </c>
      <c r="R248" s="57" t="s">
        <v>16095</v>
      </c>
      <c r="S248" s="57" t="s">
        <v>16096</v>
      </c>
      <c r="T248" s="57" t="s">
        <v>15190</v>
      </c>
      <c r="U248" s="57" t="s">
        <v>14184</v>
      </c>
      <c r="V248" s="56" t="s">
        <v>14153</v>
      </c>
      <c r="W248" s="58"/>
      <c r="X248" s="57" t="s">
        <v>16482</v>
      </c>
      <c r="Y248" s="58"/>
      <c r="Z248" s="61" t="s">
        <v>16483</v>
      </c>
      <c r="AA248" s="58"/>
      <c r="AB248" s="58"/>
      <c r="AC248" s="58"/>
      <c r="AD248" s="58"/>
      <c r="AE248" s="58"/>
      <c r="AF248" s="58"/>
      <c r="AG248" s="58"/>
      <c r="AH248" s="58"/>
      <c r="AI248" s="58"/>
      <c r="AJ248" s="58"/>
      <c r="AK248" s="58"/>
      <c r="AL248" s="58"/>
      <c r="AM248" s="58"/>
      <c r="AN248" s="58"/>
      <c r="AO248" s="58"/>
      <c r="AP248" s="63">
        <v>45853.4378703704</v>
      </c>
      <c r="AQ248" s="58"/>
      <c r="AR248" s="58"/>
      <c r="AS248" s="57" t="s">
        <v>14184</v>
      </c>
      <c r="AT248" s="56" t="s">
        <v>15177</v>
      </c>
      <c r="AU248" s="58"/>
      <c r="AV248" s="58"/>
      <c r="AW248" s="64">
        <v>45852.975787037</v>
      </c>
      <c r="AX248" s="58"/>
      <c r="AY248" s="56" t="s">
        <v>15179</v>
      </c>
      <c r="AZ248" s="58"/>
      <c r="BA248" s="58"/>
      <c r="BB248" s="58"/>
      <c r="BC248" s="56" t="s">
        <v>4048</v>
      </c>
      <c r="BD248" s="56" t="s">
        <v>15482</v>
      </c>
      <c r="BE248" s="56" t="s">
        <v>2823</v>
      </c>
      <c r="BF248" s="56" t="s">
        <v>15181</v>
      </c>
      <c r="BG248" s="58"/>
      <c r="BH248" s="58"/>
      <c r="BI248" s="57" t="s">
        <v>2801</v>
      </c>
      <c r="BJ248" s="58"/>
      <c r="BK248" s="58"/>
      <c r="BL248" s="66">
        <v>3512292</v>
      </c>
      <c r="BM248" s="56" t="s">
        <v>16484</v>
      </c>
      <c r="BN248" s="67">
        <v>4000</v>
      </c>
      <c r="BO248" s="58"/>
      <c r="BP248" s="58"/>
      <c r="BQ248" s="58"/>
      <c r="BR248" s="56" t="s">
        <v>16485</v>
      </c>
      <c r="BS248" s="56" t="s">
        <v>1285</v>
      </c>
      <c r="BT248" s="58"/>
      <c r="BU248" s="58"/>
      <c r="BV248" s="58"/>
      <c r="BW248" s="58"/>
      <c r="BX248" s="67">
        <v>4000</v>
      </c>
      <c r="BY248" s="58"/>
      <c r="BZ248" s="58"/>
      <c r="CA248" s="58"/>
      <c r="CB248" s="58"/>
      <c r="CC248" s="58"/>
      <c r="CD248" s="58"/>
    </row>
    <row r="249" ht="108" spans="1:82">
      <c r="A249" s="56" t="s">
        <v>16486</v>
      </c>
      <c r="B249" s="58"/>
      <c r="C249" s="57" t="s">
        <v>16479</v>
      </c>
      <c r="D249" s="58"/>
      <c r="E249" s="57" t="s">
        <v>15158</v>
      </c>
      <c r="F249" s="57" t="s">
        <v>16480</v>
      </c>
      <c r="G249" s="57" t="s">
        <v>15160</v>
      </c>
      <c r="H249" s="56" t="s">
        <v>4058</v>
      </c>
      <c r="I249" s="60">
        <v>24000</v>
      </c>
      <c r="J249" s="58"/>
      <c r="K249" s="58"/>
      <c r="L249" s="57" t="s">
        <v>14203</v>
      </c>
      <c r="M249" s="61" t="s">
        <v>16481</v>
      </c>
      <c r="N249" s="62" t="s">
        <v>16481</v>
      </c>
      <c r="O249" s="57" t="s">
        <v>15165</v>
      </c>
      <c r="P249" s="57" t="s">
        <v>15166</v>
      </c>
      <c r="Q249" s="57" t="s">
        <v>4058</v>
      </c>
      <c r="R249" s="57" t="s">
        <v>16095</v>
      </c>
      <c r="S249" s="57" t="s">
        <v>16096</v>
      </c>
      <c r="T249" s="57" t="s">
        <v>15190</v>
      </c>
      <c r="U249" s="57" t="s">
        <v>14184</v>
      </c>
      <c r="V249" s="56" t="s">
        <v>14153</v>
      </c>
      <c r="W249" s="58"/>
      <c r="X249" s="57" t="s">
        <v>16482</v>
      </c>
      <c r="Y249" s="58"/>
      <c r="Z249" s="61" t="s">
        <v>16483</v>
      </c>
      <c r="AA249" s="58"/>
      <c r="AB249" s="58"/>
      <c r="AC249" s="58"/>
      <c r="AD249" s="58"/>
      <c r="AE249" s="58"/>
      <c r="AF249" s="58"/>
      <c r="AG249" s="58"/>
      <c r="AH249" s="58"/>
      <c r="AI249" s="58"/>
      <c r="AJ249" s="58"/>
      <c r="AK249" s="58"/>
      <c r="AL249" s="58"/>
      <c r="AM249" s="58"/>
      <c r="AN249" s="58"/>
      <c r="AO249" s="58"/>
      <c r="AP249" s="63">
        <v>45853.4378703704</v>
      </c>
      <c r="AQ249" s="58"/>
      <c r="AR249" s="58"/>
      <c r="AS249" s="57" t="s">
        <v>14184</v>
      </c>
      <c r="AT249" s="56" t="s">
        <v>15177</v>
      </c>
      <c r="AU249" s="58"/>
      <c r="AV249" s="58"/>
      <c r="AW249" s="64">
        <v>45852.975787037</v>
      </c>
      <c r="AX249" s="58"/>
      <c r="AY249" s="56" t="s">
        <v>15179</v>
      </c>
      <c r="AZ249" s="58"/>
      <c r="BA249" s="58"/>
      <c r="BB249" s="58"/>
      <c r="BC249" s="56" t="s">
        <v>4048</v>
      </c>
      <c r="BD249" s="56" t="s">
        <v>15482</v>
      </c>
      <c r="BE249" s="56" t="s">
        <v>2823</v>
      </c>
      <c r="BF249" s="56" t="s">
        <v>15181</v>
      </c>
      <c r="BG249" s="58"/>
      <c r="BH249" s="58"/>
      <c r="BI249" s="57" t="s">
        <v>2801</v>
      </c>
      <c r="BJ249" s="58"/>
      <c r="BK249" s="58"/>
      <c r="BL249" s="66">
        <v>3512292</v>
      </c>
      <c r="BM249" s="56" t="s">
        <v>16484</v>
      </c>
      <c r="BN249" s="67">
        <v>4000</v>
      </c>
      <c r="BO249" s="58"/>
      <c r="BP249" s="58"/>
      <c r="BQ249" s="58"/>
      <c r="BR249" s="56" t="s">
        <v>16485</v>
      </c>
      <c r="BS249" s="56" t="s">
        <v>1285</v>
      </c>
      <c r="BT249" s="58"/>
      <c r="BU249" s="58"/>
      <c r="BV249" s="58"/>
      <c r="BW249" s="58"/>
      <c r="BX249" s="67">
        <v>4000</v>
      </c>
      <c r="BY249" s="58"/>
      <c r="BZ249" s="58"/>
      <c r="CA249" s="58"/>
      <c r="CB249" s="58"/>
      <c r="CC249" s="58"/>
      <c r="CD249" s="58"/>
    </row>
    <row r="250" ht="108" spans="1:82">
      <c r="A250" s="56" t="s">
        <v>16487</v>
      </c>
      <c r="B250" s="58"/>
      <c r="C250" s="57" t="s">
        <v>16479</v>
      </c>
      <c r="D250" s="58"/>
      <c r="E250" s="57" t="s">
        <v>15158</v>
      </c>
      <c r="F250" s="57" t="s">
        <v>16480</v>
      </c>
      <c r="G250" s="57" t="s">
        <v>15160</v>
      </c>
      <c r="H250" s="56" t="s">
        <v>4058</v>
      </c>
      <c r="I250" s="60">
        <v>24000</v>
      </c>
      <c r="J250" s="58"/>
      <c r="K250" s="58"/>
      <c r="L250" s="57" t="s">
        <v>14203</v>
      </c>
      <c r="M250" s="61" t="s">
        <v>16481</v>
      </c>
      <c r="N250" s="62" t="s">
        <v>16481</v>
      </c>
      <c r="O250" s="57" t="s">
        <v>15165</v>
      </c>
      <c r="P250" s="57" t="s">
        <v>15166</v>
      </c>
      <c r="Q250" s="57" t="s">
        <v>4058</v>
      </c>
      <c r="R250" s="57" t="s">
        <v>16095</v>
      </c>
      <c r="S250" s="57" t="s">
        <v>16096</v>
      </c>
      <c r="T250" s="57" t="s">
        <v>15190</v>
      </c>
      <c r="U250" s="57" t="s">
        <v>14184</v>
      </c>
      <c r="V250" s="56" t="s">
        <v>14153</v>
      </c>
      <c r="W250" s="58"/>
      <c r="X250" s="57" t="s">
        <v>16482</v>
      </c>
      <c r="Y250" s="58"/>
      <c r="Z250" s="61" t="s">
        <v>16483</v>
      </c>
      <c r="AA250" s="58"/>
      <c r="AB250" s="58"/>
      <c r="AC250" s="58"/>
      <c r="AD250" s="58"/>
      <c r="AE250" s="58"/>
      <c r="AF250" s="58"/>
      <c r="AG250" s="58"/>
      <c r="AH250" s="58"/>
      <c r="AI250" s="58"/>
      <c r="AJ250" s="58"/>
      <c r="AK250" s="58"/>
      <c r="AL250" s="58"/>
      <c r="AM250" s="58"/>
      <c r="AN250" s="58"/>
      <c r="AO250" s="58"/>
      <c r="AP250" s="63">
        <v>45853.4378703704</v>
      </c>
      <c r="AQ250" s="58"/>
      <c r="AR250" s="58"/>
      <c r="AS250" s="57" t="s">
        <v>14184</v>
      </c>
      <c r="AT250" s="56" t="s">
        <v>15177</v>
      </c>
      <c r="AU250" s="58"/>
      <c r="AV250" s="58"/>
      <c r="AW250" s="64">
        <v>45852.975787037</v>
      </c>
      <c r="AX250" s="58"/>
      <c r="AY250" s="56" t="s">
        <v>15179</v>
      </c>
      <c r="AZ250" s="58"/>
      <c r="BA250" s="58"/>
      <c r="BB250" s="58"/>
      <c r="BC250" s="56" t="s">
        <v>4048</v>
      </c>
      <c r="BD250" s="56" t="s">
        <v>15482</v>
      </c>
      <c r="BE250" s="56" t="s">
        <v>2823</v>
      </c>
      <c r="BF250" s="56" t="s">
        <v>15181</v>
      </c>
      <c r="BG250" s="58"/>
      <c r="BH250" s="58"/>
      <c r="BI250" s="57" t="s">
        <v>2801</v>
      </c>
      <c r="BJ250" s="58"/>
      <c r="BK250" s="58"/>
      <c r="BL250" s="66">
        <v>3512292</v>
      </c>
      <c r="BM250" s="56" t="s">
        <v>16484</v>
      </c>
      <c r="BN250" s="67">
        <v>4000</v>
      </c>
      <c r="BO250" s="58"/>
      <c r="BP250" s="58"/>
      <c r="BQ250" s="58"/>
      <c r="BR250" s="56" t="s">
        <v>16485</v>
      </c>
      <c r="BS250" s="56" t="s">
        <v>1285</v>
      </c>
      <c r="BT250" s="58"/>
      <c r="BU250" s="58"/>
      <c r="BV250" s="58"/>
      <c r="BW250" s="58"/>
      <c r="BX250" s="67">
        <v>4000</v>
      </c>
      <c r="BY250" s="58"/>
      <c r="BZ250" s="58"/>
      <c r="CA250" s="58"/>
      <c r="CB250" s="58"/>
      <c r="CC250" s="58"/>
      <c r="CD250" s="58"/>
    </row>
    <row r="251" ht="108" spans="1:82">
      <c r="A251" s="56" t="s">
        <v>16488</v>
      </c>
      <c r="B251" s="58"/>
      <c r="C251" s="57" t="s">
        <v>16479</v>
      </c>
      <c r="D251" s="58"/>
      <c r="E251" s="57" t="s">
        <v>15158</v>
      </c>
      <c r="F251" s="57" t="s">
        <v>16480</v>
      </c>
      <c r="G251" s="57" t="s">
        <v>15160</v>
      </c>
      <c r="H251" s="56" t="s">
        <v>4058</v>
      </c>
      <c r="I251" s="60">
        <v>24000</v>
      </c>
      <c r="J251" s="58"/>
      <c r="K251" s="58"/>
      <c r="L251" s="57" t="s">
        <v>14203</v>
      </c>
      <c r="M251" s="61" t="s">
        <v>16481</v>
      </c>
      <c r="N251" s="62" t="s">
        <v>16481</v>
      </c>
      <c r="O251" s="57" t="s">
        <v>15165</v>
      </c>
      <c r="P251" s="57" t="s">
        <v>15166</v>
      </c>
      <c r="Q251" s="57" t="s">
        <v>4058</v>
      </c>
      <c r="R251" s="57" t="s">
        <v>16095</v>
      </c>
      <c r="S251" s="57" t="s">
        <v>16096</v>
      </c>
      <c r="T251" s="57" t="s">
        <v>15190</v>
      </c>
      <c r="U251" s="57" t="s">
        <v>14184</v>
      </c>
      <c r="V251" s="56" t="s">
        <v>14153</v>
      </c>
      <c r="W251" s="58"/>
      <c r="X251" s="57" t="s">
        <v>16482</v>
      </c>
      <c r="Y251" s="58"/>
      <c r="Z251" s="61" t="s">
        <v>16483</v>
      </c>
      <c r="AA251" s="58"/>
      <c r="AB251" s="58"/>
      <c r="AC251" s="58"/>
      <c r="AD251" s="58"/>
      <c r="AE251" s="58"/>
      <c r="AF251" s="58"/>
      <c r="AG251" s="58"/>
      <c r="AH251" s="58"/>
      <c r="AI251" s="58"/>
      <c r="AJ251" s="58"/>
      <c r="AK251" s="58"/>
      <c r="AL251" s="58"/>
      <c r="AM251" s="58"/>
      <c r="AN251" s="58"/>
      <c r="AO251" s="58"/>
      <c r="AP251" s="63">
        <v>45853.4378703704</v>
      </c>
      <c r="AQ251" s="58"/>
      <c r="AR251" s="58"/>
      <c r="AS251" s="57" t="s">
        <v>14184</v>
      </c>
      <c r="AT251" s="56" t="s">
        <v>15177</v>
      </c>
      <c r="AU251" s="58"/>
      <c r="AV251" s="58"/>
      <c r="AW251" s="64">
        <v>45852.975787037</v>
      </c>
      <c r="AX251" s="58"/>
      <c r="AY251" s="56" t="s">
        <v>15179</v>
      </c>
      <c r="AZ251" s="58"/>
      <c r="BA251" s="58"/>
      <c r="BB251" s="58"/>
      <c r="BC251" s="56" t="s">
        <v>4048</v>
      </c>
      <c r="BD251" s="56" t="s">
        <v>15482</v>
      </c>
      <c r="BE251" s="56" t="s">
        <v>2823</v>
      </c>
      <c r="BF251" s="56" t="s">
        <v>15181</v>
      </c>
      <c r="BG251" s="58"/>
      <c r="BH251" s="58"/>
      <c r="BI251" s="57" t="s">
        <v>2801</v>
      </c>
      <c r="BJ251" s="58"/>
      <c r="BK251" s="58"/>
      <c r="BL251" s="66">
        <v>3512292</v>
      </c>
      <c r="BM251" s="56" t="s">
        <v>16484</v>
      </c>
      <c r="BN251" s="67">
        <v>4000</v>
      </c>
      <c r="BO251" s="58"/>
      <c r="BP251" s="58"/>
      <c r="BQ251" s="58"/>
      <c r="BR251" s="56" t="s">
        <v>16485</v>
      </c>
      <c r="BS251" s="56" t="s">
        <v>1285</v>
      </c>
      <c r="BT251" s="58"/>
      <c r="BU251" s="58"/>
      <c r="BV251" s="58"/>
      <c r="BW251" s="58"/>
      <c r="BX251" s="67">
        <v>4000</v>
      </c>
      <c r="BY251" s="58"/>
      <c r="BZ251" s="58"/>
      <c r="CA251" s="58"/>
      <c r="CB251" s="58"/>
      <c r="CC251" s="58"/>
      <c r="CD251" s="58"/>
    </row>
    <row r="252" ht="108" spans="1:82">
      <c r="A252" s="56" t="s">
        <v>16489</v>
      </c>
      <c r="B252" s="58"/>
      <c r="C252" s="57" t="s">
        <v>16479</v>
      </c>
      <c r="D252" s="58"/>
      <c r="E252" s="57" t="s">
        <v>15158</v>
      </c>
      <c r="F252" s="57" t="s">
        <v>16480</v>
      </c>
      <c r="G252" s="57" t="s">
        <v>15160</v>
      </c>
      <c r="H252" s="56" t="s">
        <v>4058</v>
      </c>
      <c r="I252" s="60">
        <v>24000</v>
      </c>
      <c r="J252" s="58"/>
      <c r="K252" s="58"/>
      <c r="L252" s="57" t="s">
        <v>14203</v>
      </c>
      <c r="M252" s="61" t="s">
        <v>16481</v>
      </c>
      <c r="N252" s="62" t="s">
        <v>16481</v>
      </c>
      <c r="O252" s="57" t="s">
        <v>15165</v>
      </c>
      <c r="P252" s="57" t="s">
        <v>15166</v>
      </c>
      <c r="Q252" s="57" t="s">
        <v>4058</v>
      </c>
      <c r="R252" s="57" t="s">
        <v>16095</v>
      </c>
      <c r="S252" s="57" t="s">
        <v>16096</v>
      </c>
      <c r="T252" s="57" t="s">
        <v>15190</v>
      </c>
      <c r="U252" s="57" t="s">
        <v>14184</v>
      </c>
      <c r="V252" s="56" t="s">
        <v>14153</v>
      </c>
      <c r="W252" s="58"/>
      <c r="X252" s="57" t="s">
        <v>16482</v>
      </c>
      <c r="Y252" s="58"/>
      <c r="Z252" s="61" t="s">
        <v>16483</v>
      </c>
      <c r="AA252" s="58"/>
      <c r="AB252" s="58"/>
      <c r="AC252" s="58"/>
      <c r="AD252" s="58"/>
      <c r="AE252" s="58"/>
      <c r="AF252" s="58"/>
      <c r="AG252" s="58"/>
      <c r="AH252" s="58"/>
      <c r="AI252" s="58"/>
      <c r="AJ252" s="58"/>
      <c r="AK252" s="58"/>
      <c r="AL252" s="58"/>
      <c r="AM252" s="58"/>
      <c r="AN252" s="58"/>
      <c r="AO252" s="58"/>
      <c r="AP252" s="63">
        <v>45853.4378703704</v>
      </c>
      <c r="AQ252" s="58"/>
      <c r="AR252" s="58"/>
      <c r="AS252" s="57" t="s">
        <v>14184</v>
      </c>
      <c r="AT252" s="56" t="s">
        <v>15177</v>
      </c>
      <c r="AU252" s="58"/>
      <c r="AV252" s="58"/>
      <c r="AW252" s="64">
        <v>45852.975787037</v>
      </c>
      <c r="AX252" s="58"/>
      <c r="AY252" s="56" t="s">
        <v>15179</v>
      </c>
      <c r="AZ252" s="58"/>
      <c r="BA252" s="58"/>
      <c r="BB252" s="58"/>
      <c r="BC252" s="56" t="s">
        <v>4048</v>
      </c>
      <c r="BD252" s="56" t="s">
        <v>15482</v>
      </c>
      <c r="BE252" s="56" t="s">
        <v>2823</v>
      </c>
      <c r="BF252" s="56" t="s">
        <v>15181</v>
      </c>
      <c r="BG252" s="58"/>
      <c r="BH252" s="58"/>
      <c r="BI252" s="57" t="s">
        <v>2801</v>
      </c>
      <c r="BJ252" s="58"/>
      <c r="BK252" s="58"/>
      <c r="BL252" s="66">
        <v>3512292</v>
      </c>
      <c r="BM252" s="56" t="s">
        <v>16484</v>
      </c>
      <c r="BN252" s="67">
        <v>4000</v>
      </c>
      <c r="BO252" s="58"/>
      <c r="BP252" s="58"/>
      <c r="BQ252" s="58"/>
      <c r="BR252" s="56" t="s">
        <v>16485</v>
      </c>
      <c r="BS252" s="56" t="s">
        <v>1285</v>
      </c>
      <c r="BT252" s="58"/>
      <c r="BU252" s="58"/>
      <c r="BV252" s="58"/>
      <c r="BW252" s="58"/>
      <c r="BX252" s="67">
        <v>4000</v>
      </c>
      <c r="BY252" s="58"/>
      <c r="BZ252" s="58"/>
      <c r="CA252" s="58"/>
      <c r="CB252" s="58"/>
      <c r="CC252" s="58"/>
      <c r="CD252" s="58"/>
    </row>
    <row r="253" ht="108" spans="1:82">
      <c r="A253" s="56" t="s">
        <v>16490</v>
      </c>
      <c r="B253" s="58"/>
      <c r="C253" s="57" t="s">
        <v>16479</v>
      </c>
      <c r="D253" s="58"/>
      <c r="E253" s="57" t="s">
        <v>15158</v>
      </c>
      <c r="F253" s="57" t="s">
        <v>16480</v>
      </c>
      <c r="G253" s="57" t="s">
        <v>15160</v>
      </c>
      <c r="H253" s="56" t="s">
        <v>4058</v>
      </c>
      <c r="I253" s="60">
        <v>24000</v>
      </c>
      <c r="J253" s="58"/>
      <c r="K253" s="58"/>
      <c r="L253" s="57" t="s">
        <v>14203</v>
      </c>
      <c r="M253" s="61" t="s">
        <v>16481</v>
      </c>
      <c r="N253" s="62" t="s">
        <v>16481</v>
      </c>
      <c r="O253" s="57" t="s">
        <v>15165</v>
      </c>
      <c r="P253" s="57" t="s">
        <v>15166</v>
      </c>
      <c r="Q253" s="57" t="s">
        <v>4058</v>
      </c>
      <c r="R253" s="57" t="s">
        <v>16095</v>
      </c>
      <c r="S253" s="57" t="s">
        <v>16096</v>
      </c>
      <c r="T253" s="57" t="s">
        <v>15190</v>
      </c>
      <c r="U253" s="57" t="s">
        <v>14184</v>
      </c>
      <c r="V253" s="56" t="s">
        <v>14153</v>
      </c>
      <c r="W253" s="58"/>
      <c r="X253" s="57" t="s">
        <v>16482</v>
      </c>
      <c r="Y253" s="58"/>
      <c r="Z253" s="61" t="s">
        <v>16483</v>
      </c>
      <c r="AA253" s="58"/>
      <c r="AB253" s="58"/>
      <c r="AC253" s="58"/>
      <c r="AD253" s="58"/>
      <c r="AE253" s="58"/>
      <c r="AF253" s="58"/>
      <c r="AG253" s="58"/>
      <c r="AH253" s="58"/>
      <c r="AI253" s="58"/>
      <c r="AJ253" s="58"/>
      <c r="AK253" s="58"/>
      <c r="AL253" s="58"/>
      <c r="AM253" s="58"/>
      <c r="AN253" s="58"/>
      <c r="AO253" s="58"/>
      <c r="AP253" s="63">
        <v>45853.4378703704</v>
      </c>
      <c r="AQ253" s="58"/>
      <c r="AR253" s="58"/>
      <c r="AS253" s="57" t="s">
        <v>14184</v>
      </c>
      <c r="AT253" s="56" t="s">
        <v>15177</v>
      </c>
      <c r="AU253" s="58"/>
      <c r="AV253" s="58"/>
      <c r="AW253" s="64">
        <v>45852.975787037</v>
      </c>
      <c r="AX253" s="58"/>
      <c r="AY253" s="56" t="s">
        <v>15179</v>
      </c>
      <c r="AZ253" s="58"/>
      <c r="BA253" s="58"/>
      <c r="BB253" s="58"/>
      <c r="BC253" s="56" t="s">
        <v>4048</v>
      </c>
      <c r="BD253" s="56" t="s">
        <v>15482</v>
      </c>
      <c r="BE253" s="56" t="s">
        <v>2823</v>
      </c>
      <c r="BF253" s="56" t="s">
        <v>15181</v>
      </c>
      <c r="BG253" s="58"/>
      <c r="BH253" s="58"/>
      <c r="BI253" s="57" t="s">
        <v>2801</v>
      </c>
      <c r="BJ253" s="58"/>
      <c r="BK253" s="58"/>
      <c r="BL253" s="66">
        <v>3512292</v>
      </c>
      <c r="BM253" s="56" t="s">
        <v>16484</v>
      </c>
      <c r="BN253" s="67">
        <v>4000</v>
      </c>
      <c r="BO253" s="58"/>
      <c r="BP253" s="58"/>
      <c r="BQ253" s="58"/>
      <c r="BR253" s="56" t="s">
        <v>16485</v>
      </c>
      <c r="BS253" s="56" t="s">
        <v>1285</v>
      </c>
      <c r="BT253" s="58"/>
      <c r="BU253" s="58"/>
      <c r="BV253" s="58"/>
      <c r="BW253" s="58"/>
      <c r="BX253" s="67">
        <v>4000</v>
      </c>
      <c r="BY253" s="58"/>
      <c r="BZ253" s="58"/>
      <c r="CA253" s="58"/>
      <c r="CB253" s="58"/>
      <c r="CC253" s="58"/>
      <c r="CD253" s="58"/>
    </row>
    <row r="254" ht="108" spans="1:82">
      <c r="A254" s="56" t="s">
        <v>16491</v>
      </c>
      <c r="B254" s="58"/>
      <c r="C254" s="57" t="s">
        <v>16492</v>
      </c>
      <c r="D254" s="58"/>
      <c r="E254" s="57" t="s">
        <v>15158</v>
      </c>
      <c r="F254" s="57" t="s">
        <v>16493</v>
      </c>
      <c r="G254" s="57" t="s">
        <v>15160</v>
      </c>
      <c r="H254" s="56" t="s">
        <v>4043</v>
      </c>
      <c r="I254" s="60">
        <v>3320</v>
      </c>
      <c r="J254" s="58"/>
      <c r="K254" s="58"/>
      <c r="L254" s="57" t="s">
        <v>14203</v>
      </c>
      <c r="M254" s="61" t="s">
        <v>16481</v>
      </c>
      <c r="N254" s="62" t="s">
        <v>16481</v>
      </c>
      <c r="O254" s="57" t="s">
        <v>15165</v>
      </c>
      <c r="P254" s="57" t="s">
        <v>15166</v>
      </c>
      <c r="Q254" s="57" t="s">
        <v>4043</v>
      </c>
      <c r="R254" s="57" t="s">
        <v>15492</v>
      </c>
      <c r="S254" s="57" t="s">
        <v>15493</v>
      </c>
      <c r="T254" s="57" t="s">
        <v>15190</v>
      </c>
      <c r="U254" s="57" t="s">
        <v>14184</v>
      </c>
      <c r="V254" s="56" t="s">
        <v>14153</v>
      </c>
      <c r="W254" s="58"/>
      <c r="X254" s="57" t="s">
        <v>16494</v>
      </c>
      <c r="Y254" s="58"/>
      <c r="Z254" s="61" t="s">
        <v>16483</v>
      </c>
      <c r="AA254" s="58"/>
      <c r="AB254" s="58"/>
      <c r="AC254" s="58"/>
      <c r="AD254" s="58"/>
      <c r="AE254" s="58"/>
      <c r="AF254" s="58"/>
      <c r="AG254" s="58"/>
      <c r="AH254" s="58"/>
      <c r="AI254" s="58"/>
      <c r="AJ254" s="58"/>
      <c r="AK254" s="58"/>
      <c r="AL254" s="58"/>
      <c r="AM254" s="58"/>
      <c r="AN254" s="58"/>
      <c r="AO254" s="58"/>
      <c r="AP254" s="63">
        <v>45852.5801851852</v>
      </c>
      <c r="AQ254" s="58"/>
      <c r="AR254" s="58"/>
      <c r="AS254" s="57" t="s">
        <v>14184</v>
      </c>
      <c r="AT254" s="56" t="s">
        <v>15177</v>
      </c>
      <c r="AU254" s="58"/>
      <c r="AV254" s="58"/>
      <c r="AW254" s="64">
        <v>45852.4185069444</v>
      </c>
      <c r="AX254" s="58"/>
      <c r="AY254" s="56" t="s">
        <v>15179</v>
      </c>
      <c r="AZ254" s="58"/>
      <c r="BA254" s="58"/>
      <c r="BB254" s="58"/>
      <c r="BC254" s="56" t="s">
        <v>2918</v>
      </c>
      <c r="BD254" s="56" t="s">
        <v>15339</v>
      </c>
      <c r="BE254" s="56" t="s">
        <v>2867</v>
      </c>
      <c r="BF254" s="56" t="s">
        <v>15181</v>
      </c>
      <c r="BG254" s="58"/>
      <c r="BH254" s="58"/>
      <c r="BI254" s="57" t="s">
        <v>2801</v>
      </c>
      <c r="BJ254" s="58"/>
      <c r="BK254" s="58"/>
      <c r="BL254" s="66">
        <v>3496860</v>
      </c>
      <c r="BM254" s="56" t="s">
        <v>16495</v>
      </c>
      <c r="BN254" s="67">
        <v>3320</v>
      </c>
      <c r="BO254" s="58"/>
      <c r="BP254" s="58"/>
      <c r="BQ254" s="58"/>
      <c r="BR254" s="56" t="s">
        <v>16496</v>
      </c>
      <c r="BS254" s="56" t="s">
        <v>1285</v>
      </c>
      <c r="BT254" s="58"/>
      <c r="BU254" s="58"/>
      <c r="BV254" s="58"/>
      <c r="BW254" s="58"/>
      <c r="BX254" s="67">
        <v>3320</v>
      </c>
      <c r="BY254" s="58"/>
      <c r="BZ254" s="58"/>
      <c r="CA254" s="58"/>
      <c r="CB254" s="58"/>
      <c r="CC254" s="58"/>
      <c r="CD254" s="58"/>
    </row>
    <row r="255" ht="108" spans="1:82">
      <c r="A255" s="56" t="s">
        <v>16497</v>
      </c>
      <c r="B255" s="58"/>
      <c r="C255" s="57" t="s">
        <v>16498</v>
      </c>
      <c r="D255" s="58"/>
      <c r="E255" s="57" t="s">
        <v>15158</v>
      </c>
      <c r="F255" s="57" t="s">
        <v>16499</v>
      </c>
      <c r="G255" s="57" t="s">
        <v>15160</v>
      </c>
      <c r="H255" s="56" t="s">
        <v>3307</v>
      </c>
      <c r="I255" s="60">
        <v>13830.08</v>
      </c>
      <c r="J255" s="58"/>
      <c r="K255" s="58"/>
      <c r="L255" s="57" t="s">
        <v>14203</v>
      </c>
      <c r="M255" s="61" t="s">
        <v>16481</v>
      </c>
      <c r="N255" s="62" t="s">
        <v>16481</v>
      </c>
      <c r="O255" s="57" t="s">
        <v>15165</v>
      </c>
      <c r="P255" s="57" t="s">
        <v>15166</v>
      </c>
      <c r="Q255" s="57" t="s">
        <v>3307</v>
      </c>
      <c r="R255" s="57" t="s">
        <v>15462</v>
      </c>
      <c r="S255" s="57" t="s">
        <v>15463</v>
      </c>
      <c r="T255" s="57" t="s">
        <v>15190</v>
      </c>
      <c r="U255" s="57" t="s">
        <v>14184</v>
      </c>
      <c r="V255" s="56" t="s">
        <v>14153</v>
      </c>
      <c r="W255" s="58"/>
      <c r="X255" s="57" t="s">
        <v>16500</v>
      </c>
      <c r="Y255" s="58"/>
      <c r="Z255" s="61" t="s">
        <v>16501</v>
      </c>
      <c r="AA255" s="58"/>
      <c r="AB255" s="58"/>
      <c r="AC255" s="58"/>
      <c r="AD255" s="58"/>
      <c r="AE255" s="58"/>
      <c r="AF255" s="58"/>
      <c r="AG255" s="58"/>
      <c r="AH255" s="58"/>
      <c r="AI255" s="58"/>
      <c r="AJ255" s="58"/>
      <c r="AK255" s="58"/>
      <c r="AL255" s="58"/>
      <c r="AM255" s="58"/>
      <c r="AN255" s="58"/>
      <c r="AO255" s="58"/>
      <c r="AP255" s="63">
        <v>45853.4551273148</v>
      </c>
      <c r="AQ255" s="58"/>
      <c r="AR255" s="58"/>
      <c r="AS255" s="57" t="s">
        <v>14184</v>
      </c>
      <c r="AT255" s="56" t="s">
        <v>15177</v>
      </c>
      <c r="AU255" s="58"/>
      <c r="AV255" s="58"/>
      <c r="AW255" s="64">
        <v>45853.4053703704</v>
      </c>
      <c r="AX255" s="58"/>
      <c r="AY255" s="56" t="s">
        <v>15179</v>
      </c>
      <c r="AZ255" s="58"/>
      <c r="BA255" s="58"/>
      <c r="BB255" s="58"/>
      <c r="BC255" s="56" t="s">
        <v>2902</v>
      </c>
      <c r="BD255" s="56" t="s">
        <v>15353</v>
      </c>
      <c r="BE255" s="56" t="s">
        <v>2871</v>
      </c>
      <c r="BF255" s="56" t="s">
        <v>15181</v>
      </c>
      <c r="BG255" s="58"/>
      <c r="BH255" s="58"/>
      <c r="BI255" s="57" t="s">
        <v>2801</v>
      </c>
      <c r="BJ255" s="58"/>
      <c r="BK255" s="58"/>
      <c r="BL255" s="66">
        <v>3573378</v>
      </c>
      <c r="BM255" s="56" t="s">
        <v>16502</v>
      </c>
      <c r="BN255" s="67">
        <v>13830.08</v>
      </c>
      <c r="BO255" s="58"/>
      <c r="BP255" s="58"/>
      <c r="BQ255" s="58"/>
      <c r="BR255" s="56" t="s">
        <v>16503</v>
      </c>
      <c r="BS255" s="56" t="s">
        <v>1285</v>
      </c>
      <c r="BT255" s="58"/>
      <c r="BU255" s="58"/>
      <c r="BV255" s="58"/>
      <c r="BW255" s="58"/>
      <c r="BX255" s="67">
        <v>13830.08</v>
      </c>
      <c r="BY255" s="58"/>
      <c r="BZ255" s="58"/>
      <c r="CA255" s="58"/>
      <c r="CB255" s="58"/>
      <c r="CC255" s="58"/>
      <c r="CD255" s="58"/>
    </row>
    <row r="256" ht="108" spans="1:82">
      <c r="A256" s="56" t="s">
        <v>16504</v>
      </c>
      <c r="B256" s="58"/>
      <c r="C256" s="57" t="s">
        <v>16505</v>
      </c>
      <c r="D256" s="58"/>
      <c r="E256" s="57" t="s">
        <v>15158</v>
      </c>
      <c r="F256" s="57" t="s">
        <v>16506</v>
      </c>
      <c r="G256" s="57" t="s">
        <v>15160</v>
      </c>
      <c r="H256" s="56" t="s">
        <v>3816</v>
      </c>
      <c r="I256" s="60">
        <v>51744.6</v>
      </c>
      <c r="J256" s="57" t="s">
        <v>1285</v>
      </c>
      <c r="K256" s="57" t="s">
        <v>15162</v>
      </c>
      <c r="L256" s="57" t="s">
        <v>15163</v>
      </c>
      <c r="M256" s="61" t="s">
        <v>16481</v>
      </c>
      <c r="N256" s="62" t="s">
        <v>16507</v>
      </c>
      <c r="O256" s="57" t="s">
        <v>15165</v>
      </c>
      <c r="P256" s="57" t="s">
        <v>15166</v>
      </c>
      <c r="Q256" s="57" t="s">
        <v>3816</v>
      </c>
      <c r="R256" s="57" t="s">
        <v>15841</v>
      </c>
      <c r="S256" s="57" t="s">
        <v>15842</v>
      </c>
      <c r="T256" s="57" t="s">
        <v>15190</v>
      </c>
      <c r="U256" s="57" t="s">
        <v>14184</v>
      </c>
      <c r="V256" s="56" t="s">
        <v>14153</v>
      </c>
      <c r="W256" s="58"/>
      <c r="X256" s="57" t="s">
        <v>16508</v>
      </c>
      <c r="Y256" s="57" t="s">
        <v>15170</v>
      </c>
      <c r="Z256" s="61" t="s">
        <v>16389</v>
      </c>
      <c r="AA256" s="61" t="s">
        <v>16481</v>
      </c>
      <c r="AB256" s="58"/>
      <c r="AC256" s="57" t="s">
        <v>16391</v>
      </c>
      <c r="AD256" s="58"/>
      <c r="AE256" s="58"/>
      <c r="AF256" s="58"/>
      <c r="AG256" s="58"/>
      <c r="AH256" s="58"/>
      <c r="AI256" s="58"/>
      <c r="AJ256" s="58"/>
      <c r="AK256" s="56" t="s">
        <v>1285</v>
      </c>
      <c r="AL256" s="56" t="s">
        <v>16509</v>
      </c>
      <c r="AM256" s="58"/>
      <c r="AN256" s="56" t="s">
        <v>15237</v>
      </c>
      <c r="AO256" s="58"/>
      <c r="AP256" s="63">
        <v>45849.6651157407</v>
      </c>
      <c r="AQ256" s="56" t="s">
        <v>16510</v>
      </c>
      <c r="AR256" s="61" t="s">
        <v>14645</v>
      </c>
      <c r="AS256" s="57" t="s">
        <v>14184</v>
      </c>
      <c r="AT256" s="56" t="s">
        <v>15177</v>
      </c>
      <c r="AU256" s="56" t="s">
        <v>16511</v>
      </c>
      <c r="AV256" s="58"/>
      <c r="AW256" s="64">
        <v>45823.6194560185</v>
      </c>
      <c r="AX256" s="56" t="s">
        <v>16509</v>
      </c>
      <c r="AY256" s="56" t="s">
        <v>15179</v>
      </c>
      <c r="AZ256" s="58"/>
      <c r="BA256" s="58"/>
      <c r="BB256" s="58"/>
      <c r="BC256" s="56" t="s">
        <v>3124</v>
      </c>
      <c r="BD256" s="56" t="s">
        <v>15353</v>
      </c>
      <c r="BE256" s="56" t="s">
        <v>2856</v>
      </c>
      <c r="BF256" s="56" t="s">
        <v>15181</v>
      </c>
      <c r="BG256" s="58"/>
      <c r="BH256" s="58"/>
      <c r="BI256" s="57" t="s">
        <v>2801</v>
      </c>
      <c r="BJ256" s="58"/>
      <c r="BK256" s="58"/>
      <c r="BL256" s="66">
        <v>3604166</v>
      </c>
      <c r="BM256" s="56" t="s">
        <v>16512</v>
      </c>
      <c r="BN256" s="58"/>
      <c r="BO256" s="67">
        <v>51744.6</v>
      </c>
      <c r="BP256" s="56" t="s">
        <v>16395</v>
      </c>
      <c r="BQ256" s="58"/>
      <c r="BR256" s="56" t="s">
        <v>16513</v>
      </c>
      <c r="BS256" s="56" t="s">
        <v>1285</v>
      </c>
      <c r="BT256" s="58"/>
      <c r="BU256" s="56" t="s">
        <v>16510</v>
      </c>
      <c r="BV256" s="58"/>
      <c r="BW256" s="58"/>
      <c r="BX256" s="67">
        <v>51744.6</v>
      </c>
      <c r="BY256" s="56" t="s">
        <v>1285</v>
      </c>
      <c r="BZ256" s="58"/>
      <c r="CA256" s="58"/>
      <c r="CB256" s="58"/>
      <c r="CC256" s="58"/>
      <c r="CD256" s="58"/>
    </row>
    <row r="257" ht="108" spans="1:82">
      <c r="A257" s="56" t="s">
        <v>16514</v>
      </c>
      <c r="B257" s="58"/>
      <c r="C257" s="57" t="s">
        <v>16515</v>
      </c>
      <c r="D257" s="58"/>
      <c r="E257" s="57" t="s">
        <v>15158</v>
      </c>
      <c r="F257" s="57" t="s">
        <v>16516</v>
      </c>
      <c r="G257" s="57" t="s">
        <v>15160</v>
      </c>
      <c r="H257" s="56" t="s">
        <v>4151</v>
      </c>
      <c r="I257" s="60">
        <v>9500</v>
      </c>
      <c r="J257" s="57" t="s">
        <v>1285</v>
      </c>
      <c r="K257" s="57" t="s">
        <v>15162</v>
      </c>
      <c r="L257" s="57" t="s">
        <v>15163</v>
      </c>
      <c r="M257" s="61" t="s">
        <v>16481</v>
      </c>
      <c r="N257" s="62" t="s">
        <v>16280</v>
      </c>
      <c r="O257" s="57" t="s">
        <v>15165</v>
      </c>
      <c r="P257" s="57" t="s">
        <v>15166</v>
      </c>
      <c r="Q257" s="57" t="s">
        <v>4151</v>
      </c>
      <c r="R257" s="57" t="s">
        <v>15360</v>
      </c>
      <c r="S257" s="57" t="s">
        <v>15361</v>
      </c>
      <c r="T257" s="57" t="s">
        <v>15190</v>
      </c>
      <c r="U257" s="57" t="s">
        <v>14184</v>
      </c>
      <c r="V257" s="56" t="s">
        <v>14153</v>
      </c>
      <c r="W257" s="58"/>
      <c r="X257" s="57" t="s">
        <v>16517</v>
      </c>
      <c r="Y257" s="57" t="s">
        <v>15170</v>
      </c>
      <c r="Z257" s="61" t="s">
        <v>16389</v>
      </c>
      <c r="AA257" s="61" t="s">
        <v>16481</v>
      </c>
      <c r="AB257" s="58"/>
      <c r="AC257" s="57" t="s">
        <v>16391</v>
      </c>
      <c r="AD257" s="58"/>
      <c r="AE257" s="58"/>
      <c r="AF257" s="58"/>
      <c r="AG257" s="58"/>
      <c r="AH257" s="58"/>
      <c r="AI257" s="58"/>
      <c r="AJ257" s="58"/>
      <c r="AK257" s="56" t="s">
        <v>1285</v>
      </c>
      <c r="AL257" s="56" t="s">
        <v>16518</v>
      </c>
      <c r="AM257" s="58"/>
      <c r="AN257" s="56" t="s">
        <v>15786</v>
      </c>
      <c r="AO257" s="58"/>
      <c r="AP257" s="63">
        <v>45849.7859375</v>
      </c>
      <c r="AQ257" s="56" t="s">
        <v>16519</v>
      </c>
      <c r="AR257" s="61" t="s">
        <v>14645</v>
      </c>
      <c r="AS257" s="57" t="s">
        <v>14184</v>
      </c>
      <c r="AT257" s="56" t="s">
        <v>15177</v>
      </c>
      <c r="AU257" s="56" t="s">
        <v>16520</v>
      </c>
      <c r="AV257" s="58"/>
      <c r="AW257" s="64">
        <v>45812.4518518519</v>
      </c>
      <c r="AX257" s="56" t="s">
        <v>16518</v>
      </c>
      <c r="AY257" s="56" t="s">
        <v>15179</v>
      </c>
      <c r="AZ257" s="58"/>
      <c r="BA257" s="58"/>
      <c r="BB257" s="58"/>
      <c r="BC257" s="56" t="s">
        <v>4149</v>
      </c>
      <c r="BD257" s="56" t="s">
        <v>15366</v>
      </c>
      <c r="BE257" s="56" t="s">
        <v>2832</v>
      </c>
      <c r="BF257" s="56" t="s">
        <v>15181</v>
      </c>
      <c r="BG257" s="58"/>
      <c r="BH257" s="58"/>
      <c r="BI257" s="57" t="s">
        <v>2801</v>
      </c>
      <c r="BJ257" s="58"/>
      <c r="BK257" s="58"/>
      <c r="BL257" s="66">
        <v>3490781</v>
      </c>
      <c r="BM257" s="56" t="s">
        <v>16521</v>
      </c>
      <c r="BN257" s="58"/>
      <c r="BO257" s="67">
        <v>9500</v>
      </c>
      <c r="BP257" s="56" t="s">
        <v>16395</v>
      </c>
      <c r="BQ257" s="58"/>
      <c r="BR257" s="56" t="s">
        <v>16522</v>
      </c>
      <c r="BS257" s="56" t="s">
        <v>1285</v>
      </c>
      <c r="BT257" s="58"/>
      <c r="BU257" s="56" t="s">
        <v>16519</v>
      </c>
      <c r="BV257" s="58"/>
      <c r="BW257" s="58"/>
      <c r="BX257" s="67">
        <v>9500</v>
      </c>
      <c r="BY257" s="56" t="s">
        <v>1285</v>
      </c>
      <c r="BZ257" s="58"/>
      <c r="CA257" s="58"/>
      <c r="CB257" s="58"/>
      <c r="CC257" s="58"/>
      <c r="CD257" s="58"/>
    </row>
    <row r="258" ht="108" spans="1:82">
      <c r="A258" s="56" t="s">
        <v>16523</v>
      </c>
      <c r="B258" s="58"/>
      <c r="C258" s="57" t="s">
        <v>16524</v>
      </c>
      <c r="D258" s="58"/>
      <c r="E258" s="57" t="s">
        <v>15158</v>
      </c>
      <c r="F258" s="57" t="s">
        <v>16525</v>
      </c>
      <c r="G258" s="57" t="s">
        <v>15160</v>
      </c>
      <c r="H258" s="56" t="s">
        <v>3898</v>
      </c>
      <c r="I258" s="60">
        <v>36116.72</v>
      </c>
      <c r="J258" s="57" t="s">
        <v>1285</v>
      </c>
      <c r="K258" s="57" t="s">
        <v>15162</v>
      </c>
      <c r="L258" s="57" t="s">
        <v>15163</v>
      </c>
      <c r="M258" s="61" t="s">
        <v>16481</v>
      </c>
      <c r="N258" s="62" t="s">
        <v>14395</v>
      </c>
      <c r="O258" s="57" t="s">
        <v>15165</v>
      </c>
      <c r="P258" s="57" t="s">
        <v>15166</v>
      </c>
      <c r="Q258" s="57" t="s">
        <v>3898</v>
      </c>
      <c r="R258" s="57" t="s">
        <v>15383</v>
      </c>
      <c r="S258" s="57" t="s">
        <v>15384</v>
      </c>
      <c r="T258" s="57" t="s">
        <v>15190</v>
      </c>
      <c r="U258" s="57" t="s">
        <v>14184</v>
      </c>
      <c r="V258" s="56" t="s">
        <v>14153</v>
      </c>
      <c r="W258" s="58"/>
      <c r="X258" s="57" t="s">
        <v>16526</v>
      </c>
      <c r="Y258" s="57" t="s">
        <v>15170</v>
      </c>
      <c r="Z258" s="61" t="s">
        <v>16389</v>
      </c>
      <c r="AA258" s="61" t="s">
        <v>16481</v>
      </c>
      <c r="AB258" s="58"/>
      <c r="AC258" s="57" t="s">
        <v>16391</v>
      </c>
      <c r="AD258" s="58"/>
      <c r="AE258" s="58"/>
      <c r="AF258" s="58"/>
      <c r="AG258" s="58"/>
      <c r="AH258" s="58"/>
      <c r="AI258" s="58"/>
      <c r="AJ258" s="58"/>
      <c r="AK258" s="56" t="s">
        <v>1285</v>
      </c>
      <c r="AL258" s="56" t="s">
        <v>16527</v>
      </c>
      <c r="AM258" s="58"/>
      <c r="AN258" s="56" t="s">
        <v>15223</v>
      </c>
      <c r="AO258" s="58"/>
      <c r="AP258" s="63">
        <v>45849.7922800926</v>
      </c>
      <c r="AQ258" s="56" t="s">
        <v>16528</v>
      </c>
      <c r="AR258" s="61" t="s">
        <v>14645</v>
      </c>
      <c r="AS258" s="57" t="s">
        <v>14184</v>
      </c>
      <c r="AT258" s="56" t="s">
        <v>15177</v>
      </c>
      <c r="AU258" s="56" t="s">
        <v>16529</v>
      </c>
      <c r="AV258" s="58"/>
      <c r="AW258" s="64">
        <v>45812.422650463</v>
      </c>
      <c r="AX258" s="56" t="s">
        <v>16527</v>
      </c>
      <c r="AY258" s="56" t="s">
        <v>15179</v>
      </c>
      <c r="AZ258" s="58"/>
      <c r="BA258" s="58"/>
      <c r="BB258" s="58"/>
      <c r="BC258" s="56" t="s">
        <v>1308</v>
      </c>
      <c r="BD258" s="56" t="s">
        <v>15551</v>
      </c>
      <c r="BE258" s="56" t="s">
        <v>2833</v>
      </c>
      <c r="BF258" s="56" t="s">
        <v>15181</v>
      </c>
      <c r="BG258" s="58"/>
      <c r="BH258" s="58"/>
      <c r="BI258" s="57" t="s">
        <v>2801</v>
      </c>
      <c r="BJ258" s="58"/>
      <c r="BK258" s="58"/>
      <c r="BL258" s="66">
        <v>3492394</v>
      </c>
      <c r="BM258" s="56" t="s">
        <v>16530</v>
      </c>
      <c r="BN258" s="58"/>
      <c r="BO258" s="67">
        <v>36116.72</v>
      </c>
      <c r="BP258" s="56" t="s">
        <v>16395</v>
      </c>
      <c r="BQ258" s="58"/>
      <c r="BR258" s="56" t="s">
        <v>16531</v>
      </c>
      <c r="BS258" s="56" t="s">
        <v>1285</v>
      </c>
      <c r="BT258" s="58"/>
      <c r="BU258" s="56" t="s">
        <v>16528</v>
      </c>
      <c r="BV258" s="58"/>
      <c r="BW258" s="58"/>
      <c r="BX258" s="67">
        <v>36116.72</v>
      </c>
      <c r="BY258" s="56" t="s">
        <v>1285</v>
      </c>
      <c r="BZ258" s="58"/>
      <c r="CA258" s="58"/>
      <c r="CB258" s="58"/>
      <c r="CC258" s="58"/>
      <c r="CD258" s="58"/>
    </row>
    <row r="259" ht="108" spans="1:82">
      <c r="A259" s="56" t="s">
        <v>16532</v>
      </c>
      <c r="B259" s="58"/>
      <c r="C259" s="57" t="s">
        <v>16533</v>
      </c>
      <c r="D259" s="58"/>
      <c r="E259" s="57" t="s">
        <v>15158</v>
      </c>
      <c r="F259" s="57" t="s">
        <v>16534</v>
      </c>
      <c r="G259" s="57" t="s">
        <v>15160</v>
      </c>
      <c r="H259" s="56" t="s">
        <v>3898</v>
      </c>
      <c r="I259" s="60">
        <v>36116.72</v>
      </c>
      <c r="J259" s="57" t="s">
        <v>1285</v>
      </c>
      <c r="K259" s="57" t="s">
        <v>15162</v>
      </c>
      <c r="L259" s="57" t="s">
        <v>15163</v>
      </c>
      <c r="M259" s="61" t="s">
        <v>16481</v>
      </c>
      <c r="N259" s="62" t="s">
        <v>16280</v>
      </c>
      <c r="O259" s="57" t="s">
        <v>15165</v>
      </c>
      <c r="P259" s="57" t="s">
        <v>15166</v>
      </c>
      <c r="Q259" s="57" t="s">
        <v>3898</v>
      </c>
      <c r="R259" s="57" t="s">
        <v>15383</v>
      </c>
      <c r="S259" s="57" t="s">
        <v>15384</v>
      </c>
      <c r="T259" s="57" t="s">
        <v>15190</v>
      </c>
      <c r="U259" s="57" t="s">
        <v>14184</v>
      </c>
      <c r="V259" s="56" t="s">
        <v>14153</v>
      </c>
      <c r="W259" s="58"/>
      <c r="X259" s="57" t="s">
        <v>16535</v>
      </c>
      <c r="Y259" s="57" t="s">
        <v>15170</v>
      </c>
      <c r="Z259" s="61" t="s">
        <v>16389</v>
      </c>
      <c r="AA259" s="61" t="s">
        <v>16481</v>
      </c>
      <c r="AB259" s="58"/>
      <c r="AC259" s="57" t="s">
        <v>16391</v>
      </c>
      <c r="AD259" s="58"/>
      <c r="AE259" s="58"/>
      <c r="AF259" s="58"/>
      <c r="AG259" s="58"/>
      <c r="AH259" s="58"/>
      <c r="AI259" s="58"/>
      <c r="AJ259" s="58"/>
      <c r="AK259" s="56" t="s">
        <v>1285</v>
      </c>
      <c r="AL259" s="56" t="s">
        <v>16536</v>
      </c>
      <c r="AM259" s="58"/>
      <c r="AN259" s="56" t="s">
        <v>15193</v>
      </c>
      <c r="AO259" s="58"/>
      <c r="AP259" s="63">
        <v>45849.7927430556</v>
      </c>
      <c r="AQ259" s="56" t="s">
        <v>16537</v>
      </c>
      <c r="AR259" s="61" t="s">
        <v>14645</v>
      </c>
      <c r="AS259" s="57" t="s">
        <v>14184</v>
      </c>
      <c r="AT259" s="56" t="s">
        <v>15177</v>
      </c>
      <c r="AU259" s="56" t="s">
        <v>16538</v>
      </c>
      <c r="AV259" s="58"/>
      <c r="AW259" s="64">
        <v>45804.7479513889</v>
      </c>
      <c r="AX259" s="56" t="s">
        <v>16536</v>
      </c>
      <c r="AY259" s="56" t="s">
        <v>15179</v>
      </c>
      <c r="AZ259" s="58"/>
      <c r="BA259" s="58"/>
      <c r="BB259" s="58"/>
      <c r="BC259" s="56" t="s">
        <v>1308</v>
      </c>
      <c r="BD259" s="56" t="s">
        <v>15551</v>
      </c>
      <c r="BE259" s="56" t="s">
        <v>2833</v>
      </c>
      <c r="BF259" s="56" t="s">
        <v>15181</v>
      </c>
      <c r="BG259" s="58"/>
      <c r="BH259" s="58"/>
      <c r="BI259" s="57" t="s">
        <v>2801</v>
      </c>
      <c r="BJ259" s="58"/>
      <c r="BK259" s="58"/>
      <c r="BL259" s="66">
        <v>3492394</v>
      </c>
      <c r="BM259" s="56" t="s">
        <v>16539</v>
      </c>
      <c r="BN259" s="58"/>
      <c r="BO259" s="67">
        <v>36116.72</v>
      </c>
      <c r="BP259" s="56" t="s">
        <v>16395</v>
      </c>
      <c r="BQ259" s="58"/>
      <c r="BR259" s="56" t="s">
        <v>16540</v>
      </c>
      <c r="BS259" s="56" t="s">
        <v>1285</v>
      </c>
      <c r="BT259" s="58"/>
      <c r="BU259" s="56" t="s">
        <v>16537</v>
      </c>
      <c r="BV259" s="58"/>
      <c r="BW259" s="58"/>
      <c r="BX259" s="67">
        <v>36116.72</v>
      </c>
      <c r="BY259" s="56" t="s">
        <v>1285</v>
      </c>
      <c r="BZ259" s="58"/>
      <c r="CA259" s="58"/>
      <c r="CB259" s="58"/>
      <c r="CC259" s="58"/>
      <c r="CD259" s="58"/>
    </row>
    <row r="260" ht="108" spans="1:82">
      <c r="A260" s="56" t="s">
        <v>16541</v>
      </c>
      <c r="B260" s="58"/>
      <c r="C260" s="57" t="s">
        <v>16542</v>
      </c>
      <c r="D260" s="58"/>
      <c r="E260" s="57" t="s">
        <v>15158</v>
      </c>
      <c r="F260" s="57" t="s">
        <v>16543</v>
      </c>
      <c r="G260" s="57" t="s">
        <v>15160</v>
      </c>
      <c r="H260" s="56" t="s">
        <v>2932</v>
      </c>
      <c r="I260" s="60">
        <v>31177.45</v>
      </c>
      <c r="J260" s="57" t="s">
        <v>1285</v>
      </c>
      <c r="K260" s="57" t="s">
        <v>15162</v>
      </c>
      <c r="L260" s="57" t="s">
        <v>15163</v>
      </c>
      <c r="M260" s="61" t="s">
        <v>16481</v>
      </c>
      <c r="N260" s="62" t="s">
        <v>15515</v>
      </c>
      <c r="O260" s="57" t="s">
        <v>15165</v>
      </c>
      <c r="P260" s="57" t="s">
        <v>15166</v>
      </c>
      <c r="Q260" s="57" t="s">
        <v>2932</v>
      </c>
      <c r="R260" s="57" t="s">
        <v>16053</v>
      </c>
      <c r="S260" s="57" t="s">
        <v>16054</v>
      </c>
      <c r="T260" s="57" t="s">
        <v>15190</v>
      </c>
      <c r="U260" s="57" t="s">
        <v>14184</v>
      </c>
      <c r="V260" s="56" t="s">
        <v>14153</v>
      </c>
      <c r="W260" s="58"/>
      <c r="X260" s="57" t="s">
        <v>16544</v>
      </c>
      <c r="Y260" s="57" t="s">
        <v>15170</v>
      </c>
      <c r="Z260" s="61" t="s">
        <v>16389</v>
      </c>
      <c r="AA260" s="61" t="s">
        <v>16481</v>
      </c>
      <c r="AB260" s="58"/>
      <c r="AC260" s="57" t="s">
        <v>16391</v>
      </c>
      <c r="AD260" s="58"/>
      <c r="AE260" s="58"/>
      <c r="AF260" s="58"/>
      <c r="AG260" s="58"/>
      <c r="AH260" s="58"/>
      <c r="AI260" s="58"/>
      <c r="AJ260" s="58"/>
      <c r="AK260" s="56" t="s">
        <v>1285</v>
      </c>
      <c r="AL260" s="56" t="s">
        <v>16545</v>
      </c>
      <c r="AM260" s="58"/>
      <c r="AN260" s="56" t="s">
        <v>15845</v>
      </c>
      <c r="AO260" s="58"/>
      <c r="AP260" s="63">
        <v>45849.6615740741</v>
      </c>
      <c r="AQ260" s="56" t="s">
        <v>16546</v>
      </c>
      <c r="AR260" s="61" t="s">
        <v>14645</v>
      </c>
      <c r="AS260" s="57" t="s">
        <v>14184</v>
      </c>
      <c r="AT260" s="56" t="s">
        <v>15177</v>
      </c>
      <c r="AU260" s="56" t="s">
        <v>16547</v>
      </c>
      <c r="AV260" s="58"/>
      <c r="AW260" s="64">
        <v>45791.7462152778</v>
      </c>
      <c r="AX260" s="56" t="s">
        <v>16545</v>
      </c>
      <c r="AY260" s="56" t="s">
        <v>15179</v>
      </c>
      <c r="AZ260" s="58"/>
      <c r="BA260" s="58"/>
      <c r="BB260" s="58"/>
      <c r="BC260" s="56" t="s">
        <v>15965</v>
      </c>
      <c r="BD260" s="56" t="s">
        <v>15197</v>
      </c>
      <c r="BE260" s="58"/>
      <c r="BF260" s="56" t="s">
        <v>15181</v>
      </c>
      <c r="BG260" s="58"/>
      <c r="BH260" s="58"/>
      <c r="BI260" s="57" t="s">
        <v>2801</v>
      </c>
      <c r="BJ260" s="58"/>
      <c r="BK260" s="58"/>
      <c r="BL260" s="66">
        <v>3557931</v>
      </c>
      <c r="BM260" s="56" t="s">
        <v>16548</v>
      </c>
      <c r="BN260" s="58"/>
      <c r="BO260" s="67">
        <v>31177.45</v>
      </c>
      <c r="BP260" s="56" t="s">
        <v>16395</v>
      </c>
      <c r="BQ260" s="58"/>
      <c r="BR260" s="56" t="s">
        <v>16549</v>
      </c>
      <c r="BS260" s="56" t="s">
        <v>1285</v>
      </c>
      <c r="BT260" s="58"/>
      <c r="BU260" s="56" t="s">
        <v>16546</v>
      </c>
      <c r="BV260" s="58"/>
      <c r="BW260" s="58"/>
      <c r="BX260" s="67">
        <v>31177.45</v>
      </c>
      <c r="BY260" s="58"/>
      <c r="BZ260" s="58"/>
      <c r="CA260" s="58"/>
      <c r="CB260" s="58"/>
      <c r="CC260" s="58"/>
      <c r="CD260" s="58"/>
    </row>
    <row r="261" ht="108" spans="1:82">
      <c r="A261" s="56" t="s">
        <v>16550</v>
      </c>
      <c r="B261" s="57" t="s">
        <v>15950</v>
      </c>
      <c r="C261" s="58"/>
      <c r="D261" s="57" t="s">
        <v>16551</v>
      </c>
      <c r="E261" s="57" t="s">
        <v>15158</v>
      </c>
      <c r="F261" s="57" t="s">
        <v>16552</v>
      </c>
      <c r="G261" s="57" t="s">
        <v>15160</v>
      </c>
      <c r="H261" s="56" t="s">
        <v>15282</v>
      </c>
      <c r="I261" s="60">
        <v>19900</v>
      </c>
      <c r="J261" s="57" t="s">
        <v>1285</v>
      </c>
      <c r="K261" s="57" t="s">
        <v>15162</v>
      </c>
      <c r="L261" s="57" t="s">
        <v>15163</v>
      </c>
      <c r="M261" s="61" t="s">
        <v>14159</v>
      </c>
      <c r="N261" s="62" t="s">
        <v>16438</v>
      </c>
      <c r="O261" s="57" t="s">
        <v>15165</v>
      </c>
      <c r="P261" s="57" t="s">
        <v>15166</v>
      </c>
      <c r="Q261" s="57" t="s">
        <v>15282</v>
      </c>
      <c r="R261" s="57" t="s">
        <v>15283</v>
      </c>
      <c r="S261" s="57" t="s">
        <v>15284</v>
      </c>
      <c r="T261" s="58"/>
      <c r="U261" s="57" t="s">
        <v>14184</v>
      </c>
      <c r="V261" s="56" t="s">
        <v>14153</v>
      </c>
      <c r="W261" s="58"/>
      <c r="X261" s="57" t="s">
        <v>16553</v>
      </c>
      <c r="Y261" s="57" t="s">
        <v>15443</v>
      </c>
      <c r="Z261" s="61" t="s">
        <v>14191</v>
      </c>
      <c r="AA261" s="61" t="s">
        <v>14159</v>
      </c>
      <c r="AB261" s="57" t="s">
        <v>15171</v>
      </c>
      <c r="AC261" s="57" t="s">
        <v>16391</v>
      </c>
      <c r="AD261" s="58"/>
      <c r="AE261" s="58"/>
      <c r="AF261" s="57" t="s">
        <v>15173</v>
      </c>
      <c r="AG261" s="58"/>
      <c r="AH261" s="58"/>
      <c r="AI261" s="57" t="s">
        <v>15173</v>
      </c>
      <c r="AJ261" s="58"/>
      <c r="AK261" s="56" t="s">
        <v>1285</v>
      </c>
      <c r="AL261" s="56" t="s">
        <v>16554</v>
      </c>
      <c r="AM261" s="58"/>
      <c r="AN261" s="56" t="s">
        <v>15455</v>
      </c>
      <c r="AO261" s="58"/>
      <c r="AP261" s="63">
        <v>45848.7872453704</v>
      </c>
      <c r="AQ261" s="56" t="s">
        <v>16555</v>
      </c>
      <c r="AR261" s="61" t="s">
        <v>14645</v>
      </c>
      <c r="AS261" s="58"/>
      <c r="AT261" s="56" t="s">
        <v>15957</v>
      </c>
      <c r="AU261" s="56" t="s">
        <v>16556</v>
      </c>
      <c r="AV261" s="56" t="s">
        <v>16551</v>
      </c>
      <c r="AW261" s="64">
        <v>45841.7588078704</v>
      </c>
      <c r="AX261" s="56" t="s">
        <v>16554</v>
      </c>
      <c r="AY261" s="56" t="s">
        <v>15179</v>
      </c>
      <c r="AZ261" s="58"/>
      <c r="BA261" s="58"/>
      <c r="BB261" s="58"/>
      <c r="BC261" s="58"/>
      <c r="BD261" s="56" t="s">
        <v>15959</v>
      </c>
      <c r="BE261" s="58"/>
      <c r="BF261" s="56" t="s">
        <v>15181</v>
      </c>
      <c r="BG261" s="58"/>
      <c r="BH261" s="58"/>
      <c r="BI261" s="57" t="s">
        <v>15291</v>
      </c>
      <c r="BJ261" s="58"/>
      <c r="BK261" s="58"/>
      <c r="BL261" s="58"/>
      <c r="BM261" s="58"/>
      <c r="BN261" s="67">
        <v>19900</v>
      </c>
      <c r="BO261" s="58"/>
      <c r="BP261" s="56" t="s">
        <v>16395</v>
      </c>
      <c r="BQ261" s="58"/>
      <c r="BR261" s="58"/>
      <c r="BS261" s="58"/>
      <c r="BT261" s="56" t="s">
        <v>1285</v>
      </c>
      <c r="BU261" s="56" t="s">
        <v>16555</v>
      </c>
      <c r="BV261" s="58"/>
      <c r="BW261" s="58"/>
      <c r="BX261" s="67">
        <v>19900</v>
      </c>
      <c r="BY261" s="58"/>
      <c r="BZ261" s="56" t="s">
        <v>15160</v>
      </c>
      <c r="CA261" s="58"/>
      <c r="CB261" s="58"/>
      <c r="CC261" s="58"/>
      <c r="CD261" s="58"/>
    </row>
    <row r="262" ht="108" spans="1:82">
      <c r="A262" s="56" t="s">
        <v>16557</v>
      </c>
      <c r="B262" s="57" t="s">
        <v>15156</v>
      </c>
      <c r="C262" s="58"/>
      <c r="D262" s="57" t="s">
        <v>16558</v>
      </c>
      <c r="E262" s="57" t="s">
        <v>15158</v>
      </c>
      <c r="F262" s="57" t="s">
        <v>16559</v>
      </c>
      <c r="G262" s="57" t="s">
        <v>15160</v>
      </c>
      <c r="H262" s="56" t="s">
        <v>15268</v>
      </c>
      <c r="I262" s="60">
        <v>40980</v>
      </c>
      <c r="J262" s="57" t="s">
        <v>1285</v>
      </c>
      <c r="K262" s="57" t="s">
        <v>15162</v>
      </c>
      <c r="L262" s="57" t="s">
        <v>15163</v>
      </c>
      <c r="M262" s="61" t="s">
        <v>14159</v>
      </c>
      <c r="N262" s="62" t="s">
        <v>15448</v>
      </c>
      <c r="O262" s="57" t="s">
        <v>15165</v>
      </c>
      <c r="P262" s="57" t="s">
        <v>15166</v>
      </c>
      <c r="Q262" s="57" t="s">
        <v>15268</v>
      </c>
      <c r="R262" s="57" t="s">
        <v>15269</v>
      </c>
      <c r="S262" s="57" t="s">
        <v>15270</v>
      </c>
      <c r="T262" s="58"/>
      <c r="U262" s="57" t="s">
        <v>14184</v>
      </c>
      <c r="V262" s="56" t="s">
        <v>14153</v>
      </c>
      <c r="W262" s="58"/>
      <c r="X262" s="57" t="s">
        <v>16439</v>
      </c>
      <c r="Y262" s="57" t="s">
        <v>15170</v>
      </c>
      <c r="Z262" s="61" t="s">
        <v>16389</v>
      </c>
      <c r="AA262" s="61" t="s">
        <v>14159</v>
      </c>
      <c r="AB262" s="57" t="s">
        <v>15171</v>
      </c>
      <c r="AC262" s="57" t="s">
        <v>16391</v>
      </c>
      <c r="AD262" s="58"/>
      <c r="AE262" s="58"/>
      <c r="AF262" s="57" t="s">
        <v>15173</v>
      </c>
      <c r="AG262" s="58"/>
      <c r="AH262" s="58"/>
      <c r="AI262" s="57" t="s">
        <v>15173</v>
      </c>
      <c r="AJ262" s="58"/>
      <c r="AK262" s="56" t="s">
        <v>1285</v>
      </c>
      <c r="AL262" s="56" t="s">
        <v>16560</v>
      </c>
      <c r="AM262" s="58"/>
      <c r="AN262" s="56" t="s">
        <v>15446</v>
      </c>
      <c r="AO262" s="58"/>
      <c r="AP262" s="63">
        <v>45848.7918055556</v>
      </c>
      <c r="AQ262" s="56" t="s">
        <v>16561</v>
      </c>
      <c r="AR262" s="61" t="s">
        <v>14645</v>
      </c>
      <c r="AS262" s="57" t="s">
        <v>14184</v>
      </c>
      <c r="AT262" s="56" t="s">
        <v>15177</v>
      </c>
      <c r="AU262" s="56" t="s">
        <v>16562</v>
      </c>
      <c r="AV262" s="58"/>
      <c r="AW262" s="64">
        <v>45838.6850694444</v>
      </c>
      <c r="AX262" s="56" t="s">
        <v>16560</v>
      </c>
      <c r="AY262" s="56" t="s">
        <v>15179</v>
      </c>
      <c r="AZ262" s="58"/>
      <c r="BA262" s="58"/>
      <c r="BB262" s="58"/>
      <c r="BC262" s="58"/>
      <c r="BD262" s="56" t="s">
        <v>15276</v>
      </c>
      <c r="BE262" s="56" t="s">
        <v>15277</v>
      </c>
      <c r="BF262" s="56" t="s">
        <v>15181</v>
      </c>
      <c r="BG262" s="58"/>
      <c r="BH262" s="58"/>
      <c r="BI262" s="57" t="s">
        <v>2801</v>
      </c>
      <c r="BJ262" s="58"/>
      <c r="BK262" s="58"/>
      <c r="BL262" s="58"/>
      <c r="BM262" s="58"/>
      <c r="BN262" s="67">
        <v>40980</v>
      </c>
      <c r="BO262" s="58"/>
      <c r="BP262" s="56" t="s">
        <v>16395</v>
      </c>
      <c r="BQ262" s="58"/>
      <c r="BR262" s="58"/>
      <c r="BS262" s="58"/>
      <c r="BT262" s="56" t="s">
        <v>1285</v>
      </c>
      <c r="BU262" s="56" t="s">
        <v>16561</v>
      </c>
      <c r="BV262" s="58"/>
      <c r="BW262" s="58"/>
      <c r="BX262" s="67">
        <v>40980</v>
      </c>
      <c r="BY262" s="56" t="s">
        <v>1285</v>
      </c>
      <c r="BZ262" s="58"/>
      <c r="CA262" s="56" t="s">
        <v>15160</v>
      </c>
      <c r="CB262" s="56" t="s">
        <v>15183</v>
      </c>
      <c r="CC262" s="58"/>
      <c r="CD262" s="58"/>
    </row>
    <row r="263" ht="108" spans="1:82">
      <c r="A263" s="56" t="s">
        <v>16563</v>
      </c>
      <c r="B263" s="57" t="s">
        <v>15279</v>
      </c>
      <c r="C263" s="58"/>
      <c r="D263" s="57" t="s">
        <v>16564</v>
      </c>
      <c r="E263" s="57" t="s">
        <v>15158</v>
      </c>
      <c r="F263" s="57" t="s">
        <v>16565</v>
      </c>
      <c r="G263" s="57" t="s">
        <v>15160</v>
      </c>
      <c r="H263" s="56" t="s">
        <v>15282</v>
      </c>
      <c r="I263" s="60">
        <v>2406.55</v>
      </c>
      <c r="J263" s="57" t="s">
        <v>1285</v>
      </c>
      <c r="K263" s="57" t="s">
        <v>15162</v>
      </c>
      <c r="L263" s="57" t="s">
        <v>15163</v>
      </c>
      <c r="M263" s="61" t="s">
        <v>14159</v>
      </c>
      <c r="N263" s="62" t="s">
        <v>16566</v>
      </c>
      <c r="O263" s="57" t="s">
        <v>15165</v>
      </c>
      <c r="P263" s="57" t="s">
        <v>15166</v>
      </c>
      <c r="Q263" s="57" t="s">
        <v>15282</v>
      </c>
      <c r="R263" s="57" t="s">
        <v>15283</v>
      </c>
      <c r="S263" s="57" t="s">
        <v>15284</v>
      </c>
      <c r="T263" s="58"/>
      <c r="U263" s="57" t="s">
        <v>14184</v>
      </c>
      <c r="V263" s="56" t="s">
        <v>14153</v>
      </c>
      <c r="W263" s="58"/>
      <c r="X263" s="57" t="s">
        <v>16567</v>
      </c>
      <c r="Y263" s="57" t="s">
        <v>15170</v>
      </c>
      <c r="Z263" s="61" t="s">
        <v>16389</v>
      </c>
      <c r="AA263" s="61" t="s">
        <v>14159</v>
      </c>
      <c r="AB263" s="57" t="s">
        <v>15171</v>
      </c>
      <c r="AC263" s="57" t="s">
        <v>16391</v>
      </c>
      <c r="AD263" s="58"/>
      <c r="AE263" s="58"/>
      <c r="AF263" s="57" t="s">
        <v>15173</v>
      </c>
      <c r="AG263" s="58"/>
      <c r="AH263" s="58"/>
      <c r="AI263" s="57" t="s">
        <v>15173</v>
      </c>
      <c r="AJ263" s="58"/>
      <c r="AK263" s="56" t="s">
        <v>1285</v>
      </c>
      <c r="AL263" s="56" t="s">
        <v>16568</v>
      </c>
      <c r="AM263" s="58"/>
      <c r="AN263" s="56" t="s">
        <v>15909</v>
      </c>
      <c r="AO263" s="58"/>
      <c r="AP263" s="63">
        <v>45848.7914467593</v>
      </c>
      <c r="AQ263" s="56" t="s">
        <v>16569</v>
      </c>
      <c r="AR263" s="61" t="s">
        <v>14645</v>
      </c>
      <c r="AS263" s="58"/>
      <c r="AT263" s="56" t="s">
        <v>15289</v>
      </c>
      <c r="AU263" s="56" t="s">
        <v>16570</v>
      </c>
      <c r="AV263" s="56" t="s">
        <v>16564</v>
      </c>
      <c r="AW263" s="64">
        <v>45831.4921875</v>
      </c>
      <c r="AX263" s="56" t="s">
        <v>16568</v>
      </c>
      <c r="AY263" s="56" t="s">
        <v>15179</v>
      </c>
      <c r="AZ263" s="58"/>
      <c r="BA263" s="58"/>
      <c r="BB263" s="58"/>
      <c r="BC263" s="58"/>
      <c r="BD263" s="56" t="s">
        <v>15741</v>
      </c>
      <c r="BE263" s="58"/>
      <c r="BF263" s="56" t="s">
        <v>15181</v>
      </c>
      <c r="BG263" s="58"/>
      <c r="BH263" s="58"/>
      <c r="BI263" s="57" t="s">
        <v>15291</v>
      </c>
      <c r="BJ263" s="58"/>
      <c r="BK263" s="58"/>
      <c r="BL263" s="58"/>
      <c r="BM263" s="58"/>
      <c r="BN263" s="67">
        <v>2406.55</v>
      </c>
      <c r="BO263" s="58"/>
      <c r="BP263" s="56" t="s">
        <v>16395</v>
      </c>
      <c r="BQ263" s="58"/>
      <c r="BR263" s="58"/>
      <c r="BS263" s="58"/>
      <c r="BT263" s="56" t="s">
        <v>1285</v>
      </c>
      <c r="BU263" s="56" t="s">
        <v>16569</v>
      </c>
      <c r="BV263" s="58"/>
      <c r="BW263" s="58"/>
      <c r="BX263" s="67">
        <v>2406.55</v>
      </c>
      <c r="BY263" s="58"/>
      <c r="BZ263" s="56" t="s">
        <v>15160</v>
      </c>
      <c r="CA263" s="58"/>
      <c r="CB263" s="58"/>
      <c r="CC263" s="58"/>
      <c r="CD263" s="58"/>
    </row>
    <row r="264" ht="108" spans="1:82">
      <c r="A264" s="56" t="s">
        <v>16571</v>
      </c>
      <c r="B264" s="57" t="s">
        <v>15156</v>
      </c>
      <c r="C264" s="58"/>
      <c r="D264" s="57" t="s">
        <v>16572</v>
      </c>
      <c r="E264" s="57" t="s">
        <v>15158</v>
      </c>
      <c r="F264" s="57" t="s">
        <v>16573</v>
      </c>
      <c r="G264" s="57" t="s">
        <v>15160</v>
      </c>
      <c r="H264" s="56" t="s">
        <v>15282</v>
      </c>
      <c r="I264" s="60">
        <v>1400</v>
      </c>
      <c r="J264" s="57" t="s">
        <v>1285</v>
      </c>
      <c r="K264" s="57" t="s">
        <v>15162</v>
      </c>
      <c r="L264" s="57" t="s">
        <v>15163</v>
      </c>
      <c r="M264" s="61" t="s">
        <v>14159</v>
      </c>
      <c r="N264" s="62" t="s">
        <v>16574</v>
      </c>
      <c r="O264" s="57" t="s">
        <v>15165</v>
      </c>
      <c r="P264" s="57" t="s">
        <v>15166</v>
      </c>
      <c r="Q264" s="57" t="s">
        <v>15282</v>
      </c>
      <c r="R264" s="57" t="s">
        <v>15283</v>
      </c>
      <c r="S264" s="57" t="s">
        <v>15284</v>
      </c>
      <c r="T264" s="58"/>
      <c r="U264" s="57" t="s">
        <v>14184</v>
      </c>
      <c r="V264" s="56" t="s">
        <v>14153</v>
      </c>
      <c r="W264" s="58"/>
      <c r="X264" s="57" t="s">
        <v>16575</v>
      </c>
      <c r="Y264" s="57" t="s">
        <v>15170</v>
      </c>
      <c r="Z264" s="61" t="s">
        <v>16389</v>
      </c>
      <c r="AA264" s="61" t="s">
        <v>14159</v>
      </c>
      <c r="AB264" s="57" t="s">
        <v>15171</v>
      </c>
      <c r="AC264" s="57" t="s">
        <v>16391</v>
      </c>
      <c r="AD264" s="58"/>
      <c r="AE264" s="58"/>
      <c r="AF264" s="57" t="s">
        <v>15173</v>
      </c>
      <c r="AG264" s="58"/>
      <c r="AH264" s="58"/>
      <c r="AI264" s="57" t="s">
        <v>15173</v>
      </c>
      <c r="AJ264" s="58"/>
      <c r="AK264" s="56" t="s">
        <v>1285</v>
      </c>
      <c r="AL264" s="56" t="s">
        <v>16576</v>
      </c>
      <c r="AM264" s="58"/>
      <c r="AN264" s="56" t="s">
        <v>15858</v>
      </c>
      <c r="AO264" s="58"/>
      <c r="AP264" s="63">
        <v>45848.7934606482</v>
      </c>
      <c r="AQ264" s="56" t="s">
        <v>16577</v>
      </c>
      <c r="AR264" s="61" t="s">
        <v>14645</v>
      </c>
      <c r="AS264" s="57" t="s">
        <v>14184</v>
      </c>
      <c r="AT264" s="56" t="s">
        <v>15177</v>
      </c>
      <c r="AU264" s="56" t="s">
        <v>16578</v>
      </c>
      <c r="AV264" s="58"/>
      <c r="AW264" s="64">
        <v>45829.857337963</v>
      </c>
      <c r="AX264" s="56" t="s">
        <v>16576</v>
      </c>
      <c r="AY264" s="56" t="s">
        <v>15179</v>
      </c>
      <c r="AZ264" s="58"/>
      <c r="BA264" s="58"/>
      <c r="BB264" s="58"/>
      <c r="BC264" s="58"/>
      <c r="BD264" s="56" t="s">
        <v>15565</v>
      </c>
      <c r="BE264" s="58"/>
      <c r="BF264" s="56" t="s">
        <v>15181</v>
      </c>
      <c r="BG264" s="58"/>
      <c r="BH264" s="58"/>
      <c r="BI264" s="57" t="s">
        <v>15291</v>
      </c>
      <c r="BJ264" s="58"/>
      <c r="BK264" s="58"/>
      <c r="BL264" s="58"/>
      <c r="BM264" s="58"/>
      <c r="BN264" s="67">
        <v>1400</v>
      </c>
      <c r="BO264" s="58"/>
      <c r="BP264" s="56" t="s">
        <v>16395</v>
      </c>
      <c r="BQ264" s="58"/>
      <c r="BR264" s="58"/>
      <c r="BS264" s="58"/>
      <c r="BT264" s="56" t="s">
        <v>1285</v>
      </c>
      <c r="BU264" s="56" t="s">
        <v>16577</v>
      </c>
      <c r="BV264" s="58"/>
      <c r="BW264" s="58"/>
      <c r="BX264" s="67">
        <v>1400</v>
      </c>
      <c r="BY264" s="58"/>
      <c r="BZ264" s="58"/>
      <c r="CA264" s="56" t="s">
        <v>15160</v>
      </c>
      <c r="CB264" s="56" t="s">
        <v>15183</v>
      </c>
      <c r="CC264" s="58"/>
      <c r="CD264" s="58"/>
    </row>
    <row r="265" ht="121.5" spans="1:82">
      <c r="A265" s="56" t="s">
        <v>16579</v>
      </c>
      <c r="B265" s="58"/>
      <c r="C265" s="57" t="s">
        <v>16580</v>
      </c>
      <c r="D265" s="58"/>
      <c r="E265" s="57" t="s">
        <v>15158</v>
      </c>
      <c r="F265" s="57" t="s">
        <v>16581</v>
      </c>
      <c r="G265" s="57" t="s">
        <v>15160</v>
      </c>
      <c r="H265" s="56" t="s">
        <v>3816</v>
      </c>
      <c r="I265" s="60">
        <v>11498.8</v>
      </c>
      <c r="J265" s="57" t="s">
        <v>1285</v>
      </c>
      <c r="K265" s="57" t="s">
        <v>15162</v>
      </c>
      <c r="L265" s="57" t="s">
        <v>15163</v>
      </c>
      <c r="M265" s="61" t="s">
        <v>14159</v>
      </c>
      <c r="N265" s="62" t="s">
        <v>16507</v>
      </c>
      <c r="O265" s="57" t="s">
        <v>15165</v>
      </c>
      <c r="P265" s="57" t="s">
        <v>15166</v>
      </c>
      <c r="Q265" s="57" t="s">
        <v>3816</v>
      </c>
      <c r="R265" s="57" t="s">
        <v>15841</v>
      </c>
      <c r="S265" s="57" t="s">
        <v>15842</v>
      </c>
      <c r="T265" s="57" t="s">
        <v>15190</v>
      </c>
      <c r="U265" s="57" t="s">
        <v>14184</v>
      </c>
      <c r="V265" s="56" t="s">
        <v>14153</v>
      </c>
      <c r="W265" s="58"/>
      <c r="X265" s="57" t="s">
        <v>16582</v>
      </c>
      <c r="Y265" s="57" t="s">
        <v>15170</v>
      </c>
      <c r="Z265" s="61" t="s">
        <v>16389</v>
      </c>
      <c r="AA265" s="61" t="s">
        <v>14159</v>
      </c>
      <c r="AB265" s="58"/>
      <c r="AC265" s="57" t="s">
        <v>16391</v>
      </c>
      <c r="AD265" s="58"/>
      <c r="AE265" s="58"/>
      <c r="AF265" s="58"/>
      <c r="AG265" s="58"/>
      <c r="AH265" s="58"/>
      <c r="AI265" s="58"/>
      <c r="AJ265" s="58"/>
      <c r="AK265" s="56" t="s">
        <v>1285</v>
      </c>
      <c r="AL265" s="56" t="s">
        <v>16583</v>
      </c>
      <c r="AM265" s="58"/>
      <c r="AN265" s="56" t="s">
        <v>16584</v>
      </c>
      <c r="AO265" s="58"/>
      <c r="AP265" s="63">
        <v>45848.7865162037</v>
      </c>
      <c r="AQ265" s="56" t="s">
        <v>16585</v>
      </c>
      <c r="AR265" s="61" t="s">
        <v>14645</v>
      </c>
      <c r="AS265" s="57" t="s">
        <v>14184</v>
      </c>
      <c r="AT265" s="56" t="s">
        <v>15177</v>
      </c>
      <c r="AU265" s="56" t="s">
        <v>16586</v>
      </c>
      <c r="AV265" s="58"/>
      <c r="AW265" s="64">
        <v>45823.619537037</v>
      </c>
      <c r="AX265" s="56" t="s">
        <v>16583</v>
      </c>
      <c r="AY265" s="56" t="s">
        <v>15179</v>
      </c>
      <c r="AZ265" s="58"/>
      <c r="BA265" s="58"/>
      <c r="BB265" s="58"/>
      <c r="BC265" s="56" t="s">
        <v>3124</v>
      </c>
      <c r="BD265" s="56" t="s">
        <v>15353</v>
      </c>
      <c r="BE265" s="56" t="s">
        <v>2856</v>
      </c>
      <c r="BF265" s="56" t="s">
        <v>15181</v>
      </c>
      <c r="BG265" s="58"/>
      <c r="BH265" s="58"/>
      <c r="BI265" s="57" t="s">
        <v>2801</v>
      </c>
      <c r="BJ265" s="58"/>
      <c r="BK265" s="58"/>
      <c r="BL265" s="66">
        <v>3604166</v>
      </c>
      <c r="BM265" s="56" t="s">
        <v>16587</v>
      </c>
      <c r="BN265" s="58"/>
      <c r="BO265" s="67">
        <v>11498.8</v>
      </c>
      <c r="BP265" s="56" t="s">
        <v>16395</v>
      </c>
      <c r="BQ265" s="58"/>
      <c r="BR265" s="56" t="s">
        <v>16588</v>
      </c>
      <c r="BS265" s="56" t="s">
        <v>1285</v>
      </c>
      <c r="BT265" s="58"/>
      <c r="BU265" s="56" t="s">
        <v>16585</v>
      </c>
      <c r="BV265" s="58"/>
      <c r="BW265" s="58"/>
      <c r="BX265" s="67">
        <v>11498.8</v>
      </c>
      <c r="BY265" s="56" t="s">
        <v>1285</v>
      </c>
      <c r="BZ265" s="58"/>
      <c r="CA265" s="58"/>
      <c r="CB265" s="58"/>
      <c r="CC265" s="58"/>
      <c r="CD265" s="58"/>
    </row>
    <row r="266" ht="108" spans="1:82">
      <c r="A266" s="56" t="s">
        <v>16589</v>
      </c>
      <c r="B266" s="58"/>
      <c r="C266" s="57" t="s">
        <v>16590</v>
      </c>
      <c r="D266" s="58"/>
      <c r="E266" s="57" t="s">
        <v>15158</v>
      </c>
      <c r="F266" s="57" t="s">
        <v>16591</v>
      </c>
      <c r="G266" s="57" t="s">
        <v>15160</v>
      </c>
      <c r="H266" s="56" t="s">
        <v>3812</v>
      </c>
      <c r="I266" s="60">
        <v>12560.07</v>
      </c>
      <c r="J266" s="57" t="s">
        <v>1285</v>
      </c>
      <c r="K266" s="57" t="s">
        <v>15162</v>
      </c>
      <c r="L266" s="57" t="s">
        <v>15163</v>
      </c>
      <c r="M266" s="61" t="s">
        <v>14159</v>
      </c>
      <c r="N266" s="62" t="s">
        <v>16507</v>
      </c>
      <c r="O266" s="57" t="s">
        <v>15165</v>
      </c>
      <c r="P266" s="57" t="s">
        <v>15166</v>
      </c>
      <c r="Q266" s="57" t="s">
        <v>3812</v>
      </c>
      <c r="R266" s="57" t="s">
        <v>16592</v>
      </c>
      <c r="S266" s="57" t="s">
        <v>16593</v>
      </c>
      <c r="T266" s="57" t="s">
        <v>15190</v>
      </c>
      <c r="U266" s="57" t="s">
        <v>14184</v>
      </c>
      <c r="V266" s="56" t="s">
        <v>14153</v>
      </c>
      <c r="W266" s="58"/>
      <c r="X266" s="57" t="s">
        <v>16594</v>
      </c>
      <c r="Y266" s="57" t="s">
        <v>15170</v>
      </c>
      <c r="Z266" s="61" t="s">
        <v>16389</v>
      </c>
      <c r="AA266" s="61" t="s">
        <v>14159</v>
      </c>
      <c r="AB266" s="58"/>
      <c r="AC266" s="57" t="s">
        <v>16391</v>
      </c>
      <c r="AD266" s="58"/>
      <c r="AE266" s="58"/>
      <c r="AF266" s="58"/>
      <c r="AG266" s="58"/>
      <c r="AH266" s="58"/>
      <c r="AI266" s="58"/>
      <c r="AJ266" s="58"/>
      <c r="AK266" s="56" t="s">
        <v>1285</v>
      </c>
      <c r="AL266" s="56" t="s">
        <v>16595</v>
      </c>
      <c r="AM266" s="58"/>
      <c r="AN266" s="56" t="s">
        <v>15798</v>
      </c>
      <c r="AO266" s="58"/>
      <c r="AP266" s="63">
        <v>45848.7874305556</v>
      </c>
      <c r="AQ266" s="56" t="s">
        <v>16596</v>
      </c>
      <c r="AR266" s="61" t="s">
        <v>14645</v>
      </c>
      <c r="AS266" s="57" t="s">
        <v>14184</v>
      </c>
      <c r="AT266" s="56" t="s">
        <v>15177</v>
      </c>
      <c r="AU266" s="56" t="s">
        <v>16597</v>
      </c>
      <c r="AV266" s="58"/>
      <c r="AW266" s="64">
        <v>45823.619375</v>
      </c>
      <c r="AX266" s="56" t="s">
        <v>16595</v>
      </c>
      <c r="AY266" s="56" t="s">
        <v>15179</v>
      </c>
      <c r="AZ266" s="58"/>
      <c r="BA266" s="58"/>
      <c r="BB266" s="58"/>
      <c r="BC266" s="56" t="s">
        <v>2902</v>
      </c>
      <c r="BD266" s="56" t="s">
        <v>15353</v>
      </c>
      <c r="BE266" s="56" t="s">
        <v>2866</v>
      </c>
      <c r="BF266" s="56" t="s">
        <v>15181</v>
      </c>
      <c r="BG266" s="58"/>
      <c r="BH266" s="58"/>
      <c r="BI266" s="57" t="s">
        <v>2801</v>
      </c>
      <c r="BJ266" s="58"/>
      <c r="BK266" s="58"/>
      <c r="BL266" s="66">
        <v>3528922</v>
      </c>
      <c r="BM266" s="56" t="s">
        <v>16598</v>
      </c>
      <c r="BN266" s="58"/>
      <c r="BO266" s="67">
        <v>12560.07</v>
      </c>
      <c r="BP266" s="56" t="s">
        <v>16395</v>
      </c>
      <c r="BQ266" s="58"/>
      <c r="BR266" s="56" t="s">
        <v>16599</v>
      </c>
      <c r="BS266" s="56" t="s">
        <v>1285</v>
      </c>
      <c r="BT266" s="58"/>
      <c r="BU266" s="56" t="s">
        <v>16596</v>
      </c>
      <c r="BV266" s="58"/>
      <c r="BW266" s="58"/>
      <c r="BX266" s="67">
        <v>12560.07</v>
      </c>
      <c r="BY266" s="56" t="s">
        <v>1285</v>
      </c>
      <c r="BZ266" s="58"/>
      <c r="CA266" s="58"/>
      <c r="CB266" s="58"/>
      <c r="CC266" s="58"/>
      <c r="CD266" s="58"/>
    </row>
    <row r="267" ht="108" spans="1:82">
      <c r="A267" s="56" t="s">
        <v>16600</v>
      </c>
      <c r="B267" s="58"/>
      <c r="C267" s="57" t="s">
        <v>16601</v>
      </c>
      <c r="D267" s="58"/>
      <c r="E267" s="57" t="s">
        <v>15158</v>
      </c>
      <c r="F267" s="57" t="s">
        <v>16602</v>
      </c>
      <c r="G267" s="57" t="s">
        <v>15160</v>
      </c>
      <c r="H267" s="56" t="s">
        <v>2920</v>
      </c>
      <c r="I267" s="60">
        <v>1409</v>
      </c>
      <c r="J267" s="57" t="s">
        <v>1285</v>
      </c>
      <c r="K267" s="57" t="s">
        <v>15162</v>
      </c>
      <c r="L267" s="57" t="s">
        <v>15163</v>
      </c>
      <c r="M267" s="61" t="s">
        <v>14159</v>
      </c>
      <c r="N267" s="62" t="s">
        <v>16507</v>
      </c>
      <c r="O267" s="57" t="s">
        <v>15165</v>
      </c>
      <c r="P267" s="57" t="s">
        <v>15166</v>
      </c>
      <c r="Q267" s="57" t="s">
        <v>2920</v>
      </c>
      <c r="R267" s="57" t="s">
        <v>15475</v>
      </c>
      <c r="S267" s="57" t="s">
        <v>15476</v>
      </c>
      <c r="T267" s="57" t="s">
        <v>15190</v>
      </c>
      <c r="U267" s="57" t="s">
        <v>14184</v>
      </c>
      <c r="V267" s="56" t="s">
        <v>14153</v>
      </c>
      <c r="W267" s="58"/>
      <c r="X267" s="57" t="s">
        <v>16603</v>
      </c>
      <c r="Y267" s="57" t="s">
        <v>15170</v>
      </c>
      <c r="Z267" s="61" t="s">
        <v>16389</v>
      </c>
      <c r="AA267" s="61" t="s">
        <v>14159</v>
      </c>
      <c r="AB267" s="58"/>
      <c r="AC267" s="57" t="s">
        <v>16391</v>
      </c>
      <c r="AD267" s="58"/>
      <c r="AE267" s="58"/>
      <c r="AF267" s="58"/>
      <c r="AG267" s="58"/>
      <c r="AH267" s="58"/>
      <c r="AI267" s="58"/>
      <c r="AJ267" s="58"/>
      <c r="AK267" s="56" t="s">
        <v>1285</v>
      </c>
      <c r="AL267" s="56" t="s">
        <v>16604</v>
      </c>
      <c r="AM267" s="58"/>
      <c r="AN267" s="56" t="s">
        <v>15899</v>
      </c>
      <c r="AO267" s="58"/>
      <c r="AP267" s="63">
        <v>45848.7870023148</v>
      </c>
      <c r="AQ267" s="56" t="s">
        <v>16605</v>
      </c>
      <c r="AR267" s="61" t="s">
        <v>14645</v>
      </c>
      <c r="AS267" s="57" t="s">
        <v>14184</v>
      </c>
      <c r="AT267" s="56" t="s">
        <v>15177</v>
      </c>
      <c r="AU267" s="56" t="s">
        <v>16606</v>
      </c>
      <c r="AV267" s="58"/>
      <c r="AW267" s="64">
        <v>45820.7704513889</v>
      </c>
      <c r="AX267" s="56" t="s">
        <v>16604</v>
      </c>
      <c r="AY267" s="56" t="s">
        <v>15179</v>
      </c>
      <c r="AZ267" s="58"/>
      <c r="BA267" s="58"/>
      <c r="BB267" s="58"/>
      <c r="BC267" s="56" t="s">
        <v>16607</v>
      </c>
      <c r="BD267" s="56" t="s">
        <v>16311</v>
      </c>
      <c r="BE267" s="56" t="s">
        <v>2861</v>
      </c>
      <c r="BF267" s="56" t="s">
        <v>15181</v>
      </c>
      <c r="BG267" s="58"/>
      <c r="BH267" s="58"/>
      <c r="BI267" s="57" t="s">
        <v>2801</v>
      </c>
      <c r="BJ267" s="58"/>
      <c r="BK267" s="58"/>
      <c r="BL267" s="66">
        <v>3496859</v>
      </c>
      <c r="BM267" s="56" t="s">
        <v>16608</v>
      </c>
      <c r="BN267" s="58"/>
      <c r="BO267" s="67">
        <v>1409</v>
      </c>
      <c r="BP267" s="56" t="s">
        <v>16395</v>
      </c>
      <c r="BQ267" s="58"/>
      <c r="BR267" s="56" t="s">
        <v>16609</v>
      </c>
      <c r="BS267" s="56" t="s">
        <v>1285</v>
      </c>
      <c r="BT267" s="58"/>
      <c r="BU267" s="56" t="s">
        <v>16605</v>
      </c>
      <c r="BV267" s="58"/>
      <c r="BW267" s="58"/>
      <c r="BX267" s="67">
        <v>1409</v>
      </c>
      <c r="BY267" s="56" t="s">
        <v>1285</v>
      </c>
      <c r="BZ267" s="58"/>
      <c r="CA267" s="58"/>
      <c r="CB267" s="58"/>
      <c r="CC267" s="58"/>
      <c r="CD267" s="58"/>
    </row>
    <row r="268" ht="108" spans="1:82">
      <c r="A268" s="56" t="s">
        <v>16610</v>
      </c>
      <c r="B268" s="58"/>
      <c r="C268" s="57" t="s">
        <v>16611</v>
      </c>
      <c r="D268" s="58"/>
      <c r="E268" s="57" t="s">
        <v>15158</v>
      </c>
      <c r="F268" s="57" t="s">
        <v>16612</v>
      </c>
      <c r="G268" s="57" t="s">
        <v>15160</v>
      </c>
      <c r="H268" s="56" t="s">
        <v>3512</v>
      </c>
      <c r="I268" s="60">
        <v>4980</v>
      </c>
      <c r="J268" s="57" t="s">
        <v>1285</v>
      </c>
      <c r="K268" s="57" t="s">
        <v>15162</v>
      </c>
      <c r="L268" s="57" t="s">
        <v>15163</v>
      </c>
      <c r="M268" s="61" t="s">
        <v>14159</v>
      </c>
      <c r="N268" s="62" t="s">
        <v>16507</v>
      </c>
      <c r="O268" s="57" t="s">
        <v>15165</v>
      </c>
      <c r="P268" s="57" t="s">
        <v>15166</v>
      </c>
      <c r="Q268" s="57" t="s">
        <v>3512</v>
      </c>
      <c r="R268" s="57" t="s">
        <v>16613</v>
      </c>
      <c r="S268" s="57" t="s">
        <v>16614</v>
      </c>
      <c r="T268" s="57" t="s">
        <v>15190</v>
      </c>
      <c r="U268" s="57" t="s">
        <v>14184</v>
      </c>
      <c r="V268" s="56" t="s">
        <v>14153</v>
      </c>
      <c r="W268" s="58"/>
      <c r="X268" s="57" t="s">
        <v>16615</v>
      </c>
      <c r="Y268" s="57" t="s">
        <v>15170</v>
      </c>
      <c r="Z268" s="61" t="s">
        <v>16389</v>
      </c>
      <c r="AA268" s="61" t="s">
        <v>14159</v>
      </c>
      <c r="AB268" s="58"/>
      <c r="AC268" s="57" t="s">
        <v>16391</v>
      </c>
      <c r="AD268" s="58"/>
      <c r="AE268" s="58"/>
      <c r="AF268" s="58"/>
      <c r="AG268" s="58"/>
      <c r="AH268" s="58"/>
      <c r="AI268" s="58"/>
      <c r="AJ268" s="58"/>
      <c r="AK268" s="56" t="s">
        <v>1285</v>
      </c>
      <c r="AL268" s="56" t="s">
        <v>16616</v>
      </c>
      <c r="AM268" s="58"/>
      <c r="AN268" s="56" t="s">
        <v>15210</v>
      </c>
      <c r="AO268" s="58"/>
      <c r="AP268" s="63">
        <v>45848.7912268518</v>
      </c>
      <c r="AQ268" s="56" t="s">
        <v>16617</v>
      </c>
      <c r="AR268" s="61" t="s">
        <v>14645</v>
      </c>
      <c r="AS268" s="57" t="s">
        <v>14184</v>
      </c>
      <c r="AT268" s="56" t="s">
        <v>15177</v>
      </c>
      <c r="AU268" s="56" t="s">
        <v>16618</v>
      </c>
      <c r="AV268" s="58"/>
      <c r="AW268" s="64">
        <v>45820.6058796296</v>
      </c>
      <c r="AX268" s="56" t="s">
        <v>16616</v>
      </c>
      <c r="AY268" s="56" t="s">
        <v>15179</v>
      </c>
      <c r="AZ268" s="58"/>
      <c r="BA268" s="58"/>
      <c r="BB268" s="58"/>
      <c r="BC268" s="56" t="s">
        <v>3510</v>
      </c>
      <c r="BD268" s="56" t="s">
        <v>15482</v>
      </c>
      <c r="BE268" s="58"/>
      <c r="BF268" s="56" t="s">
        <v>15181</v>
      </c>
      <c r="BG268" s="58"/>
      <c r="BH268" s="58"/>
      <c r="BI268" s="57" t="s">
        <v>2801</v>
      </c>
      <c r="BJ268" s="58"/>
      <c r="BK268" s="58"/>
      <c r="BL268" s="66">
        <v>3562994</v>
      </c>
      <c r="BM268" s="56" t="s">
        <v>16619</v>
      </c>
      <c r="BN268" s="58"/>
      <c r="BO268" s="67">
        <v>4980</v>
      </c>
      <c r="BP268" s="56" t="s">
        <v>16395</v>
      </c>
      <c r="BQ268" s="58"/>
      <c r="BR268" s="56" t="s">
        <v>16620</v>
      </c>
      <c r="BS268" s="56" t="s">
        <v>1285</v>
      </c>
      <c r="BT268" s="58"/>
      <c r="BU268" s="56" t="s">
        <v>16617</v>
      </c>
      <c r="BV268" s="58"/>
      <c r="BW268" s="58"/>
      <c r="BX268" s="67">
        <v>4980</v>
      </c>
      <c r="BY268" s="58"/>
      <c r="BZ268" s="58"/>
      <c r="CA268" s="58"/>
      <c r="CB268" s="58"/>
      <c r="CC268" s="58"/>
      <c r="CD268" s="58"/>
    </row>
    <row r="269" ht="121.5" spans="1:82">
      <c r="A269" s="56" t="s">
        <v>16621</v>
      </c>
      <c r="B269" s="58"/>
      <c r="C269" s="57" t="s">
        <v>16622</v>
      </c>
      <c r="D269" s="58"/>
      <c r="E269" s="57" t="s">
        <v>15158</v>
      </c>
      <c r="F269" s="57" t="s">
        <v>16623</v>
      </c>
      <c r="G269" s="57" t="s">
        <v>15160</v>
      </c>
      <c r="H269" s="56" t="s">
        <v>3951</v>
      </c>
      <c r="I269" s="60">
        <v>2373.5</v>
      </c>
      <c r="J269" s="57" t="s">
        <v>1285</v>
      </c>
      <c r="K269" s="57" t="s">
        <v>15162</v>
      </c>
      <c r="L269" s="57" t="s">
        <v>15163</v>
      </c>
      <c r="M269" s="61" t="s">
        <v>14159</v>
      </c>
      <c r="N269" s="62" t="s">
        <v>16507</v>
      </c>
      <c r="O269" s="57" t="s">
        <v>15165</v>
      </c>
      <c r="P269" s="57" t="s">
        <v>15166</v>
      </c>
      <c r="Q269" s="57" t="s">
        <v>3951</v>
      </c>
      <c r="R269" s="57" t="s">
        <v>16624</v>
      </c>
      <c r="S269" s="57" t="s">
        <v>16625</v>
      </c>
      <c r="T269" s="57" t="s">
        <v>15190</v>
      </c>
      <c r="U269" s="57" t="s">
        <v>14184</v>
      </c>
      <c r="V269" s="56" t="s">
        <v>14153</v>
      </c>
      <c r="W269" s="58"/>
      <c r="X269" s="57" t="s">
        <v>16626</v>
      </c>
      <c r="Y269" s="57" t="s">
        <v>15170</v>
      </c>
      <c r="Z269" s="61" t="s">
        <v>16389</v>
      </c>
      <c r="AA269" s="61" t="s">
        <v>14159</v>
      </c>
      <c r="AB269" s="58"/>
      <c r="AC269" s="57" t="s">
        <v>16391</v>
      </c>
      <c r="AD269" s="58"/>
      <c r="AE269" s="58"/>
      <c r="AF269" s="58"/>
      <c r="AG269" s="58"/>
      <c r="AH269" s="58"/>
      <c r="AI269" s="58"/>
      <c r="AJ269" s="58"/>
      <c r="AK269" s="56" t="s">
        <v>1285</v>
      </c>
      <c r="AL269" s="56" t="s">
        <v>16627</v>
      </c>
      <c r="AM269" s="58"/>
      <c r="AN269" s="56" t="s">
        <v>15889</v>
      </c>
      <c r="AO269" s="58"/>
      <c r="AP269" s="63">
        <v>45848.7900231481</v>
      </c>
      <c r="AQ269" s="56" t="s">
        <v>16628</v>
      </c>
      <c r="AR269" s="61" t="s">
        <v>14645</v>
      </c>
      <c r="AS269" s="57" t="s">
        <v>14184</v>
      </c>
      <c r="AT269" s="56" t="s">
        <v>15177</v>
      </c>
      <c r="AU269" s="56" t="s">
        <v>16629</v>
      </c>
      <c r="AV269" s="58"/>
      <c r="AW269" s="64">
        <v>45820.6054861111</v>
      </c>
      <c r="AX269" s="56" t="s">
        <v>16627</v>
      </c>
      <c r="AY269" s="56" t="s">
        <v>15179</v>
      </c>
      <c r="AZ269" s="58"/>
      <c r="BA269" s="58"/>
      <c r="BB269" s="58"/>
      <c r="BC269" s="56" t="s">
        <v>3510</v>
      </c>
      <c r="BD269" s="56" t="s">
        <v>15482</v>
      </c>
      <c r="BE269" s="56" t="s">
        <v>2869</v>
      </c>
      <c r="BF269" s="56" t="s">
        <v>15181</v>
      </c>
      <c r="BG269" s="58"/>
      <c r="BH269" s="58"/>
      <c r="BI269" s="57" t="s">
        <v>2801</v>
      </c>
      <c r="BJ269" s="58"/>
      <c r="BK269" s="58"/>
      <c r="BL269" s="66">
        <v>3582811</v>
      </c>
      <c r="BM269" s="56" t="s">
        <v>16630</v>
      </c>
      <c r="BN269" s="58"/>
      <c r="BO269" s="67">
        <v>2373.5</v>
      </c>
      <c r="BP269" s="56" t="s">
        <v>16395</v>
      </c>
      <c r="BQ269" s="58"/>
      <c r="BR269" s="56" t="s">
        <v>16631</v>
      </c>
      <c r="BS269" s="56" t="s">
        <v>1285</v>
      </c>
      <c r="BT269" s="58"/>
      <c r="BU269" s="56" t="s">
        <v>16628</v>
      </c>
      <c r="BV269" s="58"/>
      <c r="BW269" s="58"/>
      <c r="BX269" s="67">
        <v>2373.5</v>
      </c>
      <c r="BY269" s="56" t="s">
        <v>1285</v>
      </c>
      <c r="BZ269" s="58"/>
      <c r="CA269" s="58"/>
      <c r="CB269" s="58"/>
      <c r="CC269" s="58"/>
      <c r="CD269" s="58"/>
    </row>
    <row r="270" ht="108" spans="1:82">
      <c r="A270" s="56" t="s">
        <v>16632</v>
      </c>
      <c r="B270" s="58"/>
      <c r="C270" s="57" t="s">
        <v>16633</v>
      </c>
      <c r="D270" s="58"/>
      <c r="E270" s="57" t="s">
        <v>15158</v>
      </c>
      <c r="F270" s="57" t="s">
        <v>16634</v>
      </c>
      <c r="G270" s="57" t="s">
        <v>15160</v>
      </c>
      <c r="H270" s="56" t="s">
        <v>4151</v>
      </c>
      <c r="I270" s="60">
        <v>9500</v>
      </c>
      <c r="J270" s="57" t="s">
        <v>1285</v>
      </c>
      <c r="K270" s="57" t="s">
        <v>15162</v>
      </c>
      <c r="L270" s="57" t="s">
        <v>15163</v>
      </c>
      <c r="M270" s="61" t="s">
        <v>14159</v>
      </c>
      <c r="N270" s="62" t="s">
        <v>16280</v>
      </c>
      <c r="O270" s="57" t="s">
        <v>15165</v>
      </c>
      <c r="P270" s="57" t="s">
        <v>15166</v>
      </c>
      <c r="Q270" s="57" t="s">
        <v>4151</v>
      </c>
      <c r="R270" s="57" t="s">
        <v>15360</v>
      </c>
      <c r="S270" s="57" t="s">
        <v>15361</v>
      </c>
      <c r="T270" s="57" t="s">
        <v>15190</v>
      </c>
      <c r="U270" s="57" t="s">
        <v>14184</v>
      </c>
      <c r="V270" s="56" t="s">
        <v>14153</v>
      </c>
      <c r="W270" s="58"/>
      <c r="X270" s="57" t="s">
        <v>16635</v>
      </c>
      <c r="Y270" s="57" t="s">
        <v>15170</v>
      </c>
      <c r="Z270" s="61" t="s">
        <v>16389</v>
      </c>
      <c r="AA270" s="61" t="s">
        <v>14159</v>
      </c>
      <c r="AB270" s="58"/>
      <c r="AC270" s="57" t="s">
        <v>16391</v>
      </c>
      <c r="AD270" s="58"/>
      <c r="AE270" s="58"/>
      <c r="AF270" s="58"/>
      <c r="AG270" s="58"/>
      <c r="AH270" s="58"/>
      <c r="AI270" s="58"/>
      <c r="AJ270" s="58"/>
      <c r="AK270" s="56" t="s">
        <v>1285</v>
      </c>
      <c r="AL270" s="56" t="s">
        <v>16636</v>
      </c>
      <c r="AM270" s="58"/>
      <c r="AN270" s="56" t="s">
        <v>15808</v>
      </c>
      <c r="AO270" s="58"/>
      <c r="AP270" s="63">
        <v>45848.7916435185</v>
      </c>
      <c r="AQ270" s="56" t="s">
        <v>16637</v>
      </c>
      <c r="AR270" s="61" t="s">
        <v>14645</v>
      </c>
      <c r="AS270" s="57" t="s">
        <v>14184</v>
      </c>
      <c r="AT270" s="56" t="s">
        <v>15177</v>
      </c>
      <c r="AU270" s="56" t="s">
        <v>16638</v>
      </c>
      <c r="AV270" s="58"/>
      <c r="AW270" s="64">
        <v>45812.4232060185</v>
      </c>
      <c r="AX270" s="56" t="s">
        <v>16636</v>
      </c>
      <c r="AY270" s="56" t="s">
        <v>15179</v>
      </c>
      <c r="AZ270" s="58"/>
      <c r="BA270" s="58"/>
      <c r="BB270" s="58"/>
      <c r="BC270" s="56" t="s">
        <v>4149</v>
      </c>
      <c r="BD270" s="56" t="s">
        <v>15366</v>
      </c>
      <c r="BE270" s="56" t="s">
        <v>2832</v>
      </c>
      <c r="BF270" s="56" t="s">
        <v>15181</v>
      </c>
      <c r="BG270" s="58"/>
      <c r="BH270" s="58"/>
      <c r="BI270" s="57" t="s">
        <v>2801</v>
      </c>
      <c r="BJ270" s="58"/>
      <c r="BK270" s="58"/>
      <c r="BL270" s="66">
        <v>3490781</v>
      </c>
      <c r="BM270" s="56" t="s">
        <v>16639</v>
      </c>
      <c r="BN270" s="58"/>
      <c r="BO270" s="67">
        <v>9500</v>
      </c>
      <c r="BP270" s="56" t="s">
        <v>16395</v>
      </c>
      <c r="BQ270" s="58"/>
      <c r="BR270" s="56" t="s">
        <v>16640</v>
      </c>
      <c r="BS270" s="56" t="s">
        <v>1285</v>
      </c>
      <c r="BT270" s="58"/>
      <c r="BU270" s="56" t="s">
        <v>16637</v>
      </c>
      <c r="BV270" s="58"/>
      <c r="BW270" s="58"/>
      <c r="BX270" s="67">
        <v>9500</v>
      </c>
      <c r="BY270" s="56" t="s">
        <v>1285</v>
      </c>
      <c r="BZ270" s="58"/>
      <c r="CA270" s="58"/>
      <c r="CB270" s="58"/>
      <c r="CC270" s="58"/>
      <c r="CD270" s="58"/>
    </row>
    <row r="271" ht="108" spans="1:82">
      <c r="A271" s="56" t="s">
        <v>16641</v>
      </c>
      <c r="B271" s="58"/>
      <c r="C271" s="57" t="s">
        <v>16642</v>
      </c>
      <c r="D271" s="58"/>
      <c r="E271" s="57" t="s">
        <v>15158</v>
      </c>
      <c r="F271" s="57" t="s">
        <v>16643</v>
      </c>
      <c r="G271" s="57" t="s">
        <v>15160</v>
      </c>
      <c r="H271" s="56" t="s">
        <v>3898</v>
      </c>
      <c r="I271" s="60">
        <v>36116.72</v>
      </c>
      <c r="J271" s="57" t="s">
        <v>1285</v>
      </c>
      <c r="K271" s="57" t="s">
        <v>15162</v>
      </c>
      <c r="L271" s="57" t="s">
        <v>15163</v>
      </c>
      <c r="M271" s="61" t="s">
        <v>14159</v>
      </c>
      <c r="N271" s="62" t="s">
        <v>16280</v>
      </c>
      <c r="O271" s="57" t="s">
        <v>15165</v>
      </c>
      <c r="P271" s="57" t="s">
        <v>15166</v>
      </c>
      <c r="Q271" s="57" t="s">
        <v>3898</v>
      </c>
      <c r="R271" s="57" t="s">
        <v>15383</v>
      </c>
      <c r="S271" s="57" t="s">
        <v>15384</v>
      </c>
      <c r="T271" s="57" t="s">
        <v>15190</v>
      </c>
      <c r="U271" s="57" t="s">
        <v>14184</v>
      </c>
      <c r="V271" s="56" t="s">
        <v>14153</v>
      </c>
      <c r="W271" s="58"/>
      <c r="X271" s="57" t="s">
        <v>16644</v>
      </c>
      <c r="Y271" s="57" t="s">
        <v>15170</v>
      </c>
      <c r="Z271" s="61" t="s">
        <v>16389</v>
      </c>
      <c r="AA271" s="61" t="s">
        <v>14159</v>
      </c>
      <c r="AB271" s="58"/>
      <c r="AC271" s="57" t="s">
        <v>16391</v>
      </c>
      <c r="AD271" s="58"/>
      <c r="AE271" s="58"/>
      <c r="AF271" s="58"/>
      <c r="AG271" s="58"/>
      <c r="AH271" s="58"/>
      <c r="AI271" s="58"/>
      <c r="AJ271" s="58"/>
      <c r="AK271" s="56" t="s">
        <v>1285</v>
      </c>
      <c r="AL271" s="56" t="s">
        <v>16645</v>
      </c>
      <c r="AM271" s="58"/>
      <c r="AN271" s="56" t="s">
        <v>16367</v>
      </c>
      <c r="AO271" s="58"/>
      <c r="AP271" s="63">
        <v>45848.7866435185</v>
      </c>
      <c r="AQ271" s="56" t="s">
        <v>16646</v>
      </c>
      <c r="AR271" s="61" t="s">
        <v>14645</v>
      </c>
      <c r="AS271" s="57" t="s">
        <v>14184</v>
      </c>
      <c r="AT271" s="56" t="s">
        <v>15177</v>
      </c>
      <c r="AU271" s="56" t="s">
        <v>16647</v>
      </c>
      <c r="AV271" s="58"/>
      <c r="AW271" s="64">
        <v>45812.423125</v>
      </c>
      <c r="AX271" s="56" t="s">
        <v>16645</v>
      </c>
      <c r="AY271" s="56" t="s">
        <v>15179</v>
      </c>
      <c r="AZ271" s="58"/>
      <c r="BA271" s="58"/>
      <c r="BB271" s="58"/>
      <c r="BC271" s="56" t="s">
        <v>1308</v>
      </c>
      <c r="BD271" s="56" t="s">
        <v>15551</v>
      </c>
      <c r="BE271" s="56" t="s">
        <v>2833</v>
      </c>
      <c r="BF271" s="56" t="s">
        <v>15181</v>
      </c>
      <c r="BG271" s="58"/>
      <c r="BH271" s="58"/>
      <c r="BI271" s="57" t="s">
        <v>2801</v>
      </c>
      <c r="BJ271" s="58"/>
      <c r="BK271" s="58"/>
      <c r="BL271" s="66">
        <v>3492394</v>
      </c>
      <c r="BM271" s="56" t="s">
        <v>16648</v>
      </c>
      <c r="BN271" s="58"/>
      <c r="BO271" s="67">
        <v>36116.72</v>
      </c>
      <c r="BP271" s="56" t="s">
        <v>16395</v>
      </c>
      <c r="BQ271" s="58"/>
      <c r="BR271" s="56" t="s">
        <v>16649</v>
      </c>
      <c r="BS271" s="56" t="s">
        <v>1285</v>
      </c>
      <c r="BT271" s="58"/>
      <c r="BU271" s="56" t="s">
        <v>16646</v>
      </c>
      <c r="BV271" s="58"/>
      <c r="BW271" s="58"/>
      <c r="BX271" s="67">
        <v>36116.72</v>
      </c>
      <c r="BY271" s="56" t="s">
        <v>1285</v>
      </c>
      <c r="BZ271" s="58"/>
      <c r="CA271" s="58"/>
      <c r="CB271" s="58"/>
      <c r="CC271" s="58"/>
      <c r="CD271" s="58"/>
    </row>
    <row r="272" ht="108" spans="1:82">
      <c r="A272" s="56" t="s">
        <v>16650</v>
      </c>
      <c r="B272" s="58"/>
      <c r="C272" s="57" t="s">
        <v>16651</v>
      </c>
      <c r="D272" s="58"/>
      <c r="E272" s="57" t="s">
        <v>15158</v>
      </c>
      <c r="F272" s="57" t="s">
        <v>16652</v>
      </c>
      <c r="G272" s="57" t="s">
        <v>15160</v>
      </c>
      <c r="H272" s="56" t="s">
        <v>3314</v>
      </c>
      <c r="I272" s="60">
        <v>17550</v>
      </c>
      <c r="J272" s="57" t="s">
        <v>1285</v>
      </c>
      <c r="K272" s="57" t="s">
        <v>15162</v>
      </c>
      <c r="L272" s="57" t="s">
        <v>15163</v>
      </c>
      <c r="M272" s="61" t="s">
        <v>14159</v>
      </c>
      <c r="N272" s="62" t="s">
        <v>15515</v>
      </c>
      <c r="O272" s="57" t="s">
        <v>15165</v>
      </c>
      <c r="P272" s="57" t="s">
        <v>15166</v>
      </c>
      <c r="Q272" s="57" t="s">
        <v>3314</v>
      </c>
      <c r="R272" s="57" t="s">
        <v>15582</v>
      </c>
      <c r="S272" s="57" t="s">
        <v>15583</v>
      </c>
      <c r="T272" s="57" t="s">
        <v>15190</v>
      </c>
      <c r="U272" s="57" t="s">
        <v>14184</v>
      </c>
      <c r="V272" s="56" t="s">
        <v>14153</v>
      </c>
      <c r="W272" s="58"/>
      <c r="X272" s="57" t="s">
        <v>16653</v>
      </c>
      <c r="Y272" s="57" t="s">
        <v>15170</v>
      </c>
      <c r="Z272" s="61" t="s">
        <v>16389</v>
      </c>
      <c r="AA272" s="61" t="s">
        <v>14159</v>
      </c>
      <c r="AB272" s="58"/>
      <c r="AC272" s="57" t="s">
        <v>16391</v>
      </c>
      <c r="AD272" s="58"/>
      <c r="AE272" s="58"/>
      <c r="AF272" s="58"/>
      <c r="AG272" s="58"/>
      <c r="AH272" s="58"/>
      <c r="AI272" s="58"/>
      <c r="AJ272" s="58"/>
      <c r="AK272" s="56" t="s">
        <v>1285</v>
      </c>
      <c r="AL272" s="56" t="s">
        <v>16654</v>
      </c>
      <c r="AM272" s="58"/>
      <c r="AN272" s="56" t="s">
        <v>16135</v>
      </c>
      <c r="AO272" s="58"/>
      <c r="AP272" s="63">
        <v>45848.7900578704</v>
      </c>
      <c r="AQ272" s="56" t="s">
        <v>16655</v>
      </c>
      <c r="AR272" s="61" t="s">
        <v>14645</v>
      </c>
      <c r="AS272" s="57" t="s">
        <v>14184</v>
      </c>
      <c r="AT272" s="56" t="s">
        <v>15177</v>
      </c>
      <c r="AU272" s="56" t="s">
        <v>16656</v>
      </c>
      <c r="AV272" s="58"/>
      <c r="AW272" s="64">
        <v>45792.5975</v>
      </c>
      <c r="AX272" s="56" t="s">
        <v>16654</v>
      </c>
      <c r="AY272" s="56" t="s">
        <v>15179</v>
      </c>
      <c r="AZ272" s="58"/>
      <c r="BA272" s="58"/>
      <c r="BB272" s="58"/>
      <c r="BC272" s="56" t="s">
        <v>15213</v>
      </c>
      <c r="BD272" s="56" t="s">
        <v>15197</v>
      </c>
      <c r="BE272" s="58"/>
      <c r="BF272" s="56" t="s">
        <v>15181</v>
      </c>
      <c r="BG272" s="58"/>
      <c r="BH272" s="58"/>
      <c r="BI272" s="57" t="s">
        <v>2801</v>
      </c>
      <c r="BJ272" s="58"/>
      <c r="BK272" s="58"/>
      <c r="BL272" s="66">
        <v>3519131</v>
      </c>
      <c r="BM272" s="56" t="s">
        <v>16657</v>
      </c>
      <c r="BN272" s="58"/>
      <c r="BO272" s="67">
        <v>10800</v>
      </c>
      <c r="BP272" s="56" t="s">
        <v>16395</v>
      </c>
      <c r="BQ272" s="58"/>
      <c r="BR272" s="56" t="s">
        <v>16658</v>
      </c>
      <c r="BS272" s="56" t="s">
        <v>1285</v>
      </c>
      <c r="BT272" s="58"/>
      <c r="BU272" s="56" t="s">
        <v>16655</v>
      </c>
      <c r="BV272" s="58"/>
      <c r="BW272" s="58"/>
      <c r="BX272" s="67">
        <v>10800</v>
      </c>
      <c r="BY272" s="58"/>
      <c r="BZ272" s="58"/>
      <c r="CA272" s="58"/>
      <c r="CB272" s="58"/>
      <c r="CC272" s="58"/>
      <c r="CD272" s="58"/>
    </row>
    <row r="273" ht="108" spans="1:82">
      <c r="A273" s="56" t="s">
        <v>16659</v>
      </c>
      <c r="B273" s="58"/>
      <c r="C273" s="57" t="s">
        <v>16651</v>
      </c>
      <c r="D273" s="58"/>
      <c r="E273" s="57" t="s">
        <v>15158</v>
      </c>
      <c r="F273" s="57" t="s">
        <v>16652</v>
      </c>
      <c r="G273" s="57" t="s">
        <v>15160</v>
      </c>
      <c r="H273" s="56" t="s">
        <v>3314</v>
      </c>
      <c r="I273" s="60">
        <v>17550</v>
      </c>
      <c r="J273" s="57" t="s">
        <v>1285</v>
      </c>
      <c r="K273" s="57" t="s">
        <v>15162</v>
      </c>
      <c r="L273" s="57" t="s">
        <v>15163</v>
      </c>
      <c r="M273" s="61" t="s">
        <v>14159</v>
      </c>
      <c r="N273" s="62" t="s">
        <v>15515</v>
      </c>
      <c r="O273" s="57" t="s">
        <v>15165</v>
      </c>
      <c r="P273" s="57" t="s">
        <v>15166</v>
      </c>
      <c r="Q273" s="57" t="s">
        <v>3314</v>
      </c>
      <c r="R273" s="57" t="s">
        <v>15582</v>
      </c>
      <c r="S273" s="57" t="s">
        <v>15583</v>
      </c>
      <c r="T273" s="57" t="s">
        <v>15190</v>
      </c>
      <c r="U273" s="57" t="s">
        <v>14184</v>
      </c>
      <c r="V273" s="56" t="s">
        <v>14153</v>
      </c>
      <c r="W273" s="58"/>
      <c r="X273" s="57" t="s">
        <v>16653</v>
      </c>
      <c r="Y273" s="57" t="s">
        <v>15170</v>
      </c>
      <c r="Z273" s="61" t="s">
        <v>16389</v>
      </c>
      <c r="AA273" s="61" t="s">
        <v>14159</v>
      </c>
      <c r="AB273" s="58"/>
      <c r="AC273" s="57" t="s">
        <v>16391</v>
      </c>
      <c r="AD273" s="58"/>
      <c r="AE273" s="58"/>
      <c r="AF273" s="58"/>
      <c r="AG273" s="58"/>
      <c r="AH273" s="58"/>
      <c r="AI273" s="58"/>
      <c r="AJ273" s="58"/>
      <c r="AK273" s="56" t="s">
        <v>1285</v>
      </c>
      <c r="AL273" s="56" t="s">
        <v>16654</v>
      </c>
      <c r="AM273" s="58"/>
      <c r="AN273" s="56" t="s">
        <v>16135</v>
      </c>
      <c r="AO273" s="58"/>
      <c r="AP273" s="63">
        <v>45848.7900578704</v>
      </c>
      <c r="AQ273" s="56" t="s">
        <v>16655</v>
      </c>
      <c r="AR273" s="61" t="s">
        <v>14645</v>
      </c>
      <c r="AS273" s="57" t="s">
        <v>14184</v>
      </c>
      <c r="AT273" s="56" t="s">
        <v>15177</v>
      </c>
      <c r="AU273" s="56" t="s">
        <v>16656</v>
      </c>
      <c r="AV273" s="58"/>
      <c r="AW273" s="64">
        <v>45792.5975</v>
      </c>
      <c r="AX273" s="56" t="s">
        <v>16654</v>
      </c>
      <c r="AY273" s="56" t="s">
        <v>15179</v>
      </c>
      <c r="AZ273" s="58"/>
      <c r="BA273" s="58"/>
      <c r="BB273" s="58"/>
      <c r="BC273" s="56" t="s">
        <v>15965</v>
      </c>
      <c r="BD273" s="56" t="s">
        <v>15197</v>
      </c>
      <c r="BE273" s="58"/>
      <c r="BF273" s="56" t="s">
        <v>15181</v>
      </c>
      <c r="BG273" s="58"/>
      <c r="BH273" s="58"/>
      <c r="BI273" s="57" t="s">
        <v>2801</v>
      </c>
      <c r="BJ273" s="58"/>
      <c r="BK273" s="58"/>
      <c r="BL273" s="66">
        <v>3567351</v>
      </c>
      <c r="BM273" s="56" t="s">
        <v>16660</v>
      </c>
      <c r="BN273" s="58"/>
      <c r="BO273" s="67">
        <v>6750</v>
      </c>
      <c r="BP273" s="56" t="s">
        <v>16395</v>
      </c>
      <c r="BQ273" s="58"/>
      <c r="BR273" s="56" t="s">
        <v>16658</v>
      </c>
      <c r="BS273" s="56" t="s">
        <v>1285</v>
      </c>
      <c r="BT273" s="58"/>
      <c r="BU273" s="56" t="s">
        <v>16655</v>
      </c>
      <c r="BV273" s="58"/>
      <c r="BW273" s="58"/>
      <c r="BX273" s="67">
        <v>6750</v>
      </c>
      <c r="BY273" s="58"/>
      <c r="BZ273" s="58"/>
      <c r="CA273" s="58"/>
      <c r="CB273" s="58"/>
      <c r="CC273" s="58"/>
      <c r="CD273" s="58"/>
    </row>
    <row r="274" ht="108" spans="1:82">
      <c r="A274" s="56" t="s">
        <v>16661</v>
      </c>
      <c r="B274" s="58"/>
      <c r="C274" s="57" t="s">
        <v>16662</v>
      </c>
      <c r="D274" s="58"/>
      <c r="E274" s="57" t="s">
        <v>15158</v>
      </c>
      <c r="F274" s="57" t="s">
        <v>16663</v>
      </c>
      <c r="G274" s="57" t="s">
        <v>15160</v>
      </c>
      <c r="H274" s="56" t="s">
        <v>2965</v>
      </c>
      <c r="I274" s="60">
        <v>13176.9</v>
      </c>
      <c r="J274" s="57" t="s">
        <v>1285</v>
      </c>
      <c r="K274" s="57" t="s">
        <v>15162</v>
      </c>
      <c r="L274" s="57" t="s">
        <v>15163</v>
      </c>
      <c r="M274" s="61" t="s">
        <v>14159</v>
      </c>
      <c r="N274" s="62" t="s">
        <v>15504</v>
      </c>
      <c r="O274" s="57" t="s">
        <v>15165</v>
      </c>
      <c r="P274" s="57" t="s">
        <v>15166</v>
      </c>
      <c r="Q274" s="57" t="s">
        <v>2965</v>
      </c>
      <c r="R274" s="57" t="s">
        <v>15606</v>
      </c>
      <c r="S274" s="57" t="s">
        <v>15607</v>
      </c>
      <c r="T274" s="57" t="s">
        <v>15190</v>
      </c>
      <c r="U274" s="57" t="s">
        <v>14184</v>
      </c>
      <c r="V274" s="56" t="s">
        <v>14153</v>
      </c>
      <c r="W274" s="58"/>
      <c r="X274" s="57" t="s">
        <v>16664</v>
      </c>
      <c r="Y274" s="57" t="s">
        <v>15170</v>
      </c>
      <c r="Z274" s="61" t="s">
        <v>16389</v>
      </c>
      <c r="AA274" s="61" t="s">
        <v>14159</v>
      </c>
      <c r="AB274" s="58"/>
      <c r="AC274" s="57" t="s">
        <v>16391</v>
      </c>
      <c r="AD274" s="58"/>
      <c r="AE274" s="58"/>
      <c r="AF274" s="58"/>
      <c r="AG274" s="58"/>
      <c r="AH274" s="58"/>
      <c r="AI274" s="58"/>
      <c r="AJ274" s="58"/>
      <c r="AK274" s="56" t="s">
        <v>1285</v>
      </c>
      <c r="AL274" s="56" t="s">
        <v>16665</v>
      </c>
      <c r="AM274" s="58"/>
      <c r="AN274" s="56" t="s">
        <v>15273</v>
      </c>
      <c r="AO274" s="58"/>
      <c r="AP274" s="63">
        <v>45848.7866435185</v>
      </c>
      <c r="AQ274" s="56" t="s">
        <v>16666</v>
      </c>
      <c r="AR274" s="61" t="s">
        <v>14645</v>
      </c>
      <c r="AS274" s="57" t="s">
        <v>14184</v>
      </c>
      <c r="AT274" s="56" t="s">
        <v>15177</v>
      </c>
      <c r="AU274" s="56" t="s">
        <v>16667</v>
      </c>
      <c r="AV274" s="58"/>
      <c r="AW274" s="64">
        <v>45792.5973032407</v>
      </c>
      <c r="AX274" s="56" t="s">
        <v>16665</v>
      </c>
      <c r="AY274" s="56" t="s">
        <v>15179</v>
      </c>
      <c r="AZ274" s="58"/>
      <c r="BA274" s="58"/>
      <c r="BB274" s="58"/>
      <c r="BC274" s="56" t="s">
        <v>15628</v>
      </c>
      <c r="BD274" s="56" t="s">
        <v>15197</v>
      </c>
      <c r="BE274" s="56" t="s">
        <v>15613</v>
      </c>
      <c r="BF274" s="56" t="s">
        <v>15181</v>
      </c>
      <c r="BG274" s="58"/>
      <c r="BH274" s="58"/>
      <c r="BI274" s="57" t="s">
        <v>2801</v>
      </c>
      <c r="BJ274" s="58"/>
      <c r="BK274" s="58"/>
      <c r="BL274" s="66">
        <v>3539563</v>
      </c>
      <c r="BM274" s="56" t="s">
        <v>16668</v>
      </c>
      <c r="BN274" s="58"/>
      <c r="BO274" s="67">
        <v>62.79</v>
      </c>
      <c r="BP274" s="56" t="s">
        <v>16395</v>
      </c>
      <c r="BQ274" s="58"/>
      <c r="BR274" s="56" t="s">
        <v>16669</v>
      </c>
      <c r="BS274" s="56" t="s">
        <v>1285</v>
      </c>
      <c r="BT274" s="58"/>
      <c r="BU274" s="56" t="s">
        <v>16666</v>
      </c>
      <c r="BV274" s="58"/>
      <c r="BW274" s="58"/>
      <c r="BX274" s="67">
        <v>62.79</v>
      </c>
      <c r="BY274" s="56" t="s">
        <v>1285</v>
      </c>
      <c r="BZ274" s="58"/>
      <c r="CA274" s="58"/>
      <c r="CB274" s="58"/>
      <c r="CC274" s="58"/>
      <c r="CD274" s="58"/>
    </row>
    <row r="275" ht="108" spans="1:82">
      <c r="A275" s="56" t="s">
        <v>16670</v>
      </c>
      <c r="B275" s="58"/>
      <c r="C275" s="57" t="s">
        <v>16662</v>
      </c>
      <c r="D275" s="58"/>
      <c r="E275" s="57" t="s">
        <v>15158</v>
      </c>
      <c r="F275" s="57" t="s">
        <v>16663</v>
      </c>
      <c r="G275" s="57" t="s">
        <v>15160</v>
      </c>
      <c r="H275" s="56" t="s">
        <v>2965</v>
      </c>
      <c r="I275" s="60">
        <v>13176.9</v>
      </c>
      <c r="J275" s="57" t="s">
        <v>1285</v>
      </c>
      <c r="K275" s="57" t="s">
        <v>15162</v>
      </c>
      <c r="L275" s="57" t="s">
        <v>15163</v>
      </c>
      <c r="M275" s="61" t="s">
        <v>14159</v>
      </c>
      <c r="N275" s="62" t="s">
        <v>15504</v>
      </c>
      <c r="O275" s="57" t="s">
        <v>15165</v>
      </c>
      <c r="P275" s="57" t="s">
        <v>15166</v>
      </c>
      <c r="Q275" s="57" t="s">
        <v>2965</v>
      </c>
      <c r="R275" s="57" t="s">
        <v>15606</v>
      </c>
      <c r="S275" s="57" t="s">
        <v>15607</v>
      </c>
      <c r="T275" s="57" t="s">
        <v>15190</v>
      </c>
      <c r="U275" s="57" t="s">
        <v>14184</v>
      </c>
      <c r="V275" s="56" t="s">
        <v>14153</v>
      </c>
      <c r="W275" s="58"/>
      <c r="X275" s="57" t="s">
        <v>16664</v>
      </c>
      <c r="Y275" s="57" t="s">
        <v>15170</v>
      </c>
      <c r="Z275" s="61" t="s">
        <v>16389</v>
      </c>
      <c r="AA275" s="61" t="s">
        <v>14159</v>
      </c>
      <c r="AB275" s="58"/>
      <c r="AC275" s="57" t="s">
        <v>16391</v>
      </c>
      <c r="AD275" s="58"/>
      <c r="AE275" s="58"/>
      <c r="AF275" s="58"/>
      <c r="AG275" s="58"/>
      <c r="AH275" s="58"/>
      <c r="AI275" s="58"/>
      <c r="AJ275" s="58"/>
      <c r="AK275" s="56" t="s">
        <v>1285</v>
      </c>
      <c r="AL275" s="56" t="s">
        <v>16665</v>
      </c>
      <c r="AM275" s="58"/>
      <c r="AN275" s="56" t="s">
        <v>15273</v>
      </c>
      <c r="AO275" s="58"/>
      <c r="AP275" s="63">
        <v>45848.7866435185</v>
      </c>
      <c r="AQ275" s="56" t="s">
        <v>16666</v>
      </c>
      <c r="AR275" s="61" t="s">
        <v>14645</v>
      </c>
      <c r="AS275" s="57" t="s">
        <v>14184</v>
      </c>
      <c r="AT275" s="56" t="s">
        <v>15177</v>
      </c>
      <c r="AU275" s="56" t="s">
        <v>16667</v>
      </c>
      <c r="AV275" s="58"/>
      <c r="AW275" s="64">
        <v>45792.5973032407</v>
      </c>
      <c r="AX275" s="56" t="s">
        <v>16665</v>
      </c>
      <c r="AY275" s="56" t="s">
        <v>15179</v>
      </c>
      <c r="AZ275" s="58"/>
      <c r="BA275" s="58"/>
      <c r="BB275" s="58"/>
      <c r="BC275" s="56" t="s">
        <v>2148</v>
      </c>
      <c r="BD275" s="56" t="s">
        <v>15197</v>
      </c>
      <c r="BE275" s="56" t="s">
        <v>15613</v>
      </c>
      <c r="BF275" s="56" t="s">
        <v>15181</v>
      </c>
      <c r="BG275" s="58"/>
      <c r="BH275" s="58"/>
      <c r="BI275" s="57" t="s">
        <v>2801</v>
      </c>
      <c r="BJ275" s="58"/>
      <c r="BK275" s="58"/>
      <c r="BL275" s="66">
        <v>3539582</v>
      </c>
      <c r="BM275" s="56" t="s">
        <v>16668</v>
      </c>
      <c r="BN275" s="58"/>
      <c r="BO275" s="67">
        <v>88.2</v>
      </c>
      <c r="BP275" s="56" t="s">
        <v>16395</v>
      </c>
      <c r="BQ275" s="58"/>
      <c r="BR275" s="56" t="s">
        <v>16669</v>
      </c>
      <c r="BS275" s="56" t="s">
        <v>1285</v>
      </c>
      <c r="BT275" s="58"/>
      <c r="BU275" s="56" t="s">
        <v>16666</v>
      </c>
      <c r="BV275" s="58"/>
      <c r="BW275" s="58"/>
      <c r="BX275" s="67">
        <v>88.2</v>
      </c>
      <c r="BY275" s="56" t="s">
        <v>1285</v>
      </c>
      <c r="BZ275" s="58"/>
      <c r="CA275" s="58"/>
      <c r="CB275" s="58"/>
      <c r="CC275" s="58"/>
      <c r="CD275" s="58"/>
    </row>
    <row r="276" ht="108" spans="1:82">
      <c r="A276" s="56" t="s">
        <v>16671</v>
      </c>
      <c r="B276" s="58"/>
      <c r="C276" s="57" t="s">
        <v>16662</v>
      </c>
      <c r="D276" s="58"/>
      <c r="E276" s="57" t="s">
        <v>15158</v>
      </c>
      <c r="F276" s="57" t="s">
        <v>16663</v>
      </c>
      <c r="G276" s="57" t="s">
        <v>15160</v>
      </c>
      <c r="H276" s="56" t="s">
        <v>2965</v>
      </c>
      <c r="I276" s="60">
        <v>13176.9</v>
      </c>
      <c r="J276" s="57" t="s">
        <v>1285</v>
      </c>
      <c r="K276" s="57" t="s">
        <v>15162</v>
      </c>
      <c r="L276" s="57" t="s">
        <v>15163</v>
      </c>
      <c r="M276" s="61" t="s">
        <v>14159</v>
      </c>
      <c r="N276" s="62" t="s">
        <v>15504</v>
      </c>
      <c r="O276" s="57" t="s">
        <v>15165</v>
      </c>
      <c r="P276" s="57" t="s">
        <v>15166</v>
      </c>
      <c r="Q276" s="57" t="s">
        <v>2965</v>
      </c>
      <c r="R276" s="57" t="s">
        <v>15606</v>
      </c>
      <c r="S276" s="57" t="s">
        <v>15607</v>
      </c>
      <c r="T276" s="57" t="s">
        <v>15190</v>
      </c>
      <c r="U276" s="57" t="s">
        <v>14184</v>
      </c>
      <c r="V276" s="56" t="s">
        <v>14153</v>
      </c>
      <c r="W276" s="58"/>
      <c r="X276" s="57" t="s">
        <v>16664</v>
      </c>
      <c r="Y276" s="57" t="s">
        <v>15170</v>
      </c>
      <c r="Z276" s="61" t="s">
        <v>16389</v>
      </c>
      <c r="AA276" s="61" t="s">
        <v>14159</v>
      </c>
      <c r="AB276" s="58"/>
      <c r="AC276" s="57" t="s">
        <v>16391</v>
      </c>
      <c r="AD276" s="58"/>
      <c r="AE276" s="58"/>
      <c r="AF276" s="58"/>
      <c r="AG276" s="58"/>
      <c r="AH276" s="58"/>
      <c r="AI276" s="58"/>
      <c r="AJ276" s="58"/>
      <c r="AK276" s="56" t="s">
        <v>1285</v>
      </c>
      <c r="AL276" s="56" t="s">
        <v>16665</v>
      </c>
      <c r="AM276" s="58"/>
      <c r="AN276" s="56" t="s">
        <v>15273</v>
      </c>
      <c r="AO276" s="58"/>
      <c r="AP276" s="63">
        <v>45848.7866435185</v>
      </c>
      <c r="AQ276" s="56" t="s">
        <v>16666</v>
      </c>
      <c r="AR276" s="61" t="s">
        <v>14645</v>
      </c>
      <c r="AS276" s="57" t="s">
        <v>14184</v>
      </c>
      <c r="AT276" s="56" t="s">
        <v>15177</v>
      </c>
      <c r="AU276" s="56" t="s">
        <v>16667</v>
      </c>
      <c r="AV276" s="58"/>
      <c r="AW276" s="64">
        <v>45792.5973032407</v>
      </c>
      <c r="AX276" s="56" t="s">
        <v>16665</v>
      </c>
      <c r="AY276" s="56" t="s">
        <v>15179</v>
      </c>
      <c r="AZ276" s="58"/>
      <c r="BA276" s="58"/>
      <c r="BB276" s="58"/>
      <c r="BC276" s="56" t="s">
        <v>2136</v>
      </c>
      <c r="BD276" s="56" t="s">
        <v>15197</v>
      </c>
      <c r="BE276" s="56" t="s">
        <v>15613</v>
      </c>
      <c r="BF276" s="56" t="s">
        <v>15181</v>
      </c>
      <c r="BG276" s="58"/>
      <c r="BH276" s="58"/>
      <c r="BI276" s="57" t="s">
        <v>2801</v>
      </c>
      <c r="BJ276" s="58"/>
      <c r="BK276" s="58"/>
      <c r="BL276" s="66">
        <v>3539590</v>
      </c>
      <c r="BM276" s="56" t="s">
        <v>16668</v>
      </c>
      <c r="BN276" s="58"/>
      <c r="BO276" s="67">
        <v>122.1</v>
      </c>
      <c r="BP276" s="56" t="s">
        <v>16395</v>
      </c>
      <c r="BQ276" s="58"/>
      <c r="BR276" s="56" t="s">
        <v>16669</v>
      </c>
      <c r="BS276" s="56" t="s">
        <v>1285</v>
      </c>
      <c r="BT276" s="58"/>
      <c r="BU276" s="56" t="s">
        <v>16666</v>
      </c>
      <c r="BV276" s="58"/>
      <c r="BW276" s="58"/>
      <c r="BX276" s="67">
        <v>122.1</v>
      </c>
      <c r="BY276" s="56" t="s">
        <v>1285</v>
      </c>
      <c r="BZ276" s="58"/>
      <c r="CA276" s="58"/>
      <c r="CB276" s="58"/>
      <c r="CC276" s="58"/>
      <c r="CD276" s="58"/>
    </row>
    <row r="277" ht="108" spans="1:82">
      <c r="A277" s="56" t="s">
        <v>16672</v>
      </c>
      <c r="B277" s="58"/>
      <c r="C277" s="57" t="s">
        <v>16662</v>
      </c>
      <c r="D277" s="58"/>
      <c r="E277" s="57" t="s">
        <v>15158</v>
      </c>
      <c r="F277" s="57" t="s">
        <v>16663</v>
      </c>
      <c r="G277" s="57" t="s">
        <v>15160</v>
      </c>
      <c r="H277" s="56" t="s">
        <v>2965</v>
      </c>
      <c r="I277" s="60">
        <v>13176.9</v>
      </c>
      <c r="J277" s="57" t="s">
        <v>1285</v>
      </c>
      <c r="K277" s="57" t="s">
        <v>15162</v>
      </c>
      <c r="L277" s="57" t="s">
        <v>15163</v>
      </c>
      <c r="M277" s="61" t="s">
        <v>14159</v>
      </c>
      <c r="N277" s="62" t="s">
        <v>15504</v>
      </c>
      <c r="O277" s="57" t="s">
        <v>15165</v>
      </c>
      <c r="P277" s="57" t="s">
        <v>15166</v>
      </c>
      <c r="Q277" s="57" t="s">
        <v>2965</v>
      </c>
      <c r="R277" s="57" t="s">
        <v>15606</v>
      </c>
      <c r="S277" s="57" t="s">
        <v>15607</v>
      </c>
      <c r="T277" s="57" t="s">
        <v>15190</v>
      </c>
      <c r="U277" s="57" t="s">
        <v>14184</v>
      </c>
      <c r="V277" s="56" t="s">
        <v>14153</v>
      </c>
      <c r="W277" s="58"/>
      <c r="X277" s="57" t="s">
        <v>16664</v>
      </c>
      <c r="Y277" s="57" t="s">
        <v>15170</v>
      </c>
      <c r="Z277" s="61" t="s">
        <v>16389</v>
      </c>
      <c r="AA277" s="61" t="s">
        <v>14159</v>
      </c>
      <c r="AB277" s="58"/>
      <c r="AC277" s="57" t="s">
        <v>16391</v>
      </c>
      <c r="AD277" s="58"/>
      <c r="AE277" s="58"/>
      <c r="AF277" s="58"/>
      <c r="AG277" s="58"/>
      <c r="AH277" s="58"/>
      <c r="AI277" s="58"/>
      <c r="AJ277" s="58"/>
      <c r="AK277" s="56" t="s">
        <v>1285</v>
      </c>
      <c r="AL277" s="56" t="s">
        <v>16665</v>
      </c>
      <c r="AM277" s="58"/>
      <c r="AN277" s="56" t="s">
        <v>15273</v>
      </c>
      <c r="AO277" s="58"/>
      <c r="AP277" s="63">
        <v>45848.7866435185</v>
      </c>
      <c r="AQ277" s="56" t="s">
        <v>16666</v>
      </c>
      <c r="AR277" s="61" t="s">
        <v>14645</v>
      </c>
      <c r="AS277" s="57" t="s">
        <v>14184</v>
      </c>
      <c r="AT277" s="56" t="s">
        <v>15177</v>
      </c>
      <c r="AU277" s="56" t="s">
        <v>16667</v>
      </c>
      <c r="AV277" s="58"/>
      <c r="AW277" s="64">
        <v>45792.5973032407</v>
      </c>
      <c r="AX277" s="56" t="s">
        <v>16665</v>
      </c>
      <c r="AY277" s="56" t="s">
        <v>15179</v>
      </c>
      <c r="AZ277" s="58"/>
      <c r="BA277" s="58"/>
      <c r="BB277" s="58"/>
      <c r="BC277" s="56" t="s">
        <v>15196</v>
      </c>
      <c r="BD277" s="56" t="s">
        <v>15197</v>
      </c>
      <c r="BE277" s="56" t="s">
        <v>15613</v>
      </c>
      <c r="BF277" s="56" t="s">
        <v>15181</v>
      </c>
      <c r="BG277" s="58"/>
      <c r="BH277" s="58"/>
      <c r="BI277" s="57" t="s">
        <v>2801</v>
      </c>
      <c r="BJ277" s="58"/>
      <c r="BK277" s="58"/>
      <c r="BL277" s="66">
        <v>3539583</v>
      </c>
      <c r="BM277" s="56" t="s">
        <v>16668</v>
      </c>
      <c r="BN277" s="58"/>
      <c r="BO277" s="67">
        <v>2158.2</v>
      </c>
      <c r="BP277" s="56" t="s">
        <v>16395</v>
      </c>
      <c r="BQ277" s="58"/>
      <c r="BR277" s="56" t="s">
        <v>16669</v>
      </c>
      <c r="BS277" s="56" t="s">
        <v>1285</v>
      </c>
      <c r="BT277" s="58"/>
      <c r="BU277" s="56" t="s">
        <v>16666</v>
      </c>
      <c r="BV277" s="58"/>
      <c r="BW277" s="58"/>
      <c r="BX277" s="67">
        <v>2158.2</v>
      </c>
      <c r="BY277" s="56" t="s">
        <v>1285</v>
      </c>
      <c r="BZ277" s="58"/>
      <c r="CA277" s="58"/>
      <c r="CB277" s="58"/>
      <c r="CC277" s="58"/>
      <c r="CD277" s="58"/>
    </row>
    <row r="278" ht="108" spans="1:82">
      <c r="A278" s="56" t="s">
        <v>16673</v>
      </c>
      <c r="B278" s="58"/>
      <c r="C278" s="57" t="s">
        <v>16662</v>
      </c>
      <c r="D278" s="58"/>
      <c r="E278" s="57" t="s">
        <v>15158</v>
      </c>
      <c r="F278" s="57" t="s">
        <v>16663</v>
      </c>
      <c r="G278" s="57" t="s">
        <v>15160</v>
      </c>
      <c r="H278" s="56" t="s">
        <v>2965</v>
      </c>
      <c r="I278" s="60">
        <v>13176.9</v>
      </c>
      <c r="J278" s="57" t="s">
        <v>1285</v>
      </c>
      <c r="K278" s="57" t="s">
        <v>15162</v>
      </c>
      <c r="L278" s="57" t="s">
        <v>15163</v>
      </c>
      <c r="M278" s="61" t="s">
        <v>14159</v>
      </c>
      <c r="N278" s="62" t="s">
        <v>15504</v>
      </c>
      <c r="O278" s="57" t="s">
        <v>15165</v>
      </c>
      <c r="P278" s="57" t="s">
        <v>15166</v>
      </c>
      <c r="Q278" s="57" t="s">
        <v>2965</v>
      </c>
      <c r="R278" s="57" t="s">
        <v>15606</v>
      </c>
      <c r="S278" s="57" t="s">
        <v>15607</v>
      </c>
      <c r="T278" s="57" t="s">
        <v>15190</v>
      </c>
      <c r="U278" s="57" t="s">
        <v>14184</v>
      </c>
      <c r="V278" s="56" t="s">
        <v>14153</v>
      </c>
      <c r="W278" s="58"/>
      <c r="X278" s="57" t="s">
        <v>16664</v>
      </c>
      <c r="Y278" s="57" t="s">
        <v>15170</v>
      </c>
      <c r="Z278" s="61" t="s">
        <v>16389</v>
      </c>
      <c r="AA278" s="61" t="s">
        <v>14159</v>
      </c>
      <c r="AB278" s="58"/>
      <c r="AC278" s="57" t="s">
        <v>16391</v>
      </c>
      <c r="AD278" s="58"/>
      <c r="AE278" s="58"/>
      <c r="AF278" s="58"/>
      <c r="AG278" s="58"/>
      <c r="AH278" s="58"/>
      <c r="AI278" s="58"/>
      <c r="AJ278" s="58"/>
      <c r="AK278" s="56" t="s">
        <v>1285</v>
      </c>
      <c r="AL278" s="56" t="s">
        <v>16665</v>
      </c>
      <c r="AM278" s="58"/>
      <c r="AN278" s="56" t="s">
        <v>15273</v>
      </c>
      <c r="AO278" s="58"/>
      <c r="AP278" s="63">
        <v>45848.7866435185</v>
      </c>
      <c r="AQ278" s="56" t="s">
        <v>16666</v>
      </c>
      <c r="AR278" s="61" t="s">
        <v>14645</v>
      </c>
      <c r="AS278" s="57" t="s">
        <v>14184</v>
      </c>
      <c r="AT278" s="56" t="s">
        <v>15177</v>
      </c>
      <c r="AU278" s="56" t="s">
        <v>16667</v>
      </c>
      <c r="AV278" s="58"/>
      <c r="AW278" s="64">
        <v>45792.5973032407</v>
      </c>
      <c r="AX278" s="56" t="s">
        <v>16665</v>
      </c>
      <c r="AY278" s="56" t="s">
        <v>15179</v>
      </c>
      <c r="AZ278" s="58"/>
      <c r="BA278" s="58"/>
      <c r="BB278" s="58"/>
      <c r="BC278" s="56" t="s">
        <v>2136</v>
      </c>
      <c r="BD278" s="56" t="s">
        <v>15197</v>
      </c>
      <c r="BE278" s="56" t="s">
        <v>15613</v>
      </c>
      <c r="BF278" s="56" t="s">
        <v>15181</v>
      </c>
      <c r="BG278" s="58"/>
      <c r="BH278" s="58"/>
      <c r="BI278" s="57" t="s">
        <v>2801</v>
      </c>
      <c r="BJ278" s="58"/>
      <c r="BK278" s="58"/>
      <c r="BL278" s="66">
        <v>3539579</v>
      </c>
      <c r="BM278" s="56" t="s">
        <v>16668</v>
      </c>
      <c r="BN278" s="58"/>
      <c r="BO278" s="67">
        <v>162.4</v>
      </c>
      <c r="BP278" s="56" t="s">
        <v>16395</v>
      </c>
      <c r="BQ278" s="58"/>
      <c r="BR278" s="56" t="s">
        <v>16669</v>
      </c>
      <c r="BS278" s="56" t="s">
        <v>1285</v>
      </c>
      <c r="BT278" s="58"/>
      <c r="BU278" s="56" t="s">
        <v>16666</v>
      </c>
      <c r="BV278" s="58"/>
      <c r="BW278" s="58"/>
      <c r="BX278" s="67">
        <v>162.4</v>
      </c>
      <c r="BY278" s="56" t="s">
        <v>1285</v>
      </c>
      <c r="BZ278" s="58"/>
      <c r="CA278" s="58"/>
      <c r="CB278" s="58"/>
      <c r="CC278" s="58"/>
      <c r="CD278" s="58"/>
    </row>
    <row r="279" ht="108" spans="1:82">
      <c r="A279" s="56" t="s">
        <v>16674</v>
      </c>
      <c r="B279" s="58"/>
      <c r="C279" s="57" t="s">
        <v>16662</v>
      </c>
      <c r="D279" s="58"/>
      <c r="E279" s="57" t="s">
        <v>15158</v>
      </c>
      <c r="F279" s="57" t="s">
        <v>16663</v>
      </c>
      <c r="G279" s="57" t="s">
        <v>15160</v>
      </c>
      <c r="H279" s="56" t="s">
        <v>2965</v>
      </c>
      <c r="I279" s="60">
        <v>13176.9</v>
      </c>
      <c r="J279" s="57" t="s">
        <v>1285</v>
      </c>
      <c r="K279" s="57" t="s">
        <v>15162</v>
      </c>
      <c r="L279" s="57" t="s">
        <v>15163</v>
      </c>
      <c r="M279" s="61" t="s">
        <v>14159</v>
      </c>
      <c r="N279" s="62" t="s">
        <v>15504</v>
      </c>
      <c r="O279" s="57" t="s">
        <v>15165</v>
      </c>
      <c r="P279" s="57" t="s">
        <v>15166</v>
      </c>
      <c r="Q279" s="57" t="s">
        <v>2965</v>
      </c>
      <c r="R279" s="57" t="s">
        <v>15606</v>
      </c>
      <c r="S279" s="57" t="s">
        <v>15607</v>
      </c>
      <c r="T279" s="57" t="s">
        <v>15190</v>
      </c>
      <c r="U279" s="57" t="s">
        <v>14184</v>
      </c>
      <c r="V279" s="56" t="s">
        <v>14153</v>
      </c>
      <c r="W279" s="58"/>
      <c r="X279" s="57" t="s">
        <v>16664</v>
      </c>
      <c r="Y279" s="57" t="s">
        <v>15170</v>
      </c>
      <c r="Z279" s="61" t="s">
        <v>16389</v>
      </c>
      <c r="AA279" s="61" t="s">
        <v>14159</v>
      </c>
      <c r="AB279" s="58"/>
      <c r="AC279" s="57" t="s">
        <v>16391</v>
      </c>
      <c r="AD279" s="58"/>
      <c r="AE279" s="58"/>
      <c r="AF279" s="58"/>
      <c r="AG279" s="58"/>
      <c r="AH279" s="58"/>
      <c r="AI279" s="58"/>
      <c r="AJ279" s="58"/>
      <c r="AK279" s="56" t="s">
        <v>1285</v>
      </c>
      <c r="AL279" s="56" t="s">
        <v>16665</v>
      </c>
      <c r="AM279" s="58"/>
      <c r="AN279" s="56" t="s">
        <v>15273</v>
      </c>
      <c r="AO279" s="58"/>
      <c r="AP279" s="63">
        <v>45848.7866435185</v>
      </c>
      <c r="AQ279" s="56" t="s">
        <v>16666</v>
      </c>
      <c r="AR279" s="61" t="s">
        <v>14645</v>
      </c>
      <c r="AS279" s="57" t="s">
        <v>14184</v>
      </c>
      <c r="AT279" s="56" t="s">
        <v>15177</v>
      </c>
      <c r="AU279" s="56" t="s">
        <v>16667</v>
      </c>
      <c r="AV279" s="58"/>
      <c r="AW279" s="64">
        <v>45792.5973032407</v>
      </c>
      <c r="AX279" s="56" t="s">
        <v>16665</v>
      </c>
      <c r="AY279" s="56" t="s">
        <v>15179</v>
      </c>
      <c r="AZ279" s="58"/>
      <c r="BA279" s="58"/>
      <c r="BB279" s="58"/>
      <c r="BC279" s="56" t="s">
        <v>2136</v>
      </c>
      <c r="BD279" s="56" t="s">
        <v>15197</v>
      </c>
      <c r="BE279" s="56" t="s">
        <v>15613</v>
      </c>
      <c r="BF279" s="56" t="s">
        <v>15181</v>
      </c>
      <c r="BG279" s="58"/>
      <c r="BH279" s="58"/>
      <c r="BI279" s="57" t="s">
        <v>2801</v>
      </c>
      <c r="BJ279" s="58"/>
      <c r="BK279" s="58"/>
      <c r="BL279" s="66">
        <v>3539574</v>
      </c>
      <c r="BM279" s="56" t="s">
        <v>16668</v>
      </c>
      <c r="BN279" s="58"/>
      <c r="BO279" s="67">
        <v>59.24</v>
      </c>
      <c r="BP279" s="56" t="s">
        <v>16395</v>
      </c>
      <c r="BQ279" s="58"/>
      <c r="BR279" s="56" t="s">
        <v>16669</v>
      </c>
      <c r="BS279" s="56" t="s">
        <v>1285</v>
      </c>
      <c r="BT279" s="58"/>
      <c r="BU279" s="56" t="s">
        <v>16666</v>
      </c>
      <c r="BV279" s="58"/>
      <c r="BW279" s="58"/>
      <c r="BX279" s="67">
        <v>59.24</v>
      </c>
      <c r="BY279" s="56" t="s">
        <v>1285</v>
      </c>
      <c r="BZ279" s="58"/>
      <c r="CA279" s="58"/>
      <c r="CB279" s="58"/>
      <c r="CC279" s="58"/>
      <c r="CD279" s="58"/>
    </row>
    <row r="280" ht="108" spans="1:82">
      <c r="A280" s="56" t="s">
        <v>16675</v>
      </c>
      <c r="B280" s="58"/>
      <c r="C280" s="57" t="s">
        <v>16662</v>
      </c>
      <c r="D280" s="58"/>
      <c r="E280" s="57" t="s">
        <v>15158</v>
      </c>
      <c r="F280" s="57" t="s">
        <v>16663</v>
      </c>
      <c r="G280" s="57" t="s">
        <v>15160</v>
      </c>
      <c r="H280" s="56" t="s">
        <v>2965</v>
      </c>
      <c r="I280" s="60">
        <v>13176.9</v>
      </c>
      <c r="J280" s="57" t="s">
        <v>1285</v>
      </c>
      <c r="K280" s="57" t="s">
        <v>15162</v>
      </c>
      <c r="L280" s="57" t="s">
        <v>15163</v>
      </c>
      <c r="M280" s="61" t="s">
        <v>14159</v>
      </c>
      <c r="N280" s="62" t="s">
        <v>15504</v>
      </c>
      <c r="O280" s="57" t="s">
        <v>15165</v>
      </c>
      <c r="P280" s="57" t="s">
        <v>15166</v>
      </c>
      <c r="Q280" s="57" t="s">
        <v>2965</v>
      </c>
      <c r="R280" s="57" t="s">
        <v>15606</v>
      </c>
      <c r="S280" s="57" t="s">
        <v>15607</v>
      </c>
      <c r="T280" s="57" t="s">
        <v>15190</v>
      </c>
      <c r="U280" s="57" t="s">
        <v>14184</v>
      </c>
      <c r="V280" s="56" t="s">
        <v>14153</v>
      </c>
      <c r="W280" s="58"/>
      <c r="X280" s="57" t="s">
        <v>16664</v>
      </c>
      <c r="Y280" s="57" t="s">
        <v>15170</v>
      </c>
      <c r="Z280" s="61" t="s">
        <v>16389</v>
      </c>
      <c r="AA280" s="61" t="s">
        <v>14159</v>
      </c>
      <c r="AB280" s="58"/>
      <c r="AC280" s="57" t="s">
        <v>16391</v>
      </c>
      <c r="AD280" s="58"/>
      <c r="AE280" s="58"/>
      <c r="AF280" s="58"/>
      <c r="AG280" s="58"/>
      <c r="AH280" s="58"/>
      <c r="AI280" s="58"/>
      <c r="AJ280" s="58"/>
      <c r="AK280" s="56" t="s">
        <v>1285</v>
      </c>
      <c r="AL280" s="56" t="s">
        <v>16665</v>
      </c>
      <c r="AM280" s="58"/>
      <c r="AN280" s="56" t="s">
        <v>15273</v>
      </c>
      <c r="AO280" s="58"/>
      <c r="AP280" s="63">
        <v>45848.7866435185</v>
      </c>
      <c r="AQ280" s="56" t="s">
        <v>16666</v>
      </c>
      <c r="AR280" s="61" t="s">
        <v>14645</v>
      </c>
      <c r="AS280" s="57" t="s">
        <v>14184</v>
      </c>
      <c r="AT280" s="56" t="s">
        <v>15177</v>
      </c>
      <c r="AU280" s="56" t="s">
        <v>16667</v>
      </c>
      <c r="AV280" s="58"/>
      <c r="AW280" s="64">
        <v>45792.5973032407</v>
      </c>
      <c r="AX280" s="56" t="s">
        <v>16665</v>
      </c>
      <c r="AY280" s="56" t="s">
        <v>15179</v>
      </c>
      <c r="AZ280" s="58"/>
      <c r="BA280" s="58"/>
      <c r="BB280" s="58"/>
      <c r="BC280" s="56" t="s">
        <v>2138</v>
      </c>
      <c r="BD280" s="56" t="s">
        <v>15197</v>
      </c>
      <c r="BE280" s="56" t="s">
        <v>15613</v>
      </c>
      <c r="BF280" s="56" t="s">
        <v>15181</v>
      </c>
      <c r="BG280" s="58"/>
      <c r="BH280" s="58"/>
      <c r="BI280" s="57" t="s">
        <v>2801</v>
      </c>
      <c r="BJ280" s="58"/>
      <c r="BK280" s="58"/>
      <c r="BL280" s="66">
        <v>3539566</v>
      </c>
      <c r="BM280" s="56" t="s">
        <v>16668</v>
      </c>
      <c r="BN280" s="58"/>
      <c r="BO280" s="67">
        <v>65.79</v>
      </c>
      <c r="BP280" s="56" t="s">
        <v>16395</v>
      </c>
      <c r="BQ280" s="58"/>
      <c r="BR280" s="56" t="s">
        <v>16669</v>
      </c>
      <c r="BS280" s="56" t="s">
        <v>1285</v>
      </c>
      <c r="BT280" s="58"/>
      <c r="BU280" s="56" t="s">
        <v>16666</v>
      </c>
      <c r="BV280" s="58"/>
      <c r="BW280" s="58"/>
      <c r="BX280" s="67">
        <v>65.79</v>
      </c>
      <c r="BY280" s="56" t="s">
        <v>1285</v>
      </c>
      <c r="BZ280" s="58"/>
      <c r="CA280" s="58"/>
      <c r="CB280" s="58"/>
      <c r="CC280" s="58"/>
      <c r="CD280" s="58"/>
    </row>
    <row r="281" ht="108" spans="1:82">
      <c r="A281" s="56" t="s">
        <v>16676</v>
      </c>
      <c r="B281" s="58"/>
      <c r="C281" s="57" t="s">
        <v>16662</v>
      </c>
      <c r="D281" s="58"/>
      <c r="E281" s="57" t="s">
        <v>15158</v>
      </c>
      <c r="F281" s="57" t="s">
        <v>16663</v>
      </c>
      <c r="G281" s="57" t="s">
        <v>15160</v>
      </c>
      <c r="H281" s="56" t="s">
        <v>2965</v>
      </c>
      <c r="I281" s="60">
        <v>13176.9</v>
      </c>
      <c r="J281" s="57" t="s">
        <v>1285</v>
      </c>
      <c r="K281" s="57" t="s">
        <v>15162</v>
      </c>
      <c r="L281" s="57" t="s">
        <v>15163</v>
      </c>
      <c r="M281" s="61" t="s">
        <v>14159</v>
      </c>
      <c r="N281" s="62" t="s">
        <v>15504</v>
      </c>
      <c r="O281" s="57" t="s">
        <v>15165</v>
      </c>
      <c r="P281" s="57" t="s">
        <v>15166</v>
      </c>
      <c r="Q281" s="57" t="s">
        <v>2965</v>
      </c>
      <c r="R281" s="57" t="s">
        <v>15606</v>
      </c>
      <c r="S281" s="57" t="s">
        <v>15607</v>
      </c>
      <c r="T281" s="57" t="s">
        <v>15190</v>
      </c>
      <c r="U281" s="57" t="s">
        <v>14184</v>
      </c>
      <c r="V281" s="56" t="s">
        <v>14153</v>
      </c>
      <c r="W281" s="58"/>
      <c r="X281" s="57" t="s">
        <v>16664</v>
      </c>
      <c r="Y281" s="57" t="s">
        <v>15170</v>
      </c>
      <c r="Z281" s="61" t="s">
        <v>16389</v>
      </c>
      <c r="AA281" s="61" t="s">
        <v>14159</v>
      </c>
      <c r="AB281" s="58"/>
      <c r="AC281" s="57" t="s">
        <v>16391</v>
      </c>
      <c r="AD281" s="58"/>
      <c r="AE281" s="58"/>
      <c r="AF281" s="58"/>
      <c r="AG281" s="58"/>
      <c r="AH281" s="58"/>
      <c r="AI281" s="58"/>
      <c r="AJ281" s="58"/>
      <c r="AK281" s="56" t="s">
        <v>1285</v>
      </c>
      <c r="AL281" s="56" t="s">
        <v>16665</v>
      </c>
      <c r="AM281" s="58"/>
      <c r="AN281" s="56" t="s">
        <v>15273</v>
      </c>
      <c r="AO281" s="58"/>
      <c r="AP281" s="63">
        <v>45848.7866435185</v>
      </c>
      <c r="AQ281" s="56" t="s">
        <v>16666</v>
      </c>
      <c r="AR281" s="61" t="s">
        <v>14645</v>
      </c>
      <c r="AS281" s="57" t="s">
        <v>14184</v>
      </c>
      <c r="AT281" s="56" t="s">
        <v>15177</v>
      </c>
      <c r="AU281" s="56" t="s">
        <v>16667</v>
      </c>
      <c r="AV281" s="58"/>
      <c r="AW281" s="64">
        <v>45792.5973032407</v>
      </c>
      <c r="AX281" s="56" t="s">
        <v>16665</v>
      </c>
      <c r="AY281" s="56" t="s">
        <v>15179</v>
      </c>
      <c r="AZ281" s="58"/>
      <c r="BA281" s="58"/>
      <c r="BB281" s="58"/>
      <c r="BC281" s="56" t="s">
        <v>2136</v>
      </c>
      <c r="BD281" s="56" t="s">
        <v>15197</v>
      </c>
      <c r="BE281" s="56" t="s">
        <v>15613</v>
      </c>
      <c r="BF281" s="56" t="s">
        <v>15181</v>
      </c>
      <c r="BG281" s="58"/>
      <c r="BH281" s="58"/>
      <c r="BI281" s="57" t="s">
        <v>2801</v>
      </c>
      <c r="BJ281" s="58"/>
      <c r="BK281" s="58"/>
      <c r="BL281" s="66">
        <v>3539589</v>
      </c>
      <c r="BM281" s="56" t="s">
        <v>16668</v>
      </c>
      <c r="BN281" s="58"/>
      <c r="BO281" s="67">
        <v>55.4</v>
      </c>
      <c r="BP281" s="56" t="s">
        <v>16395</v>
      </c>
      <c r="BQ281" s="58"/>
      <c r="BR281" s="56" t="s">
        <v>16669</v>
      </c>
      <c r="BS281" s="56" t="s">
        <v>1285</v>
      </c>
      <c r="BT281" s="58"/>
      <c r="BU281" s="56" t="s">
        <v>16666</v>
      </c>
      <c r="BV281" s="58"/>
      <c r="BW281" s="58"/>
      <c r="BX281" s="67">
        <v>55.4</v>
      </c>
      <c r="BY281" s="56" t="s">
        <v>1285</v>
      </c>
      <c r="BZ281" s="58"/>
      <c r="CA281" s="58"/>
      <c r="CB281" s="58"/>
      <c r="CC281" s="58"/>
      <c r="CD281" s="58"/>
    </row>
    <row r="282" ht="108" spans="1:82">
      <c r="A282" s="56" t="s">
        <v>16677</v>
      </c>
      <c r="B282" s="58"/>
      <c r="C282" s="57" t="s">
        <v>16662</v>
      </c>
      <c r="D282" s="58"/>
      <c r="E282" s="57" t="s">
        <v>15158</v>
      </c>
      <c r="F282" s="57" t="s">
        <v>16663</v>
      </c>
      <c r="G282" s="57" t="s">
        <v>15160</v>
      </c>
      <c r="H282" s="56" t="s">
        <v>2965</v>
      </c>
      <c r="I282" s="60">
        <v>13176.9</v>
      </c>
      <c r="J282" s="57" t="s">
        <v>1285</v>
      </c>
      <c r="K282" s="57" t="s">
        <v>15162</v>
      </c>
      <c r="L282" s="57" t="s">
        <v>15163</v>
      </c>
      <c r="M282" s="61" t="s">
        <v>14159</v>
      </c>
      <c r="N282" s="62" t="s">
        <v>15504</v>
      </c>
      <c r="O282" s="57" t="s">
        <v>15165</v>
      </c>
      <c r="P282" s="57" t="s">
        <v>15166</v>
      </c>
      <c r="Q282" s="57" t="s">
        <v>2965</v>
      </c>
      <c r="R282" s="57" t="s">
        <v>15606</v>
      </c>
      <c r="S282" s="57" t="s">
        <v>15607</v>
      </c>
      <c r="T282" s="57" t="s">
        <v>15190</v>
      </c>
      <c r="U282" s="57" t="s">
        <v>14184</v>
      </c>
      <c r="V282" s="56" t="s">
        <v>14153</v>
      </c>
      <c r="W282" s="58"/>
      <c r="X282" s="57" t="s">
        <v>16664</v>
      </c>
      <c r="Y282" s="57" t="s">
        <v>15170</v>
      </c>
      <c r="Z282" s="61" t="s">
        <v>16389</v>
      </c>
      <c r="AA282" s="61" t="s">
        <v>14159</v>
      </c>
      <c r="AB282" s="58"/>
      <c r="AC282" s="57" t="s">
        <v>16391</v>
      </c>
      <c r="AD282" s="58"/>
      <c r="AE282" s="58"/>
      <c r="AF282" s="58"/>
      <c r="AG282" s="58"/>
      <c r="AH282" s="58"/>
      <c r="AI282" s="58"/>
      <c r="AJ282" s="58"/>
      <c r="AK282" s="56" t="s">
        <v>1285</v>
      </c>
      <c r="AL282" s="56" t="s">
        <v>16665</v>
      </c>
      <c r="AM282" s="58"/>
      <c r="AN282" s="56" t="s">
        <v>15273</v>
      </c>
      <c r="AO282" s="58"/>
      <c r="AP282" s="63">
        <v>45848.7866435185</v>
      </c>
      <c r="AQ282" s="56" t="s">
        <v>16666</v>
      </c>
      <c r="AR282" s="61" t="s">
        <v>14645</v>
      </c>
      <c r="AS282" s="57" t="s">
        <v>14184</v>
      </c>
      <c r="AT282" s="56" t="s">
        <v>15177</v>
      </c>
      <c r="AU282" s="56" t="s">
        <v>16667</v>
      </c>
      <c r="AV282" s="58"/>
      <c r="AW282" s="64">
        <v>45792.5973032407</v>
      </c>
      <c r="AX282" s="56" t="s">
        <v>16665</v>
      </c>
      <c r="AY282" s="56" t="s">
        <v>15179</v>
      </c>
      <c r="AZ282" s="58"/>
      <c r="BA282" s="58"/>
      <c r="BB282" s="58"/>
      <c r="BC282" s="56" t="s">
        <v>2136</v>
      </c>
      <c r="BD282" s="56" t="s">
        <v>15197</v>
      </c>
      <c r="BE282" s="56" t="s">
        <v>15613</v>
      </c>
      <c r="BF282" s="56" t="s">
        <v>15181</v>
      </c>
      <c r="BG282" s="58"/>
      <c r="BH282" s="58"/>
      <c r="BI282" s="57" t="s">
        <v>2801</v>
      </c>
      <c r="BJ282" s="58"/>
      <c r="BK282" s="58"/>
      <c r="BL282" s="66">
        <v>3539589</v>
      </c>
      <c r="BM282" s="56" t="s">
        <v>16668</v>
      </c>
      <c r="BN282" s="58"/>
      <c r="BO282" s="67">
        <v>221.6</v>
      </c>
      <c r="BP282" s="56" t="s">
        <v>16395</v>
      </c>
      <c r="BQ282" s="58"/>
      <c r="BR282" s="56" t="s">
        <v>16669</v>
      </c>
      <c r="BS282" s="56" t="s">
        <v>1285</v>
      </c>
      <c r="BT282" s="58"/>
      <c r="BU282" s="56" t="s">
        <v>16666</v>
      </c>
      <c r="BV282" s="58"/>
      <c r="BW282" s="58"/>
      <c r="BX282" s="67">
        <v>221.6</v>
      </c>
      <c r="BY282" s="56" t="s">
        <v>1285</v>
      </c>
      <c r="BZ282" s="58"/>
      <c r="CA282" s="58"/>
      <c r="CB282" s="58"/>
      <c r="CC282" s="58"/>
      <c r="CD282" s="58"/>
    </row>
    <row r="283" ht="108" spans="1:82">
      <c r="A283" s="56" t="s">
        <v>16678</v>
      </c>
      <c r="B283" s="58"/>
      <c r="C283" s="57" t="s">
        <v>16662</v>
      </c>
      <c r="D283" s="58"/>
      <c r="E283" s="57" t="s">
        <v>15158</v>
      </c>
      <c r="F283" s="57" t="s">
        <v>16663</v>
      </c>
      <c r="G283" s="57" t="s">
        <v>15160</v>
      </c>
      <c r="H283" s="56" t="s">
        <v>2965</v>
      </c>
      <c r="I283" s="60">
        <v>13176.9</v>
      </c>
      <c r="J283" s="57" t="s">
        <v>1285</v>
      </c>
      <c r="K283" s="57" t="s">
        <v>15162</v>
      </c>
      <c r="L283" s="57" t="s">
        <v>15163</v>
      </c>
      <c r="M283" s="61" t="s">
        <v>14159</v>
      </c>
      <c r="N283" s="62" t="s">
        <v>15504</v>
      </c>
      <c r="O283" s="57" t="s">
        <v>15165</v>
      </c>
      <c r="P283" s="57" t="s">
        <v>15166</v>
      </c>
      <c r="Q283" s="57" t="s">
        <v>2965</v>
      </c>
      <c r="R283" s="57" t="s">
        <v>15606</v>
      </c>
      <c r="S283" s="57" t="s">
        <v>15607</v>
      </c>
      <c r="T283" s="57" t="s">
        <v>15190</v>
      </c>
      <c r="U283" s="57" t="s">
        <v>14184</v>
      </c>
      <c r="V283" s="56" t="s">
        <v>14153</v>
      </c>
      <c r="W283" s="58"/>
      <c r="X283" s="57" t="s">
        <v>16664</v>
      </c>
      <c r="Y283" s="57" t="s">
        <v>15170</v>
      </c>
      <c r="Z283" s="61" t="s">
        <v>16389</v>
      </c>
      <c r="AA283" s="61" t="s">
        <v>14159</v>
      </c>
      <c r="AB283" s="58"/>
      <c r="AC283" s="57" t="s">
        <v>16391</v>
      </c>
      <c r="AD283" s="58"/>
      <c r="AE283" s="58"/>
      <c r="AF283" s="58"/>
      <c r="AG283" s="58"/>
      <c r="AH283" s="58"/>
      <c r="AI283" s="58"/>
      <c r="AJ283" s="58"/>
      <c r="AK283" s="56" t="s">
        <v>1285</v>
      </c>
      <c r="AL283" s="56" t="s">
        <v>16665</v>
      </c>
      <c r="AM283" s="58"/>
      <c r="AN283" s="56" t="s">
        <v>15273</v>
      </c>
      <c r="AO283" s="58"/>
      <c r="AP283" s="63">
        <v>45848.7866435185</v>
      </c>
      <c r="AQ283" s="56" t="s">
        <v>16666</v>
      </c>
      <c r="AR283" s="61" t="s">
        <v>14645</v>
      </c>
      <c r="AS283" s="57" t="s">
        <v>14184</v>
      </c>
      <c r="AT283" s="56" t="s">
        <v>15177</v>
      </c>
      <c r="AU283" s="56" t="s">
        <v>16667</v>
      </c>
      <c r="AV283" s="58"/>
      <c r="AW283" s="64">
        <v>45792.5973032407</v>
      </c>
      <c r="AX283" s="56" t="s">
        <v>16665</v>
      </c>
      <c r="AY283" s="56" t="s">
        <v>15179</v>
      </c>
      <c r="AZ283" s="58"/>
      <c r="BA283" s="58"/>
      <c r="BB283" s="58"/>
      <c r="BC283" s="56" t="s">
        <v>15628</v>
      </c>
      <c r="BD283" s="56" t="s">
        <v>15197</v>
      </c>
      <c r="BE283" s="56" t="s">
        <v>15613</v>
      </c>
      <c r="BF283" s="56" t="s">
        <v>15181</v>
      </c>
      <c r="BG283" s="58"/>
      <c r="BH283" s="58"/>
      <c r="BI283" s="57" t="s">
        <v>2801</v>
      </c>
      <c r="BJ283" s="58"/>
      <c r="BK283" s="58"/>
      <c r="BL283" s="66">
        <v>3539559</v>
      </c>
      <c r="BM283" s="56" t="s">
        <v>16668</v>
      </c>
      <c r="BN283" s="58"/>
      <c r="BO283" s="67">
        <v>90.3</v>
      </c>
      <c r="BP283" s="56" t="s">
        <v>16395</v>
      </c>
      <c r="BQ283" s="58"/>
      <c r="BR283" s="56" t="s">
        <v>16669</v>
      </c>
      <c r="BS283" s="56" t="s">
        <v>1285</v>
      </c>
      <c r="BT283" s="58"/>
      <c r="BU283" s="56" t="s">
        <v>16666</v>
      </c>
      <c r="BV283" s="58"/>
      <c r="BW283" s="58"/>
      <c r="BX283" s="67">
        <v>90.3</v>
      </c>
      <c r="BY283" s="56" t="s">
        <v>1285</v>
      </c>
      <c r="BZ283" s="58"/>
      <c r="CA283" s="58"/>
      <c r="CB283" s="58"/>
      <c r="CC283" s="58"/>
      <c r="CD283" s="58"/>
    </row>
    <row r="284" ht="108" spans="1:82">
      <c r="A284" s="56" t="s">
        <v>16679</v>
      </c>
      <c r="B284" s="58"/>
      <c r="C284" s="57" t="s">
        <v>16662</v>
      </c>
      <c r="D284" s="58"/>
      <c r="E284" s="57" t="s">
        <v>15158</v>
      </c>
      <c r="F284" s="57" t="s">
        <v>16663</v>
      </c>
      <c r="G284" s="57" t="s">
        <v>15160</v>
      </c>
      <c r="H284" s="56" t="s">
        <v>2965</v>
      </c>
      <c r="I284" s="60">
        <v>13176.9</v>
      </c>
      <c r="J284" s="57" t="s">
        <v>1285</v>
      </c>
      <c r="K284" s="57" t="s">
        <v>15162</v>
      </c>
      <c r="L284" s="57" t="s">
        <v>15163</v>
      </c>
      <c r="M284" s="61" t="s">
        <v>14159</v>
      </c>
      <c r="N284" s="62" t="s">
        <v>15504</v>
      </c>
      <c r="O284" s="57" t="s">
        <v>15165</v>
      </c>
      <c r="P284" s="57" t="s">
        <v>15166</v>
      </c>
      <c r="Q284" s="57" t="s">
        <v>2965</v>
      </c>
      <c r="R284" s="57" t="s">
        <v>15606</v>
      </c>
      <c r="S284" s="57" t="s">
        <v>15607</v>
      </c>
      <c r="T284" s="57" t="s">
        <v>15190</v>
      </c>
      <c r="U284" s="57" t="s">
        <v>14184</v>
      </c>
      <c r="V284" s="56" t="s">
        <v>14153</v>
      </c>
      <c r="W284" s="58"/>
      <c r="X284" s="57" t="s">
        <v>16664</v>
      </c>
      <c r="Y284" s="57" t="s">
        <v>15170</v>
      </c>
      <c r="Z284" s="61" t="s">
        <v>16389</v>
      </c>
      <c r="AA284" s="61" t="s">
        <v>14159</v>
      </c>
      <c r="AB284" s="58"/>
      <c r="AC284" s="57" t="s">
        <v>16391</v>
      </c>
      <c r="AD284" s="58"/>
      <c r="AE284" s="58"/>
      <c r="AF284" s="58"/>
      <c r="AG284" s="58"/>
      <c r="AH284" s="58"/>
      <c r="AI284" s="58"/>
      <c r="AJ284" s="58"/>
      <c r="AK284" s="56" t="s">
        <v>1285</v>
      </c>
      <c r="AL284" s="56" t="s">
        <v>16665</v>
      </c>
      <c r="AM284" s="58"/>
      <c r="AN284" s="56" t="s">
        <v>15273</v>
      </c>
      <c r="AO284" s="58"/>
      <c r="AP284" s="63">
        <v>45848.7866435185</v>
      </c>
      <c r="AQ284" s="56" t="s">
        <v>16666</v>
      </c>
      <c r="AR284" s="61" t="s">
        <v>14645</v>
      </c>
      <c r="AS284" s="57" t="s">
        <v>14184</v>
      </c>
      <c r="AT284" s="56" t="s">
        <v>15177</v>
      </c>
      <c r="AU284" s="56" t="s">
        <v>16667</v>
      </c>
      <c r="AV284" s="58"/>
      <c r="AW284" s="64">
        <v>45792.5973032407</v>
      </c>
      <c r="AX284" s="56" t="s">
        <v>16665</v>
      </c>
      <c r="AY284" s="56" t="s">
        <v>15179</v>
      </c>
      <c r="AZ284" s="58"/>
      <c r="BA284" s="58"/>
      <c r="BB284" s="58"/>
      <c r="BC284" s="56" t="s">
        <v>2148</v>
      </c>
      <c r="BD284" s="56" t="s">
        <v>15197</v>
      </c>
      <c r="BE284" s="56" t="s">
        <v>15613</v>
      </c>
      <c r="BF284" s="56" t="s">
        <v>15181</v>
      </c>
      <c r="BG284" s="58"/>
      <c r="BH284" s="58"/>
      <c r="BI284" s="57" t="s">
        <v>2801</v>
      </c>
      <c r="BJ284" s="58"/>
      <c r="BK284" s="58"/>
      <c r="BL284" s="66">
        <v>3539587</v>
      </c>
      <c r="BM284" s="56" t="s">
        <v>16668</v>
      </c>
      <c r="BN284" s="58"/>
      <c r="BO284" s="67">
        <v>562.84</v>
      </c>
      <c r="BP284" s="56" t="s">
        <v>16395</v>
      </c>
      <c r="BQ284" s="58"/>
      <c r="BR284" s="56" t="s">
        <v>16669</v>
      </c>
      <c r="BS284" s="56" t="s">
        <v>1285</v>
      </c>
      <c r="BT284" s="58"/>
      <c r="BU284" s="56" t="s">
        <v>16666</v>
      </c>
      <c r="BV284" s="58"/>
      <c r="BW284" s="58"/>
      <c r="BX284" s="67">
        <v>562.84</v>
      </c>
      <c r="BY284" s="56" t="s">
        <v>1285</v>
      </c>
      <c r="BZ284" s="58"/>
      <c r="CA284" s="58"/>
      <c r="CB284" s="58"/>
      <c r="CC284" s="58"/>
      <c r="CD284" s="58"/>
    </row>
    <row r="285" ht="108" spans="1:82">
      <c r="A285" s="56" t="s">
        <v>16680</v>
      </c>
      <c r="B285" s="58"/>
      <c r="C285" s="57" t="s">
        <v>16662</v>
      </c>
      <c r="D285" s="58"/>
      <c r="E285" s="57" t="s">
        <v>15158</v>
      </c>
      <c r="F285" s="57" t="s">
        <v>16663</v>
      </c>
      <c r="G285" s="57" t="s">
        <v>15160</v>
      </c>
      <c r="H285" s="56" t="s">
        <v>2965</v>
      </c>
      <c r="I285" s="60">
        <v>13176.9</v>
      </c>
      <c r="J285" s="57" t="s">
        <v>1285</v>
      </c>
      <c r="K285" s="57" t="s">
        <v>15162</v>
      </c>
      <c r="L285" s="57" t="s">
        <v>15163</v>
      </c>
      <c r="M285" s="61" t="s">
        <v>14159</v>
      </c>
      <c r="N285" s="62" t="s">
        <v>15504</v>
      </c>
      <c r="O285" s="57" t="s">
        <v>15165</v>
      </c>
      <c r="P285" s="57" t="s">
        <v>15166</v>
      </c>
      <c r="Q285" s="57" t="s">
        <v>2965</v>
      </c>
      <c r="R285" s="57" t="s">
        <v>15606</v>
      </c>
      <c r="S285" s="57" t="s">
        <v>15607</v>
      </c>
      <c r="T285" s="57" t="s">
        <v>15190</v>
      </c>
      <c r="U285" s="57" t="s">
        <v>14184</v>
      </c>
      <c r="V285" s="56" t="s">
        <v>14153</v>
      </c>
      <c r="W285" s="58"/>
      <c r="X285" s="57" t="s">
        <v>16664</v>
      </c>
      <c r="Y285" s="57" t="s">
        <v>15170</v>
      </c>
      <c r="Z285" s="61" t="s">
        <v>16389</v>
      </c>
      <c r="AA285" s="61" t="s">
        <v>14159</v>
      </c>
      <c r="AB285" s="58"/>
      <c r="AC285" s="57" t="s">
        <v>16391</v>
      </c>
      <c r="AD285" s="58"/>
      <c r="AE285" s="58"/>
      <c r="AF285" s="58"/>
      <c r="AG285" s="58"/>
      <c r="AH285" s="58"/>
      <c r="AI285" s="58"/>
      <c r="AJ285" s="58"/>
      <c r="AK285" s="56" t="s">
        <v>1285</v>
      </c>
      <c r="AL285" s="56" t="s">
        <v>16665</v>
      </c>
      <c r="AM285" s="58"/>
      <c r="AN285" s="56" t="s">
        <v>15273</v>
      </c>
      <c r="AO285" s="58"/>
      <c r="AP285" s="63">
        <v>45848.7866435185</v>
      </c>
      <c r="AQ285" s="56" t="s">
        <v>16666</v>
      </c>
      <c r="AR285" s="61" t="s">
        <v>14645</v>
      </c>
      <c r="AS285" s="57" t="s">
        <v>14184</v>
      </c>
      <c r="AT285" s="56" t="s">
        <v>15177</v>
      </c>
      <c r="AU285" s="56" t="s">
        <v>16667</v>
      </c>
      <c r="AV285" s="58"/>
      <c r="AW285" s="64">
        <v>45792.5973032407</v>
      </c>
      <c r="AX285" s="56" t="s">
        <v>16665</v>
      </c>
      <c r="AY285" s="56" t="s">
        <v>15179</v>
      </c>
      <c r="AZ285" s="58"/>
      <c r="BA285" s="58"/>
      <c r="BB285" s="58"/>
      <c r="BC285" s="56" t="s">
        <v>2136</v>
      </c>
      <c r="BD285" s="56" t="s">
        <v>15197</v>
      </c>
      <c r="BE285" s="56" t="s">
        <v>15613</v>
      </c>
      <c r="BF285" s="56" t="s">
        <v>15181</v>
      </c>
      <c r="BG285" s="58"/>
      <c r="BH285" s="58"/>
      <c r="BI285" s="57" t="s">
        <v>2801</v>
      </c>
      <c r="BJ285" s="58"/>
      <c r="BK285" s="58"/>
      <c r="BL285" s="66">
        <v>3539591</v>
      </c>
      <c r="BM285" s="56" t="s">
        <v>16668</v>
      </c>
      <c r="BN285" s="58"/>
      <c r="BO285" s="67">
        <v>81.4</v>
      </c>
      <c r="BP285" s="56" t="s">
        <v>16395</v>
      </c>
      <c r="BQ285" s="58"/>
      <c r="BR285" s="56" t="s">
        <v>16669</v>
      </c>
      <c r="BS285" s="56" t="s">
        <v>1285</v>
      </c>
      <c r="BT285" s="58"/>
      <c r="BU285" s="56" t="s">
        <v>16666</v>
      </c>
      <c r="BV285" s="58"/>
      <c r="BW285" s="58"/>
      <c r="BX285" s="67">
        <v>81.4</v>
      </c>
      <c r="BY285" s="56" t="s">
        <v>1285</v>
      </c>
      <c r="BZ285" s="58"/>
      <c r="CA285" s="58"/>
      <c r="CB285" s="58"/>
      <c r="CC285" s="58"/>
      <c r="CD285" s="58"/>
    </row>
    <row r="286" ht="108" spans="1:82">
      <c r="A286" s="56" t="s">
        <v>16681</v>
      </c>
      <c r="B286" s="58"/>
      <c r="C286" s="57" t="s">
        <v>16662</v>
      </c>
      <c r="D286" s="58"/>
      <c r="E286" s="57" t="s">
        <v>15158</v>
      </c>
      <c r="F286" s="57" t="s">
        <v>16663</v>
      </c>
      <c r="G286" s="57" t="s">
        <v>15160</v>
      </c>
      <c r="H286" s="56" t="s">
        <v>2965</v>
      </c>
      <c r="I286" s="60">
        <v>13176.9</v>
      </c>
      <c r="J286" s="57" t="s">
        <v>1285</v>
      </c>
      <c r="K286" s="57" t="s">
        <v>15162</v>
      </c>
      <c r="L286" s="57" t="s">
        <v>15163</v>
      </c>
      <c r="M286" s="61" t="s">
        <v>14159</v>
      </c>
      <c r="N286" s="62" t="s">
        <v>15504</v>
      </c>
      <c r="O286" s="57" t="s">
        <v>15165</v>
      </c>
      <c r="P286" s="57" t="s">
        <v>15166</v>
      </c>
      <c r="Q286" s="57" t="s">
        <v>2965</v>
      </c>
      <c r="R286" s="57" t="s">
        <v>15606</v>
      </c>
      <c r="S286" s="57" t="s">
        <v>15607</v>
      </c>
      <c r="T286" s="57" t="s">
        <v>15190</v>
      </c>
      <c r="U286" s="57" t="s">
        <v>14184</v>
      </c>
      <c r="V286" s="56" t="s">
        <v>14153</v>
      </c>
      <c r="W286" s="58"/>
      <c r="X286" s="57" t="s">
        <v>16664</v>
      </c>
      <c r="Y286" s="57" t="s">
        <v>15170</v>
      </c>
      <c r="Z286" s="61" t="s">
        <v>16389</v>
      </c>
      <c r="AA286" s="61" t="s">
        <v>14159</v>
      </c>
      <c r="AB286" s="58"/>
      <c r="AC286" s="57" t="s">
        <v>16391</v>
      </c>
      <c r="AD286" s="58"/>
      <c r="AE286" s="58"/>
      <c r="AF286" s="58"/>
      <c r="AG286" s="58"/>
      <c r="AH286" s="58"/>
      <c r="AI286" s="58"/>
      <c r="AJ286" s="58"/>
      <c r="AK286" s="56" t="s">
        <v>1285</v>
      </c>
      <c r="AL286" s="56" t="s">
        <v>16665</v>
      </c>
      <c r="AM286" s="58"/>
      <c r="AN286" s="56" t="s">
        <v>15273</v>
      </c>
      <c r="AO286" s="58"/>
      <c r="AP286" s="63">
        <v>45848.7866435185</v>
      </c>
      <c r="AQ286" s="56" t="s">
        <v>16666</v>
      </c>
      <c r="AR286" s="61" t="s">
        <v>14645</v>
      </c>
      <c r="AS286" s="57" t="s">
        <v>14184</v>
      </c>
      <c r="AT286" s="56" t="s">
        <v>15177</v>
      </c>
      <c r="AU286" s="56" t="s">
        <v>16667</v>
      </c>
      <c r="AV286" s="58"/>
      <c r="AW286" s="64">
        <v>45792.5973032407</v>
      </c>
      <c r="AX286" s="56" t="s">
        <v>16665</v>
      </c>
      <c r="AY286" s="56" t="s">
        <v>15179</v>
      </c>
      <c r="AZ286" s="58"/>
      <c r="BA286" s="58"/>
      <c r="BB286" s="58"/>
      <c r="BC286" s="56" t="s">
        <v>15628</v>
      </c>
      <c r="BD286" s="56" t="s">
        <v>15197</v>
      </c>
      <c r="BE286" s="56" t="s">
        <v>15613</v>
      </c>
      <c r="BF286" s="56" t="s">
        <v>15181</v>
      </c>
      <c r="BG286" s="58"/>
      <c r="BH286" s="58"/>
      <c r="BI286" s="57" t="s">
        <v>2801</v>
      </c>
      <c r="BJ286" s="58"/>
      <c r="BK286" s="58"/>
      <c r="BL286" s="66">
        <v>3539557</v>
      </c>
      <c r="BM286" s="56" t="s">
        <v>16668</v>
      </c>
      <c r="BN286" s="58"/>
      <c r="BO286" s="67">
        <v>100.57</v>
      </c>
      <c r="BP286" s="56" t="s">
        <v>16395</v>
      </c>
      <c r="BQ286" s="58"/>
      <c r="BR286" s="56" t="s">
        <v>16669</v>
      </c>
      <c r="BS286" s="56" t="s">
        <v>1285</v>
      </c>
      <c r="BT286" s="58"/>
      <c r="BU286" s="56" t="s">
        <v>16666</v>
      </c>
      <c r="BV286" s="58"/>
      <c r="BW286" s="58"/>
      <c r="BX286" s="67">
        <v>100.57</v>
      </c>
      <c r="BY286" s="56" t="s">
        <v>1285</v>
      </c>
      <c r="BZ286" s="58"/>
      <c r="CA286" s="58"/>
      <c r="CB286" s="58"/>
      <c r="CC286" s="58"/>
      <c r="CD286" s="58"/>
    </row>
    <row r="287" ht="108" spans="1:82">
      <c r="A287" s="56" t="s">
        <v>16682</v>
      </c>
      <c r="B287" s="58"/>
      <c r="C287" s="57" t="s">
        <v>16662</v>
      </c>
      <c r="D287" s="58"/>
      <c r="E287" s="57" t="s">
        <v>15158</v>
      </c>
      <c r="F287" s="57" t="s">
        <v>16663</v>
      </c>
      <c r="G287" s="57" t="s">
        <v>15160</v>
      </c>
      <c r="H287" s="56" t="s">
        <v>2965</v>
      </c>
      <c r="I287" s="60">
        <v>13176.9</v>
      </c>
      <c r="J287" s="57" t="s">
        <v>1285</v>
      </c>
      <c r="K287" s="57" t="s">
        <v>15162</v>
      </c>
      <c r="L287" s="57" t="s">
        <v>15163</v>
      </c>
      <c r="M287" s="61" t="s">
        <v>14159</v>
      </c>
      <c r="N287" s="62" t="s">
        <v>15504</v>
      </c>
      <c r="O287" s="57" t="s">
        <v>15165</v>
      </c>
      <c r="P287" s="57" t="s">
        <v>15166</v>
      </c>
      <c r="Q287" s="57" t="s">
        <v>2965</v>
      </c>
      <c r="R287" s="57" t="s">
        <v>15606</v>
      </c>
      <c r="S287" s="57" t="s">
        <v>15607</v>
      </c>
      <c r="T287" s="57" t="s">
        <v>15190</v>
      </c>
      <c r="U287" s="57" t="s">
        <v>14184</v>
      </c>
      <c r="V287" s="56" t="s">
        <v>14153</v>
      </c>
      <c r="W287" s="58"/>
      <c r="X287" s="57" t="s">
        <v>16664</v>
      </c>
      <c r="Y287" s="57" t="s">
        <v>15170</v>
      </c>
      <c r="Z287" s="61" t="s">
        <v>16389</v>
      </c>
      <c r="AA287" s="61" t="s">
        <v>14159</v>
      </c>
      <c r="AB287" s="58"/>
      <c r="AC287" s="57" t="s">
        <v>16391</v>
      </c>
      <c r="AD287" s="58"/>
      <c r="AE287" s="58"/>
      <c r="AF287" s="58"/>
      <c r="AG287" s="58"/>
      <c r="AH287" s="58"/>
      <c r="AI287" s="58"/>
      <c r="AJ287" s="58"/>
      <c r="AK287" s="56" t="s">
        <v>1285</v>
      </c>
      <c r="AL287" s="56" t="s">
        <v>16665</v>
      </c>
      <c r="AM287" s="58"/>
      <c r="AN287" s="56" t="s">
        <v>15273</v>
      </c>
      <c r="AO287" s="58"/>
      <c r="AP287" s="63">
        <v>45848.7866435185</v>
      </c>
      <c r="AQ287" s="56" t="s">
        <v>16666</v>
      </c>
      <c r="AR287" s="61" t="s">
        <v>14645</v>
      </c>
      <c r="AS287" s="57" t="s">
        <v>14184</v>
      </c>
      <c r="AT287" s="56" t="s">
        <v>15177</v>
      </c>
      <c r="AU287" s="56" t="s">
        <v>16667</v>
      </c>
      <c r="AV287" s="58"/>
      <c r="AW287" s="64">
        <v>45792.5973032407</v>
      </c>
      <c r="AX287" s="56" t="s">
        <v>16665</v>
      </c>
      <c r="AY287" s="56" t="s">
        <v>15179</v>
      </c>
      <c r="AZ287" s="58"/>
      <c r="BA287" s="58"/>
      <c r="BB287" s="58"/>
      <c r="BC287" s="56" t="s">
        <v>15628</v>
      </c>
      <c r="BD287" s="56" t="s">
        <v>15197</v>
      </c>
      <c r="BE287" s="56" t="s">
        <v>15613</v>
      </c>
      <c r="BF287" s="56" t="s">
        <v>15181</v>
      </c>
      <c r="BG287" s="58"/>
      <c r="BH287" s="58"/>
      <c r="BI287" s="57" t="s">
        <v>2801</v>
      </c>
      <c r="BJ287" s="58"/>
      <c r="BK287" s="58"/>
      <c r="BL287" s="66">
        <v>3539580</v>
      </c>
      <c r="BM287" s="56" t="s">
        <v>16668</v>
      </c>
      <c r="BN287" s="58"/>
      <c r="BO287" s="67">
        <v>76.95</v>
      </c>
      <c r="BP287" s="56" t="s">
        <v>16395</v>
      </c>
      <c r="BQ287" s="58"/>
      <c r="BR287" s="56" t="s">
        <v>16669</v>
      </c>
      <c r="BS287" s="56" t="s">
        <v>1285</v>
      </c>
      <c r="BT287" s="58"/>
      <c r="BU287" s="56" t="s">
        <v>16666</v>
      </c>
      <c r="BV287" s="58"/>
      <c r="BW287" s="58"/>
      <c r="BX287" s="67">
        <v>76.95</v>
      </c>
      <c r="BY287" s="56" t="s">
        <v>1285</v>
      </c>
      <c r="BZ287" s="58"/>
      <c r="CA287" s="58"/>
      <c r="CB287" s="58"/>
      <c r="CC287" s="58"/>
      <c r="CD287" s="58"/>
    </row>
    <row r="288" ht="108" spans="1:82">
      <c r="A288" s="56" t="s">
        <v>16683</v>
      </c>
      <c r="B288" s="58"/>
      <c r="C288" s="57" t="s">
        <v>16662</v>
      </c>
      <c r="D288" s="58"/>
      <c r="E288" s="57" t="s">
        <v>15158</v>
      </c>
      <c r="F288" s="57" t="s">
        <v>16663</v>
      </c>
      <c r="G288" s="57" t="s">
        <v>15160</v>
      </c>
      <c r="H288" s="56" t="s">
        <v>2965</v>
      </c>
      <c r="I288" s="60">
        <v>13176.9</v>
      </c>
      <c r="J288" s="57" t="s">
        <v>1285</v>
      </c>
      <c r="K288" s="57" t="s">
        <v>15162</v>
      </c>
      <c r="L288" s="57" t="s">
        <v>15163</v>
      </c>
      <c r="M288" s="61" t="s">
        <v>14159</v>
      </c>
      <c r="N288" s="62" t="s">
        <v>15504</v>
      </c>
      <c r="O288" s="57" t="s">
        <v>15165</v>
      </c>
      <c r="P288" s="57" t="s">
        <v>15166</v>
      </c>
      <c r="Q288" s="57" t="s">
        <v>2965</v>
      </c>
      <c r="R288" s="57" t="s">
        <v>15606</v>
      </c>
      <c r="S288" s="57" t="s">
        <v>15607</v>
      </c>
      <c r="T288" s="57" t="s">
        <v>15190</v>
      </c>
      <c r="U288" s="57" t="s">
        <v>14184</v>
      </c>
      <c r="V288" s="56" t="s">
        <v>14153</v>
      </c>
      <c r="W288" s="58"/>
      <c r="X288" s="57" t="s">
        <v>16664</v>
      </c>
      <c r="Y288" s="57" t="s">
        <v>15170</v>
      </c>
      <c r="Z288" s="61" t="s">
        <v>16389</v>
      </c>
      <c r="AA288" s="61" t="s">
        <v>14159</v>
      </c>
      <c r="AB288" s="58"/>
      <c r="AC288" s="57" t="s">
        <v>16391</v>
      </c>
      <c r="AD288" s="58"/>
      <c r="AE288" s="58"/>
      <c r="AF288" s="58"/>
      <c r="AG288" s="58"/>
      <c r="AH288" s="58"/>
      <c r="AI288" s="58"/>
      <c r="AJ288" s="58"/>
      <c r="AK288" s="56" t="s">
        <v>1285</v>
      </c>
      <c r="AL288" s="56" t="s">
        <v>16665</v>
      </c>
      <c r="AM288" s="58"/>
      <c r="AN288" s="56" t="s">
        <v>15273</v>
      </c>
      <c r="AO288" s="58"/>
      <c r="AP288" s="63">
        <v>45848.7866435185</v>
      </c>
      <c r="AQ288" s="56" t="s">
        <v>16666</v>
      </c>
      <c r="AR288" s="61" t="s">
        <v>14645</v>
      </c>
      <c r="AS288" s="57" t="s">
        <v>14184</v>
      </c>
      <c r="AT288" s="56" t="s">
        <v>15177</v>
      </c>
      <c r="AU288" s="56" t="s">
        <v>16667</v>
      </c>
      <c r="AV288" s="58"/>
      <c r="AW288" s="64">
        <v>45792.5973032407</v>
      </c>
      <c r="AX288" s="56" t="s">
        <v>16665</v>
      </c>
      <c r="AY288" s="56" t="s">
        <v>15179</v>
      </c>
      <c r="AZ288" s="58"/>
      <c r="BA288" s="58"/>
      <c r="BB288" s="58"/>
      <c r="BC288" s="56" t="s">
        <v>15628</v>
      </c>
      <c r="BD288" s="56" t="s">
        <v>15197</v>
      </c>
      <c r="BE288" s="56" t="s">
        <v>15613</v>
      </c>
      <c r="BF288" s="56" t="s">
        <v>15181</v>
      </c>
      <c r="BG288" s="58"/>
      <c r="BH288" s="58"/>
      <c r="BI288" s="57" t="s">
        <v>2801</v>
      </c>
      <c r="BJ288" s="58"/>
      <c r="BK288" s="58"/>
      <c r="BL288" s="66">
        <v>3539558</v>
      </c>
      <c r="BM288" s="56" t="s">
        <v>16668</v>
      </c>
      <c r="BN288" s="58"/>
      <c r="BO288" s="67">
        <v>1188</v>
      </c>
      <c r="BP288" s="56" t="s">
        <v>16395</v>
      </c>
      <c r="BQ288" s="58"/>
      <c r="BR288" s="56" t="s">
        <v>16669</v>
      </c>
      <c r="BS288" s="56" t="s">
        <v>1285</v>
      </c>
      <c r="BT288" s="58"/>
      <c r="BU288" s="56" t="s">
        <v>16666</v>
      </c>
      <c r="BV288" s="58"/>
      <c r="BW288" s="58"/>
      <c r="BX288" s="67">
        <v>1188</v>
      </c>
      <c r="BY288" s="56" t="s">
        <v>1285</v>
      </c>
      <c r="BZ288" s="58"/>
      <c r="CA288" s="58"/>
      <c r="CB288" s="58"/>
      <c r="CC288" s="58"/>
      <c r="CD288" s="58"/>
    </row>
    <row r="289" ht="108" spans="1:82">
      <c r="A289" s="56" t="s">
        <v>16684</v>
      </c>
      <c r="B289" s="58"/>
      <c r="C289" s="57" t="s">
        <v>16662</v>
      </c>
      <c r="D289" s="58"/>
      <c r="E289" s="57" t="s">
        <v>15158</v>
      </c>
      <c r="F289" s="57" t="s">
        <v>16663</v>
      </c>
      <c r="G289" s="57" t="s">
        <v>15160</v>
      </c>
      <c r="H289" s="56" t="s">
        <v>2965</v>
      </c>
      <c r="I289" s="60">
        <v>13176.9</v>
      </c>
      <c r="J289" s="57" t="s">
        <v>1285</v>
      </c>
      <c r="K289" s="57" t="s">
        <v>15162</v>
      </c>
      <c r="L289" s="57" t="s">
        <v>15163</v>
      </c>
      <c r="M289" s="61" t="s">
        <v>14159</v>
      </c>
      <c r="N289" s="62" t="s">
        <v>15504</v>
      </c>
      <c r="O289" s="57" t="s">
        <v>15165</v>
      </c>
      <c r="P289" s="57" t="s">
        <v>15166</v>
      </c>
      <c r="Q289" s="57" t="s">
        <v>2965</v>
      </c>
      <c r="R289" s="57" t="s">
        <v>15606</v>
      </c>
      <c r="S289" s="57" t="s">
        <v>15607</v>
      </c>
      <c r="T289" s="57" t="s">
        <v>15190</v>
      </c>
      <c r="U289" s="57" t="s">
        <v>14184</v>
      </c>
      <c r="V289" s="56" t="s">
        <v>14153</v>
      </c>
      <c r="W289" s="58"/>
      <c r="X289" s="57" t="s">
        <v>16664</v>
      </c>
      <c r="Y289" s="57" t="s">
        <v>15170</v>
      </c>
      <c r="Z289" s="61" t="s">
        <v>16389</v>
      </c>
      <c r="AA289" s="61" t="s">
        <v>14159</v>
      </c>
      <c r="AB289" s="58"/>
      <c r="AC289" s="57" t="s">
        <v>16391</v>
      </c>
      <c r="AD289" s="58"/>
      <c r="AE289" s="58"/>
      <c r="AF289" s="58"/>
      <c r="AG289" s="58"/>
      <c r="AH289" s="58"/>
      <c r="AI289" s="58"/>
      <c r="AJ289" s="58"/>
      <c r="AK289" s="56" t="s">
        <v>1285</v>
      </c>
      <c r="AL289" s="56" t="s">
        <v>16665</v>
      </c>
      <c r="AM289" s="58"/>
      <c r="AN289" s="56" t="s">
        <v>15273</v>
      </c>
      <c r="AO289" s="58"/>
      <c r="AP289" s="63">
        <v>45848.7866435185</v>
      </c>
      <c r="AQ289" s="56" t="s">
        <v>16666</v>
      </c>
      <c r="AR289" s="61" t="s">
        <v>14645</v>
      </c>
      <c r="AS289" s="57" t="s">
        <v>14184</v>
      </c>
      <c r="AT289" s="56" t="s">
        <v>15177</v>
      </c>
      <c r="AU289" s="56" t="s">
        <v>16667</v>
      </c>
      <c r="AV289" s="58"/>
      <c r="AW289" s="64">
        <v>45792.5973032407</v>
      </c>
      <c r="AX289" s="56" t="s">
        <v>16665</v>
      </c>
      <c r="AY289" s="56" t="s">
        <v>15179</v>
      </c>
      <c r="AZ289" s="58"/>
      <c r="BA289" s="58"/>
      <c r="BB289" s="58"/>
      <c r="BC289" s="56" t="s">
        <v>2148</v>
      </c>
      <c r="BD289" s="56" t="s">
        <v>15197</v>
      </c>
      <c r="BE289" s="56" t="s">
        <v>15613</v>
      </c>
      <c r="BF289" s="56" t="s">
        <v>15181</v>
      </c>
      <c r="BG289" s="58"/>
      <c r="BH289" s="58"/>
      <c r="BI289" s="57" t="s">
        <v>2801</v>
      </c>
      <c r="BJ289" s="58"/>
      <c r="BK289" s="58"/>
      <c r="BL289" s="66">
        <v>3539593</v>
      </c>
      <c r="BM289" s="56" t="s">
        <v>16668</v>
      </c>
      <c r="BN289" s="58"/>
      <c r="BO289" s="67">
        <v>290</v>
      </c>
      <c r="BP289" s="56" t="s">
        <v>16395</v>
      </c>
      <c r="BQ289" s="58"/>
      <c r="BR289" s="56" t="s">
        <v>16669</v>
      </c>
      <c r="BS289" s="56" t="s">
        <v>1285</v>
      </c>
      <c r="BT289" s="58"/>
      <c r="BU289" s="56" t="s">
        <v>16666</v>
      </c>
      <c r="BV289" s="58"/>
      <c r="BW289" s="58"/>
      <c r="BX289" s="67">
        <v>290</v>
      </c>
      <c r="BY289" s="56" t="s">
        <v>1285</v>
      </c>
      <c r="BZ289" s="58"/>
      <c r="CA289" s="58"/>
      <c r="CB289" s="58"/>
      <c r="CC289" s="58"/>
      <c r="CD289" s="58"/>
    </row>
    <row r="290" ht="108" spans="1:82">
      <c r="A290" s="56" t="s">
        <v>16685</v>
      </c>
      <c r="B290" s="58"/>
      <c r="C290" s="57" t="s">
        <v>16662</v>
      </c>
      <c r="D290" s="58"/>
      <c r="E290" s="57" t="s">
        <v>15158</v>
      </c>
      <c r="F290" s="57" t="s">
        <v>16663</v>
      </c>
      <c r="G290" s="57" t="s">
        <v>15160</v>
      </c>
      <c r="H290" s="56" t="s">
        <v>2965</v>
      </c>
      <c r="I290" s="60">
        <v>13176.9</v>
      </c>
      <c r="J290" s="57" t="s">
        <v>1285</v>
      </c>
      <c r="K290" s="57" t="s">
        <v>15162</v>
      </c>
      <c r="L290" s="57" t="s">
        <v>15163</v>
      </c>
      <c r="M290" s="61" t="s">
        <v>14159</v>
      </c>
      <c r="N290" s="62" t="s">
        <v>15504</v>
      </c>
      <c r="O290" s="57" t="s">
        <v>15165</v>
      </c>
      <c r="P290" s="57" t="s">
        <v>15166</v>
      </c>
      <c r="Q290" s="57" t="s">
        <v>2965</v>
      </c>
      <c r="R290" s="57" t="s">
        <v>15606</v>
      </c>
      <c r="S290" s="57" t="s">
        <v>15607</v>
      </c>
      <c r="T290" s="57" t="s">
        <v>15190</v>
      </c>
      <c r="U290" s="57" t="s">
        <v>14184</v>
      </c>
      <c r="V290" s="56" t="s">
        <v>14153</v>
      </c>
      <c r="W290" s="58"/>
      <c r="X290" s="57" t="s">
        <v>16664</v>
      </c>
      <c r="Y290" s="57" t="s">
        <v>15170</v>
      </c>
      <c r="Z290" s="61" t="s">
        <v>16389</v>
      </c>
      <c r="AA290" s="61" t="s">
        <v>14159</v>
      </c>
      <c r="AB290" s="58"/>
      <c r="AC290" s="57" t="s">
        <v>16391</v>
      </c>
      <c r="AD290" s="58"/>
      <c r="AE290" s="58"/>
      <c r="AF290" s="58"/>
      <c r="AG290" s="58"/>
      <c r="AH290" s="58"/>
      <c r="AI290" s="58"/>
      <c r="AJ290" s="58"/>
      <c r="AK290" s="56" t="s">
        <v>1285</v>
      </c>
      <c r="AL290" s="56" t="s">
        <v>16665</v>
      </c>
      <c r="AM290" s="58"/>
      <c r="AN290" s="56" t="s">
        <v>15273</v>
      </c>
      <c r="AO290" s="58"/>
      <c r="AP290" s="63">
        <v>45848.7866435185</v>
      </c>
      <c r="AQ290" s="56" t="s">
        <v>16666</v>
      </c>
      <c r="AR290" s="61" t="s">
        <v>14645</v>
      </c>
      <c r="AS290" s="57" t="s">
        <v>14184</v>
      </c>
      <c r="AT290" s="56" t="s">
        <v>15177</v>
      </c>
      <c r="AU290" s="56" t="s">
        <v>16667</v>
      </c>
      <c r="AV290" s="58"/>
      <c r="AW290" s="64">
        <v>45792.5973032407</v>
      </c>
      <c r="AX290" s="56" t="s">
        <v>16665</v>
      </c>
      <c r="AY290" s="56" t="s">
        <v>15179</v>
      </c>
      <c r="AZ290" s="58"/>
      <c r="BA290" s="58"/>
      <c r="BB290" s="58"/>
      <c r="BC290" s="56" t="s">
        <v>2148</v>
      </c>
      <c r="BD290" s="56" t="s">
        <v>15197</v>
      </c>
      <c r="BE290" s="56" t="s">
        <v>15613</v>
      </c>
      <c r="BF290" s="56" t="s">
        <v>15181</v>
      </c>
      <c r="BG290" s="58"/>
      <c r="BH290" s="58"/>
      <c r="BI290" s="57" t="s">
        <v>2801</v>
      </c>
      <c r="BJ290" s="58"/>
      <c r="BK290" s="58"/>
      <c r="BL290" s="66">
        <v>3539594</v>
      </c>
      <c r="BM290" s="56" t="s">
        <v>16668</v>
      </c>
      <c r="BN290" s="58"/>
      <c r="BO290" s="67">
        <v>290</v>
      </c>
      <c r="BP290" s="56" t="s">
        <v>16395</v>
      </c>
      <c r="BQ290" s="58"/>
      <c r="BR290" s="56" t="s">
        <v>16669</v>
      </c>
      <c r="BS290" s="56" t="s">
        <v>1285</v>
      </c>
      <c r="BT290" s="58"/>
      <c r="BU290" s="56" t="s">
        <v>16666</v>
      </c>
      <c r="BV290" s="58"/>
      <c r="BW290" s="58"/>
      <c r="BX290" s="67">
        <v>290</v>
      </c>
      <c r="BY290" s="56" t="s">
        <v>1285</v>
      </c>
      <c r="BZ290" s="58"/>
      <c r="CA290" s="58"/>
      <c r="CB290" s="58"/>
      <c r="CC290" s="58"/>
      <c r="CD290" s="58"/>
    </row>
    <row r="291" ht="108" spans="1:82">
      <c r="A291" s="56" t="s">
        <v>16686</v>
      </c>
      <c r="B291" s="58"/>
      <c r="C291" s="57" t="s">
        <v>16662</v>
      </c>
      <c r="D291" s="58"/>
      <c r="E291" s="57" t="s">
        <v>15158</v>
      </c>
      <c r="F291" s="57" t="s">
        <v>16663</v>
      </c>
      <c r="G291" s="57" t="s">
        <v>15160</v>
      </c>
      <c r="H291" s="56" t="s">
        <v>2965</v>
      </c>
      <c r="I291" s="60">
        <v>13176.9</v>
      </c>
      <c r="J291" s="57" t="s">
        <v>1285</v>
      </c>
      <c r="K291" s="57" t="s">
        <v>15162</v>
      </c>
      <c r="L291" s="57" t="s">
        <v>15163</v>
      </c>
      <c r="M291" s="61" t="s">
        <v>14159</v>
      </c>
      <c r="N291" s="62" t="s">
        <v>15504</v>
      </c>
      <c r="O291" s="57" t="s">
        <v>15165</v>
      </c>
      <c r="P291" s="57" t="s">
        <v>15166</v>
      </c>
      <c r="Q291" s="57" t="s">
        <v>2965</v>
      </c>
      <c r="R291" s="57" t="s">
        <v>15606</v>
      </c>
      <c r="S291" s="57" t="s">
        <v>15607</v>
      </c>
      <c r="T291" s="57" t="s">
        <v>15190</v>
      </c>
      <c r="U291" s="57" t="s">
        <v>14184</v>
      </c>
      <c r="V291" s="56" t="s">
        <v>14153</v>
      </c>
      <c r="W291" s="58"/>
      <c r="X291" s="57" t="s">
        <v>16664</v>
      </c>
      <c r="Y291" s="57" t="s">
        <v>15170</v>
      </c>
      <c r="Z291" s="61" t="s">
        <v>16389</v>
      </c>
      <c r="AA291" s="61" t="s">
        <v>14159</v>
      </c>
      <c r="AB291" s="58"/>
      <c r="AC291" s="57" t="s">
        <v>16391</v>
      </c>
      <c r="AD291" s="58"/>
      <c r="AE291" s="58"/>
      <c r="AF291" s="58"/>
      <c r="AG291" s="58"/>
      <c r="AH291" s="58"/>
      <c r="AI291" s="58"/>
      <c r="AJ291" s="58"/>
      <c r="AK291" s="56" t="s">
        <v>1285</v>
      </c>
      <c r="AL291" s="56" t="s">
        <v>16665</v>
      </c>
      <c r="AM291" s="58"/>
      <c r="AN291" s="56" t="s">
        <v>15273</v>
      </c>
      <c r="AO291" s="58"/>
      <c r="AP291" s="63">
        <v>45848.7866435185</v>
      </c>
      <c r="AQ291" s="56" t="s">
        <v>16666</v>
      </c>
      <c r="AR291" s="61" t="s">
        <v>14645</v>
      </c>
      <c r="AS291" s="57" t="s">
        <v>14184</v>
      </c>
      <c r="AT291" s="56" t="s">
        <v>15177</v>
      </c>
      <c r="AU291" s="56" t="s">
        <v>16667</v>
      </c>
      <c r="AV291" s="58"/>
      <c r="AW291" s="64">
        <v>45792.5973032407</v>
      </c>
      <c r="AX291" s="56" t="s">
        <v>16665</v>
      </c>
      <c r="AY291" s="56" t="s">
        <v>15179</v>
      </c>
      <c r="AZ291" s="58"/>
      <c r="BA291" s="58"/>
      <c r="BB291" s="58"/>
      <c r="BC291" s="56" t="s">
        <v>2140</v>
      </c>
      <c r="BD291" s="56" t="s">
        <v>15197</v>
      </c>
      <c r="BE291" s="56" t="s">
        <v>15613</v>
      </c>
      <c r="BF291" s="56" t="s">
        <v>15181</v>
      </c>
      <c r="BG291" s="58"/>
      <c r="BH291" s="58"/>
      <c r="BI291" s="57" t="s">
        <v>2801</v>
      </c>
      <c r="BJ291" s="58"/>
      <c r="BK291" s="58"/>
      <c r="BL291" s="66">
        <v>3539567</v>
      </c>
      <c r="BM291" s="56" t="s">
        <v>16668</v>
      </c>
      <c r="BN291" s="58"/>
      <c r="BO291" s="67">
        <v>75.33</v>
      </c>
      <c r="BP291" s="56" t="s">
        <v>16395</v>
      </c>
      <c r="BQ291" s="58"/>
      <c r="BR291" s="56" t="s">
        <v>16669</v>
      </c>
      <c r="BS291" s="56" t="s">
        <v>1285</v>
      </c>
      <c r="BT291" s="58"/>
      <c r="BU291" s="56" t="s">
        <v>16666</v>
      </c>
      <c r="BV291" s="58"/>
      <c r="BW291" s="58"/>
      <c r="BX291" s="67">
        <v>75.33</v>
      </c>
      <c r="BY291" s="56" t="s">
        <v>1285</v>
      </c>
      <c r="BZ291" s="58"/>
      <c r="CA291" s="58"/>
      <c r="CB291" s="58"/>
      <c r="CC291" s="58"/>
      <c r="CD291" s="58"/>
    </row>
    <row r="292" ht="108" spans="1:82">
      <c r="A292" s="56" t="s">
        <v>16687</v>
      </c>
      <c r="B292" s="58"/>
      <c r="C292" s="57" t="s">
        <v>16662</v>
      </c>
      <c r="D292" s="58"/>
      <c r="E292" s="57" t="s">
        <v>15158</v>
      </c>
      <c r="F292" s="57" t="s">
        <v>16663</v>
      </c>
      <c r="G292" s="57" t="s">
        <v>15160</v>
      </c>
      <c r="H292" s="56" t="s">
        <v>2965</v>
      </c>
      <c r="I292" s="60">
        <v>13176.9</v>
      </c>
      <c r="J292" s="57" t="s">
        <v>1285</v>
      </c>
      <c r="K292" s="57" t="s">
        <v>15162</v>
      </c>
      <c r="L292" s="57" t="s">
        <v>15163</v>
      </c>
      <c r="M292" s="61" t="s">
        <v>14159</v>
      </c>
      <c r="N292" s="62" t="s">
        <v>15504</v>
      </c>
      <c r="O292" s="57" t="s">
        <v>15165</v>
      </c>
      <c r="P292" s="57" t="s">
        <v>15166</v>
      </c>
      <c r="Q292" s="57" t="s">
        <v>2965</v>
      </c>
      <c r="R292" s="57" t="s">
        <v>15606</v>
      </c>
      <c r="S292" s="57" t="s">
        <v>15607</v>
      </c>
      <c r="T292" s="57" t="s">
        <v>15190</v>
      </c>
      <c r="U292" s="57" t="s">
        <v>14184</v>
      </c>
      <c r="V292" s="56" t="s">
        <v>14153</v>
      </c>
      <c r="W292" s="58"/>
      <c r="X292" s="57" t="s">
        <v>16664</v>
      </c>
      <c r="Y292" s="57" t="s">
        <v>15170</v>
      </c>
      <c r="Z292" s="61" t="s">
        <v>16389</v>
      </c>
      <c r="AA292" s="61" t="s">
        <v>14159</v>
      </c>
      <c r="AB292" s="58"/>
      <c r="AC292" s="57" t="s">
        <v>16391</v>
      </c>
      <c r="AD292" s="58"/>
      <c r="AE292" s="58"/>
      <c r="AF292" s="58"/>
      <c r="AG292" s="58"/>
      <c r="AH292" s="58"/>
      <c r="AI292" s="58"/>
      <c r="AJ292" s="58"/>
      <c r="AK292" s="56" t="s">
        <v>1285</v>
      </c>
      <c r="AL292" s="56" t="s">
        <v>16665</v>
      </c>
      <c r="AM292" s="58"/>
      <c r="AN292" s="56" t="s">
        <v>15273</v>
      </c>
      <c r="AO292" s="58"/>
      <c r="AP292" s="63">
        <v>45848.7866435185</v>
      </c>
      <c r="AQ292" s="56" t="s">
        <v>16666</v>
      </c>
      <c r="AR292" s="61" t="s">
        <v>14645</v>
      </c>
      <c r="AS292" s="57" t="s">
        <v>14184</v>
      </c>
      <c r="AT292" s="56" t="s">
        <v>15177</v>
      </c>
      <c r="AU292" s="56" t="s">
        <v>16667</v>
      </c>
      <c r="AV292" s="58"/>
      <c r="AW292" s="64">
        <v>45792.5973032407</v>
      </c>
      <c r="AX292" s="56" t="s">
        <v>16665</v>
      </c>
      <c r="AY292" s="56" t="s">
        <v>15179</v>
      </c>
      <c r="AZ292" s="58"/>
      <c r="BA292" s="58"/>
      <c r="BB292" s="58"/>
      <c r="BC292" s="56" t="s">
        <v>2148</v>
      </c>
      <c r="BD292" s="56" t="s">
        <v>15197</v>
      </c>
      <c r="BE292" s="56" t="s">
        <v>15613</v>
      </c>
      <c r="BF292" s="56" t="s">
        <v>15181</v>
      </c>
      <c r="BG292" s="58"/>
      <c r="BH292" s="58"/>
      <c r="BI292" s="57" t="s">
        <v>2801</v>
      </c>
      <c r="BJ292" s="58"/>
      <c r="BK292" s="58"/>
      <c r="BL292" s="66">
        <v>3539565</v>
      </c>
      <c r="BM292" s="56" t="s">
        <v>16668</v>
      </c>
      <c r="BN292" s="58"/>
      <c r="BO292" s="67">
        <v>70.2</v>
      </c>
      <c r="BP292" s="56" t="s">
        <v>16395</v>
      </c>
      <c r="BQ292" s="58"/>
      <c r="BR292" s="56" t="s">
        <v>16669</v>
      </c>
      <c r="BS292" s="56" t="s">
        <v>1285</v>
      </c>
      <c r="BT292" s="58"/>
      <c r="BU292" s="56" t="s">
        <v>16666</v>
      </c>
      <c r="BV292" s="58"/>
      <c r="BW292" s="58"/>
      <c r="BX292" s="67">
        <v>70.2</v>
      </c>
      <c r="BY292" s="56" t="s">
        <v>1285</v>
      </c>
      <c r="BZ292" s="58"/>
      <c r="CA292" s="58"/>
      <c r="CB292" s="58"/>
      <c r="CC292" s="58"/>
      <c r="CD292" s="58"/>
    </row>
    <row r="293" ht="108" spans="1:82">
      <c r="A293" s="56" t="s">
        <v>16688</v>
      </c>
      <c r="B293" s="58"/>
      <c r="C293" s="57" t="s">
        <v>16662</v>
      </c>
      <c r="D293" s="58"/>
      <c r="E293" s="57" t="s">
        <v>15158</v>
      </c>
      <c r="F293" s="57" t="s">
        <v>16663</v>
      </c>
      <c r="G293" s="57" t="s">
        <v>15160</v>
      </c>
      <c r="H293" s="56" t="s">
        <v>2965</v>
      </c>
      <c r="I293" s="60">
        <v>13176.9</v>
      </c>
      <c r="J293" s="57" t="s">
        <v>1285</v>
      </c>
      <c r="K293" s="57" t="s">
        <v>15162</v>
      </c>
      <c r="L293" s="57" t="s">
        <v>15163</v>
      </c>
      <c r="M293" s="61" t="s">
        <v>14159</v>
      </c>
      <c r="N293" s="62" t="s">
        <v>15504</v>
      </c>
      <c r="O293" s="57" t="s">
        <v>15165</v>
      </c>
      <c r="P293" s="57" t="s">
        <v>15166</v>
      </c>
      <c r="Q293" s="57" t="s">
        <v>2965</v>
      </c>
      <c r="R293" s="57" t="s">
        <v>15606</v>
      </c>
      <c r="S293" s="57" t="s">
        <v>15607</v>
      </c>
      <c r="T293" s="57" t="s">
        <v>15190</v>
      </c>
      <c r="U293" s="57" t="s">
        <v>14184</v>
      </c>
      <c r="V293" s="56" t="s">
        <v>14153</v>
      </c>
      <c r="W293" s="58"/>
      <c r="X293" s="57" t="s">
        <v>16664</v>
      </c>
      <c r="Y293" s="57" t="s">
        <v>15170</v>
      </c>
      <c r="Z293" s="61" t="s">
        <v>16389</v>
      </c>
      <c r="AA293" s="61" t="s">
        <v>14159</v>
      </c>
      <c r="AB293" s="58"/>
      <c r="AC293" s="57" t="s">
        <v>16391</v>
      </c>
      <c r="AD293" s="58"/>
      <c r="AE293" s="58"/>
      <c r="AF293" s="58"/>
      <c r="AG293" s="58"/>
      <c r="AH293" s="58"/>
      <c r="AI293" s="58"/>
      <c r="AJ293" s="58"/>
      <c r="AK293" s="56" t="s">
        <v>1285</v>
      </c>
      <c r="AL293" s="56" t="s">
        <v>16665</v>
      </c>
      <c r="AM293" s="58"/>
      <c r="AN293" s="56" t="s">
        <v>15273</v>
      </c>
      <c r="AO293" s="58"/>
      <c r="AP293" s="63">
        <v>45848.7866435185</v>
      </c>
      <c r="AQ293" s="56" t="s">
        <v>16666</v>
      </c>
      <c r="AR293" s="61" t="s">
        <v>14645</v>
      </c>
      <c r="AS293" s="57" t="s">
        <v>14184</v>
      </c>
      <c r="AT293" s="56" t="s">
        <v>15177</v>
      </c>
      <c r="AU293" s="56" t="s">
        <v>16667</v>
      </c>
      <c r="AV293" s="58"/>
      <c r="AW293" s="64">
        <v>45792.5973032407</v>
      </c>
      <c r="AX293" s="56" t="s">
        <v>16665</v>
      </c>
      <c r="AY293" s="56" t="s">
        <v>15179</v>
      </c>
      <c r="AZ293" s="58"/>
      <c r="BA293" s="58"/>
      <c r="BB293" s="58"/>
      <c r="BC293" s="56" t="s">
        <v>15621</v>
      </c>
      <c r="BD293" s="56" t="s">
        <v>15197</v>
      </c>
      <c r="BE293" s="56" t="s">
        <v>15613</v>
      </c>
      <c r="BF293" s="56" t="s">
        <v>15181</v>
      </c>
      <c r="BG293" s="58"/>
      <c r="BH293" s="58"/>
      <c r="BI293" s="57" t="s">
        <v>2801</v>
      </c>
      <c r="BJ293" s="58"/>
      <c r="BK293" s="58"/>
      <c r="BL293" s="66">
        <v>3539577</v>
      </c>
      <c r="BM293" s="56" t="s">
        <v>16668</v>
      </c>
      <c r="BN293" s="58"/>
      <c r="BO293" s="67">
        <v>128.7</v>
      </c>
      <c r="BP293" s="56" t="s">
        <v>16395</v>
      </c>
      <c r="BQ293" s="58"/>
      <c r="BR293" s="56" t="s">
        <v>16669</v>
      </c>
      <c r="BS293" s="56" t="s">
        <v>1285</v>
      </c>
      <c r="BT293" s="58"/>
      <c r="BU293" s="56" t="s">
        <v>16666</v>
      </c>
      <c r="BV293" s="58"/>
      <c r="BW293" s="58"/>
      <c r="BX293" s="67">
        <v>128.7</v>
      </c>
      <c r="BY293" s="56" t="s">
        <v>1285</v>
      </c>
      <c r="BZ293" s="58"/>
      <c r="CA293" s="58"/>
      <c r="CB293" s="58"/>
      <c r="CC293" s="58"/>
      <c r="CD293" s="58"/>
    </row>
    <row r="294" ht="108" spans="1:82">
      <c r="A294" s="56" t="s">
        <v>16689</v>
      </c>
      <c r="B294" s="58"/>
      <c r="C294" s="57" t="s">
        <v>16662</v>
      </c>
      <c r="D294" s="58"/>
      <c r="E294" s="57" t="s">
        <v>15158</v>
      </c>
      <c r="F294" s="57" t="s">
        <v>16663</v>
      </c>
      <c r="G294" s="57" t="s">
        <v>15160</v>
      </c>
      <c r="H294" s="56" t="s">
        <v>2965</v>
      </c>
      <c r="I294" s="60">
        <v>13176.9</v>
      </c>
      <c r="J294" s="57" t="s">
        <v>1285</v>
      </c>
      <c r="K294" s="57" t="s">
        <v>15162</v>
      </c>
      <c r="L294" s="57" t="s">
        <v>15163</v>
      </c>
      <c r="M294" s="61" t="s">
        <v>14159</v>
      </c>
      <c r="N294" s="62" t="s">
        <v>15504</v>
      </c>
      <c r="O294" s="57" t="s">
        <v>15165</v>
      </c>
      <c r="P294" s="57" t="s">
        <v>15166</v>
      </c>
      <c r="Q294" s="57" t="s">
        <v>2965</v>
      </c>
      <c r="R294" s="57" t="s">
        <v>15606</v>
      </c>
      <c r="S294" s="57" t="s">
        <v>15607</v>
      </c>
      <c r="T294" s="57" t="s">
        <v>15190</v>
      </c>
      <c r="U294" s="57" t="s">
        <v>14184</v>
      </c>
      <c r="V294" s="56" t="s">
        <v>14153</v>
      </c>
      <c r="W294" s="58"/>
      <c r="X294" s="57" t="s">
        <v>16664</v>
      </c>
      <c r="Y294" s="57" t="s">
        <v>15170</v>
      </c>
      <c r="Z294" s="61" t="s">
        <v>16389</v>
      </c>
      <c r="AA294" s="61" t="s">
        <v>14159</v>
      </c>
      <c r="AB294" s="58"/>
      <c r="AC294" s="57" t="s">
        <v>16391</v>
      </c>
      <c r="AD294" s="58"/>
      <c r="AE294" s="58"/>
      <c r="AF294" s="58"/>
      <c r="AG294" s="58"/>
      <c r="AH294" s="58"/>
      <c r="AI294" s="58"/>
      <c r="AJ294" s="58"/>
      <c r="AK294" s="56" t="s">
        <v>1285</v>
      </c>
      <c r="AL294" s="56" t="s">
        <v>16665</v>
      </c>
      <c r="AM294" s="58"/>
      <c r="AN294" s="56" t="s">
        <v>15273</v>
      </c>
      <c r="AO294" s="58"/>
      <c r="AP294" s="63">
        <v>45848.7866435185</v>
      </c>
      <c r="AQ294" s="56" t="s">
        <v>16666</v>
      </c>
      <c r="AR294" s="61" t="s">
        <v>14645</v>
      </c>
      <c r="AS294" s="57" t="s">
        <v>14184</v>
      </c>
      <c r="AT294" s="56" t="s">
        <v>15177</v>
      </c>
      <c r="AU294" s="56" t="s">
        <v>16667</v>
      </c>
      <c r="AV294" s="58"/>
      <c r="AW294" s="64">
        <v>45792.5973032407</v>
      </c>
      <c r="AX294" s="56" t="s">
        <v>16665</v>
      </c>
      <c r="AY294" s="56" t="s">
        <v>15179</v>
      </c>
      <c r="AZ294" s="58"/>
      <c r="BA294" s="58"/>
      <c r="BB294" s="58"/>
      <c r="BC294" s="56" t="s">
        <v>2136</v>
      </c>
      <c r="BD294" s="56" t="s">
        <v>15197</v>
      </c>
      <c r="BE294" s="56" t="s">
        <v>15613</v>
      </c>
      <c r="BF294" s="56" t="s">
        <v>15181</v>
      </c>
      <c r="BG294" s="58"/>
      <c r="BH294" s="58"/>
      <c r="BI294" s="57" t="s">
        <v>2801</v>
      </c>
      <c r="BJ294" s="58"/>
      <c r="BK294" s="58"/>
      <c r="BL294" s="66">
        <v>3539585</v>
      </c>
      <c r="BM294" s="56" t="s">
        <v>16668</v>
      </c>
      <c r="BN294" s="58"/>
      <c r="BO294" s="67">
        <v>192</v>
      </c>
      <c r="BP294" s="56" t="s">
        <v>16395</v>
      </c>
      <c r="BQ294" s="58"/>
      <c r="BR294" s="56" t="s">
        <v>16669</v>
      </c>
      <c r="BS294" s="56" t="s">
        <v>1285</v>
      </c>
      <c r="BT294" s="58"/>
      <c r="BU294" s="56" t="s">
        <v>16666</v>
      </c>
      <c r="BV294" s="58"/>
      <c r="BW294" s="58"/>
      <c r="BX294" s="67">
        <v>192</v>
      </c>
      <c r="BY294" s="56" t="s">
        <v>1285</v>
      </c>
      <c r="BZ294" s="58"/>
      <c r="CA294" s="58"/>
      <c r="CB294" s="58"/>
      <c r="CC294" s="58"/>
      <c r="CD294" s="58"/>
    </row>
    <row r="295" ht="108" spans="1:82">
      <c r="A295" s="56" t="s">
        <v>16690</v>
      </c>
      <c r="B295" s="58"/>
      <c r="C295" s="57" t="s">
        <v>16662</v>
      </c>
      <c r="D295" s="58"/>
      <c r="E295" s="57" t="s">
        <v>15158</v>
      </c>
      <c r="F295" s="57" t="s">
        <v>16663</v>
      </c>
      <c r="G295" s="57" t="s">
        <v>15160</v>
      </c>
      <c r="H295" s="56" t="s">
        <v>2965</v>
      </c>
      <c r="I295" s="60">
        <v>13176.9</v>
      </c>
      <c r="J295" s="57" t="s">
        <v>1285</v>
      </c>
      <c r="K295" s="57" t="s">
        <v>15162</v>
      </c>
      <c r="L295" s="57" t="s">
        <v>15163</v>
      </c>
      <c r="M295" s="61" t="s">
        <v>14159</v>
      </c>
      <c r="N295" s="62" t="s">
        <v>15504</v>
      </c>
      <c r="O295" s="57" t="s">
        <v>15165</v>
      </c>
      <c r="P295" s="57" t="s">
        <v>15166</v>
      </c>
      <c r="Q295" s="57" t="s">
        <v>2965</v>
      </c>
      <c r="R295" s="57" t="s">
        <v>15606</v>
      </c>
      <c r="S295" s="57" t="s">
        <v>15607</v>
      </c>
      <c r="T295" s="57" t="s">
        <v>15190</v>
      </c>
      <c r="U295" s="57" t="s">
        <v>14184</v>
      </c>
      <c r="V295" s="56" t="s">
        <v>14153</v>
      </c>
      <c r="W295" s="58"/>
      <c r="X295" s="57" t="s">
        <v>16664</v>
      </c>
      <c r="Y295" s="57" t="s">
        <v>15170</v>
      </c>
      <c r="Z295" s="61" t="s">
        <v>16389</v>
      </c>
      <c r="AA295" s="61" t="s">
        <v>14159</v>
      </c>
      <c r="AB295" s="58"/>
      <c r="AC295" s="57" t="s">
        <v>16391</v>
      </c>
      <c r="AD295" s="58"/>
      <c r="AE295" s="58"/>
      <c r="AF295" s="58"/>
      <c r="AG295" s="58"/>
      <c r="AH295" s="58"/>
      <c r="AI295" s="58"/>
      <c r="AJ295" s="58"/>
      <c r="AK295" s="56" t="s">
        <v>1285</v>
      </c>
      <c r="AL295" s="56" t="s">
        <v>16665</v>
      </c>
      <c r="AM295" s="58"/>
      <c r="AN295" s="56" t="s">
        <v>15273</v>
      </c>
      <c r="AO295" s="58"/>
      <c r="AP295" s="63">
        <v>45848.7866435185</v>
      </c>
      <c r="AQ295" s="56" t="s">
        <v>16666</v>
      </c>
      <c r="AR295" s="61" t="s">
        <v>14645</v>
      </c>
      <c r="AS295" s="57" t="s">
        <v>14184</v>
      </c>
      <c r="AT295" s="56" t="s">
        <v>15177</v>
      </c>
      <c r="AU295" s="56" t="s">
        <v>16667</v>
      </c>
      <c r="AV295" s="58"/>
      <c r="AW295" s="64">
        <v>45792.5973032407</v>
      </c>
      <c r="AX295" s="56" t="s">
        <v>16665</v>
      </c>
      <c r="AY295" s="56" t="s">
        <v>15179</v>
      </c>
      <c r="AZ295" s="58"/>
      <c r="BA295" s="58"/>
      <c r="BB295" s="58"/>
      <c r="BC295" s="56" t="s">
        <v>2140</v>
      </c>
      <c r="BD295" s="56" t="s">
        <v>15197</v>
      </c>
      <c r="BE295" s="56" t="s">
        <v>15613</v>
      </c>
      <c r="BF295" s="56" t="s">
        <v>15181</v>
      </c>
      <c r="BG295" s="58"/>
      <c r="BH295" s="58"/>
      <c r="BI295" s="57" t="s">
        <v>2801</v>
      </c>
      <c r="BJ295" s="58"/>
      <c r="BK295" s="58"/>
      <c r="BL295" s="66">
        <v>3539554</v>
      </c>
      <c r="BM295" s="56" t="s">
        <v>16668</v>
      </c>
      <c r="BN295" s="58"/>
      <c r="BO295" s="67">
        <v>34.8</v>
      </c>
      <c r="BP295" s="56" t="s">
        <v>16395</v>
      </c>
      <c r="BQ295" s="58"/>
      <c r="BR295" s="56" t="s">
        <v>16669</v>
      </c>
      <c r="BS295" s="56" t="s">
        <v>1285</v>
      </c>
      <c r="BT295" s="58"/>
      <c r="BU295" s="56" t="s">
        <v>16666</v>
      </c>
      <c r="BV295" s="58"/>
      <c r="BW295" s="58"/>
      <c r="BX295" s="67">
        <v>34.8</v>
      </c>
      <c r="BY295" s="56" t="s">
        <v>1285</v>
      </c>
      <c r="BZ295" s="58"/>
      <c r="CA295" s="58"/>
      <c r="CB295" s="58"/>
      <c r="CC295" s="58"/>
      <c r="CD295" s="58"/>
    </row>
    <row r="296" ht="108" spans="1:82">
      <c r="A296" s="56" t="s">
        <v>16691</v>
      </c>
      <c r="B296" s="58"/>
      <c r="C296" s="57" t="s">
        <v>16662</v>
      </c>
      <c r="D296" s="58"/>
      <c r="E296" s="57" t="s">
        <v>15158</v>
      </c>
      <c r="F296" s="57" t="s">
        <v>16663</v>
      </c>
      <c r="G296" s="57" t="s">
        <v>15160</v>
      </c>
      <c r="H296" s="56" t="s">
        <v>2965</v>
      </c>
      <c r="I296" s="60">
        <v>13176.9</v>
      </c>
      <c r="J296" s="57" t="s">
        <v>1285</v>
      </c>
      <c r="K296" s="57" t="s">
        <v>15162</v>
      </c>
      <c r="L296" s="57" t="s">
        <v>15163</v>
      </c>
      <c r="M296" s="61" t="s">
        <v>14159</v>
      </c>
      <c r="N296" s="62" t="s">
        <v>15504</v>
      </c>
      <c r="O296" s="57" t="s">
        <v>15165</v>
      </c>
      <c r="P296" s="57" t="s">
        <v>15166</v>
      </c>
      <c r="Q296" s="57" t="s">
        <v>2965</v>
      </c>
      <c r="R296" s="57" t="s">
        <v>15606</v>
      </c>
      <c r="S296" s="57" t="s">
        <v>15607</v>
      </c>
      <c r="T296" s="57" t="s">
        <v>15190</v>
      </c>
      <c r="U296" s="57" t="s">
        <v>14184</v>
      </c>
      <c r="V296" s="56" t="s">
        <v>14153</v>
      </c>
      <c r="W296" s="58"/>
      <c r="X296" s="57" t="s">
        <v>16664</v>
      </c>
      <c r="Y296" s="57" t="s">
        <v>15170</v>
      </c>
      <c r="Z296" s="61" t="s">
        <v>16389</v>
      </c>
      <c r="AA296" s="61" t="s">
        <v>14159</v>
      </c>
      <c r="AB296" s="58"/>
      <c r="AC296" s="57" t="s">
        <v>16391</v>
      </c>
      <c r="AD296" s="58"/>
      <c r="AE296" s="58"/>
      <c r="AF296" s="58"/>
      <c r="AG296" s="58"/>
      <c r="AH296" s="58"/>
      <c r="AI296" s="58"/>
      <c r="AJ296" s="58"/>
      <c r="AK296" s="56" t="s">
        <v>1285</v>
      </c>
      <c r="AL296" s="56" t="s">
        <v>16665</v>
      </c>
      <c r="AM296" s="58"/>
      <c r="AN296" s="56" t="s">
        <v>15273</v>
      </c>
      <c r="AO296" s="58"/>
      <c r="AP296" s="63">
        <v>45848.7866435185</v>
      </c>
      <c r="AQ296" s="56" t="s">
        <v>16666</v>
      </c>
      <c r="AR296" s="61" t="s">
        <v>14645</v>
      </c>
      <c r="AS296" s="57" t="s">
        <v>14184</v>
      </c>
      <c r="AT296" s="56" t="s">
        <v>15177</v>
      </c>
      <c r="AU296" s="56" t="s">
        <v>16667</v>
      </c>
      <c r="AV296" s="58"/>
      <c r="AW296" s="64">
        <v>45792.5973032407</v>
      </c>
      <c r="AX296" s="56" t="s">
        <v>16665</v>
      </c>
      <c r="AY296" s="56" t="s">
        <v>15179</v>
      </c>
      <c r="AZ296" s="58"/>
      <c r="BA296" s="58"/>
      <c r="BB296" s="58"/>
      <c r="BC296" s="56" t="s">
        <v>16692</v>
      </c>
      <c r="BD296" s="56" t="s">
        <v>15197</v>
      </c>
      <c r="BE296" s="56" t="s">
        <v>15613</v>
      </c>
      <c r="BF296" s="56" t="s">
        <v>15181</v>
      </c>
      <c r="BG296" s="58"/>
      <c r="BH296" s="58"/>
      <c r="BI296" s="57" t="s">
        <v>2801</v>
      </c>
      <c r="BJ296" s="58"/>
      <c r="BK296" s="58"/>
      <c r="BL296" s="66">
        <v>3539572</v>
      </c>
      <c r="BM296" s="56" t="s">
        <v>16668</v>
      </c>
      <c r="BN296" s="58"/>
      <c r="BO296" s="67">
        <v>26.1</v>
      </c>
      <c r="BP296" s="56" t="s">
        <v>16395</v>
      </c>
      <c r="BQ296" s="58"/>
      <c r="BR296" s="56" t="s">
        <v>16669</v>
      </c>
      <c r="BS296" s="56" t="s">
        <v>1285</v>
      </c>
      <c r="BT296" s="58"/>
      <c r="BU296" s="56" t="s">
        <v>16666</v>
      </c>
      <c r="BV296" s="58"/>
      <c r="BW296" s="58"/>
      <c r="BX296" s="67">
        <v>26.1</v>
      </c>
      <c r="BY296" s="56" t="s">
        <v>1285</v>
      </c>
      <c r="BZ296" s="58"/>
      <c r="CA296" s="58"/>
      <c r="CB296" s="58"/>
      <c r="CC296" s="58"/>
      <c r="CD296" s="58"/>
    </row>
    <row r="297" ht="108" spans="1:82">
      <c r="A297" s="56" t="s">
        <v>16693</v>
      </c>
      <c r="B297" s="58"/>
      <c r="C297" s="57" t="s">
        <v>16662</v>
      </c>
      <c r="D297" s="58"/>
      <c r="E297" s="57" t="s">
        <v>15158</v>
      </c>
      <c r="F297" s="57" t="s">
        <v>16663</v>
      </c>
      <c r="G297" s="57" t="s">
        <v>15160</v>
      </c>
      <c r="H297" s="56" t="s">
        <v>2965</v>
      </c>
      <c r="I297" s="60">
        <v>13176.9</v>
      </c>
      <c r="J297" s="57" t="s">
        <v>1285</v>
      </c>
      <c r="K297" s="57" t="s">
        <v>15162</v>
      </c>
      <c r="L297" s="57" t="s">
        <v>15163</v>
      </c>
      <c r="M297" s="61" t="s">
        <v>14159</v>
      </c>
      <c r="N297" s="62" t="s">
        <v>15504</v>
      </c>
      <c r="O297" s="57" t="s">
        <v>15165</v>
      </c>
      <c r="P297" s="57" t="s">
        <v>15166</v>
      </c>
      <c r="Q297" s="57" t="s">
        <v>2965</v>
      </c>
      <c r="R297" s="57" t="s">
        <v>15606</v>
      </c>
      <c r="S297" s="57" t="s">
        <v>15607</v>
      </c>
      <c r="T297" s="57" t="s">
        <v>15190</v>
      </c>
      <c r="U297" s="57" t="s">
        <v>14184</v>
      </c>
      <c r="V297" s="56" t="s">
        <v>14153</v>
      </c>
      <c r="W297" s="58"/>
      <c r="X297" s="57" t="s">
        <v>16664</v>
      </c>
      <c r="Y297" s="57" t="s">
        <v>15170</v>
      </c>
      <c r="Z297" s="61" t="s">
        <v>16389</v>
      </c>
      <c r="AA297" s="61" t="s">
        <v>14159</v>
      </c>
      <c r="AB297" s="58"/>
      <c r="AC297" s="57" t="s">
        <v>16391</v>
      </c>
      <c r="AD297" s="58"/>
      <c r="AE297" s="58"/>
      <c r="AF297" s="58"/>
      <c r="AG297" s="58"/>
      <c r="AH297" s="58"/>
      <c r="AI297" s="58"/>
      <c r="AJ297" s="58"/>
      <c r="AK297" s="56" t="s">
        <v>1285</v>
      </c>
      <c r="AL297" s="56" t="s">
        <v>16665</v>
      </c>
      <c r="AM297" s="58"/>
      <c r="AN297" s="56" t="s">
        <v>15273</v>
      </c>
      <c r="AO297" s="58"/>
      <c r="AP297" s="63">
        <v>45848.7866435185</v>
      </c>
      <c r="AQ297" s="56" t="s">
        <v>16666</v>
      </c>
      <c r="AR297" s="61" t="s">
        <v>14645</v>
      </c>
      <c r="AS297" s="57" t="s">
        <v>14184</v>
      </c>
      <c r="AT297" s="56" t="s">
        <v>15177</v>
      </c>
      <c r="AU297" s="56" t="s">
        <v>16667</v>
      </c>
      <c r="AV297" s="58"/>
      <c r="AW297" s="64">
        <v>45792.5973032407</v>
      </c>
      <c r="AX297" s="56" t="s">
        <v>16665</v>
      </c>
      <c r="AY297" s="56" t="s">
        <v>15179</v>
      </c>
      <c r="AZ297" s="58"/>
      <c r="BA297" s="58"/>
      <c r="BB297" s="58"/>
      <c r="BC297" s="56" t="s">
        <v>2148</v>
      </c>
      <c r="BD297" s="56" t="s">
        <v>15197</v>
      </c>
      <c r="BE297" s="56" t="s">
        <v>15613</v>
      </c>
      <c r="BF297" s="56" t="s">
        <v>15181</v>
      </c>
      <c r="BG297" s="58"/>
      <c r="BH297" s="58"/>
      <c r="BI297" s="57" t="s">
        <v>2801</v>
      </c>
      <c r="BJ297" s="58"/>
      <c r="BK297" s="58"/>
      <c r="BL297" s="66">
        <v>3539586</v>
      </c>
      <c r="BM297" s="56" t="s">
        <v>16668</v>
      </c>
      <c r="BN297" s="58"/>
      <c r="BO297" s="67">
        <v>108.48</v>
      </c>
      <c r="BP297" s="56" t="s">
        <v>16395</v>
      </c>
      <c r="BQ297" s="58"/>
      <c r="BR297" s="56" t="s">
        <v>16669</v>
      </c>
      <c r="BS297" s="56" t="s">
        <v>1285</v>
      </c>
      <c r="BT297" s="58"/>
      <c r="BU297" s="56" t="s">
        <v>16666</v>
      </c>
      <c r="BV297" s="58"/>
      <c r="BW297" s="58"/>
      <c r="BX297" s="67">
        <v>108.48</v>
      </c>
      <c r="BY297" s="56" t="s">
        <v>1285</v>
      </c>
      <c r="BZ297" s="58"/>
      <c r="CA297" s="58"/>
      <c r="CB297" s="58"/>
      <c r="CC297" s="58"/>
      <c r="CD297" s="58"/>
    </row>
    <row r="298" ht="108" spans="1:82">
      <c r="A298" s="56" t="s">
        <v>16694</v>
      </c>
      <c r="B298" s="58"/>
      <c r="C298" s="57" t="s">
        <v>16662</v>
      </c>
      <c r="D298" s="58"/>
      <c r="E298" s="57" t="s">
        <v>15158</v>
      </c>
      <c r="F298" s="57" t="s">
        <v>16663</v>
      </c>
      <c r="G298" s="57" t="s">
        <v>15160</v>
      </c>
      <c r="H298" s="56" t="s">
        <v>2965</v>
      </c>
      <c r="I298" s="60">
        <v>13176.9</v>
      </c>
      <c r="J298" s="57" t="s">
        <v>1285</v>
      </c>
      <c r="K298" s="57" t="s">
        <v>15162</v>
      </c>
      <c r="L298" s="57" t="s">
        <v>15163</v>
      </c>
      <c r="M298" s="61" t="s">
        <v>14159</v>
      </c>
      <c r="N298" s="62" t="s">
        <v>15504</v>
      </c>
      <c r="O298" s="57" t="s">
        <v>15165</v>
      </c>
      <c r="P298" s="57" t="s">
        <v>15166</v>
      </c>
      <c r="Q298" s="57" t="s">
        <v>2965</v>
      </c>
      <c r="R298" s="57" t="s">
        <v>15606</v>
      </c>
      <c r="S298" s="57" t="s">
        <v>15607</v>
      </c>
      <c r="T298" s="57" t="s">
        <v>15190</v>
      </c>
      <c r="U298" s="57" t="s">
        <v>14184</v>
      </c>
      <c r="V298" s="56" t="s">
        <v>14153</v>
      </c>
      <c r="W298" s="58"/>
      <c r="X298" s="57" t="s">
        <v>16664</v>
      </c>
      <c r="Y298" s="57" t="s">
        <v>15170</v>
      </c>
      <c r="Z298" s="61" t="s">
        <v>16389</v>
      </c>
      <c r="AA298" s="61" t="s">
        <v>14159</v>
      </c>
      <c r="AB298" s="58"/>
      <c r="AC298" s="57" t="s">
        <v>16391</v>
      </c>
      <c r="AD298" s="58"/>
      <c r="AE298" s="58"/>
      <c r="AF298" s="58"/>
      <c r="AG298" s="58"/>
      <c r="AH298" s="58"/>
      <c r="AI298" s="58"/>
      <c r="AJ298" s="58"/>
      <c r="AK298" s="56" t="s">
        <v>1285</v>
      </c>
      <c r="AL298" s="56" t="s">
        <v>16665</v>
      </c>
      <c r="AM298" s="58"/>
      <c r="AN298" s="56" t="s">
        <v>15273</v>
      </c>
      <c r="AO298" s="58"/>
      <c r="AP298" s="63">
        <v>45848.7866435185</v>
      </c>
      <c r="AQ298" s="56" t="s">
        <v>16666</v>
      </c>
      <c r="AR298" s="61" t="s">
        <v>14645</v>
      </c>
      <c r="AS298" s="57" t="s">
        <v>14184</v>
      </c>
      <c r="AT298" s="56" t="s">
        <v>15177</v>
      </c>
      <c r="AU298" s="56" t="s">
        <v>16667</v>
      </c>
      <c r="AV298" s="58"/>
      <c r="AW298" s="64">
        <v>45792.5973032407</v>
      </c>
      <c r="AX298" s="56" t="s">
        <v>16665</v>
      </c>
      <c r="AY298" s="56" t="s">
        <v>15179</v>
      </c>
      <c r="AZ298" s="58"/>
      <c r="BA298" s="58"/>
      <c r="BB298" s="58"/>
      <c r="BC298" s="56" t="s">
        <v>138</v>
      </c>
      <c r="BD298" s="56" t="s">
        <v>15197</v>
      </c>
      <c r="BE298" s="56" t="s">
        <v>15613</v>
      </c>
      <c r="BF298" s="56" t="s">
        <v>15181</v>
      </c>
      <c r="BG298" s="58"/>
      <c r="BH298" s="58"/>
      <c r="BI298" s="57" t="s">
        <v>2801</v>
      </c>
      <c r="BJ298" s="58"/>
      <c r="BK298" s="58"/>
      <c r="BL298" s="66">
        <v>3539597</v>
      </c>
      <c r="BM298" s="56" t="s">
        <v>16668</v>
      </c>
      <c r="BN298" s="58"/>
      <c r="BO298" s="67">
        <v>281.4</v>
      </c>
      <c r="BP298" s="56" t="s">
        <v>16395</v>
      </c>
      <c r="BQ298" s="58"/>
      <c r="BR298" s="56" t="s">
        <v>16669</v>
      </c>
      <c r="BS298" s="56" t="s">
        <v>1285</v>
      </c>
      <c r="BT298" s="58"/>
      <c r="BU298" s="56" t="s">
        <v>16666</v>
      </c>
      <c r="BV298" s="58"/>
      <c r="BW298" s="58"/>
      <c r="BX298" s="67">
        <v>281.4</v>
      </c>
      <c r="BY298" s="56" t="s">
        <v>1285</v>
      </c>
      <c r="BZ298" s="58"/>
      <c r="CA298" s="58"/>
      <c r="CB298" s="58"/>
      <c r="CC298" s="58"/>
      <c r="CD298" s="58"/>
    </row>
    <row r="299" ht="108" spans="1:82">
      <c r="A299" s="56" t="s">
        <v>16695</v>
      </c>
      <c r="B299" s="58"/>
      <c r="C299" s="57" t="s">
        <v>16662</v>
      </c>
      <c r="D299" s="58"/>
      <c r="E299" s="57" t="s">
        <v>15158</v>
      </c>
      <c r="F299" s="57" t="s">
        <v>16663</v>
      </c>
      <c r="G299" s="57" t="s">
        <v>15160</v>
      </c>
      <c r="H299" s="56" t="s">
        <v>2965</v>
      </c>
      <c r="I299" s="60">
        <v>13176.9</v>
      </c>
      <c r="J299" s="57" t="s">
        <v>1285</v>
      </c>
      <c r="K299" s="57" t="s">
        <v>15162</v>
      </c>
      <c r="L299" s="57" t="s">
        <v>15163</v>
      </c>
      <c r="M299" s="61" t="s">
        <v>14159</v>
      </c>
      <c r="N299" s="62" t="s">
        <v>15504</v>
      </c>
      <c r="O299" s="57" t="s">
        <v>15165</v>
      </c>
      <c r="P299" s="57" t="s">
        <v>15166</v>
      </c>
      <c r="Q299" s="57" t="s">
        <v>2965</v>
      </c>
      <c r="R299" s="57" t="s">
        <v>15606</v>
      </c>
      <c r="S299" s="57" t="s">
        <v>15607</v>
      </c>
      <c r="T299" s="57" t="s">
        <v>15190</v>
      </c>
      <c r="U299" s="57" t="s">
        <v>14184</v>
      </c>
      <c r="V299" s="56" t="s">
        <v>14153</v>
      </c>
      <c r="W299" s="58"/>
      <c r="X299" s="57" t="s">
        <v>16664</v>
      </c>
      <c r="Y299" s="57" t="s">
        <v>15170</v>
      </c>
      <c r="Z299" s="61" t="s">
        <v>16389</v>
      </c>
      <c r="AA299" s="61" t="s">
        <v>14159</v>
      </c>
      <c r="AB299" s="58"/>
      <c r="AC299" s="57" t="s">
        <v>16391</v>
      </c>
      <c r="AD299" s="58"/>
      <c r="AE299" s="58"/>
      <c r="AF299" s="58"/>
      <c r="AG299" s="58"/>
      <c r="AH299" s="58"/>
      <c r="AI299" s="58"/>
      <c r="AJ299" s="58"/>
      <c r="AK299" s="56" t="s">
        <v>1285</v>
      </c>
      <c r="AL299" s="56" t="s">
        <v>16665</v>
      </c>
      <c r="AM299" s="58"/>
      <c r="AN299" s="56" t="s">
        <v>15273</v>
      </c>
      <c r="AO299" s="58"/>
      <c r="AP299" s="63">
        <v>45848.7866435185</v>
      </c>
      <c r="AQ299" s="56" t="s">
        <v>16666</v>
      </c>
      <c r="AR299" s="61" t="s">
        <v>14645</v>
      </c>
      <c r="AS299" s="57" t="s">
        <v>14184</v>
      </c>
      <c r="AT299" s="56" t="s">
        <v>15177</v>
      </c>
      <c r="AU299" s="56" t="s">
        <v>16667</v>
      </c>
      <c r="AV299" s="58"/>
      <c r="AW299" s="64">
        <v>45792.5973032407</v>
      </c>
      <c r="AX299" s="56" t="s">
        <v>16665</v>
      </c>
      <c r="AY299" s="56" t="s">
        <v>15179</v>
      </c>
      <c r="AZ299" s="58"/>
      <c r="BA299" s="58"/>
      <c r="BB299" s="58"/>
      <c r="BC299" s="56" t="s">
        <v>2136</v>
      </c>
      <c r="BD299" s="56" t="s">
        <v>15197</v>
      </c>
      <c r="BE299" s="56" t="s">
        <v>15613</v>
      </c>
      <c r="BF299" s="56" t="s">
        <v>15181</v>
      </c>
      <c r="BG299" s="58"/>
      <c r="BH299" s="58"/>
      <c r="BI299" s="57" t="s">
        <v>2801</v>
      </c>
      <c r="BJ299" s="58"/>
      <c r="BK299" s="58"/>
      <c r="BL299" s="66">
        <v>3539573</v>
      </c>
      <c r="BM299" s="56" t="s">
        <v>16668</v>
      </c>
      <c r="BN299" s="58"/>
      <c r="BO299" s="67">
        <v>4.9</v>
      </c>
      <c r="BP299" s="56" t="s">
        <v>16395</v>
      </c>
      <c r="BQ299" s="58"/>
      <c r="BR299" s="56" t="s">
        <v>16669</v>
      </c>
      <c r="BS299" s="56" t="s">
        <v>1285</v>
      </c>
      <c r="BT299" s="58"/>
      <c r="BU299" s="56" t="s">
        <v>16666</v>
      </c>
      <c r="BV299" s="58"/>
      <c r="BW299" s="58"/>
      <c r="BX299" s="67">
        <v>4.9</v>
      </c>
      <c r="BY299" s="56" t="s">
        <v>1285</v>
      </c>
      <c r="BZ299" s="58"/>
      <c r="CA299" s="58"/>
      <c r="CB299" s="58"/>
      <c r="CC299" s="58"/>
      <c r="CD299" s="58"/>
    </row>
    <row r="300" ht="108" spans="1:82">
      <c r="A300" s="56" t="s">
        <v>16696</v>
      </c>
      <c r="B300" s="58"/>
      <c r="C300" s="57" t="s">
        <v>16662</v>
      </c>
      <c r="D300" s="58"/>
      <c r="E300" s="57" t="s">
        <v>15158</v>
      </c>
      <c r="F300" s="57" t="s">
        <v>16663</v>
      </c>
      <c r="G300" s="57" t="s">
        <v>15160</v>
      </c>
      <c r="H300" s="56" t="s">
        <v>2965</v>
      </c>
      <c r="I300" s="60">
        <v>13176.9</v>
      </c>
      <c r="J300" s="57" t="s">
        <v>1285</v>
      </c>
      <c r="K300" s="57" t="s">
        <v>15162</v>
      </c>
      <c r="L300" s="57" t="s">
        <v>15163</v>
      </c>
      <c r="M300" s="61" t="s">
        <v>14159</v>
      </c>
      <c r="N300" s="62" t="s">
        <v>15504</v>
      </c>
      <c r="O300" s="57" t="s">
        <v>15165</v>
      </c>
      <c r="P300" s="57" t="s">
        <v>15166</v>
      </c>
      <c r="Q300" s="57" t="s">
        <v>2965</v>
      </c>
      <c r="R300" s="57" t="s">
        <v>15606</v>
      </c>
      <c r="S300" s="57" t="s">
        <v>15607</v>
      </c>
      <c r="T300" s="57" t="s">
        <v>15190</v>
      </c>
      <c r="U300" s="57" t="s">
        <v>14184</v>
      </c>
      <c r="V300" s="56" t="s">
        <v>14153</v>
      </c>
      <c r="W300" s="58"/>
      <c r="X300" s="57" t="s">
        <v>16664</v>
      </c>
      <c r="Y300" s="57" t="s">
        <v>15170</v>
      </c>
      <c r="Z300" s="61" t="s">
        <v>16389</v>
      </c>
      <c r="AA300" s="61" t="s">
        <v>14159</v>
      </c>
      <c r="AB300" s="58"/>
      <c r="AC300" s="57" t="s">
        <v>16391</v>
      </c>
      <c r="AD300" s="58"/>
      <c r="AE300" s="58"/>
      <c r="AF300" s="58"/>
      <c r="AG300" s="58"/>
      <c r="AH300" s="58"/>
      <c r="AI300" s="58"/>
      <c r="AJ300" s="58"/>
      <c r="AK300" s="56" t="s">
        <v>1285</v>
      </c>
      <c r="AL300" s="56" t="s">
        <v>16665</v>
      </c>
      <c r="AM300" s="58"/>
      <c r="AN300" s="56" t="s">
        <v>15273</v>
      </c>
      <c r="AO300" s="58"/>
      <c r="AP300" s="63">
        <v>45848.7866435185</v>
      </c>
      <c r="AQ300" s="56" t="s">
        <v>16666</v>
      </c>
      <c r="AR300" s="61" t="s">
        <v>14645</v>
      </c>
      <c r="AS300" s="57" t="s">
        <v>14184</v>
      </c>
      <c r="AT300" s="56" t="s">
        <v>15177</v>
      </c>
      <c r="AU300" s="56" t="s">
        <v>16667</v>
      </c>
      <c r="AV300" s="58"/>
      <c r="AW300" s="64">
        <v>45792.5973032407</v>
      </c>
      <c r="AX300" s="56" t="s">
        <v>16665</v>
      </c>
      <c r="AY300" s="56" t="s">
        <v>15179</v>
      </c>
      <c r="AZ300" s="58"/>
      <c r="BA300" s="58"/>
      <c r="BB300" s="58"/>
      <c r="BC300" s="56" t="s">
        <v>138</v>
      </c>
      <c r="BD300" s="56" t="s">
        <v>15197</v>
      </c>
      <c r="BE300" s="56" t="s">
        <v>15613</v>
      </c>
      <c r="BF300" s="56" t="s">
        <v>15181</v>
      </c>
      <c r="BG300" s="58"/>
      <c r="BH300" s="58"/>
      <c r="BI300" s="57" t="s">
        <v>2801</v>
      </c>
      <c r="BJ300" s="58"/>
      <c r="BK300" s="58"/>
      <c r="BL300" s="66">
        <v>3539553</v>
      </c>
      <c r="BM300" s="56" t="s">
        <v>16668</v>
      </c>
      <c r="BN300" s="58"/>
      <c r="BO300" s="67">
        <v>13.08</v>
      </c>
      <c r="BP300" s="56" t="s">
        <v>16395</v>
      </c>
      <c r="BQ300" s="58"/>
      <c r="BR300" s="56" t="s">
        <v>16669</v>
      </c>
      <c r="BS300" s="56" t="s">
        <v>1285</v>
      </c>
      <c r="BT300" s="58"/>
      <c r="BU300" s="56" t="s">
        <v>16666</v>
      </c>
      <c r="BV300" s="58"/>
      <c r="BW300" s="58"/>
      <c r="BX300" s="67">
        <v>13.08</v>
      </c>
      <c r="BY300" s="56" t="s">
        <v>1285</v>
      </c>
      <c r="BZ300" s="58"/>
      <c r="CA300" s="58"/>
      <c r="CB300" s="58"/>
      <c r="CC300" s="58"/>
      <c r="CD300" s="58"/>
    </row>
    <row r="301" ht="108" spans="1:82">
      <c r="A301" s="56" t="s">
        <v>16697</v>
      </c>
      <c r="B301" s="58"/>
      <c r="C301" s="57" t="s">
        <v>16662</v>
      </c>
      <c r="D301" s="58"/>
      <c r="E301" s="57" t="s">
        <v>15158</v>
      </c>
      <c r="F301" s="57" t="s">
        <v>16663</v>
      </c>
      <c r="G301" s="57" t="s">
        <v>15160</v>
      </c>
      <c r="H301" s="56" t="s">
        <v>2965</v>
      </c>
      <c r="I301" s="60">
        <v>13176.9</v>
      </c>
      <c r="J301" s="57" t="s">
        <v>1285</v>
      </c>
      <c r="K301" s="57" t="s">
        <v>15162</v>
      </c>
      <c r="L301" s="57" t="s">
        <v>15163</v>
      </c>
      <c r="M301" s="61" t="s">
        <v>14159</v>
      </c>
      <c r="N301" s="62" t="s">
        <v>15504</v>
      </c>
      <c r="O301" s="57" t="s">
        <v>15165</v>
      </c>
      <c r="P301" s="57" t="s">
        <v>15166</v>
      </c>
      <c r="Q301" s="57" t="s">
        <v>2965</v>
      </c>
      <c r="R301" s="57" t="s">
        <v>15606</v>
      </c>
      <c r="S301" s="57" t="s">
        <v>15607</v>
      </c>
      <c r="T301" s="57" t="s">
        <v>15190</v>
      </c>
      <c r="U301" s="57" t="s">
        <v>14184</v>
      </c>
      <c r="V301" s="56" t="s">
        <v>14153</v>
      </c>
      <c r="W301" s="58"/>
      <c r="X301" s="57" t="s">
        <v>16664</v>
      </c>
      <c r="Y301" s="57" t="s">
        <v>15170</v>
      </c>
      <c r="Z301" s="61" t="s">
        <v>16389</v>
      </c>
      <c r="AA301" s="61" t="s">
        <v>14159</v>
      </c>
      <c r="AB301" s="58"/>
      <c r="AC301" s="57" t="s">
        <v>16391</v>
      </c>
      <c r="AD301" s="58"/>
      <c r="AE301" s="58"/>
      <c r="AF301" s="58"/>
      <c r="AG301" s="58"/>
      <c r="AH301" s="58"/>
      <c r="AI301" s="58"/>
      <c r="AJ301" s="58"/>
      <c r="AK301" s="56" t="s">
        <v>1285</v>
      </c>
      <c r="AL301" s="56" t="s">
        <v>16665</v>
      </c>
      <c r="AM301" s="58"/>
      <c r="AN301" s="56" t="s">
        <v>15273</v>
      </c>
      <c r="AO301" s="58"/>
      <c r="AP301" s="63">
        <v>45848.7866435185</v>
      </c>
      <c r="AQ301" s="56" t="s">
        <v>16666</v>
      </c>
      <c r="AR301" s="61" t="s">
        <v>14645</v>
      </c>
      <c r="AS301" s="57" t="s">
        <v>14184</v>
      </c>
      <c r="AT301" s="56" t="s">
        <v>15177</v>
      </c>
      <c r="AU301" s="56" t="s">
        <v>16667</v>
      </c>
      <c r="AV301" s="58"/>
      <c r="AW301" s="64">
        <v>45792.5973032407</v>
      </c>
      <c r="AX301" s="56" t="s">
        <v>16665</v>
      </c>
      <c r="AY301" s="56" t="s">
        <v>15179</v>
      </c>
      <c r="AZ301" s="58"/>
      <c r="BA301" s="58"/>
      <c r="BB301" s="58"/>
      <c r="BC301" s="56" t="s">
        <v>15628</v>
      </c>
      <c r="BD301" s="56" t="s">
        <v>15197</v>
      </c>
      <c r="BE301" s="56" t="s">
        <v>15613</v>
      </c>
      <c r="BF301" s="56" t="s">
        <v>15181</v>
      </c>
      <c r="BG301" s="58"/>
      <c r="BH301" s="58"/>
      <c r="BI301" s="57" t="s">
        <v>2801</v>
      </c>
      <c r="BJ301" s="58"/>
      <c r="BK301" s="58"/>
      <c r="BL301" s="66">
        <v>3539562</v>
      </c>
      <c r="BM301" s="56" t="s">
        <v>16668</v>
      </c>
      <c r="BN301" s="58"/>
      <c r="BO301" s="67">
        <v>85.08</v>
      </c>
      <c r="BP301" s="56" t="s">
        <v>16395</v>
      </c>
      <c r="BQ301" s="58"/>
      <c r="BR301" s="56" t="s">
        <v>16669</v>
      </c>
      <c r="BS301" s="56" t="s">
        <v>1285</v>
      </c>
      <c r="BT301" s="58"/>
      <c r="BU301" s="56" t="s">
        <v>16666</v>
      </c>
      <c r="BV301" s="58"/>
      <c r="BW301" s="58"/>
      <c r="BX301" s="67">
        <v>85.08</v>
      </c>
      <c r="BY301" s="56" t="s">
        <v>1285</v>
      </c>
      <c r="BZ301" s="58"/>
      <c r="CA301" s="58"/>
      <c r="CB301" s="58"/>
      <c r="CC301" s="58"/>
      <c r="CD301" s="58"/>
    </row>
    <row r="302" ht="108" spans="1:82">
      <c r="A302" s="56" t="s">
        <v>16698</v>
      </c>
      <c r="B302" s="58"/>
      <c r="C302" s="57" t="s">
        <v>16662</v>
      </c>
      <c r="D302" s="58"/>
      <c r="E302" s="57" t="s">
        <v>15158</v>
      </c>
      <c r="F302" s="57" t="s">
        <v>16663</v>
      </c>
      <c r="G302" s="57" t="s">
        <v>15160</v>
      </c>
      <c r="H302" s="56" t="s">
        <v>2965</v>
      </c>
      <c r="I302" s="60">
        <v>13176.9</v>
      </c>
      <c r="J302" s="57" t="s">
        <v>1285</v>
      </c>
      <c r="K302" s="57" t="s">
        <v>15162</v>
      </c>
      <c r="L302" s="57" t="s">
        <v>15163</v>
      </c>
      <c r="M302" s="61" t="s">
        <v>14159</v>
      </c>
      <c r="N302" s="62" t="s">
        <v>15504</v>
      </c>
      <c r="O302" s="57" t="s">
        <v>15165</v>
      </c>
      <c r="P302" s="57" t="s">
        <v>15166</v>
      </c>
      <c r="Q302" s="57" t="s">
        <v>2965</v>
      </c>
      <c r="R302" s="57" t="s">
        <v>15606</v>
      </c>
      <c r="S302" s="57" t="s">
        <v>15607</v>
      </c>
      <c r="T302" s="57" t="s">
        <v>15190</v>
      </c>
      <c r="U302" s="57" t="s">
        <v>14184</v>
      </c>
      <c r="V302" s="56" t="s">
        <v>14153</v>
      </c>
      <c r="W302" s="58"/>
      <c r="X302" s="57" t="s">
        <v>16664</v>
      </c>
      <c r="Y302" s="57" t="s">
        <v>15170</v>
      </c>
      <c r="Z302" s="61" t="s">
        <v>16389</v>
      </c>
      <c r="AA302" s="61" t="s">
        <v>14159</v>
      </c>
      <c r="AB302" s="58"/>
      <c r="AC302" s="57" t="s">
        <v>16391</v>
      </c>
      <c r="AD302" s="58"/>
      <c r="AE302" s="58"/>
      <c r="AF302" s="58"/>
      <c r="AG302" s="58"/>
      <c r="AH302" s="58"/>
      <c r="AI302" s="58"/>
      <c r="AJ302" s="58"/>
      <c r="AK302" s="56" t="s">
        <v>1285</v>
      </c>
      <c r="AL302" s="56" t="s">
        <v>16665</v>
      </c>
      <c r="AM302" s="58"/>
      <c r="AN302" s="56" t="s">
        <v>15273</v>
      </c>
      <c r="AO302" s="58"/>
      <c r="AP302" s="63">
        <v>45848.7866435185</v>
      </c>
      <c r="AQ302" s="56" t="s">
        <v>16666</v>
      </c>
      <c r="AR302" s="61" t="s">
        <v>14645</v>
      </c>
      <c r="AS302" s="57" t="s">
        <v>14184</v>
      </c>
      <c r="AT302" s="56" t="s">
        <v>15177</v>
      </c>
      <c r="AU302" s="56" t="s">
        <v>16667</v>
      </c>
      <c r="AV302" s="58"/>
      <c r="AW302" s="64">
        <v>45792.5973032407</v>
      </c>
      <c r="AX302" s="56" t="s">
        <v>16665</v>
      </c>
      <c r="AY302" s="56" t="s">
        <v>15179</v>
      </c>
      <c r="AZ302" s="58"/>
      <c r="BA302" s="58"/>
      <c r="BB302" s="58"/>
      <c r="BC302" s="56" t="s">
        <v>16692</v>
      </c>
      <c r="BD302" s="56" t="s">
        <v>15197</v>
      </c>
      <c r="BE302" s="56" t="s">
        <v>15613</v>
      </c>
      <c r="BF302" s="56" t="s">
        <v>15181</v>
      </c>
      <c r="BG302" s="58"/>
      <c r="BH302" s="58"/>
      <c r="BI302" s="57" t="s">
        <v>2801</v>
      </c>
      <c r="BJ302" s="58"/>
      <c r="BK302" s="58"/>
      <c r="BL302" s="66">
        <v>3539595</v>
      </c>
      <c r="BM302" s="56" t="s">
        <v>16668</v>
      </c>
      <c r="BN302" s="58"/>
      <c r="BO302" s="67">
        <v>88.1</v>
      </c>
      <c r="BP302" s="56" t="s">
        <v>16395</v>
      </c>
      <c r="BQ302" s="58"/>
      <c r="BR302" s="56" t="s">
        <v>16669</v>
      </c>
      <c r="BS302" s="56" t="s">
        <v>1285</v>
      </c>
      <c r="BT302" s="58"/>
      <c r="BU302" s="56" t="s">
        <v>16666</v>
      </c>
      <c r="BV302" s="58"/>
      <c r="BW302" s="58"/>
      <c r="BX302" s="67">
        <v>88.1</v>
      </c>
      <c r="BY302" s="56" t="s">
        <v>1285</v>
      </c>
      <c r="BZ302" s="58"/>
      <c r="CA302" s="58"/>
      <c r="CB302" s="58"/>
      <c r="CC302" s="58"/>
      <c r="CD302" s="58"/>
    </row>
    <row r="303" ht="108" spans="1:82">
      <c r="A303" s="56" t="s">
        <v>16699</v>
      </c>
      <c r="B303" s="58"/>
      <c r="C303" s="57" t="s">
        <v>16662</v>
      </c>
      <c r="D303" s="58"/>
      <c r="E303" s="57" t="s">
        <v>15158</v>
      </c>
      <c r="F303" s="57" t="s">
        <v>16663</v>
      </c>
      <c r="G303" s="57" t="s">
        <v>15160</v>
      </c>
      <c r="H303" s="56" t="s">
        <v>2965</v>
      </c>
      <c r="I303" s="60">
        <v>13176.9</v>
      </c>
      <c r="J303" s="57" t="s">
        <v>1285</v>
      </c>
      <c r="K303" s="57" t="s">
        <v>15162</v>
      </c>
      <c r="L303" s="57" t="s">
        <v>15163</v>
      </c>
      <c r="M303" s="61" t="s">
        <v>14159</v>
      </c>
      <c r="N303" s="62" t="s">
        <v>15504</v>
      </c>
      <c r="O303" s="57" t="s">
        <v>15165</v>
      </c>
      <c r="P303" s="57" t="s">
        <v>15166</v>
      </c>
      <c r="Q303" s="57" t="s">
        <v>2965</v>
      </c>
      <c r="R303" s="57" t="s">
        <v>15606</v>
      </c>
      <c r="S303" s="57" t="s">
        <v>15607</v>
      </c>
      <c r="T303" s="57" t="s">
        <v>15190</v>
      </c>
      <c r="U303" s="57" t="s">
        <v>14184</v>
      </c>
      <c r="V303" s="56" t="s">
        <v>14153</v>
      </c>
      <c r="W303" s="58"/>
      <c r="X303" s="57" t="s">
        <v>16664</v>
      </c>
      <c r="Y303" s="57" t="s">
        <v>15170</v>
      </c>
      <c r="Z303" s="61" t="s">
        <v>16389</v>
      </c>
      <c r="AA303" s="61" t="s">
        <v>14159</v>
      </c>
      <c r="AB303" s="58"/>
      <c r="AC303" s="57" t="s">
        <v>16391</v>
      </c>
      <c r="AD303" s="58"/>
      <c r="AE303" s="58"/>
      <c r="AF303" s="58"/>
      <c r="AG303" s="58"/>
      <c r="AH303" s="58"/>
      <c r="AI303" s="58"/>
      <c r="AJ303" s="58"/>
      <c r="AK303" s="56" t="s">
        <v>1285</v>
      </c>
      <c r="AL303" s="56" t="s">
        <v>16665</v>
      </c>
      <c r="AM303" s="58"/>
      <c r="AN303" s="56" t="s">
        <v>15273</v>
      </c>
      <c r="AO303" s="58"/>
      <c r="AP303" s="63">
        <v>45848.7866435185</v>
      </c>
      <c r="AQ303" s="56" t="s">
        <v>16666</v>
      </c>
      <c r="AR303" s="61" t="s">
        <v>14645</v>
      </c>
      <c r="AS303" s="57" t="s">
        <v>14184</v>
      </c>
      <c r="AT303" s="56" t="s">
        <v>15177</v>
      </c>
      <c r="AU303" s="56" t="s">
        <v>16667</v>
      </c>
      <c r="AV303" s="58"/>
      <c r="AW303" s="64">
        <v>45792.5973032407</v>
      </c>
      <c r="AX303" s="56" t="s">
        <v>16665</v>
      </c>
      <c r="AY303" s="56" t="s">
        <v>15179</v>
      </c>
      <c r="AZ303" s="58"/>
      <c r="BA303" s="58"/>
      <c r="BB303" s="58"/>
      <c r="BC303" s="56" t="s">
        <v>2136</v>
      </c>
      <c r="BD303" s="56" t="s">
        <v>15197</v>
      </c>
      <c r="BE303" s="56" t="s">
        <v>15613</v>
      </c>
      <c r="BF303" s="56" t="s">
        <v>15181</v>
      </c>
      <c r="BG303" s="58"/>
      <c r="BH303" s="58"/>
      <c r="BI303" s="57" t="s">
        <v>2801</v>
      </c>
      <c r="BJ303" s="58"/>
      <c r="BK303" s="58"/>
      <c r="BL303" s="66">
        <v>3539569</v>
      </c>
      <c r="BM303" s="56" t="s">
        <v>16668</v>
      </c>
      <c r="BN303" s="58"/>
      <c r="BO303" s="67">
        <v>226.9</v>
      </c>
      <c r="BP303" s="56" t="s">
        <v>16395</v>
      </c>
      <c r="BQ303" s="58"/>
      <c r="BR303" s="56" t="s">
        <v>16669</v>
      </c>
      <c r="BS303" s="56" t="s">
        <v>1285</v>
      </c>
      <c r="BT303" s="58"/>
      <c r="BU303" s="56" t="s">
        <v>16666</v>
      </c>
      <c r="BV303" s="58"/>
      <c r="BW303" s="58"/>
      <c r="BX303" s="67">
        <v>226.9</v>
      </c>
      <c r="BY303" s="56" t="s">
        <v>1285</v>
      </c>
      <c r="BZ303" s="58"/>
      <c r="CA303" s="58"/>
      <c r="CB303" s="58"/>
      <c r="CC303" s="58"/>
      <c r="CD303" s="58"/>
    </row>
    <row r="304" ht="108" spans="1:82">
      <c r="A304" s="56" t="s">
        <v>16700</v>
      </c>
      <c r="B304" s="58"/>
      <c r="C304" s="57" t="s">
        <v>16662</v>
      </c>
      <c r="D304" s="58"/>
      <c r="E304" s="57" t="s">
        <v>15158</v>
      </c>
      <c r="F304" s="57" t="s">
        <v>16663</v>
      </c>
      <c r="G304" s="57" t="s">
        <v>15160</v>
      </c>
      <c r="H304" s="56" t="s">
        <v>2965</v>
      </c>
      <c r="I304" s="60">
        <v>13176.9</v>
      </c>
      <c r="J304" s="57" t="s">
        <v>1285</v>
      </c>
      <c r="K304" s="57" t="s">
        <v>15162</v>
      </c>
      <c r="L304" s="57" t="s">
        <v>15163</v>
      </c>
      <c r="M304" s="61" t="s">
        <v>14159</v>
      </c>
      <c r="N304" s="62" t="s">
        <v>15504</v>
      </c>
      <c r="O304" s="57" t="s">
        <v>15165</v>
      </c>
      <c r="P304" s="57" t="s">
        <v>15166</v>
      </c>
      <c r="Q304" s="57" t="s">
        <v>2965</v>
      </c>
      <c r="R304" s="57" t="s">
        <v>15606</v>
      </c>
      <c r="S304" s="57" t="s">
        <v>15607</v>
      </c>
      <c r="T304" s="57" t="s">
        <v>15190</v>
      </c>
      <c r="U304" s="57" t="s">
        <v>14184</v>
      </c>
      <c r="V304" s="56" t="s">
        <v>14153</v>
      </c>
      <c r="W304" s="58"/>
      <c r="X304" s="57" t="s">
        <v>16664</v>
      </c>
      <c r="Y304" s="57" t="s">
        <v>15170</v>
      </c>
      <c r="Z304" s="61" t="s">
        <v>16389</v>
      </c>
      <c r="AA304" s="61" t="s">
        <v>14159</v>
      </c>
      <c r="AB304" s="58"/>
      <c r="AC304" s="57" t="s">
        <v>16391</v>
      </c>
      <c r="AD304" s="58"/>
      <c r="AE304" s="58"/>
      <c r="AF304" s="58"/>
      <c r="AG304" s="58"/>
      <c r="AH304" s="58"/>
      <c r="AI304" s="58"/>
      <c r="AJ304" s="58"/>
      <c r="AK304" s="56" t="s">
        <v>1285</v>
      </c>
      <c r="AL304" s="56" t="s">
        <v>16665</v>
      </c>
      <c r="AM304" s="58"/>
      <c r="AN304" s="56" t="s">
        <v>15273</v>
      </c>
      <c r="AO304" s="58"/>
      <c r="AP304" s="63">
        <v>45848.7866435185</v>
      </c>
      <c r="AQ304" s="56" t="s">
        <v>16666</v>
      </c>
      <c r="AR304" s="61" t="s">
        <v>14645</v>
      </c>
      <c r="AS304" s="57" t="s">
        <v>14184</v>
      </c>
      <c r="AT304" s="56" t="s">
        <v>15177</v>
      </c>
      <c r="AU304" s="56" t="s">
        <v>16667</v>
      </c>
      <c r="AV304" s="58"/>
      <c r="AW304" s="64">
        <v>45792.5973032407</v>
      </c>
      <c r="AX304" s="56" t="s">
        <v>16665</v>
      </c>
      <c r="AY304" s="56" t="s">
        <v>15179</v>
      </c>
      <c r="AZ304" s="58"/>
      <c r="BA304" s="58"/>
      <c r="BB304" s="58"/>
      <c r="BC304" s="56" t="s">
        <v>2148</v>
      </c>
      <c r="BD304" s="56" t="s">
        <v>15197</v>
      </c>
      <c r="BE304" s="56" t="s">
        <v>15613</v>
      </c>
      <c r="BF304" s="56" t="s">
        <v>15181</v>
      </c>
      <c r="BG304" s="58"/>
      <c r="BH304" s="58"/>
      <c r="BI304" s="57" t="s">
        <v>2801</v>
      </c>
      <c r="BJ304" s="58"/>
      <c r="BK304" s="58"/>
      <c r="BL304" s="66">
        <v>3539600</v>
      </c>
      <c r="BM304" s="56" t="s">
        <v>16668</v>
      </c>
      <c r="BN304" s="58"/>
      <c r="BO304" s="67">
        <v>162.42</v>
      </c>
      <c r="BP304" s="56" t="s">
        <v>16395</v>
      </c>
      <c r="BQ304" s="58"/>
      <c r="BR304" s="56" t="s">
        <v>16669</v>
      </c>
      <c r="BS304" s="56" t="s">
        <v>1285</v>
      </c>
      <c r="BT304" s="58"/>
      <c r="BU304" s="56" t="s">
        <v>16666</v>
      </c>
      <c r="BV304" s="58"/>
      <c r="BW304" s="58"/>
      <c r="BX304" s="67">
        <v>162.42</v>
      </c>
      <c r="BY304" s="56" t="s">
        <v>1285</v>
      </c>
      <c r="BZ304" s="58"/>
      <c r="CA304" s="58"/>
      <c r="CB304" s="58"/>
      <c r="CC304" s="58"/>
      <c r="CD304" s="58"/>
    </row>
    <row r="305" ht="108" spans="1:82">
      <c r="A305" s="56" t="s">
        <v>16701</v>
      </c>
      <c r="B305" s="58"/>
      <c r="C305" s="57" t="s">
        <v>16662</v>
      </c>
      <c r="D305" s="58"/>
      <c r="E305" s="57" t="s">
        <v>15158</v>
      </c>
      <c r="F305" s="57" t="s">
        <v>16663</v>
      </c>
      <c r="G305" s="57" t="s">
        <v>15160</v>
      </c>
      <c r="H305" s="56" t="s">
        <v>2965</v>
      </c>
      <c r="I305" s="60">
        <v>13176.9</v>
      </c>
      <c r="J305" s="57" t="s">
        <v>1285</v>
      </c>
      <c r="K305" s="57" t="s">
        <v>15162</v>
      </c>
      <c r="L305" s="57" t="s">
        <v>15163</v>
      </c>
      <c r="M305" s="61" t="s">
        <v>14159</v>
      </c>
      <c r="N305" s="62" t="s">
        <v>15504</v>
      </c>
      <c r="O305" s="57" t="s">
        <v>15165</v>
      </c>
      <c r="P305" s="57" t="s">
        <v>15166</v>
      </c>
      <c r="Q305" s="57" t="s">
        <v>2965</v>
      </c>
      <c r="R305" s="57" t="s">
        <v>15606</v>
      </c>
      <c r="S305" s="57" t="s">
        <v>15607</v>
      </c>
      <c r="T305" s="57" t="s">
        <v>15190</v>
      </c>
      <c r="U305" s="57" t="s">
        <v>14184</v>
      </c>
      <c r="V305" s="56" t="s">
        <v>14153</v>
      </c>
      <c r="W305" s="58"/>
      <c r="X305" s="57" t="s">
        <v>16664</v>
      </c>
      <c r="Y305" s="57" t="s">
        <v>15170</v>
      </c>
      <c r="Z305" s="61" t="s">
        <v>16389</v>
      </c>
      <c r="AA305" s="61" t="s">
        <v>14159</v>
      </c>
      <c r="AB305" s="58"/>
      <c r="AC305" s="57" t="s">
        <v>16391</v>
      </c>
      <c r="AD305" s="58"/>
      <c r="AE305" s="58"/>
      <c r="AF305" s="58"/>
      <c r="AG305" s="58"/>
      <c r="AH305" s="58"/>
      <c r="AI305" s="58"/>
      <c r="AJ305" s="58"/>
      <c r="AK305" s="56" t="s">
        <v>1285</v>
      </c>
      <c r="AL305" s="56" t="s">
        <v>16665</v>
      </c>
      <c r="AM305" s="58"/>
      <c r="AN305" s="56" t="s">
        <v>15273</v>
      </c>
      <c r="AO305" s="58"/>
      <c r="AP305" s="63">
        <v>45848.7866435185</v>
      </c>
      <c r="AQ305" s="56" t="s">
        <v>16666</v>
      </c>
      <c r="AR305" s="61" t="s">
        <v>14645</v>
      </c>
      <c r="AS305" s="57" t="s">
        <v>14184</v>
      </c>
      <c r="AT305" s="56" t="s">
        <v>15177</v>
      </c>
      <c r="AU305" s="56" t="s">
        <v>16667</v>
      </c>
      <c r="AV305" s="58"/>
      <c r="AW305" s="64">
        <v>45792.5973032407</v>
      </c>
      <c r="AX305" s="56" t="s">
        <v>16665</v>
      </c>
      <c r="AY305" s="56" t="s">
        <v>15179</v>
      </c>
      <c r="AZ305" s="58"/>
      <c r="BA305" s="58"/>
      <c r="BB305" s="58"/>
      <c r="BC305" s="56" t="s">
        <v>15637</v>
      </c>
      <c r="BD305" s="56" t="s">
        <v>15197</v>
      </c>
      <c r="BE305" s="56" t="s">
        <v>15613</v>
      </c>
      <c r="BF305" s="56" t="s">
        <v>15181</v>
      </c>
      <c r="BG305" s="58"/>
      <c r="BH305" s="58"/>
      <c r="BI305" s="57" t="s">
        <v>2801</v>
      </c>
      <c r="BJ305" s="58"/>
      <c r="BK305" s="58"/>
      <c r="BL305" s="66">
        <v>3539578</v>
      </c>
      <c r="BM305" s="56" t="s">
        <v>16668</v>
      </c>
      <c r="BN305" s="58"/>
      <c r="BO305" s="67">
        <v>576.84</v>
      </c>
      <c r="BP305" s="56" t="s">
        <v>16395</v>
      </c>
      <c r="BQ305" s="58"/>
      <c r="BR305" s="56" t="s">
        <v>16669</v>
      </c>
      <c r="BS305" s="56" t="s">
        <v>1285</v>
      </c>
      <c r="BT305" s="58"/>
      <c r="BU305" s="56" t="s">
        <v>16666</v>
      </c>
      <c r="BV305" s="58"/>
      <c r="BW305" s="58"/>
      <c r="BX305" s="67">
        <v>576.84</v>
      </c>
      <c r="BY305" s="56" t="s">
        <v>1285</v>
      </c>
      <c r="BZ305" s="58"/>
      <c r="CA305" s="58"/>
      <c r="CB305" s="58"/>
      <c r="CC305" s="58"/>
      <c r="CD305" s="58"/>
    </row>
    <row r="306" ht="108" spans="1:82">
      <c r="A306" s="56" t="s">
        <v>16702</v>
      </c>
      <c r="B306" s="58"/>
      <c r="C306" s="57" t="s">
        <v>16662</v>
      </c>
      <c r="D306" s="58"/>
      <c r="E306" s="57" t="s">
        <v>15158</v>
      </c>
      <c r="F306" s="57" t="s">
        <v>16663</v>
      </c>
      <c r="G306" s="57" t="s">
        <v>15160</v>
      </c>
      <c r="H306" s="56" t="s">
        <v>2965</v>
      </c>
      <c r="I306" s="60">
        <v>13176.9</v>
      </c>
      <c r="J306" s="57" t="s">
        <v>1285</v>
      </c>
      <c r="K306" s="57" t="s">
        <v>15162</v>
      </c>
      <c r="L306" s="57" t="s">
        <v>15163</v>
      </c>
      <c r="M306" s="61" t="s">
        <v>14159</v>
      </c>
      <c r="N306" s="62" t="s">
        <v>15504</v>
      </c>
      <c r="O306" s="57" t="s">
        <v>15165</v>
      </c>
      <c r="P306" s="57" t="s">
        <v>15166</v>
      </c>
      <c r="Q306" s="57" t="s">
        <v>2965</v>
      </c>
      <c r="R306" s="57" t="s">
        <v>15606</v>
      </c>
      <c r="S306" s="57" t="s">
        <v>15607</v>
      </c>
      <c r="T306" s="57" t="s">
        <v>15190</v>
      </c>
      <c r="U306" s="57" t="s">
        <v>14184</v>
      </c>
      <c r="V306" s="56" t="s">
        <v>14153</v>
      </c>
      <c r="W306" s="58"/>
      <c r="X306" s="57" t="s">
        <v>16664</v>
      </c>
      <c r="Y306" s="57" t="s">
        <v>15170</v>
      </c>
      <c r="Z306" s="61" t="s">
        <v>16389</v>
      </c>
      <c r="AA306" s="61" t="s">
        <v>14159</v>
      </c>
      <c r="AB306" s="58"/>
      <c r="AC306" s="57" t="s">
        <v>16391</v>
      </c>
      <c r="AD306" s="58"/>
      <c r="AE306" s="58"/>
      <c r="AF306" s="58"/>
      <c r="AG306" s="58"/>
      <c r="AH306" s="58"/>
      <c r="AI306" s="58"/>
      <c r="AJ306" s="58"/>
      <c r="AK306" s="56" t="s">
        <v>1285</v>
      </c>
      <c r="AL306" s="56" t="s">
        <v>16665</v>
      </c>
      <c r="AM306" s="58"/>
      <c r="AN306" s="56" t="s">
        <v>15273</v>
      </c>
      <c r="AO306" s="58"/>
      <c r="AP306" s="63">
        <v>45848.7866435185</v>
      </c>
      <c r="AQ306" s="56" t="s">
        <v>16666</v>
      </c>
      <c r="AR306" s="61" t="s">
        <v>14645</v>
      </c>
      <c r="AS306" s="57" t="s">
        <v>14184</v>
      </c>
      <c r="AT306" s="56" t="s">
        <v>15177</v>
      </c>
      <c r="AU306" s="56" t="s">
        <v>16667</v>
      </c>
      <c r="AV306" s="58"/>
      <c r="AW306" s="64">
        <v>45792.5973032407</v>
      </c>
      <c r="AX306" s="56" t="s">
        <v>16665</v>
      </c>
      <c r="AY306" s="56" t="s">
        <v>15179</v>
      </c>
      <c r="AZ306" s="58"/>
      <c r="BA306" s="58"/>
      <c r="BB306" s="58"/>
      <c r="BC306" s="56" t="s">
        <v>2136</v>
      </c>
      <c r="BD306" s="56" t="s">
        <v>15197</v>
      </c>
      <c r="BE306" s="56" t="s">
        <v>15613</v>
      </c>
      <c r="BF306" s="56" t="s">
        <v>15181</v>
      </c>
      <c r="BG306" s="58"/>
      <c r="BH306" s="58"/>
      <c r="BI306" s="57" t="s">
        <v>2801</v>
      </c>
      <c r="BJ306" s="58"/>
      <c r="BK306" s="58"/>
      <c r="BL306" s="66">
        <v>3539571</v>
      </c>
      <c r="BM306" s="56" t="s">
        <v>16668</v>
      </c>
      <c r="BN306" s="58"/>
      <c r="BO306" s="67">
        <v>226.9</v>
      </c>
      <c r="BP306" s="56" t="s">
        <v>16395</v>
      </c>
      <c r="BQ306" s="58"/>
      <c r="BR306" s="56" t="s">
        <v>16669</v>
      </c>
      <c r="BS306" s="56" t="s">
        <v>1285</v>
      </c>
      <c r="BT306" s="58"/>
      <c r="BU306" s="56" t="s">
        <v>16666</v>
      </c>
      <c r="BV306" s="58"/>
      <c r="BW306" s="58"/>
      <c r="BX306" s="67">
        <v>226.9</v>
      </c>
      <c r="BY306" s="56" t="s">
        <v>1285</v>
      </c>
      <c r="BZ306" s="58"/>
      <c r="CA306" s="58"/>
      <c r="CB306" s="58"/>
      <c r="CC306" s="58"/>
      <c r="CD306" s="58"/>
    </row>
    <row r="307" ht="108" spans="1:82">
      <c r="A307" s="56" t="s">
        <v>16703</v>
      </c>
      <c r="B307" s="58"/>
      <c r="C307" s="57" t="s">
        <v>16662</v>
      </c>
      <c r="D307" s="58"/>
      <c r="E307" s="57" t="s">
        <v>15158</v>
      </c>
      <c r="F307" s="57" t="s">
        <v>16663</v>
      </c>
      <c r="G307" s="57" t="s">
        <v>15160</v>
      </c>
      <c r="H307" s="56" t="s">
        <v>2965</v>
      </c>
      <c r="I307" s="60">
        <v>13176.9</v>
      </c>
      <c r="J307" s="57" t="s">
        <v>1285</v>
      </c>
      <c r="K307" s="57" t="s">
        <v>15162</v>
      </c>
      <c r="L307" s="57" t="s">
        <v>15163</v>
      </c>
      <c r="M307" s="61" t="s">
        <v>14159</v>
      </c>
      <c r="N307" s="62" t="s">
        <v>15504</v>
      </c>
      <c r="O307" s="57" t="s">
        <v>15165</v>
      </c>
      <c r="P307" s="57" t="s">
        <v>15166</v>
      </c>
      <c r="Q307" s="57" t="s">
        <v>2965</v>
      </c>
      <c r="R307" s="57" t="s">
        <v>15606</v>
      </c>
      <c r="S307" s="57" t="s">
        <v>15607</v>
      </c>
      <c r="T307" s="57" t="s">
        <v>15190</v>
      </c>
      <c r="U307" s="57" t="s">
        <v>14184</v>
      </c>
      <c r="V307" s="56" t="s">
        <v>14153</v>
      </c>
      <c r="W307" s="58"/>
      <c r="X307" s="57" t="s">
        <v>16664</v>
      </c>
      <c r="Y307" s="57" t="s">
        <v>15170</v>
      </c>
      <c r="Z307" s="61" t="s">
        <v>16389</v>
      </c>
      <c r="AA307" s="61" t="s">
        <v>14159</v>
      </c>
      <c r="AB307" s="58"/>
      <c r="AC307" s="57" t="s">
        <v>16391</v>
      </c>
      <c r="AD307" s="58"/>
      <c r="AE307" s="58"/>
      <c r="AF307" s="58"/>
      <c r="AG307" s="58"/>
      <c r="AH307" s="58"/>
      <c r="AI307" s="58"/>
      <c r="AJ307" s="58"/>
      <c r="AK307" s="56" t="s">
        <v>1285</v>
      </c>
      <c r="AL307" s="56" t="s">
        <v>16665</v>
      </c>
      <c r="AM307" s="58"/>
      <c r="AN307" s="56" t="s">
        <v>15273</v>
      </c>
      <c r="AO307" s="58"/>
      <c r="AP307" s="63">
        <v>45848.7866435185</v>
      </c>
      <c r="AQ307" s="56" t="s">
        <v>16666</v>
      </c>
      <c r="AR307" s="61" t="s">
        <v>14645</v>
      </c>
      <c r="AS307" s="57" t="s">
        <v>14184</v>
      </c>
      <c r="AT307" s="56" t="s">
        <v>15177</v>
      </c>
      <c r="AU307" s="56" t="s">
        <v>16667</v>
      </c>
      <c r="AV307" s="58"/>
      <c r="AW307" s="64">
        <v>45792.5973032407</v>
      </c>
      <c r="AX307" s="56" t="s">
        <v>16665</v>
      </c>
      <c r="AY307" s="56" t="s">
        <v>15179</v>
      </c>
      <c r="AZ307" s="58"/>
      <c r="BA307" s="58"/>
      <c r="BB307" s="58"/>
      <c r="BC307" s="56" t="s">
        <v>2148</v>
      </c>
      <c r="BD307" s="56" t="s">
        <v>15197</v>
      </c>
      <c r="BE307" s="56" t="s">
        <v>15613</v>
      </c>
      <c r="BF307" s="56" t="s">
        <v>15181</v>
      </c>
      <c r="BG307" s="58"/>
      <c r="BH307" s="58"/>
      <c r="BI307" s="57" t="s">
        <v>2801</v>
      </c>
      <c r="BJ307" s="58"/>
      <c r="BK307" s="58"/>
      <c r="BL307" s="66">
        <v>3539599</v>
      </c>
      <c r="BM307" s="56" t="s">
        <v>16668</v>
      </c>
      <c r="BN307" s="58"/>
      <c r="BO307" s="67">
        <v>14.56</v>
      </c>
      <c r="BP307" s="56" t="s">
        <v>16395</v>
      </c>
      <c r="BQ307" s="58"/>
      <c r="BR307" s="56" t="s">
        <v>16669</v>
      </c>
      <c r="BS307" s="56" t="s">
        <v>1285</v>
      </c>
      <c r="BT307" s="58"/>
      <c r="BU307" s="56" t="s">
        <v>16666</v>
      </c>
      <c r="BV307" s="58"/>
      <c r="BW307" s="58"/>
      <c r="BX307" s="67">
        <v>14.56</v>
      </c>
      <c r="BY307" s="56" t="s">
        <v>1285</v>
      </c>
      <c r="BZ307" s="58"/>
      <c r="CA307" s="58"/>
      <c r="CB307" s="58"/>
      <c r="CC307" s="58"/>
      <c r="CD307" s="58"/>
    </row>
    <row r="308" ht="108" spans="1:82">
      <c r="A308" s="56" t="s">
        <v>16704</v>
      </c>
      <c r="B308" s="58"/>
      <c r="C308" s="57" t="s">
        <v>16662</v>
      </c>
      <c r="D308" s="58"/>
      <c r="E308" s="57" t="s">
        <v>15158</v>
      </c>
      <c r="F308" s="57" t="s">
        <v>16663</v>
      </c>
      <c r="G308" s="57" t="s">
        <v>15160</v>
      </c>
      <c r="H308" s="56" t="s">
        <v>2965</v>
      </c>
      <c r="I308" s="60">
        <v>13176.9</v>
      </c>
      <c r="J308" s="57" t="s">
        <v>1285</v>
      </c>
      <c r="K308" s="57" t="s">
        <v>15162</v>
      </c>
      <c r="L308" s="57" t="s">
        <v>15163</v>
      </c>
      <c r="M308" s="61" t="s">
        <v>14159</v>
      </c>
      <c r="N308" s="62" t="s">
        <v>15504</v>
      </c>
      <c r="O308" s="57" t="s">
        <v>15165</v>
      </c>
      <c r="P308" s="57" t="s">
        <v>15166</v>
      </c>
      <c r="Q308" s="57" t="s">
        <v>2965</v>
      </c>
      <c r="R308" s="57" t="s">
        <v>15606</v>
      </c>
      <c r="S308" s="57" t="s">
        <v>15607</v>
      </c>
      <c r="T308" s="57" t="s">
        <v>15190</v>
      </c>
      <c r="U308" s="57" t="s">
        <v>14184</v>
      </c>
      <c r="V308" s="56" t="s">
        <v>14153</v>
      </c>
      <c r="W308" s="58"/>
      <c r="X308" s="57" t="s">
        <v>16664</v>
      </c>
      <c r="Y308" s="57" t="s">
        <v>15170</v>
      </c>
      <c r="Z308" s="61" t="s">
        <v>16389</v>
      </c>
      <c r="AA308" s="61" t="s">
        <v>14159</v>
      </c>
      <c r="AB308" s="58"/>
      <c r="AC308" s="57" t="s">
        <v>16391</v>
      </c>
      <c r="AD308" s="58"/>
      <c r="AE308" s="58"/>
      <c r="AF308" s="58"/>
      <c r="AG308" s="58"/>
      <c r="AH308" s="58"/>
      <c r="AI308" s="58"/>
      <c r="AJ308" s="58"/>
      <c r="AK308" s="56" t="s">
        <v>1285</v>
      </c>
      <c r="AL308" s="56" t="s">
        <v>16665</v>
      </c>
      <c r="AM308" s="58"/>
      <c r="AN308" s="56" t="s">
        <v>15273</v>
      </c>
      <c r="AO308" s="58"/>
      <c r="AP308" s="63">
        <v>45848.7866435185</v>
      </c>
      <c r="AQ308" s="56" t="s">
        <v>16666</v>
      </c>
      <c r="AR308" s="61" t="s">
        <v>14645</v>
      </c>
      <c r="AS308" s="57" t="s">
        <v>14184</v>
      </c>
      <c r="AT308" s="56" t="s">
        <v>15177</v>
      </c>
      <c r="AU308" s="56" t="s">
        <v>16667</v>
      </c>
      <c r="AV308" s="58"/>
      <c r="AW308" s="64">
        <v>45792.5973032407</v>
      </c>
      <c r="AX308" s="56" t="s">
        <v>16665</v>
      </c>
      <c r="AY308" s="56" t="s">
        <v>15179</v>
      </c>
      <c r="AZ308" s="58"/>
      <c r="BA308" s="58"/>
      <c r="BB308" s="58"/>
      <c r="BC308" s="56" t="s">
        <v>1981</v>
      </c>
      <c r="BD308" s="56" t="s">
        <v>15197</v>
      </c>
      <c r="BE308" s="56" t="s">
        <v>15613</v>
      </c>
      <c r="BF308" s="56" t="s">
        <v>15181</v>
      </c>
      <c r="BG308" s="58"/>
      <c r="BH308" s="58"/>
      <c r="BI308" s="57" t="s">
        <v>2801</v>
      </c>
      <c r="BJ308" s="58"/>
      <c r="BK308" s="58"/>
      <c r="BL308" s="66">
        <v>3539588</v>
      </c>
      <c r="BM308" s="56" t="s">
        <v>16668</v>
      </c>
      <c r="BN308" s="58"/>
      <c r="BO308" s="67">
        <v>242.52</v>
      </c>
      <c r="BP308" s="56" t="s">
        <v>16395</v>
      </c>
      <c r="BQ308" s="58"/>
      <c r="BR308" s="56" t="s">
        <v>16669</v>
      </c>
      <c r="BS308" s="56" t="s">
        <v>1285</v>
      </c>
      <c r="BT308" s="58"/>
      <c r="BU308" s="56" t="s">
        <v>16666</v>
      </c>
      <c r="BV308" s="58"/>
      <c r="BW308" s="58"/>
      <c r="BX308" s="67">
        <v>242.52</v>
      </c>
      <c r="BY308" s="56" t="s">
        <v>1285</v>
      </c>
      <c r="BZ308" s="58"/>
      <c r="CA308" s="58"/>
      <c r="CB308" s="58"/>
      <c r="CC308" s="58"/>
      <c r="CD308" s="58"/>
    </row>
    <row r="309" ht="108" spans="1:82">
      <c r="A309" s="56" t="s">
        <v>16705</v>
      </c>
      <c r="B309" s="58"/>
      <c r="C309" s="57" t="s">
        <v>16662</v>
      </c>
      <c r="D309" s="58"/>
      <c r="E309" s="57" t="s">
        <v>15158</v>
      </c>
      <c r="F309" s="57" t="s">
        <v>16663</v>
      </c>
      <c r="G309" s="57" t="s">
        <v>15160</v>
      </c>
      <c r="H309" s="56" t="s">
        <v>2965</v>
      </c>
      <c r="I309" s="60">
        <v>13176.9</v>
      </c>
      <c r="J309" s="57" t="s">
        <v>1285</v>
      </c>
      <c r="K309" s="57" t="s">
        <v>15162</v>
      </c>
      <c r="L309" s="57" t="s">
        <v>15163</v>
      </c>
      <c r="M309" s="61" t="s">
        <v>14159</v>
      </c>
      <c r="N309" s="62" t="s">
        <v>15504</v>
      </c>
      <c r="O309" s="57" t="s">
        <v>15165</v>
      </c>
      <c r="P309" s="57" t="s">
        <v>15166</v>
      </c>
      <c r="Q309" s="57" t="s">
        <v>2965</v>
      </c>
      <c r="R309" s="57" t="s">
        <v>15606</v>
      </c>
      <c r="S309" s="57" t="s">
        <v>15607</v>
      </c>
      <c r="T309" s="57" t="s">
        <v>15190</v>
      </c>
      <c r="U309" s="57" t="s">
        <v>14184</v>
      </c>
      <c r="V309" s="56" t="s">
        <v>14153</v>
      </c>
      <c r="W309" s="58"/>
      <c r="X309" s="57" t="s">
        <v>16664</v>
      </c>
      <c r="Y309" s="57" t="s">
        <v>15170</v>
      </c>
      <c r="Z309" s="61" t="s">
        <v>16389</v>
      </c>
      <c r="AA309" s="61" t="s">
        <v>14159</v>
      </c>
      <c r="AB309" s="58"/>
      <c r="AC309" s="57" t="s">
        <v>16391</v>
      </c>
      <c r="AD309" s="58"/>
      <c r="AE309" s="58"/>
      <c r="AF309" s="58"/>
      <c r="AG309" s="58"/>
      <c r="AH309" s="58"/>
      <c r="AI309" s="58"/>
      <c r="AJ309" s="58"/>
      <c r="AK309" s="56" t="s">
        <v>1285</v>
      </c>
      <c r="AL309" s="56" t="s">
        <v>16665</v>
      </c>
      <c r="AM309" s="58"/>
      <c r="AN309" s="56" t="s">
        <v>15273</v>
      </c>
      <c r="AO309" s="58"/>
      <c r="AP309" s="63">
        <v>45848.7866435185</v>
      </c>
      <c r="AQ309" s="56" t="s">
        <v>16666</v>
      </c>
      <c r="AR309" s="61" t="s">
        <v>14645</v>
      </c>
      <c r="AS309" s="57" t="s">
        <v>14184</v>
      </c>
      <c r="AT309" s="56" t="s">
        <v>15177</v>
      </c>
      <c r="AU309" s="56" t="s">
        <v>16667</v>
      </c>
      <c r="AV309" s="58"/>
      <c r="AW309" s="64">
        <v>45792.5973032407</v>
      </c>
      <c r="AX309" s="56" t="s">
        <v>16665</v>
      </c>
      <c r="AY309" s="56" t="s">
        <v>15179</v>
      </c>
      <c r="AZ309" s="58"/>
      <c r="BA309" s="58"/>
      <c r="BB309" s="58"/>
      <c r="BC309" s="56" t="s">
        <v>2148</v>
      </c>
      <c r="BD309" s="56" t="s">
        <v>15197</v>
      </c>
      <c r="BE309" s="56" t="s">
        <v>15613</v>
      </c>
      <c r="BF309" s="56" t="s">
        <v>15181</v>
      </c>
      <c r="BG309" s="58"/>
      <c r="BH309" s="58"/>
      <c r="BI309" s="57" t="s">
        <v>2801</v>
      </c>
      <c r="BJ309" s="58"/>
      <c r="BK309" s="58"/>
      <c r="BL309" s="66">
        <v>3539564</v>
      </c>
      <c r="BM309" s="56" t="s">
        <v>16668</v>
      </c>
      <c r="BN309" s="58"/>
      <c r="BO309" s="67">
        <v>148.2</v>
      </c>
      <c r="BP309" s="56" t="s">
        <v>16395</v>
      </c>
      <c r="BQ309" s="58"/>
      <c r="BR309" s="56" t="s">
        <v>16669</v>
      </c>
      <c r="BS309" s="56" t="s">
        <v>1285</v>
      </c>
      <c r="BT309" s="58"/>
      <c r="BU309" s="56" t="s">
        <v>16666</v>
      </c>
      <c r="BV309" s="58"/>
      <c r="BW309" s="58"/>
      <c r="BX309" s="67">
        <v>148.2</v>
      </c>
      <c r="BY309" s="56" t="s">
        <v>1285</v>
      </c>
      <c r="BZ309" s="58"/>
      <c r="CA309" s="58"/>
      <c r="CB309" s="58"/>
      <c r="CC309" s="58"/>
      <c r="CD309" s="58"/>
    </row>
    <row r="310" ht="108" spans="1:82">
      <c r="A310" s="56" t="s">
        <v>16706</v>
      </c>
      <c r="B310" s="58"/>
      <c r="C310" s="57" t="s">
        <v>16662</v>
      </c>
      <c r="D310" s="58"/>
      <c r="E310" s="57" t="s">
        <v>15158</v>
      </c>
      <c r="F310" s="57" t="s">
        <v>16663</v>
      </c>
      <c r="G310" s="57" t="s">
        <v>15160</v>
      </c>
      <c r="H310" s="56" t="s">
        <v>2965</v>
      </c>
      <c r="I310" s="60">
        <v>13176.9</v>
      </c>
      <c r="J310" s="57" t="s">
        <v>1285</v>
      </c>
      <c r="K310" s="57" t="s">
        <v>15162</v>
      </c>
      <c r="L310" s="57" t="s">
        <v>15163</v>
      </c>
      <c r="M310" s="61" t="s">
        <v>14159</v>
      </c>
      <c r="N310" s="62" t="s">
        <v>15504</v>
      </c>
      <c r="O310" s="57" t="s">
        <v>15165</v>
      </c>
      <c r="P310" s="57" t="s">
        <v>15166</v>
      </c>
      <c r="Q310" s="57" t="s">
        <v>2965</v>
      </c>
      <c r="R310" s="57" t="s">
        <v>15606</v>
      </c>
      <c r="S310" s="57" t="s">
        <v>15607</v>
      </c>
      <c r="T310" s="57" t="s">
        <v>15190</v>
      </c>
      <c r="U310" s="57" t="s">
        <v>14184</v>
      </c>
      <c r="V310" s="56" t="s">
        <v>14153</v>
      </c>
      <c r="W310" s="58"/>
      <c r="X310" s="57" t="s">
        <v>16664</v>
      </c>
      <c r="Y310" s="57" t="s">
        <v>15170</v>
      </c>
      <c r="Z310" s="61" t="s">
        <v>16389</v>
      </c>
      <c r="AA310" s="61" t="s">
        <v>14159</v>
      </c>
      <c r="AB310" s="58"/>
      <c r="AC310" s="57" t="s">
        <v>16391</v>
      </c>
      <c r="AD310" s="58"/>
      <c r="AE310" s="58"/>
      <c r="AF310" s="58"/>
      <c r="AG310" s="58"/>
      <c r="AH310" s="58"/>
      <c r="AI310" s="58"/>
      <c r="AJ310" s="58"/>
      <c r="AK310" s="56" t="s">
        <v>1285</v>
      </c>
      <c r="AL310" s="56" t="s">
        <v>16665</v>
      </c>
      <c r="AM310" s="58"/>
      <c r="AN310" s="56" t="s">
        <v>15273</v>
      </c>
      <c r="AO310" s="58"/>
      <c r="AP310" s="63">
        <v>45848.7866435185</v>
      </c>
      <c r="AQ310" s="56" t="s">
        <v>16666</v>
      </c>
      <c r="AR310" s="61" t="s">
        <v>14645</v>
      </c>
      <c r="AS310" s="57" t="s">
        <v>14184</v>
      </c>
      <c r="AT310" s="56" t="s">
        <v>15177</v>
      </c>
      <c r="AU310" s="56" t="s">
        <v>16667</v>
      </c>
      <c r="AV310" s="58"/>
      <c r="AW310" s="64">
        <v>45792.5973032407</v>
      </c>
      <c r="AX310" s="56" t="s">
        <v>16665</v>
      </c>
      <c r="AY310" s="56" t="s">
        <v>15179</v>
      </c>
      <c r="AZ310" s="58"/>
      <c r="BA310" s="58"/>
      <c r="BB310" s="58"/>
      <c r="BC310" s="56" t="s">
        <v>15619</v>
      </c>
      <c r="BD310" s="56" t="s">
        <v>15197</v>
      </c>
      <c r="BE310" s="56" t="s">
        <v>15613</v>
      </c>
      <c r="BF310" s="56" t="s">
        <v>15181</v>
      </c>
      <c r="BG310" s="58"/>
      <c r="BH310" s="58"/>
      <c r="BI310" s="57" t="s">
        <v>2801</v>
      </c>
      <c r="BJ310" s="58"/>
      <c r="BK310" s="58"/>
      <c r="BL310" s="66">
        <v>3539560</v>
      </c>
      <c r="BM310" s="56" t="s">
        <v>16668</v>
      </c>
      <c r="BN310" s="58"/>
      <c r="BO310" s="67">
        <v>69.96</v>
      </c>
      <c r="BP310" s="56" t="s">
        <v>16395</v>
      </c>
      <c r="BQ310" s="58"/>
      <c r="BR310" s="56" t="s">
        <v>16669</v>
      </c>
      <c r="BS310" s="56" t="s">
        <v>1285</v>
      </c>
      <c r="BT310" s="58"/>
      <c r="BU310" s="56" t="s">
        <v>16666</v>
      </c>
      <c r="BV310" s="58"/>
      <c r="BW310" s="58"/>
      <c r="BX310" s="67">
        <v>69.96</v>
      </c>
      <c r="BY310" s="56" t="s">
        <v>1285</v>
      </c>
      <c r="BZ310" s="58"/>
      <c r="CA310" s="58"/>
      <c r="CB310" s="58"/>
      <c r="CC310" s="58"/>
      <c r="CD310" s="58"/>
    </row>
    <row r="311" ht="108" spans="1:82">
      <c r="A311" s="56" t="s">
        <v>16707</v>
      </c>
      <c r="B311" s="58"/>
      <c r="C311" s="57" t="s">
        <v>16662</v>
      </c>
      <c r="D311" s="58"/>
      <c r="E311" s="57" t="s">
        <v>15158</v>
      </c>
      <c r="F311" s="57" t="s">
        <v>16663</v>
      </c>
      <c r="G311" s="57" t="s">
        <v>15160</v>
      </c>
      <c r="H311" s="56" t="s">
        <v>2965</v>
      </c>
      <c r="I311" s="60">
        <v>13176.9</v>
      </c>
      <c r="J311" s="57" t="s">
        <v>1285</v>
      </c>
      <c r="K311" s="57" t="s">
        <v>15162</v>
      </c>
      <c r="L311" s="57" t="s">
        <v>15163</v>
      </c>
      <c r="M311" s="61" t="s">
        <v>14159</v>
      </c>
      <c r="N311" s="62" t="s">
        <v>15504</v>
      </c>
      <c r="O311" s="57" t="s">
        <v>15165</v>
      </c>
      <c r="P311" s="57" t="s">
        <v>15166</v>
      </c>
      <c r="Q311" s="57" t="s">
        <v>2965</v>
      </c>
      <c r="R311" s="57" t="s">
        <v>15606</v>
      </c>
      <c r="S311" s="57" t="s">
        <v>15607</v>
      </c>
      <c r="T311" s="57" t="s">
        <v>15190</v>
      </c>
      <c r="U311" s="57" t="s">
        <v>14184</v>
      </c>
      <c r="V311" s="56" t="s">
        <v>14153</v>
      </c>
      <c r="W311" s="58"/>
      <c r="X311" s="57" t="s">
        <v>16664</v>
      </c>
      <c r="Y311" s="57" t="s">
        <v>15170</v>
      </c>
      <c r="Z311" s="61" t="s">
        <v>16389</v>
      </c>
      <c r="AA311" s="61" t="s">
        <v>14159</v>
      </c>
      <c r="AB311" s="58"/>
      <c r="AC311" s="57" t="s">
        <v>16391</v>
      </c>
      <c r="AD311" s="58"/>
      <c r="AE311" s="58"/>
      <c r="AF311" s="58"/>
      <c r="AG311" s="58"/>
      <c r="AH311" s="58"/>
      <c r="AI311" s="58"/>
      <c r="AJ311" s="58"/>
      <c r="AK311" s="56" t="s">
        <v>1285</v>
      </c>
      <c r="AL311" s="56" t="s">
        <v>16665</v>
      </c>
      <c r="AM311" s="58"/>
      <c r="AN311" s="56" t="s">
        <v>15273</v>
      </c>
      <c r="AO311" s="58"/>
      <c r="AP311" s="63">
        <v>45848.7866435185</v>
      </c>
      <c r="AQ311" s="56" t="s">
        <v>16666</v>
      </c>
      <c r="AR311" s="61" t="s">
        <v>14645</v>
      </c>
      <c r="AS311" s="57" t="s">
        <v>14184</v>
      </c>
      <c r="AT311" s="56" t="s">
        <v>15177</v>
      </c>
      <c r="AU311" s="56" t="s">
        <v>16667</v>
      </c>
      <c r="AV311" s="58"/>
      <c r="AW311" s="64">
        <v>45792.5973032407</v>
      </c>
      <c r="AX311" s="56" t="s">
        <v>16665</v>
      </c>
      <c r="AY311" s="56" t="s">
        <v>15179</v>
      </c>
      <c r="AZ311" s="58"/>
      <c r="BA311" s="58"/>
      <c r="BB311" s="58"/>
      <c r="BC311" s="56" t="s">
        <v>15637</v>
      </c>
      <c r="BD311" s="56" t="s">
        <v>15197</v>
      </c>
      <c r="BE311" s="56" t="s">
        <v>15613</v>
      </c>
      <c r="BF311" s="56" t="s">
        <v>15181</v>
      </c>
      <c r="BG311" s="58"/>
      <c r="BH311" s="58"/>
      <c r="BI311" s="57" t="s">
        <v>2801</v>
      </c>
      <c r="BJ311" s="58"/>
      <c r="BK311" s="58"/>
      <c r="BL311" s="66">
        <v>3539552</v>
      </c>
      <c r="BM311" s="56" t="s">
        <v>16668</v>
      </c>
      <c r="BN311" s="58"/>
      <c r="BO311" s="67">
        <v>82.62</v>
      </c>
      <c r="BP311" s="56" t="s">
        <v>16395</v>
      </c>
      <c r="BQ311" s="58"/>
      <c r="BR311" s="56" t="s">
        <v>16669</v>
      </c>
      <c r="BS311" s="56" t="s">
        <v>1285</v>
      </c>
      <c r="BT311" s="58"/>
      <c r="BU311" s="56" t="s">
        <v>16666</v>
      </c>
      <c r="BV311" s="58"/>
      <c r="BW311" s="58"/>
      <c r="BX311" s="67">
        <v>82.62</v>
      </c>
      <c r="BY311" s="56" t="s">
        <v>1285</v>
      </c>
      <c r="BZ311" s="58"/>
      <c r="CA311" s="58"/>
      <c r="CB311" s="58"/>
      <c r="CC311" s="58"/>
      <c r="CD311" s="58"/>
    </row>
    <row r="312" ht="108" spans="1:82">
      <c r="A312" s="56" t="s">
        <v>16708</v>
      </c>
      <c r="B312" s="58"/>
      <c r="C312" s="57" t="s">
        <v>16662</v>
      </c>
      <c r="D312" s="58"/>
      <c r="E312" s="57" t="s">
        <v>15158</v>
      </c>
      <c r="F312" s="57" t="s">
        <v>16663</v>
      </c>
      <c r="G312" s="57" t="s">
        <v>15160</v>
      </c>
      <c r="H312" s="56" t="s">
        <v>2965</v>
      </c>
      <c r="I312" s="60">
        <v>13176.9</v>
      </c>
      <c r="J312" s="57" t="s">
        <v>1285</v>
      </c>
      <c r="K312" s="57" t="s">
        <v>15162</v>
      </c>
      <c r="L312" s="57" t="s">
        <v>15163</v>
      </c>
      <c r="M312" s="61" t="s">
        <v>14159</v>
      </c>
      <c r="N312" s="62" t="s">
        <v>15504</v>
      </c>
      <c r="O312" s="57" t="s">
        <v>15165</v>
      </c>
      <c r="P312" s="57" t="s">
        <v>15166</v>
      </c>
      <c r="Q312" s="57" t="s">
        <v>2965</v>
      </c>
      <c r="R312" s="57" t="s">
        <v>15606</v>
      </c>
      <c r="S312" s="57" t="s">
        <v>15607</v>
      </c>
      <c r="T312" s="57" t="s">
        <v>15190</v>
      </c>
      <c r="U312" s="57" t="s">
        <v>14184</v>
      </c>
      <c r="V312" s="56" t="s">
        <v>14153</v>
      </c>
      <c r="W312" s="58"/>
      <c r="X312" s="57" t="s">
        <v>16664</v>
      </c>
      <c r="Y312" s="57" t="s">
        <v>15170</v>
      </c>
      <c r="Z312" s="61" t="s">
        <v>16389</v>
      </c>
      <c r="AA312" s="61" t="s">
        <v>14159</v>
      </c>
      <c r="AB312" s="58"/>
      <c r="AC312" s="57" t="s">
        <v>16391</v>
      </c>
      <c r="AD312" s="58"/>
      <c r="AE312" s="58"/>
      <c r="AF312" s="58"/>
      <c r="AG312" s="58"/>
      <c r="AH312" s="58"/>
      <c r="AI312" s="58"/>
      <c r="AJ312" s="58"/>
      <c r="AK312" s="56" t="s">
        <v>1285</v>
      </c>
      <c r="AL312" s="56" t="s">
        <v>16665</v>
      </c>
      <c r="AM312" s="58"/>
      <c r="AN312" s="56" t="s">
        <v>15273</v>
      </c>
      <c r="AO312" s="58"/>
      <c r="AP312" s="63">
        <v>45848.7866435185</v>
      </c>
      <c r="AQ312" s="56" t="s">
        <v>16666</v>
      </c>
      <c r="AR312" s="61" t="s">
        <v>14645</v>
      </c>
      <c r="AS312" s="57" t="s">
        <v>14184</v>
      </c>
      <c r="AT312" s="56" t="s">
        <v>15177</v>
      </c>
      <c r="AU312" s="56" t="s">
        <v>16667</v>
      </c>
      <c r="AV312" s="58"/>
      <c r="AW312" s="64">
        <v>45792.5973032407</v>
      </c>
      <c r="AX312" s="56" t="s">
        <v>16665</v>
      </c>
      <c r="AY312" s="56" t="s">
        <v>15179</v>
      </c>
      <c r="AZ312" s="58"/>
      <c r="BA312" s="58"/>
      <c r="BB312" s="58"/>
      <c r="BC312" s="56" t="s">
        <v>1981</v>
      </c>
      <c r="BD312" s="56" t="s">
        <v>15197</v>
      </c>
      <c r="BE312" s="56" t="s">
        <v>15613</v>
      </c>
      <c r="BF312" s="56" t="s">
        <v>15181</v>
      </c>
      <c r="BG312" s="58"/>
      <c r="BH312" s="58"/>
      <c r="BI312" s="57" t="s">
        <v>2801</v>
      </c>
      <c r="BJ312" s="58"/>
      <c r="BK312" s="58"/>
      <c r="BL312" s="66">
        <v>3539561</v>
      </c>
      <c r="BM312" s="56" t="s">
        <v>16668</v>
      </c>
      <c r="BN312" s="58"/>
      <c r="BO312" s="67">
        <v>65</v>
      </c>
      <c r="BP312" s="56" t="s">
        <v>16395</v>
      </c>
      <c r="BQ312" s="58"/>
      <c r="BR312" s="56" t="s">
        <v>16669</v>
      </c>
      <c r="BS312" s="56" t="s">
        <v>1285</v>
      </c>
      <c r="BT312" s="58"/>
      <c r="BU312" s="56" t="s">
        <v>16666</v>
      </c>
      <c r="BV312" s="58"/>
      <c r="BW312" s="58"/>
      <c r="BX312" s="67">
        <v>65</v>
      </c>
      <c r="BY312" s="56" t="s">
        <v>1285</v>
      </c>
      <c r="BZ312" s="58"/>
      <c r="CA312" s="58"/>
      <c r="CB312" s="58"/>
      <c r="CC312" s="58"/>
      <c r="CD312" s="58"/>
    </row>
    <row r="313" ht="108" spans="1:82">
      <c r="A313" s="56" t="s">
        <v>16709</v>
      </c>
      <c r="B313" s="58"/>
      <c r="C313" s="57" t="s">
        <v>16662</v>
      </c>
      <c r="D313" s="58"/>
      <c r="E313" s="57" t="s">
        <v>15158</v>
      </c>
      <c r="F313" s="57" t="s">
        <v>16663</v>
      </c>
      <c r="G313" s="57" t="s">
        <v>15160</v>
      </c>
      <c r="H313" s="56" t="s">
        <v>2965</v>
      </c>
      <c r="I313" s="60">
        <v>13176.9</v>
      </c>
      <c r="J313" s="57" t="s">
        <v>1285</v>
      </c>
      <c r="K313" s="57" t="s">
        <v>15162</v>
      </c>
      <c r="L313" s="57" t="s">
        <v>15163</v>
      </c>
      <c r="M313" s="61" t="s">
        <v>14159</v>
      </c>
      <c r="N313" s="62" t="s">
        <v>15504</v>
      </c>
      <c r="O313" s="57" t="s">
        <v>15165</v>
      </c>
      <c r="P313" s="57" t="s">
        <v>15166</v>
      </c>
      <c r="Q313" s="57" t="s">
        <v>2965</v>
      </c>
      <c r="R313" s="57" t="s">
        <v>15606</v>
      </c>
      <c r="S313" s="57" t="s">
        <v>15607</v>
      </c>
      <c r="T313" s="57" t="s">
        <v>15190</v>
      </c>
      <c r="U313" s="57" t="s">
        <v>14184</v>
      </c>
      <c r="V313" s="56" t="s">
        <v>14153</v>
      </c>
      <c r="W313" s="58"/>
      <c r="X313" s="57" t="s">
        <v>16664</v>
      </c>
      <c r="Y313" s="57" t="s">
        <v>15170</v>
      </c>
      <c r="Z313" s="61" t="s">
        <v>16389</v>
      </c>
      <c r="AA313" s="61" t="s">
        <v>14159</v>
      </c>
      <c r="AB313" s="58"/>
      <c r="AC313" s="57" t="s">
        <v>16391</v>
      </c>
      <c r="AD313" s="58"/>
      <c r="AE313" s="58"/>
      <c r="AF313" s="58"/>
      <c r="AG313" s="58"/>
      <c r="AH313" s="58"/>
      <c r="AI313" s="58"/>
      <c r="AJ313" s="58"/>
      <c r="AK313" s="56" t="s">
        <v>1285</v>
      </c>
      <c r="AL313" s="56" t="s">
        <v>16665</v>
      </c>
      <c r="AM313" s="58"/>
      <c r="AN313" s="56" t="s">
        <v>15273</v>
      </c>
      <c r="AO313" s="58"/>
      <c r="AP313" s="63">
        <v>45848.7866435185</v>
      </c>
      <c r="AQ313" s="56" t="s">
        <v>16666</v>
      </c>
      <c r="AR313" s="61" t="s">
        <v>14645</v>
      </c>
      <c r="AS313" s="57" t="s">
        <v>14184</v>
      </c>
      <c r="AT313" s="56" t="s">
        <v>15177</v>
      </c>
      <c r="AU313" s="56" t="s">
        <v>16667</v>
      </c>
      <c r="AV313" s="58"/>
      <c r="AW313" s="64">
        <v>45792.5973032407</v>
      </c>
      <c r="AX313" s="56" t="s">
        <v>16665</v>
      </c>
      <c r="AY313" s="56" t="s">
        <v>15179</v>
      </c>
      <c r="AZ313" s="58"/>
      <c r="BA313" s="58"/>
      <c r="BB313" s="58"/>
      <c r="BC313" s="56" t="s">
        <v>2136</v>
      </c>
      <c r="BD313" s="56" t="s">
        <v>15197</v>
      </c>
      <c r="BE313" s="56" t="s">
        <v>15613</v>
      </c>
      <c r="BF313" s="56" t="s">
        <v>15181</v>
      </c>
      <c r="BG313" s="58"/>
      <c r="BH313" s="58"/>
      <c r="BI313" s="57" t="s">
        <v>2801</v>
      </c>
      <c r="BJ313" s="58"/>
      <c r="BK313" s="58"/>
      <c r="BL313" s="66">
        <v>3539575</v>
      </c>
      <c r="BM313" s="56" t="s">
        <v>16668</v>
      </c>
      <c r="BN313" s="58"/>
      <c r="BO313" s="67">
        <v>16.28</v>
      </c>
      <c r="BP313" s="56" t="s">
        <v>16395</v>
      </c>
      <c r="BQ313" s="58"/>
      <c r="BR313" s="56" t="s">
        <v>16669</v>
      </c>
      <c r="BS313" s="56" t="s">
        <v>1285</v>
      </c>
      <c r="BT313" s="58"/>
      <c r="BU313" s="56" t="s">
        <v>16666</v>
      </c>
      <c r="BV313" s="58"/>
      <c r="BW313" s="58"/>
      <c r="BX313" s="67">
        <v>16.28</v>
      </c>
      <c r="BY313" s="56" t="s">
        <v>1285</v>
      </c>
      <c r="BZ313" s="58"/>
      <c r="CA313" s="58"/>
      <c r="CB313" s="58"/>
      <c r="CC313" s="58"/>
      <c r="CD313" s="58"/>
    </row>
    <row r="314" ht="108" spans="1:82">
      <c r="A314" s="56" t="s">
        <v>16710</v>
      </c>
      <c r="B314" s="58"/>
      <c r="C314" s="57" t="s">
        <v>16662</v>
      </c>
      <c r="D314" s="58"/>
      <c r="E314" s="57" t="s">
        <v>15158</v>
      </c>
      <c r="F314" s="57" t="s">
        <v>16663</v>
      </c>
      <c r="G314" s="57" t="s">
        <v>15160</v>
      </c>
      <c r="H314" s="56" t="s">
        <v>2965</v>
      </c>
      <c r="I314" s="60">
        <v>13176.9</v>
      </c>
      <c r="J314" s="57" t="s">
        <v>1285</v>
      </c>
      <c r="K314" s="57" t="s">
        <v>15162</v>
      </c>
      <c r="L314" s="57" t="s">
        <v>15163</v>
      </c>
      <c r="M314" s="61" t="s">
        <v>14159</v>
      </c>
      <c r="N314" s="62" t="s">
        <v>15504</v>
      </c>
      <c r="O314" s="57" t="s">
        <v>15165</v>
      </c>
      <c r="P314" s="57" t="s">
        <v>15166</v>
      </c>
      <c r="Q314" s="57" t="s">
        <v>2965</v>
      </c>
      <c r="R314" s="57" t="s">
        <v>15606</v>
      </c>
      <c r="S314" s="57" t="s">
        <v>15607</v>
      </c>
      <c r="T314" s="57" t="s">
        <v>15190</v>
      </c>
      <c r="U314" s="57" t="s">
        <v>14184</v>
      </c>
      <c r="V314" s="56" t="s">
        <v>14153</v>
      </c>
      <c r="W314" s="58"/>
      <c r="X314" s="57" t="s">
        <v>16664</v>
      </c>
      <c r="Y314" s="57" t="s">
        <v>15170</v>
      </c>
      <c r="Z314" s="61" t="s">
        <v>16389</v>
      </c>
      <c r="AA314" s="61" t="s">
        <v>14159</v>
      </c>
      <c r="AB314" s="58"/>
      <c r="AC314" s="57" t="s">
        <v>16391</v>
      </c>
      <c r="AD314" s="58"/>
      <c r="AE314" s="58"/>
      <c r="AF314" s="58"/>
      <c r="AG314" s="58"/>
      <c r="AH314" s="58"/>
      <c r="AI314" s="58"/>
      <c r="AJ314" s="58"/>
      <c r="AK314" s="56" t="s">
        <v>1285</v>
      </c>
      <c r="AL314" s="56" t="s">
        <v>16665</v>
      </c>
      <c r="AM314" s="58"/>
      <c r="AN314" s="56" t="s">
        <v>15273</v>
      </c>
      <c r="AO314" s="58"/>
      <c r="AP314" s="63">
        <v>45848.7866435185</v>
      </c>
      <c r="AQ314" s="56" t="s">
        <v>16666</v>
      </c>
      <c r="AR314" s="61" t="s">
        <v>14645</v>
      </c>
      <c r="AS314" s="57" t="s">
        <v>14184</v>
      </c>
      <c r="AT314" s="56" t="s">
        <v>15177</v>
      </c>
      <c r="AU314" s="56" t="s">
        <v>16667</v>
      </c>
      <c r="AV314" s="58"/>
      <c r="AW314" s="64">
        <v>45792.5973032407</v>
      </c>
      <c r="AX314" s="56" t="s">
        <v>16665</v>
      </c>
      <c r="AY314" s="56" t="s">
        <v>15179</v>
      </c>
      <c r="AZ314" s="58"/>
      <c r="BA314" s="58"/>
      <c r="BB314" s="58"/>
      <c r="BC314" s="56" t="s">
        <v>2136</v>
      </c>
      <c r="BD314" s="56" t="s">
        <v>15197</v>
      </c>
      <c r="BE314" s="56" t="s">
        <v>15613</v>
      </c>
      <c r="BF314" s="56" t="s">
        <v>15181</v>
      </c>
      <c r="BG314" s="58"/>
      <c r="BH314" s="58"/>
      <c r="BI314" s="57" t="s">
        <v>2801</v>
      </c>
      <c r="BJ314" s="58"/>
      <c r="BK314" s="58"/>
      <c r="BL314" s="66">
        <v>3539576</v>
      </c>
      <c r="BM314" s="56" t="s">
        <v>16668</v>
      </c>
      <c r="BN314" s="58"/>
      <c r="BO314" s="67">
        <v>37.1</v>
      </c>
      <c r="BP314" s="56" t="s">
        <v>16395</v>
      </c>
      <c r="BQ314" s="58"/>
      <c r="BR314" s="56" t="s">
        <v>16669</v>
      </c>
      <c r="BS314" s="56" t="s">
        <v>1285</v>
      </c>
      <c r="BT314" s="58"/>
      <c r="BU314" s="56" t="s">
        <v>16666</v>
      </c>
      <c r="BV314" s="58"/>
      <c r="BW314" s="58"/>
      <c r="BX314" s="67">
        <v>37.1</v>
      </c>
      <c r="BY314" s="56" t="s">
        <v>1285</v>
      </c>
      <c r="BZ314" s="58"/>
      <c r="CA314" s="58"/>
      <c r="CB314" s="58"/>
      <c r="CC314" s="58"/>
      <c r="CD314" s="58"/>
    </row>
    <row r="315" ht="108" spans="1:82">
      <c r="A315" s="56" t="s">
        <v>16711</v>
      </c>
      <c r="B315" s="58"/>
      <c r="C315" s="57" t="s">
        <v>16662</v>
      </c>
      <c r="D315" s="58"/>
      <c r="E315" s="57" t="s">
        <v>15158</v>
      </c>
      <c r="F315" s="57" t="s">
        <v>16663</v>
      </c>
      <c r="G315" s="57" t="s">
        <v>15160</v>
      </c>
      <c r="H315" s="56" t="s">
        <v>2965</v>
      </c>
      <c r="I315" s="60">
        <v>13176.9</v>
      </c>
      <c r="J315" s="57" t="s">
        <v>1285</v>
      </c>
      <c r="K315" s="57" t="s">
        <v>15162</v>
      </c>
      <c r="L315" s="57" t="s">
        <v>15163</v>
      </c>
      <c r="M315" s="61" t="s">
        <v>14159</v>
      </c>
      <c r="N315" s="62" t="s">
        <v>15504</v>
      </c>
      <c r="O315" s="57" t="s">
        <v>15165</v>
      </c>
      <c r="P315" s="57" t="s">
        <v>15166</v>
      </c>
      <c r="Q315" s="57" t="s">
        <v>2965</v>
      </c>
      <c r="R315" s="57" t="s">
        <v>15606</v>
      </c>
      <c r="S315" s="57" t="s">
        <v>15607</v>
      </c>
      <c r="T315" s="57" t="s">
        <v>15190</v>
      </c>
      <c r="U315" s="57" t="s">
        <v>14184</v>
      </c>
      <c r="V315" s="56" t="s">
        <v>14153</v>
      </c>
      <c r="W315" s="58"/>
      <c r="X315" s="57" t="s">
        <v>16664</v>
      </c>
      <c r="Y315" s="57" t="s">
        <v>15170</v>
      </c>
      <c r="Z315" s="61" t="s">
        <v>16389</v>
      </c>
      <c r="AA315" s="61" t="s">
        <v>14159</v>
      </c>
      <c r="AB315" s="58"/>
      <c r="AC315" s="57" t="s">
        <v>16391</v>
      </c>
      <c r="AD315" s="58"/>
      <c r="AE315" s="58"/>
      <c r="AF315" s="58"/>
      <c r="AG315" s="58"/>
      <c r="AH315" s="58"/>
      <c r="AI315" s="58"/>
      <c r="AJ315" s="58"/>
      <c r="AK315" s="56" t="s">
        <v>1285</v>
      </c>
      <c r="AL315" s="56" t="s">
        <v>16665</v>
      </c>
      <c r="AM315" s="58"/>
      <c r="AN315" s="56" t="s">
        <v>15273</v>
      </c>
      <c r="AO315" s="58"/>
      <c r="AP315" s="63">
        <v>45848.7866435185</v>
      </c>
      <c r="AQ315" s="56" t="s">
        <v>16666</v>
      </c>
      <c r="AR315" s="61" t="s">
        <v>14645</v>
      </c>
      <c r="AS315" s="57" t="s">
        <v>14184</v>
      </c>
      <c r="AT315" s="56" t="s">
        <v>15177</v>
      </c>
      <c r="AU315" s="56" t="s">
        <v>16667</v>
      </c>
      <c r="AV315" s="58"/>
      <c r="AW315" s="64">
        <v>45792.5973032407</v>
      </c>
      <c r="AX315" s="56" t="s">
        <v>16665</v>
      </c>
      <c r="AY315" s="56" t="s">
        <v>15179</v>
      </c>
      <c r="AZ315" s="58"/>
      <c r="BA315" s="58"/>
      <c r="BB315" s="58"/>
      <c r="BC315" s="56" t="s">
        <v>15637</v>
      </c>
      <c r="BD315" s="56" t="s">
        <v>15197</v>
      </c>
      <c r="BE315" s="56" t="s">
        <v>15613</v>
      </c>
      <c r="BF315" s="56" t="s">
        <v>15181</v>
      </c>
      <c r="BG315" s="58"/>
      <c r="BH315" s="58"/>
      <c r="BI315" s="57" t="s">
        <v>2801</v>
      </c>
      <c r="BJ315" s="58"/>
      <c r="BK315" s="58"/>
      <c r="BL315" s="66">
        <v>3539598</v>
      </c>
      <c r="BM315" s="56" t="s">
        <v>16668</v>
      </c>
      <c r="BN315" s="58"/>
      <c r="BO315" s="67">
        <v>513.56</v>
      </c>
      <c r="BP315" s="56" t="s">
        <v>16395</v>
      </c>
      <c r="BQ315" s="58"/>
      <c r="BR315" s="56" t="s">
        <v>16669</v>
      </c>
      <c r="BS315" s="56" t="s">
        <v>1285</v>
      </c>
      <c r="BT315" s="58"/>
      <c r="BU315" s="56" t="s">
        <v>16666</v>
      </c>
      <c r="BV315" s="58"/>
      <c r="BW315" s="58"/>
      <c r="BX315" s="67">
        <v>513.56</v>
      </c>
      <c r="BY315" s="56" t="s">
        <v>1285</v>
      </c>
      <c r="BZ315" s="58"/>
      <c r="CA315" s="58"/>
      <c r="CB315" s="58"/>
      <c r="CC315" s="58"/>
      <c r="CD315" s="58"/>
    </row>
    <row r="316" ht="108" spans="1:82">
      <c r="A316" s="56" t="s">
        <v>16712</v>
      </c>
      <c r="B316" s="58"/>
      <c r="C316" s="57" t="s">
        <v>16662</v>
      </c>
      <c r="D316" s="58"/>
      <c r="E316" s="57" t="s">
        <v>15158</v>
      </c>
      <c r="F316" s="57" t="s">
        <v>16663</v>
      </c>
      <c r="G316" s="57" t="s">
        <v>15160</v>
      </c>
      <c r="H316" s="56" t="s">
        <v>2965</v>
      </c>
      <c r="I316" s="60">
        <v>13176.9</v>
      </c>
      <c r="J316" s="57" t="s">
        <v>1285</v>
      </c>
      <c r="K316" s="57" t="s">
        <v>15162</v>
      </c>
      <c r="L316" s="57" t="s">
        <v>15163</v>
      </c>
      <c r="M316" s="61" t="s">
        <v>14159</v>
      </c>
      <c r="N316" s="62" t="s">
        <v>15504</v>
      </c>
      <c r="O316" s="57" t="s">
        <v>15165</v>
      </c>
      <c r="P316" s="57" t="s">
        <v>15166</v>
      </c>
      <c r="Q316" s="57" t="s">
        <v>2965</v>
      </c>
      <c r="R316" s="57" t="s">
        <v>15606</v>
      </c>
      <c r="S316" s="57" t="s">
        <v>15607</v>
      </c>
      <c r="T316" s="57" t="s">
        <v>15190</v>
      </c>
      <c r="U316" s="57" t="s">
        <v>14184</v>
      </c>
      <c r="V316" s="56" t="s">
        <v>14153</v>
      </c>
      <c r="W316" s="58"/>
      <c r="X316" s="57" t="s">
        <v>16664</v>
      </c>
      <c r="Y316" s="57" t="s">
        <v>15170</v>
      </c>
      <c r="Z316" s="61" t="s">
        <v>16389</v>
      </c>
      <c r="AA316" s="61" t="s">
        <v>14159</v>
      </c>
      <c r="AB316" s="58"/>
      <c r="AC316" s="57" t="s">
        <v>16391</v>
      </c>
      <c r="AD316" s="58"/>
      <c r="AE316" s="58"/>
      <c r="AF316" s="58"/>
      <c r="AG316" s="58"/>
      <c r="AH316" s="58"/>
      <c r="AI316" s="58"/>
      <c r="AJ316" s="58"/>
      <c r="AK316" s="56" t="s">
        <v>1285</v>
      </c>
      <c r="AL316" s="56" t="s">
        <v>16665</v>
      </c>
      <c r="AM316" s="58"/>
      <c r="AN316" s="56" t="s">
        <v>15273</v>
      </c>
      <c r="AO316" s="58"/>
      <c r="AP316" s="63">
        <v>45848.7866435185</v>
      </c>
      <c r="AQ316" s="56" t="s">
        <v>16666</v>
      </c>
      <c r="AR316" s="61" t="s">
        <v>14645</v>
      </c>
      <c r="AS316" s="57" t="s">
        <v>14184</v>
      </c>
      <c r="AT316" s="56" t="s">
        <v>15177</v>
      </c>
      <c r="AU316" s="56" t="s">
        <v>16667</v>
      </c>
      <c r="AV316" s="58"/>
      <c r="AW316" s="64">
        <v>45792.5973032407</v>
      </c>
      <c r="AX316" s="56" t="s">
        <v>16665</v>
      </c>
      <c r="AY316" s="56" t="s">
        <v>15179</v>
      </c>
      <c r="AZ316" s="58"/>
      <c r="BA316" s="58"/>
      <c r="BB316" s="58"/>
      <c r="BC316" s="56" t="s">
        <v>16713</v>
      </c>
      <c r="BD316" s="56" t="s">
        <v>15197</v>
      </c>
      <c r="BE316" s="56" t="s">
        <v>15613</v>
      </c>
      <c r="BF316" s="56" t="s">
        <v>15181</v>
      </c>
      <c r="BG316" s="58"/>
      <c r="BH316" s="58"/>
      <c r="BI316" s="57" t="s">
        <v>2801</v>
      </c>
      <c r="BJ316" s="58"/>
      <c r="BK316" s="58"/>
      <c r="BL316" s="66">
        <v>3539584</v>
      </c>
      <c r="BM316" s="56" t="s">
        <v>16668</v>
      </c>
      <c r="BN316" s="58"/>
      <c r="BO316" s="67">
        <v>2875.5</v>
      </c>
      <c r="BP316" s="56" t="s">
        <v>16395</v>
      </c>
      <c r="BQ316" s="58"/>
      <c r="BR316" s="56" t="s">
        <v>16669</v>
      </c>
      <c r="BS316" s="56" t="s">
        <v>1285</v>
      </c>
      <c r="BT316" s="58"/>
      <c r="BU316" s="56" t="s">
        <v>16666</v>
      </c>
      <c r="BV316" s="58"/>
      <c r="BW316" s="58"/>
      <c r="BX316" s="67">
        <v>2875.5</v>
      </c>
      <c r="BY316" s="56" t="s">
        <v>1285</v>
      </c>
      <c r="BZ316" s="58"/>
      <c r="CA316" s="58"/>
      <c r="CB316" s="58"/>
      <c r="CC316" s="58"/>
      <c r="CD316" s="58"/>
    </row>
    <row r="317" ht="108" spans="1:82">
      <c r="A317" s="56" t="s">
        <v>16714</v>
      </c>
      <c r="B317" s="58"/>
      <c r="C317" s="57" t="s">
        <v>16662</v>
      </c>
      <c r="D317" s="58"/>
      <c r="E317" s="57" t="s">
        <v>15158</v>
      </c>
      <c r="F317" s="57" t="s">
        <v>16663</v>
      </c>
      <c r="G317" s="57" t="s">
        <v>15160</v>
      </c>
      <c r="H317" s="56" t="s">
        <v>2965</v>
      </c>
      <c r="I317" s="60">
        <v>13176.9</v>
      </c>
      <c r="J317" s="57" t="s">
        <v>1285</v>
      </c>
      <c r="K317" s="57" t="s">
        <v>15162</v>
      </c>
      <c r="L317" s="57" t="s">
        <v>15163</v>
      </c>
      <c r="M317" s="61" t="s">
        <v>14159</v>
      </c>
      <c r="N317" s="62" t="s">
        <v>15504</v>
      </c>
      <c r="O317" s="57" t="s">
        <v>15165</v>
      </c>
      <c r="P317" s="57" t="s">
        <v>15166</v>
      </c>
      <c r="Q317" s="57" t="s">
        <v>2965</v>
      </c>
      <c r="R317" s="57" t="s">
        <v>15606</v>
      </c>
      <c r="S317" s="57" t="s">
        <v>15607</v>
      </c>
      <c r="T317" s="57" t="s">
        <v>15190</v>
      </c>
      <c r="U317" s="57" t="s">
        <v>14184</v>
      </c>
      <c r="V317" s="56" t="s">
        <v>14153</v>
      </c>
      <c r="W317" s="58"/>
      <c r="X317" s="57" t="s">
        <v>16664</v>
      </c>
      <c r="Y317" s="57" t="s">
        <v>15170</v>
      </c>
      <c r="Z317" s="61" t="s">
        <v>16389</v>
      </c>
      <c r="AA317" s="61" t="s">
        <v>14159</v>
      </c>
      <c r="AB317" s="58"/>
      <c r="AC317" s="57" t="s">
        <v>16391</v>
      </c>
      <c r="AD317" s="58"/>
      <c r="AE317" s="58"/>
      <c r="AF317" s="58"/>
      <c r="AG317" s="58"/>
      <c r="AH317" s="58"/>
      <c r="AI317" s="58"/>
      <c r="AJ317" s="58"/>
      <c r="AK317" s="56" t="s">
        <v>1285</v>
      </c>
      <c r="AL317" s="56" t="s">
        <v>16665</v>
      </c>
      <c r="AM317" s="58"/>
      <c r="AN317" s="56" t="s">
        <v>15273</v>
      </c>
      <c r="AO317" s="58"/>
      <c r="AP317" s="63">
        <v>45848.7866435185</v>
      </c>
      <c r="AQ317" s="56" t="s">
        <v>16666</v>
      </c>
      <c r="AR317" s="61" t="s">
        <v>14645</v>
      </c>
      <c r="AS317" s="57" t="s">
        <v>14184</v>
      </c>
      <c r="AT317" s="56" t="s">
        <v>15177</v>
      </c>
      <c r="AU317" s="56" t="s">
        <v>16667</v>
      </c>
      <c r="AV317" s="58"/>
      <c r="AW317" s="64">
        <v>45792.5973032407</v>
      </c>
      <c r="AX317" s="56" t="s">
        <v>16665</v>
      </c>
      <c r="AY317" s="56" t="s">
        <v>15179</v>
      </c>
      <c r="AZ317" s="58"/>
      <c r="BA317" s="58"/>
      <c r="BB317" s="58"/>
      <c r="BC317" s="56" t="s">
        <v>2140</v>
      </c>
      <c r="BD317" s="56" t="s">
        <v>15197</v>
      </c>
      <c r="BE317" s="56" t="s">
        <v>15613</v>
      </c>
      <c r="BF317" s="56" t="s">
        <v>15181</v>
      </c>
      <c r="BG317" s="58"/>
      <c r="BH317" s="58"/>
      <c r="BI317" s="57" t="s">
        <v>2801</v>
      </c>
      <c r="BJ317" s="58"/>
      <c r="BK317" s="58"/>
      <c r="BL317" s="66">
        <v>3539556</v>
      </c>
      <c r="BM317" s="56" t="s">
        <v>16668</v>
      </c>
      <c r="BN317" s="58"/>
      <c r="BO317" s="67">
        <v>57.93</v>
      </c>
      <c r="BP317" s="56" t="s">
        <v>16395</v>
      </c>
      <c r="BQ317" s="58"/>
      <c r="BR317" s="56" t="s">
        <v>16669</v>
      </c>
      <c r="BS317" s="56" t="s">
        <v>1285</v>
      </c>
      <c r="BT317" s="58"/>
      <c r="BU317" s="56" t="s">
        <v>16666</v>
      </c>
      <c r="BV317" s="58"/>
      <c r="BW317" s="58"/>
      <c r="BX317" s="67">
        <v>57.93</v>
      </c>
      <c r="BY317" s="56" t="s">
        <v>1285</v>
      </c>
      <c r="BZ317" s="58"/>
      <c r="CA317" s="58"/>
      <c r="CB317" s="58"/>
      <c r="CC317" s="58"/>
      <c r="CD317" s="58"/>
    </row>
    <row r="318" ht="108" spans="1:82">
      <c r="A318" s="56" t="s">
        <v>16715</v>
      </c>
      <c r="B318" s="58"/>
      <c r="C318" s="57" t="s">
        <v>16662</v>
      </c>
      <c r="D318" s="58"/>
      <c r="E318" s="57" t="s">
        <v>15158</v>
      </c>
      <c r="F318" s="57" t="s">
        <v>16663</v>
      </c>
      <c r="G318" s="57" t="s">
        <v>15160</v>
      </c>
      <c r="H318" s="56" t="s">
        <v>2965</v>
      </c>
      <c r="I318" s="60">
        <v>13176.9</v>
      </c>
      <c r="J318" s="57" t="s">
        <v>1285</v>
      </c>
      <c r="K318" s="57" t="s">
        <v>15162</v>
      </c>
      <c r="L318" s="57" t="s">
        <v>15163</v>
      </c>
      <c r="M318" s="61" t="s">
        <v>14159</v>
      </c>
      <c r="N318" s="62" t="s">
        <v>15504</v>
      </c>
      <c r="O318" s="57" t="s">
        <v>15165</v>
      </c>
      <c r="P318" s="57" t="s">
        <v>15166</v>
      </c>
      <c r="Q318" s="57" t="s">
        <v>2965</v>
      </c>
      <c r="R318" s="57" t="s">
        <v>15606</v>
      </c>
      <c r="S318" s="57" t="s">
        <v>15607</v>
      </c>
      <c r="T318" s="57" t="s">
        <v>15190</v>
      </c>
      <c r="U318" s="57" t="s">
        <v>14184</v>
      </c>
      <c r="V318" s="56" t="s">
        <v>14153</v>
      </c>
      <c r="W318" s="58"/>
      <c r="X318" s="57" t="s">
        <v>16664</v>
      </c>
      <c r="Y318" s="57" t="s">
        <v>15170</v>
      </c>
      <c r="Z318" s="61" t="s">
        <v>16389</v>
      </c>
      <c r="AA318" s="61" t="s">
        <v>14159</v>
      </c>
      <c r="AB318" s="58"/>
      <c r="AC318" s="57" t="s">
        <v>16391</v>
      </c>
      <c r="AD318" s="58"/>
      <c r="AE318" s="58"/>
      <c r="AF318" s="58"/>
      <c r="AG318" s="58"/>
      <c r="AH318" s="58"/>
      <c r="AI318" s="58"/>
      <c r="AJ318" s="58"/>
      <c r="AK318" s="56" t="s">
        <v>1285</v>
      </c>
      <c r="AL318" s="56" t="s">
        <v>16665</v>
      </c>
      <c r="AM318" s="58"/>
      <c r="AN318" s="56" t="s">
        <v>15273</v>
      </c>
      <c r="AO318" s="58"/>
      <c r="AP318" s="63">
        <v>45848.7866435185</v>
      </c>
      <c r="AQ318" s="56" t="s">
        <v>16666</v>
      </c>
      <c r="AR318" s="61" t="s">
        <v>14645</v>
      </c>
      <c r="AS318" s="57" t="s">
        <v>14184</v>
      </c>
      <c r="AT318" s="56" t="s">
        <v>15177</v>
      </c>
      <c r="AU318" s="56" t="s">
        <v>16667</v>
      </c>
      <c r="AV318" s="58"/>
      <c r="AW318" s="64">
        <v>45792.5973032407</v>
      </c>
      <c r="AX318" s="56" t="s">
        <v>16665</v>
      </c>
      <c r="AY318" s="56" t="s">
        <v>15179</v>
      </c>
      <c r="AZ318" s="58"/>
      <c r="BA318" s="58"/>
      <c r="BB318" s="58"/>
      <c r="BC318" s="56" t="s">
        <v>2148</v>
      </c>
      <c r="BD318" s="56" t="s">
        <v>15197</v>
      </c>
      <c r="BE318" s="56" t="s">
        <v>15613</v>
      </c>
      <c r="BF318" s="56" t="s">
        <v>15181</v>
      </c>
      <c r="BG318" s="58"/>
      <c r="BH318" s="58"/>
      <c r="BI318" s="57" t="s">
        <v>2801</v>
      </c>
      <c r="BJ318" s="58"/>
      <c r="BK318" s="58"/>
      <c r="BL318" s="66">
        <v>3539568</v>
      </c>
      <c r="BM318" s="56" t="s">
        <v>16668</v>
      </c>
      <c r="BN318" s="58"/>
      <c r="BO318" s="67">
        <v>195.54</v>
      </c>
      <c r="BP318" s="56" t="s">
        <v>16395</v>
      </c>
      <c r="BQ318" s="58"/>
      <c r="BR318" s="56" t="s">
        <v>16669</v>
      </c>
      <c r="BS318" s="56" t="s">
        <v>1285</v>
      </c>
      <c r="BT318" s="58"/>
      <c r="BU318" s="56" t="s">
        <v>16666</v>
      </c>
      <c r="BV318" s="58"/>
      <c r="BW318" s="58"/>
      <c r="BX318" s="67">
        <v>195.54</v>
      </c>
      <c r="BY318" s="56" t="s">
        <v>1285</v>
      </c>
      <c r="BZ318" s="58"/>
      <c r="CA318" s="58"/>
      <c r="CB318" s="58"/>
      <c r="CC318" s="58"/>
      <c r="CD318" s="58"/>
    </row>
    <row r="319" ht="108" spans="1:82">
      <c r="A319" s="56" t="s">
        <v>16716</v>
      </c>
      <c r="B319" s="58"/>
      <c r="C319" s="57" t="s">
        <v>16662</v>
      </c>
      <c r="D319" s="58"/>
      <c r="E319" s="57" t="s">
        <v>15158</v>
      </c>
      <c r="F319" s="57" t="s">
        <v>16663</v>
      </c>
      <c r="G319" s="57" t="s">
        <v>15160</v>
      </c>
      <c r="H319" s="56" t="s">
        <v>2965</v>
      </c>
      <c r="I319" s="60">
        <v>13176.9</v>
      </c>
      <c r="J319" s="57" t="s">
        <v>1285</v>
      </c>
      <c r="K319" s="57" t="s">
        <v>15162</v>
      </c>
      <c r="L319" s="57" t="s">
        <v>15163</v>
      </c>
      <c r="M319" s="61" t="s">
        <v>14159</v>
      </c>
      <c r="N319" s="62" t="s">
        <v>15504</v>
      </c>
      <c r="O319" s="57" t="s">
        <v>15165</v>
      </c>
      <c r="P319" s="57" t="s">
        <v>15166</v>
      </c>
      <c r="Q319" s="57" t="s">
        <v>2965</v>
      </c>
      <c r="R319" s="57" t="s">
        <v>15606</v>
      </c>
      <c r="S319" s="57" t="s">
        <v>15607</v>
      </c>
      <c r="T319" s="57" t="s">
        <v>15190</v>
      </c>
      <c r="U319" s="57" t="s">
        <v>14184</v>
      </c>
      <c r="V319" s="56" t="s">
        <v>14153</v>
      </c>
      <c r="W319" s="58"/>
      <c r="X319" s="57" t="s">
        <v>16664</v>
      </c>
      <c r="Y319" s="57" t="s">
        <v>15170</v>
      </c>
      <c r="Z319" s="61" t="s">
        <v>16389</v>
      </c>
      <c r="AA319" s="61" t="s">
        <v>14159</v>
      </c>
      <c r="AB319" s="58"/>
      <c r="AC319" s="57" t="s">
        <v>16391</v>
      </c>
      <c r="AD319" s="58"/>
      <c r="AE319" s="58"/>
      <c r="AF319" s="58"/>
      <c r="AG319" s="58"/>
      <c r="AH319" s="58"/>
      <c r="AI319" s="58"/>
      <c r="AJ319" s="58"/>
      <c r="AK319" s="56" t="s">
        <v>1285</v>
      </c>
      <c r="AL319" s="56" t="s">
        <v>16665</v>
      </c>
      <c r="AM319" s="58"/>
      <c r="AN319" s="56" t="s">
        <v>15273</v>
      </c>
      <c r="AO319" s="58"/>
      <c r="AP319" s="63">
        <v>45848.7866435185</v>
      </c>
      <c r="AQ319" s="56" t="s">
        <v>16666</v>
      </c>
      <c r="AR319" s="61" t="s">
        <v>14645</v>
      </c>
      <c r="AS319" s="57" t="s">
        <v>14184</v>
      </c>
      <c r="AT319" s="56" t="s">
        <v>15177</v>
      </c>
      <c r="AU319" s="56" t="s">
        <v>16667</v>
      </c>
      <c r="AV319" s="58"/>
      <c r="AW319" s="64">
        <v>45792.5973032407</v>
      </c>
      <c r="AX319" s="56" t="s">
        <v>16665</v>
      </c>
      <c r="AY319" s="56" t="s">
        <v>15179</v>
      </c>
      <c r="AZ319" s="58"/>
      <c r="BA319" s="58"/>
      <c r="BB319" s="58"/>
      <c r="BC319" s="56" t="s">
        <v>138</v>
      </c>
      <c r="BD319" s="56" t="s">
        <v>15197</v>
      </c>
      <c r="BE319" s="56" t="s">
        <v>15613</v>
      </c>
      <c r="BF319" s="56" t="s">
        <v>15181</v>
      </c>
      <c r="BG319" s="58"/>
      <c r="BH319" s="58"/>
      <c r="BI319" s="57" t="s">
        <v>2801</v>
      </c>
      <c r="BJ319" s="58"/>
      <c r="BK319" s="58"/>
      <c r="BL319" s="66">
        <v>3539596</v>
      </c>
      <c r="BM319" s="56" t="s">
        <v>16668</v>
      </c>
      <c r="BN319" s="58"/>
      <c r="BO319" s="67">
        <v>30</v>
      </c>
      <c r="BP319" s="56" t="s">
        <v>16395</v>
      </c>
      <c r="BQ319" s="58"/>
      <c r="BR319" s="56" t="s">
        <v>16669</v>
      </c>
      <c r="BS319" s="56" t="s">
        <v>1285</v>
      </c>
      <c r="BT319" s="58"/>
      <c r="BU319" s="56" t="s">
        <v>16666</v>
      </c>
      <c r="BV319" s="58"/>
      <c r="BW319" s="58"/>
      <c r="BX319" s="67">
        <v>30</v>
      </c>
      <c r="BY319" s="56" t="s">
        <v>1285</v>
      </c>
      <c r="BZ319" s="58"/>
      <c r="CA319" s="58"/>
      <c r="CB319" s="58"/>
      <c r="CC319" s="58"/>
      <c r="CD319" s="58"/>
    </row>
    <row r="320" ht="108" spans="1:82">
      <c r="A320" s="56" t="s">
        <v>16717</v>
      </c>
      <c r="B320" s="58"/>
      <c r="C320" s="57" t="s">
        <v>16662</v>
      </c>
      <c r="D320" s="58"/>
      <c r="E320" s="57" t="s">
        <v>15158</v>
      </c>
      <c r="F320" s="57" t="s">
        <v>16663</v>
      </c>
      <c r="G320" s="57" t="s">
        <v>15160</v>
      </c>
      <c r="H320" s="56" t="s">
        <v>2965</v>
      </c>
      <c r="I320" s="60">
        <v>13176.9</v>
      </c>
      <c r="J320" s="57" t="s">
        <v>1285</v>
      </c>
      <c r="K320" s="57" t="s">
        <v>15162</v>
      </c>
      <c r="L320" s="57" t="s">
        <v>15163</v>
      </c>
      <c r="M320" s="61" t="s">
        <v>14159</v>
      </c>
      <c r="N320" s="62" t="s">
        <v>15504</v>
      </c>
      <c r="O320" s="57" t="s">
        <v>15165</v>
      </c>
      <c r="P320" s="57" t="s">
        <v>15166</v>
      </c>
      <c r="Q320" s="57" t="s">
        <v>2965</v>
      </c>
      <c r="R320" s="57" t="s">
        <v>15606</v>
      </c>
      <c r="S320" s="57" t="s">
        <v>15607</v>
      </c>
      <c r="T320" s="57" t="s">
        <v>15190</v>
      </c>
      <c r="U320" s="57" t="s">
        <v>14184</v>
      </c>
      <c r="V320" s="56" t="s">
        <v>14153</v>
      </c>
      <c r="W320" s="58"/>
      <c r="X320" s="57" t="s">
        <v>16664</v>
      </c>
      <c r="Y320" s="57" t="s">
        <v>15170</v>
      </c>
      <c r="Z320" s="61" t="s">
        <v>16389</v>
      </c>
      <c r="AA320" s="61" t="s">
        <v>14159</v>
      </c>
      <c r="AB320" s="58"/>
      <c r="AC320" s="57" t="s">
        <v>16391</v>
      </c>
      <c r="AD320" s="58"/>
      <c r="AE320" s="58"/>
      <c r="AF320" s="58"/>
      <c r="AG320" s="58"/>
      <c r="AH320" s="58"/>
      <c r="AI320" s="58"/>
      <c r="AJ320" s="58"/>
      <c r="AK320" s="56" t="s">
        <v>1285</v>
      </c>
      <c r="AL320" s="56" t="s">
        <v>16665</v>
      </c>
      <c r="AM320" s="58"/>
      <c r="AN320" s="56" t="s">
        <v>15273</v>
      </c>
      <c r="AO320" s="58"/>
      <c r="AP320" s="63">
        <v>45848.7866435185</v>
      </c>
      <c r="AQ320" s="56" t="s">
        <v>16666</v>
      </c>
      <c r="AR320" s="61" t="s">
        <v>14645</v>
      </c>
      <c r="AS320" s="57" t="s">
        <v>14184</v>
      </c>
      <c r="AT320" s="56" t="s">
        <v>15177</v>
      </c>
      <c r="AU320" s="56" t="s">
        <v>16667</v>
      </c>
      <c r="AV320" s="58"/>
      <c r="AW320" s="64">
        <v>45792.5973032407</v>
      </c>
      <c r="AX320" s="56" t="s">
        <v>16665</v>
      </c>
      <c r="AY320" s="56" t="s">
        <v>15179</v>
      </c>
      <c r="AZ320" s="58"/>
      <c r="BA320" s="58"/>
      <c r="BB320" s="58"/>
      <c r="BC320" s="56" t="s">
        <v>2136</v>
      </c>
      <c r="BD320" s="56" t="s">
        <v>15197</v>
      </c>
      <c r="BE320" s="56" t="s">
        <v>15613</v>
      </c>
      <c r="BF320" s="56" t="s">
        <v>15181</v>
      </c>
      <c r="BG320" s="58"/>
      <c r="BH320" s="58"/>
      <c r="BI320" s="57" t="s">
        <v>2801</v>
      </c>
      <c r="BJ320" s="58"/>
      <c r="BK320" s="58"/>
      <c r="BL320" s="66">
        <v>3539581</v>
      </c>
      <c r="BM320" s="56" t="s">
        <v>16668</v>
      </c>
      <c r="BN320" s="58"/>
      <c r="BO320" s="67">
        <v>196.8</v>
      </c>
      <c r="BP320" s="56" t="s">
        <v>16395</v>
      </c>
      <c r="BQ320" s="58"/>
      <c r="BR320" s="56" t="s">
        <v>16669</v>
      </c>
      <c r="BS320" s="56" t="s">
        <v>1285</v>
      </c>
      <c r="BT320" s="58"/>
      <c r="BU320" s="56" t="s">
        <v>16666</v>
      </c>
      <c r="BV320" s="58"/>
      <c r="BW320" s="58"/>
      <c r="BX320" s="67">
        <v>196.8</v>
      </c>
      <c r="BY320" s="56" t="s">
        <v>1285</v>
      </c>
      <c r="BZ320" s="58"/>
      <c r="CA320" s="58"/>
      <c r="CB320" s="58"/>
      <c r="CC320" s="58"/>
      <c r="CD320" s="58"/>
    </row>
    <row r="321" ht="108" spans="1:82">
      <c r="A321" s="56" t="s">
        <v>16718</v>
      </c>
      <c r="B321" s="58"/>
      <c r="C321" s="57" t="s">
        <v>16662</v>
      </c>
      <c r="D321" s="58"/>
      <c r="E321" s="57" t="s">
        <v>15158</v>
      </c>
      <c r="F321" s="57" t="s">
        <v>16663</v>
      </c>
      <c r="G321" s="57" t="s">
        <v>15160</v>
      </c>
      <c r="H321" s="56" t="s">
        <v>2965</v>
      </c>
      <c r="I321" s="60">
        <v>13176.9</v>
      </c>
      <c r="J321" s="57" t="s">
        <v>1285</v>
      </c>
      <c r="K321" s="57" t="s">
        <v>15162</v>
      </c>
      <c r="L321" s="57" t="s">
        <v>15163</v>
      </c>
      <c r="M321" s="61" t="s">
        <v>14159</v>
      </c>
      <c r="N321" s="62" t="s">
        <v>15504</v>
      </c>
      <c r="O321" s="57" t="s">
        <v>15165</v>
      </c>
      <c r="P321" s="57" t="s">
        <v>15166</v>
      </c>
      <c r="Q321" s="57" t="s">
        <v>2965</v>
      </c>
      <c r="R321" s="57" t="s">
        <v>15606</v>
      </c>
      <c r="S321" s="57" t="s">
        <v>15607</v>
      </c>
      <c r="T321" s="57" t="s">
        <v>15190</v>
      </c>
      <c r="U321" s="57" t="s">
        <v>14184</v>
      </c>
      <c r="V321" s="56" t="s">
        <v>14153</v>
      </c>
      <c r="W321" s="58"/>
      <c r="X321" s="57" t="s">
        <v>16664</v>
      </c>
      <c r="Y321" s="57" t="s">
        <v>15170</v>
      </c>
      <c r="Z321" s="61" t="s">
        <v>16389</v>
      </c>
      <c r="AA321" s="61" t="s">
        <v>14159</v>
      </c>
      <c r="AB321" s="58"/>
      <c r="AC321" s="57" t="s">
        <v>16391</v>
      </c>
      <c r="AD321" s="58"/>
      <c r="AE321" s="58"/>
      <c r="AF321" s="58"/>
      <c r="AG321" s="58"/>
      <c r="AH321" s="58"/>
      <c r="AI321" s="58"/>
      <c r="AJ321" s="58"/>
      <c r="AK321" s="56" t="s">
        <v>1285</v>
      </c>
      <c r="AL321" s="56" t="s">
        <v>16665</v>
      </c>
      <c r="AM321" s="58"/>
      <c r="AN321" s="56" t="s">
        <v>15273</v>
      </c>
      <c r="AO321" s="58"/>
      <c r="AP321" s="63">
        <v>45848.7866435185</v>
      </c>
      <c r="AQ321" s="56" t="s">
        <v>16666</v>
      </c>
      <c r="AR321" s="61" t="s">
        <v>14645</v>
      </c>
      <c r="AS321" s="57" t="s">
        <v>14184</v>
      </c>
      <c r="AT321" s="56" t="s">
        <v>15177</v>
      </c>
      <c r="AU321" s="56" t="s">
        <v>16667</v>
      </c>
      <c r="AV321" s="58"/>
      <c r="AW321" s="64">
        <v>45792.5973032407</v>
      </c>
      <c r="AX321" s="56" t="s">
        <v>16665</v>
      </c>
      <c r="AY321" s="56" t="s">
        <v>15179</v>
      </c>
      <c r="AZ321" s="58"/>
      <c r="BA321" s="58"/>
      <c r="BB321" s="58"/>
      <c r="BC321" s="56" t="s">
        <v>2148</v>
      </c>
      <c r="BD321" s="56" t="s">
        <v>15197</v>
      </c>
      <c r="BE321" s="56" t="s">
        <v>15613</v>
      </c>
      <c r="BF321" s="56" t="s">
        <v>15181</v>
      </c>
      <c r="BG321" s="58"/>
      <c r="BH321" s="58"/>
      <c r="BI321" s="57" t="s">
        <v>2801</v>
      </c>
      <c r="BJ321" s="58"/>
      <c r="BK321" s="58"/>
      <c r="BL321" s="66">
        <v>3539592</v>
      </c>
      <c r="BM321" s="56" t="s">
        <v>16668</v>
      </c>
      <c r="BN321" s="58"/>
      <c r="BO321" s="67">
        <v>351.2</v>
      </c>
      <c r="BP321" s="56" t="s">
        <v>16395</v>
      </c>
      <c r="BQ321" s="58"/>
      <c r="BR321" s="56" t="s">
        <v>16669</v>
      </c>
      <c r="BS321" s="56" t="s">
        <v>1285</v>
      </c>
      <c r="BT321" s="58"/>
      <c r="BU321" s="56" t="s">
        <v>16666</v>
      </c>
      <c r="BV321" s="58"/>
      <c r="BW321" s="58"/>
      <c r="BX321" s="67">
        <v>351.2</v>
      </c>
      <c r="BY321" s="56" t="s">
        <v>1285</v>
      </c>
      <c r="BZ321" s="58"/>
      <c r="CA321" s="58"/>
      <c r="CB321" s="58"/>
      <c r="CC321" s="58"/>
      <c r="CD321" s="58"/>
    </row>
    <row r="322" ht="108" spans="1:82">
      <c r="A322" s="56" t="s">
        <v>16719</v>
      </c>
      <c r="B322" s="58"/>
      <c r="C322" s="57" t="s">
        <v>16662</v>
      </c>
      <c r="D322" s="58"/>
      <c r="E322" s="57" t="s">
        <v>15158</v>
      </c>
      <c r="F322" s="57" t="s">
        <v>16663</v>
      </c>
      <c r="G322" s="57" t="s">
        <v>15160</v>
      </c>
      <c r="H322" s="56" t="s">
        <v>2965</v>
      </c>
      <c r="I322" s="60">
        <v>13176.9</v>
      </c>
      <c r="J322" s="57" t="s">
        <v>1285</v>
      </c>
      <c r="K322" s="57" t="s">
        <v>15162</v>
      </c>
      <c r="L322" s="57" t="s">
        <v>15163</v>
      </c>
      <c r="M322" s="61" t="s">
        <v>14159</v>
      </c>
      <c r="N322" s="62" t="s">
        <v>15504</v>
      </c>
      <c r="O322" s="57" t="s">
        <v>15165</v>
      </c>
      <c r="P322" s="57" t="s">
        <v>15166</v>
      </c>
      <c r="Q322" s="57" t="s">
        <v>2965</v>
      </c>
      <c r="R322" s="57" t="s">
        <v>15606</v>
      </c>
      <c r="S322" s="57" t="s">
        <v>15607</v>
      </c>
      <c r="T322" s="57" t="s">
        <v>15190</v>
      </c>
      <c r="U322" s="57" t="s">
        <v>14184</v>
      </c>
      <c r="V322" s="56" t="s">
        <v>14153</v>
      </c>
      <c r="W322" s="58"/>
      <c r="X322" s="57" t="s">
        <v>16664</v>
      </c>
      <c r="Y322" s="57" t="s">
        <v>15170</v>
      </c>
      <c r="Z322" s="61" t="s">
        <v>16389</v>
      </c>
      <c r="AA322" s="61" t="s">
        <v>14159</v>
      </c>
      <c r="AB322" s="58"/>
      <c r="AC322" s="57" t="s">
        <v>16391</v>
      </c>
      <c r="AD322" s="58"/>
      <c r="AE322" s="58"/>
      <c r="AF322" s="58"/>
      <c r="AG322" s="58"/>
      <c r="AH322" s="58"/>
      <c r="AI322" s="58"/>
      <c r="AJ322" s="58"/>
      <c r="AK322" s="56" t="s">
        <v>1285</v>
      </c>
      <c r="AL322" s="56" t="s">
        <v>16665</v>
      </c>
      <c r="AM322" s="58"/>
      <c r="AN322" s="56" t="s">
        <v>15273</v>
      </c>
      <c r="AO322" s="58"/>
      <c r="AP322" s="63">
        <v>45848.7866435185</v>
      </c>
      <c r="AQ322" s="56" t="s">
        <v>16666</v>
      </c>
      <c r="AR322" s="61" t="s">
        <v>14645</v>
      </c>
      <c r="AS322" s="57" t="s">
        <v>14184</v>
      </c>
      <c r="AT322" s="56" t="s">
        <v>15177</v>
      </c>
      <c r="AU322" s="56" t="s">
        <v>16667</v>
      </c>
      <c r="AV322" s="58"/>
      <c r="AW322" s="64">
        <v>45792.5973032407</v>
      </c>
      <c r="AX322" s="56" t="s">
        <v>16665</v>
      </c>
      <c r="AY322" s="56" t="s">
        <v>15179</v>
      </c>
      <c r="AZ322" s="58"/>
      <c r="BA322" s="58"/>
      <c r="BB322" s="58"/>
      <c r="BC322" s="56" t="s">
        <v>2138</v>
      </c>
      <c r="BD322" s="56" t="s">
        <v>15197</v>
      </c>
      <c r="BE322" s="56" t="s">
        <v>15613</v>
      </c>
      <c r="BF322" s="56" t="s">
        <v>15181</v>
      </c>
      <c r="BG322" s="58"/>
      <c r="BH322" s="58"/>
      <c r="BI322" s="57" t="s">
        <v>2801</v>
      </c>
      <c r="BJ322" s="58"/>
      <c r="BK322" s="58"/>
      <c r="BL322" s="66">
        <v>3539555</v>
      </c>
      <c r="BM322" s="56" t="s">
        <v>16668</v>
      </c>
      <c r="BN322" s="58"/>
      <c r="BO322" s="67">
        <v>53.01</v>
      </c>
      <c r="BP322" s="56" t="s">
        <v>16395</v>
      </c>
      <c r="BQ322" s="58"/>
      <c r="BR322" s="56" t="s">
        <v>16669</v>
      </c>
      <c r="BS322" s="56" t="s">
        <v>1285</v>
      </c>
      <c r="BT322" s="58"/>
      <c r="BU322" s="56" t="s">
        <v>16666</v>
      </c>
      <c r="BV322" s="58"/>
      <c r="BW322" s="58"/>
      <c r="BX322" s="67">
        <v>53.01</v>
      </c>
      <c r="BY322" s="56" t="s">
        <v>1285</v>
      </c>
      <c r="BZ322" s="58"/>
      <c r="CA322" s="58"/>
      <c r="CB322" s="58"/>
      <c r="CC322" s="58"/>
      <c r="CD322" s="58"/>
    </row>
    <row r="323" ht="108" spans="1:82">
      <c r="A323" s="56" t="s">
        <v>16720</v>
      </c>
      <c r="B323" s="58"/>
      <c r="C323" s="57" t="s">
        <v>16662</v>
      </c>
      <c r="D323" s="58"/>
      <c r="E323" s="57" t="s">
        <v>15158</v>
      </c>
      <c r="F323" s="57" t="s">
        <v>16663</v>
      </c>
      <c r="G323" s="57" t="s">
        <v>15160</v>
      </c>
      <c r="H323" s="56" t="s">
        <v>2965</v>
      </c>
      <c r="I323" s="60">
        <v>13176.9</v>
      </c>
      <c r="J323" s="57" t="s">
        <v>1285</v>
      </c>
      <c r="K323" s="57" t="s">
        <v>15162</v>
      </c>
      <c r="L323" s="57" t="s">
        <v>15163</v>
      </c>
      <c r="M323" s="61" t="s">
        <v>14159</v>
      </c>
      <c r="N323" s="62" t="s">
        <v>15504</v>
      </c>
      <c r="O323" s="57" t="s">
        <v>15165</v>
      </c>
      <c r="P323" s="57" t="s">
        <v>15166</v>
      </c>
      <c r="Q323" s="57" t="s">
        <v>2965</v>
      </c>
      <c r="R323" s="57" t="s">
        <v>15606</v>
      </c>
      <c r="S323" s="57" t="s">
        <v>15607</v>
      </c>
      <c r="T323" s="57" t="s">
        <v>15190</v>
      </c>
      <c r="U323" s="57" t="s">
        <v>14184</v>
      </c>
      <c r="V323" s="56" t="s">
        <v>14153</v>
      </c>
      <c r="W323" s="58"/>
      <c r="X323" s="57" t="s">
        <v>16664</v>
      </c>
      <c r="Y323" s="57" t="s">
        <v>15170</v>
      </c>
      <c r="Z323" s="61" t="s">
        <v>16389</v>
      </c>
      <c r="AA323" s="61" t="s">
        <v>14159</v>
      </c>
      <c r="AB323" s="58"/>
      <c r="AC323" s="57" t="s">
        <v>16391</v>
      </c>
      <c r="AD323" s="58"/>
      <c r="AE323" s="58"/>
      <c r="AF323" s="58"/>
      <c r="AG323" s="58"/>
      <c r="AH323" s="58"/>
      <c r="AI323" s="58"/>
      <c r="AJ323" s="58"/>
      <c r="AK323" s="56" t="s">
        <v>1285</v>
      </c>
      <c r="AL323" s="56" t="s">
        <v>16665</v>
      </c>
      <c r="AM323" s="58"/>
      <c r="AN323" s="56" t="s">
        <v>15273</v>
      </c>
      <c r="AO323" s="58"/>
      <c r="AP323" s="63">
        <v>45848.7866435185</v>
      </c>
      <c r="AQ323" s="56" t="s">
        <v>16666</v>
      </c>
      <c r="AR323" s="61" t="s">
        <v>14645</v>
      </c>
      <c r="AS323" s="57" t="s">
        <v>14184</v>
      </c>
      <c r="AT323" s="56" t="s">
        <v>15177</v>
      </c>
      <c r="AU323" s="56" t="s">
        <v>16667</v>
      </c>
      <c r="AV323" s="58"/>
      <c r="AW323" s="64">
        <v>45792.5973032407</v>
      </c>
      <c r="AX323" s="56" t="s">
        <v>16665</v>
      </c>
      <c r="AY323" s="56" t="s">
        <v>15179</v>
      </c>
      <c r="AZ323" s="58"/>
      <c r="BA323" s="58"/>
      <c r="BB323" s="58"/>
      <c r="BC323" s="56" t="s">
        <v>2136</v>
      </c>
      <c r="BD323" s="56" t="s">
        <v>15197</v>
      </c>
      <c r="BE323" s="56" t="s">
        <v>15613</v>
      </c>
      <c r="BF323" s="56" t="s">
        <v>15181</v>
      </c>
      <c r="BG323" s="58"/>
      <c r="BH323" s="58"/>
      <c r="BI323" s="57" t="s">
        <v>2801</v>
      </c>
      <c r="BJ323" s="58"/>
      <c r="BK323" s="58"/>
      <c r="BL323" s="66">
        <v>3539570</v>
      </c>
      <c r="BM323" s="56" t="s">
        <v>16668</v>
      </c>
      <c r="BN323" s="58"/>
      <c r="BO323" s="67">
        <v>250.11</v>
      </c>
      <c r="BP323" s="56" t="s">
        <v>16395</v>
      </c>
      <c r="BQ323" s="58"/>
      <c r="BR323" s="56" t="s">
        <v>16669</v>
      </c>
      <c r="BS323" s="56" t="s">
        <v>1285</v>
      </c>
      <c r="BT323" s="58"/>
      <c r="BU323" s="56" t="s">
        <v>16666</v>
      </c>
      <c r="BV323" s="58"/>
      <c r="BW323" s="58"/>
      <c r="BX323" s="67">
        <v>250.11</v>
      </c>
      <c r="BY323" s="56" t="s">
        <v>1285</v>
      </c>
      <c r="BZ323" s="58"/>
      <c r="CA323" s="58"/>
      <c r="CB323" s="58"/>
      <c r="CC323" s="58"/>
      <c r="CD323" s="58"/>
    </row>
    <row r="324" ht="108" spans="1:82">
      <c r="A324" s="56" t="s">
        <v>16721</v>
      </c>
      <c r="B324" s="58"/>
      <c r="C324" s="57" t="s">
        <v>16722</v>
      </c>
      <c r="D324" s="58"/>
      <c r="E324" s="57" t="s">
        <v>15158</v>
      </c>
      <c r="F324" s="57" t="s">
        <v>16723</v>
      </c>
      <c r="G324" s="57" t="s">
        <v>15160</v>
      </c>
      <c r="H324" s="56" t="s">
        <v>2935</v>
      </c>
      <c r="I324" s="60">
        <v>30329.26</v>
      </c>
      <c r="J324" s="57" t="s">
        <v>1285</v>
      </c>
      <c r="K324" s="57" t="s">
        <v>15162</v>
      </c>
      <c r="L324" s="57" t="s">
        <v>15163</v>
      </c>
      <c r="M324" s="61" t="s">
        <v>14159</v>
      </c>
      <c r="N324" s="62" t="s">
        <v>15515</v>
      </c>
      <c r="O324" s="57" t="s">
        <v>15165</v>
      </c>
      <c r="P324" s="57" t="s">
        <v>15166</v>
      </c>
      <c r="Q324" s="57" t="s">
        <v>2935</v>
      </c>
      <c r="R324" s="57" t="s">
        <v>15594</v>
      </c>
      <c r="S324" s="57" t="s">
        <v>15595</v>
      </c>
      <c r="T324" s="57" t="s">
        <v>15190</v>
      </c>
      <c r="U324" s="57" t="s">
        <v>14184</v>
      </c>
      <c r="V324" s="56" t="s">
        <v>14153</v>
      </c>
      <c r="W324" s="58"/>
      <c r="X324" s="57" t="s">
        <v>16724</v>
      </c>
      <c r="Y324" s="57" t="s">
        <v>15170</v>
      </c>
      <c r="Z324" s="61" t="s">
        <v>16389</v>
      </c>
      <c r="AA324" s="61" t="s">
        <v>14159</v>
      </c>
      <c r="AB324" s="58"/>
      <c r="AC324" s="57" t="s">
        <v>16391</v>
      </c>
      <c r="AD324" s="58"/>
      <c r="AE324" s="58"/>
      <c r="AF324" s="58"/>
      <c r="AG324" s="58"/>
      <c r="AH324" s="58"/>
      <c r="AI324" s="58"/>
      <c r="AJ324" s="58"/>
      <c r="AK324" s="56" t="s">
        <v>1285</v>
      </c>
      <c r="AL324" s="56" t="s">
        <v>16725</v>
      </c>
      <c r="AM324" s="58"/>
      <c r="AN324" s="56" t="s">
        <v>15387</v>
      </c>
      <c r="AO324" s="58"/>
      <c r="AP324" s="63">
        <v>45848.7925231481</v>
      </c>
      <c r="AQ324" s="56" t="s">
        <v>16726</v>
      </c>
      <c r="AR324" s="61" t="s">
        <v>14645</v>
      </c>
      <c r="AS324" s="57" t="s">
        <v>14184</v>
      </c>
      <c r="AT324" s="56" t="s">
        <v>15177</v>
      </c>
      <c r="AU324" s="56" t="s">
        <v>16727</v>
      </c>
      <c r="AV324" s="58"/>
      <c r="AW324" s="64">
        <v>45792.4456712963</v>
      </c>
      <c r="AX324" s="56" t="s">
        <v>16725</v>
      </c>
      <c r="AY324" s="56" t="s">
        <v>15179</v>
      </c>
      <c r="AZ324" s="58"/>
      <c r="BA324" s="58"/>
      <c r="BB324" s="58"/>
      <c r="BC324" s="56" t="s">
        <v>15965</v>
      </c>
      <c r="BD324" s="56" t="s">
        <v>15197</v>
      </c>
      <c r="BE324" s="58"/>
      <c r="BF324" s="56" t="s">
        <v>15181</v>
      </c>
      <c r="BG324" s="58"/>
      <c r="BH324" s="58"/>
      <c r="BI324" s="57" t="s">
        <v>2801</v>
      </c>
      <c r="BJ324" s="58"/>
      <c r="BK324" s="58"/>
      <c r="BL324" s="66">
        <v>3558122</v>
      </c>
      <c r="BM324" s="56" t="s">
        <v>16728</v>
      </c>
      <c r="BN324" s="58"/>
      <c r="BO324" s="67">
        <v>14545.3</v>
      </c>
      <c r="BP324" s="56" t="s">
        <v>16395</v>
      </c>
      <c r="BQ324" s="58"/>
      <c r="BR324" s="56" t="s">
        <v>16729</v>
      </c>
      <c r="BS324" s="56" t="s">
        <v>1285</v>
      </c>
      <c r="BT324" s="58"/>
      <c r="BU324" s="56" t="s">
        <v>16726</v>
      </c>
      <c r="BV324" s="58"/>
      <c r="BW324" s="58"/>
      <c r="BX324" s="67">
        <v>14545.3</v>
      </c>
      <c r="BY324" s="58"/>
      <c r="BZ324" s="58"/>
      <c r="CA324" s="58"/>
      <c r="CB324" s="58"/>
      <c r="CC324" s="58"/>
      <c r="CD324" s="58"/>
    </row>
    <row r="325" ht="108" spans="1:82">
      <c r="A325" s="56" t="s">
        <v>16730</v>
      </c>
      <c r="B325" s="58"/>
      <c r="C325" s="57" t="s">
        <v>16722</v>
      </c>
      <c r="D325" s="58"/>
      <c r="E325" s="57" t="s">
        <v>15158</v>
      </c>
      <c r="F325" s="57" t="s">
        <v>16723</v>
      </c>
      <c r="G325" s="57" t="s">
        <v>15160</v>
      </c>
      <c r="H325" s="56" t="s">
        <v>2935</v>
      </c>
      <c r="I325" s="60">
        <v>30329.26</v>
      </c>
      <c r="J325" s="57" t="s">
        <v>1285</v>
      </c>
      <c r="K325" s="57" t="s">
        <v>15162</v>
      </c>
      <c r="L325" s="57" t="s">
        <v>15163</v>
      </c>
      <c r="M325" s="61" t="s">
        <v>14159</v>
      </c>
      <c r="N325" s="62" t="s">
        <v>15515</v>
      </c>
      <c r="O325" s="57" t="s">
        <v>15165</v>
      </c>
      <c r="P325" s="57" t="s">
        <v>15166</v>
      </c>
      <c r="Q325" s="57" t="s">
        <v>2935</v>
      </c>
      <c r="R325" s="57" t="s">
        <v>15594</v>
      </c>
      <c r="S325" s="57" t="s">
        <v>15595</v>
      </c>
      <c r="T325" s="57" t="s">
        <v>15190</v>
      </c>
      <c r="U325" s="57" t="s">
        <v>14184</v>
      </c>
      <c r="V325" s="56" t="s">
        <v>14153</v>
      </c>
      <c r="W325" s="58"/>
      <c r="X325" s="57" t="s">
        <v>16724</v>
      </c>
      <c r="Y325" s="57" t="s">
        <v>15170</v>
      </c>
      <c r="Z325" s="61" t="s">
        <v>16389</v>
      </c>
      <c r="AA325" s="61" t="s">
        <v>14159</v>
      </c>
      <c r="AB325" s="58"/>
      <c r="AC325" s="57" t="s">
        <v>16391</v>
      </c>
      <c r="AD325" s="58"/>
      <c r="AE325" s="58"/>
      <c r="AF325" s="58"/>
      <c r="AG325" s="58"/>
      <c r="AH325" s="58"/>
      <c r="AI325" s="58"/>
      <c r="AJ325" s="58"/>
      <c r="AK325" s="56" t="s">
        <v>1285</v>
      </c>
      <c r="AL325" s="56" t="s">
        <v>16725</v>
      </c>
      <c r="AM325" s="58"/>
      <c r="AN325" s="56" t="s">
        <v>15387</v>
      </c>
      <c r="AO325" s="58"/>
      <c r="AP325" s="63">
        <v>45848.7925231481</v>
      </c>
      <c r="AQ325" s="56" t="s">
        <v>16726</v>
      </c>
      <c r="AR325" s="61" t="s">
        <v>14645</v>
      </c>
      <c r="AS325" s="57" t="s">
        <v>14184</v>
      </c>
      <c r="AT325" s="56" t="s">
        <v>15177</v>
      </c>
      <c r="AU325" s="56" t="s">
        <v>16727</v>
      </c>
      <c r="AV325" s="58"/>
      <c r="AW325" s="64">
        <v>45792.4456712963</v>
      </c>
      <c r="AX325" s="56" t="s">
        <v>16725</v>
      </c>
      <c r="AY325" s="56" t="s">
        <v>15179</v>
      </c>
      <c r="AZ325" s="58"/>
      <c r="BA325" s="58"/>
      <c r="BB325" s="58"/>
      <c r="BC325" s="56" t="s">
        <v>15965</v>
      </c>
      <c r="BD325" s="56" t="s">
        <v>15197</v>
      </c>
      <c r="BE325" s="58"/>
      <c r="BF325" s="56" t="s">
        <v>15181</v>
      </c>
      <c r="BG325" s="58"/>
      <c r="BH325" s="58"/>
      <c r="BI325" s="57" t="s">
        <v>2801</v>
      </c>
      <c r="BJ325" s="58"/>
      <c r="BK325" s="58"/>
      <c r="BL325" s="66">
        <v>3565477</v>
      </c>
      <c r="BM325" s="56" t="s">
        <v>16731</v>
      </c>
      <c r="BN325" s="58"/>
      <c r="BO325" s="67">
        <v>15783.96</v>
      </c>
      <c r="BP325" s="56" t="s">
        <v>16395</v>
      </c>
      <c r="BQ325" s="58"/>
      <c r="BR325" s="56" t="s">
        <v>16729</v>
      </c>
      <c r="BS325" s="56" t="s">
        <v>1285</v>
      </c>
      <c r="BT325" s="58"/>
      <c r="BU325" s="56" t="s">
        <v>16726</v>
      </c>
      <c r="BV325" s="58"/>
      <c r="BW325" s="58"/>
      <c r="BX325" s="67">
        <v>15783.96</v>
      </c>
      <c r="BY325" s="58"/>
      <c r="BZ325" s="58"/>
      <c r="CA325" s="58"/>
      <c r="CB325" s="58"/>
      <c r="CC325" s="58"/>
      <c r="CD325" s="58"/>
    </row>
    <row r="326" ht="108" spans="1:82">
      <c r="A326" s="56" t="s">
        <v>16732</v>
      </c>
      <c r="B326" s="58"/>
      <c r="C326" s="57" t="s">
        <v>16733</v>
      </c>
      <c r="D326" s="58"/>
      <c r="E326" s="57" t="s">
        <v>15158</v>
      </c>
      <c r="F326" s="57" t="s">
        <v>16734</v>
      </c>
      <c r="G326" s="57" t="s">
        <v>15160</v>
      </c>
      <c r="H326" s="56" t="s">
        <v>2958</v>
      </c>
      <c r="I326" s="60">
        <v>10943.6</v>
      </c>
      <c r="J326" s="57" t="s">
        <v>1285</v>
      </c>
      <c r="K326" s="57" t="s">
        <v>15162</v>
      </c>
      <c r="L326" s="57" t="s">
        <v>15163</v>
      </c>
      <c r="M326" s="61" t="s">
        <v>14159</v>
      </c>
      <c r="N326" s="62" t="s">
        <v>15515</v>
      </c>
      <c r="O326" s="57" t="s">
        <v>15165</v>
      </c>
      <c r="P326" s="57" t="s">
        <v>15166</v>
      </c>
      <c r="Q326" s="57" t="s">
        <v>2958</v>
      </c>
      <c r="R326" s="57" t="s">
        <v>16031</v>
      </c>
      <c r="S326" s="57" t="s">
        <v>16032</v>
      </c>
      <c r="T326" s="57" t="s">
        <v>15190</v>
      </c>
      <c r="U326" s="57" t="s">
        <v>14184</v>
      </c>
      <c r="V326" s="56" t="s">
        <v>14153</v>
      </c>
      <c r="W326" s="58"/>
      <c r="X326" s="57" t="s">
        <v>16735</v>
      </c>
      <c r="Y326" s="57" t="s">
        <v>15170</v>
      </c>
      <c r="Z326" s="61" t="s">
        <v>16389</v>
      </c>
      <c r="AA326" s="61" t="s">
        <v>14159</v>
      </c>
      <c r="AB326" s="58"/>
      <c r="AC326" s="57" t="s">
        <v>16391</v>
      </c>
      <c r="AD326" s="58"/>
      <c r="AE326" s="58"/>
      <c r="AF326" s="58"/>
      <c r="AG326" s="58"/>
      <c r="AH326" s="58"/>
      <c r="AI326" s="58"/>
      <c r="AJ326" s="58"/>
      <c r="AK326" s="56" t="s">
        <v>1285</v>
      </c>
      <c r="AL326" s="56" t="s">
        <v>16736</v>
      </c>
      <c r="AM326" s="58"/>
      <c r="AN326" s="56" t="s">
        <v>15300</v>
      </c>
      <c r="AO326" s="58"/>
      <c r="AP326" s="63">
        <v>45848.7909606481</v>
      </c>
      <c r="AQ326" s="56" t="s">
        <v>16737</v>
      </c>
      <c r="AR326" s="61" t="s">
        <v>14645</v>
      </c>
      <c r="AS326" s="57" t="s">
        <v>14184</v>
      </c>
      <c r="AT326" s="56" t="s">
        <v>15177</v>
      </c>
      <c r="AU326" s="56" t="s">
        <v>16738</v>
      </c>
      <c r="AV326" s="58"/>
      <c r="AW326" s="64">
        <v>45791.7461111111</v>
      </c>
      <c r="AX326" s="56" t="s">
        <v>16736</v>
      </c>
      <c r="AY326" s="56" t="s">
        <v>15179</v>
      </c>
      <c r="AZ326" s="58"/>
      <c r="BA326" s="58"/>
      <c r="BB326" s="58"/>
      <c r="BC326" s="56" t="s">
        <v>15213</v>
      </c>
      <c r="BD326" s="56" t="s">
        <v>15197</v>
      </c>
      <c r="BE326" s="56" t="s">
        <v>16034</v>
      </c>
      <c r="BF326" s="56" t="s">
        <v>15181</v>
      </c>
      <c r="BG326" s="58"/>
      <c r="BH326" s="58"/>
      <c r="BI326" s="57" t="s">
        <v>2801</v>
      </c>
      <c r="BJ326" s="58"/>
      <c r="BK326" s="58"/>
      <c r="BL326" s="66">
        <v>3562223</v>
      </c>
      <c r="BM326" s="56" t="s">
        <v>16739</v>
      </c>
      <c r="BN326" s="58"/>
      <c r="BO326" s="67">
        <v>699</v>
      </c>
      <c r="BP326" s="56" t="s">
        <v>16395</v>
      </c>
      <c r="BQ326" s="58"/>
      <c r="BR326" s="56" t="s">
        <v>16740</v>
      </c>
      <c r="BS326" s="56" t="s">
        <v>1285</v>
      </c>
      <c r="BT326" s="58"/>
      <c r="BU326" s="56" t="s">
        <v>16737</v>
      </c>
      <c r="BV326" s="58"/>
      <c r="BW326" s="58"/>
      <c r="BX326" s="67">
        <v>699</v>
      </c>
      <c r="BY326" s="56" t="s">
        <v>1285</v>
      </c>
      <c r="BZ326" s="58"/>
      <c r="CA326" s="58"/>
      <c r="CB326" s="58"/>
      <c r="CC326" s="58"/>
      <c r="CD326" s="58"/>
    </row>
    <row r="327" ht="108" spans="1:82">
      <c r="A327" s="56" t="s">
        <v>16741</v>
      </c>
      <c r="B327" s="58"/>
      <c r="C327" s="57" t="s">
        <v>16733</v>
      </c>
      <c r="D327" s="58"/>
      <c r="E327" s="57" t="s">
        <v>15158</v>
      </c>
      <c r="F327" s="57" t="s">
        <v>16734</v>
      </c>
      <c r="G327" s="57" t="s">
        <v>15160</v>
      </c>
      <c r="H327" s="56" t="s">
        <v>2958</v>
      </c>
      <c r="I327" s="60">
        <v>10943.6</v>
      </c>
      <c r="J327" s="57" t="s">
        <v>1285</v>
      </c>
      <c r="K327" s="57" t="s">
        <v>15162</v>
      </c>
      <c r="L327" s="57" t="s">
        <v>15163</v>
      </c>
      <c r="M327" s="61" t="s">
        <v>14159</v>
      </c>
      <c r="N327" s="62" t="s">
        <v>15515</v>
      </c>
      <c r="O327" s="57" t="s">
        <v>15165</v>
      </c>
      <c r="P327" s="57" t="s">
        <v>15166</v>
      </c>
      <c r="Q327" s="57" t="s">
        <v>2958</v>
      </c>
      <c r="R327" s="57" t="s">
        <v>16031</v>
      </c>
      <c r="S327" s="57" t="s">
        <v>16032</v>
      </c>
      <c r="T327" s="57" t="s">
        <v>15190</v>
      </c>
      <c r="U327" s="57" t="s">
        <v>14184</v>
      </c>
      <c r="V327" s="56" t="s">
        <v>14153</v>
      </c>
      <c r="W327" s="58"/>
      <c r="X327" s="57" t="s">
        <v>16735</v>
      </c>
      <c r="Y327" s="57" t="s">
        <v>15170</v>
      </c>
      <c r="Z327" s="61" t="s">
        <v>16389</v>
      </c>
      <c r="AA327" s="61" t="s">
        <v>14159</v>
      </c>
      <c r="AB327" s="58"/>
      <c r="AC327" s="57" t="s">
        <v>16391</v>
      </c>
      <c r="AD327" s="58"/>
      <c r="AE327" s="58"/>
      <c r="AF327" s="58"/>
      <c r="AG327" s="58"/>
      <c r="AH327" s="58"/>
      <c r="AI327" s="58"/>
      <c r="AJ327" s="58"/>
      <c r="AK327" s="56" t="s">
        <v>1285</v>
      </c>
      <c r="AL327" s="56" t="s">
        <v>16736</v>
      </c>
      <c r="AM327" s="58"/>
      <c r="AN327" s="56" t="s">
        <v>15300</v>
      </c>
      <c r="AO327" s="58"/>
      <c r="AP327" s="63">
        <v>45848.7909606481</v>
      </c>
      <c r="AQ327" s="56" t="s">
        <v>16737</v>
      </c>
      <c r="AR327" s="61" t="s">
        <v>14645</v>
      </c>
      <c r="AS327" s="57" t="s">
        <v>14184</v>
      </c>
      <c r="AT327" s="56" t="s">
        <v>15177</v>
      </c>
      <c r="AU327" s="56" t="s">
        <v>16738</v>
      </c>
      <c r="AV327" s="58"/>
      <c r="AW327" s="64">
        <v>45791.7461111111</v>
      </c>
      <c r="AX327" s="56" t="s">
        <v>16736</v>
      </c>
      <c r="AY327" s="56" t="s">
        <v>15179</v>
      </c>
      <c r="AZ327" s="58"/>
      <c r="BA327" s="58"/>
      <c r="BB327" s="58"/>
      <c r="BC327" s="56" t="s">
        <v>16041</v>
      </c>
      <c r="BD327" s="56" t="s">
        <v>15197</v>
      </c>
      <c r="BE327" s="56" t="s">
        <v>16034</v>
      </c>
      <c r="BF327" s="56" t="s">
        <v>15181</v>
      </c>
      <c r="BG327" s="58"/>
      <c r="BH327" s="58"/>
      <c r="BI327" s="57" t="s">
        <v>2801</v>
      </c>
      <c r="BJ327" s="58"/>
      <c r="BK327" s="58"/>
      <c r="BL327" s="66">
        <v>3562229</v>
      </c>
      <c r="BM327" s="56" t="s">
        <v>16739</v>
      </c>
      <c r="BN327" s="58"/>
      <c r="BO327" s="67">
        <v>4602</v>
      </c>
      <c r="BP327" s="56" t="s">
        <v>16395</v>
      </c>
      <c r="BQ327" s="58"/>
      <c r="BR327" s="56" t="s">
        <v>16740</v>
      </c>
      <c r="BS327" s="56" t="s">
        <v>1285</v>
      </c>
      <c r="BT327" s="58"/>
      <c r="BU327" s="56" t="s">
        <v>16737</v>
      </c>
      <c r="BV327" s="58"/>
      <c r="BW327" s="58"/>
      <c r="BX327" s="67">
        <v>4602</v>
      </c>
      <c r="BY327" s="56" t="s">
        <v>1285</v>
      </c>
      <c r="BZ327" s="58"/>
      <c r="CA327" s="58"/>
      <c r="CB327" s="58"/>
      <c r="CC327" s="58"/>
      <c r="CD327" s="58"/>
    </row>
    <row r="328" ht="108" spans="1:82">
      <c r="A328" s="56" t="s">
        <v>16742</v>
      </c>
      <c r="B328" s="58"/>
      <c r="C328" s="57" t="s">
        <v>16733</v>
      </c>
      <c r="D328" s="58"/>
      <c r="E328" s="57" t="s">
        <v>15158</v>
      </c>
      <c r="F328" s="57" t="s">
        <v>16734</v>
      </c>
      <c r="G328" s="57" t="s">
        <v>15160</v>
      </c>
      <c r="H328" s="56" t="s">
        <v>2958</v>
      </c>
      <c r="I328" s="60">
        <v>10943.6</v>
      </c>
      <c r="J328" s="57" t="s">
        <v>1285</v>
      </c>
      <c r="K328" s="57" t="s">
        <v>15162</v>
      </c>
      <c r="L328" s="57" t="s">
        <v>15163</v>
      </c>
      <c r="M328" s="61" t="s">
        <v>14159</v>
      </c>
      <c r="N328" s="62" t="s">
        <v>15515</v>
      </c>
      <c r="O328" s="57" t="s">
        <v>15165</v>
      </c>
      <c r="P328" s="57" t="s">
        <v>15166</v>
      </c>
      <c r="Q328" s="57" t="s">
        <v>2958</v>
      </c>
      <c r="R328" s="57" t="s">
        <v>16031</v>
      </c>
      <c r="S328" s="57" t="s">
        <v>16032</v>
      </c>
      <c r="T328" s="57" t="s">
        <v>15190</v>
      </c>
      <c r="U328" s="57" t="s">
        <v>14184</v>
      </c>
      <c r="V328" s="56" t="s">
        <v>14153</v>
      </c>
      <c r="W328" s="58"/>
      <c r="X328" s="57" t="s">
        <v>16735</v>
      </c>
      <c r="Y328" s="57" t="s">
        <v>15170</v>
      </c>
      <c r="Z328" s="61" t="s">
        <v>16389</v>
      </c>
      <c r="AA328" s="61" t="s">
        <v>14159</v>
      </c>
      <c r="AB328" s="58"/>
      <c r="AC328" s="57" t="s">
        <v>16391</v>
      </c>
      <c r="AD328" s="58"/>
      <c r="AE328" s="58"/>
      <c r="AF328" s="58"/>
      <c r="AG328" s="58"/>
      <c r="AH328" s="58"/>
      <c r="AI328" s="58"/>
      <c r="AJ328" s="58"/>
      <c r="AK328" s="56" t="s">
        <v>1285</v>
      </c>
      <c r="AL328" s="56" t="s">
        <v>16736</v>
      </c>
      <c r="AM328" s="58"/>
      <c r="AN328" s="56" t="s">
        <v>15300</v>
      </c>
      <c r="AO328" s="58"/>
      <c r="AP328" s="63">
        <v>45848.7909606481</v>
      </c>
      <c r="AQ328" s="56" t="s">
        <v>16737</v>
      </c>
      <c r="AR328" s="61" t="s">
        <v>14645</v>
      </c>
      <c r="AS328" s="57" t="s">
        <v>14184</v>
      </c>
      <c r="AT328" s="56" t="s">
        <v>15177</v>
      </c>
      <c r="AU328" s="56" t="s">
        <v>16738</v>
      </c>
      <c r="AV328" s="58"/>
      <c r="AW328" s="64">
        <v>45791.7461111111</v>
      </c>
      <c r="AX328" s="56" t="s">
        <v>16736</v>
      </c>
      <c r="AY328" s="56" t="s">
        <v>15179</v>
      </c>
      <c r="AZ328" s="58"/>
      <c r="BA328" s="58"/>
      <c r="BB328" s="58"/>
      <c r="BC328" s="56" t="s">
        <v>16041</v>
      </c>
      <c r="BD328" s="56" t="s">
        <v>15197</v>
      </c>
      <c r="BE328" s="56" t="s">
        <v>16034</v>
      </c>
      <c r="BF328" s="56" t="s">
        <v>15181</v>
      </c>
      <c r="BG328" s="58"/>
      <c r="BH328" s="58"/>
      <c r="BI328" s="57" t="s">
        <v>2801</v>
      </c>
      <c r="BJ328" s="58"/>
      <c r="BK328" s="58"/>
      <c r="BL328" s="66">
        <v>3562230</v>
      </c>
      <c r="BM328" s="56" t="s">
        <v>16739</v>
      </c>
      <c r="BN328" s="58"/>
      <c r="BO328" s="67">
        <v>3127</v>
      </c>
      <c r="BP328" s="56" t="s">
        <v>16395</v>
      </c>
      <c r="BQ328" s="58"/>
      <c r="BR328" s="56" t="s">
        <v>16740</v>
      </c>
      <c r="BS328" s="56" t="s">
        <v>1285</v>
      </c>
      <c r="BT328" s="58"/>
      <c r="BU328" s="56" t="s">
        <v>16737</v>
      </c>
      <c r="BV328" s="58"/>
      <c r="BW328" s="58"/>
      <c r="BX328" s="67">
        <v>3127</v>
      </c>
      <c r="BY328" s="56" t="s">
        <v>1285</v>
      </c>
      <c r="BZ328" s="58"/>
      <c r="CA328" s="58"/>
      <c r="CB328" s="58"/>
      <c r="CC328" s="58"/>
      <c r="CD328" s="58"/>
    </row>
    <row r="329" ht="108" spans="1:82">
      <c r="A329" s="56" t="s">
        <v>16743</v>
      </c>
      <c r="B329" s="58"/>
      <c r="C329" s="57" t="s">
        <v>16733</v>
      </c>
      <c r="D329" s="58"/>
      <c r="E329" s="57" t="s">
        <v>15158</v>
      </c>
      <c r="F329" s="57" t="s">
        <v>16734</v>
      </c>
      <c r="G329" s="57" t="s">
        <v>15160</v>
      </c>
      <c r="H329" s="56" t="s">
        <v>2958</v>
      </c>
      <c r="I329" s="60">
        <v>10943.6</v>
      </c>
      <c r="J329" s="57" t="s">
        <v>1285</v>
      </c>
      <c r="K329" s="57" t="s">
        <v>15162</v>
      </c>
      <c r="L329" s="57" t="s">
        <v>15163</v>
      </c>
      <c r="M329" s="61" t="s">
        <v>14159</v>
      </c>
      <c r="N329" s="62" t="s">
        <v>15515</v>
      </c>
      <c r="O329" s="57" t="s">
        <v>15165</v>
      </c>
      <c r="P329" s="57" t="s">
        <v>15166</v>
      </c>
      <c r="Q329" s="57" t="s">
        <v>2958</v>
      </c>
      <c r="R329" s="57" t="s">
        <v>16031</v>
      </c>
      <c r="S329" s="57" t="s">
        <v>16032</v>
      </c>
      <c r="T329" s="57" t="s">
        <v>15190</v>
      </c>
      <c r="U329" s="57" t="s">
        <v>14184</v>
      </c>
      <c r="V329" s="56" t="s">
        <v>14153</v>
      </c>
      <c r="W329" s="58"/>
      <c r="X329" s="57" t="s">
        <v>16735</v>
      </c>
      <c r="Y329" s="57" t="s">
        <v>15170</v>
      </c>
      <c r="Z329" s="61" t="s">
        <v>16389</v>
      </c>
      <c r="AA329" s="61" t="s">
        <v>14159</v>
      </c>
      <c r="AB329" s="58"/>
      <c r="AC329" s="57" t="s">
        <v>16391</v>
      </c>
      <c r="AD329" s="58"/>
      <c r="AE329" s="58"/>
      <c r="AF329" s="58"/>
      <c r="AG329" s="58"/>
      <c r="AH329" s="58"/>
      <c r="AI329" s="58"/>
      <c r="AJ329" s="58"/>
      <c r="AK329" s="56" t="s">
        <v>1285</v>
      </c>
      <c r="AL329" s="56" t="s">
        <v>16736</v>
      </c>
      <c r="AM329" s="58"/>
      <c r="AN329" s="56" t="s">
        <v>15300</v>
      </c>
      <c r="AO329" s="58"/>
      <c r="AP329" s="63">
        <v>45848.7909606481</v>
      </c>
      <c r="AQ329" s="56" t="s">
        <v>16737</v>
      </c>
      <c r="AR329" s="61" t="s">
        <v>14645</v>
      </c>
      <c r="AS329" s="57" t="s">
        <v>14184</v>
      </c>
      <c r="AT329" s="56" t="s">
        <v>15177</v>
      </c>
      <c r="AU329" s="56" t="s">
        <v>16738</v>
      </c>
      <c r="AV329" s="58"/>
      <c r="AW329" s="64">
        <v>45791.7461111111</v>
      </c>
      <c r="AX329" s="56" t="s">
        <v>16736</v>
      </c>
      <c r="AY329" s="56" t="s">
        <v>15179</v>
      </c>
      <c r="AZ329" s="58"/>
      <c r="BA329" s="58"/>
      <c r="BB329" s="58"/>
      <c r="BC329" s="56" t="s">
        <v>15196</v>
      </c>
      <c r="BD329" s="56" t="s">
        <v>15197</v>
      </c>
      <c r="BE329" s="56" t="s">
        <v>16034</v>
      </c>
      <c r="BF329" s="56" t="s">
        <v>15181</v>
      </c>
      <c r="BG329" s="58"/>
      <c r="BH329" s="58"/>
      <c r="BI329" s="57" t="s">
        <v>2801</v>
      </c>
      <c r="BJ329" s="58"/>
      <c r="BK329" s="58"/>
      <c r="BL329" s="66">
        <v>3562224</v>
      </c>
      <c r="BM329" s="56" t="s">
        <v>16739</v>
      </c>
      <c r="BN329" s="58"/>
      <c r="BO329" s="67">
        <v>41</v>
      </c>
      <c r="BP329" s="56" t="s">
        <v>16395</v>
      </c>
      <c r="BQ329" s="58"/>
      <c r="BR329" s="56" t="s">
        <v>16740</v>
      </c>
      <c r="BS329" s="56" t="s">
        <v>1285</v>
      </c>
      <c r="BT329" s="58"/>
      <c r="BU329" s="56" t="s">
        <v>16737</v>
      </c>
      <c r="BV329" s="58"/>
      <c r="BW329" s="58"/>
      <c r="BX329" s="67">
        <v>41</v>
      </c>
      <c r="BY329" s="56" t="s">
        <v>1285</v>
      </c>
      <c r="BZ329" s="58"/>
      <c r="CA329" s="58"/>
      <c r="CB329" s="58"/>
      <c r="CC329" s="58"/>
      <c r="CD329" s="58"/>
    </row>
    <row r="330" ht="108" spans="1:82">
      <c r="A330" s="56" t="s">
        <v>16744</v>
      </c>
      <c r="B330" s="58"/>
      <c r="C330" s="57" t="s">
        <v>16733</v>
      </c>
      <c r="D330" s="58"/>
      <c r="E330" s="57" t="s">
        <v>15158</v>
      </c>
      <c r="F330" s="57" t="s">
        <v>16734</v>
      </c>
      <c r="G330" s="57" t="s">
        <v>15160</v>
      </c>
      <c r="H330" s="56" t="s">
        <v>2958</v>
      </c>
      <c r="I330" s="60">
        <v>10943.6</v>
      </c>
      <c r="J330" s="57" t="s">
        <v>1285</v>
      </c>
      <c r="K330" s="57" t="s">
        <v>15162</v>
      </c>
      <c r="L330" s="57" t="s">
        <v>15163</v>
      </c>
      <c r="M330" s="61" t="s">
        <v>14159</v>
      </c>
      <c r="N330" s="62" t="s">
        <v>15515</v>
      </c>
      <c r="O330" s="57" t="s">
        <v>15165</v>
      </c>
      <c r="P330" s="57" t="s">
        <v>15166</v>
      </c>
      <c r="Q330" s="57" t="s">
        <v>2958</v>
      </c>
      <c r="R330" s="57" t="s">
        <v>16031</v>
      </c>
      <c r="S330" s="57" t="s">
        <v>16032</v>
      </c>
      <c r="T330" s="57" t="s">
        <v>15190</v>
      </c>
      <c r="U330" s="57" t="s">
        <v>14184</v>
      </c>
      <c r="V330" s="56" t="s">
        <v>14153</v>
      </c>
      <c r="W330" s="58"/>
      <c r="X330" s="57" t="s">
        <v>16735</v>
      </c>
      <c r="Y330" s="57" t="s">
        <v>15170</v>
      </c>
      <c r="Z330" s="61" t="s">
        <v>16389</v>
      </c>
      <c r="AA330" s="61" t="s">
        <v>14159</v>
      </c>
      <c r="AB330" s="58"/>
      <c r="AC330" s="57" t="s">
        <v>16391</v>
      </c>
      <c r="AD330" s="58"/>
      <c r="AE330" s="58"/>
      <c r="AF330" s="58"/>
      <c r="AG330" s="58"/>
      <c r="AH330" s="58"/>
      <c r="AI330" s="58"/>
      <c r="AJ330" s="58"/>
      <c r="AK330" s="56" t="s">
        <v>1285</v>
      </c>
      <c r="AL330" s="56" t="s">
        <v>16736</v>
      </c>
      <c r="AM330" s="58"/>
      <c r="AN330" s="56" t="s">
        <v>15300</v>
      </c>
      <c r="AO330" s="58"/>
      <c r="AP330" s="63">
        <v>45848.7909606481</v>
      </c>
      <c r="AQ330" s="56" t="s">
        <v>16737</v>
      </c>
      <c r="AR330" s="61" t="s">
        <v>14645</v>
      </c>
      <c r="AS330" s="57" t="s">
        <v>14184</v>
      </c>
      <c r="AT330" s="56" t="s">
        <v>15177</v>
      </c>
      <c r="AU330" s="56" t="s">
        <v>16738</v>
      </c>
      <c r="AV330" s="58"/>
      <c r="AW330" s="64">
        <v>45791.7461111111</v>
      </c>
      <c r="AX330" s="56" t="s">
        <v>16736</v>
      </c>
      <c r="AY330" s="56" t="s">
        <v>15179</v>
      </c>
      <c r="AZ330" s="58"/>
      <c r="BA330" s="58"/>
      <c r="BB330" s="58"/>
      <c r="BC330" s="56" t="s">
        <v>1780</v>
      </c>
      <c r="BD330" s="56" t="s">
        <v>15197</v>
      </c>
      <c r="BE330" s="56" t="s">
        <v>16034</v>
      </c>
      <c r="BF330" s="56" t="s">
        <v>15181</v>
      </c>
      <c r="BG330" s="58"/>
      <c r="BH330" s="58"/>
      <c r="BI330" s="57" t="s">
        <v>2801</v>
      </c>
      <c r="BJ330" s="58"/>
      <c r="BK330" s="58"/>
      <c r="BL330" s="66">
        <v>3562225</v>
      </c>
      <c r="BM330" s="56" t="s">
        <v>16739</v>
      </c>
      <c r="BN330" s="58"/>
      <c r="BO330" s="67">
        <v>410</v>
      </c>
      <c r="BP330" s="56" t="s">
        <v>16395</v>
      </c>
      <c r="BQ330" s="58"/>
      <c r="BR330" s="56" t="s">
        <v>16740</v>
      </c>
      <c r="BS330" s="56" t="s">
        <v>1285</v>
      </c>
      <c r="BT330" s="58"/>
      <c r="BU330" s="56" t="s">
        <v>16737</v>
      </c>
      <c r="BV330" s="58"/>
      <c r="BW330" s="58"/>
      <c r="BX330" s="67">
        <v>410</v>
      </c>
      <c r="BY330" s="56" t="s">
        <v>1285</v>
      </c>
      <c r="BZ330" s="58"/>
      <c r="CA330" s="58"/>
      <c r="CB330" s="58"/>
      <c r="CC330" s="58"/>
      <c r="CD330" s="58"/>
    </row>
    <row r="331" ht="108" spans="1:82">
      <c r="A331" s="56" t="s">
        <v>16745</v>
      </c>
      <c r="B331" s="58"/>
      <c r="C331" s="57" t="s">
        <v>16733</v>
      </c>
      <c r="D331" s="58"/>
      <c r="E331" s="57" t="s">
        <v>15158</v>
      </c>
      <c r="F331" s="57" t="s">
        <v>16734</v>
      </c>
      <c r="G331" s="57" t="s">
        <v>15160</v>
      </c>
      <c r="H331" s="56" t="s">
        <v>2958</v>
      </c>
      <c r="I331" s="60">
        <v>10943.6</v>
      </c>
      <c r="J331" s="57" t="s">
        <v>1285</v>
      </c>
      <c r="K331" s="57" t="s">
        <v>15162</v>
      </c>
      <c r="L331" s="57" t="s">
        <v>15163</v>
      </c>
      <c r="M331" s="61" t="s">
        <v>14159</v>
      </c>
      <c r="N331" s="62" t="s">
        <v>15515</v>
      </c>
      <c r="O331" s="57" t="s">
        <v>15165</v>
      </c>
      <c r="P331" s="57" t="s">
        <v>15166</v>
      </c>
      <c r="Q331" s="57" t="s">
        <v>2958</v>
      </c>
      <c r="R331" s="57" t="s">
        <v>16031</v>
      </c>
      <c r="S331" s="57" t="s">
        <v>16032</v>
      </c>
      <c r="T331" s="57" t="s">
        <v>15190</v>
      </c>
      <c r="U331" s="57" t="s">
        <v>14184</v>
      </c>
      <c r="V331" s="56" t="s">
        <v>14153</v>
      </c>
      <c r="W331" s="58"/>
      <c r="X331" s="57" t="s">
        <v>16735</v>
      </c>
      <c r="Y331" s="57" t="s">
        <v>15170</v>
      </c>
      <c r="Z331" s="61" t="s">
        <v>16389</v>
      </c>
      <c r="AA331" s="61" t="s">
        <v>14159</v>
      </c>
      <c r="AB331" s="58"/>
      <c r="AC331" s="57" t="s">
        <v>16391</v>
      </c>
      <c r="AD331" s="58"/>
      <c r="AE331" s="58"/>
      <c r="AF331" s="58"/>
      <c r="AG331" s="58"/>
      <c r="AH331" s="58"/>
      <c r="AI331" s="58"/>
      <c r="AJ331" s="58"/>
      <c r="AK331" s="56" t="s">
        <v>1285</v>
      </c>
      <c r="AL331" s="56" t="s">
        <v>16736</v>
      </c>
      <c r="AM331" s="58"/>
      <c r="AN331" s="56" t="s">
        <v>15300</v>
      </c>
      <c r="AO331" s="58"/>
      <c r="AP331" s="63">
        <v>45848.7909606481</v>
      </c>
      <c r="AQ331" s="56" t="s">
        <v>16737</v>
      </c>
      <c r="AR331" s="61" t="s">
        <v>14645</v>
      </c>
      <c r="AS331" s="57" t="s">
        <v>14184</v>
      </c>
      <c r="AT331" s="56" t="s">
        <v>15177</v>
      </c>
      <c r="AU331" s="56" t="s">
        <v>16738</v>
      </c>
      <c r="AV331" s="58"/>
      <c r="AW331" s="64">
        <v>45791.7461111111</v>
      </c>
      <c r="AX331" s="56" t="s">
        <v>16736</v>
      </c>
      <c r="AY331" s="56" t="s">
        <v>15179</v>
      </c>
      <c r="AZ331" s="58"/>
      <c r="BA331" s="58"/>
      <c r="BB331" s="58"/>
      <c r="BC331" s="56" t="s">
        <v>16041</v>
      </c>
      <c r="BD331" s="56" t="s">
        <v>15197</v>
      </c>
      <c r="BE331" s="56" t="s">
        <v>16034</v>
      </c>
      <c r="BF331" s="56" t="s">
        <v>15181</v>
      </c>
      <c r="BG331" s="58"/>
      <c r="BH331" s="58"/>
      <c r="BI331" s="57" t="s">
        <v>2801</v>
      </c>
      <c r="BJ331" s="58"/>
      <c r="BK331" s="58"/>
      <c r="BL331" s="66">
        <v>3562226</v>
      </c>
      <c r="BM331" s="56" t="s">
        <v>16739</v>
      </c>
      <c r="BN331" s="58"/>
      <c r="BO331" s="67">
        <v>360</v>
      </c>
      <c r="BP331" s="56" t="s">
        <v>16395</v>
      </c>
      <c r="BQ331" s="58"/>
      <c r="BR331" s="56" t="s">
        <v>16740</v>
      </c>
      <c r="BS331" s="56" t="s">
        <v>1285</v>
      </c>
      <c r="BT331" s="58"/>
      <c r="BU331" s="56" t="s">
        <v>16737</v>
      </c>
      <c r="BV331" s="58"/>
      <c r="BW331" s="58"/>
      <c r="BX331" s="67">
        <v>360</v>
      </c>
      <c r="BY331" s="56" t="s">
        <v>1285</v>
      </c>
      <c r="BZ331" s="58"/>
      <c r="CA331" s="58"/>
      <c r="CB331" s="58"/>
      <c r="CC331" s="58"/>
      <c r="CD331" s="58"/>
    </row>
    <row r="332" ht="108" spans="1:82">
      <c r="A332" s="56" t="s">
        <v>16746</v>
      </c>
      <c r="B332" s="58"/>
      <c r="C332" s="57" t="s">
        <v>16733</v>
      </c>
      <c r="D332" s="58"/>
      <c r="E332" s="57" t="s">
        <v>15158</v>
      </c>
      <c r="F332" s="57" t="s">
        <v>16734</v>
      </c>
      <c r="G332" s="57" t="s">
        <v>15160</v>
      </c>
      <c r="H332" s="56" t="s">
        <v>2958</v>
      </c>
      <c r="I332" s="60">
        <v>10943.6</v>
      </c>
      <c r="J332" s="57" t="s">
        <v>1285</v>
      </c>
      <c r="K332" s="57" t="s">
        <v>15162</v>
      </c>
      <c r="L332" s="57" t="s">
        <v>15163</v>
      </c>
      <c r="M332" s="61" t="s">
        <v>14159</v>
      </c>
      <c r="N332" s="62" t="s">
        <v>15515</v>
      </c>
      <c r="O332" s="57" t="s">
        <v>15165</v>
      </c>
      <c r="P332" s="57" t="s">
        <v>15166</v>
      </c>
      <c r="Q332" s="57" t="s">
        <v>2958</v>
      </c>
      <c r="R332" s="57" t="s">
        <v>16031</v>
      </c>
      <c r="S332" s="57" t="s">
        <v>16032</v>
      </c>
      <c r="T332" s="57" t="s">
        <v>15190</v>
      </c>
      <c r="U332" s="57" t="s">
        <v>14184</v>
      </c>
      <c r="V332" s="56" t="s">
        <v>14153</v>
      </c>
      <c r="W332" s="58"/>
      <c r="X332" s="57" t="s">
        <v>16735</v>
      </c>
      <c r="Y332" s="57" t="s">
        <v>15170</v>
      </c>
      <c r="Z332" s="61" t="s">
        <v>16389</v>
      </c>
      <c r="AA332" s="61" t="s">
        <v>14159</v>
      </c>
      <c r="AB332" s="58"/>
      <c r="AC332" s="57" t="s">
        <v>16391</v>
      </c>
      <c r="AD332" s="58"/>
      <c r="AE332" s="58"/>
      <c r="AF332" s="58"/>
      <c r="AG332" s="58"/>
      <c r="AH332" s="58"/>
      <c r="AI332" s="58"/>
      <c r="AJ332" s="58"/>
      <c r="AK332" s="56" t="s">
        <v>1285</v>
      </c>
      <c r="AL332" s="56" t="s">
        <v>16736</v>
      </c>
      <c r="AM332" s="58"/>
      <c r="AN332" s="56" t="s">
        <v>15300</v>
      </c>
      <c r="AO332" s="58"/>
      <c r="AP332" s="63">
        <v>45848.7909606481</v>
      </c>
      <c r="AQ332" s="56" t="s">
        <v>16737</v>
      </c>
      <c r="AR332" s="61" t="s">
        <v>14645</v>
      </c>
      <c r="AS332" s="57" t="s">
        <v>14184</v>
      </c>
      <c r="AT332" s="56" t="s">
        <v>15177</v>
      </c>
      <c r="AU332" s="56" t="s">
        <v>16738</v>
      </c>
      <c r="AV332" s="58"/>
      <c r="AW332" s="64">
        <v>45791.7461111111</v>
      </c>
      <c r="AX332" s="56" t="s">
        <v>16736</v>
      </c>
      <c r="AY332" s="56" t="s">
        <v>15179</v>
      </c>
      <c r="AZ332" s="58"/>
      <c r="BA332" s="58"/>
      <c r="BB332" s="58"/>
      <c r="BC332" s="56" t="s">
        <v>16041</v>
      </c>
      <c r="BD332" s="56" t="s">
        <v>15197</v>
      </c>
      <c r="BE332" s="56" t="s">
        <v>16034</v>
      </c>
      <c r="BF332" s="56" t="s">
        <v>15181</v>
      </c>
      <c r="BG332" s="58"/>
      <c r="BH332" s="58"/>
      <c r="BI332" s="57" t="s">
        <v>2801</v>
      </c>
      <c r="BJ332" s="58"/>
      <c r="BK332" s="58"/>
      <c r="BL332" s="66">
        <v>3562227</v>
      </c>
      <c r="BM332" s="56" t="s">
        <v>16739</v>
      </c>
      <c r="BN332" s="58"/>
      <c r="BO332" s="67">
        <v>264.6</v>
      </c>
      <c r="BP332" s="56" t="s">
        <v>16395</v>
      </c>
      <c r="BQ332" s="58"/>
      <c r="BR332" s="56" t="s">
        <v>16740</v>
      </c>
      <c r="BS332" s="56" t="s">
        <v>1285</v>
      </c>
      <c r="BT332" s="58"/>
      <c r="BU332" s="56" t="s">
        <v>16737</v>
      </c>
      <c r="BV332" s="58"/>
      <c r="BW332" s="58"/>
      <c r="BX332" s="67">
        <v>264.6</v>
      </c>
      <c r="BY332" s="56" t="s">
        <v>1285</v>
      </c>
      <c r="BZ332" s="58"/>
      <c r="CA332" s="58"/>
      <c r="CB332" s="58"/>
      <c r="CC332" s="58"/>
      <c r="CD332" s="58"/>
    </row>
    <row r="333" ht="108" spans="1:82">
      <c r="A333" s="56" t="s">
        <v>16747</v>
      </c>
      <c r="B333" s="58"/>
      <c r="C333" s="57" t="s">
        <v>16733</v>
      </c>
      <c r="D333" s="58"/>
      <c r="E333" s="57" t="s">
        <v>15158</v>
      </c>
      <c r="F333" s="57" t="s">
        <v>16734</v>
      </c>
      <c r="G333" s="57" t="s">
        <v>15160</v>
      </c>
      <c r="H333" s="56" t="s">
        <v>2958</v>
      </c>
      <c r="I333" s="60">
        <v>10943.6</v>
      </c>
      <c r="J333" s="57" t="s">
        <v>1285</v>
      </c>
      <c r="K333" s="57" t="s">
        <v>15162</v>
      </c>
      <c r="L333" s="57" t="s">
        <v>15163</v>
      </c>
      <c r="M333" s="61" t="s">
        <v>14159</v>
      </c>
      <c r="N333" s="62" t="s">
        <v>15515</v>
      </c>
      <c r="O333" s="57" t="s">
        <v>15165</v>
      </c>
      <c r="P333" s="57" t="s">
        <v>15166</v>
      </c>
      <c r="Q333" s="57" t="s">
        <v>2958</v>
      </c>
      <c r="R333" s="57" t="s">
        <v>16031</v>
      </c>
      <c r="S333" s="57" t="s">
        <v>16032</v>
      </c>
      <c r="T333" s="57" t="s">
        <v>15190</v>
      </c>
      <c r="U333" s="57" t="s">
        <v>14184</v>
      </c>
      <c r="V333" s="56" t="s">
        <v>14153</v>
      </c>
      <c r="W333" s="58"/>
      <c r="X333" s="57" t="s">
        <v>16735</v>
      </c>
      <c r="Y333" s="57" t="s">
        <v>15170</v>
      </c>
      <c r="Z333" s="61" t="s">
        <v>16389</v>
      </c>
      <c r="AA333" s="61" t="s">
        <v>14159</v>
      </c>
      <c r="AB333" s="58"/>
      <c r="AC333" s="57" t="s">
        <v>16391</v>
      </c>
      <c r="AD333" s="58"/>
      <c r="AE333" s="58"/>
      <c r="AF333" s="58"/>
      <c r="AG333" s="58"/>
      <c r="AH333" s="58"/>
      <c r="AI333" s="58"/>
      <c r="AJ333" s="58"/>
      <c r="AK333" s="56" t="s">
        <v>1285</v>
      </c>
      <c r="AL333" s="56" t="s">
        <v>16736</v>
      </c>
      <c r="AM333" s="58"/>
      <c r="AN333" s="56" t="s">
        <v>15300</v>
      </c>
      <c r="AO333" s="58"/>
      <c r="AP333" s="63">
        <v>45848.7909606481</v>
      </c>
      <c r="AQ333" s="56" t="s">
        <v>16737</v>
      </c>
      <c r="AR333" s="61" t="s">
        <v>14645</v>
      </c>
      <c r="AS333" s="57" t="s">
        <v>14184</v>
      </c>
      <c r="AT333" s="56" t="s">
        <v>15177</v>
      </c>
      <c r="AU333" s="56" t="s">
        <v>16738</v>
      </c>
      <c r="AV333" s="58"/>
      <c r="AW333" s="64">
        <v>45791.7461111111</v>
      </c>
      <c r="AX333" s="56" t="s">
        <v>16736</v>
      </c>
      <c r="AY333" s="56" t="s">
        <v>15179</v>
      </c>
      <c r="AZ333" s="58"/>
      <c r="BA333" s="58"/>
      <c r="BB333" s="58"/>
      <c r="BC333" s="56" t="s">
        <v>16041</v>
      </c>
      <c r="BD333" s="56" t="s">
        <v>15197</v>
      </c>
      <c r="BE333" s="56" t="s">
        <v>16034</v>
      </c>
      <c r="BF333" s="56" t="s">
        <v>15181</v>
      </c>
      <c r="BG333" s="58"/>
      <c r="BH333" s="58"/>
      <c r="BI333" s="57" t="s">
        <v>2801</v>
      </c>
      <c r="BJ333" s="58"/>
      <c r="BK333" s="58"/>
      <c r="BL333" s="66">
        <v>3562228</v>
      </c>
      <c r="BM333" s="56" t="s">
        <v>16739</v>
      </c>
      <c r="BN333" s="58"/>
      <c r="BO333" s="67">
        <v>1440</v>
      </c>
      <c r="BP333" s="56" t="s">
        <v>16395</v>
      </c>
      <c r="BQ333" s="58"/>
      <c r="BR333" s="56" t="s">
        <v>16740</v>
      </c>
      <c r="BS333" s="56" t="s">
        <v>1285</v>
      </c>
      <c r="BT333" s="58"/>
      <c r="BU333" s="56" t="s">
        <v>16737</v>
      </c>
      <c r="BV333" s="58"/>
      <c r="BW333" s="58"/>
      <c r="BX333" s="67">
        <v>1440</v>
      </c>
      <c r="BY333" s="56" t="s">
        <v>1285</v>
      </c>
      <c r="BZ333" s="58"/>
      <c r="CA333" s="58"/>
      <c r="CB333" s="58"/>
      <c r="CC333" s="58"/>
      <c r="CD333" s="58"/>
    </row>
    <row r="334" ht="108" spans="1:82">
      <c r="A334" s="56" t="s">
        <v>16748</v>
      </c>
      <c r="B334" s="58"/>
      <c r="C334" s="57" t="s">
        <v>16749</v>
      </c>
      <c r="D334" s="58"/>
      <c r="E334" s="57" t="s">
        <v>15158</v>
      </c>
      <c r="F334" s="57" t="s">
        <v>16750</v>
      </c>
      <c r="G334" s="57" t="s">
        <v>15160</v>
      </c>
      <c r="H334" s="56" t="s">
        <v>2928</v>
      </c>
      <c r="I334" s="60">
        <v>30391.23</v>
      </c>
      <c r="J334" s="57" t="s">
        <v>1285</v>
      </c>
      <c r="K334" s="57" t="s">
        <v>15162</v>
      </c>
      <c r="L334" s="57" t="s">
        <v>15163</v>
      </c>
      <c r="M334" s="61" t="s">
        <v>14159</v>
      </c>
      <c r="N334" s="62" t="s">
        <v>14457</v>
      </c>
      <c r="O334" s="57" t="s">
        <v>15165</v>
      </c>
      <c r="P334" s="57" t="s">
        <v>15166</v>
      </c>
      <c r="Q334" s="57" t="s">
        <v>2928</v>
      </c>
      <c r="R334" s="57" t="s">
        <v>16023</v>
      </c>
      <c r="S334" s="57" t="s">
        <v>16024</v>
      </c>
      <c r="T334" s="57" t="s">
        <v>15190</v>
      </c>
      <c r="U334" s="57" t="s">
        <v>14184</v>
      </c>
      <c r="V334" s="56" t="s">
        <v>14153</v>
      </c>
      <c r="W334" s="58"/>
      <c r="X334" s="57" t="s">
        <v>16751</v>
      </c>
      <c r="Y334" s="57" t="s">
        <v>15170</v>
      </c>
      <c r="Z334" s="61" t="s">
        <v>16389</v>
      </c>
      <c r="AA334" s="61" t="s">
        <v>14159</v>
      </c>
      <c r="AB334" s="58"/>
      <c r="AC334" s="57" t="s">
        <v>16391</v>
      </c>
      <c r="AD334" s="58"/>
      <c r="AE334" s="58"/>
      <c r="AF334" s="58"/>
      <c r="AG334" s="58"/>
      <c r="AH334" s="58"/>
      <c r="AI334" s="58"/>
      <c r="AJ334" s="58"/>
      <c r="AK334" s="56" t="s">
        <v>1285</v>
      </c>
      <c r="AL334" s="56" t="s">
        <v>16752</v>
      </c>
      <c r="AM334" s="58"/>
      <c r="AN334" s="56" t="s">
        <v>15375</v>
      </c>
      <c r="AO334" s="58"/>
      <c r="AP334" s="63">
        <v>45848.7896875</v>
      </c>
      <c r="AQ334" s="56" t="s">
        <v>16753</v>
      </c>
      <c r="AR334" s="61" t="s">
        <v>14645</v>
      </c>
      <c r="AS334" s="57" t="s">
        <v>14184</v>
      </c>
      <c r="AT334" s="56" t="s">
        <v>15177</v>
      </c>
      <c r="AU334" s="56" t="s">
        <v>16754</v>
      </c>
      <c r="AV334" s="58"/>
      <c r="AW334" s="64">
        <v>45791.7459837963</v>
      </c>
      <c r="AX334" s="56" t="s">
        <v>16752</v>
      </c>
      <c r="AY334" s="56" t="s">
        <v>15179</v>
      </c>
      <c r="AZ334" s="58"/>
      <c r="BA334" s="58"/>
      <c r="BB334" s="58"/>
      <c r="BC334" s="56" t="s">
        <v>15965</v>
      </c>
      <c r="BD334" s="56" t="s">
        <v>15197</v>
      </c>
      <c r="BE334" s="58"/>
      <c r="BF334" s="56" t="s">
        <v>15181</v>
      </c>
      <c r="BG334" s="58"/>
      <c r="BH334" s="58"/>
      <c r="BI334" s="57" t="s">
        <v>2801</v>
      </c>
      <c r="BJ334" s="58"/>
      <c r="BK334" s="58"/>
      <c r="BL334" s="66">
        <v>3556007</v>
      </c>
      <c r="BM334" s="56" t="s">
        <v>16755</v>
      </c>
      <c r="BN334" s="58"/>
      <c r="BO334" s="67">
        <v>30391.23</v>
      </c>
      <c r="BP334" s="56" t="s">
        <v>16395</v>
      </c>
      <c r="BQ334" s="58"/>
      <c r="BR334" s="56" t="s">
        <v>16756</v>
      </c>
      <c r="BS334" s="56" t="s">
        <v>1285</v>
      </c>
      <c r="BT334" s="58"/>
      <c r="BU334" s="56" t="s">
        <v>16753</v>
      </c>
      <c r="BV334" s="58"/>
      <c r="BW334" s="58"/>
      <c r="BX334" s="67">
        <v>30391.23</v>
      </c>
      <c r="BY334" s="58"/>
      <c r="BZ334" s="58"/>
      <c r="CA334" s="58"/>
      <c r="CB334" s="58"/>
      <c r="CC334" s="58"/>
      <c r="CD334" s="58"/>
    </row>
    <row r="335" ht="108" spans="1:82">
      <c r="A335" s="56" t="s">
        <v>16757</v>
      </c>
      <c r="B335" s="58"/>
      <c r="C335" s="57" t="s">
        <v>16758</v>
      </c>
      <c r="D335" s="58"/>
      <c r="E335" s="57" t="s">
        <v>15158</v>
      </c>
      <c r="F335" s="57" t="s">
        <v>16759</v>
      </c>
      <c r="G335" s="57" t="s">
        <v>15160</v>
      </c>
      <c r="H335" s="56" t="s">
        <v>3112</v>
      </c>
      <c r="I335" s="60">
        <v>2893.59</v>
      </c>
      <c r="J335" s="57" t="s">
        <v>1285</v>
      </c>
      <c r="K335" s="57" t="s">
        <v>15162</v>
      </c>
      <c r="L335" s="57" t="s">
        <v>15163</v>
      </c>
      <c r="M335" s="61" t="s">
        <v>14159</v>
      </c>
      <c r="N335" s="62" t="s">
        <v>15515</v>
      </c>
      <c r="O335" s="57" t="s">
        <v>15165</v>
      </c>
      <c r="P335" s="57" t="s">
        <v>15166</v>
      </c>
      <c r="Q335" s="57" t="s">
        <v>3112</v>
      </c>
      <c r="R335" s="57" t="s">
        <v>15188</v>
      </c>
      <c r="S335" s="57" t="s">
        <v>15189</v>
      </c>
      <c r="T335" s="57" t="s">
        <v>15190</v>
      </c>
      <c r="U335" s="57" t="s">
        <v>14184</v>
      </c>
      <c r="V335" s="56" t="s">
        <v>14153</v>
      </c>
      <c r="W335" s="58"/>
      <c r="X335" s="57" t="s">
        <v>16760</v>
      </c>
      <c r="Y335" s="57" t="s">
        <v>15170</v>
      </c>
      <c r="Z335" s="61" t="s">
        <v>16389</v>
      </c>
      <c r="AA335" s="61" t="s">
        <v>14159</v>
      </c>
      <c r="AB335" s="58"/>
      <c r="AC335" s="57" t="s">
        <v>16391</v>
      </c>
      <c r="AD335" s="58"/>
      <c r="AE335" s="58"/>
      <c r="AF335" s="58"/>
      <c r="AG335" s="58"/>
      <c r="AH335" s="58"/>
      <c r="AI335" s="58"/>
      <c r="AJ335" s="58"/>
      <c r="AK335" s="56" t="s">
        <v>1285</v>
      </c>
      <c r="AL335" s="56" t="s">
        <v>16761</v>
      </c>
      <c r="AM335" s="58"/>
      <c r="AN335" s="56" t="s">
        <v>16111</v>
      </c>
      <c r="AO335" s="58"/>
      <c r="AP335" s="63">
        <v>45848.7867824074</v>
      </c>
      <c r="AQ335" s="56" t="s">
        <v>16762</v>
      </c>
      <c r="AR335" s="61" t="s">
        <v>14645</v>
      </c>
      <c r="AS335" s="57" t="s">
        <v>14184</v>
      </c>
      <c r="AT335" s="56" t="s">
        <v>15177</v>
      </c>
      <c r="AU335" s="56" t="s">
        <v>16763</v>
      </c>
      <c r="AV335" s="58"/>
      <c r="AW335" s="64">
        <v>45791.7175810185</v>
      </c>
      <c r="AX335" s="56" t="s">
        <v>16761</v>
      </c>
      <c r="AY335" s="56" t="s">
        <v>15179</v>
      </c>
      <c r="AZ335" s="58"/>
      <c r="BA335" s="58"/>
      <c r="BB335" s="58"/>
      <c r="BC335" s="56" t="s">
        <v>15196</v>
      </c>
      <c r="BD335" s="56" t="s">
        <v>15197</v>
      </c>
      <c r="BE335" s="58"/>
      <c r="BF335" s="56" t="s">
        <v>15181</v>
      </c>
      <c r="BG335" s="58"/>
      <c r="BH335" s="58"/>
      <c r="BI335" s="57" t="s">
        <v>2801</v>
      </c>
      <c r="BJ335" s="58"/>
      <c r="BK335" s="58"/>
      <c r="BL335" s="66">
        <v>3519125</v>
      </c>
      <c r="BM335" s="56" t="s">
        <v>16764</v>
      </c>
      <c r="BN335" s="58"/>
      <c r="BO335" s="67">
        <v>591.49</v>
      </c>
      <c r="BP335" s="56" t="s">
        <v>16395</v>
      </c>
      <c r="BQ335" s="58"/>
      <c r="BR335" s="56" t="s">
        <v>16765</v>
      </c>
      <c r="BS335" s="56" t="s">
        <v>1285</v>
      </c>
      <c r="BT335" s="58"/>
      <c r="BU335" s="56" t="s">
        <v>16762</v>
      </c>
      <c r="BV335" s="58"/>
      <c r="BW335" s="58"/>
      <c r="BX335" s="67">
        <v>591.49</v>
      </c>
      <c r="BY335" s="58"/>
      <c r="BZ335" s="58"/>
      <c r="CA335" s="58"/>
      <c r="CB335" s="58"/>
      <c r="CC335" s="58"/>
      <c r="CD335" s="58"/>
    </row>
    <row r="336" ht="108" spans="1:82">
      <c r="A336" s="56" t="s">
        <v>16766</v>
      </c>
      <c r="B336" s="58"/>
      <c r="C336" s="57" t="s">
        <v>16758</v>
      </c>
      <c r="D336" s="58"/>
      <c r="E336" s="57" t="s">
        <v>15158</v>
      </c>
      <c r="F336" s="57" t="s">
        <v>16759</v>
      </c>
      <c r="G336" s="57" t="s">
        <v>15160</v>
      </c>
      <c r="H336" s="56" t="s">
        <v>3112</v>
      </c>
      <c r="I336" s="60">
        <v>2893.59</v>
      </c>
      <c r="J336" s="57" t="s">
        <v>1285</v>
      </c>
      <c r="K336" s="57" t="s">
        <v>15162</v>
      </c>
      <c r="L336" s="57" t="s">
        <v>15163</v>
      </c>
      <c r="M336" s="61" t="s">
        <v>14159</v>
      </c>
      <c r="N336" s="62" t="s">
        <v>15515</v>
      </c>
      <c r="O336" s="57" t="s">
        <v>15165</v>
      </c>
      <c r="P336" s="57" t="s">
        <v>15166</v>
      </c>
      <c r="Q336" s="57" t="s">
        <v>3112</v>
      </c>
      <c r="R336" s="57" t="s">
        <v>15188</v>
      </c>
      <c r="S336" s="57" t="s">
        <v>15189</v>
      </c>
      <c r="T336" s="57" t="s">
        <v>15190</v>
      </c>
      <c r="U336" s="57" t="s">
        <v>14184</v>
      </c>
      <c r="V336" s="56" t="s">
        <v>14153</v>
      </c>
      <c r="W336" s="58"/>
      <c r="X336" s="57" t="s">
        <v>16760</v>
      </c>
      <c r="Y336" s="57" t="s">
        <v>15170</v>
      </c>
      <c r="Z336" s="61" t="s">
        <v>16389</v>
      </c>
      <c r="AA336" s="61" t="s">
        <v>14159</v>
      </c>
      <c r="AB336" s="58"/>
      <c r="AC336" s="57" t="s">
        <v>16391</v>
      </c>
      <c r="AD336" s="58"/>
      <c r="AE336" s="58"/>
      <c r="AF336" s="58"/>
      <c r="AG336" s="58"/>
      <c r="AH336" s="58"/>
      <c r="AI336" s="58"/>
      <c r="AJ336" s="58"/>
      <c r="AK336" s="56" t="s">
        <v>1285</v>
      </c>
      <c r="AL336" s="56" t="s">
        <v>16761</v>
      </c>
      <c r="AM336" s="58"/>
      <c r="AN336" s="56" t="s">
        <v>16111</v>
      </c>
      <c r="AO336" s="58"/>
      <c r="AP336" s="63">
        <v>45848.7867824074</v>
      </c>
      <c r="AQ336" s="56" t="s">
        <v>16762</v>
      </c>
      <c r="AR336" s="61" t="s">
        <v>14645</v>
      </c>
      <c r="AS336" s="57" t="s">
        <v>14184</v>
      </c>
      <c r="AT336" s="56" t="s">
        <v>15177</v>
      </c>
      <c r="AU336" s="56" t="s">
        <v>16763</v>
      </c>
      <c r="AV336" s="58"/>
      <c r="AW336" s="64">
        <v>45791.7175810185</v>
      </c>
      <c r="AX336" s="56" t="s">
        <v>16761</v>
      </c>
      <c r="AY336" s="56" t="s">
        <v>15179</v>
      </c>
      <c r="AZ336" s="58"/>
      <c r="BA336" s="58"/>
      <c r="BB336" s="58"/>
      <c r="BC336" s="56" t="s">
        <v>15196</v>
      </c>
      <c r="BD336" s="56" t="s">
        <v>15197</v>
      </c>
      <c r="BE336" s="58"/>
      <c r="BF336" s="56" t="s">
        <v>15181</v>
      </c>
      <c r="BG336" s="58"/>
      <c r="BH336" s="58"/>
      <c r="BI336" s="57" t="s">
        <v>2801</v>
      </c>
      <c r="BJ336" s="58"/>
      <c r="BK336" s="58"/>
      <c r="BL336" s="66">
        <v>3519126</v>
      </c>
      <c r="BM336" s="56" t="s">
        <v>16764</v>
      </c>
      <c r="BN336" s="58"/>
      <c r="BO336" s="67">
        <v>150</v>
      </c>
      <c r="BP336" s="56" t="s">
        <v>16395</v>
      </c>
      <c r="BQ336" s="58"/>
      <c r="BR336" s="56" t="s">
        <v>16765</v>
      </c>
      <c r="BS336" s="56" t="s">
        <v>1285</v>
      </c>
      <c r="BT336" s="58"/>
      <c r="BU336" s="56" t="s">
        <v>16762</v>
      </c>
      <c r="BV336" s="58"/>
      <c r="BW336" s="58"/>
      <c r="BX336" s="67">
        <v>150</v>
      </c>
      <c r="BY336" s="58"/>
      <c r="BZ336" s="58"/>
      <c r="CA336" s="58"/>
      <c r="CB336" s="58"/>
      <c r="CC336" s="58"/>
      <c r="CD336" s="58"/>
    </row>
    <row r="337" ht="108" spans="1:82">
      <c r="A337" s="56" t="s">
        <v>16767</v>
      </c>
      <c r="B337" s="58"/>
      <c r="C337" s="57" t="s">
        <v>16758</v>
      </c>
      <c r="D337" s="58"/>
      <c r="E337" s="57" t="s">
        <v>15158</v>
      </c>
      <c r="F337" s="57" t="s">
        <v>16759</v>
      </c>
      <c r="G337" s="57" t="s">
        <v>15160</v>
      </c>
      <c r="H337" s="56" t="s">
        <v>3112</v>
      </c>
      <c r="I337" s="60">
        <v>2893.59</v>
      </c>
      <c r="J337" s="57" t="s">
        <v>1285</v>
      </c>
      <c r="K337" s="57" t="s">
        <v>15162</v>
      </c>
      <c r="L337" s="57" t="s">
        <v>15163</v>
      </c>
      <c r="M337" s="61" t="s">
        <v>14159</v>
      </c>
      <c r="N337" s="62" t="s">
        <v>15515</v>
      </c>
      <c r="O337" s="57" t="s">
        <v>15165</v>
      </c>
      <c r="P337" s="57" t="s">
        <v>15166</v>
      </c>
      <c r="Q337" s="57" t="s">
        <v>3112</v>
      </c>
      <c r="R337" s="57" t="s">
        <v>15188</v>
      </c>
      <c r="S337" s="57" t="s">
        <v>15189</v>
      </c>
      <c r="T337" s="57" t="s">
        <v>15190</v>
      </c>
      <c r="U337" s="57" t="s">
        <v>14184</v>
      </c>
      <c r="V337" s="56" t="s">
        <v>14153</v>
      </c>
      <c r="W337" s="58"/>
      <c r="X337" s="57" t="s">
        <v>16760</v>
      </c>
      <c r="Y337" s="57" t="s">
        <v>15170</v>
      </c>
      <c r="Z337" s="61" t="s">
        <v>16389</v>
      </c>
      <c r="AA337" s="61" t="s">
        <v>14159</v>
      </c>
      <c r="AB337" s="58"/>
      <c r="AC337" s="57" t="s">
        <v>16391</v>
      </c>
      <c r="AD337" s="58"/>
      <c r="AE337" s="58"/>
      <c r="AF337" s="58"/>
      <c r="AG337" s="58"/>
      <c r="AH337" s="58"/>
      <c r="AI337" s="58"/>
      <c r="AJ337" s="58"/>
      <c r="AK337" s="56" t="s">
        <v>1285</v>
      </c>
      <c r="AL337" s="56" t="s">
        <v>16761</v>
      </c>
      <c r="AM337" s="58"/>
      <c r="AN337" s="56" t="s">
        <v>16111</v>
      </c>
      <c r="AO337" s="58"/>
      <c r="AP337" s="63">
        <v>45848.7867824074</v>
      </c>
      <c r="AQ337" s="56" t="s">
        <v>16762</v>
      </c>
      <c r="AR337" s="61" t="s">
        <v>14645</v>
      </c>
      <c r="AS337" s="57" t="s">
        <v>14184</v>
      </c>
      <c r="AT337" s="56" t="s">
        <v>15177</v>
      </c>
      <c r="AU337" s="56" t="s">
        <v>16763</v>
      </c>
      <c r="AV337" s="58"/>
      <c r="AW337" s="64">
        <v>45791.7175810185</v>
      </c>
      <c r="AX337" s="56" t="s">
        <v>16761</v>
      </c>
      <c r="AY337" s="56" t="s">
        <v>15179</v>
      </c>
      <c r="AZ337" s="58"/>
      <c r="BA337" s="58"/>
      <c r="BB337" s="58"/>
      <c r="BC337" s="56" t="s">
        <v>15196</v>
      </c>
      <c r="BD337" s="56" t="s">
        <v>15197</v>
      </c>
      <c r="BE337" s="58"/>
      <c r="BF337" s="56" t="s">
        <v>15181</v>
      </c>
      <c r="BG337" s="58"/>
      <c r="BH337" s="58"/>
      <c r="BI337" s="57" t="s">
        <v>2801</v>
      </c>
      <c r="BJ337" s="58"/>
      <c r="BK337" s="58"/>
      <c r="BL337" s="66">
        <v>3519127</v>
      </c>
      <c r="BM337" s="56" t="s">
        <v>16764</v>
      </c>
      <c r="BN337" s="58"/>
      <c r="BO337" s="67">
        <v>500</v>
      </c>
      <c r="BP337" s="56" t="s">
        <v>16395</v>
      </c>
      <c r="BQ337" s="58"/>
      <c r="BR337" s="56" t="s">
        <v>16765</v>
      </c>
      <c r="BS337" s="56" t="s">
        <v>1285</v>
      </c>
      <c r="BT337" s="58"/>
      <c r="BU337" s="56" t="s">
        <v>16762</v>
      </c>
      <c r="BV337" s="58"/>
      <c r="BW337" s="58"/>
      <c r="BX337" s="67">
        <v>500</v>
      </c>
      <c r="BY337" s="58"/>
      <c r="BZ337" s="58"/>
      <c r="CA337" s="58"/>
      <c r="CB337" s="58"/>
      <c r="CC337" s="58"/>
      <c r="CD337" s="58"/>
    </row>
    <row r="338" ht="108" spans="1:82">
      <c r="A338" s="56" t="s">
        <v>16768</v>
      </c>
      <c r="B338" s="58"/>
      <c r="C338" s="57" t="s">
        <v>16758</v>
      </c>
      <c r="D338" s="58"/>
      <c r="E338" s="57" t="s">
        <v>15158</v>
      </c>
      <c r="F338" s="57" t="s">
        <v>16759</v>
      </c>
      <c r="G338" s="57" t="s">
        <v>15160</v>
      </c>
      <c r="H338" s="56" t="s">
        <v>3112</v>
      </c>
      <c r="I338" s="60">
        <v>2893.59</v>
      </c>
      <c r="J338" s="57" t="s">
        <v>1285</v>
      </c>
      <c r="K338" s="57" t="s">
        <v>15162</v>
      </c>
      <c r="L338" s="57" t="s">
        <v>15163</v>
      </c>
      <c r="M338" s="61" t="s">
        <v>14159</v>
      </c>
      <c r="N338" s="62" t="s">
        <v>15515</v>
      </c>
      <c r="O338" s="57" t="s">
        <v>15165</v>
      </c>
      <c r="P338" s="57" t="s">
        <v>15166</v>
      </c>
      <c r="Q338" s="57" t="s">
        <v>3112</v>
      </c>
      <c r="R338" s="57" t="s">
        <v>15188</v>
      </c>
      <c r="S338" s="57" t="s">
        <v>15189</v>
      </c>
      <c r="T338" s="57" t="s">
        <v>15190</v>
      </c>
      <c r="U338" s="57" t="s">
        <v>14184</v>
      </c>
      <c r="V338" s="56" t="s">
        <v>14153</v>
      </c>
      <c r="W338" s="58"/>
      <c r="X338" s="57" t="s">
        <v>16760</v>
      </c>
      <c r="Y338" s="57" t="s">
        <v>15170</v>
      </c>
      <c r="Z338" s="61" t="s">
        <v>16389</v>
      </c>
      <c r="AA338" s="61" t="s">
        <v>14159</v>
      </c>
      <c r="AB338" s="58"/>
      <c r="AC338" s="57" t="s">
        <v>16391</v>
      </c>
      <c r="AD338" s="58"/>
      <c r="AE338" s="58"/>
      <c r="AF338" s="58"/>
      <c r="AG338" s="58"/>
      <c r="AH338" s="58"/>
      <c r="AI338" s="58"/>
      <c r="AJ338" s="58"/>
      <c r="AK338" s="56" t="s">
        <v>1285</v>
      </c>
      <c r="AL338" s="56" t="s">
        <v>16761</v>
      </c>
      <c r="AM338" s="58"/>
      <c r="AN338" s="56" t="s">
        <v>16111</v>
      </c>
      <c r="AO338" s="58"/>
      <c r="AP338" s="63">
        <v>45848.7867824074</v>
      </c>
      <c r="AQ338" s="56" t="s">
        <v>16762</v>
      </c>
      <c r="AR338" s="61" t="s">
        <v>14645</v>
      </c>
      <c r="AS338" s="57" t="s">
        <v>14184</v>
      </c>
      <c r="AT338" s="56" t="s">
        <v>15177</v>
      </c>
      <c r="AU338" s="56" t="s">
        <v>16763</v>
      </c>
      <c r="AV338" s="58"/>
      <c r="AW338" s="64">
        <v>45791.7175810185</v>
      </c>
      <c r="AX338" s="56" t="s">
        <v>16761</v>
      </c>
      <c r="AY338" s="56" t="s">
        <v>15179</v>
      </c>
      <c r="AZ338" s="58"/>
      <c r="BA338" s="58"/>
      <c r="BB338" s="58"/>
      <c r="BC338" s="56" t="s">
        <v>15196</v>
      </c>
      <c r="BD338" s="56" t="s">
        <v>15197</v>
      </c>
      <c r="BE338" s="58"/>
      <c r="BF338" s="56" t="s">
        <v>15181</v>
      </c>
      <c r="BG338" s="58"/>
      <c r="BH338" s="58"/>
      <c r="BI338" s="57" t="s">
        <v>2801</v>
      </c>
      <c r="BJ338" s="58"/>
      <c r="BK338" s="58"/>
      <c r="BL338" s="66">
        <v>3519128</v>
      </c>
      <c r="BM338" s="56" t="s">
        <v>16764</v>
      </c>
      <c r="BN338" s="58"/>
      <c r="BO338" s="67">
        <v>509.9</v>
      </c>
      <c r="BP338" s="56" t="s">
        <v>16395</v>
      </c>
      <c r="BQ338" s="58"/>
      <c r="BR338" s="56" t="s">
        <v>16765</v>
      </c>
      <c r="BS338" s="56" t="s">
        <v>1285</v>
      </c>
      <c r="BT338" s="58"/>
      <c r="BU338" s="56" t="s">
        <v>16762</v>
      </c>
      <c r="BV338" s="58"/>
      <c r="BW338" s="58"/>
      <c r="BX338" s="67">
        <v>509.9</v>
      </c>
      <c r="BY338" s="58"/>
      <c r="BZ338" s="58"/>
      <c r="CA338" s="58"/>
      <c r="CB338" s="58"/>
      <c r="CC338" s="58"/>
      <c r="CD338" s="58"/>
    </row>
    <row r="339" ht="108" spans="1:82">
      <c r="A339" s="56" t="s">
        <v>16769</v>
      </c>
      <c r="B339" s="58"/>
      <c r="C339" s="57" t="s">
        <v>16758</v>
      </c>
      <c r="D339" s="58"/>
      <c r="E339" s="57" t="s">
        <v>15158</v>
      </c>
      <c r="F339" s="57" t="s">
        <v>16759</v>
      </c>
      <c r="G339" s="57" t="s">
        <v>15160</v>
      </c>
      <c r="H339" s="56" t="s">
        <v>3112</v>
      </c>
      <c r="I339" s="60">
        <v>2893.59</v>
      </c>
      <c r="J339" s="57" t="s">
        <v>1285</v>
      </c>
      <c r="K339" s="57" t="s">
        <v>15162</v>
      </c>
      <c r="L339" s="57" t="s">
        <v>15163</v>
      </c>
      <c r="M339" s="61" t="s">
        <v>14159</v>
      </c>
      <c r="N339" s="62" t="s">
        <v>15515</v>
      </c>
      <c r="O339" s="57" t="s">
        <v>15165</v>
      </c>
      <c r="P339" s="57" t="s">
        <v>15166</v>
      </c>
      <c r="Q339" s="57" t="s">
        <v>3112</v>
      </c>
      <c r="R339" s="57" t="s">
        <v>15188</v>
      </c>
      <c r="S339" s="57" t="s">
        <v>15189</v>
      </c>
      <c r="T339" s="57" t="s">
        <v>15190</v>
      </c>
      <c r="U339" s="57" t="s">
        <v>14184</v>
      </c>
      <c r="V339" s="56" t="s">
        <v>14153</v>
      </c>
      <c r="W339" s="58"/>
      <c r="X339" s="57" t="s">
        <v>16760</v>
      </c>
      <c r="Y339" s="57" t="s">
        <v>15170</v>
      </c>
      <c r="Z339" s="61" t="s">
        <v>16389</v>
      </c>
      <c r="AA339" s="61" t="s">
        <v>14159</v>
      </c>
      <c r="AB339" s="58"/>
      <c r="AC339" s="57" t="s">
        <v>16391</v>
      </c>
      <c r="AD339" s="58"/>
      <c r="AE339" s="58"/>
      <c r="AF339" s="58"/>
      <c r="AG339" s="58"/>
      <c r="AH339" s="58"/>
      <c r="AI339" s="58"/>
      <c r="AJ339" s="58"/>
      <c r="AK339" s="56" t="s">
        <v>1285</v>
      </c>
      <c r="AL339" s="56" t="s">
        <v>16761</v>
      </c>
      <c r="AM339" s="58"/>
      <c r="AN339" s="56" t="s">
        <v>16111</v>
      </c>
      <c r="AO339" s="58"/>
      <c r="AP339" s="63">
        <v>45848.7867824074</v>
      </c>
      <c r="AQ339" s="56" t="s">
        <v>16762</v>
      </c>
      <c r="AR339" s="61" t="s">
        <v>14645</v>
      </c>
      <c r="AS339" s="57" t="s">
        <v>14184</v>
      </c>
      <c r="AT339" s="56" t="s">
        <v>15177</v>
      </c>
      <c r="AU339" s="56" t="s">
        <v>16763</v>
      </c>
      <c r="AV339" s="58"/>
      <c r="AW339" s="64">
        <v>45791.7175810185</v>
      </c>
      <c r="AX339" s="56" t="s">
        <v>16761</v>
      </c>
      <c r="AY339" s="56" t="s">
        <v>15179</v>
      </c>
      <c r="AZ339" s="58"/>
      <c r="BA339" s="58"/>
      <c r="BB339" s="58"/>
      <c r="BC339" s="56" t="s">
        <v>15196</v>
      </c>
      <c r="BD339" s="56" t="s">
        <v>15197</v>
      </c>
      <c r="BE339" s="58"/>
      <c r="BF339" s="56" t="s">
        <v>15181</v>
      </c>
      <c r="BG339" s="58"/>
      <c r="BH339" s="58"/>
      <c r="BI339" s="57" t="s">
        <v>2801</v>
      </c>
      <c r="BJ339" s="58"/>
      <c r="BK339" s="58"/>
      <c r="BL339" s="66">
        <v>3519129</v>
      </c>
      <c r="BM339" s="56" t="s">
        <v>16764</v>
      </c>
      <c r="BN339" s="58"/>
      <c r="BO339" s="67">
        <v>367.14</v>
      </c>
      <c r="BP339" s="56" t="s">
        <v>16395</v>
      </c>
      <c r="BQ339" s="58"/>
      <c r="BR339" s="56" t="s">
        <v>16765</v>
      </c>
      <c r="BS339" s="56" t="s">
        <v>1285</v>
      </c>
      <c r="BT339" s="58"/>
      <c r="BU339" s="56" t="s">
        <v>16762</v>
      </c>
      <c r="BV339" s="58"/>
      <c r="BW339" s="58"/>
      <c r="BX339" s="67">
        <v>367.14</v>
      </c>
      <c r="BY339" s="58"/>
      <c r="BZ339" s="58"/>
      <c r="CA339" s="58"/>
      <c r="CB339" s="58"/>
      <c r="CC339" s="58"/>
      <c r="CD339" s="58"/>
    </row>
    <row r="340" ht="108" spans="1:82">
      <c r="A340" s="56" t="s">
        <v>16770</v>
      </c>
      <c r="B340" s="58"/>
      <c r="C340" s="57" t="s">
        <v>16758</v>
      </c>
      <c r="D340" s="58"/>
      <c r="E340" s="57" t="s">
        <v>15158</v>
      </c>
      <c r="F340" s="57" t="s">
        <v>16759</v>
      </c>
      <c r="G340" s="57" t="s">
        <v>15160</v>
      </c>
      <c r="H340" s="56" t="s">
        <v>3112</v>
      </c>
      <c r="I340" s="60">
        <v>2893.59</v>
      </c>
      <c r="J340" s="57" t="s">
        <v>1285</v>
      </c>
      <c r="K340" s="57" t="s">
        <v>15162</v>
      </c>
      <c r="L340" s="57" t="s">
        <v>15163</v>
      </c>
      <c r="M340" s="61" t="s">
        <v>14159</v>
      </c>
      <c r="N340" s="62" t="s">
        <v>15515</v>
      </c>
      <c r="O340" s="57" t="s">
        <v>15165</v>
      </c>
      <c r="P340" s="57" t="s">
        <v>15166</v>
      </c>
      <c r="Q340" s="57" t="s">
        <v>3112</v>
      </c>
      <c r="R340" s="57" t="s">
        <v>15188</v>
      </c>
      <c r="S340" s="57" t="s">
        <v>15189</v>
      </c>
      <c r="T340" s="57" t="s">
        <v>15190</v>
      </c>
      <c r="U340" s="57" t="s">
        <v>14184</v>
      </c>
      <c r="V340" s="56" t="s">
        <v>14153</v>
      </c>
      <c r="W340" s="58"/>
      <c r="X340" s="57" t="s">
        <v>16760</v>
      </c>
      <c r="Y340" s="57" t="s">
        <v>15170</v>
      </c>
      <c r="Z340" s="61" t="s">
        <v>16389</v>
      </c>
      <c r="AA340" s="61" t="s">
        <v>14159</v>
      </c>
      <c r="AB340" s="58"/>
      <c r="AC340" s="57" t="s">
        <v>16391</v>
      </c>
      <c r="AD340" s="58"/>
      <c r="AE340" s="58"/>
      <c r="AF340" s="58"/>
      <c r="AG340" s="58"/>
      <c r="AH340" s="58"/>
      <c r="AI340" s="58"/>
      <c r="AJ340" s="58"/>
      <c r="AK340" s="56" t="s">
        <v>1285</v>
      </c>
      <c r="AL340" s="56" t="s">
        <v>16761</v>
      </c>
      <c r="AM340" s="58"/>
      <c r="AN340" s="56" t="s">
        <v>16111</v>
      </c>
      <c r="AO340" s="58"/>
      <c r="AP340" s="63">
        <v>45848.7867824074</v>
      </c>
      <c r="AQ340" s="56" t="s">
        <v>16762</v>
      </c>
      <c r="AR340" s="61" t="s">
        <v>14645</v>
      </c>
      <c r="AS340" s="57" t="s">
        <v>14184</v>
      </c>
      <c r="AT340" s="56" t="s">
        <v>15177</v>
      </c>
      <c r="AU340" s="56" t="s">
        <v>16763</v>
      </c>
      <c r="AV340" s="58"/>
      <c r="AW340" s="64">
        <v>45791.7175810185</v>
      </c>
      <c r="AX340" s="56" t="s">
        <v>16761</v>
      </c>
      <c r="AY340" s="56" t="s">
        <v>15179</v>
      </c>
      <c r="AZ340" s="58"/>
      <c r="BA340" s="58"/>
      <c r="BB340" s="58"/>
      <c r="BC340" s="56" t="s">
        <v>15196</v>
      </c>
      <c r="BD340" s="56" t="s">
        <v>15197</v>
      </c>
      <c r="BE340" s="58"/>
      <c r="BF340" s="56" t="s">
        <v>15181</v>
      </c>
      <c r="BG340" s="58"/>
      <c r="BH340" s="58"/>
      <c r="BI340" s="57" t="s">
        <v>2801</v>
      </c>
      <c r="BJ340" s="58"/>
      <c r="BK340" s="58"/>
      <c r="BL340" s="66">
        <v>3519130</v>
      </c>
      <c r="BM340" s="56" t="s">
        <v>16764</v>
      </c>
      <c r="BN340" s="58"/>
      <c r="BO340" s="67">
        <v>775.06</v>
      </c>
      <c r="BP340" s="56" t="s">
        <v>16395</v>
      </c>
      <c r="BQ340" s="58"/>
      <c r="BR340" s="56" t="s">
        <v>16765</v>
      </c>
      <c r="BS340" s="56" t="s">
        <v>1285</v>
      </c>
      <c r="BT340" s="58"/>
      <c r="BU340" s="56" t="s">
        <v>16762</v>
      </c>
      <c r="BV340" s="58"/>
      <c r="BW340" s="58"/>
      <c r="BX340" s="67">
        <v>775.06</v>
      </c>
      <c r="BY340" s="58"/>
      <c r="BZ340" s="58"/>
      <c r="CA340" s="58"/>
      <c r="CB340" s="58"/>
      <c r="CC340" s="58"/>
      <c r="CD340" s="58"/>
    </row>
    <row r="341" ht="108" spans="1:82">
      <c r="A341" s="56" t="s">
        <v>16771</v>
      </c>
      <c r="B341" s="58"/>
      <c r="C341" s="57" t="s">
        <v>16772</v>
      </c>
      <c r="D341" s="58"/>
      <c r="E341" s="57" t="s">
        <v>15158</v>
      </c>
      <c r="F341" s="57" t="s">
        <v>16773</v>
      </c>
      <c r="G341" s="57" t="s">
        <v>15160</v>
      </c>
      <c r="H341" s="56" t="s">
        <v>2999</v>
      </c>
      <c r="I341" s="60">
        <v>1260</v>
      </c>
      <c r="J341" s="57" t="s">
        <v>1285</v>
      </c>
      <c r="K341" s="57" t="s">
        <v>15162</v>
      </c>
      <c r="L341" s="57" t="s">
        <v>15163</v>
      </c>
      <c r="M341" s="61" t="s">
        <v>14159</v>
      </c>
      <c r="N341" s="62" t="s">
        <v>14457</v>
      </c>
      <c r="O341" s="57" t="s">
        <v>15165</v>
      </c>
      <c r="P341" s="57" t="s">
        <v>15166</v>
      </c>
      <c r="Q341" s="57" t="s">
        <v>2999</v>
      </c>
      <c r="R341" s="57" t="s">
        <v>15219</v>
      </c>
      <c r="S341" s="57" t="s">
        <v>15220</v>
      </c>
      <c r="T341" s="57" t="s">
        <v>15190</v>
      </c>
      <c r="U341" s="57" t="s">
        <v>14184</v>
      </c>
      <c r="V341" s="56" t="s">
        <v>14153</v>
      </c>
      <c r="W341" s="58"/>
      <c r="X341" s="57" t="s">
        <v>16774</v>
      </c>
      <c r="Y341" s="57" t="s">
        <v>15170</v>
      </c>
      <c r="Z341" s="61" t="s">
        <v>16389</v>
      </c>
      <c r="AA341" s="61" t="s">
        <v>14159</v>
      </c>
      <c r="AB341" s="58"/>
      <c r="AC341" s="57" t="s">
        <v>16391</v>
      </c>
      <c r="AD341" s="58"/>
      <c r="AE341" s="58"/>
      <c r="AF341" s="58"/>
      <c r="AG341" s="58"/>
      <c r="AH341" s="58"/>
      <c r="AI341" s="58"/>
      <c r="AJ341" s="58"/>
      <c r="AK341" s="56" t="s">
        <v>1285</v>
      </c>
      <c r="AL341" s="56" t="s">
        <v>16775</v>
      </c>
      <c r="AM341" s="58"/>
      <c r="AN341" s="56" t="s">
        <v>15350</v>
      </c>
      <c r="AO341" s="58"/>
      <c r="AP341" s="63">
        <v>45848.7884722222</v>
      </c>
      <c r="AQ341" s="56" t="s">
        <v>16776</v>
      </c>
      <c r="AR341" s="61" t="s">
        <v>14645</v>
      </c>
      <c r="AS341" s="57" t="s">
        <v>14184</v>
      </c>
      <c r="AT341" s="56" t="s">
        <v>15177</v>
      </c>
      <c r="AU341" s="56" t="s">
        <v>16777</v>
      </c>
      <c r="AV341" s="58"/>
      <c r="AW341" s="64">
        <v>45791.6643518519</v>
      </c>
      <c r="AX341" s="56" t="s">
        <v>16775</v>
      </c>
      <c r="AY341" s="56" t="s">
        <v>15179</v>
      </c>
      <c r="AZ341" s="58"/>
      <c r="BA341" s="58"/>
      <c r="BB341" s="58"/>
      <c r="BC341" s="56" t="s">
        <v>2131</v>
      </c>
      <c r="BD341" s="56" t="s">
        <v>15197</v>
      </c>
      <c r="BE341" s="56" t="s">
        <v>15690</v>
      </c>
      <c r="BF341" s="56" t="s">
        <v>15181</v>
      </c>
      <c r="BG341" s="58"/>
      <c r="BH341" s="58"/>
      <c r="BI341" s="57" t="s">
        <v>2801</v>
      </c>
      <c r="BJ341" s="58"/>
      <c r="BK341" s="58"/>
      <c r="BL341" s="66">
        <v>3562222</v>
      </c>
      <c r="BM341" s="56" t="s">
        <v>16778</v>
      </c>
      <c r="BN341" s="58"/>
      <c r="BO341" s="67">
        <v>1260</v>
      </c>
      <c r="BP341" s="56" t="s">
        <v>16395</v>
      </c>
      <c r="BQ341" s="58"/>
      <c r="BR341" s="56" t="s">
        <v>16779</v>
      </c>
      <c r="BS341" s="56" t="s">
        <v>1285</v>
      </c>
      <c r="BT341" s="58"/>
      <c r="BU341" s="56" t="s">
        <v>16776</v>
      </c>
      <c r="BV341" s="58"/>
      <c r="BW341" s="58"/>
      <c r="BX341" s="67">
        <v>1260</v>
      </c>
      <c r="BY341" s="56" t="s">
        <v>1285</v>
      </c>
      <c r="BZ341" s="58"/>
      <c r="CA341" s="58"/>
      <c r="CB341" s="58"/>
      <c r="CC341" s="58"/>
      <c r="CD341" s="58"/>
    </row>
    <row r="342" ht="108" spans="1:82">
      <c r="A342" s="56" t="s">
        <v>16780</v>
      </c>
      <c r="B342" s="58"/>
      <c r="C342" s="57" t="s">
        <v>16781</v>
      </c>
      <c r="D342" s="58"/>
      <c r="E342" s="57" t="s">
        <v>15158</v>
      </c>
      <c r="F342" s="57" t="s">
        <v>16782</v>
      </c>
      <c r="G342" s="57" t="s">
        <v>15160</v>
      </c>
      <c r="H342" s="56" t="s">
        <v>3307</v>
      </c>
      <c r="I342" s="60">
        <v>1130</v>
      </c>
      <c r="J342" s="57" t="s">
        <v>1285</v>
      </c>
      <c r="K342" s="57" t="s">
        <v>15162</v>
      </c>
      <c r="L342" s="57" t="s">
        <v>15163</v>
      </c>
      <c r="M342" s="61" t="s">
        <v>14159</v>
      </c>
      <c r="N342" s="62" t="s">
        <v>15504</v>
      </c>
      <c r="O342" s="57" t="s">
        <v>15165</v>
      </c>
      <c r="P342" s="57" t="s">
        <v>15166</v>
      </c>
      <c r="Q342" s="57" t="s">
        <v>3307</v>
      </c>
      <c r="R342" s="57" t="s">
        <v>15462</v>
      </c>
      <c r="S342" s="57" t="s">
        <v>15463</v>
      </c>
      <c r="T342" s="57" t="s">
        <v>15190</v>
      </c>
      <c r="U342" s="57" t="s">
        <v>14184</v>
      </c>
      <c r="V342" s="56" t="s">
        <v>14153</v>
      </c>
      <c r="W342" s="58"/>
      <c r="X342" s="57" t="s">
        <v>16783</v>
      </c>
      <c r="Y342" s="57" t="s">
        <v>15170</v>
      </c>
      <c r="Z342" s="61" t="s">
        <v>16389</v>
      </c>
      <c r="AA342" s="61" t="s">
        <v>14159</v>
      </c>
      <c r="AB342" s="58"/>
      <c r="AC342" s="57" t="s">
        <v>16391</v>
      </c>
      <c r="AD342" s="58"/>
      <c r="AE342" s="58"/>
      <c r="AF342" s="58"/>
      <c r="AG342" s="58"/>
      <c r="AH342" s="58"/>
      <c r="AI342" s="58"/>
      <c r="AJ342" s="58"/>
      <c r="AK342" s="56" t="s">
        <v>1285</v>
      </c>
      <c r="AL342" s="56" t="s">
        <v>16784</v>
      </c>
      <c r="AM342" s="58"/>
      <c r="AN342" s="56" t="s">
        <v>16785</v>
      </c>
      <c r="AO342" s="58"/>
      <c r="AP342" s="63">
        <v>45848.7916550926</v>
      </c>
      <c r="AQ342" s="56" t="s">
        <v>16786</v>
      </c>
      <c r="AR342" s="61" t="s">
        <v>14645</v>
      </c>
      <c r="AS342" s="57" t="s">
        <v>14184</v>
      </c>
      <c r="AT342" s="56" t="s">
        <v>15177</v>
      </c>
      <c r="AU342" s="56" t="s">
        <v>16787</v>
      </c>
      <c r="AV342" s="58"/>
      <c r="AW342" s="64">
        <v>45791.6613888889</v>
      </c>
      <c r="AX342" s="56" t="s">
        <v>16784</v>
      </c>
      <c r="AY342" s="56" t="s">
        <v>15179</v>
      </c>
      <c r="AZ342" s="58"/>
      <c r="BA342" s="58"/>
      <c r="BB342" s="58"/>
      <c r="BC342" s="56" t="s">
        <v>15965</v>
      </c>
      <c r="BD342" s="56" t="s">
        <v>15197</v>
      </c>
      <c r="BE342" s="58"/>
      <c r="BF342" s="56" t="s">
        <v>15181</v>
      </c>
      <c r="BG342" s="58"/>
      <c r="BH342" s="58"/>
      <c r="BI342" s="57" t="s">
        <v>2801</v>
      </c>
      <c r="BJ342" s="58"/>
      <c r="BK342" s="58"/>
      <c r="BL342" s="66">
        <v>3556020</v>
      </c>
      <c r="BM342" s="56" t="s">
        <v>16788</v>
      </c>
      <c r="BN342" s="58"/>
      <c r="BO342" s="67">
        <v>1130</v>
      </c>
      <c r="BP342" s="56" t="s">
        <v>16395</v>
      </c>
      <c r="BQ342" s="58"/>
      <c r="BR342" s="56" t="s">
        <v>16789</v>
      </c>
      <c r="BS342" s="56" t="s">
        <v>1285</v>
      </c>
      <c r="BT342" s="58"/>
      <c r="BU342" s="56" t="s">
        <v>16786</v>
      </c>
      <c r="BV342" s="58"/>
      <c r="BW342" s="58"/>
      <c r="BX342" s="67">
        <v>1130</v>
      </c>
      <c r="BY342" s="58"/>
      <c r="BZ342" s="58"/>
      <c r="CA342" s="58"/>
      <c r="CB342" s="58"/>
      <c r="CC342" s="58"/>
      <c r="CD342" s="58"/>
    </row>
    <row r="343" ht="108" spans="1:82">
      <c r="A343" s="56" t="s">
        <v>16790</v>
      </c>
      <c r="B343" s="58"/>
      <c r="C343" s="57" t="s">
        <v>16791</v>
      </c>
      <c r="D343" s="58"/>
      <c r="E343" s="57" t="s">
        <v>15158</v>
      </c>
      <c r="F343" s="57" t="s">
        <v>16792</v>
      </c>
      <c r="G343" s="57" t="s">
        <v>15160</v>
      </c>
      <c r="H343" s="56" t="s">
        <v>2932</v>
      </c>
      <c r="I343" s="60">
        <v>29187.4</v>
      </c>
      <c r="J343" s="57" t="s">
        <v>1285</v>
      </c>
      <c r="K343" s="57" t="s">
        <v>15162</v>
      </c>
      <c r="L343" s="57" t="s">
        <v>15163</v>
      </c>
      <c r="M343" s="61" t="s">
        <v>14159</v>
      </c>
      <c r="N343" s="62" t="s">
        <v>16793</v>
      </c>
      <c r="O343" s="57" t="s">
        <v>15165</v>
      </c>
      <c r="P343" s="57" t="s">
        <v>15166</v>
      </c>
      <c r="Q343" s="57" t="s">
        <v>2932</v>
      </c>
      <c r="R343" s="57" t="s">
        <v>16053</v>
      </c>
      <c r="S343" s="57" t="s">
        <v>16054</v>
      </c>
      <c r="T343" s="57" t="s">
        <v>15190</v>
      </c>
      <c r="U343" s="57" t="s">
        <v>14184</v>
      </c>
      <c r="V343" s="56" t="s">
        <v>14153</v>
      </c>
      <c r="W343" s="58"/>
      <c r="X343" s="57" t="s">
        <v>16794</v>
      </c>
      <c r="Y343" s="57" t="s">
        <v>15170</v>
      </c>
      <c r="Z343" s="61" t="s">
        <v>16389</v>
      </c>
      <c r="AA343" s="61" t="s">
        <v>14159</v>
      </c>
      <c r="AB343" s="58"/>
      <c r="AC343" s="57" t="s">
        <v>16391</v>
      </c>
      <c r="AD343" s="58"/>
      <c r="AE343" s="58"/>
      <c r="AF343" s="58"/>
      <c r="AG343" s="58"/>
      <c r="AH343" s="58"/>
      <c r="AI343" s="58"/>
      <c r="AJ343" s="58"/>
      <c r="AK343" s="56" t="s">
        <v>1285</v>
      </c>
      <c r="AL343" s="56" t="s">
        <v>16795</v>
      </c>
      <c r="AM343" s="58"/>
      <c r="AN343" s="56" t="s">
        <v>15175</v>
      </c>
      <c r="AO343" s="58"/>
      <c r="AP343" s="63">
        <v>45848.7900231481</v>
      </c>
      <c r="AQ343" s="56" t="s">
        <v>16796</v>
      </c>
      <c r="AR343" s="61" t="s">
        <v>14645</v>
      </c>
      <c r="AS343" s="57" t="s">
        <v>14184</v>
      </c>
      <c r="AT343" s="56" t="s">
        <v>15177</v>
      </c>
      <c r="AU343" s="56" t="s">
        <v>16797</v>
      </c>
      <c r="AV343" s="58"/>
      <c r="AW343" s="64">
        <v>45776.7976273148</v>
      </c>
      <c r="AX343" s="56" t="s">
        <v>16795</v>
      </c>
      <c r="AY343" s="56" t="s">
        <v>15179</v>
      </c>
      <c r="AZ343" s="58"/>
      <c r="BA343" s="58"/>
      <c r="BB343" s="58"/>
      <c r="BC343" s="56" t="s">
        <v>15617</v>
      </c>
      <c r="BD343" s="56" t="s">
        <v>15197</v>
      </c>
      <c r="BE343" s="58"/>
      <c r="BF343" s="56" t="s">
        <v>15181</v>
      </c>
      <c r="BG343" s="58"/>
      <c r="BH343" s="58"/>
      <c r="BI343" s="57" t="s">
        <v>2801</v>
      </c>
      <c r="BJ343" s="58"/>
      <c r="BK343" s="58"/>
      <c r="BL343" s="66">
        <v>3515865</v>
      </c>
      <c r="BM343" s="56" t="s">
        <v>16798</v>
      </c>
      <c r="BN343" s="58"/>
      <c r="BO343" s="67">
        <v>29187.4</v>
      </c>
      <c r="BP343" s="56" t="s">
        <v>16395</v>
      </c>
      <c r="BQ343" s="58"/>
      <c r="BR343" s="56" t="s">
        <v>16799</v>
      </c>
      <c r="BS343" s="56" t="s">
        <v>1285</v>
      </c>
      <c r="BT343" s="58"/>
      <c r="BU343" s="56" t="s">
        <v>16796</v>
      </c>
      <c r="BV343" s="58"/>
      <c r="BW343" s="58"/>
      <c r="BX343" s="67">
        <v>29187.4</v>
      </c>
      <c r="BY343" s="58"/>
      <c r="BZ343" s="58"/>
      <c r="CA343" s="58"/>
      <c r="CB343" s="58"/>
      <c r="CC343" s="58"/>
      <c r="CD343" s="58"/>
    </row>
    <row r="344" ht="108" spans="1:82">
      <c r="A344" s="56" t="s">
        <v>16800</v>
      </c>
      <c r="B344" s="58"/>
      <c r="C344" s="57" t="s">
        <v>16801</v>
      </c>
      <c r="D344" s="58"/>
      <c r="E344" s="57" t="s">
        <v>15158</v>
      </c>
      <c r="F344" s="57" t="s">
        <v>16802</v>
      </c>
      <c r="G344" s="57" t="s">
        <v>15160</v>
      </c>
      <c r="H344" s="56" t="s">
        <v>3075</v>
      </c>
      <c r="I344" s="60">
        <v>6136</v>
      </c>
      <c r="J344" s="57" t="s">
        <v>1285</v>
      </c>
      <c r="K344" s="57" t="s">
        <v>15162</v>
      </c>
      <c r="L344" s="57" t="s">
        <v>15163</v>
      </c>
      <c r="M344" s="61" t="s">
        <v>14159</v>
      </c>
      <c r="N344" s="62" t="s">
        <v>16304</v>
      </c>
      <c r="O344" s="57" t="s">
        <v>15165</v>
      </c>
      <c r="P344" s="57" t="s">
        <v>15166</v>
      </c>
      <c r="Q344" s="57" t="s">
        <v>3075</v>
      </c>
      <c r="R344" s="57" t="s">
        <v>15659</v>
      </c>
      <c r="S344" s="57" t="s">
        <v>15660</v>
      </c>
      <c r="T344" s="57" t="s">
        <v>15190</v>
      </c>
      <c r="U344" s="57" t="s">
        <v>14184</v>
      </c>
      <c r="V344" s="56" t="s">
        <v>14153</v>
      </c>
      <c r="W344" s="58"/>
      <c r="X344" s="57" t="s">
        <v>16803</v>
      </c>
      <c r="Y344" s="57" t="s">
        <v>15170</v>
      </c>
      <c r="Z344" s="61" t="s">
        <v>16389</v>
      </c>
      <c r="AA344" s="61" t="s">
        <v>14159</v>
      </c>
      <c r="AB344" s="58"/>
      <c r="AC344" s="57" t="s">
        <v>16391</v>
      </c>
      <c r="AD344" s="58"/>
      <c r="AE344" s="58"/>
      <c r="AF344" s="58"/>
      <c r="AG344" s="58"/>
      <c r="AH344" s="58"/>
      <c r="AI344" s="58"/>
      <c r="AJ344" s="58"/>
      <c r="AK344" s="56" t="s">
        <v>1285</v>
      </c>
      <c r="AL344" s="56" t="s">
        <v>16804</v>
      </c>
      <c r="AM344" s="58"/>
      <c r="AN344" s="56" t="s">
        <v>15336</v>
      </c>
      <c r="AO344" s="58"/>
      <c r="AP344" s="63">
        <v>45848.7898726852</v>
      </c>
      <c r="AQ344" s="56" t="s">
        <v>16805</v>
      </c>
      <c r="AR344" s="61" t="s">
        <v>14645</v>
      </c>
      <c r="AS344" s="57" t="s">
        <v>14184</v>
      </c>
      <c r="AT344" s="56" t="s">
        <v>15177</v>
      </c>
      <c r="AU344" s="56" t="s">
        <v>16806</v>
      </c>
      <c r="AV344" s="58"/>
      <c r="AW344" s="64">
        <v>45776.7975462963</v>
      </c>
      <c r="AX344" s="56" t="s">
        <v>16804</v>
      </c>
      <c r="AY344" s="56" t="s">
        <v>15179</v>
      </c>
      <c r="AZ344" s="58"/>
      <c r="BA344" s="58"/>
      <c r="BB344" s="58"/>
      <c r="BC344" s="56" t="s">
        <v>15653</v>
      </c>
      <c r="BD344" s="56" t="s">
        <v>15197</v>
      </c>
      <c r="BE344" s="56" t="s">
        <v>15666</v>
      </c>
      <c r="BF344" s="56" t="s">
        <v>15181</v>
      </c>
      <c r="BG344" s="58"/>
      <c r="BH344" s="58"/>
      <c r="BI344" s="57" t="s">
        <v>2801</v>
      </c>
      <c r="BJ344" s="58"/>
      <c r="BK344" s="58"/>
      <c r="BL344" s="66">
        <v>3514718</v>
      </c>
      <c r="BM344" s="56" t="s">
        <v>16807</v>
      </c>
      <c r="BN344" s="58"/>
      <c r="BO344" s="67">
        <v>2096</v>
      </c>
      <c r="BP344" s="56" t="s">
        <v>16395</v>
      </c>
      <c r="BQ344" s="58"/>
      <c r="BR344" s="56" t="s">
        <v>16808</v>
      </c>
      <c r="BS344" s="56" t="s">
        <v>1285</v>
      </c>
      <c r="BT344" s="58"/>
      <c r="BU344" s="56" t="s">
        <v>16805</v>
      </c>
      <c r="BV344" s="58"/>
      <c r="BW344" s="58"/>
      <c r="BX344" s="67">
        <v>2096</v>
      </c>
      <c r="BY344" s="56" t="s">
        <v>1285</v>
      </c>
      <c r="BZ344" s="58"/>
      <c r="CA344" s="58"/>
      <c r="CB344" s="58"/>
      <c r="CC344" s="58"/>
      <c r="CD344" s="58"/>
    </row>
    <row r="345" ht="108" spans="1:82">
      <c r="A345" s="56" t="s">
        <v>16809</v>
      </c>
      <c r="B345" s="58"/>
      <c r="C345" s="57" t="s">
        <v>16801</v>
      </c>
      <c r="D345" s="58"/>
      <c r="E345" s="57" t="s">
        <v>15158</v>
      </c>
      <c r="F345" s="57" t="s">
        <v>16802</v>
      </c>
      <c r="G345" s="57" t="s">
        <v>15160</v>
      </c>
      <c r="H345" s="56" t="s">
        <v>3075</v>
      </c>
      <c r="I345" s="60">
        <v>6136</v>
      </c>
      <c r="J345" s="57" t="s">
        <v>1285</v>
      </c>
      <c r="K345" s="57" t="s">
        <v>15162</v>
      </c>
      <c r="L345" s="57" t="s">
        <v>15163</v>
      </c>
      <c r="M345" s="61" t="s">
        <v>14159</v>
      </c>
      <c r="N345" s="62" t="s">
        <v>16304</v>
      </c>
      <c r="O345" s="57" t="s">
        <v>15165</v>
      </c>
      <c r="P345" s="57" t="s">
        <v>15166</v>
      </c>
      <c r="Q345" s="57" t="s">
        <v>3075</v>
      </c>
      <c r="R345" s="57" t="s">
        <v>15659</v>
      </c>
      <c r="S345" s="57" t="s">
        <v>15660</v>
      </c>
      <c r="T345" s="57" t="s">
        <v>15190</v>
      </c>
      <c r="U345" s="57" t="s">
        <v>14184</v>
      </c>
      <c r="V345" s="56" t="s">
        <v>14153</v>
      </c>
      <c r="W345" s="58"/>
      <c r="X345" s="57" t="s">
        <v>16803</v>
      </c>
      <c r="Y345" s="57" t="s">
        <v>15170</v>
      </c>
      <c r="Z345" s="61" t="s">
        <v>16389</v>
      </c>
      <c r="AA345" s="61" t="s">
        <v>14159</v>
      </c>
      <c r="AB345" s="58"/>
      <c r="AC345" s="57" t="s">
        <v>16391</v>
      </c>
      <c r="AD345" s="58"/>
      <c r="AE345" s="58"/>
      <c r="AF345" s="58"/>
      <c r="AG345" s="58"/>
      <c r="AH345" s="58"/>
      <c r="AI345" s="58"/>
      <c r="AJ345" s="58"/>
      <c r="AK345" s="56" t="s">
        <v>1285</v>
      </c>
      <c r="AL345" s="56" t="s">
        <v>16804</v>
      </c>
      <c r="AM345" s="58"/>
      <c r="AN345" s="56" t="s">
        <v>15336</v>
      </c>
      <c r="AO345" s="58"/>
      <c r="AP345" s="63">
        <v>45848.7898726852</v>
      </c>
      <c r="AQ345" s="56" t="s">
        <v>16805</v>
      </c>
      <c r="AR345" s="61" t="s">
        <v>14645</v>
      </c>
      <c r="AS345" s="57" t="s">
        <v>14184</v>
      </c>
      <c r="AT345" s="56" t="s">
        <v>15177</v>
      </c>
      <c r="AU345" s="56" t="s">
        <v>16806</v>
      </c>
      <c r="AV345" s="58"/>
      <c r="AW345" s="64">
        <v>45776.7975462963</v>
      </c>
      <c r="AX345" s="56" t="s">
        <v>16804</v>
      </c>
      <c r="AY345" s="56" t="s">
        <v>15179</v>
      </c>
      <c r="AZ345" s="58"/>
      <c r="BA345" s="58"/>
      <c r="BB345" s="58"/>
      <c r="BC345" s="56" t="s">
        <v>15653</v>
      </c>
      <c r="BD345" s="56" t="s">
        <v>15197</v>
      </c>
      <c r="BE345" s="56" t="s">
        <v>15666</v>
      </c>
      <c r="BF345" s="56" t="s">
        <v>15181</v>
      </c>
      <c r="BG345" s="58"/>
      <c r="BH345" s="58"/>
      <c r="BI345" s="57" t="s">
        <v>2801</v>
      </c>
      <c r="BJ345" s="58"/>
      <c r="BK345" s="58"/>
      <c r="BL345" s="66">
        <v>3514719</v>
      </c>
      <c r="BM345" s="56" t="s">
        <v>16807</v>
      </c>
      <c r="BN345" s="58"/>
      <c r="BO345" s="67">
        <v>160</v>
      </c>
      <c r="BP345" s="56" t="s">
        <v>16395</v>
      </c>
      <c r="BQ345" s="58"/>
      <c r="BR345" s="56" t="s">
        <v>16808</v>
      </c>
      <c r="BS345" s="56" t="s">
        <v>1285</v>
      </c>
      <c r="BT345" s="58"/>
      <c r="BU345" s="56" t="s">
        <v>16805</v>
      </c>
      <c r="BV345" s="58"/>
      <c r="BW345" s="58"/>
      <c r="BX345" s="67">
        <v>160</v>
      </c>
      <c r="BY345" s="56" t="s">
        <v>1285</v>
      </c>
      <c r="BZ345" s="58"/>
      <c r="CA345" s="58"/>
      <c r="CB345" s="58"/>
      <c r="CC345" s="58"/>
      <c r="CD345" s="58"/>
    </row>
    <row r="346" ht="108" spans="1:82">
      <c r="A346" s="56" t="s">
        <v>16810</v>
      </c>
      <c r="B346" s="58"/>
      <c r="C346" s="57" t="s">
        <v>16801</v>
      </c>
      <c r="D346" s="58"/>
      <c r="E346" s="57" t="s">
        <v>15158</v>
      </c>
      <c r="F346" s="57" t="s">
        <v>16802</v>
      </c>
      <c r="G346" s="57" t="s">
        <v>15160</v>
      </c>
      <c r="H346" s="56" t="s">
        <v>3075</v>
      </c>
      <c r="I346" s="60">
        <v>6136</v>
      </c>
      <c r="J346" s="57" t="s">
        <v>1285</v>
      </c>
      <c r="K346" s="57" t="s">
        <v>15162</v>
      </c>
      <c r="L346" s="57" t="s">
        <v>15163</v>
      </c>
      <c r="M346" s="61" t="s">
        <v>14159</v>
      </c>
      <c r="N346" s="62" t="s">
        <v>16304</v>
      </c>
      <c r="O346" s="57" t="s">
        <v>15165</v>
      </c>
      <c r="P346" s="57" t="s">
        <v>15166</v>
      </c>
      <c r="Q346" s="57" t="s">
        <v>3075</v>
      </c>
      <c r="R346" s="57" t="s">
        <v>15659</v>
      </c>
      <c r="S346" s="57" t="s">
        <v>15660</v>
      </c>
      <c r="T346" s="57" t="s">
        <v>15190</v>
      </c>
      <c r="U346" s="57" t="s">
        <v>14184</v>
      </c>
      <c r="V346" s="56" t="s">
        <v>14153</v>
      </c>
      <c r="W346" s="58"/>
      <c r="X346" s="57" t="s">
        <v>16803</v>
      </c>
      <c r="Y346" s="57" t="s">
        <v>15170</v>
      </c>
      <c r="Z346" s="61" t="s">
        <v>16389</v>
      </c>
      <c r="AA346" s="61" t="s">
        <v>14159</v>
      </c>
      <c r="AB346" s="58"/>
      <c r="AC346" s="57" t="s">
        <v>16391</v>
      </c>
      <c r="AD346" s="58"/>
      <c r="AE346" s="58"/>
      <c r="AF346" s="58"/>
      <c r="AG346" s="58"/>
      <c r="AH346" s="58"/>
      <c r="AI346" s="58"/>
      <c r="AJ346" s="58"/>
      <c r="AK346" s="56" t="s">
        <v>1285</v>
      </c>
      <c r="AL346" s="56" t="s">
        <v>16804</v>
      </c>
      <c r="AM346" s="58"/>
      <c r="AN346" s="56" t="s">
        <v>15336</v>
      </c>
      <c r="AO346" s="58"/>
      <c r="AP346" s="63">
        <v>45848.7898726852</v>
      </c>
      <c r="AQ346" s="56" t="s">
        <v>16805</v>
      </c>
      <c r="AR346" s="61" t="s">
        <v>14645</v>
      </c>
      <c r="AS346" s="57" t="s">
        <v>14184</v>
      </c>
      <c r="AT346" s="56" t="s">
        <v>15177</v>
      </c>
      <c r="AU346" s="56" t="s">
        <v>16806</v>
      </c>
      <c r="AV346" s="58"/>
      <c r="AW346" s="64">
        <v>45776.7975462963</v>
      </c>
      <c r="AX346" s="56" t="s">
        <v>16804</v>
      </c>
      <c r="AY346" s="56" t="s">
        <v>15179</v>
      </c>
      <c r="AZ346" s="58"/>
      <c r="BA346" s="58"/>
      <c r="BB346" s="58"/>
      <c r="BC346" s="56" t="s">
        <v>15653</v>
      </c>
      <c r="BD346" s="56" t="s">
        <v>15197</v>
      </c>
      <c r="BE346" s="56" t="s">
        <v>15666</v>
      </c>
      <c r="BF346" s="56" t="s">
        <v>15181</v>
      </c>
      <c r="BG346" s="58"/>
      <c r="BH346" s="58"/>
      <c r="BI346" s="57" t="s">
        <v>2801</v>
      </c>
      <c r="BJ346" s="58"/>
      <c r="BK346" s="58"/>
      <c r="BL346" s="66">
        <v>3514720</v>
      </c>
      <c r="BM346" s="56" t="s">
        <v>16807</v>
      </c>
      <c r="BN346" s="58"/>
      <c r="BO346" s="67">
        <v>3880</v>
      </c>
      <c r="BP346" s="56" t="s">
        <v>16395</v>
      </c>
      <c r="BQ346" s="58"/>
      <c r="BR346" s="56" t="s">
        <v>16808</v>
      </c>
      <c r="BS346" s="56" t="s">
        <v>1285</v>
      </c>
      <c r="BT346" s="58"/>
      <c r="BU346" s="56" t="s">
        <v>16805</v>
      </c>
      <c r="BV346" s="58"/>
      <c r="BW346" s="58"/>
      <c r="BX346" s="67">
        <v>3880</v>
      </c>
      <c r="BY346" s="56" t="s">
        <v>1285</v>
      </c>
      <c r="BZ346" s="58"/>
      <c r="CA346" s="58"/>
      <c r="CB346" s="58"/>
      <c r="CC346" s="58"/>
      <c r="CD346" s="58"/>
    </row>
    <row r="347" ht="108" spans="1:82">
      <c r="A347" s="56" t="s">
        <v>16811</v>
      </c>
      <c r="B347" s="58"/>
      <c r="C347" s="57" t="s">
        <v>16812</v>
      </c>
      <c r="D347" s="58"/>
      <c r="E347" s="57" t="s">
        <v>15158</v>
      </c>
      <c r="F347" s="57" t="s">
        <v>16813</v>
      </c>
      <c r="G347" s="57" t="s">
        <v>15160</v>
      </c>
      <c r="H347" s="56" t="s">
        <v>2958</v>
      </c>
      <c r="I347" s="60">
        <v>13292.62</v>
      </c>
      <c r="J347" s="57" t="s">
        <v>1285</v>
      </c>
      <c r="K347" s="57" t="s">
        <v>15162</v>
      </c>
      <c r="L347" s="57" t="s">
        <v>15163</v>
      </c>
      <c r="M347" s="61" t="s">
        <v>14159</v>
      </c>
      <c r="N347" s="62" t="s">
        <v>16793</v>
      </c>
      <c r="O347" s="57" t="s">
        <v>15165</v>
      </c>
      <c r="P347" s="57" t="s">
        <v>15166</v>
      </c>
      <c r="Q347" s="57" t="s">
        <v>2958</v>
      </c>
      <c r="R347" s="57" t="s">
        <v>16031</v>
      </c>
      <c r="S347" s="57" t="s">
        <v>16032</v>
      </c>
      <c r="T347" s="57" t="s">
        <v>15190</v>
      </c>
      <c r="U347" s="57" t="s">
        <v>14184</v>
      </c>
      <c r="V347" s="56" t="s">
        <v>14153</v>
      </c>
      <c r="W347" s="58"/>
      <c r="X347" s="57" t="s">
        <v>16814</v>
      </c>
      <c r="Y347" s="57" t="s">
        <v>15170</v>
      </c>
      <c r="Z347" s="61" t="s">
        <v>16389</v>
      </c>
      <c r="AA347" s="61" t="s">
        <v>14159</v>
      </c>
      <c r="AB347" s="58"/>
      <c r="AC347" s="57" t="s">
        <v>16391</v>
      </c>
      <c r="AD347" s="58"/>
      <c r="AE347" s="58"/>
      <c r="AF347" s="58"/>
      <c r="AG347" s="58"/>
      <c r="AH347" s="58"/>
      <c r="AI347" s="58"/>
      <c r="AJ347" s="58"/>
      <c r="AK347" s="56" t="s">
        <v>1285</v>
      </c>
      <c r="AL347" s="56" t="s">
        <v>16815</v>
      </c>
      <c r="AM347" s="58"/>
      <c r="AN347" s="56" t="s">
        <v>15287</v>
      </c>
      <c r="AO347" s="58"/>
      <c r="AP347" s="63">
        <v>45848.787662037</v>
      </c>
      <c r="AQ347" s="56" t="s">
        <v>16816</v>
      </c>
      <c r="AR347" s="61" t="s">
        <v>14645</v>
      </c>
      <c r="AS347" s="57" t="s">
        <v>14184</v>
      </c>
      <c r="AT347" s="56" t="s">
        <v>15177</v>
      </c>
      <c r="AU347" s="56" t="s">
        <v>16817</v>
      </c>
      <c r="AV347" s="58"/>
      <c r="AW347" s="64">
        <v>45776.7930324074</v>
      </c>
      <c r="AX347" s="56" t="s">
        <v>16815</v>
      </c>
      <c r="AY347" s="56" t="s">
        <v>15179</v>
      </c>
      <c r="AZ347" s="58"/>
      <c r="BA347" s="58"/>
      <c r="BB347" s="58"/>
      <c r="BC347" s="56" t="s">
        <v>16041</v>
      </c>
      <c r="BD347" s="56" t="s">
        <v>15197</v>
      </c>
      <c r="BE347" s="56" t="s">
        <v>16034</v>
      </c>
      <c r="BF347" s="56" t="s">
        <v>15181</v>
      </c>
      <c r="BG347" s="58"/>
      <c r="BH347" s="58"/>
      <c r="BI347" s="57" t="s">
        <v>2801</v>
      </c>
      <c r="BJ347" s="58"/>
      <c r="BK347" s="58"/>
      <c r="BL347" s="66">
        <v>3514729</v>
      </c>
      <c r="BM347" s="56" t="s">
        <v>16818</v>
      </c>
      <c r="BN347" s="58"/>
      <c r="BO347" s="67">
        <v>2160</v>
      </c>
      <c r="BP347" s="56" t="s">
        <v>16395</v>
      </c>
      <c r="BQ347" s="58"/>
      <c r="BR347" s="56" t="s">
        <v>16819</v>
      </c>
      <c r="BS347" s="56" t="s">
        <v>1285</v>
      </c>
      <c r="BT347" s="58"/>
      <c r="BU347" s="56" t="s">
        <v>16816</v>
      </c>
      <c r="BV347" s="58"/>
      <c r="BW347" s="58"/>
      <c r="BX347" s="67">
        <v>2160</v>
      </c>
      <c r="BY347" s="56" t="s">
        <v>1285</v>
      </c>
      <c r="BZ347" s="58"/>
      <c r="CA347" s="58"/>
      <c r="CB347" s="58"/>
      <c r="CC347" s="58"/>
      <c r="CD347" s="58"/>
    </row>
    <row r="348" ht="108" spans="1:82">
      <c r="A348" s="56" t="s">
        <v>16820</v>
      </c>
      <c r="B348" s="58"/>
      <c r="C348" s="57" t="s">
        <v>16812</v>
      </c>
      <c r="D348" s="58"/>
      <c r="E348" s="57" t="s">
        <v>15158</v>
      </c>
      <c r="F348" s="57" t="s">
        <v>16813</v>
      </c>
      <c r="G348" s="57" t="s">
        <v>15160</v>
      </c>
      <c r="H348" s="56" t="s">
        <v>2958</v>
      </c>
      <c r="I348" s="60">
        <v>13292.62</v>
      </c>
      <c r="J348" s="57" t="s">
        <v>1285</v>
      </c>
      <c r="K348" s="57" t="s">
        <v>15162</v>
      </c>
      <c r="L348" s="57" t="s">
        <v>15163</v>
      </c>
      <c r="M348" s="61" t="s">
        <v>14159</v>
      </c>
      <c r="N348" s="62" t="s">
        <v>16793</v>
      </c>
      <c r="O348" s="57" t="s">
        <v>15165</v>
      </c>
      <c r="P348" s="57" t="s">
        <v>15166</v>
      </c>
      <c r="Q348" s="57" t="s">
        <v>2958</v>
      </c>
      <c r="R348" s="57" t="s">
        <v>16031</v>
      </c>
      <c r="S348" s="57" t="s">
        <v>16032</v>
      </c>
      <c r="T348" s="57" t="s">
        <v>15190</v>
      </c>
      <c r="U348" s="57" t="s">
        <v>14184</v>
      </c>
      <c r="V348" s="56" t="s">
        <v>14153</v>
      </c>
      <c r="W348" s="58"/>
      <c r="X348" s="57" t="s">
        <v>16814</v>
      </c>
      <c r="Y348" s="57" t="s">
        <v>15170</v>
      </c>
      <c r="Z348" s="61" t="s">
        <v>16389</v>
      </c>
      <c r="AA348" s="61" t="s">
        <v>14159</v>
      </c>
      <c r="AB348" s="58"/>
      <c r="AC348" s="57" t="s">
        <v>16391</v>
      </c>
      <c r="AD348" s="58"/>
      <c r="AE348" s="58"/>
      <c r="AF348" s="58"/>
      <c r="AG348" s="58"/>
      <c r="AH348" s="58"/>
      <c r="AI348" s="58"/>
      <c r="AJ348" s="58"/>
      <c r="AK348" s="56" t="s">
        <v>1285</v>
      </c>
      <c r="AL348" s="56" t="s">
        <v>16815</v>
      </c>
      <c r="AM348" s="58"/>
      <c r="AN348" s="56" t="s">
        <v>15287</v>
      </c>
      <c r="AO348" s="58"/>
      <c r="AP348" s="63">
        <v>45848.787662037</v>
      </c>
      <c r="AQ348" s="56" t="s">
        <v>16816</v>
      </c>
      <c r="AR348" s="61" t="s">
        <v>14645</v>
      </c>
      <c r="AS348" s="57" t="s">
        <v>14184</v>
      </c>
      <c r="AT348" s="56" t="s">
        <v>15177</v>
      </c>
      <c r="AU348" s="56" t="s">
        <v>16817</v>
      </c>
      <c r="AV348" s="58"/>
      <c r="AW348" s="64">
        <v>45776.7930324074</v>
      </c>
      <c r="AX348" s="56" t="s">
        <v>16815</v>
      </c>
      <c r="AY348" s="56" t="s">
        <v>15179</v>
      </c>
      <c r="AZ348" s="58"/>
      <c r="BA348" s="58"/>
      <c r="BB348" s="58"/>
      <c r="BC348" s="56" t="s">
        <v>16041</v>
      </c>
      <c r="BD348" s="56" t="s">
        <v>15197</v>
      </c>
      <c r="BE348" s="56" t="s">
        <v>16034</v>
      </c>
      <c r="BF348" s="56" t="s">
        <v>15181</v>
      </c>
      <c r="BG348" s="58"/>
      <c r="BH348" s="58"/>
      <c r="BI348" s="57" t="s">
        <v>2801</v>
      </c>
      <c r="BJ348" s="58"/>
      <c r="BK348" s="58"/>
      <c r="BL348" s="66">
        <v>3514730</v>
      </c>
      <c r="BM348" s="56" t="s">
        <v>16818</v>
      </c>
      <c r="BN348" s="58"/>
      <c r="BO348" s="67">
        <v>3720</v>
      </c>
      <c r="BP348" s="56" t="s">
        <v>16395</v>
      </c>
      <c r="BQ348" s="58"/>
      <c r="BR348" s="56" t="s">
        <v>16819</v>
      </c>
      <c r="BS348" s="56" t="s">
        <v>1285</v>
      </c>
      <c r="BT348" s="58"/>
      <c r="BU348" s="56" t="s">
        <v>16816</v>
      </c>
      <c r="BV348" s="58"/>
      <c r="BW348" s="58"/>
      <c r="BX348" s="67">
        <v>3720</v>
      </c>
      <c r="BY348" s="56" t="s">
        <v>1285</v>
      </c>
      <c r="BZ348" s="58"/>
      <c r="CA348" s="58"/>
      <c r="CB348" s="58"/>
      <c r="CC348" s="58"/>
      <c r="CD348" s="58"/>
    </row>
    <row r="349" ht="108" spans="1:82">
      <c r="A349" s="56" t="s">
        <v>16821</v>
      </c>
      <c r="B349" s="58"/>
      <c r="C349" s="57" t="s">
        <v>16812</v>
      </c>
      <c r="D349" s="58"/>
      <c r="E349" s="57" t="s">
        <v>15158</v>
      </c>
      <c r="F349" s="57" t="s">
        <v>16813</v>
      </c>
      <c r="G349" s="57" t="s">
        <v>15160</v>
      </c>
      <c r="H349" s="56" t="s">
        <v>2958</v>
      </c>
      <c r="I349" s="60">
        <v>13292.62</v>
      </c>
      <c r="J349" s="57" t="s">
        <v>1285</v>
      </c>
      <c r="K349" s="57" t="s">
        <v>15162</v>
      </c>
      <c r="L349" s="57" t="s">
        <v>15163</v>
      </c>
      <c r="M349" s="61" t="s">
        <v>14159</v>
      </c>
      <c r="N349" s="62" t="s">
        <v>16793</v>
      </c>
      <c r="O349" s="57" t="s">
        <v>15165</v>
      </c>
      <c r="P349" s="57" t="s">
        <v>15166</v>
      </c>
      <c r="Q349" s="57" t="s">
        <v>2958</v>
      </c>
      <c r="R349" s="57" t="s">
        <v>16031</v>
      </c>
      <c r="S349" s="57" t="s">
        <v>16032</v>
      </c>
      <c r="T349" s="57" t="s">
        <v>15190</v>
      </c>
      <c r="U349" s="57" t="s">
        <v>14184</v>
      </c>
      <c r="V349" s="56" t="s">
        <v>14153</v>
      </c>
      <c r="W349" s="58"/>
      <c r="X349" s="57" t="s">
        <v>16814</v>
      </c>
      <c r="Y349" s="57" t="s">
        <v>15170</v>
      </c>
      <c r="Z349" s="61" t="s">
        <v>16389</v>
      </c>
      <c r="AA349" s="61" t="s">
        <v>14159</v>
      </c>
      <c r="AB349" s="58"/>
      <c r="AC349" s="57" t="s">
        <v>16391</v>
      </c>
      <c r="AD349" s="58"/>
      <c r="AE349" s="58"/>
      <c r="AF349" s="58"/>
      <c r="AG349" s="58"/>
      <c r="AH349" s="58"/>
      <c r="AI349" s="58"/>
      <c r="AJ349" s="58"/>
      <c r="AK349" s="56" t="s">
        <v>1285</v>
      </c>
      <c r="AL349" s="56" t="s">
        <v>16815</v>
      </c>
      <c r="AM349" s="58"/>
      <c r="AN349" s="56" t="s">
        <v>15287</v>
      </c>
      <c r="AO349" s="58"/>
      <c r="AP349" s="63">
        <v>45848.787662037</v>
      </c>
      <c r="AQ349" s="56" t="s">
        <v>16816</v>
      </c>
      <c r="AR349" s="61" t="s">
        <v>14645</v>
      </c>
      <c r="AS349" s="57" t="s">
        <v>14184</v>
      </c>
      <c r="AT349" s="56" t="s">
        <v>15177</v>
      </c>
      <c r="AU349" s="56" t="s">
        <v>16817</v>
      </c>
      <c r="AV349" s="58"/>
      <c r="AW349" s="64">
        <v>45776.7930324074</v>
      </c>
      <c r="AX349" s="56" t="s">
        <v>16815</v>
      </c>
      <c r="AY349" s="56" t="s">
        <v>15179</v>
      </c>
      <c r="AZ349" s="58"/>
      <c r="BA349" s="58"/>
      <c r="BB349" s="58"/>
      <c r="BC349" s="56" t="s">
        <v>16041</v>
      </c>
      <c r="BD349" s="56" t="s">
        <v>15197</v>
      </c>
      <c r="BE349" s="56" t="s">
        <v>16034</v>
      </c>
      <c r="BF349" s="56" t="s">
        <v>15181</v>
      </c>
      <c r="BG349" s="58"/>
      <c r="BH349" s="58"/>
      <c r="BI349" s="57" t="s">
        <v>2801</v>
      </c>
      <c r="BJ349" s="58"/>
      <c r="BK349" s="58"/>
      <c r="BL349" s="66">
        <v>3514731</v>
      </c>
      <c r="BM349" s="56" t="s">
        <v>16818</v>
      </c>
      <c r="BN349" s="58"/>
      <c r="BO349" s="67">
        <v>1132.8</v>
      </c>
      <c r="BP349" s="56" t="s">
        <v>16395</v>
      </c>
      <c r="BQ349" s="58"/>
      <c r="BR349" s="56" t="s">
        <v>16819</v>
      </c>
      <c r="BS349" s="56" t="s">
        <v>1285</v>
      </c>
      <c r="BT349" s="58"/>
      <c r="BU349" s="56" t="s">
        <v>16816</v>
      </c>
      <c r="BV349" s="58"/>
      <c r="BW349" s="58"/>
      <c r="BX349" s="67">
        <v>1132.8</v>
      </c>
      <c r="BY349" s="56" t="s">
        <v>1285</v>
      </c>
      <c r="BZ349" s="58"/>
      <c r="CA349" s="58"/>
      <c r="CB349" s="58"/>
      <c r="CC349" s="58"/>
      <c r="CD349" s="58"/>
    </row>
    <row r="350" ht="108" spans="1:82">
      <c r="A350" s="56" t="s">
        <v>16822</v>
      </c>
      <c r="B350" s="58"/>
      <c r="C350" s="57" t="s">
        <v>16812</v>
      </c>
      <c r="D350" s="58"/>
      <c r="E350" s="57" t="s">
        <v>15158</v>
      </c>
      <c r="F350" s="57" t="s">
        <v>16813</v>
      </c>
      <c r="G350" s="57" t="s">
        <v>15160</v>
      </c>
      <c r="H350" s="56" t="s">
        <v>2958</v>
      </c>
      <c r="I350" s="60">
        <v>13292.62</v>
      </c>
      <c r="J350" s="57" t="s">
        <v>1285</v>
      </c>
      <c r="K350" s="57" t="s">
        <v>15162</v>
      </c>
      <c r="L350" s="57" t="s">
        <v>15163</v>
      </c>
      <c r="M350" s="61" t="s">
        <v>14159</v>
      </c>
      <c r="N350" s="62" t="s">
        <v>16793</v>
      </c>
      <c r="O350" s="57" t="s">
        <v>15165</v>
      </c>
      <c r="P350" s="57" t="s">
        <v>15166</v>
      </c>
      <c r="Q350" s="57" t="s">
        <v>2958</v>
      </c>
      <c r="R350" s="57" t="s">
        <v>16031</v>
      </c>
      <c r="S350" s="57" t="s">
        <v>16032</v>
      </c>
      <c r="T350" s="57" t="s">
        <v>15190</v>
      </c>
      <c r="U350" s="57" t="s">
        <v>14184</v>
      </c>
      <c r="V350" s="56" t="s">
        <v>14153</v>
      </c>
      <c r="W350" s="58"/>
      <c r="X350" s="57" t="s">
        <v>16814</v>
      </c>
      <c r="Y350" s="57" t="s">
        <v>15170</v>
      </c>
      <c r="Z350" s="61" t="s">
        <v>16389</v>
      </c>
      <c r="AA350" s="61" t="s">
        <v>14159</v>
      </c>
      <c r="AB350" s="58"/>
      <c r="AC350" s="57" t="s">
        <v>16391</v>
      </c>
      <c r="AD350" s="58"/>
      <c r="AE350" s="58"/>
      <c r="AF350" s="58"/>
      <c r="AG350" s="58"/>
      <c r="AH350" s="58"/>
      <c r="AI350" s="58"/>
      <c r="AJ350" s="58"/>
      <c r="AK350" s="56" t="s">
        <v>1285</v>
      </c>
      <c r="AL350" s="56" t="s">
        <v>16815</v>
      </c>
      <c r="AM350" s="58"/>
      <c r="AN350" s="56" t="s">
        <v>15287</v>
      </c>
      <c r="AO350" s="58"/>
      <c r="AP350" s="63">
        <v>45848.787662037</v>
      </c>
      <c r="AQ350" s="56" t="s">
        <v>16816</v>
      </c>
      <c r="AR350" s="61" t="s">
        <v>14645</v>
      </c>
      <c r="AS350" s="57" t="s">
        <v>14184</v>
      </c>
      <c r="AT350" s="56" t="s">
        <v>15177</v>
      </c>
      <c r="AU350" s="56" t="s">
        <v>16817</v>
      </c>
      <c r="AV350" s="58"/>
      <c r="AW350" s="64">
        <v>45776.7930324074</v>
      </c>
      <c r="AX350" s="56" t="s">
        <v>16815</v>
      </c>
      <c r="AY350" s="56" t="s">
        <v>15179</v>
      </c>
      <c r="AZ350" s="58"/>
      <c r="BA350" s="58"/>
      <c r="BB350" s="58"/>
      <c r="BC350" s="56" t="s">
        <v>16041</v>
      </c>
      <c r="BD350" s="56" t="s">
        <v>15197</v>
      </c>
      <c r="BE350" s="56" t="s">
        <v>16034</v>
      </c>
      <c r="BF350" s="56" t="s">
        <v>15181</v>
      </c>
      <c r="BG350" s="58"/>
      <c r="BH350" s="58"/>
      <c r="BI350" s="57" t="s">
        <v>2801</v>
      </c>
      <c r="BJ350" s="58"/>
      <c r="BK350" s="58"/>
      <c r="BL350" s="66">
        <v>3514732</v>
      </c>
      <c r="BM350" s="56" t="s">
        <v>16818</v>
      </c>
      <c r="BN350" s="58"/>
      <c r="BO350" s="67">
        <v>2650</v>
      </c>
      <c r="BP350" s="56" t="s">
        <v>16395</v>
      </c>
      <c r="BQ350" s="58"/>
      <c r="BR350" s="56" t="s">
        <v>16819</v>
      </c>
      <c r="BS350" s="56" t="s">
        <v>1285</v>
      </c>
      <c r="BT350" s="58"/>
      <c r="BU350" s="56" t="s">
        <v>16816</v>
      </c>
      <c r="BV350" s="58"/>
      <c r="BW350" s="58"/>
      <c r="BX350" s="67">
        <v>2650</v>
      </c>
      <c r="BY350" s="56" t="s">
        <v>1285</v>
      </c>
      <c r="BZ350" s="58"/>
      <c r="CA350" s="58"/>
      <c r="CB350" s="58"/>
      <c r="CC350" s="58"/>
      <c r="CD350" s="58"/>
    </row>
    <row r="351" ht="108" spans="1:82">
      <c r="A351" s="56" t="s">
        <v>16823</v>
      </c>
      <c r="B351" s="58"/>
      <c r="C351" s="57" t="s">
        <v>16812</v>
      </c>
      <c r="D351" s="58"/>
      <c r="E351" s="57" t="s">
        <v>15158</v>
      </c>
      <c r="F351" s="57" t="s">
        <v>16813</v>
      </c>
      <c r="G351" s="57" t="s">
        <v>15160</v>
      </c>
      <c r="H351" s="56" t="s">
        <v>2958</v>
      </c>
      <c r="I351" s="60">
        <v>13292.62</v>
      </c>
      <c r="J351" s="57" t="s">
        <v>1285</v>
      </c>
      <c r="K351" s="57" t="s">
        <v>15162</v>
      </c>
      <c r="L351" s="57" t="s">
        <v>15163</v>
      </c>
      <c r="M351" s="61" t="s">
        <v>14159</v>
      </c>
      <c r="N351" s="62" t="s">
        <v>16793</v>
      </c>
      <c r="O351" s="57" t="s">
        <v>15165</v>
      </c>
      <c r="P351" s="57" t="s">
        <v>15166</v>
      </c>
      <c r="Q351" s="57" t="s">
        <v>2958</v>
      </c>
      <c r="R351" s="57" t="s">
        <v>16031</v>
      </c>
      <c r="S351" s="57" t="s">
        <v>16032</v>
      </c>
      <c r="T351" s="57" t="s">
        <v>15190</v>
      </c>
      <c r="U351" s="57" t="s">
        <v>14184</v>
      </c>
      <c r="V351" s="56" t="s">
        <v>14153</v>
      </c>
      <c r="W351" s="58"/>
      <c r="X351" s="57" t="s">
        <v>16814</v>
      </c>
      <c r="Y351" s="57" t="s">
        <v>15170</v>
      </c>
      <c r="Z351" s="61" t="s">
        <v>16389</v>
      </c>
      <c r="AA351" s="61" t="s">
        <v>14159</v>
      </c>
      <c r="AB351" s="58"/>
      <c r="AC351" s="57" t="s">
        <v>16391</v>
      </c>
      <c r="AD351" s="58"/>
      <c r="AE351" s="58"/>
      <c r="AF351" s="58"/>
      <c r="AG351" s="58"/>
      <c r="AH351" s="58"/>
      <c r="AI351" s="58"/>
      <c r="AJ351" s="58"/>
      <c r="AK351" s="56" t="s">
        <v>1285</v>
      </c>
      <c r="AL351" s="56" t="s">
        <v>16815</v>
      </c>
      <c r="AM351" s="58"/>
      <c r="AN351" s="56" t="s">
        <v>15287</v>
      </c>
      <c r="AO351" s="58"/>
      <c r="AP351" s="63">
        <v>45848.787662037</v>
      </c>
      <c r="AQ351" s="56" t="s">
        <v>16816</v>
      </c>
      <c r="AR351" s="61" t="s">
        <v>14645</v>
      </c>
      <c r="AS351" s="57" t="s">
        <v>14184</v>
      </c>
      <c r="AT351" s="56" t="s">
        <v>15177</v>
      </c>
      <c r="AU351" s="56" t="s">
        <v>16817</v>
      </c>
      <c r="AV351" s="58"/>
      <c r="AW351" s="64">
        <v>45776.7930324074</v>
      </c>
      <c r="AX351" s="56" t="s">
        <v>16815</v>
      </c>
      <c r="AY351" s="56" t="s">
        <v>15179</v>
      </c>
      <c r="AZ351" s="58"/>
      <c r="BA351" s="58"/>
      <c r="BB351" s="58"/>
      <c r="BC351" s="56" t="s">
        <v>15213</v>
      </c>
      <c r="BD351" s="56" t="s">
        <v>15197</v>
      </c>
      <c r="BE351" s="56" t="s">
        <v>16034</v>
      </c>
      <c r="BF351" s="56" t="s">
        <v>15181</v>
      </c>
      <c r="BG351" s="58"/>
      <c r="BH351" s="58"/>
      <c r="BI351" s="57" t="s">
        <v>2801</v>
      </c>
      <c r="BJ351" s="58"/>
      <c r="BK351" s="58"/>
      <c r="BL351" s="66">
        <v>3514721</v>
      </c>
      <c r="BM351" s="56" t="s">
        <v>16818</v>
      </c>
      <c r="BN351" s="58"/>
      <c r="BO351" s="67">
        <v>70.32</v>
      </c>
      <c r="BP351" s="56" t="s">
        <v>16395</v>
      </c>
      <c r="BQ351" s="58"/>
      <c r="BR351" s="56" t="s">
        <v>16819</v>
      </c>
      <c r="BS351" s="56" t="s">
        <v>1285</v>
      </c>
      <c r="BT351" s="58"/>
      <c r="BU351" s="56" t="s">
        <v>16816</v>
      </c>
      <c r="BV351" s="58"/>
      <c r="BW351" s="58"/>
      <c r="BX351" s="67">
        <v>70.32</v>
      </c>
      <c r="BY351" s="56" t="s">
        <v>1285</v>
      </c>
      <c r="BZ351" s="58"/>
      <c r="CA351" s="58"/>
      <c r="CB351" s="58"/>
      <c r="CC351" s="58"/>
      <c r="CD351" s="58"/>
    </row>
    <row r="352" ht="108" spans="1:82">
      <c r="A352" s="56" t="s">
        <v>16824</v>
      </c>
      <c r="B352" s="58"/>
      <c r="C352" s="57" t="s">
        <v>16812</v>
      </c>
      <c r="D352" s="58"/>
      <c r="E352" s="57" t="s">
        <v>15158</v>
      </c>
      <c r="F352" s="57" t="s">
        <v>16813</v>
      </c>
      <c r="G352" s="57" t="s">
        <v>15160</v>
      </c>
      <c r="H352" s="56" t="s">
        <v>2958</v>
      </c>
      <c r="I352" s="60">
        <v>13292.62</v>
      </c>
      <c r="J352" s="57" t="s">
        <v>1285</v>
      </c>
      <c r="K352" s="57" t="s">
        <v>15162</v>
      </c>
      <c r="L352" s="57" t="s">
        <v>15163</v>
      </c>
      <c r="M352" s="61" t="s">
        <v>14159</v>
      </c>
      <c r="N352" s="62" t="s">
        <v>16793</v>
      </c>
      <c r="O352" s="57" t="s">
        <v>15165</v>
      </c>
      <c r="P352" s="57" t="s">
        <v>15166</v>
      </c>
      <c r="Q352" s="57" t="s">
        <v>2958</v>
      </c>
      <c r="R352" s="57" t="s">
        <v>16031</v>
      </c>
      <c r="S352" s="57" t="s">
        <v>16032</v>
      </c>
      <c r="T352" s="57" t="s">
        <v>15190</v>
      </c>
      <c r="U352" s="57" t="s">
        <v>14184</v>
      </c>
      <c r="V352" s="56" t="s">
        <v>14153</v>
      </c>
      <c r="W352" s="58"/>
      <c r="X352" s="57" t="s">
        <v>16814</v>
      </c>
      <c r="Y352" s="57" t="s">
        <v>15170</v>
      </c>
      <c r="Z352" s="61" t="s">
        <v>16389</v>
      </c>
      <c r="AA352" s="61" t="s">
        <v>14159</v>
      </c>
      <c r="AB352" s="58"/>
      <c r="AC352" s="57" t="s">
        <v>16391</v>
      </c>
      <c r="AD352" s="58"/>
      <c r="AE352" s="58"/>
      <c r="AF352" s="58"/>
      <c r="AG352" s="58"/>
      <c r="AH352" s="58"/>
      <c r="AI352" s="58"/>
      <c r="AJ352" s="58"/>
      <c r="AK352" s="56" t="s">
        <v>1285</v>
      </c>
      <c r="AL352" s="56" t="s">
        <v>16815</v>
      </c>
      <c r="AM352" s="58"/>
      <c r="AN352" s="56" t="s">
        <v>15287</v>
      </c>
      <c r="AO352" s="58"/>
      <c r="AP352" s="63">
        <v>45848.787662037</v>
      </c>
      <c r="AQ352" s="56" t="s">
        <v>16816</v>
      </c>
      <c r="AR352" s="61" t="s">
        <v>14645</v>
      </c>
      <c r="AS352" s="57" t="s">
        <v>14184</v>
      </c>
      <c r="AT352" s="56" t="s">
        <v>15177</v>
      </c>
      <c r="AU352" s="56" t="s">
        <v>16817</v>
      </c>
      <c r="AV352" s="58"/>
      <c r="AW352" s="64">
        <v>45776.7930324074</v>
      </c>
      <c r="AX352" s="56" t="s">
        <v>16815</v>
      </c>
      <c r="AY352" s="56" t="s">
        <v>15179</v>
      </c>
      <c r="AZ352" s="58"/>
      <c r="BA352" s="58"/>
      <c r="BB352" s="58"/>
      <c r="BC352" s="56" t="s">
        <v>16041</v>
      </c>
      <c r="BD352" s="56" t="s">
        <v>15197</v>
      </c>
      <c r="BE352" s="56" t="s">
        <v>16034</v>
      </c>
      <c r="BF352" s="56" t="s">
        <v>15181</v>
      </c>
      <c r="BG352" s="58"/>
      <c r="BH352" s="58"/>
      <c r="BI352" s="57" t="s">
        <v>2801</v>
      </c>
      <c r="BJ352" s="58"/>
      <c r="BK352" s="58"/>
      <c r="BL352" s="66">
        <v>3514723</v>
      </c>
      <c r="BM352" s="56" t="s">
        <v>16818</v>
      </c>
      <c r="BN352" s="58"/>
      <c r="BO352" s="67">
        <v>800</v>
      </c>
      <c r="BP352" s="56" t="s">
        <v>16395</v>
      </c>
      <c r="BQ352" s="58"/>
      <c r="BR352" s="56" t="s">
        <v>16819</v>
      </c>
      <c r="BS352" s="56" t="s">
        <v>1285</v>
      </c>
      <c r="BT352" s="58"/>
      <c r="BU352" s="56" t="s">
        <v>16816</v>
      </c>
      <c r="BV352" s="58"/>
      <c r="BW352" s="58"/>
      <c r="BX352" s="67">
        <v>800</v>
      </c>
      <c r="BY352" s="56" t="s">
        <v>1285</v>
      </c>
      <c r="BZ352" s="58"/>
      <c r="CA352" s="58"/>
      <c r="CB352" s="58"/>
      <c r="CC352" s="58"/>
      <c r="CD352" s="58"/>
    </row>
    <row r="353" ht="108" spans="1:82">
      <c r="A353" s="56" t="s">
        <v>16825</v>
      </c>
      <c r="B353" s="58"/>
      <c r="C353" s="57" t="s">
        <v>16812</v>
      </c>
      <c r="D353" s="58"/>
      <c r="E353" s="57" t="s">
        <v>15158</v>
      </c>
      <c r="F353" s="57" t="s">
        <v>16813</v>
      </c>
      <c r="G353" s="57" t="s">
        <v>15160</v>
      </c>
      <c r="H353" s="56" t="s">
        <v>2958</v>
      </c>
      <c r="I353" s="60">
        <v>13292.62</v>
      </c>
      <c r="J353" s="57" t="s">
        <v>1285</v>
      </c>
      <c r="K353" s="57" t="s">
        <v>15162</v>
      </c>
      <c r="L353" s="57" t="s">
        <v>15163</v>
      </c>
      <c r="M353" s="61" t="s">
        <v>14159</v>
      </c>
      <c r="N353" s="62" t="s">
        <v>16793</v>
      </c>
      <c r="O353" s="57" t="s">
        <v>15165</v>
      </c>
      <c r="P353" s="57" t="s">
        <v>15166</v>
      </c>
      <c r="Q353" s="57" t="s">
        <v>2958</v>
      </c>
      <c r="R353" s="57" t="s">
        <v>16031</v>
      </c>
      <c r="S353" s="57" t="s">
        <v>16032</v>
      </c>
      <c r="T353" s="57" t="s">
        <v>15190</v>
      </c>
      <c r="U353" s="57" t="s">
        <v>14184</v>
      </c>
      <c r="V353" s="56" t="s">
        <v>14153</v>
      </c>
      <c r="W353" s="58"/>
      <c r="X353" s="57" t="s">
        <v>16814</v>
      </c>
      <c r="Y353" s="57" t="s">
        <v>15170</v>
      </c>
      <c r="Z353" s="61" t="s">
        <v>16389</v>
      </c>
      <c r="AA353" s="61" t="s">
        <v>14159</v>
      </c>
      <c r="AB353" s="58"/>
      <c r="AC353" s="57" t="s">
        <v>16391</v>
      </c>
      <c r="AD353" s="58"/>
      <c r="AE353" s="58"/>
      <c r="AF353" s="58"/>
      <c r="AG353" s="58"/>
      <c r="AH353" s="58"/>
      <c r="AI353" s="58"/>
      <c r="AJ353" s="58"/>
      <c r="AK353" s="56" t="s">
        <v>1285</v>
      </c>
      <c r="AL353" s="56" t="s">
        <v>16815</v>
      </c>
      <c r="AM353" s="58"/>
      <c r="AN353" s="56" t="s">
        <v>15287</v>
      </c>
      <c r="AO353" s="58"/>
      <c r="AP353" s="63">
        <v>45848.787662037</v>
      </c>
      <c r="AQ353" s="56" t="s">
        <v>16816</v>
      </c>
      <c r="AR353" s="61" t="s">
        <v>14645</v>
      </c>
      <c r="AS353" s="57" t="s">
        <v>14184</v>
      </c>
      <c r="AT353" s="56" t="s">
        <v>15177</v>
      </c>
      <c r="AU353" s="56" t="s">
        <v>16817</v>
      </c>
      <c r="AV353" s="58"/>
      <c r="AW353" s="64">
        <v>45776.7930324074</v>
      </c>
      <c r="AX353" s="56" t="s">
        <v>16815</v>
      </c>
      <c r="AY353" s="56" t="s">
        <v>15179</v>
      </c>
      <c r="AZ353" s="58"/>
      <c r="BA353" s="58"/>
      <c r="BB353" s="58"/>
      <c r="BC353" s="56" t="s">
        <v>15213</v>
      </c>
      <c r="BD353" s="56" t="s">
        <v>15197</v>
      </c>
      <c r="BE353" s="56" t="s">
        <v>16034</v>
      </c>
      <c r="BF353" s="56" t="s">
        <v>15181</v>
      </c>
      <c r="BG353" s="58"/>
      <c r="BH353" s="58"/>
      <c r="BI353" s="57" t="s">
        <v>2801</v>
      </c>
      <c r="BJ353" s="58"/>
      <c r="BK353" s="58"/>
      <c r="BL353" s="66">
        <v>3514733</v>
      </c>
      <c r="BM353" s="56" t="s">
        <v>16818</v>
      </c>
      <c r="BN353" s="58"/>
      <c r="BO353" s="67">
        <v>466</v>
      </c>
      <c r="BP353" s="56" t="s">
        <v>16395</v>
      </c>
      <c r="BQ353" s="58"/>
      <c r="BR353" s="56" t="s">
        <v>16819</v>
      </c>
      <c r="BS353" s="56" t="s">
        <v>1285</v>
      </c>
      <c r="BT353" s="58"/>
      <c r="BU353" s="56" t="s">
        <v>16816</v>
      </c>
      <c r="BV353" s="58"/>
      <c r="BW353" s="58"/>
      <c r="BX353" s="67">
        <v>466</v>
      </c>
      <c r="BY353" s="56" t="s">
        <v>1285</v>
      </c>
      <c r="BZ353" s="58"/>
      <c r="CA353" s="58"/>
      <c r="CB353" s="58"/>
      <c r="CC353" s="58"/>
      <c r="CD353" s="58"/>
    </row>
    <row r="354" ht="108" spans="1:82">
      <c r="A354" s="56" t="s">
        <v>16826</v>
      </c>
      <c r="B354" s="58"/>
      <c r="C354" s="57" t="s">
        <v>16812</v>
      </c>
      <c r="D354" s="58"/>
      <c r="E354" s="57" t="s">
        <v>15158</v>
      </c>
      <c r="F354" s="57" t="s">
        <v>16813</v>
      </c>
      <c r="G354" s="57" t="s">
        <v>15160</v>
      </c>
      <c r="H354" s="56" t="s">
        <v>2958</v>
      </c>
      <c r="I354" s="60">
        <v>13292.62</v>
      </c>
      <c r="J354" s="57" t="s">
        <v>1285</v>
      </c>
      <c r="K354" s="57" t="s">
        <v>15162</v>
      </c>
      <c r="L354" s="57" t="s">
        <v>15163</v>
      </c>
      <c r="M354" s="61" t="s">
        <v>14159</v>
      </c>
      <c r="N354" s="62" t="s">
        <v>16793</v>
      </c>
      <c r="O354" s="57" t="s">
        <v>15165</v>
      </c>
      <c r="P354" s="57" t="s">
        <v>15166</v>
      </c>
      <c r="Q354" s="57" t="s">
        <v>2958</v>
      </c>
      <c r="R354" s="57" t="s">
        <v>16031</v>
      </c>
      <c r="S354" s="57" t="s">
        <v>16032</v>
      </c>
      <c r="T354" s="57" t="s">
        <v>15190</v>
      </c>
      <c r="U354" s="57" t="s">
        <v>14184</v>
      </c>
      <c r="V354" s="56" t="s">
        <v>14153</v>
      </c>
      <c r="W354" s="58"/>
      <c r="X354" s="57" t="s">
        <v>16814</v>
      </c>
      <c r="Y354" s="57" t="s">
        <v>15170</v>
      </c>
      <c r="Z354" s="61" t="s">
        <v>16389</v>
      </c>
      <c r="AA354" s="61" t="s">
        <v>14159</v>
      </c>
      <c r="AB354" s="58"/>
      <c r="AC354" s="57" t="s">
        <v>16391</v>
      </c>
      <c r="AD354" s="58"/>
      <c r="AE354" s="58"/>
      <c r="AF354" s="58"/>
      <c r="AG354" s="58"/>
      <c r="AH354" s="58"/>
      <c r="AI354" s="58"/>
      <c r="AJ354" s="58"/>
      <c r="AK354" s="56" t="s">
        <v>1285</v>
      </c>
      <c r="AL354" s="56" t="s">
        <v>16815</v>
      </c>
      <c r="AM354" s="58"/>
      <c r="AN354" s="56" t="s">
        <v>15287</v>
      </c>
      <c r="AO354" s="58"/>
      <c r="AP354" s="63">
        <v>45848.787662037</v>
      </c>
      <c r="AQ354" s="56" t="s">
        <v>16816</v>
      </c>
      <c r="AR354" s="61" t="s">
        <v>14645</v>
      </c>
      <c r="AS354" s="57" t="s">
        <v>14184</v>
      </c>
      <c r="AT354" s="56" t="s">
        <v>15177</v>
      </c>
      <c r="AU354" s="56" t="s">
        <v>16817</v>
      </c>
      <c r="AV354" s="58"/>
      <c r="AW354" s="64">
        <v>45776.7930324074</v>
      </c>
      <c r="AX354" s="56" t="s">
        <v>16815</v>
      </c>
      <c r="AY354" s="56" t="s">
        <v>15179</v>
      </c>
      <c r="AZ354" s="58"/>
      <c r="BA354" s="58"/>
      <c r="BB354" s="58"/>
      <c r="BC354" s="56" t="s">
        <v>1780</v>
      </c>
      <c r="BD354" s="56" t="s">
        <v>15197</v>
      </c>
      <c r="BE354" s="56" t="s">
        <v>16034</v>
      </c>
      <c r="BF354" s="56" t="s">
        <v>15181</v>
      </c>
      <c r="BG354" s="58"/>
      <c r="BH354" s="58"/>
      <c r="BI354" s="57" t="s">
        <v>2801</v>
      </c>
      <c r="BJ354" s="58"/>
      <c r="BK354" s="58"/>
      <c r="BL354" s="66">
        <v>3514725</v>
      </c>
      <c r="BM354" s="56" t="s">
        <v>16818</v>
      </c>
      <c r="BN354" s="58"/>
      <c r="BO354" s="67">
        <v>273.9</v>
      </c>
      <c r="BP354" s="56" t="s">
        <v>16395</v>
      </c>
      <c r="BQ354" s="58"/>
      <c r="BR354" s="56" t="s">
        <v>16819</v>
      </c>
      <c r="BS354" s="56" t="s">
        <v>1285</v>
      </c>
      <c r="BT354" s="58"/>
      <c r="BU354" s="56" t="s">
        <v>16816</v>
      </c>
      <c r="BV354" s="58"/>
      <c r="BW354" s="58"/>
      <c r="BX354" s="67">
        <v>273.9</v>
      </c>
      <c r="BY354" s="56" t="s">
        <v>1285</v>
      </c>
      <c r="BZ354" s="58"/>
      <c r="CA354" s="58"/>
      <c r="CB354" s="58"/>
      <c r="CC354" s="58"/>
      <c r="CD354" s="58"/>
    </row>
    <row r="355" ht="108" spans="1:82">
      <c r="A355" s="56" t="s">
        <v>16827</v>
      </c>
      <c r="B355" s="58"/>
      <c r="C355" s="57" t="s">
        <v>16812</v>
      </c>
      <c r="D355" s="58"/>
      <c r="E355" s="57" t="s">
        <v>15158</v>
      </c>
      <c r="F355" s="57" t="s">
        <v>16813</v>
      </c>
      <c r="G355" s="57" t="s">
        <v>15160</v>
      </c>
      <c r="H355" s="56" t="s">
        <v>2958</v>
      </c>
      <c r="I355" s="60">
        <v>13292.62</v>
      </c>
      <c r="J355" s="57" t="s">
        <v>1285</v>
      </c>
      <c r="K355" s="57" t="s">
        <v>15162</v>
      </c>
      <c r="L355" s="57" t="s">
        <v>15163</v>
      </c>
      <c r="M355" s="61" t="s">
        <v>14159</v>
      </c>
      <c r="N355" s="62" t="s">
        <v>16793</v>
      </c>
      <c r="O355" s="57" t="s">
        <v>15165</v>
      </c>
      <c r="P355" s="57" t="s">
        <v>15166</v>
      </c>
      <c r="Q355" s="57" t="s">
        <v>2958</v>
      </c>
      <c r="R355" s="57" t="s">
        <v>16031</v>
      </c>
      <c r="S355" s="57" t="s">
        <v>16032</v>
      </c>
      <c r="T355" s="57" t="s">
        <v>15190</v>
      </c>
      <c r="U355" s="57" t="s">
        <v>14184</v>
      </c>
      <c r="V355" s="56" t="s">
        <v>14153</v>
      </c>
      <c r="W355" s="58"/>
      <c r="X355" s="57" t="s">
        <v>16814</v>
      </c>
      <c r="Y355" s="57" t="s">
        <v>15170</v>
      </c>
      <c r="Z355" s="61" t="s">
        <v>16389</v>
      </c>
      <c r="AA355" s="61" t="s">
        <v>14159</v>
      </c>
      <c r="AB355" s="58"/>
      <c r="AC355" s="57" t="s">
        <v>16391</v>
      </c>
      <c r="AD355" s="58"/>
      <c r="AE355" s="58"/>
      <c r="AF355" s="58"/>
      <c r="AG355" s="58"/>
      <c r="AH355" s="58"/>
      <c r="AI355" s="58"/>
      <c r="AJ355" s="58"/>
      <c r="AK355" s="56" t="s">
        <v>1285</v>
      </c>
      <c r="AL355" s="56" t="s">
        <v>16815</v>
      </c>
      <c r="AM355" s="58"/>
      <c r="AN355" s="56" t="s">
        <v>15287</v>
      </c>
      <c r="AO355" s="58"/>
      <c r="AP355" s="63">
        <v>45848.787662037</v>
      </c>
      <c r="AQ355" s="56" t="s">
        <v>16816</v>
      </c>
      <c r="AR355" s="61" t="s">
        <v>14645</v>
      </c>
      <c r="AS355" s="57" t="s">
        <v>14184</v>
      </c>
      <c r="AT355" s="56" t="s">
        <v>15177</v>
      </c>
      <c r="AU355" s="56" t="s">
        <v>16817</v>
      </c>
      <c r="AV355" s="58"/>
      <c r="AW355" s="64">
        <v>45776.7930324074</v>
      </c>
      <c r="AX355" s="56" t="s">
        <v>16815</v>
      </c>
      <c r="AY355" s="56" t="s">
        <v>15179</v>
      </c>
      <c r="AZ355" s="58"/>
      <c r="BA355" s="58"/>
      <c r="BB355" s="58"/>
      <c r="BC355" s="56" t="s">
        <v>1780</v>
      </c>
      <c r="BD355" s="56" t="s">
        <v>15197</v>
      </c>
      <c r="BE355" s="56" t="s">
        <v>16034</v>
      </c>
      <c r="BF355" s="56" t="s">
        <v>15181</v>
      </c>
      <c r="BG355" s="58"/>
      <c r="BH355" s="58"/>
      <c r="BI355" s="57" t="s">
        <v>2801</v>
      </c>
      <c r="BJ355" s="58"/>
      <c r="BK355" s="58"/>
      <c r="BL355" s="66">
        <v>3514726</v>
      </c>
      <c r="BM355" s="56" t="s">
        <v>16818</v>
      </c>
      <c r="BN355" s="58"/>
      <c r="BO355" s="67">
        <v>392</v>
      </c>
      <c r="BP355" s="56" t="s">
        <v>16395</v>
      </c>
      <c r="BQ355" s="58"/>
      <c r="BR355" s="56" t="s">
        <v>16819</v>
      </c>
      <c r="BS355" s="56" t="s">
        <v>1285</v>
      </c>
      <c r="BT355" s="58"/>
      <c r="BU355" s="56" t="s">
        <v>16816</v>
      </c>
      <c r="BV355" s="58"/>
      <c r="BW355" s="58"/>
      <c r="BX355" s="67">
        <v>392</v>
      </c>
      <c r="BY355" s="56" t="s">
        <v>1285</v>
      </c>
      <c r="BZ355" s="58"/>
      <c r="CA355" s="58"/>
      <c r="CB355" s="58"/>
      <c r="CC355" s="58"/>
      <c r="CD355" s="58"/>
    </row>
    <row r="356" ht="108" spans="1:82">
      <c r="A356" s="56" t="s">
        <v>16828</v>
      </c>
      <c r="B356" s="58"/>
      <c r="C356" s="57" t="s">
        <v>16812</v>
      </c>
      <c r="D356" s="58"/>
      <c r="E356" s="57" t="s">
        <v>15158</v>
      </c>
      <c r="F356" s="57" t="s">
        <v>16813</v>
      </c>
      <c r="G356" s="57" t="s">
        <v>15160</v>
      </c>
      <c r="H356" s="56" t="s">
        <v>2958</v>
      </c>
      <c r="I356" s="60">
        <v>13292.62</v>
      </c>
      <c r="J356" s="57" t="s">
        <v>1285</v>
      </c>
      <c r="K356" s="57" t="s">
        <v>15162</v>
      </c>
      <c r="L356" s="57" t="s">
        <v>15163</v>
      </c>
      <c r="M356" s="61" t="s">
        <v>14159</v>
      </c>
      <c r="N356" s="62" t="s">
        <v>16793</v>
      </c>
      <c r="O356" s="57" t="s">
        <v>15165</v>
      </c>
      <c r="P356" s="57" t="s">
        <v>15166</v>
      </c>
      <c r="Q356" s="57" t="s">
        <v>2958</v>
      </c>
      <c r="R356" s="57" t="s">
        <v>16031</v>
      </c>
      <c r="S356" s="57" t="s">
        <v>16032</v>
      </c>
      <c r="T356" s="57" t="s">
        <v>15190</v>
      </c>
      <c r="U356" s="57" t="s">
        <v>14184</v>
      </c>
      <c r="V356" s="56" t="s">
        <v>14153</v>
      </c>
      <c r="W356" s="58"/>
      <c r="X356" s="57" t="s">
        <v>16814</v>
      </c>
      <c r="Y356" s="57" t="s">
        <v>15170</v>
      </c>
      <c r="Z356" s="61" t="s">
        <v>16389</v>
      </c>
      <c r="AA356" s="61" t="s">
        <v>14159</v>
      </c>
      <c r="AB356" s="58"/>
      <c r="AC356" s="57" t="s">
        <v>16391</v>
      </c>
      <c r="AD356" s="58"/>
      <c r="AE356" s="58"/>
      <c r="AF356" s="58"/>
      <c r="AG356" s="58"/>
      <c r="AH356" s="58"/>
      <c r="AI356" s="58"/>
      <c r="AJ356" s="58"/>
      <c r="AK356" s="56" t="s">
        <v>1285</v>
      </c>
      <c r="AL356" s="56" t="s">
        <v>16815</v>
      </c>
      <c r="AM356" s="58"/>
      <c r="AN356" s="56" t="s">
        <v>15287</v>
      </c>
      <c r="AO356" s="58"/>
      <c r="AP356" s="63">
        <v>45848.787662037</v>
      </c>
      <c r="AQ356" s="56" t="s">
        <v>16816</v>
      </c>
      <c r="AR356" s="61" t="s">
        <v>14645</v>
      </c>
      <c r="AS356" s="57" t="s">
        <v>14184</v>
      </c>
      <c r="AT356" s="56" t="s">
        <v>15177</v>
      </c>
      <c r="AU356" s="56" t="s">
        <v>16817</v>
      </c>
      <c r="AV356" s="58"/>
      <c r="AW356" s="64">
        <v>45776.7930324074</v>
      </c>
      <c r="AX356" s="56" t="s">
        <v>16815</v>
      </c>
      <c r="AY356" s="56" t="s">
        <v>15179</v>
      </c>
      <c r="AZ356" s="58"/>
      <c r="BA356" s="58"/>
      <c r="BB356" s="58"/>
      <c r="BC356" s="56" t="s">
        <v>15213</v>
      </c>
      <c r="BD356" s="56" t="s">
        <v>15197</v>
      </c>
      <c r="BE356" s="56" t="s">
        <v>16034</v>
      </c>
      <c r="BF356" s="56" t="s">
        <v>15181</v>
      </c>
      <c r="BG356" s="58"/>
      <c r="BH356" s="58"/>
      <c r="BI356" s="57" t="s">
        <v>2801</v>
      </c>
      <c r="BJ356" s="58"/>
      <c r="BK356" s="58"/>
      <c r="BL356" s="66">
        <v>3514722</v>
      </c>
      <c r="BM356" s="56" t="s">
        <v>16818</v>
      </c>
      <c r="BN356" s="58"/>
      <c r="BO356" s="67">
        <v>484</v>
      </c>
      <c r="BP356" s="56" t="s">
        <v>16395</v>
      </c>
      <c r="BQ356" s="58"/>
      <c r="BR356" s="56" t="s">
        <v>16819</v>
      </c>
      <c r="BS356" s="56" t="s">
        <v>1285</v>
      </c>
      <c r="BT356" s="58"/>
      <c r="BU356" s="56" t="s">
        <v>16816</v>
      </c>
      <c r="BV356" s="58"/>
      <c r="BW356" s="58"/>
      <c r="BX356" s="67">
        <v>484</v>
      </c>
      <c r="BY356" s="56" t="s">
        <v>1285</v>
      </c>
      <c r="BZ356" s="58"/>
      <c r="CA356" s="58"/>
      <c r="CB356" s="58"/>
      <c r="CC356" s="58"/>
      <c r="CD356" s="58"/>
    </row>
    <row r="357" ht="108" spans="1:82">
      <c r="A357" s="56" t="s">
        <v>16829</v>
      </c>
      <c r="B357" s="58"/>
      <c r="C357" s="57" t="s">
        <v>16812</v>
      </c>
      <c r="D357" s="58"/>
      <c r="E357" s="57" t="s">
        <v>15158</v>
      </c>
      <c r="F357" s="57" t="s">
        <v>16813</v>
      </c>
      <c r="G357" s="57" t="s">
        <v>15160</v>
      </c>
      <c r="H357" s="56" t="s">
        <v>2958</v>
      </c>
      <c r="I357" s="60">
        <v>13292.62</v>
      </c>
      <c r="J357" s="57" t="s">
        <v>1285</v>
      </c>
      <c r="K357" s="57" t="s">
        <v>15162</v>
      </c>
      <c r="L357" s="57" t="s">
        <v>15163</v>
      </c>
      <c r="M357" s="61" t="s">
        <v>14159</v>
      </c>
      <c r="N357" s="62" t="s">
        <v>16793</v>
      </c>
      <c r="O357" s="57" t="s">
        <v>15165</v>
      </c>
      <c r="P357" s="57" t="s">
        <v>15166</v>
      </c>
      <c r="Q357" s="57" t="s">
        <v>2958</v>
      </c>
      <c r="R357" s="57" t="s">
        <v>16031</v>
      </c>
      <c r="S357" s="57" t="s">
        <v>16032</v>
      </c>
      <c r="T357" s="57" t="s">
        <v>15190</v>
      </c>
      <c r="U357" s="57" t="s">
        <v>14184</v>
      </c>
      <c r="V357" s="56" t="s">
        <v>14153</v>
      </c>
      <c r="W357" s="58"/>
      <c r="X357" s="57" t="s">
        <v>16814</v>
      </c>
      <c r="Y357" s="57" t="s">
        <v>15170</v>
      </c>
      <c r="Z357" s="61" t="s">
        <v>16389</v>
      </c>
      <c r="AA357" s="61" t="s">
        <v>14159</v>
      </c>
      <c r="AB357" s="58"/>
      <c r="AC357" s="57" t="s">
        <v>16391</v>
      </c>
      <c r="AD357" s="58"/>
      <c r="AE357" s="58"/>
      <c r="AF357" s="58"/>
      <c r="AG357" s="58"/>
      <c r="AH357" s="58"/>
      <c r="AI357" s="58"/>
      <c r="AJ357" s="58"/>
      <c r="AK357" s="56" t="s">
        <v>1285</v>
      </c>
      <c r="AL357" s="56" t="s">
        <v>16815</v>
      </c>
      <c r="AM357" s="58"/>
      <c r="AN357" s="56" t="s">
        <v>15287</v>
      </c>
      <c r="AO357" s="58"/>
      <c r="AP357" s="63">
        <v>45848.787662037</v>
      </c>
      <c r="AQ357" s="56" t="s">
        <v>16816</v>
      </c>
      <c r="AR357" s="61" t="s">
        <v>14645</v>
      </c>
      <c r="AS357" s="57" t="s">
        <v>14184</v>
      </c>
      <c r="AT357" s="56" t="s">
        <v>15177</v>
      </c>
      <c r="AU357" s="56" t="s">
        <v>16817</v>
      </c>
      <c r="AV357" s="58"/>
      <c r="AW357" s="64">
        <v>45776.7930324074</v>
      </c>
      <c r="AX357" s="56" t="s">
        <v>16815</v>
      </c>
      <c r="AY357" s="56" t="s">
        <v>15179</v>
      </c>
      <c r="AZ357" s="58"/>
      <c r="BA357" s="58"/>
      <c r="BB357" s="58"/>
      <c r="BC357" s="56" t="s">
        <v>15213</v>
      </c>
      <c r="BD357" s="56" t="s">
        <v>15197</v>
      </c>
      <c r="BE357" s="56" t="s">
        <v>16034</v>
      </c>
      <c r="BF357" s="56" t="s">
        <v>15181</v>
      </c>
      <c r="BG357" s="58"/>
      <c r="BH357" s="58"/>
      <c r="BI357" s="57" t="s">
        <v>2801</v>
      </c>
      <c r="BJ357" s="58"/>
      <c r="BK357" s="58"/>
      <c r="BL357" s="66">
        <v>3514724</v>
      </c>
      <c r="BM357" s="56" t="s">
        <v>16818</v>
      </c>
      <c r="BN357" s="58"/>
      <c r="BO357" s="67">
        <v>24.6</v>
      </c>
      <c r="BP357" s="56" t="s">
        <v>16395</v>
      </c>
      <c r="BQ357" s="58"/>
      <c r="BR357" s="56" t="s">
        <v>16819</v>
      </c>
      <c r="BS357" s="56" t="s">
        <v>1285</v>
      </c>
      <c r="BT357" s="58"/>
      <c r="BU357" s="56" t="s">
        <v>16816</v>
      </c>
      <c r="BV357" s="58"/>
      <c r="BW357" s="58"/>
      <c r="BX357" s="67">
        <v>24.6</v>
      </c>
      <c r="BY357" s="56" t="s">
        <v>1285</v>
      </c>
      <c r="BZ357" s="58"/>
      <c r="CA357" s="58"/>
      <c r="CB357" s="58"/>
      <c r="CC357" s="58"/>
      <c r="CD357" s="58"/>
    </row>
    <row r="358" ht="108" spans="1:82">
      <c r="A358" s="56" t="s">
        <v>16830</v>
      </c>
      <c r="B358" s="58"/>
      <c r="C358" s="57" t="s">
        <v>16812</v>
      </c>
      <c r="D358" s="58"/>
      <c r="E358" s="57" t="s">
        <v>15158</v>
      </c>
      <c r="F358" s="57" t="s">
        <v>16813</v>
      </c>
      <c r="G358" s="57" t="s">
        <v>15160</v>
      </c>
      <c r="H358" s="56" t="s">
        <v>2958</v>
      </c>
      <c r="I358" s="60">
        <v>13292.62</v>
      </c>
      <c r="J358" s="57" t="s">
        <v>1285</v>
      </c>
      <c r="K358" s="57" t="s">
        <v>15162</v>
      </c>
      <c r="L358" s="57" t="s">
        <v>15163</v>
      </c>
      <c r="M358" s="61" t="s">
        <v>14159</v>
      </c>
      <c r="N358" s="62" t="s">
        <v>16793</v>
      </c>
      <c r="O358" s="57" t="s">
        <v>15165</v>
      </c>
      <c r="P358" s="57" t="s">
        <v>15166</v>
      </c>
      <c r="Q358" s="57" t="s">
        <v>2958</v>
      </c>
      <c r="R358" s="57" t="s">
        <v>16031</v>
      </c>
      <c r="S358" s="57" t="s">
        <v>16032</v>
      </c>
      <c r="T358" s="57" t="s">
        <v>15190</v>
      </c>
      <c r="U358" s="57" t="s">
        <v>14184</v>
      </c>
      <c r="V358" s="56" t="s">
        <v>14153</v>
      </c>
      <c r="W358" s="58"/>
      <c r="X358" s="57" t="s">
        <v>16814</v>
      </c>
      <c r="Y358" s="57" t="s">
        <v>15170</v>
      </c>
      <c r="Z358" s="61" t="s">
        <v>16389</v>
      </c>
      <c r="AA358" s="61" t="s">
        <v>14159</v>
      </c>
      <c r="AB358" s="58"/>
      <c r="AC358" s="57" t="s">
        <v>16391</v>
      </c>
      <c r="AD358" s="58"/>
      <c r="AE358" s="58"/>
      <c r="AF358" s="58"/>
      <c r="AG358" s="58"/>
      <c r="AH358" s="58"/>
      <c r="AI358" s="58"/>
      <c r="AJ358" s="58"/>
      <c r="AK358" s="56" t="s">
        <v>1285</v>
      </c>
      <c r="AL358" s="56" t="s">
        <v>16815</v>
      </c>
      <c r="AM358" s="58"/>
      <c r="AN358" s="56" t="s">
        <v>15287</v>
      </c>
      <c r="AO358" s="58"/>
      <c r="AP358" s="63">
        <v>45848.787662037</v>
      </c>
      <c r="AQ358" s="56" t="s">
        <v>16816</v>
      </c>
      <c r="AR358" s="61" t="s">
        <v>14645</v>
      </c>
      <c r="AS358" s="57" t="s">
        <v>14184</v>
      </c>
      <c r="AT358" s="56" t="s">
        <v>15177</v>
      </c>
      <c r="AU358" s="56" t="s">
        <v>16817</v>
      </c>
      <c r="AV358" s="58"/>
      <c r="AW358" s="64">
        <v>45776.7930324074</v>
      </c>
      <c r="AX358" s="56" t="s">
        <v>16815</v>
      </c>
      <c r="AY358" s="56" t="s">
        <v>15179</v>
      </c>
      <c r="AZ358" s="58"/>
      <c r="BA358" s="58"/>
      <c r="BB358" s="58"/>
      <c r="BC358" s="56" t="s">
        <v>15213</v>
      </c>
      <c r="BD358" s="56" t="s">
        <v>15197</v>
      </c>
      <c r="BE358" s="56" t="s">
        <v>16034</v>
      </c>
      <c r="BF358" s="56" t="s">
        <v>15181</v>
      </c>
      <c r="BG358" s="58"/>
      <c r="BH358" s="58"/>
      <c r="BI358" s="57" t="s">
        <v>2801</v>
      </c>
      <c r="BJ358" s="58"/>
      <c r="BK358" s="58"/>
      <c r="BL358" s="66">
        <v>3514727</v>
      </c>
      <c r="BM358" s="56" t="s">
        <v>16818</v>
      </c>
      <c r="BN358" s="58"/>
      <c r="BO358" s="67">
        <v>882</v>
      </c>
      <c r="BP358" s="56" t="s">
        <v>16395</v>
      </c>
      <c r="BQ358" s="58"/>
      <c r="BR358" s="56" t="s">
        <v>16819</v>
      </c>
      <c r="BS358" s="56" t="s">
        <v>1285</v>
      </c>
      <c r="BT358" s="58"/>
      <c r="BU358" s="56" t="s">
        <v>16816</v>
      </c>
      <c r="BV358" s="58"/>
      <c r="BW358" s="58"/>
      <c r="BX358" s="67">
        <v>882</v>
      </c>
      <c r="BY358" s="56" t="s">
        <v>1285</v>
      </c>
      <c r="BZ358" s="58"/>
      <c r="CA358" s="58"/>
      <c r="CB358" s="58"/>
      <c r="CC358" s="58"/>
      <c r="CD358" s="58"/>
    </row>
    <row r="359" ht="108" spans="1:82">
      <c r="A359" s="56" t="s">
        <v>16831</v>
      </c>
      <c r="B359" s="58"/>
      <c r="C359" s="57" t="s">
        <v>16812</v>
      </c>
      <c r="D359" s="58"/>
      <c r="E359" s="57" t="s">
        <v>15158</v>
      </c>
      <c r="F359" s="57" t="s">
        <v>16813</v>
      </c>
      <c r="G359" s="57" t="s">
        <v>15160</v>
      </c>
      <c r="H359" s="56" t="s">
        <v>2958</v>
      </c>
      <c r="I359" s="60">
        <v>13292.62</v>
      </c>
      <c r="J359" s="57" t="s">
        <v>1285</v>
      </c>
      <c r="K359" s="57" t="s">
        <v>15162</v>
      </c>
      <c r="L359" s="57" t="s">
        <v>15163</v>
      </c>
      <c r="M359" s="61" t="s">
        <v>14159</v>
      </c>
      <c r="N359" s="62" t="s">
        <v>16793</v>
      </c>
      <c r="O359" s="57" t="s">
        <v>15165</v>
      </c>
      <c r="P359" s="57" t="s">
        <v>15166</v>
      </c>
      <c r="Q359" s="57" t="s">
        <v>2958</v>
      </c>
      <c r="R359" s="57" t="s">
        <v>16031</v>
      </c>
      <c r="S359" s="57" t="s">
        <v>16032</v>
      </c>
      <c r="T359" s="57" t="s">
        <v>15190</v>
      </c>
      <c r="U359" s="57" t="s">
        <v>14184</v>
      </c>
      <c r="V359" s="56" t="s">
        <v>14153</v>
      </c>
      <c r="W359" s="58"/>
      <c r="X359" s="57" t="s">
        <v>16814</v>
      </c>
      <c r="Y359" s="57" t="s">
        <v>15170</v>
      </c>
      <c r="Z359" s="61" t="s">
        <v>16389</v>
      </c>
      <c r="AA359" s="61" t="s">
        <v>14159</v>
      </c>
      <c r="AB359" s="58"/>
      <c r="AC359" s="57" t="s">
        <v>16391</v>
      </c>
      <c r="AD359" s="58"/>
      <c r="AE359" s="58"/>
      <c r="AF359" s="58"/>
      <c r="AG359" s="58"/>
      <c r="AH359" s="58"/>
      <c r="AI359" s="58"/>
      <c r="AJ359" s="58"/>
      <c r="AK359" s="56" t="s">
        <v>1285</v>
      </c>
      <c r="AL359" s="56" t="s">
        <v>16815</v>
      </c>
      <c r="AM359" s="58"/>
      <c r="AN359" s="56" t="s">
        <v>15287</v>
      </c>
      <c r="AO359" s="58"/>
      <c r="AP359" s="63">
        <v>45848.787662037</v>
      </c>
      <c r="AQ359" s="56" t="s">
        <v>16816</v>
      </c>
      <c r="AR359" s="61" t="s">
        <v>14645</v>
      </c>
      <c r="AS359" s="57" t="s">
        <v>14184</v>
      </c>
      <c r="AT359" s="56" t="s">
        <v>15177</v>
      </c>
      <c r="AU359" s="56" t="s">
        <v>16817</v>
      </c>
      <c r="AV359" s="58"/>
      <c r="AW359" s="64">
        <v>45776.7930324074</v>
      </c>
      <c r="AX359" s="56" t="s">
        <v>16815</v>
      </c>
      <c r="AY359" s="56" t="s">
        <v>15179</v>
      </c>
      <c r="AZ359" s="58"/>
      <c r="BA359" s="58"/>
      <c r="BB359" s="58"/>
      <c r="BC359" s="56" t="s">
        <v>1780</v>
      </c>
      <c r="BD359" s="56" t="s">
        <v>15197</v>
      </c>
      <c r="BE359" s="56" t="s">
        <v>16034</v>
      </c>
      <c r="BF359" s="56" t="s">
        <v>15181</v>
      </c>
      <c r="BG359" s="58"/>
      <c r="BH359" s="58"/>
      <c r="BI359" s="57" t="s">
        <v>2801</v>
      </c>
      <c r="BJ359" s="58"/>
      <c r="BK359" s="58"/>
      <c r="BL359" s="66">
        <v>3514728</v>
      </c>
      <c r="BM359" s="56" t="s">
        <v>16818</v>
      </c>
      <c r="BN359" s="58"/>
      <c r="BO359" s="67">
        <v>237</v>
      </c>
      <c r="BP359" s="56" t="s">
        <v>16395</v>
      </c>
      <c r="BQ359" s="58"/>
      <c r="BR359" s="56" t="s">
        <v>16819</v>
      </c>
      <c r="BS359" s="56" t="s">
        <v>1285</v>
      </c>
      <c r="BT359" s="58"/>
      <c r="BU359" s="56" t="s">
        <v>16816</v>
      </c>
      <c r="BV359" s="58"/>
      <c r="BW359" s="58"/>
      <c r="BX359" s="67">
        <v>237</v>
      </c>
      <c r="BY359" s="56" t="s">
        <v>1285</v>
      </c>
      <c r="BZ359" s="58"/>
      <c r="CA359" s="58"/>
      <c r="CB359" s="58"/>
      <c r="CC359" s="58"/>
      <c r="CD359" s="58"/>
    </row>
    <row r="360" ht="108" spans="1:82">
      <c r="A360" s="56" t="s">
        <v>16832</v>
      </c>
      <c r="B360" s="58"/>
      <c r="C360" s="57" t="s">
        <v>16833</v>
      </c>
      <c r="D360" s="58"/>
      <c r="E360" s="57" t="s">
        <v>15158</v>
      </c>
      <c r="F360" s="57" t="s">
        <v>16834</v>
      </c>
      <c r="G360" s="57" t="s">
        <v>15160</v>
      </c>
      <c r="H360" s="56" t="s">
        <v>2965</v>
      </c>
      <c r="I360" s="60">
        <v>16853.05</v>
      </c>
      <c r="J360" s="57" t="s">
        <v>1285</v>
      </c>
      <c r="K360" s="57" t="s">
        <v>15162</v>
      </c>
      <c r="L360" s="57" t="s">
        <v>15163</v>
      </c>
      <c r="M360" s="61" t="s">
        <v>14159</v>
      </c>
      <c r="N360" s="62" t="s">
        <v>16793</v>
      </c>
      <c r="O360" s="57" t="s">
        <v>15165</v>
      </c>
      <c r="P360" s="57" t="s">
        <v>15166</v>
      </c>
      <c r="Q360" s="57" t="s">
        <v>2965</v>
      </c>
      <c r="R360" s="57" t="s">
        <v>15606</v>
      </c>
      <c r="S360" s="57" t="s">
        <v>15607</v>
      </c>
      <c r="T360" s="57" t="s">
        <v>15190</v>
      </c>
      <c r="U360" s="57" t="s">
        <v>14184</v>
      </c>
      <c r="V360" s="56" t="s">
        <v>14153</v>
      </c>
      <c r="W360" s="58"/>
      <c r="X360" s="57" t="s">
        <v>16835</v>
      </c>
      <c r="Y360" s="57" t="s">
        <v>15170</v>
      </c>
      <c r="Z360" s="61" t="s">
        <v>16389</v>
      </c>
      <c r="AA360" s="61" t="s">
        <v>14159</v>
      </c>
      <c r="AB360" s="58"/>
      <c r="AC360" s="57" t="s">
        <v>16391</v>
      </c>
      <c r="AD360" s="58"/>
      <c r="AE360" s="58"/>
      <c r="AF360" s="58"/>
      <c r="AG360" s="58"/>
      <c r="AH360" s="58"/>
      <c r="AI360" s="58"/>
      <c r="AJ360" s="58"/>
      <c r="AK360" s="56" t="s">
        <v>1285</v>
      </c>
      <c r="AL360" s="56" t="s">
        <v>16836</v>
      </c>
      <c r="AM360" s="58"/>
      <c r="AN360" s="56" t="s">
        <v>15324</v>
      </c>
      <c r="AO360" s="58"/>
      <c r="AP360" s="63">
        <v>45848.7926851852</v>
      </c>
      <c r="AQ360" s="56" t="s">
        <v>16837</v>
      </c>
      <c r="AR360" s="61" t="s">
        <v>14645</v>
      </c>
      <c r="AS360" s="57" t="s">
        <v>14184</v>
      </c>
      <c r="AT360" s="56" t="s">
        <v>15177</v>
      </c>
      <c r="AU360" s="56" t="s">
        <v>16838</v>
      </c>
      <c r="AV360" s="58"/>
      <c r="AW360" s="64">
        <v>45776.7903240741</v>
      </c>
      <c r="AX360" s="56" t="s">
        <v>16836</v>
      </c>
      <c r="AY360" s="56" t="s">
        <v>15179</v>
      </c>
      <c r="AZ360" s="58"/>
      <c r="BA360" s="58"/>
      <c r="BB360" s="58"/>
      <c r="BC360" s="56" t="s">
        <v>15637</v>
      </c>
      <c r="BD360" s="56" t="s">
        <v>15197</v>
      </c>
      <c r="BE360" s="56" t="s">
        <v>15613</v>
      </c>
      <c r="BF360" s="56" t="s">
        <v>15181</v>
      </c>
      <c r="BG360" s="58"/>
      <c r="BH360" s="58"/>
      <c r="BI360" s="57" t="s">
        <v>2801</v>
      </c>
      <c r="BJ360" s="58"/>
      <c r="BK360" s="58"/>
      <c r="BL360" s="66">
        <v>3525107</v>
      </c>
      <c r="BM360" s="56" t="s">
        <v>16839</v>
      </c>
      <c r="BN360" s="58"/>
      <c r="BO360" s="67">
        <v>495.7</v>
      </c>
      <c r="BP360" s="56" t="s">
        <v>16395</v>
      </c>
      <c r="BQ360" s="58"/>
      <c r="BR360" s="56" t="s">
        <v>16840</v>
      </c>
      <c r="BS360" s="56" t="s">
        <v>1285</v>
      </c>
      <c r="BT360" s="58"/>
      <c r="BU360" s="56" t="s">
        <v>16837</v>
      </c>
      <c r="BV360" s="58"/>
      <c r="BW360" s="58"/>
      <c r="BX360" s="67">
        <v>495.7</v>
      </c>
      <c r="BY360" s="56" t="s">
        <v>1285</v>
      </c>
      <c r="BZ360" s="58"/>
      <c r="CA360" s="58"/>
      <c r="CB360" s="58"/>
      <c r="CC360" s="58"/>
      <c r="CD360" s="58"/>
    </row>
    <row r="361" ht="108" spans="1:82">
      <c r="A361" s="56" t="s">
        <v>16841</v>
      </c>
      <c r="B361" s="58"/>
      <c r="C361" s="57" t="s">
        <v>16833</v>
      </c>
      <c r="D361" s="58"/>
      <c r="E361" s="57" t="s">
        <v>15158</v>
      </c>
      <c r="F361" s="57" t="s">
        <v>16834</v>
      </c>
      <c r="G361" s="57" t="s">
        <v>15160</v>
      </c>
      <c r="H361" s="56" t="s">
        <v>2965</v>
      </c>
      <c r="I361" s="60">
        <v>16853.05</v>
      </c>
      <c r="J361" s="57" t="s">
        <v>1285</v>
      </c>
      <c r="K361" s="57" t="s">
        <v>15162</v>
      </c>
      <c r="L361" s="57" t="s">
        <v>15163</v>
      </c>
      <c r="M361" s="61" t="s">
        <v>14159</v>
      </c>
      <c r="N361" s="62" t="s">
        <v>16793</v>
      </c>
      <c r="O361" s="57" t="s">
        <v>15165</v>
      </c>
      <c r="P361" s="57" t="s">
        <v>15166</v>
      </c>
      <c r="Q361" s="57" t="s">
        <v>2965</v>
      </c>
      <c r="R361" s="57" t="s">
        <v>15606</v>
      </c>
      <c r="S361" s="57" t="s">
        <v>15607</v>
      </c>
      <c r="T361" s="57" t="s">
        <v>15190</v>
      </c>
      <c r="U361" s="57" t="s">
        <v>14184</v>
      </c>
      <c r="V361" s="56" t="s">
        <v>14153</v>
      </c>
      <c r="W361" s="58"/>
      <c r="X361" s="57" t="s">
        <v>16835</v>
      </c>
      <c r="Y361" s="57" t="s">
        <v>15170</v>
      </c>
      <c r="Z361" s="61" t="s">
        <v>16389</v>
      </c>
      <c r="AA361" s="61" t="s">
        <v>14159</v>
      </c>
      <c r="AB361" s="58"/>
      <c r="AC361" s="57" t="s">
        <v>16391</v>
      </c>
      <c r="AD361" s="58"/>
      <c r="AE361" s="58"/>
      <c r="AF361" s="58"/>
      <c r="AG361" s="58"/>
      <c r="AH361" s="58"/>
      <c r="AI361" s="58"/>
      <c r="AJ361" s="58"/>
      <c r="AK361" s="56" t="s">
        <v>1285</v>
      </c>
      <c r="AL361" s="56" t="s">
        <v>16836</v>
      </c>
      <c r="AM361" s="58"/>
      <c r="AN361" s="56" t="s">
        <v>15324</v>
      </c>
      <c r="AO361" s="58"/>
      <c r="AP361" s="63">
        <v>45848.7926851852</v>
      </c>
      <c r="AQ361" s="56" t="s">
        <v>16837</v>
      </c>
      <c r="AR361" s="61" t="s">
        <v>14645</v>
      </c>
      <c r="AS361" s="57" t="s">
        <v>14184</v>
      </c>
      <c r="AT361" s="56" t="s">
        <v>15177</v>
      </c>
      <c r="AU361" s="56" t="s">
        <v>16838</v>
      </c>
      <c r="AV361" s="58"/>
      <c r="AW361" s="64">
        <v>45776.7903240741</v>
      </c>
      <c r="AX361" s="56" t="s">
        <v>16836</v>
      </c>
      <c r="AY361" s="56" t="s">
        <v>15179</v>
      </c>
      <c r="AZ361" s="58"/>
      <c r="BA361" s="58"/>
      <c r="BB361" s="58"/>
      <c r="BC361" s="56" t="s">
        <v>2148</v>
      </c>
      <c r="BD361" s="56" t="s">
        <v>15197</v>
      </c>
      <c r="BE361" s="56" t="s">
        <v>15613</v>
      </c>
      <c r="BF361" s="56" t="s">
        <v>15181</v>
      </c>
      <c r="BG361" s="58"/>
      <c r="BH361" s="58"/>
      <c r="BI361" s="57" t="s">
        <v>2801</v>
      </c>
      <c r="BJ361" s="58"/>
      <c r="BK361" s="58"/>
      <c r="BL361" s="66">
        <v>3513375</v>
      </c>
      <c r="BM361" s="56" t="s">
        <v>16842</v>
      </c>
      <c r="BN361" s="58"/>
      <c r="BO361" s="67">
        <v>40</v>
      </c>
      <c r="BP361" s="56" t="s">
        <v>16395</v>
      </c>
      <c r="BQ361" s="58"/>
      <c r="BR361" s="56" t="s">
        <v>16840</v>
      </c>
      <c r="BS361" s="56" t="s">
        <v>1285</v>
      </c>
      <c r="BT361" s="58"/>
      <c r="BU361" s="56" t="s">
        <v>16837</v>
      </c>
      <c r="BV361" s="58"/>
      <c r="BW361" s="58"/>
      <c r="BX361" s="67">
        <v>40</v>
      </c>
      <c r="BY361" s="56" t="s">
        <v>1285</v>
      </c>
      <c r="BZ361" s="58"/>
      <c r="CA361" s="58"/>
      <c r="CB361" s="58"/>
      <c r="CC361" s="58"/>
      <c r="CD361" s="58"/>
    </row>
    <row r="362" ht="108" spans="1:82">
      <c r="A362" s="56" t="s">
        <v>16843</v>
      </c>
      <c r="B362" s="58"/>
      <c r="C362" s="57" t="s">
        <v>16833</v>
      </c>
      <c r="D362" s="58"/>
      <c r="E362" s="57" t="s">
        <v>15158</v>
      </c>
      <c r="F362" s="57" t="s">
        <v>16834</v>
      </c>
      <c r="G362" s="57" t="s">
        <v>15160</v>
      </c>
      <c r="H362" s="56" t="s">
        <v>2965</v>
      </c>
      <c r="I362" s="60">
        <v>16853.05</v>
      </c>
      <c r="J362" s="57" t="s">
        <v>1285</v>
      </c>
      <c r="K362" s="57" t="s">
        <v>15162</v>
      </c>
      <c r="L362" s="57" t="s">
        <v>15163</v>
      </c>
      <c r="M362" s="61" t="s">
        <v>14159</v>
      </c>
      <c r="N362" s="62" t="s">
        <v>16793</v>
      </c>
      <c r="O362" s="57" t="s">
        <v>15165</v>
      </c>
      <c r="P362" s="57" t="s">
        <v>15166</v>
      </c>
      <c r="Q362" s="57" t="s">
        <v>2965</v>
      </c>
      <c r="R362" s="57" t="s">
        <v>15606</v>
      </c>
      <c r="S362" s="57" t="s">
        <v>15607</v>
      </c>
      <c r="T362" s="57" t="s">
        <v>15190</v>
      </c>
      <c r="U362" s="57" t="s">
        <v>14184</v>
      </c>
      <c r="V362" s="56" t="s">
        <v>14153</v>
      </c>
      <c r="W362" s="58"/>
      <c r="X362" s="57" t="s">
        <v>16835</v>
      </c>
      <c r="Y362" s="57" t="s">
        <v>15170</v>
      </c>
      <c r="Z362" s="61" t="s">
        <v>16389</v>
      </c>
      <c r="AA362" s="61" t="s">
        <v>14159</v>
      </c>
      <c r="AB362" s="58"/>
      <c r="AC362" s="57" t="s">
        <v>16391</v>
      </c>
      <c r="AD362" s="58"/>
      <c r="AE362" s="58"/>
      <c r="AF362" s="58"/>
      <c r="AG362" s="58"/>
      <c r="AH362" s="58"/>
      <c r="AI362" s="58"/>
      <c r="AJ362" s="58"/>
      <c r="AK362" s="56" t="s">
        <v>1285</v>
      </c>
      <c r="AL362" s="56" t="s">
        <v>16836</v>
      </c>
      <c r="AM362" s="58"/>
      <c r="AN362" s="56" t="s">
        <v>15324</v>
      </c>
      <c r="AO362" s="58"/>
      <c r="AP362" s="63">
        <v>45848.7926851852</v>
      </c>
      <c r="AQ362" s="56" t="s">
        <v>16837</v>
      </c>
      <c r="AR362" s="61" t="s">
        <v>14645</v>
      </c>
      <c r="AS362" s="57" t="s">
        <v>14184</v>
      </c>
      <c r="AT362" s="56" t="s">
        <v>15177</v>
      </c>
      <c r="AU362" s="56" t="s">
        <v>16838</v>
      </c>
      <c r="AV362" s="58"/>
      <c r="AW362" s="64">
        <v>45776.7903240741</v>
      </c>
      <c r="AX362" s="56" t="s">
        <v>16836</v>
      </c>
      <c r="AY362" s="56" t="s">
        <v>15179</v>
      </c>
      <c r="AZ362" s="58"/>
      <c r="BA362" s="58"/>
      <c r="BB362" s="58"/>
      <c r="BC362" s="56" t="s">
        <v>1818</v>
      </c>
      <c r="BD362" s="56" t="s">
        <v>15197</v>
      </c>
      <c r="BE362" s="56" t="s">
        <v>15613</v>
      </c>
      <c r="BF362" s="56" t="s">
        <v>15181</v>
      </c>
      <c r="BG362" s="58"/>
      <c r="BH362" s="58"/>
      <c r="BI362" s="57" t="s">
        <v>2801</v>
      </c>
      <c r="BJ362" s="58"/>
      <c r="BK362" s="58"/>
      <c r="BL362" s="66">
        <v>3513372</v>
      </c>
      <c r="BM362" s="56" t="s">
        <v>16842</v>
      </c>
      <c r="BN362" s="58"/>
      <c r="BO362" s="67">
        <v>286</v>
      </c>
      <c r="BP362" s="56" t="s">
        <v>16395</v>
      </c>
      <c r="BQ362" s="58"/>
      <c r="BR362" s="56" t="s">
        <v>16840</v>
      </c>
      <c r="BS362" s="56" t="s">
        <v>1285</v>
      </c>
      <c r="BT362" s="58"/>
      <c r="BU362" s="56" t="s">
        <v>16837</v>
      </c>
      <c r="BV362" s="58"/>
      <c r="BW362" s="58"/>
      <c r="BX362" s="67">
        <v>286</v>
      </c>
      <c r="BY362" s="56" t="s">
        <v>1285</v>
      </c>
      <c r="BZ362" s="58"/>
      <c r="CA362" s="58"/>
      <c r="CB362" s="58"/>
      <c r="CC362" s="58"/>
      <c r="CD362" s="58"/>
    </row>
    <row r="363" ht="108" spans="1:82">
      <c r="A363" s="56" t="s">
        <v>16844</v>
      </c>
      <c r="B363" s="58"/>
      <c r="C363" s="57" t="s">
        <v>16833</v>
      </c>
      <c r="D363" s="58"/>
      <c r="E363" s="57" t="s">
        <v>15158</v>
      </c>
      <c r="F363" s="57" t="s">
        <v>16834</v>
      </c>
      <c r="G363" s="57" t="s">
        <v>15160</v>
      </c>
      <c r="H363" s="56" t="s">
        <v>2965</v>
      </c>
      <c r="I363" s="60">
        <v>16853.05</v>
      </c>
      <c r="J363" s="57" t="s">
        <v>1285</v>
      </c>
      <c r="K363" s="57" t="s">
        <v>15162</v>
      </c>
      <c r="L363" s="57" t="s">
        <v>15163</v>
      </c>
      <c r="M363" s="61" t="s">
        <v>14159</v>
      </c>
      <c r="N363" s="62" t="s">
        <v>16793</v>
      </c>
      <c r="O363" s="57" t="s">
        <v>15165</v>
      </c>
      <c r="P363" s="57" t="s">
        <v>15166</v>
      </c>
      <c r="Q363" s="57" t="s">
        <v>2965</v>
      </c>
      <c r="R363" s="57" t="s">
        <v>15606</v>
      </c>
      <c r="S363" s="57" t="s">
        <v>15607</v>
      </c>
      <c r="T363" s="57" t="s">
        <v>15190</v>
      </c>
      <c r="U363" s="57" t="s">
        <v>14184</v>
      </c>
      <c r="V363" s="56" t="s">
        <v>14153</v>
      </c>
      <c r="W363" s="58"/>
      <c r="X363" s="57" t="s">
        <v>16835</v>
      </c>
      <c r="Y363" s="57" t="s">
        <v>15170</v>
      </c>
      <c r="Z363" s="61" t="s">
        <v>16389</v>
      </c>
      <c r="AA363" s="61" t="s">
        <v>14159</v>
      </c>
      <c r="AB363" s="58"/>
      <c r="AC363" s="57" t="s">
        <v>16391</v>
      </c>
      <c r="AD363" s="58"/>
      <c r="AE363" s="58"/>
      <c r="AF363" s="58"/>
      <c r="AG363" s="58"/>
      <c r="AH363" s="58"/>
      <c r="AI363" s="58"/>
      <c r="AJ363" s="58"/>
      <c r="AK363" s="56" t="s">
        <v>1285</v>
      </c>
      <c r="AL363" s="56" t="s">
        <v>16836</v>
      </c>
      <c r="AM363" s="58"/>
      <c r="AN363" s="56" t="s">
        <v>15324</v>
      </c>
      <c r="AO363" s="58"/>
      <c r="AP363" s="63">
        <v>45848.7926851852</v>
      </c>
      <c r="AQ363" s="56" t="s">
        <v>16837</v>
      </c>
      <c r="AR363" s="61" t="s">
        <v>14645</v>
      </c>
      <c r="AS363" s="57" t="s">
        <v>14184</v>
      </c>
      <c r="AT363" s="56" t="s">
        <v>15177</v>
      </c>
      <c r="AU363" s="56" t="s">
        <v>16838</v>
      </c>
      <c r="AV363" s="58"/>
      <c r="AW363" s="64">
        <v>45776.7903240741</v>
      </c>
      <c r="AX363" s="56" t="s">
        <v>16836</v>
      </c>
      <c r="AY363" s="56" t="s">
        <v>15179</v>
      </c>
      <c r="AZ363" s="58"/>
      <c r="BA363" s="58"/>
      <c r="BB363" s="58"/>
      <c r="BC363" s="56" t="s">
        <v>2148</v>
      </c>
      <c r="BD363" s="56" t="s">
        <v>15197</v>
      </c>
      <c r="BE363" s="56" t="s">
        <v>15613</v>
      </c>
      <c r="BF363" s="56" t="s">
        <v>15181</v>
      </c>
      <c r="BG363" s="58"/>
      <c r="BH363" s="58"/>
      <c r="BI363" s="57" t="s">
        <v>2801</v>
      </c>
      <c r="BJ363" s="58"/>
      <c r="BK363" s="58"/>
      <c r="BL363" s="66">
        <v>3513393</v>
      </c>
      <c r="BM363" s="56" t="s">
        <v>16842</v>
      </c>
      <c r="BN363" s="58"/>
      <c r="BO363" s="67">
        <v>49.1</v>
      </c>
      <c r="BP363" s="56" t="s">
        <v>16395</v>
      </c>
      <c r="BQ363" s="58"/>
      <c r="BR363" s="56" t="s">
        <v>16840</v>
      </c>
      <c r="BS363" s="56" t="s">
        <v>1285</v>
      </c>
      <c r="BT363" s="58"/>
      <c r="BU363" s="56" t="s">
        <v>16837</v>
      </c>
      <c r="BV363" s="58"/>
      <c r="BW363" s="58"/>
      <c r="BX363" s="67">
        <v>49.1</v>
      </c>
      <c r="BY363" s="56" t="s">
        <v>1285</v>
      </c>
      <c r="BZ363" s="58"/>
      <c r="CA363" s="58"/>
      <c r="CB363" s="58"/>
      <c r="CC363" s="58"/>
      <c r="CD363" s="58"/>
    </row>
    <row r="364" ht="108" spans="1:82">
      <c r="A364" s="56" t="s">
        <v>16845</v>
      </c>
      <c r="B364" s="58"/>
      <c r="C364" s="57" t="s">
        <v>16833</v>
      </c>
      <c r="D364" s="58"/>
      <c r="E364" s="57" t="s">
        <v>15158</v>
      </c>
      <c r="F364" s="57" t="s">
        <v>16834</v>
      </c>
      <c r="G364" s="57" t="s">
        <v>15160</v>
      </c>
      <c r="H364" s="56" t="s">
        <v>2965</v>
      </c>
      <c r="I364" s="60">
        <v>16853.05</v>
      </c>
      <c r="J364" s="57" t="s">
        <v>1285</v>
      </c>
      <c r="K364" s="57" t="s">
        <v>15162</v>
      </c>
      <c r="L364" s="57" t="s">
        <v>15163</v>
      </c>
      <c r="M364" s="61" t="s">
        <v>14159</v>
      </c>
      <c r="N364" s="62" t="s">
        <v>16793</v>
      </c>
      <c r="O364" s="57" t="s">
        <v>15165</v>
      </c>
      <c r="P364" s="57" t="s">
        <v>15166</v>
      </c>
      <c r="Q364" s="57" t="s">
        <v>2965</v>
      </c>
      <c r="R364" s="57" t="s">
        <v>15606</v>
      </c>
      <c r="S364" s="57" t="s">
        <v>15607</v>
      </c>
      <c r="T364" s="57" t="s">
        <v>15190</v>
      </c>
      <c r="U364" s="57" t="s">
        <v>14184</v>
      </c>
      <c r="V364" s="56" t="s">
        <v>14153</v>
      </c>
      <c r="W364" s="58"/>
      <c r="X364" s="57" t="s">
        <v>16835</v>
      </c>
      <c r="Y364" s="57" t="s">
        <v>15170</v>
      </c>
      <c r="Z364" s="61" t="s">
        <v>16389</v>
      </c>
      <c r="AA364" s="61" t="s">
        <v>14159</v>
      </c>
      <c r="AB364" s="58"/>
      <c r="AC364" s="57" t="s">
        <v>16391</v>
      </c>
      <c r="AD364" s="58"/>
      <c r="AE364" s="58"/>
      <c r="AF364" s="58"/>
      <c r="AG364" s="58"/>
      <c r="AH364" s="58"/>
      <c r="AI364" s="58"/>
      <c r="AJ364" s="58"/>
      <c r="AK364" s="56" t="s">
        <v>1285</v>
      </c>
      <c r="AL364" s="56" t="s">
        <v>16836</v>
      </c>
      <c r="AM364" s="58"/>
      <c r="AN364" s="56" t="s">
        <v>15324</v>
      </c>
      <c r="AO364" s="58"/>
      <c r="AP364" s="63">
        <v>45848.7926851852</v>
      </c>
      <c r="AQ364" s="56" t="s">
        <v>16837</v>
      </c>
      <c r="AR364" s="61" t="s">
        <v>14645</v>
      </c>
      <c r="AS364" s="57" t="s">
        <v>14184</v>
      </c>
      <c r="AT364" s="56" t="s">
        <v>15177</v>
      </c>
      <c r="AU364" s="56" t="s">
        <v>16838</v>
      </c>
      <c r="AV364" s="58"/>
      <c r="AW364" s="64">
        <v>45776.7903240741</v>
      </c>
      <c r="AX364" s="56" t="s">
        <v>16836</v>
      </c>
      <c r="AY364" s="56" t="s">
        <v>15179</v>
      </c>
      <c r="AZ364" s="58"/>
      <c r="BA364" s="58"/>
      <c r="BB364" s="58"/>
      <c r="BC364" s="56" t="s">
        <v>15637</v>
      </c>
      <c r="BD364" s="56" t="s">
        <v>15197</v>
      </c>
      <c r="BE364" s="56" t="s">
        <v>15613</v>
      </c>
      <c r="BF364" s="56" t="s">
        <v>15181</v>
      </c>
      <c r="BG364" s="58"/>
      <c r="BH364" s="58"/>
      <c r="BI364" s="57" t="s">
        <v>2801</v>
      </c>
      <c r="BJ364" s="58"/>
      <c r="BK364" s="58"/>
      <c r="BL364" s="66">
        <v>3513385</v>
      </c>
      <c r="BM364" s="56" t="s">
        <v>16842</v>
      </c>
      <c r="BN364" s="58"/>
      <c r="BO364" s="67">
        <v>314.1</v>
      </c>
      <c r="BP364" s="56" t="s">
        <v>16395</v>
      </c>
      <c r="BQ364" s="58"/>
      <c r="BR364" s="56" t="s">
        <v>16840</v>
      </c>
      <c r="BS364" s="56" t="s">
        <v>1285</v>
      </c>
      <c r="BT364" s="58"/>
      <c r="BU364" s="56" t="s">
        <v>16837</v>
      </c>
      <c r="BV364" s="58"/>
      <c r="BW364" s="58"/>
      <c r="BX364" s="67">
        <v>314.1</v>
      </c>
      <c r="BY364" s="56" t="s">
        <v>1285</v>
      </c>
      <c r="BZ364" s="58"/>
      <c r="CA364" s="58"/>
      <c r="CB364" s="58"/>
      <c r="CC364" s="58"/>
      <c r="CD364" s="58"/>
    </row>
    <row r="365" ht="108" spans="1:82">
      <c r="A365" s="56" t="s">
        <v>16846</v>
      </c>
      <c r="B365" s="58"/>
      <c r="C365" s="57" t="s">
        <v>16833</v>
      </c>
      <c r="D365" s="58"/>
      <c r="E365" s="57" t="s">
        <v>15158</v>
      </c>
      <c r="F365" s="57" t="s">
        <v>16834</v>
      </c>
      <c r="G365" s="57" t="s">
        <v>15160</v>
      </c>
      <c r="H365" s="56" t="s">
        <v>2965</v>
      </c>
      <c r="I365" s="60">
        <v>16853.05</v>
      </c>
      <c r="J365" s="57" t="s">
        <v>1285</v>
      </c>
      <c r="K365" s="57" t="s">
        <v>15162</v>
      </c>
      <c r="L365" s="57" t="s">
        <v>15163</v>
      </c>
      <c r="M365" s="61" t="s">
        <v>14159</v>
      </c>
      <c r="N365" s="62" t="s">
        <v>16793</v>
      </c>
      <c r="O365" s="57" t="s">
        <v>15165</v>
      </c>
      <c r="P365" s="57" t="s">
        <v>15166</v>
      </c>
      <c r="Q365" s="57" t="s">
        <v>2965</v>
      </c>
      <c r="R365" s="57" t="s">
        <v>15606</v>
      </c>
      <c r="S365" s="57" t="s">
        <v>15607</v>
      </c>
      <c r="T365" s="57" t="s">
        <v>15190</v>
      </c>
      <c r="U365" s="57" t="s">
        <v>14184</v>
      </c>
      <c r="V365" s="56" t="s">
        <v>14153</v>
      </c>
      <c r="W365" s="58"/>
      <c r="X365" s="57" t="s">
        <v>16835</v>
      </c>
      <c r="Y365" s="57" t="s">
        <v>15170</v>
      </c>
      <c r="Z365" s="61" t="s">
        <v>16389</v>
      </c>
      <c r="AA365" s="61" t="s">
        <v>14159</v>
      </c>
      <c r="AB365" s="58"/>
      <c r="AC365" s="57" t="s">
        <v>16391</v>
      </c>
      <c r="AD365" s="58"/>
      <c r="AE365" s="58"/>
      <c r="AF365" s="58"/>
      <c r="AG365" s="58"/>
      <c r="AH365" s="58"/>
      <c r="AI365" s="58"/>
      <c r="AJ365" s="58"/>
      <c r="AK365" s="56" t="s">
        <v>1285</v>
      </c>
      <c r="AL365" s="56" t="s">
        <v>16836</v>
      </c>
      <c r="AM365" s="58"/>
      <c r="AN365" s="56" t="s">
        <v>15324</v>
      </c>
      <c r="AO365" s="58"/>
      <c r="AP365" s="63">
        <v>45848.7926851852</v>
      </c>
      <c r="AQ365" s="56" t="s">
        <v>16837</v>
      </c>
      <c r="AR365" s="61" t="s">
        <v>14645</v>
      </c>
      <c r="AS365" s="57" t="s">
        <v>14184</v>
      </c>
      <c r="AT365" s="56" t="s">
        <v>15177</v>
      </c>
      <c r="AU365" s="56" t="s">
        <v>16838</v>
      </c>
      <c r="AV365" s="58"/>
      <c r="AW365" s="64">
        <v>45776.7903240741</v>
      </c>
      <c r="AX365" s="56" t="s">
        <v>16836</v>
      </c>
      <c r="AY365" s="56" t="s">
        <v>15179</v>
      </c>
      <c r="AZ365" s="58"/>
      <c r="BA365" s="58"/>
      <c r="BB365" s="58"/>
      <c r="BC365" s="56" t="s">
        <v>15637</v>
      </c>
      <c r="BD365" s="56" t="s">
        <v>15197</v>
      </c>
      <c r="BE365" s="56" t="s">
        <v>15613</v>
      </c>
      <c r="BF365" s="56" t="s">
        <v>15181</v>
      </c>
      <c r="BG365" s="58"/>
      <c r="BH365" s="58"/>
      <c r="BI365" s="57" t="s">
        <v>2801</v>
      </c>
      <c r="BJ365" s="58"/>
      <c r="BK365" s="58"/>
      <c r="BL365" s="66">
        <v>3513364</v>
      </c>
      <c r="BM365" s="56" t="s">
        <v>16842</v>
      </c>
      <c r="BN365" s="58"/>
      <c r="BO365" s="67">
        <v>550</v>
      </c>
      <c r="BP365" s="56" t="s">
        <v>16395</v>
      </c>
      <c r="BQ365" s="58"/>
      <c r="BR365" s="56" t="s">
        <v>16840</v>
      </c>
      <c r="BS365" s="56" t="s">
        <v>1285</v>
      </c>
      <c r="BT365" s="58"/>
      <c r="BU365" s="56" t="s">
        <v>16837</v>
      </c>
      <c r="BV365" s="58"/>
      <c r="BW365" s="58"/>
      <c r="BX365" s="67">
        <v>550</v>
      </c>
      <c r="BY365" s="56" t="s">
        <v>1285</v>
      </c>
      <c r="BZ365" s="58"/>
      <c r="CA365" s="58"/>
      <c r="CB365" s="58"/>
      <c r="CC365" s="58"/>
      <c r="CD365" s="58"/>
    </row>
    <row r="366" ht="108" spans="1:82">
      <c r="A366" s="56" t="s">
        <v>16847</v>
      </c>
      <c r="B366" s="58"/>
      <c r="C366" s="57" t="s">
        <v>16833</v>
      </c>
      <c r="D366" s="58"/>
      <c r="E366" s="57" t="s">
        <v>15158</v>
      </c>
      <c r="F366" s="57" t="s">
        <v>16834</v>
      </c>
      <c r="G366" s="57" t="s">
        <v>15160</v>
      </c>
      <c r="H366" s="56" t="s">
        <v>2965</v>
      </c>
      <c r="I366" s="60">
        <v>16853.05</v>
      </c>
      <c r="J366" s="57" t="s">
        <v>1285</v>
      </c>
      <c r="K366" s="57" t="s">
        <v>15162</v>
      </c>
      <c r="L366" s="57" t="s">
        <v>15163</v>
      </c>
      <c r="M366" s="61" t="s">
        <v>14159</v>
      </c>
      <c r="N366" s="62" t="s">
        <v>16793</v>
      </c>
      <c r="O366" s="57" t="s">
        <v>15165</v>
      </c>
      <c r="P366" s="57" t="s">
        <v>15166</v>
      </c>
      <c r="Q366" s="57" t="s">
        <v>2965</v>
      </c>
      <c r="R366" s="57" t="s">
        <v>15606</v>
      </c>
      <c r="S366" s="57" t="s">
        <v>15607</v>
      </c>
      <c r="T366" s="57" t="s">
        <v>15190</v>
      </c>
      <c r="U366" s="57" t="s">
        <v>14184</v>
      </c>
      <c r="V366" s="56" t="s">
        <v>14153</v>
      </c>
      <c r="W366" s="58"/>
      <c r="X366" s="57" t="s">
        <v>16835</v>
      </c>
      <c r="Y366" s="57" t="s">
        <v>15170</v>
      </c>
      <c r="Z366" s="61" t="s">
        <v>16389</v>
      </c>
      <c r="AA366" s="61" t="s">
        <v>14159</v>
      </c>
      <c r="AB366" s="58"/>
      <c r="AC366" s="57" t="s">
        <v>16391</v>
      </c>
      <c r="AD366" s="58"/>
      <c r="AE366" s="58"/>
      <c r="AF366" s="58"/>
      <c r="AG366" s="58"/>
      <c r="AH366" s="58"/>
      <c r="AI366" s="58"/>
      <c r="AJ366" s="58"/>
      <c r="AK366" s="56" t="s">
        <v>1285</v>
      </c>
      <c r="AL366" s="56" t="s">
        <v>16836</v>
      </c>
      <c r="AM366" s="58"/>
      <c r="AN366" s="56" t="s">
        <v>15324</v>
      </c>
      <c r="AO366" s="58"/>
      <c r="AP366" s="63">
        <v>45848.7926851852</v>
      </c>
      <c r="AQ366" s="56" t="s">
        <v>16837</v>
      </c>
      <c r="AR366" s="61" t="s">
        <v>14645</v>
      </c>
      <c r="AS366" s="57" t="s">
        <v>14184</v>
      </c>
      <c r="AT366" s="56" t="s">
        <v>15177</v>
      </c>
      <c r="AU366" s="56" t="s">
        <v>16838</v>
      </c>
      <c r="AV366" s="58"/>
      <c r="AW366" s="64">
        <v>45776.7903240741</v>
      </c>
      <c r="AX366" s="56" t="s">
        <v>16836</v>
      </c>
      <c r="AY366" s="56" t="s">
        <v>15179</v>
      </c>
      <c r="AZ366" s="58"/>
      <c r="BA366" s="58"/>
      <c r="BB366" s="58"/>
      <c r="BC366" s="56" t="s">
        <v>15621</v>
      </c>
      <c r="BD366" s="56" t="s">
        <v>15197</v>
      </c>
      <c r="BE366" s="56" t="s">
        <v>15613</v>
      </c>
      <c r="BF366" s="56" t="s">
        <v>15181</v>
      </c>
      <c r="BG366" s="58"/>
      <c r="BH366" s="58"/>
      <c r="BI366" s="57" t="s">
        <v>2801</v>
      </c>
      <c r="BJ366" s="58"/>
      <c r="BK366" s="58"/>
      <c r="BL366" s="66">
        <v>3513391</v>
      </c>
      <c r="BM366" s="56" t="s">
        <v>16842</v>
      </c>
      <c r="BN366" s="58"/>
      <c r="BO366" s="67">
        <v>510.65</v>
      </c>
      <c r="BP366" s="56" t="s">
        <v>16395</v>
      </c>
      <c r="BQ366" s="58"/>
      <c r="BR366" s="56" t="s">
        <v>16840</v>
      </c>
      <c r="BS366" s="56" t="s">
        <v>1285</v>
      </c>
      <c r="BT366" s="58"/>
      <c r="BU366" s="56" t="s">
        <v>16837</v>
      </c>
      <c r="BV366" s="58"/>
      <c r="BW366" s="58"/>
      <c r="BX366" s="67">
        <v>510.65</v>
      </c>
      <c r="BY366" s="56" t="s">
        <v>1285</v>
      </c>
      <c r="BZ366" s="58"/>
      <c r="CA366" s="58"/>
      <c r="CB366" s="58"/>
      <c r="CC366" s="58"/>
      <c r="CD366" s="58"/>
    </row>
    <row r="367" ht="108" spans="1:82">
      <c r="A367" s="56" t="s">
        <v>16848</v>
      </c>
      <c r="B367" s="58"/>
      <c r="C367" s="57" t="s">
        <v>16833</v>
      </c>
      <c r="D367" s="58"/>
      <c r="E367" s="57" t="s">
        <v>15158</v>
      </c>
      <c r="F367" s="57" t="s">
        <v>16834</v>
      </c>
      <c r="G367" s="57" t="s">
        <v>15160</v>
      </c>
      <c r="H367" s="56" t="s">
        <v>2965</v>
      </c>
      <c r="I367" s="60">
        <v>16853.05</v>
      </c>
      <c r="J367" s="57" t="s">
        <v>1285</v>
      </c>
      <c r="K367" s="57" t="s">
        <v>15162</v>
      </c>
      <c r="L367" s="57" t="s">
        <v>15163</v>
      </c>
      <c r="M367" s="61" t="s">
        <v>14159</v>
      </c>
      <c r="N367" s="62" t="s">
        <v>16793</v>
      </c>
      <c r="O367" s="57" t="s">
        <v>15165</v>
      </c>
      <c r="P367" s="57" t="s">
        <v>15166</v>
      </c>
      <c r="Q367" s="57" t="s">
        <v>2965</v>
      </c>
      <c r="R367" s="57" t="s">
        <v>15606</v>
      </c>
      <c r="S367" s="57" t="s">
        <v>15607</v>
      </c>
      <c r="T367" s="57" t="s">
        <v>15190</v>
      </c>
      <c r="U367" s="57" t="s">
        <v>14184</v>
      </c>
      <c r="V367" s="56" t="s">
        <v>14153</v>
      </c>
      <c r="W367" s="58"/>
      <c r="X367" s="57" t="s">
        <v>16835</v>
      </c>
      <c r="Y367" s="57" t="s">
        <v>15170</v>
      </c>
      <c r="Z367" s="61" t="s">
        <v>16389</v>
      </c>
      <c r="AA367" s="61" t="s">
        <v>14159</v>
      </c>
      <c r="AB367" s="58"/>
      <c r="AC367" s="57" t="s">
        <v>16391</v>
      </c>
      <c r="AD367" s="58"/>
      <c r="AE367" s="58"/>
      <c r="AF367" s="58"/>
      <c r="AG367" s="58"/>
      <c r="AH367" s="58"/>
      <c r="AI367" s="58"/>
      <c r="AJ367" s="58"/>
      <c r="AK367" s="56" t="s">
        <v>1285</v>
      </c>
      <c r="AL367" s="56" t="s">
        <v>16836</v>
      </c>
      <c r="AM367" s="58"/>
      <c r="AN367" s="56" t="s">
        <v>15324</v>
      </c>
      <c r="AO367" s="58"/>
      <c r="AP367" s="63">
        <v>45848.7926851852</v>
      </c>
      <c r="AQ367" s="56" t="s">
        <v>16837</v>
      </c>
      <c r="AR367" s="61" t="s">
        <v>14645</v>
      </c>
      <c r="AS367" s="57" t="s">
        <v>14184</v>
      </c>
      <c r="AT367" s="56" t="s">
        <v>15177</v>
      </c>
      <c r="AU367" s="56" t="s">
        <v>16838</v>
      </c>
      <c r="AV367" s="58"/>
      <c r="AW367" s="64">
        <v>45776.7903240741</v>
      </c>
      <c r="AX367" s="56" t="s">
        <v>16836</v>
      </c>
      <c r="AY367" s="56" t="s">
        <v>15179</v>
      </c>
      <c r="AZ367" s="58"/>
      <c r="BA367" s="58"/>
      <c r="BB367" s="58"/>
      <c r="BC367" s="56" t="s">
        <v>2136</v>
      </c>
      <c r="BD367" s="56" t="s">
        <v>15197</v>
      </c>
      <c r="BE367" s="56" t="s">
        <v>15613</v>
      </c>
      <c r="BF367" s="56" t="s">
        <v>15181</v>
      </c>
      <c r="BG367" s="58"/>
      <c r="BH367" s="58"/>
      <c r="BI367" s="57" t="s">
        <v>2801</v>
      </c>
      <c r="BJ367" s="58"/>
      <c r="BK367" s="58"/>
      <c r="BL367" s="66">
        <v>3513354</v>
      </c>
      <c r="BM367" s="56" t="s">
        <v>16842</v>
      </c>
      <c r="BN367" s="58"/>
      <c r="BO367" s="67">
        <v>386.1</v>
      </c>
      <c r="BP367" s="56" t="s">
        <v>16395</v>
      </c>
      <c r="BQ367" s="58"/>
      <c r="BR367" s="56" t="s">
        <v>16840</v>
      </c>
      <c r="BS367" s="56" t="s">
        <v>1285</v>
      </c>
      <c r="BT367" s="58"/>
      <c r="BU367" s="56" t="s">
        <v>16837</v>
      </c>
      <c r="BV367" s="58"/>
      <c r="BW367" s="58"/>
      <c r="BX367" s="67">
        <v>386.1</v>
      </c>
      <c r="BY367" s="56" t="s">
        <v>1285</v>
      </c>
      <c r="BZ367" s="58"/>
      <c r="CA367" s="58"/>
      <c r="CB367" s="58"/>
      <c r="CC367" s="58"/>
      <c r="CD367" s="58"/>
    </row>
    <row r="368" ht="108" spans="1:82">
      <c r="A368" s="56" t="s">
        <v>16849</v>
      </c>
      <c r="B368" s="58"/>
      <c r="C368" s="57" t="s">
        <v>16833</v>
      </c>
      <c r="D368" s="58"/>
      <c r="E368" s="57" t="s">
        <v>15158</v>
      </c>
      <c r="F368" s="57" t="s">
        <v>16834</v>
      </c>
      <c r="G368" s="57" t="s">
        <v>15160</v>
      </c>
      <c r="H368" s="56" t="s">
        <v>2965</v>
      </c>
      <c r="I368" s="60">
        <v>16853.05</v>
      </c>
      <c r="J368" s="57" t="s">
        <v>1285</v>
      </c>
      <c r="K368" s="57" t="s">
        <v>15162</v>
      </c>
      <c r="L368" s="57" t="s">
        <v>15163</v>
      </c>
      <c r="M368" s="61" t="s">
        <v>14159</v>
      </c>
      <c r="N368" s="62" t="s">
        <v>16793</v>
      </c>
      <c r="O368" s="57" t="s">
        <v>15165</v>
      </c>
      <c r="P368" s="57" t="s">
        <v>15166</v>
      </c>
      <c r="Q368" s="57" t="s">
        <v>2965</v>
      </c>
      <c r="R368" s="57" t="s">
        <v>15606</v>
      </c>
      <c r="S368" s="57" t="s">
        <v>15607</v>
      </c>
      <c r="T368" s="57" t="s">
        <v>15190</v>
      </c>
      <c r="U368" s="57" t="s">
        <v>14184</v>
      </c>
      <c r="V368" s="56" t="s">
        <v>14153</v>
      </c>
      <c r="W368" s="58"/>
      <c r="X368" s="57" t="s">
        <v>16835</v>
      </c>
      <c r="Y368" s="57" t="s">
        <v>15170</v>
      </c>
      <c r="Z368" s="61" t="s">
        <v>16389</v>
      </c>
      <c r="AA368" s="61" t="s">
        <v>14159</v>
      </c>
      <c r="AB368" s="58"/>
      <c r="AC368" s="57" t="s">
        <v>16391</v>
      </c>
      <c r="AD368" s="58"/>
      <c r="AE368" s="58"/>
      <c r="AF368" s="58"/>
      <c r="AG368" s="58"/>
      <c r="AH368" s="58"/>
      <c r="AI368" s="58"/>
      <c r="AJ368" s="58"/>
      <c r="AK368" s="56" t="s">
        <v>1285</v>
      </c>
      <c r="AL368" s="56" t="s">
        <v>16836</v>
      </c>
      <c r="AM368" s="58"/>
      <c r="AN368" s="56" t="s">
        <v>15324</v>
      </c>
      <c r="AO368" s="58"/>
      <c r="AP368" s="63">
        <v>45848.7926851852</v>
      </c>
      <c r="AQ368" s="56" t="s">
        <v>16837</v>
      </c>
      <c r="AR368" s="61" t="s">
        <v>14645</v>
      </c>
      <c r="AS368" s="57" t="s">
        <v>14184</v>
      </c>
      <c r="AT368" s="56" t="s">
        <v>15177</v>
      </c>
      <c r="AU368" s="56" t="s">
        <v>16838</v>
      </c>
      <c r="AV368" s="58"/>
      <c r="AW368" s="64">
        <v>45776.7903240741</v>
      </c>
      <c r="AX368" s="56" t="s">
        <v>16836</v>
      </c>
      <c r="AY368" s="56" t="s">
        <v>15179</v>
      </c>
      <c r="AZ368" s="58"/>
      <c r="BA368" s="58"/>
      <c r="BB368" s="58"/>
      <c r="BC368" s="56" t="s">
        <v>15637</v>
      </c>
      <c r="BD368" s="56" t="s">
        <v>15197</v>
      </c>
      <c r="BE368" s="56" t="s">
        <v>15613</v>
      </c>
      <c r="BF368" s="56" t="s">
        <v>15181</v>
      </c>
      <c r="BG368" s="58"/>
      <c r="BH368" s="58"/>
      <c r="BI368" s="57" t="s">
        <v>2801</v>
      </c>
      <c r="BJ368" s="58"/>
      <c r="BK368" s="58"/>
      <c r="BL368" s="66">
        <v>3513355</v>
      </c>
      <c r="BM368" s="56" t="s">
        <v>16842</v>
      </c>
      <c r="BN368" s="58"/>
      <c r="BO368" s="67">
        <v>148.5</v>
      </c>
      <c r="BP368" s="56" t="s">
        <v>16395</v>
      </c>
      <c r="BQ368" s="58"/>
      <c r="BR368" s="56" t="s">
        <v>16840</v>
      </c>
      <c r="BS368" s="56" t="s">
        <v>1285</v>
      </c>
      <c r="BT368" s="58"/>
      <c r="BU368" s="56" t="s">
        <v>16837</v>
      </c>
      <c r="BV368" s="58"/>
      <c r="BW368" s="58"/>
      <c r="BX368" s="67">
        <v>148.5</v>
      </c>
      <c r="BY368" s="56" t="s">
        <v>1285</v>
      </c>
      <c r="BZ368" s="58"/>
      <c r="CA368" s="58"/>
      <c r="CB368" s="58"/>
      <c r="CC368" s="58"/>
      <c r="CD368" s="58"/>
    </row>
    <row r="369" ht="108" spans="1:82">
      <c r="A369" s="56" t="s">
        <v>16850</v>
      </c>
      <c r="B369" s="58"/>
      <c r="C369" s="57" t="s">
        <v>16833</v>
      </c>
      <c r="D369" s="58"/>
      <c r="E369" s="57" t="s">
        <v>15158</v>
      </c>
      <c r="F369" s="57" t="s">
        <v>16834</v>
      </c>
      <c r="G369" s="57" t="s">
        <v>15160</v>
      </c>
      <c r="H369" s="56" t="s">
        <v>2965</v>
      </c>
      <c r="I369" s="60">
        <v>16853.05</v>
      </c>
      <c r="J369" s="57" t="s">
        <v>1285</v>
      </c>
      <c r="K369" s="57" t="s">
        <v>15162</v>
      </c>
      <c r="L369" s="57" t="s">
        <v>15163</v>
      </c>
      <c r="M369" s="61" t="s">
        <v>14159</v>
      </c>
      <c r="N369" s="62" t="s">
        <v>16793</v>
      </c>
      <c r="O369" s="57" t="s">
        <v>15165</v>
      </c>
      <c r="P369" s="57" t="s">
        <v>15166</v>
      </c>
      <c r="Q369" s="57" t="s">
        <v>2965</v>
      </c>
      <c r="R369" s="57" t="s">
        <v>15606</v>
      </c>
      <c r="S369" s="57" t="s">
        <v>15607</v>
      </c>
      <c r="T369" s="57" t="s">
        <v>15190</v>
      </c>
      <c r="U369" s="57" t="s">
        <v>14184</v>
      </c>
      <c r="V369" s="56" t="s">
        <v>14153</v>
      </c>
      <c r="W369" s="58"/>
      <c r="X369" s="57" t="s">
        <v>16835</v>
      </c>
      <c r="Y369" s="57" t="s">
        <v>15170</v>
      </c>
      <c r="Z369" s="61" t="s">
        <v>16389</v>
      </c>
      <c r="AA369" s="61" t="s">
        <v>14159</v>
      </c>
      <c r="AB369" s="58"/>
      <c r="AC369" s="57" t="s">
        <v>16391</v>
      </c>
      <c r="AD369" s="58"/>
      <c r="AE369" s="58"/>
      <c r="AF369" s="58"/>
      <c r="AG369" s="58"/>
      <c r="AH369" s="58"/>
      <c r="AI369" s="58"/>
      <c r="AJ369" s="58"/>
      <c r="AK369" s="56" t="s">
        <v>1285</v>
      </c>
      <c r="AL369" s="56" t="s">
        <v>16836</v>
      </c>
      <c r="AM369" s="58"/>
      <c r="AN369" s="56" t="s">
        <v>15324</v>
      </c>
      <c r="AO369" s="58"/>
      <c r="AP369" s="63">
        <v>45848.7926851852</v>
      </c>
      <c r="AQ369" s="56" t="s">
        <v>16837</v>
      </c>
      <c r="AR369" s="61" t="s">
        <v>14645</v>
      </c>
      <c r="AS369" s="57" t="s">
        <v>14184</v>
      </c>
      <c r="AT369" s="56" t="s">
        <v>15177</v>
      </c>
      <c r="AU369" s="56" t="s">
        <v>16838</v>
      </c>
      <c r="AV369" s="58"/>
      <c r="AW369" s="64">
        <v>45776.7903240741</v>
      </c>
      <c r="AX369" s="56" t="s">
        <v>16836</v>
      </c>
      <c r="AY369" s="56" t="s">
        <v>15179</v>
      </c>
      <c r="AZ369" s="58"/>
      <c r="BA369" s="58"/>
      <c r="BB369" s="58"/>
      <c r="BC369" s="56" t="s">
        <v>138</v>
      </c>
      <c r="BD369" s="56" t="s">
        <v>15197</v>
      </c>
      <c r="BE369" s="56" t="s">
        <v>15613</v>
      </c>
      <c r="BF369" s="56" t="s">
        <v>15181</v>
      </c>
      <c r="BG369" s="58"/>
      <c r="BH369" s="58"/>
      <c r="BI369" s="57" t="s">
        <v>2801</v>
      </c>
      <c r="BJ369" s="58"/>
      <c r="BK369" s="58"/>
      <c r="BL369" s="66">
        <v>3513367</v>
      </c>
      <c r="BM369" s="56" t="s">
        <v>16842</v>
      </c>
      <c r="BN369" s="58"/>
      <c r="BO369" s="67">
        <v>15.7</v>
      </c>
      <c r="BP369" s="56" t="s">
        <v>16395</v>
      </c>
      <c r="BQ369" s="58"/>
      <c r="BR369" s="56" t="s">
        <v>16840</v>
      </c>
      <c r="BS369" s="56" t="s">
        <v>1285</v>
      </c>
      <c r="BT369" s="58"/>
      <c r="BU369" s="56" t="s">
        <v>16837</v>
      </c>
      <c r="BV369" s="58"/>
      <c r="BW369" s="58"/>
      <c r="BX369" s="67">
        <v>15.7</v>
      </c>
      <c r="BY369" s="56" t="s">
        <v>1285</v>
      </c>
      <c r="BZ369" s="58"/>
      <c r="CA369" s="58"/>
      <c r="CB369" s="58"/>
      <c r="CC369" s="58"/>
      <c r="CD369" s="58"/>
    </row>
    <row r="370" ht="108" spans="1:82">
      <c r="A370" s="56" t="s">
        <v>16851</v>
      </c>
      <c r="B370" s="58"/>
      <c r="C370" s="57" t="s">
        <v>16833</v>
      </c>
      <c r="D370" s="58"/>
      <c r="E370" s="57" t="s">
        <v>15158</v>
      </c>
      <c r="F370" s="57" t="s">
        <v>16834</v>
      </c>
      <c r="G370" s="57" t="s">
        <v>15160</v>
      </c>
      <c r="H370" s="56" t="s">
        <v>2965</v>
      </c>
      <c r="I370" s="60">
        <v>16853.05</v>
      </c>
      <c r="J370" s="57" t="s">
        <v>1285</v>
      </c>
      <c r="K370" s="57" t="s">
        <v>15162</v>
      </c>
      <c r="L370" s="57" t="s">
        <v>15163</v>
      </c>
      <c r="M370" s="61" t="s">
        <v>14159</v>
      </c>
      <c r="N370" s="62" t="s">
        <v>16793</v>
      </c>
      <c r="O370" s="57" t="s">
        <v>15165</v>
      </c>
      <c r="P370" s="57" t="s">
        <v>15166</v>
      </c>
      <c r="Q370" s="57" t="s">
        <v>2965</v>
      </c>
      <c r="R370" s="57" t="s">
        <v>15606</v>
      </c>
      <c r="S370" s="57" t="s">
        <v>15607</v>
      </c>
      <c r="T370" s="57" t="s">
        <v>15190</v>
      </c>
      <c r="U370" s="57" t="s">
        <v>14184</v>
      </c>
      <c r="V370" s="56" t="s">
        <v>14153</v>
      </c>
      <c r="W370" s="58"/>
      <c r="X370" s="57" t="s">
        <v>16835</v>
      </c>
      <c r="Y370" s="57" t="s">
        <v>15170</v>
      </c>
      <c r="Z370" s="61" t="s">
        <v>16389</v>
      </c>
      <c r="AA370" s="61" t="s">
        <v>14159</v>
      </c>
      <c r="AB370" s="58"/>
      <c r="AC370" s="57" t="s">
        <v>16391</v>
      </c>
      <c r="AD370" s="58"/>
      <c r="AE370" s="58"/>
      <c r="AF370" s="58"/>
      <c r="AG370" s="58"/>
      <c r="AH370" s="58"/>
      <c r="AI370" s="58"/>
      <c r="AJ370" s="58"/>
      <c r="AK370" s="56" t="s">
        <v>1285</v>
      </c>
      <c r="AL370" s="56" t="s">
        <v>16836</v>
      </c>
      <c r="AM370" s="58"/>
      <c r="AN370" s="56" t="s">
        <v>15324</v>
      </c>
      <c r="AO370" s="58"/>
      <c r="AP370" s="63">
        <v>45848.7926851852</v>
      </c>
      <c r="AQ370" s="56" t="s">
        <v>16837</v>
      </c>
      <c r="AR370" s="61" t="s">
        <v>14645</v>
      </c>
      <c r="AS370" s="57" t="s">
        <v>14184</v>
      </c>
      <c r="AT370" s="56" t="s">
        <v>15177</v>
      </c>
      <c r="AU370" s="56" t="s">
        <v>16838</v>
      </c>
      <c r="AV370" s="58"/>
      <c r="AW370" s="64">
        <v>45776.7903240741</v>
      </c>
      <c r="AX370" s="56" t="s">
        <v>16836</v>
      </c>
      <c r="AY370" s="56" t="s">
        <v>15179</v>
      </c>
      <c r="AZ370" s="58"/>
      <c r="BA370" s="58"/>
      <c r="BB370" s="58"/>
      <c r="BC370" s="56" t="s">
        <v>15637</v>
      </c>
      <c r="BD370" s="56" t="s">
        <v>15197</v>
      </c>
      <c r="BE370" s="56" t="s">
        <v>15613</v>
      </c>
      <c r="BF370" s="56" t="s">
        <v>15181</v>
      </c>
      <c r="BG370" s="58"/>
      <c r="BH370" s="58"/>
      <c r="BI370" s="57" t="s">
        <v>2801</v>
      </c>
      <c r="BJ370" s="58"/>
      <c r="BK370" s="58"/>
      <c r="BL370" s="66">
        <v>3513356</v>
      </c>
      <c r="BM370" s="56" t="s">
        <v>16842</v>
      </c>
      <c r="BN370" s="58"/>
      <c r="BO370" s="67">
        <v>42.93</v>
      </c>
      <c r="BP370" s="56" t="s">
        <v>16395</v>
      </c>
      <c r="BQ370" s="58"/>
      <c r="BR370" s="56" t="s">
        <v>16840</v>
      </c>
      <c r="BS370" s="56" t="s">
        <v>1285</v>
      </c>
      <c r="BT370" s="58"/>
      <c r="BU370" s="56" t="s">
        <v>16837</v>
      </c>
      <c r="BV370" s="58"/>
      <c r="BW370" s="58"/>
      <c r="BX370" s="67">
        <v>42.93</v>
      </c>
      <c r="BY370" s="56" t="s">
        <v>1285</v>
      </c>
      <c r="BZ370" s="58"/>
      <c r="CA370" s="58"/>
      <c r="CB370" s="58"/>
      <c r="CC370" s="58"/>
      <c r="CD370" s="58"/>
    </row>
    <row r="371" ht="108" spans="1:82">
      <c r="A371" s="56" t="s">
        <v>16852</v>
      </c>
      <c r="B371" s="58"/>
      <c r="C371" s="57" t="s">
        <v>16833</v>
      </c>
      <c r="D371" s="58"/>
      <c r="E371" s="57" t="s">
        <v>15158</v>
      </c>
      <c r="F371" s="57" t="s">
        <v>16834</v>
      </c>
      <c r="G371" s="57" t="s">
        <v>15160</v>
      </c>
      <c r="H371" s="56" t="s">
        <v>2965</v>
      </c>
      <c r="I371" s="60">
        <v>16853.05</v>
      </c>
      <c r="J371" s="57" t="s">
        <v>1285</v>
      </c>
      <c r="K371" s="57" t="s">
        <v>15162</v>
      </c>
      <c r="L371" s="57" t="s">
        <v>15163</v>
      </c>
      <c r="M371" s="61" t="s">
        <v>14159</v>
      </c>
      <c r="N371" s="62" t="s">
        <v>16793</v>
      </c>
      <c r="O371" s="57" t="s">
        <v>15165</v>
      </c>
      <c r="P371" s="57" t="s">
        <v>15166</v>
      </c>
      <c r="Q371" s="57" t="s">
        <v>2965</v>
      </c>
      <c r="R371" s="57" t="s">
        <v>15606</v>
      </c>
      <c r="S371" s="57" t="s">
        <v>15607</v>
      </c>
      <c r="T371" s="57" t="s">
        <v>15190</v>
      </c>
      <c r="U371" s="57" t="s">
        <v>14184</v>
      </c>
      <c r="V371" s="56" t="s">
        <v>14153</v>
      </c>
      <c r="W371" s="58"/>
      <c r="X371" s="57" t="s">
        <v>16835</v>
      </c>
      <c r="Y371" s="57" t="s">
        <v>15170</v>
      </c>
      <c r="Z371" s="61" t="s">
        <v>16389</v>
      </c>
      <c r="AA371" s="61" t="s">
        <v>14159</v>
      </c>
      <c r="AB371" s="58"/>
      <c r="AC371" s="57" t="s">
        <v>16391</v>
      </c>
      <c r="AD371" s="58"/>
      <c r="AE371" s="58"/>
      <c r="AF371" s="58"/>
      <c r="AG371" s="58"/>
      <c r="AH371" s="58"/>
      <c r="AI371" s="58"/>
      <c r="AJ371" s="58"/>
      <c r="AK371" s="56" t="s">
        <v>1285</v>
      </c>
      <c r="AL371" s="56" t="s">
        <v>16836</v>
      </c>
      <c r="AM371" s="58"/>
      <c r="AN371" s="56" t="s">
        <v>15324</v>
      </c>
      <c r="AO371" s="58"/>
      <c r="AP371" s="63">
        <v>45848.7926851852</v>
      </c>
      <c r="AQ371" s="56" t="s">
        <v>16837</v>
      </c>
      <c r="AR371" s="61" t="s">
        <v>14645</v>
      </c>
      <c r="AS371" s="57" t="s">
        <v>14184</v>
      </c>
      <c r="AT371" s="56" t="s">
        <v>15177</v>
      </c>
      <c r="AU371" s="56" t="s">
        <v>16838</v>
      </c>
      <c r="AV371" s="58"/>
      <c r="AW371" s="64">
        <v>45776.7903240741</v>
      </c>
      <c r="AX371" s="56" t="s">
        <v>16836</v>
      </c>
      <c r="AY371" s="56" t="s">
        <v>15179</v>
      </c>
      <c r="AZ371" s="58"/>
      <c r="BA371" s="58"/>
      <c r="BB371" s="58"/>
      <c r="BC371" s="56" t="s">
        <v>15637</v>
      </c>
      <c r="BD371" s="56" t="s">
        <v>15197</v>
      </c>
      <c r="BE371" s="56" t="s">
        <v>15613</v>
      </c>
      <c r="BF371" s="56" t="s">
        <v>15181</v>
      </c>
      <c r="BG371" s="58"/>
      <c r="BH371" s="58"/>
      <c r="BI371" s="57" t="s">
        <v>2801</v>
      </c>
      <c r="BJ371" s="58"/>
      <c r="BK371" s="58"/>
      <c r="BL371" s="66">
        <v>3513365</v>
      </c>
      <c r="BM371" s="56" t="s">
        <v>16842</v>
      </c>
      <c r="BN371" s="58"/>
      <c r="BO371" s="67">
        <v>1220.65</v>
      </c>
      <c r="BP371" s="56" t="s">
        <v>16395</v>
      </c>
      <c r="BQ371" s="58"/>
      <c r="BR371" s="56" t="s">
        <v>16840</v>
      </c>
      <c r="BS371" s="56" t="s">
        <v>1285</v>
      </c>
      <c r="BT371" s="58"/>
      <c r="BU371" s="56" t="s">
        <v>16837</v>
      </c>
      <c r="BV371" s="58"/>
      <c r="BW371" s="58"/>
      <c r="BX371" s="67">
        <v>1220.65</v>
      </c>
      <c r="BY371" s="56" t="s">
        <v>1285</v>
      </c>
      <c r="BZ371" s="58"/>
      <c r="CA371" s="58"/>
      <c r="CB371" s="58"/>
      <c r="CC371" s="58"/>
      <c r="CD371" s="58"/>
    </row>
    <row r="372" ht="108" spans="1:82">
      <c r="A372" s="56" t="s">
        <v>16853</v>
      </c>
      <c r="B372" s="58"/>
      <c r="C372" s="57" t="s">
        <v>16833</v>
      </c>
      <c r="D372" s="58"/>
      <c r="E372" s="57" t="s">
        <v>15158</v>
      </c>
      <c r="F372" s="57" t="s">
        <v>16834</v>
      </c>
      <c r="G372" s="57" t="s">
        <v>15160</v>
      </c>
      <c r="H372" s="56" t="s">
        <v>2965</v>
      </c>
      <c r="I372" s="60">
        <v>16853.05</v>
      </c>
      <c r="J372" s="57" t="s">
        <v>1285</v>
      </c>
      <c r="K372" s="57" t="s">
        <v>15162</v>
      </c>
      <c r="L372" s="57" t="s">
        <v>15163</v>
      </c>
      <c r="M372" s="61" t="s">
        <v>14159</v>
      </c>
      <c r="N372" s="62" t="s">
        <v>16793</v>
      </c>
      <c r="O372" s="57" t="s">
        <v>15165</v>
      </c>
      <c r="P372" s="57" t="s">
        <v>15166</v>
      </c>
      <c r="Q372" s="57" t="s">
        <v>2965</v>
      </c>
      <c r="R372" s="57" t="s">
        <v>15606</v>
      </c>
      <c r="S372" s="57" t="s">
        <v>15607</v>
      </c>
      <c r="T372" s="57" t="s">
        <v>15190</v>
      </c>
      <c r="U372" s="57" t="s">
        <v>14184</v>
      </c>
      <c r="V372" s="56" t="s">
        <v>14153</v>
      </c>
      <c r="W372" s="58"/>
      <c r="X372" s="57" t="s">
        <v>16835</v>
      </c>
      <c r="Y372" s="57" t="s">
        <v>15170</v>
      </c>
      <c r="Z372" s="61" t="s">
        <v>16389</v>
      </c>
      <c r="AA372" s="61" t="s">
        <v>14159</v>
      </c>
      <c r="AB372" s="58"/>
      <c r="AC372" s="57" t="s">
        <v>16391</v>
      </c>
      <c r="AD372" s="58"/>
      <c r="AE372" s="58"/>
      <c r="AF372" s="58"/>
      <c r="AG372" s="58"/>
      <c r="AH372" s="58"/>
      <c r="AI372" s="58"/>
      <c r="AJ372" s="58"/>
      <c r="AK372" s="56" t="s">
        <v>1285</v>
      </c>
      <c r="AL372" s="56" t="s">
        <v>16836</v>
      </c>
      <c r="AM372" s="58"/>
      <c r="AN372" s="56" t="s">
        <v>15324</v>
      </c>
      <c r="AO372" s="58"/>
      <c r="AP372" s="63">
        <v>45848.7926851852</v>
      </c>
      <c r="AQ372" s="56" t="s">
        <v>16837</v>
      </c>
      <c r="AR372" s="61" t="s">
        <v>14645</v>
      </c>
      <c r="AS372" s="57" t="s">
        <v>14184</v>
      </c>
      <c r="AT372" s="56" t="s">
        <v>15177</v>
      </c>
      <c r="AU372" s="56" t="s">
        <v>16838</v>
      </c>
      <c r="AV372" s="58"/>
      <c r="AW372" s="64">
        <v>45776.7903240741</v>
      </c>
      <c r="AX372" s="56" t="s">
        <v>16836</v>
      </c>
      <c r="AY372" s="56" t="s">
        <v>15179</v>
      </c>
      <c r="AZ372" s="58"/>
      <c r="BA372" s="58"/>
      <c r="BB372" s="58"/>
      <c r="BC372" s="56" t="s">
        <v>15213</v>
      </c>
      <c r="BD372" s="56" t="s">
        <v>15197</v>
      </c>
      <c r="BE372" s="56" t="s">
        <v>15613</v>
      </c>
      <c r="BF372" s="56" t="s">
        <v>15181</v>
      </c>
      <c r="BG372" s="58"/>
      <c r="BH372" s="58"/>
      <c r="BI372" s="57" t="s">
        <v>2801</v>
      </c>
      <c r="BJ372" s="58"/>
      <c r="BK372" s="58"/>
      <c r="BL372" s="66">
        <v>3513383</v>
      </c>
      <c r="BM372" s="56" t="s">
        <v>16842</v>
      </c>
      <c r="BN372" s="58"/>
      <c r="BO372" s="67">
        <v>1431</v>
      </c>
      <c r="BP372" s="56" t="s">
        <v>16395</v>
      </c>
      <c r="BQ372" s="58"/>
      <c r="BR372" s="56" t="s">
        <v>16840</v>
      </c>
      <c r="BS372" s="56" t="s">
        <v>1285</v>
      </c>
      <c r="BT372" s="58"/>
      <c r="BU372" s="56" t="s">
        <v>16837</v>
      </c>
      <c r="BV372" s="58"/>
      <c r="BW372" s="58"/>
      <c r="BX372" s="67">
        <v>1431</v>
      </c>
      <c r="BY372" s="56" t="s">
        <v>1285</v>
      </c>
      <c r="BZ372" s="58"/>
      <c r="CA372" s="58"/>
      <c r="CB372" s="58"/>
      <c r="CC372" s="58"/>
      <c r="CD372" s="58"/>
    </row>
    <row r="373" ht="108" spans="1:82">
      <c r="A373" s="56" t="s">
        <v>16854</v>
      </c>
      <c r="B373" s="58"/>
      <c r="C373" s="57" t="s">
        <v>16833</v>
      </c>
      <c r="D373" s="58"/>
      <c r="E373" s="57" t="s">
        <v>15158</v>
      </c>
      <c r="F373" s="57" t="s">
        <v>16834</v>
      </c>
      <c r="G373" s="57" t="s">
        <v>15160</v>
      </c>
      <c r="H373" s="56" t="s">
        <v>2965</v>
      </c>
      <c r="I373" s="60">
        <v>16853.05</v>
      </c>
      <c r="J373" s="57" t="s">
        <v>1285</v>
      </c>
      <c r="K373" s="57" t="s">
        <v>15162</v>
      </c>
      <c r="L373" s="57" t="s">
        <v>15163</v>
      </c>
      <c r="M373" s="61" t="s">
        <v>14159</v>
      </c>
      <c r="N373" s="62" t="s">
        <v>16793</v>
      </c>
      <c r="O373" s="57" t="s">
        <v>15165</v>
      </c>
      <c r="P373" s="57" t="s">
        <v>15166</v>
      </c>
      <c r="Q373" s="57" t="s">
        <v>2965</v>
      </c>
      <c r="R373" s="57" t="s">
        <v>15606</v>
      </c>
      <c r="S373" s="57" t="s">
        <v>15607</v>
      </c>
      <c r="T373" s="57" t="s">
        <v>15190</v>
      </c>
      <c r="U373" s="57" t="s">
        <v>14184</v>
      </c>
      <c r="V373" s="56" t="s">
        <v>14153</v>
      </c>
      <c r="W373" s="58"/>
      <c r="X373" s="57" t="s">
        <v>16835</v>
      </c>
      <c r="Y373" s="57" t="s">
        <v>15170</v>
      </c>
      <c r="Z373" s="61" t="s">
        <v>16389</v>
      </c>
      <c r="AA373" s="61" t="s">
        <v>14159</v>
      </c>
      <c r="AB373" s="58"/>
      <c r="AC373" s="57" t="s">
        <v>16391</v>
      </c>
      <c r="AD373" s="58"/>
      <c r="AE373" s="58"/>
      <c r="AF373" s="58"/>
      <c r="AG373" s="58"/>
      <c r="AH373" s="58"/>
      <c r="AI373" s="58"/>
      <c r="AJ373" s="58"/>
      <c r="AK373" s="56" t="s">
        <v>1285</v>
      </c>
      <c r="AL373" s="56" t="s">
        <v>16836</v>
      </c>
      <c r="AM373" s="58"/>
      <c r="AN373" s="56" t="s">
        <v>15324</v>
      </c>
      <c r="AO373" s="58"/>
      <c r="AP373" s="63">
        <v>45848.7926851852</v>
      </c>
      <c r="AQ373" s="56" t="s">
        <v>16837</v>
      </c>
      <c r="AR373" s="61" t="s">
        <v>14645</v>
      </c>
      <c r="AS373" s="57" t="s">
        <v>14184</v>
      </c>
      <c r="AT373" s="56" t="s">
        <v>15177</v>
      </c>
      <c r="AU373" s="56" t="s">
        <v>16838</v>
      </c>
      <c r="AV373" s="58"/>
      <c r="AW373" s="64">
        <v>45776.7903240741</v>
      </c>
      <c r="AX373" s="56" t="s">
        <v>16836</v>
      </c>
      <c r="AY373" s="56" t="s">
        <v>15179</v>
      </c>
      <c r="AZ373" s="58"/>
      <c r="BA373" s="58"/>
      <c r="BB373" s="58"/>
      <c r="BC373" s="56" t="s">
        <v>15637</v>
      </c>
      <c r="BD373" s="56" t="s">
        <v>15197</v>
      </c>
      <c r="BE373" s="56" t="s">
        <v>15613</v>
      </c>
      <c r="BF373" s="56" t="s">
        <v>15181</v>
      </c>
      <c r="BG373" s="58"/>
      <c r="BH373" s="58"/>
      <c r="BI373" s="57" t="s">
        <v>2801</v>
      </c>
      <c r="BJ373" s="58"/>
      <c r="BK373" s="58"/>
      <c r="BL373" s="66">
        <v>3513363</v>
      </c>
      <c r="BM373" s="56" t="s">
        <v>16842</v>
      </c>
      <c r="BN373" s="58"/>
      <c r="BO373" s="67">
        <v>682.2</v>
      </c>
      <c r="BP373" s="56" t="s">
        <v>16395</v>
      </c>
      <c r="BQ373" s="58"/>
      <c r="BR373" s="56" t="s">
        <v>16840</v>
      </c>
      <c r="BS373" s="56" t="s">
        <v>1285</v>
      </c>
      <c r="BT373" s="58"/>
      <c r="BU373" s="56" t="s">
        <v>16837</v>
      </c>
      <c r="BV373" s="58"/>
      <c r="BW373" s="58"/>
      <c r="BX373" s="67">
        <v>682.2</v>
      </c>
      <c r="BY373" s="56" t="s">
        <v>1285</v>
      </c>
      <c r="BZ373" s="58"/>
      <c r="CA373" s="58"/>
      <c r="CB373" s="58"/>
      <c r="CC373" s="58"/>
      <c r="CD373" s="58"/>
    </row>
    <row r="374" ht="108" spans="1:82">
      <c r="A374" s="56" t="s">
        <v>16855</v>
      </c>
      <c r="B374" s="58"/>
      <c r="C374" s="57" t="s">
        <v>16833</v>
      </c>
      <c r="D374" s="58"/>
      <c r="E374" s="57" t="s">
        <v>15158</v>
      </c>
      <c r="F374" s="57" t="s">
        <v>16834</v>
      </c>
      <c r="G374" s="57" t="s">
        <v>15160</v>
      </c>
      <c r="H374" s="56" t="s">
        <v>2965</v>
      </c>
      <c r="I374" s="60">
        <v>16853.05</v>
      </c>
      <c r="J374" s="57" t="s">
        <v>1285</v>
      </c>
      <c r="K374" s="57" t="s">
        <v>15162</v>
      </c>
      <c r="L374" s="57" t="s">
        <v>15163</v>
      </c>
      <c r="M374" s="61" t="s">
        <v>14159</v>
      </c>
      <c r="N374" s="62" t="s">
        <v>16793</v>
      </c>
      <c r="O374" s="57" t="s">
        <v>15165</v>
      </c>
      <c r="P374" s="57" t="s">
        <v>15166</v>
      </c>
      <c r="Q374" s="57" t="s">
        <v>2965</v>
      </c>
      <c r="R374" s="57" t="s">
        <v>15606</v>
      </c>
      <c r="S374" s="57" t="s">
        <v>15607</v>
      </c>
      <c r="T374" s="57" t="s">
        <v>15190</v>
      </c>
      <c r="U374" s="57" t="s">
        <v>14184</v>
      </c>
      <c r="V374" s="56" t="s">
        <v>14153</v>
      </c>
      <c r="W374" s="58"/>
      <c r="X374" s="57" t="s">
        <v>16835</v>
      </c>
      <c r="Y374" s="57" t="s">
        <v>15170</v>
      </c>
      <c r="Z374" s="61" t="s">
        <v>16389</v>
      </c>
      <c r="AA374" s="61" t="s">
        <v>14159</v>
      </c>
      <c r="AB374" s="58"/>
      <c r="AC374" s="57" t="s">
        <v>16391</v>
      </c>
      <c r="AD374" s="58"/>
      <c r="AE374" s="58"/>
      <c r="AF374" s="58"/>
      <c r="AG374" s="58"/>
      <c r="AH374" s="58"/>
      <c r="AI374" s="58"/>
      <c r="AJ374" s="58"/>
      <c r="AK374" s="56" t="s">
        <v>1285</v>
      </c>
      <c r="AL374" s="56" t="s">
        <v>16836</v>
      </c>
      <c r="AM374" s="58"/>
      <c r="AN374" s="56" t="s">
        <v>15324</v>
      </c>
      <c r="AO374" s="58"/>
      <c r="AP374" s="63">
        <v>45848.7926851852</v>
      </c>
      <c r="AQ374" s="56" t="s">
        <v>16837</v>
      </c>
      <c r="AR374" s="61" t="s">
        <v>14645</v>
      </c>
      <c r="AS374" s="57" t="s">
        <v>14184</v>
      </c>
      <c r="AT374" s="56" t="s">
        <v>15177</v>
      </c>
      <c r="AU374" s="56" t="s">
        <v>16838</v>
      </c>
      <c r="AV374" s="58"/>
      <c r="AW374" s="64">
        <v>45776.7903240741</v>
      </c>
      <c r="AX374" s="56" t="s">
        <v>16836</v>
      </c>
      <c r="AY374" s="56" t="s">
        <v>15179</v>
      </c>
      <c r="AZ374" s="58"/>
      <c r="BA374" s="58"/>
      <c r="BB374" s="58"/>
      <c r="BC374" s="56" t="s">
        <v>15637</v>
      </c>
      <c r="BD374" s="56" t="s">
        <v>15197</v>
      </c>
      <c r="BE374" s="56" t="s">
        <v>15613</v>
      </c>
      <c r="BF374" s="56" t="s">
        <v>15181</v>
      </c>
      <c r="BG374" s="58"/>
      <c r="BH374" s="58"/>
      <c r="BI374" s="57" t="s">
        <v>2801</v>
      </c>
      <c r="BJ374" s="58"/>
      <c r="BK374" s="58"/>
      <c r="BL374" s="66">
        <v>3513361</v>
      </c>
      <c r="BM374" s="56" t="s">
        <v>16842</v>
      </c>
      <c r="BN374" s="58"/>
      <c r="BO374" s="67">
        <v>44</v>
      </c>
      <c r="BP374" s="56" t="s">
        <v>16395</v>
      </c>
      <c r="BQ374" s="58"/>
      <c r="BR374" s="56" t="s">
        <v>16840</v>
      </c>
      <c r="BS374" s="56" t="s">
        <v>1285</v>
      </c>
      <c r="BT374" s="58"/>
      <c r="BU374" s="56" t="s">
        <v>16837</v>
      </c>
      <c r="BV374" s="58"/>
      <c r="BW374" s="58"/>
      <c r="BX374" s="67">
        <v>44</v>
      </c>
      <c r="BY374" s="56" t="s">
        <v>1285</v>
      </c>
      <c r="BZ374" s="58"/>
      <c r="CA374" s="58"/>
      <c r="CB374" s="58"/>
      <c r="CC374" s="58"/>
      <c r="CD374" s="58"/>
    </row>
    <row r="375" ht="108" spans="1:82">
      <c r="A375" s="56" t="s">
        <v>16856</v>
      </c>
      <c r="B375" s="58"/>
      <c r="C375" s="57" t="s">
        <v>16833</v>
      </c>
      <c r="D375" s="58"/>
      <c r="E375" s="57" t="s">
        <v>15158</v>
      </c>
      <c r="F375" s="57" t="s">
        <v>16834</v>
      </c>
      <c r="G375" s="57" t="s">
        <v>15160</v>
      </c>
      <c r="H375" s="56" t="s">
        <v>2965</v>
      </c>
      <c r="I375" s="60">
        <v>16853.05</v>
      </c>
      <c r="J375" s="57" t="s">
        <v>1285</v>
      </c>
      <c r="K375" s="57" t="s">
        <v>15162</v>
      </c>
      <c r="L375" s="57" t="s">
        <v>15163</v>
      </c>
      <c r="M375" s="61" t="s">
        <v>14159</v>
      </c>
      <c r="N375" s="62" t="s">
        <v>16793</v>
      </c>
      <c r="O375" s="57" t="s">
        <v>15165</v>
      </c>
      <c r="P375" s="57" t="s">
        <v>15166</v>
      </c>
      <c r="Q375" s="57" t="s">
        <v>2965</v>
      </c>
      <c r="R375" s="57" t="s">
        <v>15606</v>
      </c>
      <c r="S375" s="57" t="s">
        <v>15607</v>
      </c>
      <c r="T375" s="57" t="s">
        <v>15190</v>
      </c>
      <c r="U375" s="57" t="s">
        <v>14184</v>
      </c>
      <c r="V375" s="56" t="s">
        <v>14153</v>
      </c>
      <c r="W375" s="58"/>
      <c r="X375" s="57" t="s">
        <v>16835</v>
      </c>
      <c r="Y375" s="57" t="s">
        <v>15170</v>
      </c>
      <c r="Z375" s="61" t="s">
        <v>16389</v>
      </c>
      <c r="AA375" s="61" t="s">
        <v>14159</v>
      </c>
      <c r="AB375" s="58"/>
      <c r="AC375" s="57" t="s">
        <v>16391</v>
      </c>
      <c r="AD375" s="58"/>
      <c r="AE375" s="58"/>
      <c r="AF375" s="58"/>
      <c r="AG375" s="58"/>
      <c r="AH375" s="58"/>
      <c r="AI375" s="58"/>
      <c r="AJ375" s="58"/>
      <c r="AK375" s="56" t="s">
        <v>1285</v>
      </c>
      <c r="AL375" s="56" t="s">
        <v>16836</v>
      </c>
      <c r="AM375" s="58"/>
      <c r="AN375" s="56" t="s">
        <v>15324</v>
      </c>
      <c r="AO375" s="58"/>
      <c r="AP375" s="63">
        <v>45848.7926851852</v>
      </c>
      <c r="AQ375" s="56" t="s">
        <v>16837</v>
      </c>
      <c r="AR375" s="61" t="s">
        <v>14645</v>
      </c>
      <c r="AS375" s="57" t="s">
        <v>14184</v>
      </c>
      <c r="AT375" s="56" t="s">
        <v>15177</v>
      </c>
      <c r="AU375" s="56" t="s">
        <v>16838</v>
      </c>
      <c r="AV375" s="58"/>
      <c r="AW375" s="64">
        <v>45776.7903240741</v>
      </c>
      <c r="AX375" s="56" t="s">
        <v>16836</v>
      </c>
      <c r="AY375" s="56" t="s">
        <v>15179</v>
      </c>
      <c r="AZ375" s="58"/>
      <c r="BA375" s="58"/>
      <c r="BB375" s="58"/>
      <c r="BC375" s="56" t="s">
        <v>15637</v>
      </c>
      <c r="BD375" s="56" t="s">
        <v>15197</v>
      </c>
      <c r="BE375" s="56" t="s">
        <v>15613</v>
      </c>
      <c r="BF375" s="56" t="s">
        <v>15181</v>
      </c>
      <c r="BG375" s="58"/>
      <c r="BH375" s="58"/>
      <c r="BI375" s="57" t="s">
        <v>2801</v>
      </c>
      <c r="BJ375" s="58"/>
      <c r="BK375" s="58"/>
      <c r="BL375" s="66">
        <v>3513362</v>
      </c>
      <c r="BM375" s="56" t="s">
        <v>16842</v>
      </c>
      <c r="BN375" s="58"/>
      <c r="BO375" s="67">
        <v>47.88</v>
      </c>
      <c r="BP375" s="56" t="s">
        <v>16395</v>
      </c>
      <c r="BQ375" s="58"/>
      <c r="BR375" s="56" t="s">
        <v>16840</v>
      </c>
      <c r="BS375" s="56" t="s">
        <v>1285</v>
      </c>
      <c r="BT375" s="58"/>
      <c r="BU375" s="56" t="s">
        <v>16837</v>
      </c>
      <c r="BV375" s="58"/>
      <c r="BW375" s="58"/>
      <c r="BX375" s="67">
        <v>47.88</v>
      </c>
      <c r="BY375" s="56" t="s">
        <v>1285</v>
      </c>
      <c r="BZ375" s="58"/>
      <c r="CA375" s="58"/>
      <c r="CB375" s="58"/>
      <c r="CC375" s="58"/>
      <c r="CD375" s="58"/>
    </row>
    <row r="376" ht="108" spans="1:82">
      <c r="A376" s="56" t="s">
        <v>16857</v>
      </c>
      <c r="B376" s="58"/>
      <c r="C376" s="57" t="s">
        <v>16833</v>
      </c>
      <c r="D376" s="58"/>
      <c r="E376" s="57" t="s">
        <v>15158</v>
      </c>
      <c r="F376" s="57" t="s">
        <v>16834</v>
      </c>
      <c r="G376" s="57" t="s">
        <v>15160</v>
      </c>
      <c r="H376" s="56" t="s">
        <v>2965</v>
      </c>
      <c r="I376" s="60">
        <v>16853.05</v>
      </c>
      <c r="J376" s="57" t="s">
        <v>1285</v>
      </c>
      <c r="K376" s="57" t="s">
        <v>15162</v>
      </c>
      <c r="L376" s="57" t="s">
        <v>15163</v>
      </c>
      <c r="M376" s="61" t="s">
        <v>14159</v>
      </c>
      <c r="N376" s="62" t="s">
        <v>16793</v>
      </c>
      <c r="O376" s="57" t="s">
        <v>15165</v>
      </c>
      <c r="P376" s="57" t="s">
        <v>15166</v>
      </c>
      <c r="Q376" s="57" t="s">
        <v>2965</v>
      </c>
      <c r="R376" s="57" t="s">
        <v>15606</v>
      </c>
      <c r="S376" s="57" t="s">
        <v>15607</v>
      </c>
      <c r="T376" s="57" t="s">
        <v>15190</v>
      </c>
      <c r="U376" s="57" t="s">
        <v>14184</v>
      </c>
      <c r="V376" s="56" t="s">
        <v>14153</v>
      </c>
      <c r="W376" s="58"/>
      <c r="X376" s="57" t="s">
        <v>16835</v>
      </c>
      <c r="Y376" s="57" t="s">
        <v>15170</v>
      </c>
      <c r="Z376" s="61" t="s">
        <v>16389</v>
      </c>
      <c r="AA376" s="61" t="s">
        <v>14159</v>
      </c>
      <c r="AB376" s="58"/>
      <c r="AC376" s="57" t="s">
        <v>16391</v>
      </c>
      <c r="AD376" s="58"/>
      <c r="AE376" s="58"/>
      <c r="AF376" s="58"/>
      <c r="AG376" s="58"/>
      <c r="AH376" s="58"/>
      <c r="AI376" s="58"/>
      <c r="AJ376" s="58"/>
      <c r="AK376" s="56" t="s">
        <v>1285</v>
      </c>
      <c r="AL376" s="56" t="s">
        <v>16836</v>
      </c>
      <c r="AM376" s="58"/>
      <c r="AN376" s="56" t="s">
        <v>15324</v>
      </c>
      <c r="AO376" s="58"/>
      <c r="AP376" s="63">
        <v>45848.7926851852</v>
      </c>
      <c r="AQ376" s="56" t="s">
        <v>16837</v>
      </c>
      <c r="AR376" s="61" t="s">
        <v>14645</v>
      </c>
      <c r="AS376" s="57" t="s">
        <v>14184</v>
      </c>
      <c r="AT376" s="56" t="s">
        <v>15177</v>
      </c>
      <c r="AU376" s="56" t="s">
        <v>16838</v>
      </c>
      <c r="AV376" s="58"/>
      <c r="AW376" s="64">
        <v>45776.7903240741</v>
      </c>
      <c r="AX376" s="56" t="s">
        <v>16836</v>
      </c>
      <c r="AY376" s="56" t="s">
        <v>15179</v>
      </c>
      <c r="AZ376" s="58"/>
      <c r="BA376" s="58"/>
      <c r="BB376" s="58"/>
      <c r="BC376" s="56" t="s">
        <v>138</v>
      </c>
      <c r="BD376" s="56" t="s">
        <v>15197</v>
      </c>
      <c r="BE376" s="56" t="s">
        <v>15613</v>
      </c>
      <c r="BF376" s="56" t="s">
        <v>15181</v>
      </c>
      <c r="BG376" s="58"/>
      <c r="BH376" s="58"/>
      <c r="BI376" s="57" t="s">
        <v>2801</v>
      </c>
      <c r="BJ376" s="58"/>
      <c r="BK376" s="58"/>
      <c r="BL376" s="66">
        <v>3513382</v>
      </c>
      <c r="BM376" s="56" t="s">
        <v>16842</v>
      </c>
      <c r="BN376" s="58"/>
      <c r="BO376" s="67">
        <v>140.7</v>
      </c>
      <c r="BP376" s="56" t="s">
        <v>16395</v>
      </c>
      <c r="BQ376" s="58"/>
      <c r="BR376" s="56" t="s">
        <v>16840</v>
      </c>
      <c r="BS376" s="56" t="s">
        <v>1285</v>
      </c>
      <c r="BT376" s="58"/>
      <c r="BU376" s="56" t="s">
        <v>16837</v>
      </c>
      <c r="BV376" s="58"/>
      <c r="BW376" s="58"/>
      <c r="BX376" s="67">
        <v>140.7</v>
      </c>
      <c r="BY376" s="56" t="s">
        <v>1285</v>
      </c>
      <c r="BZ376" s="58"/>
      <c r="CA376" s="58"/>
      <c r="CB376" s="58"/>
      <c r="CC376" s="58"/>
      <c r="CD376" s="58"/>
    </row>
    <row r="377" ht="108" spans="1:82">
      <c r="A377" s="56" t="s">
        <v>16858</v>
      </c>
      <c r="B377" s="58"/>
      <c r="C377" s="57" t="s">
        <v>16833</v>
      </c>
      <c r="D377" s="58"/>
      <c r="E377" s="57" t="s">
        <v>15158</v>
      </c>
      <c r="F377" s="57" t="s">
        <v>16834</v>
      </c>
      <c r="G377" s="57" t="s">
        <v>15160</v>
      </c>
      <c r="H377" s="56" t="s">
        <v>2965</v>
      </c>
      <c r="I377" s="60">
        <v>16853.05</v>
      </c>
      <c r="J377" s="57" t="s">
        <v>1285</v>
      </c>
      <c r="K377" s="57" t="s">
        <v>15162</v>
      </c>
      <c r="L377" s="57" t="s">
        <v>15163</v>
      </c>
      <c r="M377" s="61" t="s">
        <v>14159</v>
      </c>
      <c r="N377" s="62" t="s">
        <v>16793</v>
      </c>
      <c r="O377" s="57" t="s">
        <v>15165</v>
      </c>
      <c r="P377" s="57" t="s">
        <v>15166</v>
      </c>
      <c r="Q377" s="57" t="s">
        <v>2965</v>
      </c>
      <c r="R377" s="57" t="s">
        <v>15606</v>
      </c>
      <c r="S377" s="57" t="s">
        <v>15607</v>
      </c>
      <c r="T377" s="57" t="s">
        <v>15190</v>
      </c>
      <c r="U377" s="57" t="s">
        <v>14184</v>
      </c>
      <c r="V377" s="56" t="s">
        <v>14153</v>
      </c>
      <c r="W377" s="58"/>
      <c r="X377" s="57" t="s">
        <v>16835</v>
      </c>
      <c r="Y377" s="57" t="s">
        <v>15170</v>
      </c>
      <c r="Z377" s="61" t="s">
        <v>16389</v>
      </c>
      <c r="AA377" s="61" t="s">
        <v>14159</v>
      </c>
      <c r="AB377" s="58"/>
      <c r="AC377" s="57" t="s">
        <v>16391</v>
      </c>
      <c r="AD377" s="58"/>
      <c r="AE377" s="58"/>
      <c r="AF377" s="58"/>
      <c r="AG377" s="58"/>
      <c r="AH377" s="58"/>
      <c r="AI377" s="58"/>
      <c r="AJ377" s="58"/>
      <c r="AK377" s="56" t="s">
        <v>1285</v>
      </c>
      <c r="AL377" s="56" t="s">
        <v>16836</v>
      </c>
      <c r="AM377" s="58"/>
      <c r="AN377" s="56" t="s">
        <v>15324</v>
      </c>
      <c r="AO377" s="58"/>
      <c r="AP377" s="63">
        <v>45848.7926851852</v>
      </c>
      <c r="AQ377" s="56" t="s">
        <v>16837</v>
      </c>
      <c r="AR377" s="61" t="s">
        <v>14645</v>
      </c>
      <c r="AS377" s="57" t="s">
        <v>14184</v>
      </c>
      <c r="AT377" s="56" t="s">
        <v>15177</v>
      </c>
      <c r="AU377" s="56" t="s">
        <v>16838</v>
      </c>
      <c r="AV377" s="58"/>
      <c r="AW377" s="64">
        <v>45776.7903240741</v>
      </c>
      <c r="AX377" s="56" t="s">
        <v>16836</v>
      </c>
      <c r="AY377" s="56" t="s">
        <v>15179</v>
      </c>
      <c r="AZ377" s="58"/>
      <c r="BA377" s="58"/>
      <c r="BB377" s="58"/>
      <c r="BC377" s="56" t="s">
        <v>15213</v>
      </c>
      <c r="BD377" s="56" t="s">
        <v>15197</v>
      </c>
      <c r="BE377" s="56" t="s">
        <v>15613</v>
      </c>
      <c r="BF377" s="56" t="s">
        <v>15181</v>
      </c>
      <c r="BG377" s="58"/>
      <c r="BH377" s="58"/>
      <c r="BI377" s="57" t="s">
        <v>2801</v>
      </c>
      <c r="BJ377" s="58"/>
      <c r="BK377" s="58"/>
      <c r="BL377" s="66">
        <v>3513377</v>
      </c>
      <c r="BM377" s="56" t="s">
        <v>16842</v>
      </c>
      <c r="BN377" s="58"/>
      <c r="BO377" s="67">
        <v>162</v>
      </c>
      <c r="BP377" s="56" t="s">
        <v>16395</v>
      </c>
      <c r="BQ377" s="58"/>
      <c r="BR377" s="56" t="s">
        <v>16840</v>
      </c>
      <c r="BS377" s="56" t="s">
        <v>1285</v>
      </c>
      <c r="BT377" s="58"/>
      <c r="BU377" s="56" t="s">
        <v>16837</v>
      </c>
      <c r="BV377" s="58"/>
      <c r="BW377" s="58"/>
      <c r="BX377" s="67">
        <v>162</v>
      </c>
      <c r="BY377" s="56" t="s">
        <v>1285</v>
      </c>
      <c r="BZ377" s="58"/>
      <c r="CA377" s="58"/>
      <c r="CB377" s="58"/>
      <c r="CC377" s="58"/>
      <c r="CD377" s="58"/>
    </row>
    <row r="378" ht="108" spans="1:82">
      <c r="A378" s="56" t="s">
        <v>16859</v>
      </c>
      <c r="B378" s="58"/>
      <c r="C378" s="57" t="s">
        <v>16833</v>
      </c>
      <c r="D378" s="58"/>
      <c r="E378" s="57" t="s">
        <v>15158</v>
      </c>
      <c r="F378" s="57" t="s">
        <v>16834</v>
      </c>
      <c r="G378" s="57" t="s">
        <v>15160</v>
      </c>
      <c r="H378" s="56" t="s">
        <v>2965</v>
      </c>
      <c r="I378" s="60">
        <v>16853.05</v>
      </c>
      <c r="J378" s="57" t="s">
        <v>1285</v>
      </c>
      <c r="K378" s="57" t="s">
        <v>15162</v>
      </c>
      <c r="L378" s="57" t="s">
        <v>15163</v>
      </c>
      <c r="M378" s="61" t="s">
        <v>14159</v>
      </c>
      <c r="N378" s="62" t="s">
        <v>16793</v>
      </c>
      <c r="O378" s="57" t="s">
        <v>15165</v>
      </c>
      <c r="P378" s="57" t="s">
        <v>15166</v>
      </c>
      <c r="Q378" s="57" t="s">
        <v>2965</v>
      </c>
      <c r="R378" s="57" t="s">
        <v>15606</v>
      </c>
      <c r="S378" s="57" t="s">
        <v>15607</v>
      </c>
      <c r="T378" s="57" t="s">
        <v>15190</v>
      </c>
      <c r="U378" s="57" t="s">
        <v>14184</v>
      </c>
      <c r="V378" s="56" t="s">
        <v>14153</v>
      </c>
      <c r="W378" s="58"/>
      <c r="X378" s="57" t="s">
        <v>16835</v>
      </c>
      <c r="Y378" s="57" t="s">
        <v>15170</v>
      </c>
      <c r="Z378" s="61" t="s">
        <v>16389</v>
      </c>
      <c r="AA378" s="61" t="s">
        <v>14159</v>
      </c>
      <c r="AB378" s="58"/>
      <c r="AC378" s="57" t="s">
        <v>16391</v>
      </c>
      <c r="AD378" s="58"/>
      <c r="AE378" s="58"/>
      <c r="AF378" s="58"/>
      <c r="AG378" s="58"/>
      <c r="AH378" s="58"/>
      <c r="AI378" s="58"/>
      <c r="AJ378" s="58"/>
      <c r="AK378" s="56" t="s">
        <v>1285</v>
      </c>
      <c r="AL378" s="56" t="s">
        <v>16836</v>
      </c>
      <c r="AM378" s="58"/>
      <c r="AN378" s="56" t="s">
        <v>15324</v>
      </c>
      <c r="AO378" s="58"/>
      <c r="AP378" s="63">
        <v>45848.7926851852</v>
      </c>
      <c r="AQ378" s="56" t="s">
        <v>16837</v>
      </c>
      <c r="AR378" s="61" t="s">
        <v>14645</v>
      </c>
      <c r="AS378" s="57" t="s">
        <v>14184</v>
      </c>
      <c r="AT378" s="56" t="s">
        <v>15177</v>
      </c>
      <c r="AU378" s="56" t="s">
        <v>16838</v>
      </c>
      <c r="AV378" s="58"/>
      <c r="AW378" s="64">
        <v>45776.7903240741</v>
      </c>
      <c r="AX378" s="56" t="s">
        <v>16836</v>
      </c>
      <c r="AY378" s="56" t="s">
        <v>15179</v>
      </c>
      <c r="AZ378" s="58"/>
      <c r="BA378" s="58"/>
      <c r="BB378" s="58"/>
      <c r="BC378" s="56" t="s">
        <v>2136</v>
      </c>
      <c r="BD378" s="56" t="s">
        <v>15197</v>
      </c>
      <c r="BE378" s="56" t="s">
        <v>15613</v>
      </c>
      <c r="BF378" s="56" t="s">
        <v>15181</v>
      </c>
      <c r="BG378" s="58"/>
      <c r="BH378" s="58"/>
      <c r="BI378" s="57" t="s">
        <v>2801</v>
      </c>
      <c r="BJ378" s="58"/>
      <c r="BK378" s="58"/>
      <c r="BL378" s="66">
        <v>3513389</v>
      </c>
      <c r="BM378" s="56" t="s">
        <v>16842</v>
      </c>
      <c r="BN378" s="58"/>
      <c r="BO378" s="67">
        <v>178.8</v>
      </c>
      <c r="BP378" s="56" t="s">
        <v>16395</v>
      </c>
      <c r="BQ378" s="58"/>
      <c r="BR378" s="56" t="s">
        <v>16840</v>
      </c>
      <c r="BS378" s="56" t="s">
        <v>1285</v>
      </c>
      <c r="BT378" s="58"/>
      <c r="BU378" s="56" t="s">
        <v>16837</v>
      </c>
      <c r="BV378" s="58"/>
      <c r="BW378" s="58"/>
      <c r="BX378" s="67">
        <v>178.8</v>
      </c>
      <c r="BY378" s="56" t="s">
        <v>1285</v>
      </c>
      <c r="BZ378" s="58"/>
      <c r="CA378" s="58"/>
      <c r="CB378" s="58"/>
      <c r="CC378" s="58"/>
      <c r="CD378" s="58"/>
    </row>
    <row r="379" ht="108" spans="1:82">
      <c r="A379" s="56" t="s">
        <v>16860</v>
      </c>
      <c r="B379" s="58"/>
      <c r="C379" s="57" t="s">
        <v>16833</v>
      </c>
      <c r="D379" s="58"/>
      <c r="E379" s="57" t="s">
        <v>15158</v>
      </c>
      <c r="F379" s="57" t="s">
        <v>16834</v>
      </c>
      <c r="G379" s="57" t="s">
        <v>15160</v>
      </c>
      <c r="H379" s="56" t="s">
        <v>2965</v>
      </c>
      <c r="I379" s="60">
        <v>16853.05</v>
      </c>
      <c r="J379" s="57" t="s">
        <v>1285</v>
      </c>
      <c r="K379" s="57" t="s">
        <v>15162</v>
      </c>
      <c r="L379" s="57" t="s">
        <v>15163</v>
      </c>
      <c r="M379" s="61" t="s">
        <v>14159</v>
      </c>
      <c r="N379" s="62" t="s">
        <v>16793</v>
      </c>
      <c r="O379" s="57" t="s">
        <v>15165</v>
      </c>
      <c r="P379" s="57" t="s">
        <v>15166</v>
      </c>
      <c r="Q379" s="57" t="s">
        <v>2965</v>
      </c>
      <c r="R379" s="57" t="s">
        <v>15606</v>
      </c>
      <c r="S379" s="57" t="s">
        <v>15607</v>
      </c>
      <c r="T379" s="57" t="s">
        <v>15190</v>
      </c>
      <c r="U379" s="57" t="s">
        <v>14184</v>
      </c>
      <c r="V379" s="56" t="s">
        <v>14153</v>
      </c>
      <c r="W379" s="58"/>
      <c r="X379" s="57" t="s">
        <v>16835</v>
      </c>
      <c r="Y379" s="57" t="s">
        <v>15170</v>
      </c>
      <c r="Z379" s="61" t="s">
        <v>16389</v>
      </c>
      <c r="AA379" s="61" t="s">
        <v>14159</v>
      </c>
      <c r="AB379" s="58"/>
      <c r="AC379" s="57" t="s">
        <v>16391</v>
      </c>
      <c r="AD379" s="58"/>
      <c r="AE379" s="58"/>
      <c r="AF379" s="58"/>
      <c r="AG379" s="58"/>
      <c r="AH379" s="58"/>
      <c r="AI379" s="58"/>
      <c r="AJ379" s="58"/>
      <c r="AK379" s="56" t="s">
        <v>1285</v>
      </c>
      <c r="AL379" s="56" t="s">
        <v>16836</v>
      </c>
      <c r="AM379" s="58"/>
      <c r="AN379" s="56" t="s">
        <v>15324</v>
      </c>
      <c r="AO379" s="58"/>
      <c r="AP379" s="63">
        <v>45848.7926851852</v>
      </c>
      <c r="AQ379" s="56" t="s">
        <v>16837</v>
      </c>
      <c r="AR379" s="61" t="s">
        <v>14645</v>
      </c>
      <c r="AS379" s="57" t="s">
        <v>14184</v>
      </c>
      <c r="AT379" s="56" t="s">
        <v>15177</v>
      </c>
      <c r="AU379" s="56" t="s">
        <v>16838</v>
      </c>
      <c r="AV379" s="58"/>
      <c r="AW379" s="64">
        <v>45776.7903240741</v>
      </c>
      <c r="AX379" s="56" t="s">
        <v>16836</v>
      </c>
      <c r="AY379" s="56" t="s">
        <v>15179</v>
      </c>
      <c r="AZ379" s="58"/>
      <c r="BA379" s="58"/>
      <c r="BB379" s="58"/>
      <c r="BC379" s="56" t="s">
        <v>2148</v>
      </c>
      <c r="BD379" s="56" t="s">
        <v>15197</v>
      </c>
      <c r="BE379" s="56" t="s">
        <v>15613</v>
      </c>
      <c r="BF379" s="56" t="s">
        <v>15181</v>
      </c>
      <c r="BG379" s="58"/>
      <c r="BH379" s="58"/>
      <c r="BI379" s="57" t="s">
        <v>2801</v>
      </c>
      <c r="BJ379" s="58"/>
      <c r="BK379" s="58"/>
      <c r="BL379" s="66">
        <v>3513368</v>
      </c>
      <c r="BM379" s="56" t="s">
        <v>16842</v>
      </c>
      <c r="BN379" s="58"/>
      <c r="BO379" s="67">
        <v>113.3</v>
      </c>
      <c r="BP379" s="56" t="s">
        <v>16395</v>
      </c>
      <c r="BQ379" s="58"/>
      <c r="BR379" s="56" t="s">
        <v>16840</v>
      </c>
      <c r="BS379" s="56" t="s">
        <v>1285</v>
      </c>
      <c r="BT379" s="58"/>
      <c r="BU379" s="56" t="s">
        <v>16837</v>
      </c>
      <c r="BV379" s="58"/>
      <c r="BW379" s="58"/>
      <c r="BX379" s="67">
        <v>113.3</v>
      </c>
      <c r="BY379" s="56" t="s">
        <v>1285</v>
      </c>
      <c r="BZ379" s="58"/>
      <c r="CA379" s="58"/>
      <c r="CB379" s="58"/>
      <c r="CC379" s="58"/>
      <c r="CD379" s="58"/>
    </row>
    <row r="380" ht="108" spans="1:82">
      <c r="A380" s="56" t="s">
        <v>16861</v>
      </c>
      <c r="B380" s="58"/>
      <c r="C380" s="57" t="s">
        <v>16833</v>
      </c>
      <c r="D380" s="58"/>
      <c r="E380" s="57" t="s">
        <v>15158</v>
      </c>
      <c r="F380" s="57" t="s">
        <v>16834</v>
      </c>
      <c r="G380" s="57" t="s">
        <v>15160</v>
      </c>
      <c r="H380" s="56" t="s">
        <v>2965</v>
      </c>
      <c r="I380" s="60">
        <v>16853.05</v>
      </c>
      <c r="J380" s="57" t="s">
        <v>1285</v>
      </c>
      <c r="K380" s="57" t="s">
        <v>15162</v>
      </c>
      <c r="L380" s="57" t="s">
        <v>15163</v>
      </c>
      <c r="M380" s="61" t="s">
        <v>14159</v>
      </c>
      <c r="N380" s="62" t="s">
        <v>16793</v>
      </c>
      <c r="O380" s="57" t="s">
        <v>15165</v>
      </c>
      <c r="P380" s="57" t="s">
        <v>15166</v>
      </c>
      <c r="Q380" s="57" t="s">
        <v>2965</v>
      </c>
      <c r="R380" s="57" t="s">
        <v>15606</v>
      </c>
      <c r="S380" s="57" t="s">
        <v>15607</v>
      </c>
      <c r="T380" s="57" t="s">
        <v>15190</v>
      </c>
      <c r="U380" s="57" t="s">
        <v>14184</v>
      </c>
      <c r="V380" s="56" t="s">
        <v>14153</v>
      </c>
      <c r="W380" s="58"/>
      <c r="X380" s="57" t="s">
        <v>16835</v>
      </c>
      <c r="Y380" s="57" t="s">
        <v>15170</v>
      </c>
      <c r="Z380" s="61" t="s">
        <v>16389</v>
      </c>
      <c r="AA380" s="61" t="s">
        <v>14159</v>
      </c>
      <c r="AB380" s="58"/>
      <c r="AC380" s="57" t="s">
        <v>16391</v>
      </c>
      <c r="AD380" s="58"/>
      <c r="AE380" s="58"/>
      <c r="AF380" s="58"/>
      <c r="AG380" s="58"/>
      <c r="AH380" s="58"/>
      <c r="AI380" s="58"/>
      <c r="AJ380" s="58"/>
      <c r="AK380" s="56" t="s">
        <v>1285</v>
      </c>
      <c r="AL380" s="56" t="s">
        <v>16836</v>
      </c>
      <c r="AM380" s="58"/>
      <c r="AN380" s="56" t="s">
        <v>15324</v>
      </c>
      <c r="AO380" s="58"/>
      <c r="AP380" s="63">
        <v>45848.7926851852</v>
      </c>
      <c r="AQ380" s="56" t="s">
        <v>16837</v>
      </c>
      <c r="AR380" s="61" t="s">
        <v>14645</v>
      </c>
      <c r="AS380" s="57" t="s">
        <v>14184</v>
      </c>
      <c r="AT380" s="56" t="s">
        <v>15177</v>
      </c>
      <c r="AU380" s="56" t="s">
        <v>16838</v>
      </c>
      <c r="AV380" s="58"/>
      <c r="AW380" s="64">
        <v>45776.7903240741</v>
      </c>
      <c r="AX380" s="56" t="s">
        <v>16836</v>
      </c>
      <c r="AY380" s="56" t="s">
        <v>15179</v>
      </c>
      <c r="AZ380" s="58"/>
      <c r="BA380" s="58"/>
      <c r="BB380" s="58"/>
      <c r="BC380" s="56" t="s">
        <v>2136</v>
      </c>
      <c r="BD380" s="56" t="s">
        <v>15197</v>
      </c>
      <c r="BE380" s="56" t="s">
        <v>15613</v>
      </c>
      <c r="BF380" s="56" t="s">
        <v>15181</v>
      </c>
      <c r="BG380" s="58"/>
      <c r="BH380" s="58"/>
      <c r="BI380" s="57" t="s">
        <v>2801</v>
      </c>
      <c r="BJ380" s="58"/>
      <c r="BK380" s="58"/>
      <c r="BL380" s="66">
        <v>3513381</v>
      </c>
      <c r="BM380" s="56" t="s">
        <v>16842</v>
      </c>
      <c r="BN380" s="58"/>
      <c r="BO380" s="67">
        <v>1311.95</v>
      </c>
      <c r="BP380" s="56" t="s">
        <v>16395</v>
      </c>
      <c r="BQ380" s="58"/>
      <c r="BR380" s="56" t="s">
        <v>16840</v>
      </c>
      <c r="BS380" s="56" t="s">
        <v>1285</v>
      </c>
      <c r="BT380" s="58"/>
      <c r="BU380" s="56" t="s">
        <v>16837</v>
      </c>
      <c r="BV380" s="58"/>
      <c r="BW380" s="58"/>
      <c r="BX380" s="67">
        <v>1311.95</v>
      </c>
      <c r="BY380" s="56" t="s">
        <v>1285</v>
      </c>
      <c r="BZ380" s="58"/>
      <c r="CA380" s="58"/>
      <c r="CB380" s="58"/>
      <c r="CC380" s="58"/>
      <c r="CD380" s="58"/>
    </row>
    <row r="381" ht="108" spans="1:82">
      <c r="A381" s="56" t="s">
        <v>16862</v>
      </c>
      <c r="B381" s="58"/>
      <c r="C381" s="57" t="s">
        <v>16833</v>
      </c>
      <c r="D381" s="58"/>
      <c r="E381" s="57" t="s">
        <v>15158</v>
      </c>
      <c r="F381" s="57" t="s">
        <v>16834</v>
      </c>
      <c r="G381" s="57" t="s">
        <v>15160</v>
      </c>
      <c r="H381" s="56" t="s">
        <v>2965</v>
      </c>
      <c r="I381" s="60">
        <v>16853.05</v>
      </c>
      <c r="J381" s="57" t="s">
        <v>1285</v>
      </c>
      <c r="K381" s="57" t="s">
        <v>15162</v>
      </c>
      <c r="L381" s="57" t="s">
        <v>15163</v>
      </c>
      <c r="M381" s="61" t="s">
        <v>14159</v>
      </c>
      <c r="N381" s="62" t="s">
        <v>16793</v>
      </c>
      <c r="O381" s="57" t="s">
        <v>15165</v>
      </c>
      <c r="P381" s="57" t="s">
        <v>15166</v>
      </c>
      <c r="Q381" s="57" t="s">
        <v>2965</v>
      </c>
      <c r="R381" s="57" t="s">
        <v>15606</v>
      </c>
      <c r="S381" s="57" t="s">
        <v>15607</v>
      </c>
      <c r="T381" s="57" t="s">
        <v>15190</v>
      </c>
      <c r="U381" s="57" t="s">
        <v>14184</v>
      </c>
      <c r="V381" s="56" t="s">
        <v>14153</v>
      </c>
      <c r="W381" s="58"/>
      <c r="X381" s="57" t="s">
        <v>16835</v>
      </c>
      <c r="Y381" s="57" t="s">
        <v>15170</v>
      </c>
      <c r="Z381" s="61" t="s">
        <v>16389</v>
      </c>
      <c r="AA381" s="61" t="s">
        <v>14159</v>
      </c>
      <c r="AB381" s="58"/>
      <c r="AC381" s="57" t="s">
        <v>16391</v>
      </c>
      <c r="AD381" s="58"/>
      <c r="AE381" s="58"/>
      <c r="AF381" s="58"/>
      <c r="AG381" s="58"/>
      <c r="AH381" s="58"/>
      <c r="AI381" s="58"/>
      <c r="AJ381" s="58"/>
      <c r="AK381" s="56" t="s">
        <v>1285</v>
      </c>
      <c r="AL381" s="56" t="s">
        <v>16836</v>
      </c>
      <c r="AM381" s="58"/>
      <c r="AN381" s="56" t="s">
        <v>15324</v>
      </c>
      <c r="AO381" s="58"/>
      <c r="AP381" s="63">
        <v>45848.7926851852</v>
      </c>
      <c r="AQ381" s="56" t="s">
        <v>16837</v>
      </c>
      <c r="AR381" s="61" t="s">
        <v>14645</v>
      </c>
      <c r="AS381" s="57" t="s">
        <v>14184</v>
      </c>
      <c r="AT381" s="56" t="s">
        <v>15177</v>
      </c>
      <c r="AU381" s="56" t="s">
        <v>16838</v>
      </c>
      <c r="AV381" s="58"/>
      <c r="AW381" s="64">
        <v>45776.7903240741</v>
      </c>
      <c r="AX381" s="56" t="s">
        <v>16836</v>
      </c>
      <c r="AY381" s="56" t="s">
        <v>15179</v>
      </c>
      <c r="AZ381" s="58"/>
      <c r="BA381" s="58"/>
      <c r="BB381" s="58"/>
      <c r="BC381" s="56" t="s">
        <v>2148</v>
      </c>
      <c r="BD381" s="56" t="s">
        <v>15197</v>
      </c>
      <c r="BE381" s="56" t="s">
        <v>15613</v>
      </c>
      <c r="BF381" s="56" t="s">
        <v>15181</v>
      </c>
      <c r="BG381" s="58"/>
      <c r="BH381" s="58"/>
      <c r="BI381" s="57" t="s">
        <v>2801</v>
      </c>
      <c r="BJ381" s="58"/>
      <c r="BK381" s="58"/>
      <c r="BL381" s="66">
        <v>3513378</v>
      </c>
      <c r="BM381" s="56" t="s">
        <v>16842</v>
      </c>
      <c r="BN381" s="58"/>
      <c r="BO381" s="67">
        <v>442.35</v>
      </c>
      <c r="BP381" s="56" t="s">
        <v>16395</v>
      </c>
      <c r="BQ381" s="58"/>
      <c r="BR381" s="56" t="s">
        <v>16840</v>
      </c>
      <c r="BS381" s="56" t="s">
        <v>1285</v>
      </c>
      <c r="BT381" s="58"/>
      <c r="BU381" s="56" t="s">
        <v>16837</v>
      </c>
      <c r="BV381" s="58"/>
      <c r="BW381" s="58"/>
      <c r="BX381" s="67">
        <v>442.35</v>
      </c>
      <c r="BY381" s="56" t="s">
        <v>1285</v>
      </c>
      <c r="BZ381" s="58"/>
      <c r="CA381" s="58"/>
      <c r="CB381" s="58"/>
      <c r="CC381" s="58"/>
      <c r="CD381" s="58"/>
    </row>
    <row r="382" ht="108" spans="1:82">
      <c r="A382" s="56" t="s">
        <v>16863</v>
      </c>
      <c r="B382" s="58"/>
      <c r="C382" s="57" t="s">
        <v>16833</v>
      </c>
      <c r="D382" s="58"/>
      <c r="E382" s="57" t="s">
        <v>15158</v>
      </c>
      <c r="F382" s="57" t="s">
        <v>16834</v>
      </c>
      <c r="G382" s="57" t="s">
        <v>15160</v>
      </c>
      <c r="H382" s="56" t="s">
        <v>2965</v>
      </c>
      <c r="I382" s="60">
        <v>16853.05</v>
      </c>
      <c r="J382" s="57" t="s">
        <v>1285</v>
      </c>
      <c r="K382" s="57" t="s">
        <v>15162</v>
      </c>
      <c r="L382" s="57" t="s">
        <v>15163</v>
      </c>
      <c r="M382" s="61" t="s">
        <v>14159</v>
      </c>
      <c r="N382" s="62" t="s">
        <v>16793</v>
      </c>
      <c r="O382" s="57" t="s">
        <v>15165</v>
      </c>
      <c r="P382" s="57" t="s">
        <v>15166</v>
      </c>
      <c r="Q382" s="57" t="s">
        <v>2965</v>
      </c>
      <c r="R382" s="57" t="s">
        <v>15606</v>
      </c>
      <c r="S382" s="57" t="s">
        <v>15607</v>
      </c>
      <c r="T382" s="57" t="s">
        <v>15190</v>
      </c>
      <c r="U382" s="57" t="s">
        <v>14184</v>
      </c>
      <c r="V382" s="56" t="s">
        <v>14153</v>
      </c>
      <c r="W382" s="58"/>
      <c r="X382" s="57" t="s">
        <v>16835</v>
      </c>
      <c r="Y382" s="57" t="s">
        <v>15170</v>
      </c>
      <c r="Z382" s="61" t="s">
        <v>16389</v>
      </c>
      <c r="AA382" s="61" t="s">
        <v>14159</v>
      </c>
      <c r="AB382" s="58"/>
      <c r="AC382" s="57" t="s">
        <v>16391</v>
      </c>
      <c r="AD382" s="58"/>
      <c r="AE382" s="58"/>
      <c r="AF382" s="58"/>
      <c r="AG382" s="58"/>
      <c r="AH382" s="58"/>
      <c r="AI382" s="58"/>
      <c r="AJ382" s="58"/>
      <c r="AK382" s="56" t="s">
        <v>1285</v>
      </c>
      <c r="AL382" s="56" t="s">
        <v>16836</v>
      </c>
      <c r="AM382" s="58"/>
      <c r="AN382" s="56" t="s">
        <v>15324</v>
      </c>
      <c r="AO382" s="58"/>
      <c r="AP382" s="63">
        <v>45848.7926851852</v>
      </c>
      <c r="AQ382" s="56" t="s">
        <v>16837</v>
      </c>
      <c r="AR382" s="61" t="s">
        <v>14645</v>
      </c>
      <c r="AS382" s="57" t="s">
        <v>14184</v>
      </c>
      <c r="AT382" s="56" t="s">
        <v>15177</v>
      </c>
      <c r="AU382" s="56" t="s">
        <v>16838</v>
      </c>
      <c r="AV382" s="58"/>
      <c r="AW382" s="64">
        <v>45776.7903240741</v>
      </c>
      <c r="AX382" s="56" t="s">
        <v>16836</v>
      </c>
      <c r="AY382" s="56" t="s">
        <v>15179</v>
      </c>
      <c r="AZ382" s="58"/>
      <c r="BA382" s="58"/>
      <c r="BB382" s="58"/>
      <c r="BC382" s="56" t="s">
        <v>15621</v>
      </c>
      <c r="BD382" s="56" t="s">
        <v>15197</v>
      </c>
      <c r="BE382" s="56" t="s">
        <v>15613</v>
      </c>
      <c r="BF382" s="56" t="s">
        <v>15181</v>
      </c>
      <c r="BG382" s="58"/>
      <c r="BH382" s="58"/>
      <c r="BI382" s="57" t="s">
        <v>2801</v>
      </c>
      <c r="BJ382" s="58"/>
      <c r="BK382" s="58"/>
      <c r="BL382" s="66">
        <v>3513370</v>
      </c>
      <c r="BM382" s="56" t="s">
        <v>16842</v>
      </c>
      <c r="BN382" s="58"/>
      <c r="BO382" s="67">
        <v>158</v>
      </c>
      <c r="BP382" s="56" t="s">
        <v>16395</v>
      </c>
      <c r="BQ382" s="58"/>
      <c r="BR382" s="56" t="s">
        <v>16840</v>
      </c>
      <c r="BS382" s="56" t="s">
        <v>1285</v>
      </c>
      <c r="BT382" s="58"/>
      <c r="BU382" s="56" t="s">
        <v>16837</v>
      </c>
      <c r="BV382" s="58"/>
      <c r="BW382" s="58"/>
      <c r="BX382" s="67">
        <v>158</v>
      </c>
      <c r="BY382" s="56" t="s">
        <v>1285</v>
      </c>
      <c r="BZ382" s="58"/>
      <c r="CA382" s="58"/>
      <c r="CB382" s="58"/>
      <c r="CC382" s="58"/>
      <c r="CD382" s="58"/>
    </row>
    <row r="383" ht="108" spans="1:82">
      <c r="A383" s="56" t="s">
        <v>16864</v>
      </c>
      <c r="B383" s="58"/>
      <c r="C383" s="57" t="s">
        <v>16833</v>
      </c>
      <c r="D383" s="58"/>
      <c r="E383" s="57" t="s">
        <v>15158</v>
      </c>
      <c r="F383" s="57" t="s">
        <v>16834</v>
      </c>
      <c r="G383" s="57" t="s">
        <v>15160</v>
      </c>
      <c r="H383" s="56" t="s">
        <v>2965</v>
      </c>
      <c r="I383" s="60">
        <v>16853.05</v>
      </c>
      <c r="J383" s="57" t="s">
        <v>1285</v>
      </c>
      <c r="K383" s="57" t="s">
        <v>15162</v>
      </c>
      <c r="L383" s="57" t="s">
        <v>15163</v>
      </c>
      <c r="M383" s="61" t="s">
        <v>14159</v>
      </c>
      <c r="N383" s="62" t="s">
        <v>16793</v>
      </c>
      <c r="O383" s="57" t="s">
        <v>15165</v>
      </c>
      <c r="P383" s="57" t="s">
        <v>15166</v>
      </c>
      <c r="Q383" s="57" t="s">
        <v>2965</v>
      </c>
      <c r="R383" s="57" t="s">
        <v>15606</v>
      </c>
      <c r="S383" s="57" t="s">
        <v>15607</v>
      </c>
      <c r="T383" s="57" t="s">
        <v>15190</v>
      </c>
      <c r="U383" s="57" t="s">
        <v>14184</v>
      </c>
      <c r="V383" s="56" t="s">
        <v>14153</v>
      </c>
      <c r="W383" s="58"/>
      <c r="X383" s="57" t="s">
        <v>16835</v>
      </c>
      <c r="Y383" s="57" t="s">
        <v>15170</v>
      </c>
      <c r="Z383" s="61" t="s">
        <v>16389</v>
      </c>
      <c r="AA383" s="61" t="s">
        <v>14159</v>
      </c>
      <c r="AB383" s="58"/>
      <c r="AC383" s="57" t="s">
        <v>16391</v>
      </c>
      <c r="AD383" s="58"/>
      <c r="AE383" s="58"/>
      <c r="AF383" s="58"/>
      <c r="AG383" s="58"/>
      <c r="AH383" s="58"/>
      <c r="AI383" s="58"/>
      <c r="AJ383" s="58"/>
      <c r="AK383" s="56" t="s">
        <v>1285</v>
      </c>
      <c r="AL383" s="56" t="s">
        <v>16836</v>
      </c>
      <c r="AM383" s="58"/>
      <c r="AN383" s="56" t="s">
        <v>15324</v>
      </c>
      <c r="AO383" s="58"/>
      <c r="AP383" s="63">
        <v>45848.7926851852</v>
      </c>
      <c r="AQ383" s="56" t="s">
        <v>16837</v>
      </c>
      <c r="AR383" s="61" t="s">
        <v>14645</v>
      </c>
      <c r="AS383" s="57" t="s">
        <v>14184</v>
      </c>
      <c r="AT383" s="56" t="s">
        <v>15177</v>
      </c>
      <c r="AU383" s="56" t="s">
        <v>16838</v>
      </c>
      <c r="AV383" s="58"/>
      <c r="AW383" s="64">
        <v>45776.7903240741</v>
      </c>
      <c r="AX383" s="56" t="s">
        <v>16836</v>
      </c>
      <c r="AY383" s="56" t="s">
        <v>15179</v>
      </c>
      <c r="AZ383" s="58"/>
      <c r="BA383" s="58"/>
      <c r="BB383" s="58"/>
      <c r="BC383" s="56" t="s">
        <v>15637</v>
      </c>
      <c r="BD383" s="56" t="s">
        <v>15197</v>
      </c>
      <c r="BE383" s="56" t="s">
        <v>15613</v>
      </c>
      <c r="BF383" s="56" t="s">
        <v>15181</v>
      </c>
      <c r="BG383" s="58"/>
      <c r="BH383" s="58"/>
      <c r="BI383" s="57" t="s">
        <v>2801</v>
      </c>
      <c r="BJ383" s="58"/>
      <c r="BK383" s="58"/>
      <c r="BL383" s="66">
        <v>3513387</v>
      </c>
      <c r="BM383" s="56" t="s">
        <v>16842</v>
      </c>
      <c r="BN383" s="58"/>
      <c r="BO383" s="67">
        <v>17.8</v>
      </c>
      <c r="BP383" s="56" t="s">
        <v>16395</v>
      </c>
      <c r="BQ383" s="58"/>
      <c r="BR383" s="56" t="s">
        <v>16840</v>
      </c>
      <c r="BS383" s="56" t="s">
        <v>1285</v>
      </c>
      <c r="BT383" s="58"/>
      <c r="BU383" s="56" t="s">
        <v>16837</v>
      </c>
      <c r="BV383" s="58"/>
      <c r="BW383" s="58"/>
      <c r="BX383" s="67">
        <v>17.8</v>
      </c>
      <c r="BY383" s="56" t="s">
        <v>1285</v>
      </c>
      <c r="BZ383" s="58"/>
      <c r="CA383" s="58"/>
      <c r="CB383" s="58"/>
      <c r="CC383" s="58"/>
      <c r="CD383" s="58"/>
    </row>
    <row r="384" ht="108" spans="1:82">
      <c r="A384" s="56" t="s">
        <v>16865</v>
      </c>
      <c r="B384" s="58"/>
      <c r="C384" s="57" t="s">
        <v>16833</v>
      </c>
      <c r="D384" s="58"/>
      <c r="E384" s="57" t="s">
        <v>15158</v>
      </c>
      <c r="F384" s="57" t="s">
        <v>16834</v>
      </c>
      <c r="G384" s="57" t="s">
        <v>15160</v>
      </c>
      <c r="H384" s="56" t="s">
        <v>2965</v>
      </c>
      <c r="I384" s="60">
        <v>16853.05</v>
      </c>
      <c r="J384" s="57" t="s">
        <v>1285</v>
      </c>
      <c r="K384" s="57" t="s">
        <v>15162</v>
      </c>
      <c r="L384" s="57" t="s">
        <v>15163</v>
      </c>
      <c r="M384" s="61" t="s">
        <v>14159</v>
      </c>
      <c r="N384" s="62" t="s">
        <v>16793</v>
      </c>
      <c r="O384" s="57" t="s">
        <v>15165</v>
      </c>
      <c r="P384" s="57" t="s">
        <v>15166</v>
      </c>
      <c r="Q384" s="57" t="s">
        <v>2965</v>
      </c>
      <c r="R384" s="57" t="s">
        <v>15606</v>
      </c>
      <c r="S384" s="57" t="s">
        <v>15607</v>
      </c>
      <c r="T384" s="57" t="s">
        <v>15190</v>
      </c>
      <c r="U384" s="57" t="s">
        <v>14184</v>
      </c>
      <c r="V384" s="56" t="s">
        <v>14153</v>
      </c>
      <c r="W384" s="58"/>
      <c r="X384" s="57" t="s">
        <v>16835</v>
      </c>
      <c r="Y384" s="57" t="s">
        <v>15170</v>
      </c>
      <c r="Z384" s="61" t="s">
        <v>16389</v>
      </c>
      <c r="AA384" s="61" t="s">
        <v>14159</v>
      </c>
      <c r="AB384" s="58"/>
      <c r="AC384" s="57" t="s">
        <v>16391</v>
      </c>
      <c r="AD384" s="58"/>
      <c r="AE384" s="58"/>
      <c r="AF384" s="58"/>
      <c r="AG384" s="58"/>
      <c r="AH384" s="58"/>
      <c r="AI384" s="58"/>
      <c r="AJ384" s="58"/>
      <c r="AK384" s="56" t="s">
        <v>1285</v>
      </c>
      <c r="AL384" s="56" t="s">
        <v>16836</v>
      </c>
      <c r="AM384" s="58"/>
      <c r="AN384" s="56" t="s">
        <v>15324</v>
      </c>
      <c r="AO384" s="58"/>
      <c r="AP384" s="63">
        <v>45848.7926851852</v>
      </c>
      <c r="AQ384" s="56" t="s">
        <v>16837</v>
      </c>
      <c r="AR384" s="61" t="s">
        <v>14645</v>
      </c>
      <c r="AS384" s="57" t="s">
        <v>14184</v>
      </c>
      <c r="AT384" s="56" t="s">
        <v>15177</v>
      </c>
      <c r="AU384" s="56" t="s">
        <v>16838</v>
      </c>
      <c r="AV384" s="58"/>
      <c r="AW384" s="64">
        <v>45776.7903240741</v>
      </c>
      <c r="AX384" s="56" t="s">
        <v>16836</v>
      </c>
      <c r="AY384" s="56" t="s">
        <v>15179</v>
      </c>
      <c r="AZ384" s="58"/>
      <c r="BA384" s="58"/>
      <c r="BB384" s="58"/>
      <c r="BC384" s="56" t="s">
        <v>2148</v>
      </c>
      <c r="BD384" s="56" t="s">
        <v>15197</v>
      </c>
      <c r="BE384" s="56" t="s">
        <v>15613</v>
      </c>
      <c r="BF384" s="56" t="s">
        <v>15181</v>
      </c>
      <c r="BG384" s="58"/>
      <c r="BH384" s="58"/>
      <c r="BI384" s="57" t="s">
        <v>2801</v>
      </c>
      <c r="BJ384" s="58"/>
      <c r="BK384" s="58"/>
      <c r="BL384" s="66">
        <v>3513376</v>
      </c>
      <c r="BM384" s="56" t="s">
        <v>16842</v>
      </c>
      <c r="BN384" s="58"/>
      <c r="BO384" s="67">
        <v>1348.2</v>
      </c>
      <c r="BP384" s="56" t="s">
        <v>16395</v>
      </c>
      <c r="BQ384" s="58"/>
      <c r="BR384" s="56" t="s">
        <v>16840</v>
      </c>
      <c r="BS384" s="56" t="s">
        <v>1285</v>
      </c>
      <c r="BT384" s="58"/>
      <c r="BU384" s="56" t="s">
        <v>16837</v>
      </c>
      <c r="BV384" s="58"/>
      <c r="BW384" s="58"/>
      <c r="BX384" s="67">
        <v>1348.2</v>
      </c>
      <c r="BY384" s="56" t="s">
        <v>1285</v>
      </c>
      <c r="BZ384" s="58"/>
      <c r="CA384" s="58"/>
      <c r="CB384" s="58"/>
      <c r="CC384" s="58"/>
      <c r="CD384" s="58"/>
    </row>
    <row r="385" ht="108" spans="1:82">
      <c r="A385" s="56" t="s">
        <v>16866</v>
      </c>
      <c r="B385" s="58"/>
      <c r="C385" s="57" t="s">
        <v>16833</v>
      </c>
      <c r="D385" s="58"/>
      <c r="E385" s="57" t="s">
        <v>15158</v>
      </c>
      <c r="F385" s="57" t="s">
        <v>16834</v>
      </c>
      <c r="G385" s="57" t="s">
        <v>15160</v>
      </c>
      <c r="H385" s="56" t="s">
        <v>2965</v>
      </c>
      <c r="I385" s="60">
        <v>16853.05</v>
      </c>
      <c r="J385" s="57" t="s">
        <v>1285</v>
      </c>
      <c r="K385" s="57" t="s">
        <v>15162</v>
      </c>
      <c r="L385" s="57" t="s">
        <v>15163</v>
      </c>
      <c r="M385" s="61" t="s">
        <v>14159</v>
      </c>
      <c r="N385" s="62" t="s">
        <v>16793</v>
      </c>
      <c r="O385" s="57" t="s">
        <v>15165</v>
      </c>
      <c r="P385" s="57" t="s">
        <v>15166</v>
      </c>
      <c r="Q385" s="57" t="s">
        <v>2965</v>
      </c>
      <c r="R385" s="57" t="s">
        <v>15606</v>
      </c>
      <c r="S385" s="57" t="s">
        <v>15607</v>
      </c>
      <c r="T385" s="57" t="s">
        <v>15190</v>
      </c>
      <c r="U385" s="57" t="s">
        <v>14184</v>
      </c>
      <c r="V385" s="56" t="s">
        <v>14153</v>
      </c>
      <c r="W385" s="58"/>
      <c r="X385" s="57" t="s">
        <v>16835</v>
      </c>
      <c r="Y385" s="57" t="s">
        <v>15170</v>
      </c>
      <c r="Z385" s="61" t="s">
        <v>16389</v>
      </c>
      <c r="AA385" s="61" t="s">
        <v>14159</v>
      </c>
      <c r="AB385" s="58"/>
      <c r="AC385" s="57" t="s">
        <v>16391</v>
      </c>
      <c r="AD385" s="58"/>
      <c r="AE385" s="58"/>
      <c r="AF385" s="58"/>
      <c r="AG385" s="58"/>
      <c r="AH385" s="58"/>
      <c r="AI385" s="58"/>
      <c r="AJ385" s="58"/>
      <c r="AK385" s="56" t="s">
        <v>1285</v>
      </c>
      <c r="AL385" s="56" t="s">
        <v>16836</v>
      </c>
      <c r="AM385" s="58"/>
      <c r="AN385" s="56" t="s">
        <v>15324</v>
      </c>
      <c r="AO385" s="58"/>
      <c r="AP385" s="63">
        <v>45848.7926851852</v>
      </c>
      <c r="AQ385" s="56" t="s">
        <v>16837</v>
      </c>
      <c r="AR385" s="61" t="s">
        <v>14645</v>
      </c>
      <c r="AS385" s="57" t="s">
        <v>14184</v>
      </c>
      <c r="AT385" s="56" t="s">
        <v>15177</v>
      </c>
      <c r="AU385" s="56" t="s">
        <v>16838</v>
      </c>
      <c r="AV385" s="58"/>
      <c r="AW385" s="64">
        <v>45776.7903240741</v>
      </c>
      <c r="AX385" s="56" t="s">
        <v>16836</v>
      </c>
      <c r="AY385" s="56" t="s">
        <v>15179</v>
      </c>
      <c r="AZ385" s="58"/>
      <c r="BA385" s="58"/>
      <c r="BB385" s="58"/>
      <c r="BC385" s="56" t="s">
        <v>15637</v>
      </c>
      <c r="BD385" s="56" t="s">
        <v>15197</v>
      </c>
      <c r="BE385" s="56" t="s">
        <v>15613</v>
      </c>
      <c r="BF385" s="56" t="s">
        <v>15181</v>
      </c>
      <c r="BG385" s="58"/>
      <c r="BH385" s="58"/>
      <c r="BI385" s="57" t="s">
        <v>2801</v>
      </c>
      <c r="BJ385" s="58"/>
      <c r="BK385" s="58"/>
      <c r="BL385" s="66">
        <v>3513388</v>
      </c>
      <c r="BM385" s="56" t="s">
        <v>16842</v>
      </c>
      <c r="BN385" s="58"/>
      <c r="BO385" s="67">
        <v>40.5</v>
      </c>
      <c r="BP385" s="56" t="s">
        <v>16395</v>
      </c>
      <c r="BQ385" s="58"/>
      <c r="BR385" s="56" t="s">
        <v>16840</v>
      </c>
      <c r="BS385" s="56" t="s">
        <v>1285</v>
      </c>
      <c r="BT385" s="58"/>
      <c r="BU385" s="56" t="s">
        <v>16837</v>
      </c>
      <c r="BV385" s="58"/>
      <c r="BW385" s="58"/>
      <c r="BX385" s="67">
        <v>40.5</v>
      </c>
      <c r="BY385" s="56" t="s">
        <v>1285</v>
      </c>
      <c r="BZ385" s="58"/>
      <c r="CA385" s="58"/>
      <c r="CB385" s="58"/>
      <c r="CC385" s="58"/>
      <c r="CD385" s="58"/>
    </row>
    <row r="386" ht="108" spans="1:82">
      <c r="A386" s="56" t="s">
        <v>16867</v>
      </c>
      <c r="B386" s="58"/>
      <c r="C386" s="57" t="s">
        <v>16833</v>
      </c>
      <c r="D386" s="58"/>
      <c r="E386" s="57" t="s">
        <v>15158</v>
      </c>
      <c r="F386" s="57" t="s">
        <v>16834</v>
      </c>
      <c r="G386" s="57" t="s">
        <v>15160</v>
      </c>
      <c r="H386" s="56" t="s">
        <v>2965</v>
      </c>
      <c r="I386" s="60">
        <v>16853.05</v>
      </c>
      <c r="J386" s="57" t="s">
        <v>1285</v>
      </c>
      <c r="K386" s="57" t="s">
        <v>15162</v>
      </c>
      <c r="L386" s="57" t="s">
        <v>15163</v>
      </c>
      <c r="M386" s="61" t="s">
        <v>14159</v>
      </c>
      <c r="N386" s="62" t="s">
        <v>16793</v>
      </c>
      <c r="O386" s="57" t="s">
        <v>15165</v>
      </c>
      <c r="P386" s="57" t="s">
        <v>15166</v>
      </c>
      <c r="Q386" s="57" t="s">
        <v>2965</v>
      </c>
      <c r="R386" s="57" t="s">
        <v>15606</v>
      </c>
      <c r="S386" s="57" t="s">
        <v>15607</v>
      </c>
      <c r="T386" s="57" t="s">
        <v>15190</v>
      </c>
      <c r="U386" s="57" t="s">
        <v>14184</v>
      </c>
      <c r="V386" s="56" t="s">
        <v>14153</v>
      </c>
      <c r="W386" s="58"/>
      <c r="X386" s="57" t="s">
        <v>16835</v>
      </c>
      <c r="Y386" s="57" t="s">
        <v>15170</v>
      </c>
      <c r="Z386" s="61" t="s">
        <v>16389</v>
      </c>
      <c r="AA386" s="61" t="s">
        <v>14159</v>
      </c>
      <c r="AB386" s="58"/>
      <c r="AC386" s="57" t="s">
        <v>16391</v>
      </c>
      <c r="AD386" s="58"/>
      <c r="AE386" s="58"/>
      <c r="AF386" s="58"/>
      <c r="AG386" s="58"/>
      <c r="AH386" s="58"/>
      <c r="AI386" s="58"/>
      <c r="AJ386" s="58"/>
      <c r="AK386" s="56" t="s">
        <v>1285</v>
      </c>
      <c r="AL386" s="56" t="s">
        <v>16836</v>
      </c>
      <c r="AM386" s="58"/>
      <c r="AN386" s="56" t="s">
        <v>15324</v>
      </c>
      <c r="AO386" s="58"/>
      <c r="AP386" s="63">
        <v>45848.7926851852</v>
      </c>
      <c r="AQ386" s="56" t="s">
        <v>16837</v>
      </c>
      <c r="AR386" s="61" t="s">
        <v>14645</v>
      </c>
      <c r="AS386" s="57" t="s">
        <v>14184</v>
      </c>
      <c r="AT386" s="56" t="s">
        <v>15177</v>
      </c>
      <c r="AU386" s="56" t="s">
        <v>16838</v>
      </c>
      <c r="AV386" s="58"/>
      <c r="AW386" s="64">
        <v>45776.7903240741</v>
      </c>
      <c r="AX386" s="56" t="s">
        <v>16836</v>
      </c>
      <c r="AY386" s="56" t="s">
        <v>15179</v>
      </c>
      <c r="AZ386" s="58"/>
      <c r="BA386" s="58"/>
      <c r="BB386" s="58"/>
      <c r="BC386" s="56" t="s">
        <v>15637</v>
      </c>
      <c r="BD386" s="56" t="s">
        <v>15197</v>
      </c>
      <c r="BE386" s="56" t="s">
        <v>15613</v>
      </c>
      <c r="BF386" s="56" t="s">
        <v>15181</v>
      </c>
      <c r="BG386" s="58"/>
      <c r="BH386" s="58"/>
      <c r="BI386" s="57" t="s">
        <v>2801</v>
      </c>
      <c r="BJ386" s="58"/>
      <c r="BK386" s="58"/>
      <c r="BL386" s="66">
        <v>3513369</v>
      </c>
      <c r="BM386" s="56" t="s">
        <v>16842</v>
      </c>
      <c r="BN386" s="58"/>
      <c r="BO386" s="67">
        <v>247.85</v>
      </c>
      <c r="BP386" s="56" t="s">
        <v>16395</v>
      </c>
      <c r="BQ386" s="58"/>
      <c r="BR386" s="56" t="s">
        <v>16840</v>
      </c>
      <c r="BS386" s="56" t="s">
        <v>1285</v>
      </c>
      <c r="BT386" s="58"/>
      <c r="BU386" s="56" t="s">
        <v>16837</v>
      </c>
      <c r="BV386" s="58"/>
      <c r="BW386" s="58"/>
      <c r="BX386" s="67">
        <v>247.85</v>
      </c>
      <c r="BY386" s="56" t="s">
        <v>1285</v>
      </c>
      <c r="BZ386" s="58"/>
      <c r="CA386" s="58"/>
      <c r="CB386" s="58"/>
      <c r="CC386" s="58"/>
      <c r="CD386" s="58"/>
    </row>
    <row r="387" ht="108" spans="1:82">
      <c r="A387" s="56" t="s">
        <v>16868</v>
      </c>
      <c r="B387" s="58"/>
      <c r="C387" s="57" t="s">
        <v>16833</v>
      </c>
      <c r="D387" s="58"/>
      <c r="E387" s="57" t="s">
        <v>15158</v>
      </c>
      <c r="F387" s="57" t="s">
        <v>16834</v>
      </c>
      <c r="G387" s="57" t="s">
        <v>15160</v>
      </c>
      <c r="H387" s="56" t="s">
        <v>2965</v>
      </c>
      <c r="I387" s="60">
        <v>16853.05</v>
      </c>
      <c r="J387" s="57" t="s">
        <v>1285</v>
      </c>
      <c r="K387" s="57" t="s">
        <v>15162</v>
      </c>
      <c r="L387" s="57" t="s">
        <v>15163</v>
      </c>
      <c r="M387" s="61" t="s">
        <v>14159</v>
      </c>
      <c r="N387" s="62" t="s">
        <v>16793</v>
      </c>
      <c r="O387" s="57" t="s">
        <v>15165</v>
      </c>
      <c r="P387" s="57" t="s">
        <v>15166</v>
      </c>
      <c r="Q387" s="57" t="s">
        <v>2965</v>
      </c>
      <c r="R387" s="57" t="s">
        <v>15606</v>
      </c>
      <c r="S387" s="57" t="s">
        <v>15607</v>
      </c>
      <c r="T387" s="57" t="s">
        <v>15190</v>
      </c>
      <c r="U387" s="57" t="s">
        <v>14184</v>
      </c>
      <c r="V387" s="56" t="s">
        <v>14153</v>
      </c>
      <c r="W387" s="58"/>
      <c r="X387" s="57" t="s">
        <v>16835</v>
      </c>
      <c r="Y387" s="57" t="s">
        <v>15170</v>
      </c>
      <c r="Z387" s="61" t="s">
        <v>16389</v>
      </c>
      <c r="AA387" s="61" t="s">
        <v>14159</v>
      </c>
      <c r="AB387" s="58"/>
      <c r="AC387" s="57" t="s">
        <v>16391</v>
      </c>
      <c r="AD387" s="58"/>
      <c r="AE387" s="58"/>
      <c r="AF387" s="58"/>
      <c r="AG387" s="58"/>
      <c r="AH387" s="58"/>
      <c r="AI387" s="58"/>
      <c r="AJ387" s="58"/>
      <c r="AK387" s="56" t="s">
        <v>1285</v>
      </c>
      <c r="AL387" s="56" t="s">
        <v>16836</v>
      </c>
      <c r="AM387" s="58"/>
      <c r="AN387" s="56" t="s">
        <v>15324</v>
      </c>
      <c r="AO387" s="58"/>
      <c r="AP387" s="63">
        <v>45848.7926851852</v>
      </c>
      <c r="AQ387" s="56" t="s">
        <v>16837</v>
      </c>
      <c r="AR387" s="61" t="s">
        <v>14645</v>
      </c>
      <c r="AS387" s="57" t="s">
        <v>14184</v>
      </c>
      <c r="AT387" s="56" t="s">
        <v>15177</v>
      </c>
      <c r="AU387" s="56" t="s">
        <v>16838</v>
      </c>
      <c r="AV387" s="58"/>
      <c r="AW387" s="64">
        <v>45776.7903240741</v>
      </c>
      <c r="AX387" s="56" t="s">
        <v>16836</v>
      </c>
      <c r="AY387" s="56" t="s">
        <v>15179</v>
      </c>
      <c r="AZ387" s="58"/>
      <c r="BA387" s="58"/>
      <c r="BB387" s="58"/>
      <c r="BC387" s="56" t="s">
        <v>2148</v>
      </c>
      <c r="BD387" s="56" t="s">
        <v>15197</v>
      </c>
      <c r="BE387" s="56" t="s">
        <v>15613</v>
      </c>
      <c r="BF387" s="56" t="s">
        <v>15181</v>
      </c>
      <c r="BG387" s="58"/>
      <c r="BH387" s="58"/>
      <c r="BI387" s="57" t="s">
        <v>2801</v>
      </c>
      <c r="BJ387" s="58"/>
      <c r="BK387" s="58"/>
      <c r="BL387" s="66">
        <v>3513357</v>
      </c>
      <c r="BM387" s="56" t="s">
        <v>16842</v>
      </c>
      <c r="BN387" s="58"/>
      <c r="BO387" s="67">
        <v>467.46</v>
      </c>
      <c r="BP387" s="56" t="s">
        <v>16395</v>
      </c>
      <c r="BQ387" s="58"/>
      <c r="BR387" s="56" t="s">
        <v>16840</v>
      </c>
      <c r="BS387" s="56" t="s">
        <v>1285</v>
      </c>
      <c r="BT387" s="58"/>
      <c r="BU387" s="56" t="s">
        <v>16837</v>
      </c>
      <c r="BV387" s="58"/>
      <c r="BW387" s="58"/>
      <c r="BX387" s="67">
        <v>467.46</v>
      </c>
      <c r="BY387" s="56" t="s">
        <v>1285</v>
      </c>
      <c r="BZ387" s="58"/>
      <c r="CA387" s="58"/>
      <c r="CB387" s="58"/>
      <c r="CC387" s="58"/>
      <c r="CD387" s="58"/>
    </row>
    <row r="388" ht="108" spans="1:82">
      <c r="A388" s="56" t="s">
        <v>16869</v>
      </c>
      <c r="B388" s="58"/>
      <c r="C388" s="57" t="s">
        <v>16833</v>
      </c>
      <c r="D388" s="58"/>
      <c r="E388" s="57" t="s">
        <v>15158</v>
      </c>
      <c r="F388" s="57" t="s">
        <v>16834</v>
      </c>
      <c r="G388" s="57" t="s">
        <v>15160</v>
      </c>
      <c r="H388" s="56" t="s">
        <v>2965</v>
      </c>
      <c r="I388" s="60">
        <v>16853.05</v>
      </c>
      <c r="J388" s="57" t="s">
        <v>1285</v>
      </c>
      <c r="K388" s="57" t="s">
        <v>15162</v>
      </c>
      <c r="L388" s="57" t="s">
        <v>15163</v>
      </c>
      <c r="M388" s="61" t="s">
        <v>14159</v>
      </c>
      <c r="N388" s="62" t="s">
        <v>16793</v>
      </c>
      <c r="O388" s="57" t="s">
        <v>15165</v>
      </c>
      <c r="P388" s="57" t="s">
        <v>15166</v>
      </c>
      <c r="Q388" s="57" t="s">
        <v>2965</v>
      </c>
      <c r="R388" s="57" t="s">
        <v>15606</v>
      </c>
      <c r="S388" s="57" t="s">
        <v>15607</v>
      </c>
      <c r="T388" s="57" t="s">
        <v>15190</v>
      </c>
      <c r="U388" s="57" t="s">
        <v>14184</v>
      </c>
      <c r="V388" s="56" t="s">
        <v>14153</v>
      </c>
      <c r="W388" s="58"/>
      <c r="X388" s="57" t="s">
        <v>16835</v>
      </c>
      <c r="Y388" s="57" t="s">
        <v>15170</v>
      </c>
      <c r="Z388" s="61" t="s">
        <v>16389</v>
      </c>
      <c r="AA388" s="61" t="s">
        <v>14159</v>
      </c>
      <c r="AB388" s="58"/>
      <c r="AC388" s="57" t="s">
        <v>16391</v>
      </c>
      <c r="AD388" s="58"/>
      <c r="AE388" s="58"/>
      <c r="AF388" s="58"/>
      <c r="AG388" s="58"/>
      <c r="AH388" s="58"/>
      <c r="AI388" s="58"/>
      <c r="AJ388" s="58"/>
      <c r="AK388" s="56" t="s">
        <v>1285</v>
      </c>
      <c r="AL388" s="56" t="s">
        <v>16836</v>
      </c>
      <c r="AM388" s="58"/>
      <c r="AN388" s="56" t="s">
        <v>15324</v>
      </c>
      <c r="AO388" s="58"/>
      <c r="AP388" s="63">
        <v>45848.7926851852</v>
      </c>
      <c r="AQ388" s="56" t="s">
        <v>16837</v>
      </c>
      <c r="AR388" s="61" t="s">
        <v>14645</v>
      </c>
      <c r="AS388" s="57" t="s">
        <v>14184</v>
      </c>
      <c r="AT388" s="56" t="s">
        <v>15177</v>
      </c>
      <c r="AU388" s="56" t="s">
        <v>16838</v>
      </c>
      <c r="AV388" s="58"/>
      <c r="AW388" s="64">
        <v>45776.7903240741</v>
      </c>
      <c r="AX388" s="56" t="s">
        <v>16836</v>
      </c>
      <c r="AY388" s="56" t="s">
        <v>15179</v>
      </c>
      <c r="AZ388" s="58"/>
      <c r="BA388" s="58"/>
      <c r="BB388" s="58"/>
      <c r="BC388" s="56" t="s">
        <v>2136</v>
      </c>
      <c r="BD388" s="56" t="s">
        <v>15197</v>
      </c>
      <c r="BE388" s="56" t="s">
        <v>15613</v>
      </c>
      <c r="BF388" s="56" t="s">
        <v>15181</v>
      </c>
      <c r="BG388" s="58"/>
      <c r="BH388" s="58"/>
      <c r="BI388" s="57" t="s">
        <v>2801</v>
      </c>
      <c r="BJ388" s="58"/>
      <c r="BK388" s="58"/>
      <c r="BL388" s="66">
        <v>3513380</v>
      </c>
      <c r="BM388" s="56" t="s">
        <v>16842</v>
      </c>
      <c r="BN388" s="58"/>
      <c r="BO388" s="67">
        <v>1311.95</v>
      </c>
      <c r="BP388" s="56" t="s">
        <v>16395</v>
      </c>
      <c r="BQ388" s="58"/>
      <c r="BR388" s="56" t="s">
        <v>16840</v>
      </c>
      <c r="BS388" s="56" t="s">
        <v>1285</v>
      </c>
      <c r="BT388" s="58"/>
      <c r="BU388" s="56" t="s">
        <v>16837</v>
      </c>
      <c r="BV388" s="58"/>
      <c r="BW388" s="58"/>
      <c r="BX388" s="67">
        <v>1311.95</v>
      </c>
      <c r="BY388" s="56" t="s">
        <v>1285</v>
      </c>
      <c r="BZ388" s="58"/>
      <c r="CA388" s="58"/>
      <c r="CB388" s="58"/>
      <c r="CC388" s="58"/>
      <c r="CD388" s="58"/>
    </row>
    <row r="389" ht="108" spans="1:82">
      <c r="A389" s="56" t="s">
        <v>16870</v>
      </c>
      <c r="B389" s="58"/>
      <c r="C389" s="57" t="s">
        <v>16833</v>
      </c>
      <c r="D389" s="58"/>
      <c r="E389" s="57" t="s">
        <v>15158</v>
      </c>
      <c r="F389" s="57" t="s">
        <v>16834</v>
      </c>
      <c r="G389" s="57" t="s">
        <v>15160</v>
      </c>
      <c r="H389" s="56" t="s">
        <v>2965</v>
      </c>
      <c r="I389" s="60">
        <v>16853.05</v>
      </c>
      <c r="J389" s="57" t="s">
        <v>1285</v>
      </c>
      <c r="K389" s="57" t="s">
        <v>15162</v>
      </c>
      <c r="L389" s="57" t="s">
        <v>15163</v>
      </c>
      <c r="M389" s="61" t="s">
        <v>14159</v>
      </c>
      <c r="N389" s="62" t="s">
        <v>16793</v>
      </c>
      <c r="O389" s="57" t="s">
        <v>15165</v>
      </c>
      <c r="P389" s="57" t="s">
        <v>15166</v>
      </c>
      <c r="Q389" s="57" t="s">
        <v>2965</v>
      </c>
      <c r="R389" s="57" t="s">
        <v>15606</v>
      </c>
      <c r="S389" s="57" t="s">
        <v>15607</v>
      </c>
      <c r="T389" s="57" t="s">
        <v>15190</v>
      </c>
      <c r="U389" s="57" t="s">
        <v>14184</v>
      </c>
      <c r="V389" s="56" t="s">
        <v>14153</v>
      </c>
      <c r="W389" s="58"/>
      <c r="X389" s="57" t="s">
        <v>16835</v>
      </c>
      <c r="Y389" s="57" t="s">
        <v>15170</v>
      </c>
      <c r="Z389" s="61" t="s">
        <v>16389</v>
      </c>
      <c r="AA389" s="61" t="s">
        <v>14159</v>
      </c>
      <c r="AB389" s="58"/>
      <c r="AC389" s="57" t="s">
        <v>16391</v>
      </c>
      <c r="AD389" s="58"/>
      <c r="AE389" s="58"/>
      <c r="AF389" s="58"/>
      <c r="AG389" s="58"/>
      <c r="AH389" s="58"/>
      <c r="AI389" s="58"/>
      <c r="AJ389" s="58"/>
      <c r="AK389" s="56" t="s">
        <v>1285</v>
      </c>
      <c r="AL389" s="56" t="s">
        <v>16836</v>
      </c>
      <c r="AM389" s="58"/>
      <c r="AN389" s="56" t="s">
        <v>15324</v>
      </c>
      <c r="AO389" s="58"/>
      <c r="AP389" s="63">
        <v>45848.7926851852</v>
      </c>
      <c r="AQ389" s="56" t="s">
        <v>16837</v>
      </c>
      <c r="AR389" s="61" t="s">
        <v>14645</v>
      </c>
      <c r="AS389" s="57" t="s">
        <v>14184</v>
      </c>
      <c r="AT389" s="56" t="s">
        <v>15177</v>
      </c>
      <c r="AU389" s="56" t="s">
        <v>16838</v>
      </c>
      <c r="AV389" s="58"/>
      <c r="AW389" s="64">
        <v>45776.7903240741</v>
      </c>
      <c r="AX389" s="56" t="s">
        <v>16836</v>
      </c>
      <c r="AY389" s="56" t="s">
        <v>15179</v>
      </c>
      <c r="AZ389" s="58"/>
      <c r="BA389" s="58"/>
      <c r="BB389" s="58"/>
      <c r="BC389" s="56" t="s">
        <v>2136</v>
      </c>
      <c r="BD389" s="56" t="s">
        <v>15197</v>
      </c>
      <c r="BE389" s="56" t="s">
        <v>15613</v>
      </c>
      <c r="BF389" s="56" t="s">
        <v>15181</v>
      </c>
      <c r="BG389" s="58"/>
      <c r="BH389" s="58"/>
      <c r="BI389" s="57" t="s">
        <v>2801</v>
      </c>
      <c r="BJ389" s="58"/>
      <c r="BK389" s="58"/>
      <c r="BL389" s="66">
        <v>3513379</v>
      </c>
      <c r="BM389" s="56" t="s">
        <v>16842</v>
      </c>
      <c r="BN389" s="58"/>
      <c r="BO389" s="67">
        <v>1346.85</v>
      </c>
      <c r="BP389" s="56" t="s">
        <v>16395</v>
      </c>
      <c r="BQ389" s="58"/>
      <c r="BR389" s="56" t="s">
        <v>16840</v>
      </c>
      <c r="BS389" s="56" t="s">
        <v>1285</v>
      </c>
      <c r="BT389" s="58"/>
      <c r="BU389" s="56" t="s">
        <v>16837</v>
      </c>
      <c r="BV389" s="58"/>
      <c r="BW389" s="58"/>
      <c r="BX389" s="67">
        <v>1346.85</v>
      </c>
      <c r="BY389" s="56" t="s">
        <v>1285</v>
      </c>
      <c r="BZ389" s="58"/>
      <c r="CA389" s="58"/>
      <c r="CB389" s="58"/>
      <c r="CC389" s="58"/>
      <c r="CD389" s="58"/>
    </row>
    <row r="390" ht="108" spans="1:82">
      <c r="A390" s="56" t="s">
        <v>16871</v>
      </c>
      <c r="B390" s="58"/>
      <c r="C390" s="57" t="s">
        <v>16833</v>
      </c>
      <c r="D390" s="58"/>
      <c r="E390" s="57" t="s">
        <v>15158</v>
      </c>
      <c r="F390" s="57" t="s">
        <v>16834</v>
      </c>
      <c r="G390" s="57" t="s">
        <v>15160</v>
      </c>
      <c r="H390" s="56" t="s">
        <v>2965</v>
      </c>
      <c r="I390" s="60">
        <v>16853.05</v>
      </c>
      <c r="J390" s="57" t="s">
        <v>1285</v>
      </c>
      <c r="K390" s="57" t="s">
        <v>15162</v>
      </c>
      <c r="L390" s="57" t="s">
        <v>15163</v>
      </c>
      <c r="M390" s="61" t="s">
        <v>14159</v>
      </c>
      <c r="N390" s="62" t="s">
        <v>16793</v>
      </c>
      <c r="O390" s="57" t="s">
        <v>15165</v>
      </c>
      <c r="P390" s="57" t="s">
        <v>15166</v>
      </c>
      <c r="Q390" s="57" t="s">
        <v>2965</v>
      </c>
      <c r="R390" s="57" t="s">
        <v>15606</v>
      </c>
      <c r="S390" s="57" t="s">
        <v>15607</v>
      </c>
      <c r="T390" s="57" t="s">
        <v>15190</v>
      </c>
      <c r="U390" s="57" t="s">
        <v>14184</v>
      </c>
      <c r="V390" s="56" t="s">
        <v>14153</v>
      </c>
      <c r="W390" s="58"/>
      <c r="X390" s="57" t="s">
        <v>16835</v>
      </c>
      <c r="Y390" s="57" t="s">
        <v>15170</v>
      </c>
      <c r="Z390" s="61" t="s">
        <v>16389</v>
      </c>
      <c r="AA390" s="61" t="s">
        <v>14159</v>
      </c>
      <c r="AB390" s="58"/>
      <c r="AC390" s="57" t="s">
        <v>16391</v>
      </c>
      <c r="AD390" s="58"/>
      <c r="AE390" s="58"/>
      <c r="AF390" s="58"/>
      <c r="AG390" s="58"/>
      <c r="AH390" s="58"/>
      <c r="AI390" s="58"/>
      <c r="AJ390" s="58"/>
      <c r="AK390" s="56" t="s">
        <v>1285</v>
      </c>
      <c r="AL390" s="56" t="s">
        <v>16836</v>
      </c>
      <c r="AM390" s="58"/>
      <c r="AN390" s="56" t="s">
        <v>15324</v>
      </c>
      <c r="AO390" s="58"/>
      <c r="AP390" s="63">
        <v>45848.7926851852</v>
      </c>
      <c r="AQ390" s="56" t="s">
        <v>16837</v>
      </c>
      <c r="AR390" s="61" t="s">
        <v>14645</v>
      </c>
      <c r="AS390" s="57" t="s">
        <v>14184</v>
      </c>
      <c r="AT390" s="56" t="s">
        <v>15177</v>
      </c>
      <c r="AU390" s="56" t="s">
        <v>16838</v>
      </c>
      <c r="AV390" s="58"/>
      <c r="AW390" s="64">
        <v>45776.7903240741</v>
      </c>
      <c r="AX390" s="56" t="s">
        <v>16836</v>
      </c>
      <c r="AY390" s="56" t="s">
        <v>15179</v>
      </c>
      <c r="AZ390" s="58"/>
      <c r="BA390" s="58"/>
      <c r="BB390" s="58"/>
      <c r="BC390" s="56" t="s">
        <v>2150</v>
      </c>
      <c r="BD390" s="56" t="s">
        <v>15197</v>
      </c>
      <c r="BE390" s="56" t="s">
        <v>15613</v>
      </c>
      <c r="BF390" s="56" t="s">
        <v>15181</v>
      </c>
      <c r="BG390" s="58"/>
      <c r="BH390" s="58"/>
      <c r="BI390" s="57" t="s">
        <v>2801</v>
      </c>
      <c r="BJ390" s="58"/>
      <c r="BK390" s="58"/>
      <c r="BL390" s="66">
        <v>3513373</v>
      </c>
      <c r="BM390" s="56" t="s">
        <v>16842</v>
      </c>
      <c r="BN390" s="58"/>
      <c r="BO390" s="67">
        <v>715.23</v>
      </c>
      <c r="BP390" s="56" t="s">
        <v>16395</v>
      </c>
      <c r="BQ390" s="58"/>
      <c r="BR390" s="56" t="s">
        <v>16840</v>
      </c>
      <c r="BS390" s="56" t="s">
        <v>1285</v>
      </c>
      <c r="BT390" s="58"/>
      <c r="BU390" s="56" t="s">
        <v>16837</v>
      </c>
      <c r="BV390" s="58"/>
      <c r="BW390" s="58"/>
      <c r="BX390" s="67">
        <v>715.23</v>
      </c>
      <c r="BY390" s="56" t="s">
        <v>1285</v>
      </c>
      <c r="BZ390" s="58"/>
      <c r="CA390" s="58"/>
      <c r="CB390" s="58"/>
      <c r="CC390" s="58"/>
      <c r="CD390" s="58"/>
    </row>
    <row r="391" ht="108" spans="1:82">
      <c r="A391" s="56" t="s">
        <v>16872</v>
      </c>
      <c r="B391" s="58"/>
      <c r="C391" s="57" t="s">
        <v>16833</v>
      </c>
      <c r="D391" s="58"/>
      <c r="E391" s="57" t="s">
        <v>15158</v>
      </c>
      <c r="F391" s="57" t="s">
        <v>16834</v>
      </c>
      <c r="G391" s="57" t="s">
        <v>15160</v>
      </c>
      <c r="H391" s="56" t="s">
        <v>2965</v>
      </c>
      <c r="I391" s="60">
        <v>16853.05</v>
      </c>
      <c r="J391" s="57" t="s">
        <v>1285</v>
      </c>
      <c r="K391" s="57" t="s">
        <v>15162</v>
      </c>
      <c r="L391" s="57" t="s">
        <v>15163</v>
      </c>
      <c r="M391" s="61" t="s">
        <v>14159</v>
      </c>
      <c r="N391" s="62" t="s">
        <v>16793</v>
      </c>
      <c r="O391" s="57" t="s">
        <v>15165</v>
      </c>
      <c r="P391" s="57" t="s">
        <v>15166</v>
      </c>
      <c r="Q391" s="57" t="s">
        <v>2965</v>
      </c>
      <c r="R391" s="57" t="s">
        <v>15606</v>
      </c>
      <c r="S391" s="57" t="s">
        <v>15607</v>
      </c>
      <c r="T391" s="57" t="s">
        <v>15190</v>
      </c>
      <c r="U391" s="57" t="s">
        <v>14184</v>
      </c>
      <c r="V391" s="56" t="s">
        <v>14153</v>
      </c>
      <c r="W391" s="58"/>
      <c r="X391" s="57" t="s">
        <v>16835</v>
      </c>
      <c r="Y391" s="57" t="s">
        <v>15170</v>
      </c>
      <c r="Z391" s="61" t="s">
        <v>16389</v>
      </c>
      <c r="AA391" s="61" t="s">
        <v>14159</v>
      </c>
      <c r="AB391" s="58"/>
      <c r="AC391" s="57" t="s">
        <v>16391</v>
      </c>
      <c r="AD391" s="58"/>
      <c r="AE391" s="58"/>
      <c r="AF391" s="58"/>
      <c r="AG391" s="58"/>
      <c r="AH391" s="58"/>
      <c r="AI391" s="58"/>
      <c r="AJ391" s="58"/>
      <c r="AK391" s="56" t="s">
        <v>1285</v>
      </c>
      <c r="AL391" s="56" t="s">
        <v>16836</v>
      </c>
      <c r="AM391" s="58"/>
      <c r="AN391" s="56" t="s">
        <v>15324</v>
      </c>
      <c r="AO391" s="58"/>
      <c r="AP391" s="63">
        <v>45848.7926851852</v>
      </c>
      <c r="AQ391" s="56" t="s">
        <v>16837</v>
      </c>
      <c r="AR391" s="61" t="s">
        <v>14645</v>
      </c>
      <c r="AS391" s="57" t="s">
        <v>14184</v>
      </c>
      <c r="AT391" s="56" t="s">
        <v>15177</v>
      </c>
      <c r="AU391" s="56" t="s">
        <v>16838</v>
      </c>
      <c r="AV391" s="58"/>
      <c r="AW391" s="64">
        <v>45776.7903240741</v>
      </c>
      <c r="AX391" s="56" t="s">
        <v>16836</v>
      </c>
      <c r="AY391" s="56" t="s">
        <v>15179</v>
      </c>
      <c r="AZ391" s="58"/>
      <c r="BA391" s="58"/>
      <c r="BB391" s="58"/>
      <c r="BC391" s="56" t="s">
        <v>15637</v>
      </c>
      <c r="BD391" s="56" t="s">
        <v>15197</v>
      </c>
      <c r="BE391" s="56" t="s">
        <v>15613</v>
      </c>
      <c r="BF391" s="56" t="s">
        <v>15181</v>
      </c>
      <c r="BG391" s="58"/>
      <c r="BH391" s="58"/>
      <c r="BI391" s="57" t="s">
        <v>2801</v>
      </c>
      <c r="BJ391" s="58"/>
      <c r="BK391" s="58"/>
      <c r="BL391" s="66">
        <v>3513386</v>
      </c>
      <c r="BM391" s="56" t="s">
        <v>16842</v>
      </c>
      <c r="BN391" s="58"/>
      <c r="BO391" s="67">
        <v>77.35</v>
      </c>
      <c r="BP391" s="56" t="s">
        <v>16395</v>
      </c>
      <c r="BQ391" s="58"/>
      <c r="BR391" s="56" t="s">
        <v>16840</v>
      </c>
      <c r="BS391" s="56" t="s">
        <v>1285</v>
      </c>
      <c r="BT391" s="58"/>
      <c r="BU391" s="56" t="s">
        <v>16837</v>
      </c>
      <c r="BV391" s="58"/>
      <c r="BW391" s="58"/>
      <c r="BX391" s="67">
        <v>77.35</v>
      </c>
      <c r="BY391" s="56" t="s">
        <v>1285</v>
      </c>
      <c r="BZ391" s="58"/>
      <c r="CA391" s="58"/>
      <c r="CB391" s="58"/>
      <c r="CC391" s="58"/>
      <c r="CD391" s="58"/>
    </row>
    <row r="392" ht="108" spans="1:82">
      <c r="A392" s="56" t="s">
        <v>16873</v>
      </c>
      <c r="B392" s="58"/>
      <c r="C392" s="57" t="s">
        <v>16833</v>
      </c>
      <c r="D392" s="58"/>
      <c r="E392" s="57" t="s">
        <v>15158</v>
      </c>
      <c r="F392" s="57" t="s">
        <v>16834</v>
      </c>
      <c r="G392" s="57" t="s">
        <v>15160</v>
      </c>
      <c r="H392" s="56" t="s">
        <v>2965</v>
      </c>
      <c r="I392" s="60">
        <v>16853.05</v>
      </c>
      <c r="J392" s="57" t="s">
        <v>1285</v>
      </c>
      <c r="K392" s="57" t="s">
        <v>15162</v>
      </c>
      <c r="L392" s="57" t="s">
        <v>15163</v>
      </c>
      <c r="M392" s="61" t="s">
        <v>14159</v>
      </c>
      <c r="N392" s="62" t="s">
        <v>16793</v>
      </c>
      <c r="O392" s="57" t="s">
        <v>15165</v>
      </c>
      <c r="P392" s="57" t="s">
        <v>15166</v>
      </c>
      <c r="Q392" s="57" t="s">
        <v>2965</v>
      </c>
      <c r="R392" s="57" t="s">
        <v>15606</v>
      </c>
      <c r="S392" s="57" t="s">
        <v>15607</v>
      </c>
      <c r="T392" s="57" t="s">
        <v>15190</v>
      </c>
      <c r="U392" s="57" t="s">
        <v>14184</v>
      </c>
      <c r="V392" s="56" t="s">
        <v>14153</v>
      </c>
      <c r="W392" s="58"/>
      <c r="X392" s="57" t="s">
        <v>16835</v>
      </c>
      <c r="Y392" s="57" t="s">
        <v>15170</v>
      </c>
      <c r="Z392" s="61" t="s">
        <v>16389</v>
      </c>
      <c r="AA392" s="61" t="s">
        <v>14159</v>
      </c>
      <c r="AB392" s="58"/>
      <c r="AC392" s="57" t="s">
        <v>16391</v>
      </c>
      <c r="AD392" s="58"/>
      <c r="AE392" s="58"/>
      <c r="AF392" s="58"/>
      <c r="AG392" s="58"/>
      <c r="AH392" s="58"/>
      <c r="AI392" s="58"/>
      <c r="AJ392" s="58"/>
      <c r="AK392" s="56" t="s">
        <v>1285</v>
      </c>
      <c r="AL392" s="56" t="s">
        <v>16836</v>
      </c>
      <c r="AM392" s="58"/>
      <c r="AN392" s="56" t="s">
        <v>15324</v>
      </c>
      <c r="AO392" s="58"/>
      <c r="AP392" s="63">
        <v>45848.7926851852</v>
      </c>
      <c r="AQ392" s="56" t="s">
        <v>16837</v>
      </c>
      <c r="AR392" s="61" t="s">
        <v>14645</v>
      </c>
      <c r="AS392" s="57" t="s">
        <v>14184</v>
      </c>
      <c r="AT392" s="56" t="s">
        <v>15177</v>
      </c>
      <c r="AU392" s="56" t="s">
        <v>16838</v>
      </c>
      <c r="AV392" s="58"/>
      <c r="AW392" s="64">
        <v>45776.7903240741</v>
      </c>
      <c r="AX392" s="56" t="s">
        <v>16836</v>
      </c>
      <c r="AY392" s="56" t="s">
        <v>15179</v>
      </c>
      <c r="AZ392" s="58"/>
      <c r="BA392" s="58"/>
      <c r="BB392" s="58"/>
      <c r="BC392" s="56" t="s">
        <v>15619</v>
      </c>
      <c r="BD392" s="56" t="s">
        <v>15197</v>
      </c>
      <c r="BE392" s="56" t="s">
        <v>15613</v>
      </c>
      <c r="BF392" s="56" t="s">
        <v>15181</v>
      </c>
      <c r="BG392" s="58"/>
      <c r="BH392" s="58"/>
      <c r="BI392" s="57" t="s">
        <v>2801</v>
      </c>
      <c r="BJ392" s="58"/>
      <c r="BK392" s="58"/>
      <c r="BL392" s="66">
        <v>3513371</v>
      </c>
      <c r="BM392" s="56" t="s">
        <v>16842</v>
      </c>
      <c r="BN392" s="58"/>
      <c r="BO392" s="67">
        <v>106.25</v>
      </c>
      <c r="BP392" s="56" t="s">
        <v>16395</v>
      </c>
      <c r="BQ392" s="58"/>
      <c r="BR392" s="56" t="s">
        <v>16840</v>
      </c>
      <c r="BS392" s="56" t="s">
        <v>1285</v>
      </c>
      <c r="BT392" s="58"/>
      <c r="BU392" s="56" t="s">
        <v>16837</v>
      </c>
      <c r="BV392" s="58"/>
      <c r="BW392" s="58"/>
      <c r="BX392" s="67">
        <v>106.25</v>
      </c>
      <c r="BY392" s="56" t="s">
        <v>1285</v>
      </c>
      <c r="BZ392" s="58"/>
      <c r="CA392" s="58"/>
      <c r="CB392" s="58"/>
      <c r="CC392" s="58"/>
      <c r="CD392" s="58"/>
    </row>
    <row r="393" ht="108" spans="1:82">
      <c r="A393" s="56" t="s">
        <v>16874</v>
      </c>
      <c r="B393" s="58"/>
      <c r="C393" s="57" t="s">
        <v>16833</v>
      </c>
      <c r="D393" s="58"/>
      <c r="E393" s="57" t="s">
        <v>15158</v>
      </c>
      <c r="F393" s="57" t="s">
        <v>16834</v>
      </c>
      <c r="G393" s="57" t="s">
        <v>15160</v>
      </c>
      <c r="H393" s="56" t="s">
        <v>2965</v>
      </c>
      <c r="I393" s="60">
        <v>16853.05</v>
      </c>
      <c r="J393" s="57" t="s">
        <v>1285</v>
      </c>
      <c r="K393" s="57" t="s">
        <v>15162</v>
      </c>
      <c r="L393" s="57" t="s">
        <v>15163</v>
      </c>
      <c r="M393" s="61" t="s">
        <v>14159</v>
      </c>
      <c r="N393" s="62" t="s">
        <v>16793</v>
      </c>
      <c r="O393" s="57" t="s">
        <v>15165</v>
      </c>
      <c r="P393" s="57" t="s">
        <v>15166</v>
      </c>
      <c r="Q393" s="57" t="s">
        <v>2965</v>
      </c>
      <c r="R393" s="57" t="s">
        <v>15606</v>
      </c>
      <c r="S393" s="57" t="s">
        <v>15607</v>
      </c>
      <c r="T393" s="57" t="s">
        <v>15190</v>
      </c>
      <c r="U393" s="57" t="s">
        <v>14184</v>
      </c>
      <c r="V393" s="56" t="s">
        <v>14153</v>
      </c>
      <c r="W393" s="58"/>
      <c r="X393" s="57" t="s">
        <v>16835</v>
      </c>
      <c r="Y393" s="57" t="s">
        <v>15170</v>
      </c>
      <c r="Z393" s="61" t="s">
        <v>16389</v>
      </c>
      <c r="AA393" s="61" t="s">
        <v>14159</v>
      </c>
      <c r="AB393" s="58"/>
      <c r="AC393" s="57" t="s">
        <v>16391</v>
      </c>
      <c r="AD393" s="58"/>
      <c r="AE393" s="58"/>
      <c r="AF393" s="58"/>
      <c r="AG393" s="58"/>
      <c r="AH393" s="58"/>
      <c r="AI393" s="58"/>
      <c r="AJ393" s="58"/>
      <c r="AK393" s="56" t="s">
        <v>1285</v>
      </c>
      <c r="AL393" s="56" t="s">
        <v>16836</v>
      </c>
      <c r="AM393" s="58"/>
      <c r="AN393" s="56" t="s">
        <v>15324</v>
      </c>
      <c r="AO393" s="58"/>
      <c r="AP393" s="63">
        <v>45848.7926851852</v>
      </c>
      <c r="AQ393" s="56" t="s">
        <v>16837</v>
      </c>
      <c r="AR393" s="61" t="s">
        <v>14645</v>
      </c>
      <c r="AS393" s="57" t="s">
        <v>14184</v>
      </c>
      <c r="AT393" s="56" t="s">
        <v>15177</v>
      </c>
      <c r="AU393" s="56" t="s">
        <v>16838</v>
      </c>
      <c r="AV393" s="58"/>
      <c r="AW393" s="64">
        <v>45776.7903240741</v>
      </c>
      <c r="AX393" s="56" t="s">
        <v>16836</v>
      </c>
      <c r="AY393" s="56" t="s">
        <v>15179</v>
      </c>
      <c r="AZ393" s="58"/>
      <c r="BA393" s="58"/>
      <c r="BB393" s="58"/>
      <c r="BC393" s="56" t="s">
        <v>2146</v>
      </c>
      <c r="BD393" s="56" t="s">
        <v>15197</v>
      </c>
      <c r="BE393" s="56" t="s">
        <v>15613</v>
      </c>
      <c r="BF393" s="56" t="s">
        <v>15181</v>
      </c>
      <c r="BG393" s="58"/>
      <c r="BH393" s="58"/>
      <c r="BI393" s="57" t="s">
        <v>2801</v>
      </c>
      <c r="BJ393" s="58"/>
      <c r="BK393" s="58"/>
      <c r="BL393" s="66">
        <v>3513360</v>
      </c>
      <c r="BM393" s="56" t="s">
        <v>16842</v>
      </c>
      <c r="BN393" s="58"/>
      <c r="BO393" s="67">
        <v>100.92</v>
      </c>
      <c r="BP393" s="56" t="s">
        <v>16395</v>
      </c>
      <c r="BQ393" s="58"/>
      <c r="BR393" s="56" t="s">
        <v>16840</v>
      </c>
      <c r="BS393" s="56" t="s">
        <v>1285</v>
      </c>
      <c r="BT393" s="58"/>
      <c r="BU393" s="56" t="s">
        <v>16837</v>
      </c>
      <c r="BV393" s="58"/>
      <c r="BW393" s="58"/>
      <c r="BX393" s="67">
        <v>100.92</v>
      </c>
      <c r="BY393" s="56" t="s">
        <v>1285</v>
      </c>
      <c r="BZ393" s="58"/>
      <c r="CA393" s="58"/>
      <c r="CB393" s="58"/>
      <c r="CC393" s="58"/>
      <c r="CD393" s="58"/>
    </row>
    <row r="394" ht="108" spans="1:82">
      <c r="A394" s="56" t="s">
        <v>16875</v>
      </c>
      <c r="B394" s="58"/>
      <c r="C394" s="57" t="s">
        <v>16833</v>
      </c>
      <c r="D394" s="58"/>
      <c r="E394" s="57" t="s">
        <v>15158</v>
      </c>
      <c r="F394" s="57" t="s">
        <v>16834</v>
      </c>
      <c r="G394" s="57" t="s">
        <v>15160</v>
      </c>
      <c r="H394" s="56" t="s">
        <v>2965</v>
      </c>
      <c r="I394" s="60">
        <v>16853.05</v>
      </c>
      <c r="J394" s="57" t="s">
        <v>1285</v>
      </c>
      <c r="K394" s="57" t="s">
        <v>15162</v>
      </c>
      <c r="L394" s="57" t="s">
        <v>15163</v>
      </c>
      <c r="M394" s="61" t="s">
        <v>14159</v>
      </c>
      <c r="N394" s="62" t="s">
        <v>16793</v>
      </c>
      <c r="O394" s="57" t="s">
        <v>15165</v>
      </c>
      <c r="P394" s="57" t="s">
        <v>15166</v>
      </c>
      <c r="Q394" s="57" t="s">
        <v>2965</v>
      </c>
      <c r="R394" s="57" t="s">
        <v>15606</v>
      </c>
      <c r="S394" s="57" t="s">
        <v>15607</v>
      </c>
      <c r="T394" s="57" t="s">
        <v>15190</v>
      </c>
      <c r="U394" s="57" t="s">
        <v>14184</v>
      </c>
      <c r="V394" s="56" t="s">
        <v>14153</v>
      </c>
      <c r="W394" s="58"/>
      <c r="X394" s="57" t="s">
        <v>16835</v>
      </c>
      <c r="Y394" s="57" t="s">
        <v>15170</v>
      </c>
      <c r="Z394" s="61" t="s">
        <v>16389</v>
      </c>
      <c r="AA394" s="61" t="s">
        <v>14159</v>
      </c>
      <c r="AB394" s="58"/>
      <c r="AC394" s="57" t="s">
        <v>16391</v>
      </c>
      <c r="AD394" s="58"/>
      <c r="AE394" s="58"/>
      <c r="AF394" s="58"/>
      <c r="AG394" s="58"/>
      <c r="AH394" s="58"/>
      <c r="AI394" s="58"/>
      <c r="AJ394" s="58"/>
      <c r="AK394" s="56" t="s">
        <v>1285</v>
      </c>
      <c r="AL394" s="56" t="s">
        <v>16836</v>
      </c>
      <c r="AM394" s="58"/>
      <c r="AN394" s="56" t="s">
        <v>15324</v>
      </c>
      <c r="AO394" s="58"/>
      <c r="AP394" s="63">
        <v>45848.7926851852</v>
      </c>
      <c r="AQ394" s="56" t="s">
        <v>16837</v>
      </c>
      <c r="AR394" s="61" t="s">
        <v>14645</v>
      </c>
      <c r="AS394" s="57" t="s">
        <v>14184</v>
      </c>
      <c r="AT394" s="56" t="s">
        <v>15177</v>
      </c>
      <c r="AU394" s="56" t="s">
        <v>16838</v>
      </c>
      <c r="AV394" s="58"/>
      <c r="AW394" s="64">
        <v>45776.7903240741</v>
      </c>
      <c r="AX394" s="56" t="s">
        <v>16836</v>
      </c>
      <c r="AY394" s="56" t="s">
        <v>15179</v>
      </c>
      <c r="AZ394" s="58"/>
      <c r="BA394" s="58"/>
      <c r="BB394" s="58"/>
      <c r="BC394" s="56" t="s">
        <v>2146</v>
      </c>
      <c r="BD394" s="56" t="s">
        <v>15197</v>
      </c>
      <c r="BE394" s="56" t="s">
        <v>15613</v>
      </c>
      <c r="BF394" s="56" t="s">
        <v>15181</v>
      </c>
      <c r="BG394" s="58"/>
      <c r="BH394" s="58"/>
      <c r="BI394" s="57" t="s">
        <v>2801</v>
      </c>
      <c r="BJ394" s="58"/>
      <c r="BK394" s="58"/>
      <c r="BL394" s="66">
        <v>3513359</v>
      </c>
      <c r="BM394" s="56" t="s">
        <v>16842</v>
      </c>
      <c r="BN394" s="58"/>
      <c r="BO394" s="67">
        <v>116.58</v>
      </c>
      <c r="BP394" s="56" t="s">
        <v>16395</v>
      </c>
      <c r="BQ394" s="58"/>
      <c r="BR394" s="56" t="s">
        <v>16840</v>
      </c>
      <c r="BS394" s="56" t="s">
        <v>1285</v>
      </c>
      <c r="BT394" s="58"/>
      <c r="BU394" s="56" t="s">
        <v>16837</v>
      </c>
      <c r="BV394" s="58"/>
      <c r="BW394" s="58"/>
      <c r="BX394" s="67">
        <v>116.58</v>
      </c>
      <c r="BY394" s="56" t="s">
        <v>1285</v>
      </c>
      <c r="BZ394" s="58"/>
      <c r="CA394" s="58"/>
      <c r="CB394" s="58"/>
      <c r="CC394" s="58"/>
      <c r="CD394" s="58"/>
    </row>
    <row r="395" ht="108" spans="1:82">
      <c r="A395" s="56" t="s">
        <v>16876</v>
      </c>
      <c r="B395" s="58"/>
      <c r="C395" s="57" t="s">
        <v>16833</v>
      </c>
      <c r="D395" s="58"/>
      <c r="E395" s="57" t="s">
        <v>15158</v>
      </c>
      <c r="F395" s="57" t="s">
        <v>16834</v>
      </c>
      <c r="G395" s="57" t="s">
        <v>15160</v>
      </c>
      <c r="H395" s="56" t="s">
        <v>2965</v>
      </c>
      <c r="I395" s="60">
        <v>16853.05</v>
      </c>
      <c r="J395" s="57" t="s">
        <v>1285</v>
      </c>
      <c r="K395" s="57" t="s">
        <v>15162</v>
      </c>
      <c r="L395" s="57" t="s">
        <v>15163</v>
      </c>
      <c r="M395" s="61" t="s">
        <v>14159</v>
      </c>
      <c r="N395" s="62" t="s">
        <v>16793</v>
      </c>
      <c r="O395" s="57" t="s">
        <v>15165</v>
      </c>
      <c r="P395" s="57" t="s">
        <v>15166</v>
      </c>
      <c r="Q395" s="57" t="s">
        <v>2965</v>
      </c>
      <c r="R395" s="57" t="s">
        <v>15606</v>
      </c>
      <c r="S395" s="57" t="s">
        <v>15607</v>
      </c>
      <c r="T395" s="57" t="s">
        <v>15190</v>
      </c>
      <c r="U395" s="57" t="s">
        <v>14184</v>
      </c>
      <c r="V395" s="56" t="s">
        <v>14153</v>
      </c>
      <c r="W395" s="58"/>
      <c r="X395" s="57" t="s">
        <v>16835</v>
      </c>
      <c r="Y395" s="57" t="s">
        <v>15170</v>
      </c>
      <c r="Z395" s="61" t="s">
        <v>16389</v>
      </c>
      <c r="AA395" s="61" t="s">
        <v>14159</v>
      </c>
      <c r="AB395" s="58"/>
      <c r="AC395" s="57" t="s">
        <v>16391</v>
      </c>
      <c r="AD395" s="58"/>
      <c r="AE395" s="58"/>
      <c r="AF395" s="58"/>
      <c r="AG395" s="58"/>
      <c r="AH395" s="58"/>
      <c r="AI395" s="58"/>
      <c r="AJ395" s="58"/>
      <c r="AK395" s="56" t="s">
        <v>1285</v>
      </c>
      <c r="AL395" s="56" t="s">
        <v>16836</v>
      </c>
      <c r="AM395" s="58"/>
      <c r="AN395" s="56" t="s">
        <v>15324</v>
      </c>
      <c r="AO395" s="58"/>
      <c r="AP395" s="63">
        <v>45848.7926851852</v>
      </c>
      <c r="AQ395" s="56" t="s">
        <v>16837</v>
      </c>
      <c r="AR395" s="61" t="s">
        <v>14645</v>
      </c>
      <c r="AS395" s="57" t="s">
        <v>14184</v>
      </c>
      <c r="AT395" s="56" t="s">
        <v>15177</v>
      </c>
      <c r="AU395" s="56" t="s">
        <v>16838</v>
      </c>
      <c r="AV395" s="58"/>
      <c r="AW395" s="64">
        <v>45776.7903240741</v>
      </c>
      <c r="AX395" s="56" t="s">
        <v>16836</v>
      </c>
      <c r="AY395" s="56" t="s">
        <v>15179</v>
      </c>
      <c r="AZ395" s="58"/>
      <c r="BA395" s="58"/>
      <c r="BB395" s="58"/>
      <c r="BC395" s="56" t="s">
        <v>2146</v>
      </c>
      <c r="BD395" s="56" t="s">
        <v>15197</v>
      </c>
      <c r="BE395" s="56" t="s">
        <v>15613</v>
      </c>
      <c r="BF395" s="56" t="s">
        <v>15181</v>
      </c>
      <c r="BG395" s="58"/>
      <c r="BH395" s="58"/>
      <c r="BI395" s="57" t="s">
        <v>2801</v>
      </c>
      <c r="BJ395" s="58"/>
      <c r="BK395" s="58"/>
      <c r="BL395" s="66">
        <v>3513366</v>
      </c>
      <c r="BM395" s="56" t="s">
        <v>16842</v>
      </c>
      <c r="BN395" s="58"/>
      <c r="BO395" s="67">
        <v>197.1</v>
      </c>
      <c r="BP395" s="56" t="s">
        <v>16395</v>
      </c>
      <c r="BQ395" s="58"/>
      <c r="BR395" s="56" t="s">
        <v>16840</v>
      </c>
      <c r="BS395" s="56" t="s">
        <v>1285</v>
      </c>
      <c r="BT395" s="58"/>
      <c r="BU395" s="56" t="s">
        <v>16837</v>
      </c>
      <c r="BV395" s="58"/>
      <c r="BW395" s="58"/>
      <c r="BX395" s="67">
        <v>197.1</v>
      </c>
      <c r="BY395" s="56" t="s">
        <v>1285</v>
      </c>
      <c r="BZ395" s="58"/>
      <c r="CA395" s="58"/>
      <c r="CB395" s="58"/>
      <c r="CC395" s="58"/>
      <c r="CD395" s="58"/>
    </row>
    <row r="396" ht="108" spans="1:82">
      <c r="A396" s="56" t="s">
        <v>16877</v>
      </c>
      <c r="B396" s="58"/>
      <c r="C396" s="57" t="s">
        <v>16833</v>
      </c>
      <c r="D396" s="58"/>
      <c r="E396" s="57" t="s">
        <v>15158</v>
      </c>
      <c r="F396" s="57" t="s">
        <v>16834</v>
      </c>
      <c r="G396" s="57" t="s">
        <v>15160</v>
      </c>
      <c r="H396" s="56" t="s">
        <v>2965</v>
      </c>
      <c r="I396" s="60">
        <v>16853.05</v>
      </c>
      <c r="J396" s="57" t="s">
        <v>1285</v>
      </c>
      <c r="K396" s="57" t="s">
        <v>15162</v>
      </c>
      <c r="L396" s="57" t="s">
        <v>15163</v>
      </c>
      <c r="M396" s="61" t="s">
        <v>14159</v>
      </c>
      <c r="N396" s="62" t="s">
        <v>16793</v>
      </c>
      <c r="O396" s="57" t="s">
        <v>15165</v>
      </c>
      <c r="P396" s="57" t="s">
        <v>15166</v>
      </c>
      <c r="Q396" s="57" t="s">
        <v>2965</v>
      </c>
      <c r="R396" s="57" t="s">
        <v>15606</v>
      </c>
      <c r="S396" s="57" t="s">
        <v>15607</v>
      </c>
      <c r="T396" s="57" t="s">
        <v>15190</v>
      </c>
      <c r="U396" s="57" t="s">
        <v>14184</v>
      </c>
      <c r="V396" s="56" t="s">
        <v>14153</v>
      </c>
      <c r="W396" s="58"/>
      <c r="X396" s="57" t="s">
        <v>16835</v>
      </c>
      <c r="Y396" s="57" t="s">
        <v>15170</v>
      </c>
      <c r="Z396" s="61" t="s">
        <v>16389</v>
      </c>
      <c r="AA396" s="61" t="s">
        <v>14159</v>
      </c>
      <c r="AB396" s="58"/>
      <c r="AC396" s="57" t="s">
        <v>16391</v>
      </c>
      <c r="AD396" s="58"/>
      <c r="AE396" s="58"/>
      <c r="AF396" s="58"/>
      <c r="AG396" s="58"/>
      <c r="AH396" s="58"/>
      <c r="AI396" s="58"/>
      <c r="AJ396" s="58"/>
      <c r="AK396" s="56" t="s">
        <v>1285</v>
      </c>
      <c r="AL396" s="56" t="s">
        <v>16836</v>
      </c>
      <c r="AM396" s="58"/>
      <c r="AN396" s="56" t="s">
        <v>15324</v>
      </c>
      <c r="AO396" s="58"/>
      <c r="AP396" s="63">
        <v>45848.7926851852</v>
      </c>
      <c r="AQ396" s="56" t="s">
        <v>16837</v>
      </c>
      <c r="AR396" s="61" t="s">
        <v>14645</v>
      </c>
      <c r="AS396" s="57" t="s">
        <v>14184</v>
      </c>
      <c r="AT396" s="56" t="s">
        <v>15177</v>
      </c>
      <c r="AU396" s="56" t="s">
        <v>16838</v>
      </c>
      <c r="AV396" s="58"/>
      <c r="AW396" s="64">
        <v>45776.7903240741</v>
      </c>
      <c r="AX396" s="56" t="s">
        <v>16836</v>
      </c>
      <c r="AY396" s="56" t="s">
        <v>15179</v>
      </c>
      <c r="AZ396" s="58"/>
      <c r="BA396" s="58"/>
      <c r="BB396" s="58"/>
      <c r="BC396" s="56" t="s">
        <v>15617</v>
      </c>
      <c r="BD396" s="56" t="s">
        <v>15197</v>
      </c>
      <c r="BE396" s="56" t="s">
        <v>15613</v>
      </c>
      <c r="BF396" s="56" t="s">
        <v>15181</v>
      </c>
      <c r="BG396" s="58"/>
      <c r="BH396" s="58"/>
      <c r="BI396" s="57" t="s">
        <v>2801</v>
      </c>
      <c r="BJ396" s="58"/>
      <c r="BK396" s="58"/>
      <c r="BL396" s="66">
        <v>3513384</v>
      </c>
      <c r="BM396" s="56" t="s">
        <v>16842</v>
      </c>
      <c r="BN396" s="58"/>
      <c r="BO396" s="67">
        <v>454.5</v>
      </c>
      <c r="BP396" s="56" t="s">
        <v>16395</v>
      </c>
      <c r="BQ396" s="58"/>
      <c r="BR396" s="56" t="s">
        <v>16840</v>
      </c>
      <c r="BS396" s="56" t="s">
        <v>1285</v>
      </c>
      <c r="BT396" s="58"/>
      <c r="BU396" s="56" t="s">
        <v>16837</v>
      </c>
      <c r="BV396" s="58"/>
      <c r="BW396" s="58"/>
      <c r="BX396" s="67">
        <v>454.5</v>
      </c>
      <c r="BY396" s="56" t="s">
        <v>1285</v>
      </c>
      <c r="BZ396" s="58"/>
      <c r="CA396" s="58"/>
      <c r="CB396" s="58"/>
      <c r="CC396" s="58"/>
      <c r="CD396" s="58"/>
    </row>
    <row r="397" ht="108" spans="1:82">
      <c r="A397" s="56" t="s">
        <v>16878</v>
      </c>
      <c r="B397" s="58"/>
      <c r="C397" s="57" t="s">
        <v>16833</v>
      </c>
      <c r="D397" s="58"/>
      <c r="E397" s="57" t="s">
        <v>15158</v>
      </c>
      <c r="F397" s="57" t="s">
        <v>16834</v>
      </c>
      <c r="G397" s="57" t="s">
        <v>15160</v>
      </c>
      <c r="H397" s="56" t="s">
        <v>2965</v>
      </c>
      <c r="I397" s="60">
        <v>16853.05</v>
      </c>
      <c r="J397" s="57" t="s">
        <v>1285</v>
      </c>
      <c r="K397" s="57" t="s">
        <v>15162</v>
      </c>
      <c r="L397" s="57" t="s">
        <v>15163</v>
      </c>
      <c r="M397" s="61" t="s">
        <v>14159</v>
      </c>
      <c r="N397" s="62" t="s">
        <v>16793</v>
      </c>
      <c r="O397" s="57" t="s">
        <v>15165</v>
      </c>
      <c r="P397" s="57" t="s">
        <v>15166</v>
      </c>
      <c r="Q397" s="57" t="s">
        <v>2965</v>
      </c>
      <c r="R397" s="57" t="s">
        <v>15606</v>
      </c>
      <c r="S397" s="57" t="s">
        <v>15607</v>
      </c>
      <c r="T397" s="57" t="s">
        <v>15190</v>
      </c>
      <c r="U397" s="57" t="s">
        <v>14184</v>
      </c>
      <c r="V397" s="56" t="s">
        <v>14153</v>
      </c>
      <c r="W397" s="58"/>
      <c r="X397" s="57" t="s">
        <v>16835</v>
      </c>
      <c r="Y397" s="57" t="s">
        <v>15170</v>
      </c>
      <c r="Z397" s="61" t="s">
        <v>16389</v>
      </c>
      <c r="AA397" s="61" t="s">
        <v>14159</v>
      </c>
      <c r="AB397" s="58"/>
      <c r="AC397" s="57" t="s">
        <v>16391</v>
      </c>
      <c r="AD397" s="58"/>
      <c r="AE397" s="58"/>
      <c r="AF397" s="58"/>
      <c r="AG397" s="58"/>
      <c r="AH397" s="58"/>
      <c r="AI397" s="58"/>
      <c r="AJ397" s="58"/>
      <c r="AK397" s="56" t="s">
        <v>1285</v>
      </c>
      <c r="AL397" s="56" t="s">
        <v>16836</v>
      </c>
      <c r="AM397" s="58"/>
      <c r="AN397" s="56" t="s">
        <v>15324</v>
      </c>
      <c r="AO397" s="58"/>
      <c r="AP397" s="63">
        <v>45848.7926851852</v>
      </c>
      <c r="AQ397" s="56" t="s">
        <v>16837</v>
      </c>
      <c r="AR397" s="61" t="s">
        <v>14645</v>
      </c>
      <c r="AS397" s="57" t="s">
        <v>14184</v>
      </c>
      <c r="AT397" s="56" t="s">
        <v>15177</v>
      </c>
      <c r="AU397" s="56" t="s">
        <v>16838</v>
      </c>
      <c r="AV397" s="58"/>
      <c r="AW397" s="64">
        <v>45776.7903240741</v>
      </c>
      <c r="AX397" s="56" t="s">
        <v>16836</v>
      </c>
      <c r="AY397" s="56" t="s">
        <v>15179</v>
      </c>
      <c r="AZ397" s="58"/>
      <c r="BA397" s="58"/>
      <c r="BB397" s="58"/>
      <c r="BC397" s="56" t="s">
        <v>15653</v>
      </c>
      <c r="BD397" s="56" t="s">
        <v>15197</v>
      </c>
      <c r="BE397" s="56" t="s">
        <v>15613</v>
      </c>
      <c r="BF397" s="56" t="s">
        <v>15181</v>
      </c>
      <c r="BG397" s="58"/>
      <c r="BH397" s="58"/>
      <c r="BI397" s="57" t="s">
        <v>2801</v>
      </c>
      <c r="BJ397" s="58"/>
      <c r="BK397" s="58"/>
      <c r="BL397" s="66">
        <v>3513358</v>
      </c>
      <c r="BM397" s="56" t="s">
        <v>16842</v>
      </c>
      <c r="BN397" s="58"/>
      <c r="BO397" s="67">
        <v>226.76</v>
      </c>
      <c r="BP397" s="56" t="s">
        <v>16395</v>
      </c>
      <c r="BQ397" s="58"/>
      <c r="BR397" s="56" t="s">
        <v>16840</v>
      </c>
      <c r="BS397" s="56" t="s">
        <v>1285</v>
      </c>
      <c r="BT397" s="58"/>
      <c r="BU397" s="56" t="s">
        <v>16837</v>
      </c>
      <c r="BV397" s="58"/>
      <c r="BW397" s="58"/>
      <c r="BX397" s="67">
        <v>226.76</v>
      </c>
      <c r="BY397" s="56" t="s">
        <v>1285</v>
      </c>
      <c r="BZ397" s="58"/>
      <c r="CA397" s="58"/>
      <c r="CB397" s="58"/>
      <c r="CC397" s="58"/>
      <c r="CD397" s="58"/>
    </row>
    <row r="398" ht="108" spans="1:82">
      <c r="A398" s="56" t="s">
        <v>16879</v>
      </c>
      <c r="B398" s="58"/>
      <c r="C398" s="57" t="s">
        <v>16833</v>
      </c>
      <c r="D398" s="58"/>
      <c r="E398" s="57" t="s">
        <v>15158</v>
      </c>
      <c r="F398" s="57" t="s">
        <v>16834</v>
      </c>
      <c r="G398" s="57" t="s">
        <v>15160</v>
      </c>
      <c r="H398" s="56" t="s">
        <v>2965</v>
      </c>
      <c r="I398" s="60">
        <v>16853.05</v>
      </c>
      <c r="J398" s="57" t="s">
        <v>1285</v>
      </c>
      <c r="K398" s="57" t="s">
        <v>15162</v>
      </c>
      <c r="L398" s="57" t="s">
        <v>15163</v>
      </c>
      <c r="M398" s="61" t="s">
        <v>14159</v>
      </c>
      <c r="N398" s="62" t="s">
        <v>16793</v>
      </c>
      <c r="O398" s="57" t="s">
        <v>15165</v>
      </c>
      <c r="P398" s="57" t="s">
        <v>15166</v>
      </c>
      <c r="Q398" s="57" t="s">
        <v>2965</v>
      </c>
      <c r="R398" s="57" t="s">
        <v>15606</v>
      </c>
      <c r="S398" s="57" t="s">
        <v>15607</v>
      </c>
      <c r="T398" s="57" t="s">
        <v>15190</v>
      </c>
      <c r="U398" s="57" t="s">
        <v>14184</v>
      </c>
      <c r="V398" s="56" t="s">
        <v>14153</v>
      </c>
      <c r="W398" s="58"/>
      <c r="X398" s="57" t="s">
        <v>16835</v>
      </c>
      <c r="Y398" s="57" t="s">
        <v>15170</v>
      </c>
      <c r="Z398" s="61" t="s">
        <v>16389</v>
      </c>
      <c r="AA398" s="61" t="s">
        <v>14159</v>
      </c>
      <c r="AB398" s="58"/>
      <c r="AC398" s="57" t="s">
        <v>16391</v>
      </c>
      <c r="AD398" s="58"/>
      <c r="AE398" s="58"/>
      <c r="AF398" s="58"/>
      <c r="AG398" s="58"/>
      <c r="AH398" s="58"/>
      <c r="AI398" s="58"/>
      <c r="AJ398" s="58"/>
      <c r="AK398" s="56" t="s">
        <v>1285</v>
      </c>
      <c r="AL398" s="56" t="s">
        <v>16836</v>
      </c>
      <c r="AM398" s="58"/>
      <c r="AN398" s="56" t="s">
        <v>15324</v>
      </c>
      <c r="AO398" s="58"/>
      <c r="AP398" s="63">
        <v>45848.7926851852</v>
      </c>
      <c r="AQ398" s="56" t="s">
        <v>16837</v>
      </c>
      <c r="AR398" s="61" t="s">
        <v>14645</v>
      </c>
      <c r="AS398" s="57" t="s">
        <v>14184</v>
      </c>
      <c r="AT398" s="56" t="s">
        <v>15177</v>
      </c>
      <c r="AU398" s="56" t="s">
        <v>16838</v>
      </c>
      <c r="AV398" s="58"/>
      <c r="AW398" s="64">
        <v>45776.7903240741</v>
      </c>
      <c r="AX398" s="56" t="s">
        <v>16836</v>
      </c>
      <c r="AY398" s="56" t="s">
        <v>15179</v>
      </c>
      <c r="AZ398" s="58"/>
      <c r="BA398" s="58"/>
      <c r="BB398" s="58"/>
      <c r="BC398" s="56" t="s">
        <v>2138</v>
      </c>
      <c r="BD398" s="56" t="s">
        <v>15197</v>
      </c>
      <c r="BE398" s="56" t="s">
        <v>15613</v>
      </c>
      <c r="BF398" s="56" t="s">
        <v>15181</v>
      </c>
      <c r="BG398" s="58"/>
      <c r="BH398" s="58"/>
      <c r="BI398" s="57" t="s">
        <v>2801</v>
      </c>
      <c r="BJ398" s="58"/>
      <c r="BK398" s="58"/>
      <c r="BL398" s="66">
        <v>3513374</v>
      </c>
      <c r="BM398" s="56" t="s">
        <v>16842</v>
      </c>
      <c r="BN398" s="58"/>
      <c r="BO398" s="67">
        <v>791.7</v>
      </c>
      <c r="BP398" s="56" t="s">
        <v>16395</v>
      </c>
      <c r="BQ398" s="58"/>
      <c r="BR398" s="56" t="s">
        <v>16840</v>
      </c>
      <c r="BS398" s="56" t="s">
        <v>1285</v>
      </c>
      <c r="BT398" s="58"/>
      <c r="BU398" s="56" t="s">
        <v>16837</v>
      </c>
      <c r="BV398" s="58"/>
      <c r="BW398" s="58"/>
      <c r="BX398" s="67">
        <v>791.7</v>
      </c>
      <c r="BY398" s="56" t="s">
        <v>1285</v>
      </c>
      <c r="BZ398" s="58"/>
      <c r="CA398" s="58"/>
      <c r="CB398" s="58"/>
      <c r="CC398" s="58"/>
      <c r="CD398" s="58"/>
    </row>
    <row r="399" ht="108" spans="1:82">
      <c r="A399" s="56" t="s">
        <v>16880</v>
      </c>
      <c r="B399" s="58"/>
      <c r="C399" s="57" t="s">
        <v>16833</v>
      </c>
      <c r="D399" s="58"/>
      <c r="E399" s="57" t="s">
        <v>15158</v>
      </c>
      <c r="F399" s="57" t="s">
        <v>16834</v>
      </c>
      <c r="G399" s="57" t="s">
        <v>15160</v>
      </c>
      <c r="H399" s="56" t="s">
        <v>2965</v>
      </c>
      <c r="I399" s="60">
        <v>16853.05</v>
      </c>
      <c r="J399" s="57" t="s">
        <v>1285</v>
      </c>
      <c r="K399" s="57" t="s">
        <v>15162</v>
      </c>
      <c r="L399" s="57" t="s">
        <v>15163</v>
      </c>
      <c r="M399" s="61" t="s">
        <v>14159</v>
      </c>
      <c r="N399" s="62" t="s">
        <v>16793</v>
      </c>
      <c r="O399" s="57" t="s">
        <v>15165</v>
      </c>
      <c r="P399" s="57" t="s">
        <v>15166</v>
      </c>
      <c r="Q399" s="57" t="s">
        <v>2965</v>
      </c>
      <c r="R399" s="57" t="s">
        <v>15606</v>
      </c>
      <c r="S399" s="57" t="s">
        <v>15607</v>
      </c>
      <c r="T399" s="57" t="s">
        <v>15190</v>
      </c>
      <c r="U399" s="57" t="s">
        <v>14184</v>
      </c>
      <c r="V399" s="56" t="s">
        <v>14153</v>
      </c>
      <c r="W399" s="58"/>
      <c r="X399" s="57" t="s">
        <v>16835</v>
      </c>
      <c r="Y399" s="57" t="s">
        <v>15170</v>
      </c>
      <c r="Z399" s="61" t="s">
        <v>16389</v>
      </c>
      <c r="AA399" s="61" t="s">
        <v>14159</v>
      </c>
      <c r="AB399" s="58"/>
      <c r="AC399" s="57" t="s">
        <v>16391</v>
      </c>
      <c r="AD399" s="58"/>
      <c r="AE399" s="58"/>
      <c r="AF399" s="58"/>
      <c r="AG399" s="58"/>
      <c r="AH399" s="58"/>
      <c r="AI399" s="58"/>
      <c r="AJ399" s="58"/>
      <c r="AK399" s="56" t="s">
        <v>1285</v>
      </c>
      <c r="AL399" s="56" t="s">
        <v>16836</v>
      </c>
      <c r="AM399" s="58"/>
      <c r="AN399" s="56" t="s">
        <v>15324</v>
      </c>
      <c r="AO399" s="58"/>
      <c r="AP399" s="63">
        <v>45848.7926851852</v>
      </c>
      <c r="AQ399" s="56" t="s">
        <v>16837</v>
      </c>
      <c r="AR399" s="61" t="s">
        <v>14645</v>
      </c>
      <c r="AS399" s="57" t="s">
        <v>14184</v>
      </c>
      <c r="AT399" s="56" t="s">
        <v>15177</v>
      </c>
      <c r="AU399" s="56" t="s">
        <v>16838</v>
      </c>
      <c r="AV399" s="58"/>
      <c r="AW399" s="64">
        <v>45776.7903240741</v>
      </c>
      <c r="AX399" s="56" t="s">
        <v>16836</v>
      </c>
      <c r="AY399" s="56" t="s">
        <v>15179</v>
      </c>
      <c r="AZ399" s="58"/>
      <c r="BA399" s="58"/>
      <c r="BB399" s="58"/>
      <c r="BC399" s="56" t="s">
        <v>2136</v>
      </c>
      <c r="BD399" s="56" t="s">
        <v>15197</v>
      </c>
      <c r="BE399" s="56" t="s">
        <v>15613</v>
      </c>
      <c r="BF399" s="56" t="s">
        <v>15181</v>
      </c>
      <c r="BG399" s="58"/>
      <c r="BH399" s="58"/>
      <c r="BI399" s="57" t="s">
        <v>2801</v>
      </c>
      <c r="BJ399" s="58"/>
      <c r="BK399" s="58"/>
      <c r="BL399" s="66">
        <v>3513390</v>
      </c>
      <c r="BM399" s="56" t="s">
        <v>16842</v>
      </c>
      <c r="BN399" s="58"/>
      <c r="BO399" s="67">
        <v>108</v>
      </c>
      <c r="BP399" s="56" t="s">
        <v>16395</v>
      </c>
      <c r="BQ399" s="58"/>
      <c r="BR399" s="56" t="s">
        <v>16840</v>
      </c>
      <c r="BS399" s="56" t="s">
        <v>1285</v>
      </c>
      <c r="BT399" s="58"/>
      <c r="BU399" s="56" t="s">
        <v>16837</v>
      </c>
      <c r="BV399" s="58"/>
      <c r="BW399" s="58"/>
      <c r="BX399" s="67">
        <v>108</v>
      </c>
      <c r="BY399" s="56" t="s">
        <v>1285</v>
      </c>
      <c r="BZ399" s="58"/>
      <c r="CA399" s="58"/>
      <c r="CB399" s="58"/>
      <c r="CC399" s="58"/>
      <c r="CD399" s="58"/>
    </row>
    <row r="400" ht="108" spans="1:82">
      <c r="A400" s="56" t="s">
        <v>16881</v>
      </c>
      <c r="B400" s="58"/>
      <c r="C400" s="57" t="s">
        <v>16833</v>
      </c>
      <c r="D400" s="58"/>
      <c r="E400" s="57" t="s">
        <v>15158</v>
      </c>
      <c r="F400" s="57" t="s">
        <v>16834</v>
      </c>
      <c r="G400" s="57" t="s">
        <v>15160</v>
      </c>
      <c r="H400" s="56" t="s">
        <v>2965</v>
      </c>
      <c r="I400" s="60">
        <v>16853.05</v>
      </c>
      <c r="J400" s="57" t="s">
        <v>1285</v>
      </c>
      <c r="K400" s="57" t="s">
        <v>15162</v>
      </c>
      <c r="L400" s="57" t="s">
        <v>15163</v>
      </c>
      <c r="M400" s="61" t="s">
        <v>14159</v>
      </c>
      <c r="N400" s="62" t="s">
        <v>16793</v>
      </c>
      <c r="O400" s="57" t="s">
        <v>15165</v>
      </c>
      <c r="P400" s="57" t="s">
        <v>15166</v>
      </c>
      <c r="Q400" s="57" t="s">
        <v>2965</v>
      </c>
      <c r="R400" s="57" t="s">
        <v>15606</v>
      </c>
      <c r="S400" s="57" t="s">
        <v>15607</v>
      </c>
      <c r="T400" s="57" t="s">
        <v>15190</v>
      </c>
      <c r="U400" s="57" t="s">
        <v>14184</v>
      </c>
      <c r="V400" s="56" t="s">
        <v>14153</v>
      </c>
      <c r="W400" s="58"/>
      <c r="X400" s="57" t="s">
        <v>16835</v>
      </c>
      <c r="Y400" s="57" t="s">
        <v>15170</v>
      </c>
      <c r="Z400" s="61" t="s">
        <v>16389</v>
      </c>
      <c r="AA400" s="61" t="s">
        <v>14159</v>
      </c>
      <c r="AB400" s="58"/>
      <c r="AC400" s="57" t="s">
        <v>16391</v>
      </c>
      <c r="AD400" s="58"/>
      <c r="AE400" s="58"/>
      <c r="AF400" s="58"/>
      <c r="AG400" s="58"/>
      <c r="AH400" s="58"/>
      <c r="AI400" s="58"/>
      <c r="AJ400" s="58"/>
      <c r="AK400" s="56" t="s">
        <v>1285</v>
      </c>
      <c r="AL400" s="56" t="s">
        <v>16836</v>
      </c>
      <c r="AM400" s="58"/>
      <c r="AN400" s="56" t="s">
        <v>15324</v>
      </c>
      <c r="AO400" s="58"/>
      <c r="AP400" s="63">
        <v>45848.7926851852</v>
      </c>
      <c r="AQ400" s="56" t="s">
        <v>16837</v>
      </c>
      <c r="AR400" s="61" t="s">
        <v>14645</v>
      </c>
      <c r="AS400" s="57" t="s">
        <v>14184</v>
      </c>
      <c r="AT400" s="56" t="s">
        <v>15177</v>
      </c>
      <c r="AU400" s="56" t="s">
        <v>16838</v>
      </c>
      <c r="AV400" s="58"/>
      <c r="AW400" s="64">
        <v>45776.7903240741</v>
      </c>
      <c r="AX400" s="56" t="s">
        <v>16836</v>
      </c>
      <c r="AY400" s="56" t="s">
        <v>15179</v>
      </c>
      <c r="AZ400" s="58"/>
      <c r="BA400" s="58"/>
      <c r="BB400" s="58"/>
      <c r="BC400" s="56" t="s">
        <v>2148</v>
      </c>
      <c r="BD400" s="56" t="s">
        <v>15197</v>
      </c>
      <c r="BE400" s="56" t="s">
        <v>15613</v>
      </c>
      <c r="BF400" s="56" t="s">
        <v>15181</v>
      </c>
      <c r="BG400" s="58"/>
      <c r="BH400" s="58"/>
      <c r="BI400" s="57" t="s">
        <v>2801</v>
      </c>
      <c r="BJ400" s="58"/>
      <c r="BK400" s="58"/>
      <c r="BL400" s="66">
        <v>3513392</v>
      </c>
      <c r="BM400" s="56" t="s">
        <v>16842</v>
      </c>
      <c r="BN400" s="58"/>
      <c r="BO400" s="67">
        <v>406.44</v>
      </c>
      <c r="BP400" s="56" t="s">
        <v>16395</v>
      </c>
      <c r="BQ400" s="58"/>
      <c r="BR400" s="56" t="s">
        <v>16840</v>
      </c>
      <c r="BS400" s="56" t="s">
        <v>1285</v>
      </c>
      <c r="BT400" s="58"/>
      <c r="BU400" s="56" t="s">
        <v>16837</v>
      </c>
      <c r="BV400" s="58"/>
      <c r="BW400" s="58"/>
      <c r="BX400" s="67">
        <v>406.44</v>
      </c>
      <c r="BY400" s="56" t="s">
        <v>1285</v>
      </c>
      <c r="BZ400" s="58"/>
      <c r="CA400" s="58"/>
      <c r="CB400" s="58"/>
      <c r="CC400" s="58"/>
      <c r="CD400" s="58"/>
    </row>
    <row r="401" ht="108" spans="1:82">
      <c r="A401" s="56" t="s">
        <v>16882</v>
      </c>
      <c r="B401" s="58"/>
      <c r="C401" s="57" t="s">
        <v>16883</v>
      </c>
      <c r="D401" s="58"/>
      <c r="E401" s="57" t="s">
        <v>15158</v>
      </c>
      <c r="F401" s="57" t="s">
        <v>16884</v>
      </c>
      <c r="G401" s="57" t="s">
        <v>15160</v>
      </c>
      <c r="H401" s="56" t="s">
        <v>2935</v>
      </c>
      <c r="I401" s="60">
        <v>27426.97</v>
      </c>
      <c r="J401" s="57" t="s">
        <v>1285</v>
      </c>
      <c r="K401" s="57" t="s">
        <v>15162</v>
      </c>
      <c r="L401" s="57" t="s">
        <v>15163</v>
      </c>
      <c r="M401" s="61" t="s">
        <v>14159</v>
      </c>
      <c r="N401" s="62" t="s">
        <v>16304</v>
      </c>
      <c r="O401" s="57" t="s">
        <v>15165</v>
      </c>
      <c r="P401" s="57" t="s">
        <v>15166</v>
      </c>
      <c r="Q401" s="57" t="s">
        <v>3823</v>
      </c>
      <c r="R401" s="57" t="s">
        <v>15594</v>
      </c>
      <c r="S401" s="57" t="s">
        <v>15595</v>
      </c>
      <c r="T401" s="57" t="s">
        <v>15190</v>
      </c>
      <c r="U401" s="57" t="s">
        <v>14184</v>
      </c>
      <c r="V401" s="56" t="s">
        <v>14153</v>
      </c>
      <c r="W401" s="58"/>
      <c r="X401" s="57" t="s">
        <v>16885</v>
      </c>
      <c r="Y401" s="57" t="s">
        <v>15170</v>
      </c>
      <c r="Z401" s="61" t="s">
        <v>16389</v>
      </c>
      <c r="AA401" s="61" t="s">
        <v>14159</v>
      </c>
      <c r="AB401" s="58"/>
      <c r="AC401" s="57" t="s">
        <v>16391</v>
      </c>
      <c r="AD401" s="58"/>
      <c r="AE401" s="58"/>
      <c r="AF401" s="58"/>
      <c r="AG401" s="58"/>
      <c r="AH401" s="58"/>
      <c r="AI401" s="58"/>
      <c r="AJ401" s="58"/>
      <c r="AK401" s="56" t="s">
        <v>1285</v>
      </c>
      <c r="AL401" s="56" t="s">
        <v>16886</v>
      </c>
      <c r="AM401" s="58"/>
      <c r="AN401" s="56" t="s">
        <v>16099</v>
      </c>
      <c r="AO401" s="58"/>
      <c r="AP401" s="63">
        <v>45848.788599537</v>
      </c>
      <c r="AQ401" s="56" t="s">
        <v>16887</v>
      </c>
      <c r="AR401" s="61" t="s">
        <v>14645</v>
      </c>
      <c r="AS401" s="57" t="s">
        <v>14184</v>
      </c>
      <c r="AT401" s="56" t="s">
        <v>15177</v>
      </c>
      <c r="AU401" s="56" t="s">
        <v>16888</v>
      </c>
      <c r="AV401" s="58"/>
      <c r="AW401" s="64">
        <v>45776.7088425926</v>
      </c>
      <c r="AX401" s="56" t="s">
        <v>16886</v>
      </c>
      <c r="AY401" s="56" t="s">
        <v>15179</v>
      </c>
      <c r="AZ401" s="58"/>
      <c r="BA401" s="58"/>
      <c r="BB401" s="58"/>
      <c r="BC401" s="56" t="s">
        <v>15965</v>
      </c>
      <c r="BD401" s="56" t="s">
        <v>15197</v>
      </c>
      <c r="BE401" s="58"/>
      <c r="BF401" s="56" t="s">
        <v>15181</v>
      </c>
      <c r="BG401" s="58"/>
      <c r="BH401" s="58"/>
      <c r="BI401" s="57" t="s">
        <v>2801</v>
      </c>
      <c r="BJ401" s="58"/>
      <c r="BK401" s="58"/>
      <c r="BL401" s="66">
        <v>3498632</v>
      </c>
      <c r="BM401" s="56" t="s">
        <v>16889</v>
      </c>
      <c r="BN401" s="58"/>
      <c r="BO401" s="67">
        <v>27426.97</v>
      </c>
      <c r="BP401" s="56" t="s">
        <v>16395</v>
      </c>
      <c r="BQ401" s="58"/>
      <c r="BR401" s="56" t="s">
        <v>16890</v>
      </c>
      <c r="BS401" s="56" t="s">
        <v>1285</v>
      </c>
      <c r="BT401" s="56" t="s">
        <v>1285</v>
      </c>
      <c r="BU401" s="56" t="s">
        <v>16887</v>
      </c>
      <c r="BV401" s="58"/>
      <c r="BW401" s="58"/>
      <c r="BX401" s="67">
        <v>27426.97</v>
      </c>
      <c r="BY401" s="58"/>
      <c r="BZ401" s="58"/>
      <c r="CA401" s="58"/>
      <c r="CB401" s="58"/>
      <c r="CC401" s="58"/>
      <c r="CD401" s="58"/>
    </row>
    <row r="402" ht="108" spans="1:82">
      <c r="A402" s="56" t="s">
        <v>16891</v>
      </c>
      <c r="B402" s="58"/>
      <c r="C402" s="57" t="s">
        <v>16892</v>
      </c>
      <c r="D402" s="58"/>
      <c r="E402" s="57" t="s">
        <v>15158</v>
      </c>
      <c r="F402" s="57" t="s">
        <v>16893</v>
      </c>
      <c r="G402" s="57" t="s">
        <v>15160</v>
      </c>
      <c r="H402" s="56" t="s">
        <v>3612</v>
      </c>
      <c r="I402" s="60">
        <v>192.1</v>
      </c>
      <c r="J402" s="57" t="s">
        <v>1285</v>
      </c>
      <c r="K402" s="57" t="s">
        <v>15162</v>
      </c>
      <c r="L402" s="57" t="s">
        <v>15163</v>
      </c>
      <c r="M402" s="61" t="s">
        <v>14159</v>
      </c>
      <c r="N402" s="62" t="s">
        <v>16793</v>
      </c>
      <c r="O402" s="57" t="s">
        <v>15165</v>
      </c>
      <c r="P402" s="57" t="s">
        <v>15166</v>
      </c>
      <c r="Q402" s="57" t="s">
        <v>3612</v>
      </c>
      <c r="R402" s="57" t="s">
        <v>16894</v>
      </c>
      <c r="S402" s="57" t="s">
        <v>16895</v>
      </c>
      <c r="T402" s="57" t="s">
        <v>15190</v>
      </c>
      <c r="U402" s="57" t="s">
        <v>14184</v>
      </c>
      <c r="V402" s="56" t="s">
        <v>14153</v>
      </c>
      <c r="W402" s="58"/>
      <c r="X402" s="57" t="s">
        <v>16896</v>
      </c>
      <c r="Y402" s="57" t="s">
        <v>15170</v>
      </c>
      <c r="Z402" s="61" t="s">
        <v>16389</v>
      </c>
      <c r="AA402" s="61" t="s">
        <v>14159</v>
      </c>
      <c r="AB402" s="58"/>
      <c r="AC402" s="57" t="s">
        <v>16391</v>
      </c>
      <c r="AD402" s="58"/>
      <c r="AE402" s="58"/>
      <c r="AF402" s="58"/>
      <c r="AG402" s="58"/>
      <c r="AH402" s="58"/>
      <c r="AI402" s="58"/>
      <c r="AJ402" s="58"/>
      <c r="AK402" s="56" t="s">
        <v>1285</v>
      </c>
      <c r="AL402" s="56" t="s">
        <v>16897</v>
      </c>
      <c r="AM402" s="58"/>
      <c r="AN402" s="56" t="s">
        <v>16124</v>
      </c>
      <c r="AO402" s="58"/>
      <c r="AP402" s="63">
        <v>45848.7879513889</v>
      </c>
      <c r="AQ402" s="56" t="s">
        <v>16898</v>
      </c>
      <c r="AR402" s="61" t="s">
        <v>14645</v>
      </c>
      <c r="AS402" s="57" t="s">
        <v>14184</v>
      </c>
      <c r="AT402" s="56" t="s">
        <v>15177</v>
      </c>
      <c r="AU402" s="56" t="s">
        <v>16899</v>
      </c>
      <c r="AV402" s="58"/>
      <c r="AW402" s="64">
        <v>45776.6104282407</v>
      </c>
      <c r="AX402" s="56" t="s">
        <v>16897</v>
      </c>
      <c r="AY402" s="56" t="s">
        <v>15179</v>
      </c>
      <c r="AZ402" s="58"/>
      <c r="BA402" s="58"/>
      <c r="BB402" s="58"/>
      <c r="BC402" s="56" t="s">
        <v>16900</v>
      </c>
      <c r="BD402" s="56" t="s">
        <v>15197</v>
      </c>
      <c r="BE402" s="56" t="s">
        <v>16901</v>
      </c>
      <c r="BF402" s="56" t="s">
        <v>15181</v>
      </c>
      <c r="BG402" s="58"/>
      <c r="BH402" s="58"/>
      <c r="BI402" s="57" t="s">
        <v>2801</v>
      </c>
      <c r="BJ402" s="58"/>
      <c r="BK402" s="58"/>
      <c r="BL402" s="66">
        <v>3514734</v>
      </c>
      <c r="BM402" s="56" t="s">
        <v>16902</v>
      </c>
      <c r="BN402" s="58"/>
      <c r="BO402" s="67">
        <v>192.1</v>
      </c>
      <c r="BP402" s="56" t="s">
        <v>16395</v>
      </c>
      <c r="BQ402" s="58"/>
      <c r="BR402" s="56" t="s">
        <v>16903</v>
      </c>
      <c r="BS402" s="56" t="s">
        <v>1285</v>
      </c>
      <c r="BT402" s="58"/>
      <c r="BU402" s="56" t="s">
        <v>16898</v>
      </c>
      <c r="BV402" s="58"/>
      <c r="BW402" s="58"/>
      <c r="BX402" s="67">
        <v>192.1</v>
      </c>
      <c r="BY402" s="56" t="s">
        <v>1285</v>
      </c>
      <c r="BZ402" s="58"/>
      <c r="CA402" s="58"/>
      <c r="CB402" s="58"/>
      <c r="CC402" s="58"/>
      <c r="CD402" s="58"/>
    </row>
    <row r="403" ht="108" spans="1:82">
      <c r="A403" s="56" t="s">
        <v>16904</v>
      </c>
      <c r="B403" s="58"/>
      <c r="C403" s="57" t="s">
        <v>16905</v>
      </c>
      <c r="D403" s="58"/>
      <c r="E403" s="57" t="s">
        <v>15158</v>
      </c>
      <c r="F403" s="57" t="s">
        <v>16906</v>
      </c>
      <c r="G403" s="57" t="s">
        <v>15160</v>
      </c>
      <c r="H403" s="56" t="s">
        <v>3112</v>
      </c>
      <c r="I403" s="60">
        <v>938.52</v>
      </c>
      <c r="J403" s="57" t="s">
        <v>1285</v>
      </c>
      <c r="K403" s="57" t="s">
        <v>15162</v>
      </c>
      <c r="L403" s="57" t="s">
        <v>15163</v>
      </c>
      <c r="M403" s="61" t="s">
        <v>14159</v>
      </c>
      <c r="N403" s="62" t="s">
        <v>16793</v>
      </c>
      <c r="O403" s="57" t="s">
        <v>15165</v>
      </c>
      <c r="P403" s="57" t="s">
        <v>15166</v>
      </c>
      <c r="Q403" s="57" t="s">
        <v>3112</v>
      </c>
      <c r="R403" s="57" t="s">
        <v>15188</v>
      </c>
      <c r="S403" s="57" t="s">
        <v>15189</v>
      </c>
      <c r="T403" s="57" t="s">
        <v>15190</v>
      </c>
      <c r="U403" s="57" t="s">
        <v>14184</v>
      </c>
      <c r="V403" s="56" t="s">
        <v>14153</v>
      </c>
      <c r="W403" s="58"/>
      <c r="X403" s="57" t="s">
        <v>16907</v>
      </c>
      <c r="Y403" s="57" t="s">
        <v>15170</v>
      </c>
      <c r="Z403" s="61" t="s">
        <v>16389</v>
      </c>
      <c r="AA403" s="61" t="s">
        <v>14159</v>
      </c>
      <c r="AB403" s="58"/>
      <c r="AC403" s="57" t="s">
        <v>16391</v>
      </c>
      <c r="AD403" s="58"/>
      <c r="AE403" s="58"/>
      <c r="AF403" s="58"/>
      <c r="AG403" s="58"/>
      <c r="AH403" s="58"/>
      <c r="AI403" s="58"/>
      <c r="AJ403" s="58"/>
      <c r="AK403" s="56" t="s">
        <v>1285</v>
      </c>
      <c r="AL403" s="56" t="s">
        <v>16908</v>
      </c>
      <c r="AM403" s="58"/>
      <c r="AN403" s="56" t="s">
        <v>15828</v>
      </c>
      <c r="AO403" s="58"/>
      <c r="AP403" s="63">
        <v>45848.7860648148</v>
      </c>
      <c r="AQ403" s="56" t="s">
        <v>16909</v>
      </c>
      <c r="AR403" s="61" t="s">
        <v>14645</v>
      </c>
      <c r="AS403" s="57" t="s">
        <v>14184</v>
      </c>
      <c r="AT403" s="56" t="s">
        <v>15177</v>
      </c>
      <c r="AU403" s="56" t="s">
        <v>16910</v>
      </c>
      <c r="AV403" s="58"/>
      <c r="AW403" s="64">
        <v>45776.4852314815</v>
      </c>
      <c r="AX403" s="56" t="s">
        <v>16908</v>
      </c>
      <c r="AY403" s="56" t="s">
        <v>15179</v>
      </c>
      <c r="AZ403" s="58"/>
      <c r="BA403" s="58"/>
      <c r="BB403" s="58"/>
      <c r="BC403" s="56" t="s">
        <v>15196</v>
      </c>
      <c r="BD403" s="56" t="s">
        <v>15197</v>
      </c>
      <c r="BE403" s="58"/>
      <c r="BF403" s="56" t="s">
        <v>15181</v>
      </c>
      <c r="BG403" s="58"/>
      <c r="BH403" s="58"/>
      <c r="BI403" s="57" t="s">
        <v>2801</v>
      </c>
      <c r="BJ403" s="58"/>
      <c r="BK403" s="58"/>
      <c r="BL403" s="66">
        <v>3507859</v>
      </c>
      <c r="BM403" s="56" t="s">
        <v>16911</v>
      </c>
      <c r="BN403" s="58"/>
      <c r="BO403" s="67">
        <v>183.57</v>
      </c>
      <c r="BP403" s="56" t="s">
        <v>16395</v>
      </c>
      <c r="BQ403" s="58"/>
      <c r="BR403" s="56" t="s">
        <v>16912</v>
      </c>
      <c r="BS403" s="56" t="s">
        <v>1285</v>
      </c>
      <c r="BT403" s="58"/>
      <c r="BU403" s="56" t="s">
        <v>16909</v>
      </c>
      <c r="BV403" s="58"/>
      <c r="BW403" s="58"/>
      <c r="BX403" s="67">
        <v>183.57</v>
      </c>
      <c r="BY403" s="58"/>
      <c r="BZ403" s="58"/>
      <c r="CA403" s="58"/>
      <c r="CB403" s="58"/>
      <c r="CC403" s="58"/>
      <c r="CD403" s="58"/>
    </row>
    <row r="404" ht="108" spans="1:82">
      <c r="A404" s="56" t="s">
        <v>16913</v>
      </c>
      <c r="B404" s="58"/>
      <c r="C404" s="57" t="s">
        <v>16905</v>
      </c>
      <c r="D404" s="58"/>
      <c r="E404" s="57" t="s">
        <v>15158</v>
      </c>
      <c r="F404" s="57" t="s">
        <v>16906</v>
      </c>
      <c r="G404" s="57" t="s">
        <v>15160</v>
      </c>
      <c r="H404" s="56" t="s">
        <v>3112</v>
      </c>
      <c r="I404" s="60">
        <v>938.52</v>
      </c>
      <c r="J404" s="57" t="s">
        <v>1285</v>
      </c>
      <c r="K404" s="57" t="s">
        <v>15162</v>
      </c>
      <c r="L404" s="57" t="s">
        <v>15163</v>
      </c>
      <c r="M404" s="61" t="s">
        <v>14159</v>
      </c>
      <c r="N404" s="62" t="s">
        <v>16793</v>
      </c>
      <c r="O404" s="57" t="s">
        <v>15165</v>
      </c>
      <c r="P404" s="57" t="s">
        <v>15166</v>
      </c>
      <c r="Q404" s="57" t="s">
        <v>3112</v>
      </c>
      <c r="R404" s="57" t="s">
        <v>15188</v>
      </c>
      <c r="S404" s="57" t="s">
        <v>15189</v>
      </c>
      <c r="T404" s="57" t="s">
        <v>15190</v>
      </c>
      <c r="U404" s="57" t="s">
        <v>14184</v>
      </c>
      <c r="V404" s="56" t="s">
        <v>14153</v>
      </c>
      <c r="W404" s="58"/>
      <c r="X404" s="57" t="s">
        <v>16907</v>
      </c>
      <c r="Y404" s="57" t="s">
        <v>15170</v>
      </c>
      <c r="Z404" s="61" t="s">
        <v>16389</v>
      </c>
      <c r="AA404" s="61" t="s">
        <v>14159</v>
      </c>
      <c r="AB404" s="58"/>
      <c r="AC404" s="57" t="s">
        <v>16391</v>
      </c>
      <c r="AD404" s="58"/>
      <c r="AE404" s="58"/>
      <c r="AF404" s="58"/>
      <c r="AG404" s="58"/>
      <c r="AH404" s="58"/>
      <c r="AI404" s="58"/>
      <c r="AJ404" s="58"/>
      <c r="AK404" s="56" t="s">
        <v>1285</v>
      </c>
      <c r="AL404" s="56" t="s">
        <v>16908</v>
      </c>
      <c r="AM404" s="58"/>
      <c r="AN404" s="56" t="s">
        <v>15828</v>
      </c>
      <c r="AO404" s="58"/>
      <c r="AP404" s="63">
        <v>45848.7860648148</v>
      </c>
      <c r="AQ404" s="56" t="s">
        <v>16909</v>
      </c>
      <c r="AR404" s="61" t="s">
        <v>14645</v>
      </c>
      <c r="AS404" s="57" t="s">
        <v>14184</v>
      </c>
      <c r="AT404" s="56" t="s">
        <v>15177</v>
      </c>
      <c r="AU404" s="56" t="s">
        <v>16910</v>
      </c>
      <c r="AV404" s="58"/>
      <c r="AW404" s="64">
        <v>45776.4852314815</v>
      </c>
      <c r="AX404" s="56" t="s">
        <v>16908</v>
      </c>
      <c r="AY404" s="56" t="s">
        <v>15179</v>
      </c>
      <c r="AZ404" s="58"/>
      <c r="BA404" s="58"/>
      <c r="BB404" s="58"/>
      <c r="BC404" s="56" t="s">
        <v>15196</v>
      </c>
      <c r="BD404" s="56" t="s">
        <v>15197</v>
      </c>
      <c r="BE404" s="58"/>
      <c r="BF404" s="56" t="s">
        <v>15181</v>
      </c>
      <c r="BG404" s="58"/>
      <c r="BH404" s="58"/>
      <c r="BI404" s="57" t="s">
        <v>2801</v>
      </c>
      <c r="BJ404" s="58"/>
      <c r="BK404" s="58"/>
      <c r="BL404" s="66">
        <v>3507860</v>
      </c>
      <c r="BM404" s="56" t="s">
        <v>16911</v>
      </c>
      <c r="BN404" s="58"/>
      <c r="BO404" s="67">
        <v>500</v>
      </c>
      <c r="BP404" s="56" t="s">
        <v>16395</v>
      </c>
      <c r="BQ404" s="58"/>
      <c r="BR404" s="56" t="s">
        <v>16912</v>
      </c>
      <c r="BS404" s="56" t="s">
        <v>1285</v>
      </c>
      <c r="BT404" s="58"/>
      <c r="BU404" s="56" t="s">
        <v>16909</v>
      </c>
      <c r="BV404" s="58"/>
      <c r="BW404" s="58"/>
      <c r="BX404" s="67">
        <v>500</v>
      </c>
      <c r="BY404" s="58"/>
      <c r="BZ404" s="58"/>
      <c r="CA404" s="58"/>
      <c r="CB404" s="58"/>
      <c r="CC404" s="58"/>
      <c r="CD404" s="58"/>
    </row>
    <row r="405" ht="108" spans="1:82">
      <c r="A405" s="56" t="s">
        <v>16914</v>
      </c>
      <c r="B405" s="58"/>
      <c r="C405" s="57" t="s">
        <v>16905</v>
      </c>
      <c r="D405" s="58"/>
      <c r="E405" s="57" t="s">
        <v>15158</v>
      </c>
      <c r="F405" s="57" t="s">
        <v>16906</v>
      </c>
      <c r="G405" s="57" t="s">
        <v>15160</v>
      </c>
      <c r="H405" s="56" t="s">
        <v>3112</v>
      </c>
      <c r="I405" s="60">
        <v>938.52</v>
      </c>
      <c r="J405" s="57" t="s">
        <v>1285</v>
      </c>
      <c r="K405" s="57" t="s">
        <v>15162</v>
      </c>
      <c r="L405" s="57" t="s">
        <v>15163</v>
      </c>
      <c r="M405" s="61" t="s">
        <v>14159</v>
      </c>
      <c r="N405" s="62" t="s">
        <v>16793</v>
      </c>
      <c r="O405" s="57" t="s">
        <v>15165</v>
      </c>
      <c r="P405" s="57" t="s">
        <v>15166</v>
      </c>
      <c r="Q405" s="57" t="s">
        <v>3112</v>
      </c>
      <c r="R405" s="57" t="s">
        <v>15188</v>
      </c>
      <c r="S405" s="57" t="s">
        <v>15189</v>
      </c>
      <c r="T405" s="57" t="s">
        <v>15190</v>
      </c>
      <c r="U405" s="57" t="s">
        <v>14184</v>
      </c>
      <c r="V405" s="56" t="s">
        <v>14153</v>
      </c>
      <c r="W405" s="58"/>
      <c r="X405" s="57" t="s">
        <v>16907</v>
      </c>
      <c r="Y405" s="57" t="s">
        <v>15170</v>
      </c>
      <c r="Z405" s="61" t="s">
        <v>16389</v>
      </c>
      <c r="AA405" s="61" t="s">
        <v>14159</v>
      </c>
      <c r="AB405" s="58"/>
      <c r="AC405" s="57" t="s">
        <v>16391</v>
      </c>
      <c r="AD405" s="58"/>
      <c r="AE405" s="58"/>
      <c r="AF405" s="58"/>
      <c r="AG405" s="58"/>
      <c r="AH405" s="58"/>
      <c r="AI405" s="58"/>
      <c r="AJ405" s="58"/>
      <c r="AK405" s="56" t="s">
        <v>1285</v>
      </c>
      <c r="AL405" s="56" t="s">
        <v>16908</v>
      </c>
      <c r="AM405" s="58"/>
      <c r="AN405" s="56" t="s">
        <v>15828</v>
      </c>
      <c r="AO405" s="58"/>
      <c r="AP405" s="63">
        <v>45848.7860648148</v>
      </c>
      <c r="AQ405" s="56" t="s">
        <v>16909</v>
      </c>
      <c r="AR405" s="61" t="s">
        <v>14645</v>
      </c>
      <c r="AS405" s="57" t="s">
        <v>14184</v>
      </c>
      <c r="AT405" s="56" t="s">
        <v>15177</v>
      </c>
      <c r="AU405" s="56" t="s">
        <v>16910</v>
      </c>
      <c r="AV405" s="58"/>
      <c r="AW405" s="64">
        <v>45776.4852314815</v>
      </c>
      <c r="AX405" s="56" t="s">
        <v>16908</v>
      </c>
      <c r="AY405" s="56" t="s">
        <v>15179</v>
      </c>
      <c r="AZ405" s="58"/>
      <c r="BA405" s="58"/>
      <c r="BB405" s="58"/>
      <c r="BC405" s="56" t="s">
        <v>15196</v>
      </c>
      <c r="BD405" s="56" t="s">
        <v>15197</v>
      </c>
      <c r="BE405" s="58"/>
      <c r="BF405" s="56" t="s">
        <v>15181</v>
      </c>
      <c r="BG405" s="58"/>
      <c r="BH405" s="58"/>
      <c r="BI405" s="57" t="s">
        <v>2801</v>
      </c>
      <c r="BJ405" s="58"/>
      <c r="BK405" s="58"/>
      <c r="BL405" s="66">
        <v>3507861</v>
      </c>
      <c r="BM405" s="56" t="s">
        <v>16911</v>
      </c>
      <c r="BN405" s="58"/>
      <c r="BO405" s="67">
        <v>254.95</v>
      </c>
      <c r="BP405" s="56" t="s">
        <v>16395</v>
      </c>
      <c r="BQ405" s="58"/>
      <c r="BR405" s="56" t="s">
        <v>16912</v>
      </c>
      <c r="BS405" s="56" t="s">
        <v>1285</v>
      </c>
      <c r="BT405" s="58"/>
      <c r="BU405" s="56" t="s">
        <v>16909</v>
      </c>
      <c r="BV405" s="58"/>
      <c r="BW405" s="58"/>
      <c r="BX405" s="67">
        <v>254.95</v>
      </c>
      <c r="BY405" s="58"/>
      <c r="BZ405" s="58"/>
      <c r="CA405" s="58"/>
      <c r="CB405" s="58"/>
      <c r="CC405" s="58"/>
      <c r="CD405" s="58"/>
    </row>
    <row r="406" ht="108" spans="1:82">
      <c r="A406" s="56" t="s">
        <v>16915</v>
      </c>
      <c r="B406" s="58"/>
      <c r="C406" s="57" t="s">
        <v>16916</v>
      </c>
      <c r="D406" s="58"/>
      <c r="E406" s="57" t="s">
        <v>15158</v>
      </c>
      <c r="F406" s="57" t="s">
        <v>16917</v>
      </c>
      <c r="G406" s="57" t="s">
        <v>15160</v>
      </c>
      <c r="H406" s="56" t="s">
        <v>2935</v>
      </c>
      <c r="I406" s="60">
        <v>1660</v>
      </c>
      <c r="J406" s="57" t="s">
        <v>1285</v>
      </c>
      <c r="K406" s="57" t="s">
        <v>15162</v>
      </c>
      <c r="L406" s="57" t="s">
        <v>15163</v>
      </c>
      <c r="M406" s="61" t="s">
        <v>14159</v>
      </c>
      <c r="N406" s="62" t="s">
        <v>16793</v>
      </c>
      <c r="O406" s="57" t="s">
        <v>15165</v>
      </c>
      <c r="P406" s="57" t="s">
        <v>15166</v>
      </c>
      <c r="Q406" s="57" t="s">
        <v>2935</v>
      </c>
      <c r="R406" s="57" t="s">
        <v>15594</v>
      </c>
      <c r="S406" s="57" t="s">
        <v>15595</v>
      </c>
      <c r="T406" s="57" t="s">
        <v>15190</v>
      </c>
      <c r="U406" s="57" t="s">
        <v>14184</v>
      </c>
      <c r="V406" s="56" t="s">
        <v>14153</v>
      </c>
      <c r="W406" s="58"/>
      <c r="X406" s="57" t="s">
        <v>16918</v>
      </c>
      <c r="Y406" s="57" t="s">
        <v>15170</v>
      </c>
      <c r="Z406" s="61" t="s">
        <v>16389</v>
      </c>
      <c r="AA406" s="61" t="s">
        <v>14159</v>
      </c>
      <c r="AB406" s="58"/>
      <c r="AC406" s="57" t="s">
        <v>16391</v>
      </c>
      <c r="AD406" s="58"/>
      <c r="AE406" s="58"/>
      <c r="AF406" s="58"/>
      <c r="AG406" s="58"/>
      <c r="AH406" s="58"/>
      <c r="AI406" s="58"/>
      <c r="AJ406" s="58"/>
      <c r="AK406" s="56" t="s">
        <v>1285</v>
      </c>
      <c r="AL406" s="56" t="s">
        <v>16919</v>
      </c>
      <c r="AM406" s="58"/>
      <c r="AN406" s="56" t="s">
        <v>15312</v>
      </c>
      <c r="AO406" s="58"/>
      <c r="AP406" s="63">
        <v>45848.7865740741</v>
      </c>
      <c r="AQ406" s="56" t="s">
        <v>16920</v>
      </c>
      <c r="AR406" s="61" t="s">
        <v>14645</v>
      </c>
      <c r="AS406" s="57" t="s">
        <v>14184</v>
      </c>
      <c r="AT406" s="56" t="s">
        <v>15177</v>
      </c>
      <c r="AU406" s="56" t="s">
        <v>16921</v>
      </c>
      <c r="AV406" s="58"/>
      <c r="AW406" s="64">
        <v>45776.4850115741</v>
      </c>
      <c r="AX406" s="56" t="s">
        <v>16919</v>
      </c>
      <c r="AY406" s="56" t="s">
        <v>15179</v>
      </c>
      <c r="AZ406" s="58"/>
      <c r="BA406" s="58"/>
      <c r="BB406" s="58"/>
      <c r="BC406" s="56" t="s">
        <v>2150</v>
      </c>
      <c r="BD406" s="56" t="s">
        <v>15197</v>
      </c>
      <c r="BE406" s="58"/>
      <c r="BF406" s="56" t="s">
        <v>15181</v>
      </c>
      <c r="BG406" s="58"/>
      <c r="BH406" s="58"/>
      <c r="BI406" s="57" t="s">
        <v>2801</v>
      </c>
      <c r="BJ406" s="58"/>
      <c r="BK406" s="58"/>
      <c r="BL406" s="66">
        <v>3514717</v>
      </c>
      <c r="BM406" s="56" t="s">
        <v>16922</v>
      </c>
      <c r="BN406" s="58"/>
      <c r="BO406" s="67">
        <v>160</v>
      </c>
      <c r="BP406" s="56" t="s">
        <v>16395</v>
      </c>
      <c r="BQ406" s="58"/>
      <c r="BR406" s="56" t="s">
        <v>16923</v>
      </c>
      <c r="BS406" s="56" t="s">
        <v>1285</v>
      </c>
      <c r="BT406" s="58"/>
      <c r="BU406" s="56" t="s">
        <v>16920</v>
      </c>
      <c r="BV406" s="58"/>
      <c r="BW406" s="58"/>
      <c r="BX406" s="67">
        <v>160</v>
      </c>
      <c r="BY406" s="58"/>
      <c r="BZ406" s="58"/>
      <c r="CA406" s="58"/>
      <c r="CB406" s="58"/>
      <c r="CC406" s="58"/>
      <c r="CD406" s="58"/>
    </row>
    <row r="407" ht="108" spans="1:82">
      <c r="A407" s="56" t="s">
        <v>16924</v>
      </c>
      <c r="B407" s="58"/>
      <c r="C407" s="57" t="s">
        <v>16916</v>
      </c>
      <c r="D407" s="58"/>
      <c r="E407" s="57" t="s">
        <v>15158</v>
      </c>
      <c r="F407" s="57" t="s">
        <v>16917</v>
      </c>
      <c r="G407" s="57" t="s">
        <v>15160</v>
      </c>
      <c r="H407" s="56" t="s">
        <v>2935</v>
      </c>
      <c r="I407" s="60">
        <v>1660</v>
      </c>
      <c r="J407" s="57" t="s">
        <v>1285</v>
      </c>
      <c r="K407" s="57" t="s">
        <v>15162</v>
      </c>
      <c r="L407" s="57" t="s">
        <v>15163</v>
      </c>
      <c r="M407" s="61" t="s">
        <v>14159</v>
      </c>
      <c r="N407" s="62" t="s">
        <v>16793</v>
      </c>
      <c r="O407" s="57" t="s">
        <v>15165</v>
      </c>
      <c r="P407" s="57" t="s">
        <v>15166</v>
      </c>
      <c r="Q407" s="57" t="s">
        <v>2935</v>
      </c>
      <c r="R407" s="57" t="s">
        <v>15594</v>
      </c>
      <c r="S407" s="57" t="s">
        <v>15595</v>
      </c>
      <c r="T407" s="57" t="s">
        <v>15190</v>
      </c>
      <c r="U407" s="57" t="s">
        <v>14184</v>
      </c>
      <c r="V407" s="56" t="s">
        <v>14153</v>
      </c>
      <c r="W407" s="58"/>
      <c r="X407" s="57" t="s">
        <v>16918</v>
      </c>
      <c r="Y407" s="57" t="s">
        <v>15170</v>
      </c>
      <c r="Z407" s="61" t="s">
        <v>16389</v>
      </c>
      <c r="AA407" s="61" t="s">
        <v>14159</v>
      </c>
      <c r="AB407" s="58"/>
      <c r="AC407" s="57" t="s">
        <v>16391</v>
      </c>
      <c r="AD407" s="58"/>
      <c r="AE407" s="58"/>
      <c r="AF407" s="58"/>
      <c r="AG407" s="58"/>
      <c r="AH407" s="58"/>
      <c r="AI407" s="58"/>
      <c r="AJ407" s="58"/>
      <c r="AK407" s="56" t="s">
        <v>1285</v>
      </c>
      <c r="AL407" s="56" t="s">
        <v>16919</v>
      </c>
      <c r="AM407" s="58"/>
      <c r="AN407" s="56" t="s">
        <v>15312</v>
      </c>
      <c r="AO407" s="58"/>
      <c r="AP407" s="63">
        <v>45848.7865740741</v>
      </c>
      <c r="AQ407" s="56" t="s">
        <v>16920</v>
      </c>
      <c r="AR407" s="61" t="s">
        <v>14645</v>
      </c>
      <c r="AS407" s="57" t="s">
        <v>14184</v>
      </c>
      <c r="AT407" s="56" t="s">
        <v>15177</v>
      </c>
      <c r="AU407" s="56" t="s">
        <v>16921</v>
      </c>
      <c r="AV407" s="58"/>
      <c r="AW407" s="64">
        <v>45776.4850115741</v>
      </c>
      <c r="AX407" s="56" t="s">
        <v>16919</v>
      </c>
      <c r="AY407" s="56" t="s">
        <v>15179</v>
      </c>
      <c r="AZ407" s="58"/>
      <c r="BA407" s="58"/>
      <c r="BB407" s="58"/>
      <c r="BC407" s="56" t="s">
        <v>16925</v>
      </c>
      <c r="BD407" s="56" t="s">
        <v>15197</v>
      </c>
      <c r="BE407" s="58"/>
      <c r="BF407" s="56" t="s">
        <v>15181</v>
      </c>
      <c r="BG407" s="58"/>
      <c r="BH407" s="58"/>
      <c r="BI407" s="57" t="s">
        <v>2801</v>
      </c>
      <c r="BJ407" s="58"/>
      <c r="BK407" s="58"/>
      <c r="BL407" s="66">
        <v>3515423</v>
      </c>
      <c r="BM407" s="56" t="s">
        <v>16926</v>
      </c>
      <c r="BN407" s="58"/>
      <c r="BO407" s="67">
        <v>1500</v>
      </c>
      <c r="BP407" s="56" t="s">
        <v>16395</v>
      </c>
      <c r="BQ407" s="58"/>
      <c r="BR407" s="56" t="s">
        <v>16923</v>
      </c>
      <c r="BS407" s="56" t="s">
        <v>1285</v>
      </c>
      <c r="BT407" s="58"/>
      <c r="BU407" s="56" t="s">
        <v>16920</v>
      </c>
      <c r="BV407" s="58"/>
      <c r="BW407" s="58"/>
      <c r="BX407" s="67">
        <v>1500</v>
      </c>
      <c r="BY407" s="58"/>
      <c r="BZ407" s="58"/>
      <c r="CA407" s="58"/>
      <c r="CB407" s="58"/>
      <c r="CC407" s="58"/>
      <c r="CD407" s="58"/>
    </row>
    <row r="408" ht="108" spans="1:82">
      <c r="A408" s="56" t="s">
        <v>16927</v>
      </c>
      <c r="B408" s="58"/>
      <c r="C408" s="57" t="s">
        <v>16928</v>
      </c>
      <c r="D408" s="58"/>
      <c r="E408" s="57" t="s">
        <v>15158</v>
      </c>
      <c r="F408" s="57" t="s">
        <v>16929</v>
      </c>
      <c r="G408" s="57" t="s">
        <v>15160</v>
      </c>
      <c r="H408" s="56" t="s">
        <v>2999</v>
      </c>
      <c r="I408" s="60">
        <v>270</v>
      </c>
      <c r="J408" s="57" t="s">
        <v>1285</v>
      </c>
      <c r="K408" s="57" t="s">
        <v>15162</v>
      </c>
      <c r="L408" s="57" t="s">
        <v>15163</v>
      </c>
      <c r="M408" s="61" t="s">
        <v>14159</v>
      </c>
      <c r="N408" s="62" t="s">
        <v>16793</v>
      </c>
      <c r="O408" s="57" t="s">
        <v>15165</v>
      </c>
      <c r="P408" s="57" t="s">
        <v>15166</v>
      </c>
      <c r="Q408" s="57" t="s">
        <v>2999</v>
      </c>
      <c r="R408" s="57" t="s">
        <v>15219</v>
      </c>
      <c r="S408" s="57" t="s">
        <v>15220</v>
      </c>
      <c r="T408" s="57" t="s">
        <v>15190</v>
      </c>
      <c r="U408" s="57" t="s">
        <v>14184</v>
      </c>
      <c r="V408" s="56" t="s">
        <v>14153</v>
      </c>
      <c r="W408" s="58"/>
      <c r="X408" s="57" t="s">
        <v>16930</v>
      </c>
      <c r="Y408" s="57" t="s">
        <v>15170</v>
      </c>
      <c r="Z408" s="61" t="s">
        <v>16389</v>
      </c>
      <c r="AA408" s="61" t="s">
        <v>14159</v>
      </c>
      <c r="AB408" s="58"/>
      <c r="AC408" s="57" t="s">
        <v>16391</v>
      </c>
      <c r="AD408" s="58"/>
      <c r="AE408" s="58"/>
      <c r="AF408" s="58"/>
      <c r="AG408" s="58"/>
      <c r="AH408" s="58"/>
      <c r="AI408" s="58"/>
      <c r="AJ408" s="58"/>
      <c r="AK408" s="56" t="s">
        <v>1285</v>
      </c>
      <c r="AL408" s="56" t="s">
        <v>16931</v>
      </c>
      <c r="AM408" s="58"/>
      <c r="AN408" s="56" t="s">
        <v>16160</v>
      </c>
      <c r="AO408" s="58"/>
      <c r="AP408" s="63">
        <v>45848.7932986111</v>
      </c>
      <c r="AQ408" s="56" t="s">
        <v>16932</v>
      </c>
      <c r="AR408" s="61" t="s">
        <v>14645</v>
      </c>
      <c r="AS408" s="57" t="s">
        <v>14184</v>
      </c>
      <c r="AT408" s="56" t="s">
        <v>15177</v>
      </c>
      <c r="AU408" s="56" t="s">
        <v>16933</v>
      </c>
      <c r="AV408" s="58"/>
      <c r="AW408" s="64">
        <v>45776.4846296296</v>
      </c>
      <c r="AX408" s="56" t="s">
        <v>16931</v>
      </c>
      <c r="AY408" s="56" t="s">
        <v>15179</v>
      </c>
      <c r="AZ408" s="58"/>
      <c r="BA408" s="58"/>
      <c r="BB408" s="58"/>
      <c r="BC408" s="56" t="s">
        <v>2131</v>
      </c>
      <c r="BD408" s="56" t="s">
        <v>15197</v>
      </c>
      <c r="BE408" s="56" t="s">
        <v>15690</v>
      </c>
      <c r="BF408" s="56" t="s">
        <v>15181</v>
      </c>
      <c r="BG408" s="58"/>
      <c r="BH408" s="58"/>
      <c r="BI408" s="57" t="s">
        <v>2801</v>
      </c>
      <c r="BJ408" s="58"/>
      <c r="BK408" s="58"/>
      <c r="BL408" s="66">
        <v>3514716</v>
      </c>
      <c r="BM408" s="56" t="s">
        <v>16934</v>
      </c>
      <c r="BN408" s="58"/>
      <c r="BO408" s="67">
        <v>270</v>
      </c>
      <c r="BP408" s="56" t="s">
        <v>16395</v>
      </c>
      <c r="BQ408" s="58"/>
      <c r="BR408" s="56" t="s">
        <v>16935</v>
      </c>
      <c r="BS408" s="56" t="s">
        <v>1285</v>
      </c>
      <c r="BT408" s="58"/>
      <c r="BU408" s="56" t="s">
        <v>16932</v>
      </c>
      <c r="BV408" s="58"/>
      <c r="BW408" s="58"/>
      <c r="BX408" s="67">
        <v>270</v>
      </c>
      <c r="BY408" s="56" t="s">
        <v>1285</v>
      </c>
      <c r="BZ408" s="58"/>
      <c r="CA408" s="58"/>
      <c r="CB408" s="58"/>
      <c r="CC408" s="58"/>
      <c r="CD408" s="58"/>
    </row>
    <row r="409" ht="108" spans="1:82">
      <c r="A409" s="56" t="s">
        <v>16936</v>
      </c>
      <c r="B409" s="58"/>
      <c r="C409" s="57" t="s">
        <v>16937</v>
      </c>
      <c r="D409" s="58"/>
      <c r="E409" s="57" t="s">
        <v>15158</v>
      </c>
      <c r="F409" s="57" t="s">
        <v>16938</v>
      </c>
      <c r="G409" s="57" t="s">
        <v>15160</v>
      </c>
      <c r="H409" s="56" t="s">
        <v>4377</v>
      </c>
      <c r="I409" s="60">
        <v>36528</v>
      </c>
      <c r="J409" s="58"/>
      <c r="K409" s="58"/>
      <c r="L409" s="57" t="s">
        <v>14203</v>
      </c>
      <c r="M409" s="61" t="s">
        <v>16939</v>
      </c>
      <c r="N409" s="62" t="s">
        <v>16939</v>
      </c>
      <c r="O409" s="57" t="s">
        <v>15165</v>
      </c>
      <c r="P409" s="57" t="s">
        <v>15166</v>
      </c>
      <c r="Q409" s="57" t="s">
        <v>4377</v>
      </c>
      <c r="R409" s="57" t="s">
        <v>16940</v>
      </c>
      <c r="S409" s="57" t="s">
        <v>16941</v>
      </c>
      <c r="T409" s="57" t="s">
        <v>15190</v>
      </c>
      <c r="U409" s="57" t="s">
        <v>14184</v>
      </c>
      <c r="V409" s="56" t="s">
        <v>14153</v>
      </c>
      <c r="W409" s="58"/>
      <c r="X409" s="57" t="s">
        <v>16942</v>
      </c>
      <c r="Y409" s="58"/>
      <c r="Z409" s="61" t="s">
        <v>14573</v>
      </c>
      <c r="AA409" s="58"/>
      <c r="AB409" s="58"/>
      <c r="AC409" s="58"/>
      <c r="AD409" s="58"/>
      <c r="AE409" s="58"/>
      <c r="AF409" s="58"/>
      <c r="AG409" s="58"/>
      <c r="AH409" s="58"/>
      <c r="AI409" s="58"/>
      <c r="AJ409" s="58"/>
      <c r="AK409" s="58"/>
      <c r="AL409" s="58"/>
      <c r="AM409" s="58"/>
      <c r="AN409" s="58"/>
      <c r="AO409" s="58"/>
      <c r="AP409" s="63">
        <v>45847.6149652778</v>
      </c>
      <c r="AQ409" s="58"/>
      <c r="AR409" s="58"/>
      <c r="AS409" s="57" t="s">
        <v>14184</v>
      </c>
      <c r="AT409" s="56" t="s">
        <v>15177</v>
      </c>
      <c r="AU409" s="58"/>
      <c r="AV409" s="58"/>
      <c r="AW409" s="64">
        <v>45847.5900810185</v>
      </c>
      <c r="AX409" s="58"/>
      <c r="AY409" s="56" t="s">
        <v>15179</v>
      </c>
      <c r="AZ409" s="58"/>
      <c r="BA409" s="58"/>
      <c r="BB409" s="58"/>
      <c r="BC409" s="56" t="s">
        <v>3124</v>
      </c>
      <c r="BD409" s="56" t="s">
        <v>15353</v>
      </c>
      <c r="BE409" s="56" t="s">
        <v>2864</v>
      </c>
      <c r="BF409" s="56" t="s">
        <v>15181</v>
      </c>
      <c r="BG409" s="58"/>
      <c r="BH409" s="58"/>
      <c r="BI409" s="57" t="s">
        <v>2801</v>
      </c>
      <c r="BJ409" s="58"/>
      <c r="BK409" s="58"/>
      <c r="BL409" s="66">
        <v>3430544</v>
      </c>
      <c r="BM409" s="56" t="s">
        <v>16943</v>
      </c>
      <c r="BN409" s="67">
        <v>36528</v>
      </c>
      <c r="BO409" s="58"/>
      <c r="BP409" s="58"/>
      <c r="BQ409" s="58"/>
      <c r="BR409" s="56" t="s">
        <v>16944</v>
      </c>
      <c r="BS409" s="56" t="s">
        <v>1285</v>
      </c>
      <c r="BT409" s="58"/>
      <c r="BU409" s="58"/>
      <c r="BV409" s="58"/>
      <c r="BW409" s="58"/>
      <c r="BX409" s="67">
        <v>36528</v>
      </c>
      <c r="BY409" s="58"/>
      <c r="BZ409" s="58"/>
      <c r="CA409" s="58"/>
      <c r="CB409" s="58"/>
      <c r="CC409" s="58"/>
      <c r="CD409" s="58"/>
    </row>
    <row r="410" ht="121.5" spans="1:82">
      <c r="A410" s="56" t="s">
        <v>16945</v>
      </c>
      <c r="B410" s="58"/>
      <c r="C410" s="57" t="s">
        <v>16946</v>
      </c>
      <c r="D410" s="58"/>
      <c r="E410" s="57" t="s">
        <v>15158</v>
      </c>
      <c r="F410" s="57" t="s">
        <v>16947</v>
      </c>
      <c r="G410" s="57" t="s">
        <v>15160</v>
      </c>
      <c r="H410" s="56" t="s">
        <v>2935</v>
      </c>
      <c r="I410" s="60">
        <v>24506.84</v>
      </c>
      <c r="J410" s="58"/>
      <c r="K410" s="58"/>
      <c r="L410" s="57" t="s">
        <v>14203</v>
      </c>
      <c r="M410" s="61" t="s">
        <v>16438</v>
      </c>
      <c r="N410" s="62" t="s">
        <v>16438</v>
      </c>
      <c r="O410" s="57" t="s">
        <v>15165</v>
      </c>
      <c r="P410" s="57" t="s">
        <v>15166</v>
      </c>
      <c r="Q410" s="57" t="s">
        <v>2935</v>
      </c>
      <c r="R410" s="57" t="s">
        <v>15594</v>
      </c>
      <c r="S410" s="57" t="s">
        <v>15595</v>
      </c>
      <c r="T410" s="57" t="s">
        <v>15190</v>
      </c>
      <c r="U410" s="57" t="s">
        <v>14184</v>
      </c>
      <c r="V410" s="56" t="s">
        <v>14153</v>
      </c>
      <c r="W410" s="58"/>
      <c r="X410" s="57" t="s">
        <v>16948</v>
      </c>
      <c r="Y410" s="58"/>
      <c r="Z410" s="61" t="s">
        <v>16949</v>
      </c>
      <c r="AA410" s="58"/>
      <c r="AB410" s="58"/>
      <c r="AC410" s="58"/>
      <c r="AD410" s="58"/>
      <c r="AE410" s="58"/>
      <c r="AF410" s="58"/>
      <c r="AG410" s="58"/>
      <c r="AH410" s="58"/>
      <c r="AI410" s="58"/>
      <c r="AJ410" s="58"/>
      <c r="AK410" s="58"/>
      <c r="AL410" s="58"/>
      <c r="AM410" s="58"/>
      <c r="AN410" s="58"/>
      <c r="AO410" s="58"/>
      <c r="AP410" s="63">
        <v>45846.6086226852</v>
      </c>
      <c r="AQ410" s="58"/>
      <c r="AR410" s="58"/>
      <c r="AS410" s="57" t="s">
        <v>14184</v>
      </c>
      <c r="AT410" s="56" t="s">
        <v>15177</v>
      </c>
      <c r="AU410" s="58"/>
      <c r="AV410" s="58"/>
      <c r="AW410" s="64">
        <v>45846.6063078704</v>
      </c>
      <c r="AX410" s="58"/>
      <c r="AY410" s="56" t="s">
        <v>15179</v>
      </c>
      <c r="AZ410" s="58"/>
      <c r="BA410" s="58"/>
      <c r="BB410" s="58"/>
      <c r="BC410" s="56" t="s">
        <v>15213</v>
      </c>
      <c r="BD410" s="56" t="s">
        <v>15197</v>
      </c>
      <c r="BE410" s="58"/>
      <c r="BF410" s="56" t="s">
        <v>15181</v>
      </c>
      <c r="BG410" s="58"/>
      <c r="BH410" s="58"/>
      <c r="BI410" s="57" t="s">
        <v>2801</v>
      </c>
      <c r="BJ410" s="58"/>
      <c r="BK410" s="58"/>
      <c r="BL410" s="66">
        <v>3599711</v>
      </c>
      <c r="BM410" s="56" t="s">
        <v>16950</v>
      </c>
      <c r="BN410" s="67">
        <v>4207.9</v>
      </c>
      <c r="BO410" s="58"/>
      <c r="BP410" s="58"/>
      <c r="BQ410" s="58"/>
      <c r="BR410" s="56" t="s">
        <v>16951</v>
      </c>
      <c r="BS410" s="56" t="s">
        <v>1285</v>
      </c>
      <c r="BT410" s="58"/>
      <c r="BU410" s="58"/>
      <c r="BV410" s="58"/>
      <c r="BW410" s="58"/>
      <c r="BX410" s="67">
        <v>4207.9</v>
      </c>
      <c r="BY410" s="58"/>
      <c r="BZ410" s="58"/>
      <c r="CA410" s="58"/>
      <c r="CB410" s="58"/>
      <c r="CC410" s="58"/>
      <c r="CD410" s="58"/>
    </row>
    <row r="411" ht="121.5" spans="1:82">
      <c r="A411" s="56" t="s">
        <v>16952</v>
      </c>
      <c r="B411" s="58"/>
      <c r="C411" s="57" t="s">
        <v>16946</v>
      </c>
      <c r="D411" s="58"/>
      <c r="E411" s="57" t="s">
        <v>15158</v>
      </c>
      <c r="F411" s="57" t="s">
        <v>16947</v>
      </c>
      <c r="G411" s="57" t="s">
        <v>15160</v>
      </c>
      <c r="H411" s="56" t="s">
        <v>2935</v>
      </c>
      <c r="I411" s="60">
        <v>24506.84</v>
      </c>
      <c r="J411" s="58"/>
      <c r="K411" s="58"/>
      <c r="L411" s="57" t="s">
        <v>14203</v>
      </c>
      <c r="M411" s="61" t="s">
        <v>16438</v>
      </c>
      <c r="N411" s="62" t="s">
        <v>16438</v>
      </c>
      <c r="O411" s="57" t="s">
        <v>15165</v>
      </c>
      <c r="P411" s="57" t="s">
        <v>15166</v>
      </c>
      <c r="Q411" s="57" t="s">
        <v>2935</v>
      </c>
      <c r="R411" s="57" t="s">
        <v>15594</v>
      </c>
      <c r="S411" s="57" t="s">
        <v>15595</v>
      </c>
      <c r="T411" s="57" t="s">
        <v>15190</v>
      </c>
      <c r="U411" s="57" t="s">
        <v>14184</v>
      </c>
      <c r="V411" s="56" t="s">
        <v>14153</v>
      </c>
      <c r="W411" s="58"/>
      <c r="X411" s="57" t="s">
        <v>16948</v>
      </c>
      <c r="Y411" s="58"/>
      <c r="Z411" s="61" t="s">
        <v>16949</v>
      </c>
      <c r="AA411" s="58"/>
      <c r="AB411" s="58"/>
      <c r="AC411" s="58"/>
      <c r="AD411" s="58"/>
      <c r="AE411" s="58"/>
      <c r="AF411" s="58"/>
      <c r="AG411" s="58"/>
      <c r="AH411" s="58"/>
      <c r="AI411" s="58"/>
      <c r="AJ411" s="58"/>
      <c r="AK411" s="58"/>
      <c r="AL411" s="58"/>
      <c r="AM411" s="58"/>
      <c r="AN411" s="58"/>
      <c r="AO411" s="58"/>
      <c r="AP411" s="63">
        <v>45846.6086226852</v>
      </c>
      <c r="AQ411" s="58"/>
      <c r="AR411" s="58"/>
      <c r="AS411" s="57" t="s">
        <v>14184</v>
      </c>
      <c r="AT411" s="56" t="s">
        <v>15177</v>
      </c>
      <c r="AU411" s="58"/>
      <c r="AV411" s="58"/>
      <c r="AW411" s="64">
        <v>45846.6063078704</v>
      </c>
      <c r="AX411" s="58"/>
      <c r="AY411" s="56" t="s">
        <v>15179</v>
      </c>
      <c r="AZ411" s="58"/>
      <c r="BA411" s="58"/>
      <c r="BB411" s="58"/>
      <c r="BC411" s="56" t="s">
        <v>15965</v>
      </c>
      <c r="BD411" s="56" t="s">
        <v>15197</v>
      </c>
      <c r="BE411" s="58"/>
      <c r="BF411" s="56" t="s">
        <v>15181</v>
      </c>
      <c r="BG411" s="58"/>
      <c r="BH411" s="58"/>
      <c r="BI411" s="57" t="s">
        <v>2801</v>
      </c>
      <c r="BJ411" s="58"/>
      <c r="BK411" s="58"/>
      <c r="BL411" s="66">
        <v>3599713</v>
      </c>
      <c r="BM411" s="56" t="s">
        <v>16953</v>
      </c>
      <c r="BN411" s="67">
        <v>14505</v>
      </c>
      <c r="BO411" s="58"/>
      <c r="BP411" s="58"/>
      <c r="BQ411" s="58"/>
      <c r="BR411" s="56" t="s">
        <v>16951</v>
      </c>
      <c r="BS411" s="56" t="s">
        <v>1285</v>
      </c>
      <c r="BT411" s="58"/>
      <c r="BU411" s="58"/>
      <c r="BV411" s="58"/>
      <c r="BW411" s="58"/>
      <c r="BX411" s="67">
        <v>14505</v>
      </c>
      <c r="BY411" s="58"/>
      <c r="BZ411" s="58"/>
      <c r="CA411" s="58"/>
      <c r="CB411" s="58"/>
      <c r="CC411" s="58"/>
      <c r="CD411" s="58"/>
    </row>
    <row r="412" ht="121.5" spans="1:82">
      <c r="A412" s="56" t="s">
        <v>16954</v>
      </c>
      <c r="B412" s="58"/>
      <c r="C412" s="57" t="s">
        <v>16946</v>
      </c>
      <c r="D412" s="58"/>
      <c r="E412" s="57" t="s">
        <v>15158</v>
      </c>
      <c r="F412" s="57" t="s">
        <v>16947</v>
      </c>
      <c r="G412" s="57" t="s">
        <v>15160</v>
      </c>
      <c r="H412" s="56" t="s">
        <v>2935</v>
      </c>
      <c r="I412" s="60">
        <v>24506.84</v>
      </c>
      <c r="J412" s="58"/>
      <c r="K412" s="58"/>
      <c r="L412" s="57" t="s">
        <v>14203</v>
      </c>
      <c r="M412" s="61" t="s">
        <v>16438</v>
      </c>
      <c r="N412" s="62" t="s">
        <v>16438</v>
      </c>
      <c r="O412" s="57" t="s">
        <v>15165</v>
      </c>
      <c r="P412" s="57" t="s">
        <v>15166</v>
      </c>
      <c r="Q412" s="57" t="s">
        <v>2935</v>
      </c>
      <c r="R412" s="57" t="s">
        <v>15594</v>
      </c>
      <c r="S412" s="57" t="s">
        <v>15595</v>
      </c>
      <c r="T412" s="57" t="s">
        <v>15190</v>
      </c>
      <c r="U412" s="57" t="s">
        <v>14184</v>
      </c>
      <c r="V412" s="56" t="s">
        <v>14153</v>
      </c>
      <c r="W412" s="58"/>
      <c r="X412" s="57" t="s">
        <v>16948</v>
      </c>
      <c r="Y412" s="58"/>
      <c r="Z412" s="61" t="s">
        <v>16949</v>
      </c>
      <c r="AA412" s="58"/>
      <c r="AB412" s="58"/>
      <c r="AC412" s="58"/>
      <c r="AD412" s="58"/>
      <c r="AE412" s="58"/>
      <c r="AF412" s="58"/>
      <c r="AG412" s="58"/>
      <c r="AH412" s="58"/>
      <c r="AI412" s="58"/>
      <c r="AJ412" s="58"/>
      <c r="AK412" s="58"/>
      <c r="AL412" s="58"/>
      <c r="AM412" s="58"/>
      <c r="AN412" s="58"/>
      <c r="AO412" s="58"/>
      <c r="AP412" s="63">
        <v>45846.6086226852</v>
      </c>
      <c r="AQ412" s="58"/>
      <c r="AR412" s="58"/>
      <c r="AS412" s="57" t="s">
        <v>14184</v>
      </c>
      <c r="AT412" s="56" t="s">
        <v>15177</v>
      </c>
      <c r="AU412" s="58"/>
      <c r="AV412" s="58"/>
      <c r="AW412" s="64">
        <v>45846.6063078704</v>
      </c>
      <c r="AX412" s="58"/>
      <c r="AY412" s="56" t="s">
        <v>15179</v>
      </c>
      <c r="AZ412" s="58"/>
      <c r="BA412" s="58"/>
      <c r="BB412" s="58"/>
      <c r="BC412" s="56" t="s">
        <v>15965</v>
      </c>
      <c r="BD412" s="56" t="s">
        <v>15197</v>
      </c>
      <c r="BE412" s="58"/>
      <c r="BF412" s="56" t="s">
        <v>15181</v>
      </c>
      <c r="BG412" s="58"/>
      <c r="BH412" s="58"/>
      <c r="BI412" s="57" t="s">
        <v>2801</v>
      </c>
      <c r="BJ412" s="58"/>
      <c r="BK412" s="58"/>
      <c r="BL412" s="66">
        <v>3612686</v>
      </c>
      <c r="BM412" s="56" t="s">
        <v>16955</v>
      </c>
      <c r="BN412" s="67">
        <v>5793.94</v>
      </c>
      <c r="BO412" s="58"/>
      <c r="BP412" s="58"/>
      <c r="BQ412" s="58"/>
      <c r="BR412" s="56" t="s">
        <v>16951</v>
      </c>
      <c r="BS412" s="56" t="s">
        <v>1285</v>
      </c>
      <c r="BT412" s="58"/>
      <c r="BU412" s="58"/>
      <c r="BV412" s="58"/>
      <c r="BW412" s="58"/>
      <c r="BX412" s="67">
        <v>5793.94</v>
      </c>
      <c r="BY412" s="58"/>
      <c r="BZ412" s="58"/>
      <c r="CA412" s="58"/>
      <c r="CB412" s="58"/>
      <c r="CC412" s="58"/>
      <c r="CD412" s="58"/>
    </row>
    <row r="413" ht="108" spans="1:82">
      <c r="A413" s="56" t="s">
        <v>16956</v>
      </c>
      <c r="B413" s="58"/>
      <c r="C413" s="57" t="s">
        <v>16957</v>
      </c>
      <c r="D413" s="58"/>
      <c r="E413" s="57" t="s">
        <v>15158</v>
      </c>
      <c r="F413" s="57" t="s">
        <v>16958</v>
      </c>
      <c r="G413" s="57" t="s">
        <v>15160</v>
      </c>
      <c r="H413" s="56" t="s">
        <v>2928</v>
      </c>
      <c r="I413" s="60">
        <v>3891.5</v>
      </c>
      <c r="J413" s="58"/>
      <c r="K413" s="58"/>
      <c r="L413" s="57" t="s">
        <v>14203</v>
      </c>
      <c r="M413" s="61" t="s">
        <v>16389</v>
      </c>
      <c r="N413" s="62" t="s">
        <v>16389</v>
      </c>
      <c r="O413" s="57" t="s">
        <v>15165</v>
      </c>
      <c r="P413" s="57" t="s">
        <v>15166</v>
      </c>
      <c r="Q413" s="57" t="s">
        <v>2928</v>
      </c>
      <c r="R413" s="57" t="s">
        <v>16023</v>
      </c>
      <c r="S413" s="57" t="s">
        <v>16024</v>
      </c>
      <c r="T413" s="57" t="s">
        <v>15190</v>
      </c>
      <c r="U413" s="57" t="s">
        <v>14184</v>
      </c>
      <c r="V413" s="56" t="s">
        <v>14153</v>
      </c>
      <c r="W413" s="58"/>
      <c r="X413" s="57" t="s">
        <v>16959</v>
      </c>
      <c r="Y413" s="58"/>
      <c r="Z413" s="61" t="s">
        <v>16438</v>
      </c>
      <c r="AA413" s="58"/>
      <c r="AB413" s="58"/>
      <c r="AC413" s="58"/>
      <c r="AD413" s="58"/>
      <c r="AE413" s="58"/>
      <c r="AF413" s="58"/>
      <c r="AG413" s="58"/>
      <c r="AH413" s="58"/>
      <c r="AI413" s="58"/>
      <c r="AJ413" s="58"/>
      <c r="AK413" s="58"/>
      <c r="AL413" s="58"/>
      <c r="AM413" s="58"/>
      <c r="AN413" s="58"/>
      <c r="AO413" s="58"/>
      <c r="AP413" s="63">
        <v>45841.642025463</v>
      </c>
      <c r="AQ413" s="58"/>
      <c r="AR413" s="58"/>
      <c r="AS413" s="57" t="s">
        <v>14184</v>
      </c>
      <c r="AT413" s="56" t="s">
        <v>15177</v>
      </c>
      <c r="AU413" s="58"/>
      <c r="AV413" s="58"/>
      <c r="AW413" s="64">
        <v>45841.6392824074</v>
      </c>
      <c r="AX413" s="58"/>
      <c r="AY413" s="56" t="s">
        <v>15179</v>
      </c>
      <c r="AZ413" s="58"/>
      <c r="BA413" s="58"/>
      <c r="BB413" s="58"/>
      <c r="BC413" s="56" t="s">
        <v>15965</v>
      </c>
      <c r="BD413" s="56" t="s">
        <v>15197</v>
      </c>
      <c r="BE413" s="58"/>
      <c r="BF413" s="56" t="s">
        <v>15181</v>
      </c>
      <c r="BG413" s="58"/>
      <c r="BH413" s="58"/>
      <c r="BI413" s="57" t="s">
        <v>2801</v>
      </c>
      <c r="BJ413" s="58"/>
      <c r="BK413" s="58"/>
      <c r="BL413" s="66">
        <v>3612687</v>
      </c>
      <c r="BM413" s="56" t="s">
        <v>16960</v>
      </c>
      <c r="BN413" s="67">
        <v>3891.5</v>
      </c>
      <c r="BO413" s="58"/>
      <c r="BP413" s="58"/>
      <c r="BQ413" s="58"/>
      <c r="BR413" s="56" t="s">
        <v>16961</v>
      </c>
      <c r="BS413" s="56" t="s">
        <v>1285</v>
      </c>
      <c r="BT413" s="58"/>
      <c r="BU413" s="58"/>
      <c r="BV413" s="58"/>
      <c r="BW413" s="58"/>
      <c r="BX413" s="67">
        <v>3891.5</v>
      </c>
      <c r="BY413" s="58"/>
      <c r="BZ413" s="58"/>
      <c r="CA413" s="58"/>
      <c r="CB413" s="58"/>
      <c r="CC413" s="58"/>
      <c r="CD413" s="58"/>
    </row>
    <row r="414" ht="108" spans="1:82">
      <c r="A414" s="56" t="s">
        <v>16962</v>
      </c>
      <c r="B414" s="58"/>
      <c r="C414" s="57" t="s">
        <v>16963</v>
      </c>
      <c r="D414" s="58"/>
      <c r="E414" s="57" t="s">
        <v>15158</v>
      </c>
      <c r="F414" s="57" t="s">
        <v>16964</v>
      </c>
      <c r="G414" s="57" t="s">
        <v>15160</v>
      </c>
      <c r="H414" s="56" t="s">
        <v>2965</v>
      </c>
      <c r="I414" s="60">
        <v>7587.61</v>
      </c>
      <c r="J414" s="58"/>
      <c r="K414" s="58"/>
      <c r="L414" s="57" t="s">
        <v>14203</v>
      </c>
      <c r="M414" s="61" t="s">
        <v>14220</v>
      </c>
      <c r="N414" s="62" t="s">
        <v>14220</v>
      </c>
      <c r="O414" s="57" t="s">
        <v>15165</v>
      </c>
      <c r="P414" s="57" t="s">
        <v>15166</v>
      </c>
      <c r="Q414" s="57" t="s">
        <v>2965</v>
      </c>
      <c r="R414" s="57" t="s">
        <v>15606</v>
      </c>
      <c r="S414" s="57" t="s">
        <v>15607</v>
      </c>
      <c r="T414" s="57" t="s">
        <v>15190</v>
      </c>
      <c r="U414" s="57" t="s">
        <v>14184</v>
      </c>
      <c r="V414" s="56" t="s">
        <v>14153</v>
      </c>
      <c r="W414" s="58"/>
      <c r="X414" s="57" t="s">
        <v>16965</v>
      </c>
      <c r="Y414" s="58"/>
      <c r="Z414" s="61" t="s">
        <v>16438</v>
      </c>
      <c r="AA414" s="58"/>
      <c r="AB414" s="58"/>
      <c r="AC414" s="58"/>
      <c r="AD414" s="58"/>
      <c r="AE414" s="58"/>
      <c r="AF414" s="58"/>
      <c r="AG414" s="58"/>
      <c r="AH414" s="58"/>
      <c r="AI414" s="58"/>
      <c r="AJ414" s="58"/>
      <c r="AK414" s="58"/>
      <c r="AL414" s="58"/>
      <c r="AM414" s="58"/>
      <c r="AN414" s="58"/>
      <c r="AO414" s="58"/>
      <c r="AP414" s="63">
        <v>45841.764212963</v>
      </c>
      <c r="AQ414" s="58"/>
      <c r="AR414" s="58"/>
      <c r="AS414" s="57" t="s">
        <v>14184</v>
      </c>
      <c r="AT414" s="56" t="s">
        <v>15177</v>
      </c>
      <c r="AU414" s="58"/>
      <c r="AV414" s="58"/>
      <c r="AW414" s="64">
        <v>45841.7616782407</v>
      </c>
      <c r="AX414" s="58"/>
      <c r="AY414" s="56" t="s">
        <v>15179</v>
      </c>
      <c r="AZ414" s="58"/>
      <c r="BA414" s="58"/>
      <c r="BB414" s="58"/>
      <c r="BC414" s="56" t="s">
        <v>2136</v>
      </c>
      <c r="BD414" s="56" t="s">
        <v>15197</v>
      </c>
      <c r="BE414" s="56" t="s">
        <v>15613</v>
      </c>
      <c r="BF414" s="56" t="s">
        <v>15181</v>
      </c>
      <c r="BG414" s="58"/>
      <c r="BH414" s="58"/>
      <c r="BI414" s="57" t="s">
        <v>2801</v>
      </c>
      <c r="BJ414" s="58"/>
      <c r="BK414" s="58"/>
      <c r="BL414" s="66">
        <v>3594218</v>
      </c>
      <c r="BM414" s="56" t="s">
        <v>16966</v>
      </c>
      <c r="BN414" s="67">
        <v>420.6</v>
      </c>
      <c r="BO414" s="58"/>
      <c r="BP414" s="58"/>
      <c r="BQ414" s="58"/>
      <c r="BR414" s="56" t="s">
        <v>16967</v>
      </c>
      <c r="BS414" s="56" t="s">
        <v>1285</v>
      </c>
      <c r="BT414" s="58"/>
      <c r="BU414" s="58"/>
      <c r="BV414" s="58"/>
      <c r="BW414" s="58"/>
      <c r="BX414" s="67">
        <v>420.6</v>
      </c>
      <c r="BY414" s="58"/>
      <c r="BZ414" s="58"/>
      <c r="CA414" s="58"/>
      <c r="CB414" s="58"/>
      <c r="CC414" s="58"/>
      <c r="CD414" s="58"/>
    </row>
    <row r="415" ht="108" spans="1:82">
      <c r="A415" s="56" t="s">
        <v>16968</v>
      </c>
      <c r="B415" s="58"/>
      <c r="C415" s="57" t="s">
        <v>16963</v>
      </c>
      <c r="D415" s="58"/>
      <c r="E415" s="57" t="s">
        <v>15158</v>
      </c>
      <c r="F415" s="57" t="s">
        <v>16964</v>
      </c>
      <c r="G415" s="57" t="s">
        <v>15160</v>
      </c>
      <c r="H415" s="56" t="s">
        <v>2965</v>
      </c>
      <c r="I415" s="60">
        <v>7587.61</v>
      </c>
      <c r="J415" s="58"/>
      <c r="K415" s="58"/>
      <c r="L415" s="57" t="s">
        <v>14203</v>
      </c>
      <c r="M415" s="61" t="s">
        <v>14220</v>
      </c>
      <c r="N415" s="62" t="s">
        <v>14220</v>
      </c>
      <c r="O415" s="57" t="s">
        <v>15165</v>
      </c>
      <c r="P415" s="57" t="s">
        <v>15166</v>
      </c>
      <c r="Q415" s="57" t="s">
        <v>2965</v>
      </c>
      <c r="R415" s="57" t="s">
        <v>15606</v>
      </c>
      <c r="S415" s="57" t="s">
        <v>15607</v>
      </c>
      <c r="T415" s="57" t="s">
        <v>15190</v>
      </c>
      <c r="U415" s="57" t="s">
        <v>14184</v>
      </c>
      <c r="V415" s="56" t="s">
        <v>14153</v>
      </c>
      <c r="W415" s="58"/>
      <c r="X415" s="57" t="s">
        <v>16965</v>
      </c>
      <c r="Y415" s="58"/>
      <c r="Z415" s="61" t="s">
        <v>16438</v>
      </c>
      <c r="AA415" s="58"/>
      <c r="AB415" s="58"/>
      <c r="AC415" s="58"/>
      <c r="AD415" s="58"/>
      <c r="AE415" s="58"/>
      <c r="AF415" s="58"/>
      <c r="AG415" s="58"/>
      <c r="AH415" s="58"/>
      <c r="AI415" s="58"/>
      <c r="AJ415" s="58"/>
      <c r="AK415" s="58"/>
      <c r="AL415" s="58"/>
      <c r="AM415" s="58"/>
      <c r="AN415" s="58"/>
      <c r="AO415" s="58"/>
      <c r="AP415" s="63">
        <v>45841.764212963</v>
      </c>
      <c r="AQ415" s="58"/>
      <c r="AR415" s="58"/>
      <c r="AS415" s="57" t="s">
        <v>14184</v>
      </c>
      <c r="AT415" s="56" t="s">
        <v>15177</v>
      </c>
      <c r="AU415" s="58"/>
      <c r="AV415" s="58"/>
      <c r="AW415" s="64">
        <v>45841.7616782407</v>
      </c>
      <c r="AX415" s="58"/>
      <c r="AY415" s="56" t="s">
        <v>15179</v>
      </c>
      <c r="AZ415" s="58"/>
      <c r="BA415" s="58"/>
      <c r="BB415" s="58"/>
      <c r="BC415" s="56" t="s">
        <v>2148</v>
      </c>
      <c r="BD415" s="56" t="s">
        <v>15197</v>
      </c>
      <c r="BE415" s="56" t="s">
        <v>15613</v>
      </c>
      <c r="BF415" s="56" t="s">
        <v>15181</v>
      </c>
      <c r="BG415" s="58"/>
      <c r="BH415" s="58"/>
      <c r="BI415" s="57" t="s">
        <v>2801</v>
      </c>
      <c r="BJ415" s="58"/>
      <c r="BK415" s="58"/>
      <c r="BL415" s="66">
        <v>3594221</v>
      </c>
      <c r="BM415" s="56" t="s">
        <v>16966</v>
      </c>
      <c r="BN415" s="67">
        <v>123.93</v>
      </c>
      <c r="BO415" s="58"/>
      <c r="BP415" s="58"/>
      <c r="BQ415" s="58"/>
      <c r="BR415" s="56" t="s">
        <v>16967</v>
      </c>
      <c r="BS415" s="56" t="s">
        <v>1285</v>
      </c>
      <c r="BT415" s="58"/>
      <c r="BU415" s="58"/>
      <c r="BV415" s="58"/>
      <c r="BW415" s="58"/>
      <c r="BX415" s="67">
        <v>123.93</v>
      </c>
      <c r="BY415" s="58"/>
      <c r="BZ415" s="58"/>
      <c r="CA415" s="58"/>
      <c r="CB415" s="58"/>
      <c r="CC415" s="58"/>
      <c r="CD415" s="58"/>
    </row>
    <row r="416" ht="108" spans="1:82">
      <c r="A416" s="56" t="s">
        <v>16969</v>
      </c>
      <c r="B416" s="58"/>
      <c r="C416" s="57" t="s">
        <v>16963</v>
      </c>
      <c r="D416" s="58"/>
      <c r="E416" s="57" t="s">
        <v>15158</v>
      </c>
      <c r="F416" s="57" t="s">
        <v>16964</v>
      </c>
      <c r="G416" s="57" t="s">
        <v>15160</v>
      </c>
      <c r="H416" s="56" t="s">
        <v>2965</v>
      </c>
      <c r="I416" s="60">
        <v>7587.61</v>
      </c>
      <c r="J416" s="58"/>
      <c r="K416" s="58"/>
      <c r="L416" s="57" t="s">
        <v>14203</v>
      </c>
      <c r="M416" s="61" t="s">
        <v>14220</v>
      </c>
      <c r="N416" s="62" t="s">
        <v>14220</v>
      </c>
      <c r="O416" s="57" t="s">
        <v>15165</v>
      </c>
      <c r="P416" s="57" t="s">
        <v>15166</v>
      </c>
      <c r="Q416" s="57" t="s">
        <v>2965</v>
      </c>
      <c r="R416" s="57" t="s">
        <v>15606</v>
      </c>
      <c r="S416" s="57" t="s">
        <v>15607</v>
      </c>
      <c r="T416" s="57" t="s">
        <v>15190</v>
      </c>
      <c r="U416" s="57" t="s">
        <v>14184</v>
      </c>
      <c r="V416" s="56" t="s">
        <v>14153</v>
      </c>
      <c r="W416" s="58"/>
      <c r="X416" s="57" t="s">
        <v>16965</v>
      </c>
      <c r="Y416" s="58"/>
      <c r="Z416" s="61" t="s">
        <v>16438</v>
      </c>
      <c r="AA416" s="58"/>
      <c r="AB416" s="58"/>
      <c r="AC416" s="58"/>
      <c r="AD416" s="58"/>
      <c r="AE416" s="58"/>
      <c r="AF416" s="58"/>
      <c r="AG416" s="58"/>
      <c r="AH416" s="58"/>
      <c r="AI416" s="58"/>
      <c r="AJ416" s="58"/>
      <c r="AK416" s="58"/>
      <c r="AL416" s="58"/>
      <c r="AM416" s="58"/>
      <c r="AN416" s="58"/>
      <c r="AO416" s="58"/>
      <c r="AP416" s="63">
        <v>45841.764212963</v>
      </c>
      <c r="AQ416" s="58"/>
      <c r="AR416" s="58"/>
      <c r="AS416" s="57" t="s">
        <v>14184</v>
      </c>
      <c r="AT416" s="56" t="s">
        <v>15177</v>
      </c>
      <c r="AU416" s="58"/>
      <c r="AV416" s="58"/>
      <c r="AW416" s="64">
        <v>45841.7616782407</v>
      </c>
      <c r="AX416" s="58"/>
      <c r="AY416" s="56" t="s">
        <v>15179</v>
      </c>
      <c r="AZ416" s="58"/>
      <c r="BA416" s="58"/>
      <c r="BB416" s="58"/>
      <c r="BC416" s="56" t="s">
        <v>2150</v>
      </c>
      <c r="BD416" s="56" t="s">
        <v>15197</v>
      </c>
      <c r="BE416" s="56" t="s">
        <v>15613</v>
      </c>
      <c r="BF416" s="56" t="s">
        <v>15181</v>
      </c>
      <c r="BG416" s="58"/>
      <c r="BH416" s="58"/>
      <c r="BI416" s="57" t="s">
        <v>2801</v>
      </c>
      <c r="BJ416" s="58"/>
      <c r="BK416" s="58"/>
      <c r="BL416" s="66">
        <v>3594224</v>
      </c>
      <c r="BM416" s="56" t="s">
        <v>16966</v>
      </c>
      <c r="BN416" s="67">
        <v>715.23</v>
      </c>
      <c r="BO416" s="58"/>
      <c r="BP416" s="58"/>
      <c r="BQ416" s="58"/>
      <c r="BR416" s="56" t="s">
        <v>16967</v>
      </c>
      <c r="BS416" s="56" t="s">
        <v>1285</v>
      </c>
      <c r="BT416" s="58"/>
      <c r="BU416" s="58"/>
      <c r="BV416" s="58"/>
      <c r="BW416" s="58"/>
      <c r="BX416" s="67">
        <v>715.23</v>
      </c>
      <c r="BY416" s="58"/>
      <c r="BZ416" s="58"/>
      <c r="CA416" s="58"/>
      <c r="CB416" s="58"/>
      <c r="CC416" s="58"/>
      <c r="CD416" s="58"/>
    </row>
    <row r="417" ht="108" spans="1:82">
      <c r="A417" s="56" t="s">
        <v>16970</v>
      </c>
      <c r="B417" s="58"/>
      <c r="C417" s="57" t="s">
        <v>16963</v>
      </c>
      <c r="D417" s="58"/>
      <c r="E417" s="57" t="s">
        <v>15158</v>
      </c>
      <c r="F417" s="57" t="s">
        <v>16964</v>
      </c>
      <c r="G417" s="57" t="s">
        <v>15160</v>
      </c>
      <c r="H417" s="56" t="s">
        <v>2965</v>
      </c>
      <c r="I417" s="60">
        <v>7587.61</v>
      </c>
      <c r="J417" s="58"/>
      <c r="K417" s="58"/>
      <c r="L417" s="57" t="s">
        <v>14203</v>
      </c>
      <c r="M417" s="61" t="s">
        <v>14220</v>
      </c>
      <c r="N417" s="62" t="s">
        <v>14220</v>
      </c>
      <c r="O417" s="57" t="s">
        <v>15165</v>
      </c>
      <c r="P417" s="57" t="s">
        <v>15166</v>
      </c>
      <c r="Q417" s="57" t="s">
        <v>2965</v>
      </c>
      <c r="R417" s="57" t="s">
        <v>15606</v>
      </c>
      <c r="S417" s="57" t="s">
        <v>15607</v>
      </c>
      <c r="T417" s="57" t="s">
        <v>15190</v>
      </c>
      <c r="U417" s="57" t="s">
        <v>14184</v>
      </c>
      <c r="V417" s="56" t="s">
        <v>14153</v>
      </c>
      <c r="W417" s="58"/>
      <c r="X417" s="57" t="s">
        <v>16965</v>
      </c>
      <c r="Y417" s="58"/>
      <c r="Z417" s="61" t="s">
        <v>16438</v>
      </c>
      <c r="AA417" s="58"/>
      <c r="AB417" s="58"/>
      <c r="AC417" s="58"/>
      <c r="AD417" s="58"/>
      <c r="AE417" s="58"/>
      <c r="AF417" s="58"/>
      <c r="AG417" s="58"/>
      <c r="AH417" s="58"/>
      <c r="AI417" s="58"/>
      <c r="AJ417" s="58"/>
      <c r="AK417" s="58"/>
      <c r="AL417" s="58"/>
      <c r="AM417" s="58"/>
      <c r="AN417" s="58"/>
      <c r="AO417" s="58"/>
      <c r="AP417" s="63">
        <v>45841.764212963</v>
      </c>
      <c r="AQ417" s="58"/>
      <c r="AR417" s="58"/>
      <c r="AS417" s="57" t="s">
        <v>14184</v>
      </c>
      <c r="AT417" s="56" t="s">
        <v>15177</v>
      </c>
      <c r="AU417" s="58"/>
      <c r="AV417" s="58"/>
      <c r="AW417" s="64">
        <v>45841.7616782407</v>
      </c>
      <c r="AX417" s="58"/>
      <c r="AY417" s="56" t="s">
        <v>15179</v>
      </c>
      <c r="AZ417" s="58"/>
      <c r="BA417" s="58"/>
      <c r="BB417" s="58"/>
      <c r="BC417" s="56" t="s">
        <v>15637</v>
      </c>
      <c r="BD417" s="56" t="s">
        <v>15197</v>
      </c>
      <c r="BE417" s="56" t="s">
        <v>15613</v>
      </c>
      <c r="BF417" s="56" t="s">
        <v>15181</v>
      </c>
      <c r="BG417" s="58"/>
      <c r="BH417" s="58"/>
      <c r="BI417" s="57" t="s">
        <v>2801</v>
      </c>
      <c r="BJ417" s="58"/>
      <c r="BK417" s="58"/>
      <c r="BL417" s="66">
        <v>3594217</v>
      </c>
      <c r="BM417" s="56" t="s">
        <v>16966</v>
      </c>
      <c r="BN417" s="67">
        <v>1310.4</v>
      </c>
      <c r="BO417" s="58"/>
      <c r="BP417" s="58"/>
      <c r="BQ417" s="58"/>
      <c r="BR417" s="56" t="s">
        <v>16967</v>
      </c>
      <c r="BS417" s="56" t="s">
        <v>1285</v>
      </c>
      <c r="BT417" s="58"/>
      <c r="BU417" s="58"/>
      <c r="BV417" s="58"/>
      <c r="BW417" s="58"/>
      <c r="BX417" s="67">
        <v>1310.4</v>
      </c>
      <c r="BY417" s="58"/>
      <c r="BZ417" s="58"/>
      <c r="CA417" s="58"/>
      <c r="CB417" s="58"/>
      <c r="CC417" s="58"/>
      <c r="CD417" s="58"/>
    </row>
    <row r="418" ht="108" spans="1:82">
      <c r="A418" s="56" t="s">
        <v>16971</v>
      </c>
      <c r="B418" s="58"/>
      <c r="C418" s="57" t="s">
        <v>16963</v>
      </c>
      <c r="D418" s="58"/>
      <c r="E418" s="57" t="s">
        <v>15158</v>
      </c>
      <c r="F418" s="57" t="s">
        <v>16964</v>
      </c>
      <c r="G418" s="57" t="s">
        <v>15160</v>
      </c>
      <c r="H418" s="56" t="s">
        <v>2965</v>
      </c>
      <c r="I418" s="60">
        <v>7587.61</v>
      </c>
      <c r="J418" s="58"/>
      <c r="K418" s="58"/>
      <c r="L418" s="57" t="s">
        <v>14203</v>
      </c>
      <c r="M418" s="61" t="s">
        <v>14220</v>
      </c>
      <c r="N418" s="62" t="s">
        <v>14220</v>
      </c>
      <c r="O418" s="57" t="s">
        <v>15165</v>
      </c>
      <c r="P418" s="57" t="s">
        <v>15166</v>
      </c>
      <c r="Q418" s="57" t="s">
        <v>2965</v>
      </c>
      <c r="R418" s="57" t="s">
        <v>15606</v>
      </c>
      <c r="S418" s="57" t="s">
        <v>15607</v>
      </c>
      <c r="T418" s="57" t="s">
        <v>15190</v>
      </c>
      <c r="U418" s="57" t="s">
        <v>14184</v>
      </c>
      <c r="V418" s="56" t="s">
        <v>14153</v>
      </c>
      <c r="W418" s="58"/>
      <c r="X418" s="57" t="s">
        <v>16965</v>
      </c>
      <c r="Y418" s="58"/>
      <c r="Z418" s="61" t="s">
        <v>16438</v>
      </c>
      <c r="AA418" s="58"/>
      <c r="AB418" s="58"/>
      <c r="AC418" s="58"/>
      <c r="AD418" s="58"/>
      <c r="AE418" s="58"/>
      <c r="AF418" s="58"/>
      <c r="AG418" s="58"/>
      <c r="AH418" s="58"/>
      <c r="AI418" s="58"/>
      <c r="AJ418" s="58"/>
      <c r="AK418" s="58"/>
      <c r="AL418" s="58"/>
      <c r="AM418" s="58"/>
      <c r="AN418" s="58"/>
      <c r="AO418" s="58"/>
      <c r="AP418" s="63">
        <v>45841.764212963</v>
      </c>
      <c r="AQ418" s="58"/>
      <c r="AR418" s="58"/>
      <c r="AS418" s="57" t="s">
        <v>14184</v>
      </c>
      <c r="AT418" s="56" t="s">
        <v>15177</v>
      </c>
      <c r="AU418" s="58"/>
      <c r="AV418" s="58"/>
      <c r="AW418" s="64">
        <v>45841.7616782407</v>
      </c>
      <c r="AX418" s="58"/>
      <c r="AY418" s="56" t="s">
        <v>15179</v>
      </c>
      <c r="AZ418" s="58"/>
      <c r="BA418" s="58"/>
      <c r="BB418" s="58"/>
      <c r="BC418" s="56" t="s">
        <v>2142</v>
      </c>
      <c r="BD418" s="56" t="s">
        <v>15197</v>
      </c>
      <c r="BE418" s="56" t="s">
        <v>15613</v>
      </c>
      <c r="BF418" s="56" t="s">
        <v>15181</v>
      </c>
      <c r="BG418" s="58"/>
      <c r="BH418" s="58"/>
      <c r="BI418" s="57" t="s">
        <v>2801</v>
      </c>
      <c r="BJ418" s="58"/>
      <c r="BK418" s="58"/>
      <c r="BL418" s="66">
        <v>3594223</v>
      </c>
      <c r="BM418" s="56" t="s">
        <v>16966</v>
      </c>
      <c r="BN418" s="67">
        <v>89.8</v>
      </c>
      <c r="BO418" s="58"/>
      <c r="BP418" s="58"/>
      <c r="BQ418" s="58"/>
      <c r="BR418" s="56" t="s">
        <v>16967</v>
      </c>
      <c r="BS418" s="56" t="s">
        <v>1285</v>
      </c>
      <c r="BT418" s="58"/>
      <c r="BU418" s="58"/>
      <c r="BV418" s="58"/>
      <c r="BW418" s="58"/>
      <c r="BX418" s="67">
        <v>89.8</v>
      </c>
      <c r="BY418" s="58"/>
      <c r="BZ418" s="58"/>
      <c r="CA418" s="58"/>
      <c r="CB418" s="58"/>
      <c r="CC418" s="58"/>
      <c r="CD418" s="58"/>
    </row>
    <row r="419" ht="108" spans="1:82">
      <c r="A419" s="56" t="s">
        <v>16972</v>
      </c>
      <c r="B419" s="58"/>
      <c r="C419" s="57" t="s">
        <v>16963</v>
      </c>
      <c r="D419" s="58"/>
      <c r="E419" s="57" t="s">
        <v>15158</v>
      </c>
      <c r="F419" s="57" t="s">
        <v>16964</v>
      </c>
      <c r="G419" s="57" t="s">
        <v>15160</v>
      </c>
      <c r="H419" s="56" t="s">
        <v>2965</v>
      </c>
      <c r="I419" s="60">
        <v>7587.61</v>
      </c>
      <c r="J419" s="58"/>
      <c r="K419" s="58"/>
      <c r="L419" s="57" t="s">
        <v>14203</v>
      </c>
      <c r="M419" s="61" t="s">
        <v>14220</v>
      </c>
      <c r="N419" s="62" t="s">
        <v>14220</v>
      </c>
      <c r="O419" s="57" t="s">
        <v>15165</v>
      </c>
      <c r="P419" s="57" t="s">
        <v>15166</v>
      </c>
      <c r="Q419" s="57" t="s">
        <v>2965</v>
      </c>
      <c r="R419" s="57" t="s">
        <v>15606</v>
      </c>
      <c r="S419" s="57" t="s">
        <v>15607</v>
      </c>
      <c r="T419" s="57" t="s">
        <v>15190</v>
      </c>
      <c r="U419" s="57" t="s">
        <v>14184</v>
      </c>
      <c r="V419" s="56" t="s">
        <v>14153</v>
      </c>
      <c r="W419" s="58"/>
      <c r="X419" s="57" t="s">
        <v>16965</v>
      </c>
      <c r="Y419" s="58"/>
      <c r="Z419" s="61" t="s">
        <v>16438</v>
      </c>
      <c r="AA419" s="58"/>
      <c r="AB419" s="58"/>
      <c r="AC419" s="58"/>
      <c r="AD419" s="58"/>
      <c r="AE419" s="58"/>
      <c r="AF419" s="58"/>
      <c r="AG419" s="58"/>
      <c r="AH419" s="58"/>
      <c r="AI419" s="58"/>
      <c r="AJ419" s="58"/>
      <c r="AK419" s="58"/>
      <c r="AL419" s="58"/>
      <c r="AM419" s="58"/>
      <c r="AN419" s="58"/>
      <c r="AO419" s="58"/>
      <c r="AP419" s="63">
        <v>45841.764212963</v>
      </c>
      <c r="AQ419" s="58"/>
      <c r="AR419" s="58"/>
      <c r="AS419" s="57" t="s">
        <v>14184</v>
      </c>
      <c r="AT419" s="56" t="s">
        <v>15177</v>
      </c>
      <c r="AU419" s="58"/>
      <c r="AV419" s="58"/>
      <c r="AW419" s="64">
        <v>45841.7616782407</v>
      </c>
      <c r="AX419" s="58"/>
      <c r="AY419" s="56" t="s">
        <v>15179</v>
      </c>
      <c r="AZ419" s="58"/>
      <c r="BA419" s="58"/>
      <c r="BB419" s="58"/>
      <c r="BC419" s="56" t="s">
        <v>2148</v>
      </c>
      <c r="BD419" s="56" t="s">
        <v>15197</v>
      </c>
      <c r="BE419" s="56" t="s">
        <v>15613</v>
      </c>
      <c r="BF419" s="56" t="s">
        <v>15181</v>
      </c>
      <c r="BG419" s="58"/>
      <c r="BH419" s="58"/>
      <c r="BI419" s="57" t="s">
        <v>2801</v>
      </c>
      <c r="BJ419" s="58"/>
      <c r="BK419" s="58"/>
      <c r="BL419" s="66">
        <v>3594220</v>
      </c>
      <c r="BM419" s="56" t="s">
        <v>16966</v>
      </c>
      <c r="BN419" s="67">
        <v>290</v>
      </c>
      <c r="BO419" s="58"/>
      <c r="BP419" s="58"/>
      <c r="BQ419" s="58"/>
      <c r="BR419" s="56" t="s">
        <v>16967</v>
      </c>
      <c r="BS419" s="56" t="s">
        <v>1285</v>
      </c>
      <c r="BT419" s="58"/>
      <c r="BU419" s="58"/>
      <c r="BV419" s="58"/>
      <c r="BW419" s="58"/>
      <c r="BX419" s="67">
        <v>290</v>
      </c>
      <c r="BY419" s="58"/>
      <c r="BZ419" s="58"/>
      <c r="CA419" s="58"/>
      <c r="CB419" s="58"/>
      <c r="CC419" s="58"/>
      <c r="CD419" s="58"/>
    </row>
    <row r="420" ht="108" spans="1:82">
      <c r="A420" s="56" t="s">
        <v>16973</v>
      </c>
      <c r="B420" s="58"/>
      <c r="C420" s="57" t="s">
        <v>16963</v>
      </c>
      <c r="D420" s="58"/>
      <c r="E420" s="57" t="s">
        <v>15158</v>
      </c>
      <c r="F420" s="57" t="s">
        <v>16964</v>
      </c>
      <c r="G420" s="57" t="s">
        <v>15160</v>
      </c>
      <c r="H420" s="56" t="s">
        <v>2965</v>
      </c>
      <c r="I420" s="60">
        <v>7587.61</v>
      </c>
      <c r="J420" s="58"/>
      <c r="K420" s="58"/>
      <c r="L420" s="57" t="s">
        <v>14203</v>
      </c>
      <c r="M420" s="61" t="s">
        <v>14220</v>
      </c>
      <c r="N420" s="62" t="s">
        <v>14220</v>
      </c>
      <c r="O420" s="57" t="s">
        <v>15165</v>
      </c>
      <c r="P420" s="57" t="s">
        <v>15166</v>
      </c>
      <c r="Q420" s="57" t="s">
        <v>2965</v>
      </c>
      <c r="R420" s="57" t="s">
        <v>15606</v>
      </c>
      <c r="S420" s="57" t="s">
        <v>15607</v>
      </c>
      <c r="T420" s="57" t="s">
        <v>15190</v>
      </c>
      <c r="U420" s="57" t="s">
        <v>14184</v>
      </c>
      <c r="V420" s="56" t="s">
        <v>14153</v>
      </c>
      <c r="W420" s="58"/>
      <c r="X420" s="57" t="s">
        <v>16965</v>
      </c>
      <c r="Y420" s="58"/>
      <c r="Z420" s="61" t="s">
        <v>16438</v>
      </c>
      <c r="AA420" s="58"/>
      <c r="AB420" s="58"/>
      <c r="AC420" s="58"/>
      <c r="AD420" s="58"/>
      <c r="AE420" s="58"/>
      <c r="AF420" s="58"/>
      <c r="AG420" s="58"/>
      <c r="AH420" s="58"/>
      <c r="AI420" s="58"/>
      <c r="AJ420" s="58"/>
      <c r="AK420" s="58"/>
      <c r="AL420" s="58"/>
      <c r="AM420" s="58"/>
      <c r="AN420" s="58"/>
      <c r="AO420" s="58"/>
      <c r="AP420" s="63">
        <v>45841.764212963</v>
      </c>
      <c r="AQ420" s="58"/>
      <c r="AR420" s="58"/>
      <c r="AS420" s="57" t="s">
        <v>14184</v>
      </c>
      <c r="AT420" s="56" t="s">
        <v>15177</v>
      </c>
      <c r="AU420" s="58"/>
      <c r="AV420" s="58"/>
      <c r="AW420" s="64">
        <v>45841.7616782407</v>
      </c>
      <c r="AX420" s="58"/>
      <c r="AY420" s="56" t="s">
        <v>15179</v>
      </c>
      <c r="AZ420" s="58"/>
      <c r="BA420" s="58"/>
      <c r="BB420" s="58"/>
      <c r="BC420" s="56" t="s">
        <v>16713</v>
      </c>
      <c r="BD420" s="56" t="s">
        <v>15197</v>
      </c>
      <c r="BE420" s="56" t="s">
        <v>15613</v>
      </c>
      <c r="BF420" s="56" t="s">
        <v>15181</v>
      </c>
      <c r="BG420" s="58"/>
      <c r="BH420" s="58"/>
      <c r="BI420" s="57" t="s">
        <v>2801</v>
      </c>
      <c r="BJ420" s="58"/>
      <c r="BK420" s="58"/>
      <c r="BL420" s="66">
        <v>3594219</v>
      </c>
      <c r="BM420" s="56" t="s">
        <v>16966</v>
      </c>
      <c r="BN420" s="67">
        <v>413.1</v>
      </c>
      <c r="BO420" s="58"/>
      <c r="BP420" s="58"/>
      <c r="BQ420" s="58"/>
      <c r="BR420" s="56" t="s">
        <v>16967</v>
      </c>
      <c r="BS420" s="56" t="s">
        <v>1285</v>
      </c>
      <c r="BT420" s="58"/>
      <c r="BU420" s="58"/>
      <c r="BV420" s="58"/>
      <c r="BW420" s="58"/>
      <c r="BX420" s="67">
        <v>413.1</v>
      </c>
      <c r="BY420" s="58"/>
      <c r="BZ420" s="58"/>
      <c r="CA420" s="58"/>
      <c r="CB420" s="58"/>
      <c r="CC420" s="58"/>
      <c r="CD420" s="58"/>
    </row>
    <row r="421" ht="108" spans="1:82">
      <c r="A421" s="56" t="s">
        <v>16974</v>
      </c>
      <c r="B421" s="58"/>
      <c r="C421" s="57" t="s">
        <v>16963</v>
      </c>
      <c r="D421" s="58"/>
      <c r="E421" s="57" t="s">
        <v>15158</v>
      </c>
      <c r="F421" s="57" t="s">
        <v>16964</v>
      </c>
      <c r="G421" s="57" t="s">
        <v>15160</v>
      </c>
      <c r="H421" s="56" t="s">
        <v>2965</v>
      </c>
      <c r="I421" s="60">
        <v>7587.61</v>
      </c>
      <c r="J421" s="58"/>
      <c r="K421" s="58"/>
      <c r="L421" s="57" t="s">
        <v>14203</v>
      </c>
      <c r="M421" s="61" t="s">
        <v>14220</v>
      </c>
      <c r="N421" s="62" t="s">
        <v>14220</v>
      </c>
      <c r="O421" s="57" t="s">
        <v>15165</v>
      </c>
      <c r="P421" s="57" t="s">
        <v>15166</v>
      </c>
      <c r="Q421" s="57" t="s">
        <v>2965</v>
      </c>
      <c r="R421" s="57" t="s">
        <v>15606</v>
      </c>
      <c r="S421" s="57" t="s">
        <v>15607</v>
      </c>
      <c r="T421" s="57" t="s">
        <v>15190</v>
      </c>
      <c r="U421" s="57" t="s">
        <v>14184</v>
      </c>
      <c r="V421" s="56" t="s">
        <v>14153</v>
      </c>
      <c r="W421" s="58"/>
      <c r="X421" s="57" t="s">
        <v>16965</v>
      </c>
      <c r="Y421" s="58"/>
      <c r="Z421" s="61" t="s">
        <v>16438</v>
      </c>
      <c r="AA421" s="58"/>
      <c r="AB421" s="58"/>
      <c r="AC421" s="58"/>
      <c r="AD421" s="58"/>
      <c r="AE421" s="58"/>
      <c r="AF421" s="58"/>
      <c r="AG421" s="58"/>
      <c r="AH421" s="58"/>
      <c r="AI421" s="58"/>
      <c r="AJ421" s="58"/>
      <c r="AK421" s="58"/>
      <c r="AL421" s="58"/>
      <c r="AM421" s="58"/>
      <c r="AN421" s="58"/>
      <c r="AO421" s="58"/>
      <c r="AP421" s="63">
        <v>45841.764212963</v>
      </c>
      <c r="AQ421" s="58"/>
      <c r="AR421" s="58"/>
      <c r="AS421" s="57" t="s">
        <v>14184</v>
      </c>
      <c r="AT421" s="56" t="s">
        <v>15177</v>
      </c>
      <c r="AU421" s="58"/>
      <c r="AV421" s="58"/>
      <c r="AW421" s="64">
        <v>45841.7616782407</v>
      </c>
      <c r="AX421" s="58"/>
      <c r="AY421" s="56" t="s">
        <v>15179</v>
      </c>
      <c r="AZ421" s="58"/>
      <c r="BA421" s="58"/>
      <c r="BB421" s="58"/>
      <c r="BC421" s="56" t="s">
        <v>2148</v>
      </c>
      <c r="BD421" s="56" t="s">
        <v>15197</v>
      </c>
      <c r="BE421" s="56" t="s">
        <v>15613</v>
      </c>
      <c r="BF421" s="56" t="s">
        <v>15181</v>
      </c>
      <c r="BG421" s="58"/>
      <c r="BH421" s="58"/>
      <c r="BI421" s="57" t="s">
        <v>2801</v>
      </c>
      <c r="BJ421" s="58"/>
      <c r="BK421" s="58"/>
      <c r="BL421" s="66">
        <v>3594222</v>
      </c>
      <c r="BM421" s="56" t="s">
        <v>16966</v>
      </c>
      <c r="BN421" s="67">
        <v>972</v>
      </c>
      <c r="BO421" s="58"/>
      <c r="BP421" s="58"/>
      <c r="BQ421" s="58"/>
      <c r="BR421" s="56" t="s">
        <v>16967</v>
      </c>
      <c r="BS421" s="56" t="s">
        <v>1285</v>
      </c>
      <c r="BT421" s="58"/>
      <c r="BU421" s="58"/>
      <c r="BV421" s="58"/>
      <c r="BW421" s="58"/>
      <c r="BX421" s="67">
        <v>972</v>
      </c>
      <c r="BY421" s="58"/>
      <c r="BZ421" s="58"/>
      <c r="CA421" s="58"/>
      <c r="CB421" s="58"/>
      <c r="CC421" s="58"/>
      <c r="CD421" s="58"/>
    </row>
    <row r="422" ht="108" spans="1:82">
      <c r="A422" s="56" t="s">
        <v>16975</v>
      </c>
      <c r="B422" s="58"/>
      <c r="C422" s="57" t="s">
        <v>16963</v>
      </c>
      <c r="D422" s="58"/>
      <c r="E422" s="57" t="s">
        <v>15158</v>
      </c>
      <c r="F422" s="57" t="s">
        <v>16964</v>
      </c>
      <c r="G422" s="57" t="s">
        <v>15160</v>
      </c>
      <c r="H422" s="56" t="s">
        <v>2965</v>
      </c>
      <c r="I422" s="60">
        <v>7587.61</v>
      </c>
      <c r="J422" s="58"/>
      <c r="K422" s="58"/>
      <c r="L422" s="57" t="s">
        <v>14203</v>
      </c>
      <c r="M422" s="61" t="s">
        <v>14220</v>
      </c>
      <c r="N422" s="62" t="s">
        <v>14220</v>
      </c>
      <c r="O422" s="57" t="s">
        <v>15165</v>
      </c>
      <c r="P422" s="57" t="s">
        <v>15166</v>
      </c>
      <c r="Q422" s="57" t="s">
        <v>2965</v>
      </c>
      <c r="R422" s="57" t="s">
        <v>15606</v>
      </c>
      <c r="S422" s="57" t="s">
        <v>15607</v>
      </c>
      <c r="T422" s="57" t="s">
        <v>15190</v>
      </c>
      <c r="U422" s="57" t="s">
        <v>14184</v>
      </c>
      <c r="V422" s="56" t="s">
        <v>14153</v>
      </c>
      <c r="W422" s="58"/>
      <c r="X422" s="57" t="s">
        <v>16965</v>
      </c>
      <c r="Y422" s="58"/>
      <c r="Z422" s="61" t="s">
        <v>16438</v>
      </c>
      <c r="AA422" s="58"/>
      <c r="AB422" s="58"/>
      <c r="AC422" s="58"/>
      <c r="AD422" s="58"/>
      <c r="AE422" s="58"/>
      <c r="AF422" s="58"/>
      <c r="AG422" s="58"/>
      <c r="AH422" s="58"/>
      <c r="AI422" s="58"/>
      <c r="AJ422" s="58"/>
      <c r="AK422" s="58"/>
      <c r="AL422" s="58"/>
      <c r="AM422" s="58"/>
      <c r="AN422" s="58"/>
      <c r="AO422" s="58"/>
      <c r="AP422" s="63">
        <v>45841.764212963</v>
      </c>
      <c r="AQ422" s="58"/>
      <c r="AR422" s="58"/>
      <c r="AS422" s="57" t="s">
        <v>14184</v>
      </c>
      <c r="AT422" s="56" t="s">
        <v>15177</v>
      </c>
      <c r="AU422" s="58"/>
      <c r="AV422" s="58"/>
      <c r="AW422" s="64">
        <v>45841.7616782407</v>
      </c>
      <c r="AX422" s="58"/>
      <c r="AY422" s="56" t="s">
        <v>15179</v>
      </c>
      <c r="AZ422" s="58"/>
      <c r="BA422" s="58"/>
      <c r="BB422" s="58"/>
      <c r="BC422" s="56" t="s">
        <v>2142</v>
      </c>
      <c r="BD422" s="56" t="s">
        <v>15197</v>
      </c>
      <c r="BE422" s="56" t="s">
        <v>15613</v>
      </c>
      <c r="BF422" s="56" t="s">
        <v>15181</v>
      </c>
      <c r="BG422" s="58"/>
      <c r="BH422" s="58"/>
      <c r="BI422" s="57" t="s">
        <v>2801</v>
      </c>
      <c r="BJ422" s="58"/>
      <c r="BK422" s="58"/>
      <c r="BL422" s="66">
        <v>3594225</v>
      </c>
      <c r="BM422" s="56" t="s">
        <v>16966</v>
      </c>
      <c r="BN422" s="67">
        <v>294.3</v>
      </c>
      <c r="BO422" s="58"/>
      <c r="BP422" s="58"/>
      <c r="BQ422" s="58"/>
      <c r="BR422" s="56" t="s">
        <v>16967</v>
      </c>
      <c r="BS422" s="56" t="s">
        <v>1285</v>
      </c>
      <c r="BT422" s="58"/>
      <c r="BU422" s="58"/>
      <c r="BV422" s="58"/>
      <c r="BW422" s="58"/>
      <c r="BX422" s="67">
        <v>294.3</v>
      </c>
      <c r="BY422" s="58"/>
      <c r="BZ422" s="58"/>
      <c r="CA422" s="58"/>
      <c r="CB422" s="58"/>
      <c r="CC422" s="58"/>
      <c r="CD422" s="58"/>
    </row>
    <row r="423" ht="108" spans="1:82">
      <c r="A423" s="56" t="s">
        <v>16976</v>
      </c>
      <c r="B423" s="58"/>
      <c r="C423" s="57" t="s">
        <v>16963</v>
      </c>
      <c r="D423" s="58"/>
      <c r="E423" s="57" t="s">
        <v>15158</v>
      </c>
      <c r="F423" s="57" t="s">
        <v>16964</v>
      </c>
      <c r="G423" s="57" t="s">
        <v>15160</v>
      </c>
      <c r="H423" s="56" t="s">
        <v>2965</v>
      </c>
      <c r="I423" s="60">
        <v>7587.61</v>
      </c>
      <c r="J423" s="58"/>
      <c r="K423" s="58"/>
      <c r="L423" s="57" t="s">
        <v>14203</v>
      </c>
      <c r="M423" s="61" t="s">
        <v>14220</v>
      </c>
      <c r="N423" s="62" t="s">
        <v>14220</v>
      </c>
      <c r="O423" s="57" t="s">
        <v>15165</v>
      </c>
      <c r="P423" s="57" t="s">
        <v>15166</v>
      </c>
      <c r="Q423" s="57" t="s">
        <v>2965</v>
      </c>
      <c r="R423" s="57" t="s">
        <v>15606</v>
      </c>
      <c r="S423" s="57" t="s">
        <v>15607</v>
      </c>
      <c r="T423" s="57" t="s">
        <v>15190</v>
      </c>
      <c r="U423" s="57" t="s">
        <v>14184</v>
      </c>
      <c r="V423" s="56" t="s">
        <v>14153</v>
      </c>
      <c r="W423" s="58"/>
      <c r="X423" s="57" t="s">
        <v>16965</v>
      </c>
      <c r="Y423" s="58"/>
      <c r="Z423" s="61" t="s">
        <v>16438</v>
      </c>
      <c r="AA423" s="58"/>
      <c r="AB423" s="58"/>
      <c r="AC423" s="58"/>
      <c r="AD423" s="58"/>
      <c r="AE423" s="58"/>
      <c r="AF423" s="58"/>
      <c r="AG423" s="58"/>
      <c r="AH423" s="58"/>
      <c r="AI423" s="58"/>
      <c r="AJ423" s="58"/>
      <c r="AK423" s="58"/>
      <c r="AL423" s="58"/>
      <c r="AM423" s="58"/>
      <c r="AN423" s="58"/>
      <c r="AO423" s="58"/>
      <c r="AP423" s="63">
        <v>45841.764212963</v>
      </c>
      <c r="AQ423" s="58"/>
      <c r="AR423" s="58"/>
      <c r="AS423" s="57" t="s">
        <v>14184</v>
      </c>
      <c r="AT423" s="56" t="s">
        <v>15177</v>
      </c>
      <c r="AU423" s="58"/>
      <c r="AV423" s="58"/>
      <c r="AW423" s="64">
        <v>45841.7616782407</v>
      </c>
      <c r="AX423" s="58"/>
      <c r="AY423" s="56" t="s">
        <v>15179</v>
      </c>
      <c r="AZ423" s="58"/>
      <c r="BA423" s="58"/>
      <c r="BB423" s="58"/>
      <c r="BC423" s="56" t="s">
        <v>15637</v>
      </c>
      <c r="BD423" s="56" t="s">
        <v>15197</v>
      </c>
      <c r="BE423" s="56" t="s">
        <v>15613</v>
      </c>
      <c r="BF423" s="56" t="s">
        <v>15181</v>
      </c>
      <c r="BG423" s="58"/>
      <c r="BH423" s="58"/>
      <c r="BI423" s="57" t="s">
        <v>2801</v>
      </c>
      <c r="BJ423" s="58"/>
      <c r="BK423" s="58"/>
      <c r="BL423" s="66">
        <v>3594226</v>
      </c>
      <c r="BM423" s="56" t="s">
        <v>16966</v>
      </c>
      <c r="BN423" s="67">
        <v>89</v>
      </c>
      <c r="BO423" s="58"/>
      <c r="BP423" s="58"/>
      <c r="BQ423" s="58"/>
      <c r="BR423" s="56" t="s">
        <v>16967</v>
      </c>
      <c r="BS423" s="56" t="s">
        <v>1285</v>
      </c>
      <c r="BT423" s="58"/>
      <c r="BU423" s="58"/>
      <c r="BV423" s="58"/>
      <c r="BW423" s="58"/>
      <c r="BX423" s="67">
        <v>89</v>
      </c>
      <c r="BY423" s="58"/>
      <c r="BZ423" s="58"/>
      <c r="CA423" s="58"/>
      <c r="CB423" s="58"/>
      <c r="CC423" s="58"/>
      <c r="CD423" s="58"/>
    </row>
    <row r="424" ht="108" spans="1:82">
      <c r="A424" s="56" t="s">
        <v>16977</v>
      </c>
      <c r="B424" s="58"/>
      <c r="C424" s="57" t="s">
        <v>16963</v>
      </c>
      <c r="D424" s="58"/>
      <c r="E424" s="57" t="s">
        <v>15158</v>
      </c>
      <c r="F424" s="57" t="s">
        <v>16964</v>
      </c>
      <c r="G424" s="57" t="s">
        <v>15160</v>
      </c>
      <c r="H424" s="56" t="s">
        <v>2965</v>
      </c>
      <c r="I424" s="60">
        <v>7587.61</v>
      </c>
      <c r="J424" s="58"/>
      <c r="K424" s="58"/>
      <c r="L424" s="57" t="s">
        <v>14203</v>
      </c>
      <c r="M424" s="61" t="s">
        <v>14220</v>
      </c>
      <c r="N424" s="62" t="s">
        <v>14220</v>
      </c>
      <c r="O424" s="57" t="s">
        <v>15165</v>
      </c>
      <c r="P424" s="57" t="s">
        <v>15166</v>
      </c>
      <c r="Q424" s="57" t="s">
        <v>2965</v>
      </c>
      <c r="R424" s="57" t="s">
        <v>15606</v>
      </c>
      <c r="S424" s="57" t="s">
        <v>15607</v>
      </c>
      <c r="T424" s="57" t="s">
        <v>15190</v>
      </c>
      <c r="U424" s="57" t="s">
        <v>14184</v>
      </c>
      <c r="V424" s="56" t="s">
        <v>14153</v>
      </c>
      <c r="W424" s="58"/>
      <c r="X424" s="57" t="s">
        <v>16965</v>
      </c>
      <c r="Y424" s="58"/>
      <c r="Z424" s="61" t="s">
        <v>16438</v>
      </c>
      <c r="AA424" s="58"/>
      <c r="AB424" s="58"/>
      <c r="AC424" s="58"/>
      <c r="AD424" s="58"/>
      <c r="AE424" s="58"/>
      <c r="AF424" s="58"/>
      <c r="AG424" s="58"/>
      <c r="AH424" s="58"/>
      <c r="AI424" s="58"/>
      <c r="AJ424" s="58"/>
      <c r="AK424" s="58"/>
      <c r="AL424" s="58"/>
      <c r="AM424" s="58"/>
      <c r="AN424" s="58"/>
      <c r="AO424" s="58"/>
      <c r="AP424" s="63">
        <v>45841.764212963</v>
      </c>
      <c r="AQ424" s="58"/>
      <c r="AR424" s="58"/>
      <c r="AS424" s="57" t="s">
        <v>14184</v>
      </c>
      <c r="AT424" s="56" t="s">
        <v>15177</v>
      </c>
      <c r="AU424" s="58"/>
      <c r="AV424" s="58"/>
      <c r="AW424" s="64">
        <v>45841.7616782407</v>
      </c>
      <c r="AX424" s="58"/>
      <c r="AY424" s="56" t="s">
        <v>15179</v>
      </c>
      <c r="AZ424" s="58"/>
      <c r="BA424" s="58"/>
      <c r="BB424" s="58"/>
      <c r="BC424" s="56" t="s">
        <v>15637</v>
      </c>
      <c r="BD424" s="56" t="s">
        <v>15197</v>
      </c>
      <c r="BE424" s="56" t="s">
        <v>15613</v>
      </c>
      <c r="BF424" s="56" t="s">
        <v>15181</v>
      </c>
      <c r="BG424" s="58"/>
      <c r="BH424" s="58"/>
      <c r="BI424" s="57" t="s">
        <v>2801</v>
      </c>
      <c r="BJ424" s="58"/>
      <c r="BK424" s="58"/>
      <c r="BL424" s="66">
        <v>3594227</v>
      </c>
      <c r="BM424" s="56" t="s">
        <v>16966</v>
      </c>
      <c r="BN424" s="67">
        <v>2869.25</v>
      </c>
      <c r="BO424" s="58"/>
      <c r="BP424" s="58"/>
      <c r="BQ424" s="58"/>
      <c r="BR424" s="56" t="s">
        <v>16967</v>
      </c>
      <c r="BS424" s="56" t="s">
        <v>1285</v>
      </c>
      <c r="BT424" s="58"/>
      <c r="BU424" s="58"/>
      <c r="BV424" s="58"/>
      <c r="BW424" s="58"/>
      <c r="BX424" s="67">
        <v>2869.25</v>
      </c>
      <c r="BY424" s="58"/>
      <c r="BZ424" s="58"/>
      <c r="CA424" s="58"/>
      <c r="CB424" s="58"/>
      <c r="CC424" s="58"/>
      <c r="CD424" s="58"/>
    </row>
    <row r="425" ht="108" spans="1:82">
      <c r="A425" s="56" t="s">
        <v>16978</v>
      </c>
      <c r="B425" s="58"/>
      <c r="C425" s="57" t="s">
        <v>16979</v>
      </c>
      <c r="D425" s="58"/>
      <c r="E425" s="57" t="s">
        <v>15158</v>
      </c>
      <c r="F425" s="57" t="s">
        <v>16980</v>
      </c>
      <c r="G425" s="57" t="s">
        <v>15160</v>
      </c>
      <c r="H425" s="56" t="s">
        <v>3294</v>
      </c>
      <c r="I425" s="60">
        <v>45880</v>
      </c>
      <c r="J425" s="58"/>
      <c r="K425" s="58"/>
      <c r="L425" s="57" t="s">
        <v>14203</v>
      </c>
      <c r="M425" s="61" t="s">
        <v>15448</v>
      </c>
      <c r="N425" s="62" t="s">
        <v>15448</v>
      </c>
      <c r="O425" s="57" t="s">
        <v>15165</v>
      </c>
      <c r="P425" s="57" t="s">
        <v>15166</v>
      </c>
      <c r="Q425" s="57" t="s">
        <v>3294</v>
      </c>
      <c r="R425" s="57" t="s">
        <v>15854</v>
      </c>
      <c r="S425" s="57" t="s">
        <v>15855</v>
      </c>
      <c r="T425" s="57" t="s">
        <v>15190</v>
      </c>
      <c r="U425" s="57" t="s">
        <v>14184</v>
      </c>
      <c r="V425" s="56" t="s">
        <v>14153</v>
      </c>
      <c r="W425" s="58"/>
      <c r="X425" s="57" t="s">
        <v>16981</v>
      </c>
      <c r="Y425" s="58"/>
      <c r="Z425" s="61" t="s">
        <v>16438</v>
      </c>
      <c r="AA425" s="58"/>
      <c r="AB425" s="58"/>
      <c r="AC425" s="58"/>
      <c r="AD425" s="58"/>
      <c r="AE425" s="58"/>
      <c r="AF425" s="58"/>
      <c r="AG425" s="58"/>
      <c r="AH425" s="58"/>
      <c r="AI425" s="58"/>
      <c r="AJ425" s="58"/>
      <c r="AK425" s="58"/>
      <c r="AL425" s="58"/>
      <c r="AM425" s="58"/>
      <c r="AN425" s="58"/>
      <c r="AO425" s="58"/>
      <c r="AP425" s="63">
        <v>45841.764224537</v>
      </c>
      <c r="AQ425" s="58"/>
      <c r="AR425" s="58"/>
      <c r="AS425" s="57" t="s">
        <v>14184</v>
      </c>
      <c r="AT425" s="56" t="s">
        <v>15177</v>
      </c>
      <c r="AU425" s="58"/>
      <c r="AV425" s="58"/>
      <c r="AW425" s="64">
        <v>45841.7619675926</v>
      </c>
      <c r="AX425" s="58"/>
      <c r="AY425" s="56" t="s">
        <v>15179</v>
      </c>
      <c r="AZ425" s="58"/>
      <c r="BA425" s="58"/>
      <c r="BB425" s="58"/>
      <c r="BC425" s="56" t="s">
        <v>15965</v>
      </c>
      <c r="BD425" s="56" t="s">
        <v>15197</v>
      </c>
      <c r="BE425" s="58"/>
      <c r="BF425" s="56" t="s">
        <v>15181</v>
      </c>
      <c r="BG425" s="58"/>
      <c r="BH425" s="58"/>
      <c r="BI425" s="57" t="s">
        <v>2801</v>
      </c>
      <c r="BJ425" s="58"/>
      <c r="BK425" s="58"/>
      <c r="BL425" s="66">
        <v>3567396</v>
      </c>
      <c r="BM425" s="56" t="s">
        <v>16982</v>
      </c>
      <c r="BN425" s="67">
        <v>45880</v>
      </c>
      <c r="BO425" s="58"/>
      <c r="BP425" s="58"/>
      <c r="BQ425" s="58"/>
      <c r="BR425" s="56" t="s">
        <v>16983</v>
      </c>
      <c r="BS425" s="56" t="s">
        <v>1285</v>
      </c>
      <c r="BT425" s="58"/>
      <c r="BU425" s="58"/>
      <c r="BV425" s="58"/>
      <c r="BW425" s="58"/>
      <c r="BX425" s="67">
        <v>45880</v>
      </c>
      <c r="BY425" s="58"/>
      <c r="BZ425" s="58"/>
      <c r="CA425" s="58"/>
      <c r="CB425" s="58"/>
      <c r="CC425" s="58"/>
      <c r="CD425" s="58"/>
    </row>
    <row r="426" ht="108" spans="1:82">
      <c r="A426" s="56" t="s">
        <v>16984</v>
      </c>
      <c r="B426" s="58"/>
      <c r="C426" s="57" t="s">
        <v>16985</v>
      </c>
      <c r="D426" s="58"/>
      <c r="E426" s="57" t="s">
        <v>15158</v>
      </c>
      <c r="F426" s="57" t="s">
        <v>16986</v>
      </c>
      <c r="G426" s="57" t="s">
        <v>15160</v>
      </c>
      <c r="H426" s="56" t="s">
        <v>2958</v>
      </c>
      <c r="I426" s="60">
        <v>11063.49</v>
      </c>
      <c r="J426" s="58"/>
      <c r="K426" s="58"/>
      <c r="L426" s="57" t="s">
        <v>14203</v>
      </c>
      <c r="M426" s="61" t="s">
        <v>15448</v>
      </c>
      <c r="N426" s="62" t="s">
        <v>15448</v>
      </c>
      <c r="O426" s="57" t="s">
        <v>15165</v>
      </c>
      <c r="P426" s="57" t="s">
        <v>15166</v>
      </c>
      <c r="Q426" s="57" t="s">
        <v>2958</v>
      </c>
      <c r="R426" s="57" t="s">
        <v>16031</v>
      </c>
      <c r="S426" s="57" t="s">
        <v>16032</v>
      </c>
      <c r="T426" s="57" t="s">
        <v>15190</v>
      </c>
      <c r="U426" s="57" t="s">
        <v>14184</v>
      </c>
      <c r="V426" s="56" t="s">
        <v>14153</v>
      </c>
      <c r="W426" s="58"/>
      <c r="X426" s="57" t="s">
        <v>16987</v>
      </c>
      <c r="Y426" s="58"/>
      <c r="Z426" s="61" t="s">
        <v>16389</v>
      </c>
      <c r="AA426" s="58"/>
      <c r="AB426" s="58"/>
      <c r="AC426" s="58"/>
      <c r="AD426" s="58"/>
      <c r="AE426" s="58"/>
      <c r="AF426" s="58"/>
      <c r="AG426" s="58"/>
      <c r="AH426" s="58"/>
      <c r="AI426" s="58"/>
      <c r="AJ426" s="58"/>
      <c r="AK426" s="58"/>
      <c r="AL426" s="58"/>
      <c r="AM426" s="58"/>
      <c r="AN426" s="58"/>
      <c r="AO426" s="58"/>
      <c r="AP426" s="63">
        <v>45840.6811921296</v>
      </c>
      <c r="AQ426" s="58"/>
      <c r="AR426" s="58"/>
      <c r="AS426" s="57" t="s">
        <v>14184</v>
      </c>
      <c r="AT426" s="56" t="s">
        <v>15177</v>
      </c>
      <c r="AU426" s="58"/>
      <c r="AV426" s="58"/>
      <c r="AW426" s="64">
        <v>45840.6799652778</v>
      </c>
      <c r="AX426" s="58"/>
      <c r="AY426" s="56" t="s">
        <v>15179</v>
      </c>
      <c r="AZ426" s="58"/>
      <c r="BA426" s="58"/>
      <c r="BB426" s="58"/>
      <c r="BC426" s="56" t="s">
        <v>16041</v>
      </c>
      <c r="BD426" s="56" t="s">
        <v>15197</v>
      </c>
      <c r="BE426" s="56" t="s">
        <v>16034</v>
      </c>
      <c r="BF426" s="56" t="s">
        <v>15181</v>
      </c>
      <c r="BG426" s="58"/>
      <c r="BH426" s="58"/>
      <c r="BI426" s="57" t="s">
        <v>2801</v>
      </c>
      <c r="BJ426" s="58"/>
      <c r="BK426" s="58"/>
      <c r="BL426" s="66">
        <v>3604474</v>
      </c>
      <c r="BM426" s="56" t="s">
        <v>16988</v>
      </c>
      <c r="BN426" s="67">
        <v>436</v>
      </c>
      <c r="BO426" s="58"/>
      <c r="BP426" s="58"/>
      <c r="BQ426" s="58"/>
      <c r="BR426" s="56" t="s">
        <v>16989</v>
      </c>
      <c r="BS426" s="56" t="s">
        <v>1285</v>
      </c>
      <c r="BT426" s="58"/>
      <c r="BU426" s="58"/>
      <c r="BV426" s="58"/>
      <c r="BW426" s="58"/>
      <c r="BX426" s="67">
        <v>436</v>
      </c>
      <c r="BY426" s="58"/>
      <c r="BZ426" s="58"/>
      <c r="CA426" s="58"/>
      <c r="CB426" s="58"/>
      <c r="CC426" s="58"/>
      <c r="CD426" s="58"/>
    </row>
    <row r="427" ht="108" spans="1:82">
      <c r="A427" s="56" t="s">
        <v>16990</v>
      </c>
      <c r="B427" s="58"/>
      <c r="C427" s="57" t="s">
        <v>16985</v>
      </c>
      <c r="D427" s="58"/>
      <c r="E427" s="57" t="s">
        <v>15158</v>
      </c>
      <c r="F427" s="57" t="s">
        <v>16986</v>
      </c>
      <c r="G427" s="57" t="s">
        <v>15160</v>
      </c>
      <c r="H427" s="56" t="s">
        <v>2958</v>
      </c>
      <c r="I427" s="60">
        <v>11063.49</v>
      </c>
      <c r="J427" s="58"/>
      <c r="K427" s="58"/>
      <c r="L427" s="57" t="s">
        <v>14203</v>
      </c>
      <c r="M427" s="61" t="s">
        <v>15448</v>
      </c>
      <c r="N427" s="62" t="s">
        <v>15448</v>
      </c>
      <c r="O427" s="57" t="s">
        <v>15165</v>
      </c>
      <c r="P427" s="57" t="s">
        <v>15166</v>
      </c>
      <c r="Q427" s="57" t="s">
        <v>2958</v>
      </c>
      <c r="R427" s="57" t="s">
        <v>16031</v>
      </c>
      <c r="S427" s="57" t="s">
        <v>16032</v>
      </c>
      <c r="T427" s="57" t="s">
        <v>15190</v>
      </c>
      <c r="U427" s="57" t="s">
        <v>14184</v>
      </c>
      <c r="V427" s="56" t="s">
        <v>14153</v>
      </c>
      <c r="W427" s="58"/>
      <c r="X427" s="57" t="s">
        <v>16987</v>
      </c>
      <c r="Y427" s="58"/>
      <c r="Z427" s="61" t="s">
        <v>16389</v>
      </c>
      <c r="AA427" s="58"/>
      <c r="AB427" s="58"/>
      <c r="AC427" s="58"/>
      <c r="AD427" s="58"/>
      <c r="AE427" s="58"/>
      <c r="AF427" s="58"/>
      <c r="AG427" s="58"/>
      <c r="AH427" s="58"/>
      <c r="AI427" s="58"/>
      <c r="AJ427" s="58"/>
      <c r="AK427" s="58"/>
      <c r="AL427" s="58"/>
      <c r="AM427" s="58"/>
      <c r="AN427" s="58"/>
      <c r="AO427" s="58"/>
      <c r="AP427" s="63">
        <v>45840.6811921296</v>
      </c>
      <c r="AQ427" s="58"/>
      <c r="AR427" s="58"/>
      <c r="AS427" s="57" t="s">
        <v>14184</v>
      </c>
      <c r="AT427" s="56" t="s">
        <v>15177</v>
      </c>
      <c r="AU427" s="58"/>
      <c r="AV427" s="58"/>
      <c r="AW427" s="64">
        <v>45840.6799652778</v>
      </c>
      <c r="AX427" s="58"/>
      <c r="AY427" s="56" t="s">
        <v>15179</v>
      </c>
      <c r="AZ427" s="58"/>
      <c r="BA427" s="58"/>
      <c r="BB427" s="58"/>
      <c r="BC427" s="56" t="s">
        <v>16041</v>
      </c>
      <c r="BD427" s="56" t="s">
        <v>15197</v>
      </c>
      <c r="BE427" s="56" t="s">
        <v>16034</v>
      </c>
      <c r="BF427" s="56" t="s">
        <v>15181</v>
      </c>
      <c r="BG427" s="58"/>
      <c r="BH427" s="58"/>
      <c r="BI427" s="57" t="s">
        <v>2801</v>
      </c>
      <c r="BJ427" s="58"/>
      <c r="BK427" s="58"/>
      <c r="BL427" s="66">
        <v>3604479</v>
      </c>
      <c r="BM427" s="56" t="s">
        <v>16988</v>
      </c>
      <c r="BN427" s="67">
        <v>680</v>
      </c>
      <c r="BO427" s="58"/>
      <c r="BP427" s="58"/>
      <c r="BQ427" s="58"/>
      <c r="BR427" s="56" t="s">
        <v>16989</v>
      </c>
      <c r="BS427" s="56" t="s">
        <v>1285</v>
      </c>
      <c r="BT427" s="58"/>
      <c r="BU427" s="58"/>
      <c r="BV427" s="58"/>
      <c r="BW427" s="58"/>
      <c r="BX427" s="67">
        <v>680</v>
      </c>
      <c r="BY427" s="58"/>
      <c r="BZ427" s="58"/>
      <c r="CA427" s="58"/>
      <c r="CB427" s="58"/>
      <c r="CC427" s="58"/>
      <c r="CD427" s="58"/>
    </row>
    <row r="428" ht="108" spans="1:82">
      <c r="A428" s="56" t="s">
        <v>16991</v>
      </c>
      <c r="B428" s="58"/>
      <c r="C428" s="57" t="s">
        <v>16985</v>
      </c>
      <c r="D428" s="58"/>
      <c r="E428" s="57" t="s">
        <v>15158</v>
      </c>
      <c r="F428" s="57" t="s">
        <v>16986</v>
      </c>
      <c r="G428" s="57" t="s">
        <v>15160</v>
      </c>
      <c r="H428" s="56" t="s">
        <v>2958</v>
      </c>
      <c r="I428" s="60">
        <v>11063.49</v>
      </c>
      <c r="J428" s="58"/>
      <c r="K428" s="58"/>
      <c r="L428" s="57" t="s">
        <v>14203</v>
      </c>
      <c r="M428" s="61" t="s">
        <v>15448</v>
      </c>
      <c r="N428" s="62" t="s">
        <v>15448</v>
      </c>
      <c r="O428" s="57" t="s">
        <v>15165</v>
      </c>
      <c r="P428" s="57" t="s">
        <v>15166</v>
      </c>
      <c r="Q428" s="57" t="s">
        <v>2958</v>
      </c>
      <c r="R428" s="57" t="s">
        <v>16031</v>
      </c>
      <c r="S428" s="57" t="s">
        <v>16032</v>
      </c>
      <c r="T428" s="57" t="s">
        <v>15190</v>
      </c>
      <c r="U428" s="57" t="s">
        <v>14184</v>
      </c>
      <c r="V428" s="56" t="s">
        <v>14153</v>
      </c>
      <c r="W428" s="58"/>
      <c r="X428" s="57" t="s">
        <v>16987</v>
      </c>
      <c r="Y428" s="58"/>
      <c r="Z428" s="61" t="s">
        <v>16389</v>
      </c>
      <c r="AA428" s="58"/>
      <c r="AB428" s="58"/>
      <c r="AC428" s="58"/>
      <c r="AD428" s="58"/>
      <c r="AE428" s="58"/>
      <c r="AF428" s="58"/>
      <c r="AG428" s="58"/>
      <c r="AH428" s="58"/>
      <c r="AI428" s="58"/>
      <c r="AJ428" s="58"/>
      <c r="AK428" s="58"/>
      <c r="AL428" s="58"/>
      <c r="AM428" s="58"/>
      <c r="AN428" s="58"/>
      <c r="AO428" s="58"/>
      <c r="AP428" s="63">
        <v>45840.6811921296</v>
      </c>
      <c r="AQ428" s="58"/>
      <c r="AR428" s="58"/>
      <c r="AS428" s="57" t="s">
        <v>14184</v>
      </c>
      <c r="AT428" s="56" t="s">
        <v>15177</v>
      </c>
      <c r="AU428" s="58"/>
      <c r="AV428" s="58"/>
      <c r="AW428" s="64">
        <v>45840.6799652778</v>
      </c>
      <c r="AX428" s="58"/>
      <c r="AY428" s="56" t="s">
        <v>15179</v>
      </c>
      <c r="AZ428" s="58"/>
      <c r="BA428" s="58"/>
      <c r="BB428" s="58"/>
      <c r="BC428" s="56" t="s">
        <v>16041</v>
      </c>
      <c r="BD428" s="56" t="s">
        <v>15197</v>
      </c>
      <c r="BE428" s="56" t="s">
        <v>16034</v>
      </c>
      <c r="BF428" s="56" t="s">
        <v>15181</v>
      </c>
      <c r="BG428" s="58"/>
      <c r="BH428" s="58"/>
      <c r="BI428" s="57" t="s">
        <v>2801</v>
      </c>
      <c r="BJ428" s="58"/>
      <c r="BK428" s="58"/>
      <c r="BL428" s="66">
        <v>3604480</v>
      </c>
      <c r="BM428" s="56" t="s">
        <v>16988</v>
      </c>
      <c r="BN428" s="67">
        <v>3445</v>
      </c>
      <c r="BO428" s="58"/>
      <c r="BP428" s="58"/>
      <c r="BQ428" s="58"/>
      <c r="BR428" s="56" t="s">
        <v>16989</v>
      </c>
      <c r="BS428" s="56" t="s">
        <v>1285</v>
      </c>
      <c r="BT428" s="58"/>
      <c r="BU428" s="58"/>
      <c r="BV428" s="58"/>
      <c r="BW428" s="58"/>
      <c r="BX428" s="67">
        <v>3445</v>
      </c>
      <c r="BY428" s="58"/>
      <c r="BZ428" s="58"/>
      <c r="CA428" s="58"/>
      <c r="CB428" s="58"/>
      <c r="CC428" s="58"/>
      <c r="CD428" s="58"/>
    </row>
    <row r="429" ht="108" spans="1:82">
      <c r="A429" s="56" t="s">
        <v>16992</v>
      </c>
      <c r="B429" s="58"/>
      <c r="C429" s="57" t="s">
        <v>16985</v>
      </c>
      <c r="D429" s="58"/>
      <c r="E429" s="57" t="s">
        <v>15158</v>
      </c>
      <c r="F429" s="57" t="s">
        <v>16986</v>
      </c>
      <c r="G429" s="57" t="s">
        <v>15160</v>
      </c>
      <c r="H429" s="56" t="s">
        <v>2958</v>
      </c>
      <c r="I429" s="60">
        <v>11063.49</v>
      </c>
      <c r="J429" s="58"/>
      <c r="K429" s="58"/>
      <c r="L429" s="57" t="s">
        <v>14203</v>
      </c>
      <c r="M429" s="61" t="s">
        <v>15448</v>
      </c>
      <c r="N429" s="62" t="s">
        <v>15448</v>
      </c>
      <c r="O429" s="57" t="s">
        <v>15165</v>
      </c>
      <c r="P429" s="57" t="s">
        <v>15166</v>
      </c>
      <c r="Q429" s="57" t="s">
        <v>2958</v>
      </c>
      <c r="R429" s="57" t="s">
        <v>16031</v>
      </c>
      <c r="S429" s="57" t="s">
        <v>16032</v>
      </c>
      <c r="T429" s="57" t="s">
        <v>15190</v>
      </c>
      <c r="U429" s="57" t="s">
        <v>14184</v>
      </c>
      <c r="V429" s="56" t="s">
        <v>14153</v>
      </c>
      <c r="W429" s="58"/>
      <c r="X429" s="57" t="s">
        <v>16987</v>
      </c>
      <c r="Y429" s="58"/>
      <c r="Z429" s="61" t="s">
        <v>16389</v>
      </c>
      <c r="AA429" s="58"/>
      <c r="AB429" s="58"/>
      <c r="AC429" s="58"/>
      <c r="AD429" s="58"/>
      <c r="AE429" s="58"/>
      <c r="AF429" s="58"/>
      <c r="AG429" s="58"/>
      <c r="AH429" s="58"/>
      <c r="AI429" s="58"/>
      <c r="AJ429" s="58"/>
      <c r="AK429" s="58"/>
      <c r="AL429" s="58"/>
      <c r="AM429" s="58"/>
      <c r="AN429" s="58"/>
      <c r="AO429" s="58"/>
      <c r="AP429" s="63">
        <v>45840.6811921296</v>
      </c>
      <c r="AQ429" s="58"/>
      <c r="AR429" s="58"/>
      <c r="AS429" s="57" t="s">
        <v>14184</v>
      </c>
      <c r="AT429" s="56" t="s">
        <v>15177</v>
      </c>
      <c r="AU429" s="58"/>
      <c r="AV429" s="58"/>
      <c r="AW429" s="64">
        <v>45840.6799652778</v>
      </c>
      <c r="AX429" s="58"/>
      <c r="AY429" s="56" t="s">
        <v>15179</v>
      </c>
      <c r="AZ429" s="58"/>
      <c r="BA429" s="58"/>
      <c r="BB429" s="58"/>
      <c r="BC429" s="56" t="s">
        <v>16041</v>
      </c>
      <c r="BD429" s="56" t="s">
        <v>15197</v>
      </c>
      <c r="BE429" s="56" t="s">
        <v>16034</v>
      </c>
      <c r="BF429" s="56" t="s">
        <v>15181</v>
      </c>
      <c r="BG429" s="58"/>
      <c r="BH429" s="58"/>
      <c r="BI429" s="57" t="s">
        <v>2801</v>
      </c>
      <c r="BJ429" s="58"/>
      <c r="BK429" s="58"/>
      <c r="BL429" s="66">
        <v>3604481</v>
      </c>
      <c r="BM429" s="56" t="s">
        <v>16988</v>
      </c>
      <c r="BN429" s="67">
        <v>1440</v>
      </c>
      <c r="BO429" s="58"/>
      <c r="BP429" s="58"/>
      <c r="BQ429" s="58"/>
      <c r="BR429" s="56" t="s">
        <v>16989</v>
      </c>
      <c r="BS429" s="56" t="s">
        <v>1285</v>
      </c>
      <c r="BT429" s="58"/>
      <c r="BU429" s="58"/>
      <c r="BV429" s="58"/>
      <c r="BW429" s="58"/>
      <c r="BX429" s="67">
        <v>1440</v>
      </c>
      <c r="BY429" s="58"/>
      <c r="BZ429" s="58"/>
      <c r="CA429" s="58"/>
      <c r="CB429" s="58"/>
      <c r="CC429" s="58"/>
      <c r="CD429" s="58"/>
    </row>
    <row r="430" ht="108" spans="1:82">
      <c r="A430" s="56" t="s">
        <v>16993</v>
      </c>
      <c r="B430" s="58"/>
      <c r="C430" s="57" t="s">
        <v>16985</v>
      </c>
      <c r="D430" s="58"/>
      <c r="E430" s="57" t="s">
        <v>15158</v>
      </c>
      <c r="F430" s="57" t="s">
        <v>16986</v>
      </c>
      <c r="G430" s="57" t="s">
        <v>15160</v>
      </c>
      <c r="H430" s="56" t="s">
        <v>2958</v>
      </c>
      <c r="I430" s="60">
        <v>11063.49</v>
      </c>
      <c r="J430" s="58"/>
      <c r="K430" s="58"/>
      <c r="L430" s="57" t="s">
        <v>14203</v>
      </c>
      <c r="M430" s="61" t="s">
        <v>15448</v>
      </c>
      <c r="N430" s="62" t="s">
        <v>15448</v>
      </c>
      <c r="O430" s="57" t="s">
        <v>15165</v>
      </c>
      <c r="P430" s="57" t="s">
        <v>15166</v>
      </c>
      <c r="Q430" s="57" t="s">
        <v>2958</v>
      </c>
      <c r="R430" s="57" t="s">
        <v>16031</v>
      </c>
      <c r="S430" s="57" t="s">
        <v>16032</v>
      </c>
      <c r="T430" s="57" t="s">
        <v>15190</v>
      </c>
      <c r="U430" s="57" t="s">
        <v>14184</v>
      </c>
      <c r="V430" s="56" t="s">
        <v>14153</v>
      </c>
      <c r="W430" s="58"/>
      <c r="X430" s="57" t="s">
        <v>16987</v>
      </c>
      <c r="Y430" s="58"/>
      <c r="Z430" s="61" t="s">
        <v>16389</v>
      </c>
      <c r="AA430" s="58"/>
      <c r="AB430" s="58"/>
      <c r="AC430" s="58"/>
      <c r="AD430" s="58"/>
      <c r="AE430" s="58"/>
      <c r="AF430" s="58"/>
      <c r="AG430" s="58"/>
      <c r="AH430" s="58"/>
      <c r="AI430" s="58"/>
      <c r="AJ430" s="58"/>
      <c r="AK430" s="58"/>
      <c r="AL430" s="58"/>
      <c r="AM430" s="58"/>
      <c r="AN430" s="58"/>
      <c r="AO430" s="58"/>
      <c r="AP430" s="63">
        <v>45840.6811921296</v>
      </c>
      <c r="AQ430" s="58"/>
      <c r="AR430" s="58"/>
      <c r="AS430" s="57" t="s">
        <v>14184</v>
      </c>
      <c r="AT430" s="56" t="s">
        <v>15177</v>
      </c>
      <c r="AU430" s="58"/>
      <c r="AV430" s="58"/>
      <c r="AW430" s="64">
        <v>45840.6799652778</v>
      </c>
      <c r="AX430" s="58"/>
      <c r="AY430" s="56" t="s">
        <v>15179</v>
      </c>
      <c r="AZ430" s="58"/>
      <c r="BA430" s="58"/>
      <c r="BB430" s="58"/>
      <c r="BC430" s="56" t="s">
        <v>16041</v>
      </c>
      <c r="BD430" s="56" t="s">
        <v>15197</v>
      </c>
      <c r="BE430" s="56" t="s">
        <v>16034</v>
      </c>
      <c r="BF430" s="56" t="s">
        <v>15181</v>
      </c>
      <c r="BG430" s="58"/>
      <c r="BH430" s="58"/>
      <c r="BI430" s="57" t="s">
        <v>2801</v>
      </c>
      <c r="BJ430" s="58"/>
      <c r="BK430" s="58"/>
      <c r="BL430" s="66">
        <v>3604482</v>
      </c>
      <c r="BM430" s="56" t="s">
        <v>16988</v>
      </c>
      <c r="BN430" s="67">
        <v>930</v>
      </c>
      <c r="BO430" s="58"/>
      <c r="BP430" s="58"/>
      <c r="BQ430" s="58"/>
      <c r="BR430" s="56" t="s">
        <v>16989</v>
      </c>
      <c r="BS430" s="56" t="s">
        <v>1285</v>
      </c>
      <c r="BT430" s="58"/>
      <c r="BU430" s="58"/>
      <c r="BV430" s="58"/>
      <c r="BW430" s="58"/>
      <c r="BX430" s="67">
        <v>930</v>
      </c>
      <c r="BY430" s="58"/>
      <c r="BZ430" s="58"/>
      <c r="CA430" s="58"/>
      <c r="CB430" s="58"/>
      <c r="CC430" s="58"/>
      <c r="CD430" s="58"/>
    </row>
    <row r="431" ht="108" spans="1:82">
      <c r="A431" s="56" t="s">
        <v>16994</v>
      </c>
      <c r="B431" s="58"/>
      <c r="C431" s="57" t="s">
        <v>16985</v>
      </c>
      <c r="D431" s="58"/>
      <c r="E431" s="57" t="s">
        <v>15158</v>
      </c>
      <c r="F431" s="57" t="s">
        <v>16986</v>
      </c>
      <c r="G431" s="57" t="s">
        <v>15160</v>
      </c>
      <c r="H431" s="56" t="s">
        <v>2958</v>
      </c>
      <c r="I431" s="60">
        <v>11063.49</v>
      </c>
      <c r="J431" s="58"/>
      <c r="K431" s="58"/>
      <c r="L431" s="57" t="s">
        <v>14203</v>
      </c>
      <c r="M431" s="61" t="s">
        <v>15448</v>
      </c>
      <c r="N431" s="62" t="s">
        <v>15448</v>
      </c>
      <c r="O431" s="57" t="s">
        <v>15165</v>
      </c>
      <c r="P431" s="57" t="s">
        <v>15166</v>
      </c>
      <c r="Q431" s="57" t="s">
        <v>2958</v>
      </c>
      <c r="R431" s="57" t="s">
        <v>16031</v>
      </c>
      <c r="S431" s="57" t="s">
        <v>16032</v>
      </c>
      <c r="T431" s="57" t="s">
        <v>15190</v>
      </c>
      <c r="U431" s="57" t="s">
        <v>14184</v>
      </c>
      <c r="V431" s="56" t="s">
        <v>14153</v>
      </c>
      <c r="W431" s="58"/>
      <c r="X431" s="57" t="s">
        <v>16987</v>
      </c>
      <c r="Y431" s="58"/>
      <c r="Z431" s="61" t="s">
        <v>16389</v>
      </c>
      <c r="AA431" s="58"/>
      <c r="AB431" s="58"/>
      <c r="AC431" s="58"/>
      <c r="AD431" s="58"/>
      <c r="AE431" s="58"/>
      <c r="AF431" s="58"/>
      <c r="AG431" s="58"/>
      <c r="AH431" s="58"/>
      <c r="AI431" s="58"/>
      <c r="AJ431" s="58"/>
      <c r="AK431" s="58"/>
      <c r="AL431" s="58"/>
      <c r="AM431" s="58"/>
      <c r="AN431" s="58"/>
      <c r="AO431" s="58"/>
      <c r="AP431" s="63">
        <v>45840.6811921296</v>
      </c>
      <c r="AQ431" s="58"/>
      <c r="AR431" s="58"/>
      <c r="AS431" s="57" t="s">
        <v>14184</v>
      </c>
      <c r="AT431" s="56" t="s">
        <v>15177</v>
      </c>
      <c r="AU431" s="58"/>
      <c r="AV431" s="58"/>
      <c r="AW431" s="64">
        <v>45840.6799652778</v>
      </c>
      <c r="AX431" s="58"/>
      <c r="AY431" s="56" t="s">
        <v>15179</v>
      </c>
      <c r="AZ431" s="58"/>
      <c r="BA431" s="58"/>
      <c r="BB431" s="58"/>
      <c r="BC431" s="56" t="s">
        <v>15196</v>
      </c>
      <c r="BD431" s="56" t="s">
        <v>15197</v>
      </c>
      <c r="BE431" s="56" t="s">
        <v>16034</v>
      </c>
      <c r="BF431" s="56" t="s">
        <v>15181</v>
      </c>
      <c r="BG431" s="58"/>
      <c r="BH431" s="58"/>
      <c r="BI431" s="57" t="s">
        <v>2801</v>
      </c>
      <c r="BJ431" s="58"/>
      <c r="BK431" s="58"/>
      <c r="BL431" s="66">
        <v>3604470</v>
      </c>
      <c r="BM431" s="56" t="s">
        <v>16988</v>
      </c>
      <c r="BN431" s="67">
        <v>1280.5</v>
      </c>
      <c r="BO431" s="58"/>
      <c r="BP431" s="58"/>
      <c r="BQ431" s="58"/>
      <c r="BR431" s="56" t="s">
        <v>16989</v>
      </c>
      <c r="BS431" s="56" t="s">
        <v>1285</v>
      </c>
      <c r="BT431" s="58"/>
      <c r="BU431" s="58"/>
      <c r="BV431" s="58"/>
      <c r="BW431" s="58"/>
      <c r="BX431" s="67">
        <v>1280.5</v>
      </c>
      <c r="BY431" s="58"/>
      <c r="BZ431" s="58"/>
      <c r="CA431" s="58"/>
      <c r="CB431" s="58"/>
      <c r="CC431" s="58"/>
      <c r="CD431" s="58"/>
    </row>
    <row r="432" ht="108" spans="1:82">
      <c r="A432" s="56" t="s">
        <v>16995</v>
      </c>
      <c r="B432" s="58"/>
      <c r="C432" s="57" t="s">
        <v>16985</v>
      </c>
      <c r="D432" s="58"/>
      <c r="E432" s="57" t="s">
        <v>15158</v>
      </c>
      <c r="F432" s="57" t="s">
        <v>16986</v>
      </c>
      <c r="G432" s="57" t="s">
        <v>15160</v>
      </c>
      <c r="H432" s="56" t="s">
        <v>2958</v>
      </c>
      <c r="I432" s="60">
        <v>11063.49</v>
      </c>
      <c r="J432" s="58"/>
      <c r="K432" s="58"/>
      <c r="L432" s="57" t="s">
        <v>14203</v>
      </c>
      <c r="M432" s="61" t="s">
        <v>15448</v>
      </c>
      <c r="N432" s="62" t="s">
        <v>15448</v>
      </c>
      <c r="O432" s="57" t="s">
        <v>15165</v>
      </c>
      <c r="P432" s="57" t="s">
        <v>15166</v>
      </c>
      <c r="Q432" s="57" t="s">
        <v>2958</v>
      </c>
      <c r="R432" s="57" t="s">
        <v>16031</v>
      </c>
      <c r="S432" s="57" t="s">
        <v>16032</v>
      </c>
      <c r="T432" s="57" t="s">
        <v>15190</v>
      </c>
      <c r="U432" s="57" t="s">
        <v>14184</v>
      </c>
      <c r="V432" s="56" t="s">
        <v>14153</v>
      </c>
      <c r="W432" s="58"/>
      <c r="X432" s="57" t="s">
        <v>16987</v>
      </c>
      <c r="Y432" s="58"/>
      <c r="Z432" s="61" t="s">
        <v>16389</v>
      </c>
      <c r="AA432" s="58"/>
      <c r="AB432" s="58"/>
      <c r="AC432" s="58"/>
      <c r="AD432" s="58"/>
      <c r="AE432" s="58"/>
      <c r="AF432" s="58"/>
      <c r="AG432" s="58"/>
      <c r="AH432" s="58"/>
      <c r="AI432" s="58"/>
      <c r="AJ432" s="58"/>
      <c r="AK432" s="58"/>
      <c r="AL432" s="58"/>
      <c r="AM432" s="58"/>
      <c r="AN432" s="58"/>
      <c r="AO432" s="58"/>
      <c r="AP432" s="63">
        <v>45840.6811921296</v>
      </c>
      <c r="AQ432" s="58"/>
      <c r="AR432" s="58"/>
      <c r="AS432" s="57" t="s">
        <v>14184</v>
      </c>
      <c r="AT432" s="56" t="s">
        <v>15177</v>
      </c>
      <c r="AU432" s="58"/>
      <c r="AV432" s="58"/>
      <c r="AW432" s="64">
        <v>45840.6799652778</v>
      </c>
      <c r="AX432" s="58"/>
      <c r="AY432" s="56" t="s">
        <v>15179</v>
      </c>
      <c r="AZ432" s="58"/>
      <c r="BA432" s="58"/>
      <c r="BB432" s="58"/>
      <c r="BC432" s="56" t="s">
        <v>15861</v>
      </c>
      <c r="BD432" s="56" t="s">
        <v>15197</v>
      </c>
      <c r="BE432" s="56" t="s">
        <v>16034</v>
      </c>
      <c r="BF432" s="56" t="s">
        <v>15181</v>
      </c>
      <c r="BG432" s="58"/>
      <c r="BH432" s="58"/>
      <c r="BI432" s="57" t="s">
        <v>2801</v>
      </c>
      <c r="BJ432" s="58"/>
      <c r="BK432" s="58"/>
      <c r="BL432" s="66">
        <v>3604471</v>
      </c>
      <c r="BM432" s="56" t="s">
        <v>16988</v>
      </c>
      <c r="BN432" s="67">
        <v>48.27</v>
      </c>
      <c r="BO432" s="58"/>
      <c r="BP432" s="58"/>
      <c r="BQ432" s="58"/>
      <c r="BR432" s="56" t="s">
        <v>16989</v>
      </c>
      <c r="BS432" s="56" t="s">
        <v>1285</v>
      </c>
      <c r="BT432" s="58"/>
      <c r="BU432" s="58"/>
      <c r="BV432" s="58"/>
      <c r="BW432" s="58"/>
      <c r="BX432" s="67">
        <v>48.27</v>
      </c>
      <c r="BY432" s="58"/>
      <c r="BZ432" s="58"/>
      <c r="CA432" s="58"/>
      <c r="CB432" s="58"/>
      <c r="CC432" s="58"/>
      <c r="CD432" s="58"/>
    </row>
    <row r="433" ht="108" spans="1:82">
      <c r="A433" s="56" t="s">
        <v>16996</v>
      </c>
      <c r="B433" s="58"/>
      <c r="C433" s="57" t="s">
        <v>16985</v>
      </c>
      <c r="D433" s="58"/>
      <c r="E433" s="57" t="s">
        <v>15158</v>
      </c>
      <c r="F433" s="57" t="s">
        <v>16986</v>
      </c>
      <c r="G433" s="57" t="s">
        <v>15160</v>
      </c>
      <c r="H433" s="56" t="s">
        <v>2958</v>
      </c>
      <c r="I433" s="60">
        <v>11063.49</v>
      </c>
      <c r="J433" s="58"/>
      <c r="K433" s="58"/>
      <c r="L433" s="57" t="s">
        <v>14203</v>
      </c>
      <c r="M433" s="61" t="s">
        <v>15448</v>
      </c>
      <c r="N433" s="62" t="s">
        <v>15448</v>
      </c>
      <c r="O433" s="57" t="s">
        <v>15165</v>
      </c>
      <c r="P433" s="57" t="s">
        <v>15166</v>
      </c>
      <c r="Q433" s="57" t="s">
        <v>2958</v>
      </c>
      <c r="R433" s="57" t="s">
        <v>16031</v>
      </c>
      <c r="S433" s="57" t="s">
        <v>16032</v>
      </c>
      <c r="T433" s="57" t="s">
        <v>15190</v>
      </c>
      <c r="U433" s="57" t="s">
        <v>14184</v>
      </c>
      <c r="V433" s="56" t="s">
        <v>14153</v>
      </c>
      <c r="W433" s="58"/>
      <c r="X433" s="57" t="s">
        <v>16987</v>
      </c>
      <c r="Y433" s="58"/>
      <c r="Z433" s="61" t="s">
        <v>16389</v>
      </c>
      <c r="AA433" s="58"/>
      <c r="AB433" s="58"/>
      <c r="AC433" s="58"/>
      <c r="AD433" s="58"/>
      <c r="AE433" s="58"/>
      <c r="AF433" s="58"/>
      <c r="AG433" s="58"/>
      <c r="AH433" s="58"/>
      <c r="AI433" s="58"/>
      <c r="AJ433" s="58"/>
      <c r="AK433" s="58"/>
      <c r="AL433" s="58"/>
      <c r="AM433" s="58"/>
      <c r="AN433" s="58"/>
      <c r="AO433" s="58"/>
      <c r="AP433" s="63">
        <v>45840.6811921296</v>
      </c>
      <c r="AQ433" s="58"/>
      <c r="AR433" s="58"/>
      <c r="AS433" s="57" t="s">
        <v>14184</v>
      </c>
      <c r="AT433" s="56" t="s">
        <v>15177</v>
      </c>
      <c r="AU433" s="58"/>
      <c r="AV433" s="58"/>
      <c r="AW433" s="64">
        <v>45840.6799652778</v>
      </c>
      <c r="AX433" s="58"/>
      <c r="AY433" s="56" t="s">
        <v>15179</v>
      </c>
      <c r="AZ433" s="58"/>
      <c r="BA433" s="58"/>
      <c r="BB433" s="58"/>
      <c r="BC433" s="56" t="s">
        <v>1780</v>
      </c>
      <c r="BD433" s="56" t="s">
        <v>15197</v>
      </c>
      <c r="BE433" s="56" t="s">
        <v>16034</v>
      </c>
      <c r="BF433" s="56" t="s">
        <v>15181</v>
      </c>
      <c r="BG433" s="58"/>
      <c r="BH433" s="58"/>
      <c r="BI433" s="57" t="s">
        <v>2801</v>
      </c>
      <c r="BJ433" s="58"/>
      <c r="BK433" s="58"/>
      <c r="BL433" s="66">
        <v>3604475</v>
      </c>
      <c r="BM433" s="56" t="s">
        <v>16988</v>
      </c>
      <c r="BN433" s="67">
        <v>237</v>
      </c>
      <c r="BO433" s="58"/>
      <c r="BP433" s="58"/>
      <c r="BQ433" s="58"/>
      <c r="BR433" s="56" t="s">
        <v>16989</v>
      </c>
      <c r="BS433" s="56" t="s">
        <v>1285</v>
      </c>
      <c r="BT433" s="58"/>
      <c r="BU433" s="58"/>
      <c r="BV433" s="58"/>
      <c r="BW433" s="58"/>
      <c r="BX433" s="67">
        <v>237</v>
      </c>
      <c r="BY433" s="58"/>
      <c r="BZ433" s="58"/>
      <c r="CA433" s="58"/>
      <c r="CB433" s="58"/>
      <c r="CC433" s="58"/>
      <c r="CD433" s="58"/>
    </row>
    <row r="434" ht="108" spans="1:82">
      <c r="A434" s="56" t="s">
        <v>16997</v>
      </c>
      <c r="B434" s="58"/>
      <c r="C434" s="57" t="s">
        <v>16985</v>
      </c>
      <c r="D434" s="58"/>
      <c r="E434" s="57" t="s">
        <v>15158</v>
      </c>
      <c r="F434" s="57" t="s">
        <v>16986</v>
      </c>
      <c r="G434" s="57" t="s">
        <v>15160</v>
      </c>
      <c r="H434" s="56" t="s">
        <v>2958</v>
      </c>
      <c r="I434" s="60">
        <v>11063.49</v>
      </c>
      <c r="J434" s="58"/>
      <c r="K434" s="58"/>
      <c r="L434" s="57" t="s">
        <v>14203</v>
      </c>
      <c r="M434" s="61" t="s">
        <v>15448</v>
      </c>
      <c r="N434" s="62" t="s">
        <v>15448</v>
      </c>
      <c r="O434" s="57" t="s">
        <v>15165</v>
      </c>
      <c r="P434" s="57" t="s">
        <v>15166</v>
      </c>
      <c r="Q434" s="57" t="s">
        <v>2958</v>
      </c>
      <c r="R434" s="57" t="s">
        <v>16031</v>
      </c>
      <c r="S434" s="57" t="s">
        <v>16032</v>
      </c>
      <c r="T434" s="57" t="s">
        <v>15190</v>
      </c>
      <c r="U434" s="57" t="s">
        <v>14184</v>
      </c>
      <c r="V434" s="56" t="s">
        <v>14153</v>
      </c>
      <c r="W434" s="58"/>
      <c r="X434" s="57" t="s">
        <v>16987</v>
      </c>
      <c r="Y434" s="58"/>
      <c r="Z434" s="61" t="s">
        <v>16389</v>
      </c>
      <c r="AA434" s="58"/>
      <c r="AB434" s="58"/>
      <c r="AC434" s="58"/>
      <c r="AD434" s="58"/>
      <c r="AE434" s="58"/>
      <c r="AF434" s="58"/>
      <c r="AG434" s="58"/>
      <c r="AH434" s="58"/>
      <c r="AI434" s="58"/>
      <c r="AJ434" s="58"/>
      <c r="AK434" s="58"/>
      <c r="AL434" s="58"/>
      <c r="AM434" s="58"/>
      <c r="AN434" s="58"/>
      <c r="AO434" s="58"/>
      <c r="AP434" s="63">
        <v>45840.6811921296</v>
      </c>
      <c r="AQ434" s="58"/>
      <c r="AR434" s="58"/>
      <c r="AS434" s="57" t="s">
        <v>14184</v>
      </c>
      <c r="AT434" s="56" t="s">
        <v>15177</v>
      </c>
      <c r="AU434" s="58"/>
      <c r="AV434" s="58"/>
      <c r="AW434" s="64">
        <v>45840.6799652778</v>
      </c>
      <c r="AX434" s="58"/>
      <c r="AY434" s="56" t="s">
        <v>15179</v>
      </c>
      <c r="AZ434" s="58"/>
      <c r="BA434" s="58"/>
      <c r="BB434" s="58"/>
      <c r="BC434" s="56" t="s">
        <v>16041</v>
      </c>
      <c r="BD434" s="56" t="s">
        <v>15197</v>
      </c>
      <c r="BE434" s="56" t="s">
        <v>16034</v>
      </c>
      <c r="BF434" s="56" t="s">
        <v>15181</v>
      </c>
      <c r="BG434" s="58"/>
      <c r="BH434" s="58"/>
      <c r="BI434" s="57" t="s">
        <v>2801</v>
      </c>
      <c r="BJ434" s="58"/>
      <c r="BK434" s="58"/>
      <c r="BL434" s="66">
        <v>3604476</v>
      </c>
      <c r="BM434" s="56" t="s">
        <v>16988</v>
      </c>
      <c r="BN434" s="67">
        <v>270</v>
      </c>
      <c r="BO434" s="58"/>
      <c r="BP434" s="58"/>
      <c r="BQ434" s="58"/>
      <c r="BR434" s="56" t="s">
        <v>16989</v>
      </c>
      <c r="BS434" s="56" t="s">
        <v>1285</v>
      </c>
      <c r="BT434" s="58"/>
      <c r="BU434" s="58"/>
      <c r="BV434" s="58"/>
      <c r="BW434" s="58"/>
      <c r="BX434" s="67">
        <v>270</v>
      </c>
      <c r="BY434" s="58"/>
      <c r="BZ434" s="58"/>
      <c r="CA434" s="58"/>
      <c r="CB434" s="58"/>
      <c r="CC434" s="58"/>
      <c r="CD434" s="58"/>
    </row>
    <row r="435" ht="108" spans="1:82">
      <c r="A435" s="56" t="s">
        <v>16998</v>
      </c>
      <c r="B435" s="58"/>
      <c r="C435" s="57" t="s">
        <v>16985</v>
      </c>
      <c r="D435" s="58"/>
      <c r="E435" s="57" t="s">
        <v>15158</v>
      </c>
      <c r="F435" s="57" t="s">
        <v>16986</v>
      </c>
      <c r="G435" s="57" t="s">
        <v>15160</v>
      </c>
      <c r="H435" s="56" t="s">
        <v>2958</v>
      </c>
      <c r="I435" s="60">
        <v>11063.49</v>
      </c>
      <c r="J435" s="58"/>
      <c r="K435" s="58"/>
      <c r="L435" s="57" t="s">
        <v>14203</v>
      </c>
      <c r="M435" s="61" t="s">
        <v>15448</v>
      </c>
      <c r="N435" s="62" t="s">
        <v>15448</v>
      </c>
      <c r="O435" s="57" t="s">
        <v>15165</v>
      </c>
      <c r="P435" s="57" t="s">
        <v>15166</v>
      </c>
      <c r="Q435" s="57" t="s">
        <v>2958</v>
      </c>
      <c r="R435" s="57" t="s">
        <v>16031</v>
      </c>
      <c r="S435" s="57" t="s">
        <v>16032</v>
      </c>
      <c r="T435" s="57" t="s">
        <v>15190</v>
      </c>
      <c r="U435" s="57" t="s">
        <v>14184</v>
      </c>
      <c r="V435" s="56" t="s">
        <v>14153</v>
      </c>
      <c r="W435" s="58"/>
      <c r="X435" s="57" t="s">
        <v>16987</v>
      </c>
      <c r="Y435" s="58"/>
      <c r="Z435" s="61" t="s">
        <v>16389</v>
      </c>
      <c r="AA435" s="58"/>
      <c r="AB435" s="58"/>
      <c r="AC435" s="58"/>
      <c r="AD435" s="58"/>
      <c r="AE435" s="58"/>
      <c r="AF435" s="58"/>
      <c r="AG435" s="58"/>
      <c r="AH435" s="58"/>
      <c r="AI435" s="58"/>
      <c r="AJ435" s="58"/>
      <c r="AK435" s="58"/>
      <c r="AL435" s="58"/>
      <c r="AM435" s="58"/>
      <c r="AN435" s="58"/>
      <c r="AO435" s="58"/>
      <c r="AP435" s="63">
        <v>45840.6811921296</v>
      </c>
      <c r="AQ435" s="58"/>
      <c r="AR435" s="58"/>
      <c r="AS435" s="57" t="s">
        <v>14184</v>
      </c>
      <c r="AT435" s="56" t="s">
        <v>15177</v>
      </c>
      <c r="AU435" s="58"/>
      <c r="AV435" s="58"/>
      <c r="AW435" s="64">
        <v>45840.6799652778</v>
      </c>
      <c r="AX435" s="58"/>
      <c r="AY435" s="56" t="s">
        <v>15179</v>
      </c>
      <c r="AZ435" s="58"/>
      <c r="BA435" s="58"/>
      <c r="BB435" s="58"/>
      <c r="BC435" s="56" t="s">
        <v>15213</v>
      </c>
      <c r="BD435" s="56" t="s">
        <v>15197</v>
      </c>
      <c r="BE435" s="56" t="s">
        <v>16034</v>
      </c>
      <c r="BF435" s="56" t="s">
        <v>15181</v>
      </c>
      <c r="BG435" s="58"/>
      <c r="BH435" s="58"/>
      <c r="BI435" s="57" t="s">
        <v>2801</v>
      </c>
      <c r="BJ435" s="58"/>
      <c r="BK435" s="58"/>
      <c r="BL435" s="66">
        <v>3604477</v>
      </c>
      <c r="BM435" s="56" t="s">
        <v>16988</v>
      </c>
      <c r="BN435" s="67">
        <v>864</v>
      </c>
      <c r="BO435" s="58"/>
      <c r="BP435" s="58"/>
      <c r="BQ435" s="58"/>
      <c r="BR435" s="56" t="s">
        <v>16989</v>
      </c>
      <c r="BS435" s="56" t="s">
        <v>1285</v>
      </c>
      <c r="BT435" s="58"/>
      <c r="BU435" s="58"/>
      <c r="BV435" s="58"/>
      <c r="BW435" s="58"/>
      <c r="BX435" s="67">
        <v>864</v>
      </c>
      <c r="BY435" s="58"/>
      <c r="BZ435" s="58"/>
      <c r="CA435" s="58"/>
      <c r="CB435" s="58"/>
      <c r="CC435" s="58"/>
      <c r="CD435" s="58"/>
    </row>
    <row r="436" ht="108" spans="1:82">
      <c r="A436" s="56" t="s">
        <v>16999</v>
      </c>
      <c r="B436" s="58"/>
      <c r="C436" s="57" t="s">
        <v>16985</v>
      </c>
      <c r="D436" s="58"/>
      <c r="E436" s="57" t="s">
        <v>15158</v>
      </c>
      <c r="F436" s="57" t="s">
        <v>16986</v>
      </c>
      <c r="G436" s="57" t="s">
        <v>15160</v>
      </c>
      <c r="H436" s="56" t="s">
        <v>2958</v>
      </c>
      <c r="I436" s="60">
        <v>11063.49</v>
      </c>
      <c r="J436" s="58"/>
      <c r="K436" s="58"/>
      <c r="L436" s="57" t="s">
        <v>14203</v>
      </c>
      <c r="M436" s="61" t="s">
        <v>15448</v>
      </c>
      <c r="N436" s="62" t="s">
        <v>15448</v>
      </c>
      <c r="O436" s="57" t="s">
        <v>15165</v>
      </c>
      <c r="P436" s="57" t="s">
        <v>15166</v>
      </c>
      <c r="Q436" s="57" t="s">
        <v>2958</v>
      </c>
      <c r="R436" s="57" t="s">
        <v>16031</v>
      </c>
      <c r="S436" s="57" t="s">
        <v>16032</v>
      </c>
      <c r="T436" s="57" t="s">
        <v>15190</v>
      </c>
      <c r="U436" s="57" t="s">
        <v>14184</v>
      </c>
      <c r="V436" s="56" t="s">
        <v>14153</v>
      </c>
      <c r="W436" s="58"/>
      <c r="X436" s="57" t="s">
        <v>16987</v>
      </c>
      <c r="Y436" s="58"/>
      <c r="Z436" s="61" t="s">
        <v>16389</v>
      </c>
      <c r="AA436" s="58"/>
      <c r="AB436" s="58"/>
      <c r="AC436" s="58"/>
      <c r="AD436" s="58"/>
      <c r="AE436" s="58"/>
      <c r="AF436" s="58"/>
      <c r="AG436" s="58"/>
      <c r="AH436" s="58"/>
      <c r="AI436" s="58"/>
      <c r="AJ436" s="58"/>
      <c r="AK436" s="58"/>
      <c r="AL436" s="58"/>
      <c r="AM436" s="58"/>
      <c r="AN436" s="58"/>
      <c r="AO436" s="58"/>
      <c r="AP436" s="63">
        <v>45840.6811921296</v>
      </c>
      <c r="AQ436" s="58"/>
      <c r="AR436" s="58"/>
      <c r="AS436" s="57" t="s">
        <v>14184</v>
      </c>
      <c r="AT436" s="56" t="s">
        <v>15177</v>
      </c>
      <c r="AU436" s="58"/>
      <c r="AV436" s="58"/>
      <c r="AW436" s="64">
        <v>45840.6799652778</v>
      </c>
      <c r="AX436" s="58"/>
      <c r="AY436" s="56" t="s">
        <v>15179</v>
      </c>
      <c r="AZ436" s="58"/>
      <c r="BA436" s="58"/>
      <c r="BB436" s="58"/>
      <c r="BC436" s="56" t="s">
        <v>16041</v>
      </c>
      <c r="BD436" s="56" t="s">
        <v>15197</v>
      </c>
      <c r="BE436" s="56" t="s">
        <v>16034</v>
      </c>
      <c r="BF436" s="56" t="s">
        <v>15181</v>
      </c>
      <c r="BG436" s="58"/>
      <c r="BH436" s="58"/>
      <c r="BI436" s="57" t="s">
        <v>2801</v>
      </c>
      <c r="BJ436" s="58"/>
      <c r="BK436" s="58"/>
      <c r="BL436" s="66">
        <v>3604478</v>
      </c>
      <c r="BM436" s="56" t="s">
        <v>16988</v>
      </c>
      <c r="BN436" s="67">
        <v>264.6</v>
      </c>
      <c r="BO436" s="58"/>
      <c r="BP436" s="58"/>
      <c r="BQ436" s="58"/>
      <c r="BR436" s="56" t="s">
        <v>16989</v>
      </c>
      <c r="BS436" s="56" t="s">
        <v>1285</v>
      </c>
      <c r="BT436" s="58"/>
      <c r="BU436" s="58"/>
      <c r="BV436" s="58"/>
      <c r="BW436" s="58"/>
      <c r="BX436" s="67">
        <v>264.6</v>
      </c>
      <c r="BY436" s="58"/>
      <c r="BZ436" s="58"/>
      <c r="CA436" s="58"/>
      <c r="CB436" s="58"/>
      <c r="CC436" s="58"/>
      <c r="CD436" s="58"/>
    </row>
    <row r="437" ht="108" spans="1:82">
      <c r="A437" s="56" t="s">
        <v>17000</v>
      </c>
      <c r="B437" s="58"/>
      <c r="C437" s="57" t="s">
        <v>16985</v>
      </c>
      <c r="D437" s="58"/>
      <c r="E437" s="57" t="s">
        <v>15158</v>
      </c>
      <c r="F437" s="57" t="s">
        <v>16986</v>
      </c>
      <c r="G437" s="57" t="s">
        <v>15160</v>
      </c>
      <c r="H437" s="56" t="s">
        <v>2958</v>
      </c>
      <c r="I437" s="60">
        <v>11063.49</v>
      </c>
      <c r="J437" s="58"/>
      <c r="K437" s="58"/>
      <c r="L437" s="57" t="s">
        <v>14203</v>
      </c>
      <c r="M437" s="61" t="s">
        <v>15448</v>
      </c>
      <c r="N437" s="62" t="s">
        <v>15448</v>
      </c>
      <c r="O437" s="57" t="s">
        <v>15165</v>
      </c>
      <c r="P437" s="57" t="s">
        <v>15166</v>
      </c>
      <c r="Q437" s="57" t="s">
        <v>2958</v>
      </c>
      <c r="R437" s="57" t="s">
        <v>16031</v>
      </c>
      <c r="S437" s="57" t="s">
        <v>16032</v>
      </c>
      <c r="T437" s="57" t="s">
        <v>15190</v>
      </c>
      <c r="U437" s="57" t="s">
        <v>14184</v>
      </c>
      <c r="V437" s="56" t="s">
        <v>14153</v>
      </c>
      <c r="W437" s="58"/>
      <c r="X437" s="57" t="s">
        <v>16987</v>
      </c>
      <c r="Y437" s="58"/>
      <c r="Z437" s="61" t="s">
        <v>16389</v>
      </c>
      <c r="AA437" s="58"/>
      <c r="AB437" s="58"/>
      <c r="AC437" s="58"/>
      <c r="AD437" s="58"/>
      <c r="AE437" s="58"/>
      <c r="AF437" s="58"/>
      <c r="AG437" s="58"/>
      <c r="AH437" s="58"/>
      <c r="AI437" s="58"/>
      <c r="AJ437" s="58"/>
      <c r="AK437" s="58"/>
      <c r="AL437" s="58"/>
      <c r="AM437" s="58"/>
      <c r="AN437" s="58"/>
      <c r="AO437" s="58"/>
      <c r="AP437" s="63">
        <v>45840.6811921296</v>
      </c>
      <c r="AQ437" s="58"/>
      <c r="AR437" s="58"/>
      <c r="AS437" s="57" t="s">
        <v>14184</v>
      </c>
      <c r="AT437" s="56" t="s">
        <v>15177</v>
      </c>
      <c r="AU437" s="58"/>
      <c r="AV437" s="58"/>
      <c r="AW437" s="64">
        <v>45840.6799652778</v>
      </c>
      <c r="AX437" s="58"/>
      <c r="AY437" s="56" t="s">
        <v>15179</v>
      </c>
      <c r="AZ437" s="58"/>
      <c r="BA437" s="58"/>
      <c r="BB437" s="58"/>
      <c r="BC437" s="56" t="s">
        <v>16041</v>
      </c>
      <c r="BD437" s="56" t="s">
        <v>15197</v>
      </c>
      <c r="BE437" s="56" t="s">
        <v>16034</v>
      </c>
      <c r="BF437" s="56" t="s">
        <v>15181</v>
      </c>
      <c r="BG437" s="58"/>
      <c r="BH437" s="58"/>
      <c r="BI437" s="57" t="s">
        <v>2801</v>
      </c>
      <c r="BJ437" s="58"/>
      <c r="BK437" s="58"/>
      <c r="BL437" s="66">
        <v>3604483</v>
      </c>
      <c r="BM437" s="56" t="s">
        <v>16988</v>
      </c>
      <c r="BN437" s="67">
        <v>105</v>
      </c>
      <c r="BO437" s="58"/>
      <c r="BP437" s="58"/>
      <c r="BQ437" s="58"/>
      <c r="BR437" s="56" t="s">
        <v>16989</v>
      </c>
      <c r="BS437" s="56" t="s">
        <v>1285</v>
      </c>
      <c r="BT437" s="58"/>
      <c r="BU437" s="58"/>
      <c r="BV437" s="58"/>
      <c r="BW437" s="58"/>
      <c r="BX437" s="67">
        <v>105</v>
      </c>
      <c r="BY437" s="58"/>
      <c r="BZ437" s="58"/>
      <c r="CA437" s="58"/>
      <c r="CB437" s="58"/>
      <c r="CC437" s="58"/>
      <c r="CD437" s="58"/>
    </row>
    <row r="438" ht="108" spans="1:82">
      <c r="A438" s="56" t="s">
        <v>17001</v>
      </c>
      <c r="B438" s="58"/>
      <c r="C438" s="57" t="s">
        <v>16985</v>
      </c>
      <c r="D438" s="58"/>
      <c r="E438" s="57" t="s">
        <v>15158</v>
      </c>
      <c r="F438" s="57" t="s">
        <v>16986</v>
      </c>
      <c r="G438" s="57" t="s">
        <v>15160</v>
      </c>
      <c r="H438" s="56" t="s">
        <v>2958</v>
      </c>
      <c r="I438" s="60">
        <v>11063.49</v>
      </c>
      <c r="J438" s="58"/>
      <c r="K438" s="58"/>
      <c r="L438" s="57" t="s">
        <v>14203</v>
      </c>
      <c r="M438" s="61" t="s">
        <v>15448</v>
      </c>
      <c r="N438" s="62" t="s">
        <v>15448</v>
      </c>
      <c r="O438" s="57" t="s">
        <v>15165</v>
      </c>
      <c r="P438" s="57" t="s">
        <v>15166</v>
      </c>
      <c r="Q438" s="57" t="s">
        <v>2958</v>
      </c>
      <c r="R438" s="57" t="s">
        <v>16031</v>
      </c>
      <c r="S438" s="57" t="s">
        <v>16032</v>
      </c>
      <c r="T438" s="57" t="s">
        <v>15190</v>
      </c>
      <c r="U438" s="57" t="s">
        <v>14184</v>
      </c>
      <c r="V438" s="56" t="s">
        <v>14153</v>
      </c>
      <c r="W438" s="58"/>
      <c r="X438" s="57" t="s">
        <v>16987</v>
      </c>
      <c r="Y438" s="58"/>
      <c r="Z438" s="61" t="s">
        <v>16389</v>
      </c>
      <c r="AA438" s="58"/>
      <c r="AB438" s="58"/>
      <c r="AC438" s="58"/>
      <c r="AD438" s="58"/>
      <c r="AE438" s="58"/>
      <c r="AF438" s="58"/>
      <c r="AG438" s="58"/>
      <c r="AH438" s="58"/>
      <c r="AI438" s="58"/>
      <c r="AJ438" s="58"/>
      <c r="AK438" s="58"/>
      <c r="AL438" s="58"/>
      <c r="AM438" s="58"/>
      <c r="AN438" s="58"/>
      <c r="AO438" s="58"/>
      <c r="AP438" s="63">
        <v>45840.6811921296</v>
      </c>
      <c r="AQ438" s="58"/>
      <c r="AR438" s="58"/>
      <c r="AS438" s="57" t="s">
        <v>14184</v>
      </c>
      <c r="AT438" s="56" t="s">
        <v>15177</v>
      </c>
      <c r="AU438" s="58"/>
      <c r="AV438" s="58"/>
      <c r="AW438" s="64">
        <v>45840.6799652778</v>
      </c>
      <c r="AX438" s="58"/>
      <c r="AY438" s="56" t="s">
        <v>15179</v>
      </c>
      <c r="AZ438" s="58"/>
      <c r="BA438" s="58"/>
      <c r="BB438" s="58"/>
      <c r="BC438" s="56" t="s">
        <v>1760</v>
      </c>
      <c r="BD438" s="56" t="s">
        <v>15197</v>
      </c>
      <c r="BE438" s="56" t="s">
        <v>16034</v>
      </c>
      <c r="BF438" s="56" t="s">
        <v>15181</v>
      </c>
      <c r="BG438" s="58"/>
      <c r="BH438" s="58"/>
      <c r="BI438" s="57" t="s">
        <v>2801</v>
      </c>
      <c r="BJ438" s="58"/>
      <c r="BK438" s="58"/>
      <c r="BL438" s="66">
        <v>3604472</v>
      </c>
      <c r="BM438" s="56" t="s">
        <v>16988</v>
      </c>
      <c r="BN438" s="67">
        <v>880</v>
      </c>
      <c r="BO438" s="58"/>
      <c r="BP438" s="58"/>
      <c r="BQ438" s="58"/>
      <c r="BR438" s="56" t="s">
        <v>16989</v>
      </c>
      <c r="BS438" s="56" t="s">
        <v>1285</v>
      </c>
      <c r="BT438" s="58"/>
      <c r="BU438" s="58"/>
      <c r="BV438" s="58"/>
      <c r="BW438" s="58"/>
      <c r="BX438" s="67">
        <v>880</v>
      </c>
      <c r="BY438" s="58"/>
      <c r="BZ438" s="58"/>
      <c r="CA438" s="58"/>
      <c r="CB438" s="58"/>
      <c r="CC438" s="58"/>
      <c r="CD438" s="58"/>
    </row>
    <row r="439" ht="108" spans="1:82">
      <c r="A439" s="56" t="s">
        <v>17002</v>
      </c>
      <c r="B439" s="58"/>
      <c r="C439" s="57" t="s">
        <v>16985</v>
      </c>
      <c r="D439" s="58"/>
      <c r="E439" s="57" t="s">
        <v>15158</v>
      </c>
      <c r="F439" s="57" t="s">
        <v>16986</v>
      </c>
      <c r="G439" s="57" t="s">
        <v>15160</v>
      </c>
      <c r="H439" s="56" t="s">
        <v>2958</v>
      </c>
      <c r="I439" s="60">
        <v>11063.49</v>
      </c>
      <c r="J439" s="58"/>
      <c r="K439" s="58"/>
      <c r="L439" s="57" t="s">
        <v>14203</v>
      </c>
      <c r="M439" s="61" t="s">
        <v>15448</v>
      </c>
      <c r="N439" s="62" t="s">
        <v>15448</v>
      </c>
      <c r="O439" s="57" t="s">
        <v>15165</v>
      </c>
      <c r="P439" s="57" t="s">
        <v>15166</v>
      </c>
      <c r="Q439" s="57" t="s">
        <v>2958</v>
      </c>
      <c r="R439" s="57" t="s">
        <v>16031</v>
      </c>
      <c r="S439" s="57" t="s">
        <v>16032</v>
      </c>
      <c r="T439" s="57" t="s">
        <v>15190</v>
      </c>
      <c r="U439" s="57" t="s">
        <v>14184</v>
      </c>
      <c r="V439" s="56" t="s">
        <v>14153</v>
      </c>
      <c r="W439" s="58"/>
      <c r="X439" s="57" t="s">
        <v>16987</v>
      </c>
      <c r="Y439" s="58"/>
      <c r="Z439" s="61" t="s">
        <v>16389</v>
      </c>
      <c r="AA439" s="58"/>
      <c r="AB439" s="58"/>
      <c r="AC439" s="58"/>
      <c r="AD439" s="58"/>
      <c r="AE439" s="58"/>
      <c r="AF439" s="58"/>
      <c r="AG439" s="58"/>
      <c r="AH439" s="58"/>
      <c r="AI439" s="58"/>
      <c r="AJ439" s="58"/>
      <c r="AK439" s="58"/>
      <c r="AL439" s="58"/>
      <c r="AM439" s="58"/>
      <c r="AN439" s="58"/>
      <c r="AO439" s="58"/>
      <c r="AP439" s="63">
        <v>45840.6811921296</v>
      </c>
      <c r="AQ439" s="58"/>
      <c r="AR439" s="58"/>
      <c r="AS439" s="57" t="s">
        <v>14184</v>
      </c>
      <c r="AT439" s="56" t="s">
        <v>15177</v>
      </c>
      <c r="AU439" s="58"/>
      <c r="AV439" s="58"/>
      <c r="AW439" s="64">
        <v>45840.6799652778</v>
      </c>
      <c r="AX439" s="58"/>
      <c r="AY439" s="56" t="s">
        <v>15179</v>
      </c>
      <c r="AZ439" s="58"/>
      <c r="BA439" s="58"/>
      <c r="BB439" s="58"/>
      <c r="BC439" s="56" t="s">
        <v>16041</v>
      </c>
      <c r="BD439" s="56" t="s">
        <v>15197</v>
      </c>
      <c r="BE439" s="56" t="s">
        <v>16034</v>
      </c>
      <c r="BF439" s="56" t="s">
        <v>15181</v>
      </c>
      <c r="BG439" s="58"/>
      <c r="BH439" s="58"/>
      <c r="BI439" s="57" t="s">
        <v>2801</v>
      </c>
      <c r="BJ439" s="58"/>
      <c r="BK439" s="58"/>
      <c r="BL439" s="66">
        <v>3604473</v>
      </c>
      <c r="BM439" s="56" t="s">
        <v>16988</v>
      </c>
      <c r="BN439" s="67">
        <v>183.12</v>
      </c>
      <c r="BO439" s="58"/>
      <c r="BP439" s="58"/>
      <c r="BQ439" s="58"/>
      <c r="BR439" s="56" t="s">
        <v>16989</v>
      </c>
      <c r="BS439" s="56" t="s">
        <v>1285</v>
      </c>
      <c r="BT439" s="58"/>
      <c r="BU439" s="58"/>
      <c r="BV439" s="58"/>
      <c r="BW439" s="58"/>
      <c r="BX439" s="67">
        <v>183.12</v>
      </c>
      <c r="BY439" s="58"/>
      <c r="BZ439" s="58"/>
      <c r="CA439" s="58"/>
      <c r="CB439" s="58"/>
      <c r="CC439" s="58"/>
      <c r="CD439" s="58"/>
    </row>
    <row r="440" ht="108" spans="1:82">
      <c r="A440" s="56" t="s">
        <v>17003</v>
      </c>
      <c r="B440" s="58"/>
      <c r="C440" s="57" t="s">
        <v>17004</v>
      </c>
      <c r="D440" s="58"/>
      <c r="E440" s="57" t="s">
        <v>15158</v>
      </c>
      <c r="F440" s="57" t="s">
        <v>17005</v>
      </c>
      <c r="G440" s="57" t="s">
        <v>15160</v>
      </c>
      <c r="H440" s="56" t="s">
        <v>3112</v>
      </c>
      <c r="I440" s="60">
        <v>7187.93</v>
      </c>
      <c r="J440" s="58"/>
      <c r="K440" s="58"/>
      <c r="L440" s="57" t="s">
        <v>14203</v>
      </c>
      <c r="M440" s="61" t="s">
        <v>15448</v>
      </c>
      <c r="N440" s="62" t="s">
        <v>15448</v>
      </c>
      <c r="O440" s="57" t="s">
        <v>15165</v>
      </c>
      <c r="P440" s="57" t="s">
        <v>15166</v>
      </c>
      <c r="Q440" s="57" t="s">
        <v>3112</v>
      </c>
      <c r="R440" s="57" t="s">
        <v>15188</v>
      </c>
      <c r="S440" s="57" t="s">
        <v>15189</v>
      </c>
      <c r="T440" s="57" t="s">
        <v>15190</v>
      </c>
      <c r="U440" s="57" t="s">
        <v>14184</v>
      </c>
      <c r="V440" s="56" t="s">
        <v>14153</v>
      </c>
      <c r="W440" s="58"/>
      <c r="X440" s="57" t="s">
        <v>17006</v>
      </c>
      <c r="Y440" s="58"/>
      <c r="Z440" s="61" t="s">
        <v>16389</v>
      </c>
      <c r="AA440" s="58"/>
      <c r="AB440" s="58"/>
      <c r="AC440" s="58"/>
      <c r="AD440" s="58"/>
      <c r="AE440" s="58"/>
      <c r="AF440" s="58"/>
      <c r="AG440" s="58"/>
      <c r="AH440" s="58"/>
      <c r="AI440" s="58"/>
      <c r="AJ440" s="58"/>
      <c r="AK440" s="58"/>
      <c r="AL440" s="58"/>
      <c r="AM440" s="58"/>
      <c r="AN440" s="58"/>
      <c r="AO440" s="58"/>
      <c r="AP440" s="63">
        <v>45840.5945833333</v>
      </c>
      <c r="AQ440" s="58"/>
      <c r="AR440" s="58"/>
      <c r="AS440" s="57" t="s">
        <v>14184</v>
      </c>
      <c r="AT440" s="56" t="s">
        <v>15177</v>
      </c>
      <c r="AU440" s="58"/>
      <c r="AV440" s="58"/>
      <c r="AW440" s="64">
        <v>45840.5919675926</v>
      </c>
      <c r="AX440" s="58"/>
      <c r="AY440" s="56" t="s">
        <v>15179</v>
      </c>
      <c r="AZ440" s="58"/>
      <c r="BA440" s="58"/>
      <c r="BB440" s="58"/>
      <c r="BC440" s="56" t="s">
        <v>15965</v>
      </c>
      <c r="BD440" s="56" t="s">
        <v>15197</v>
      </c>
      <c r="BE440" s="58"/>
      <c r="BF440" s="56" t="s">
        <v>15181</v>
      </c>
      <c r="BG440" s="58"/>
      <c r="BH440" s="58"/>
      <c r="BI440" s="57" t="s">
        <v>2801</v>
      </c>
      <c r="BJ440" s="58"/>
      <c r="BK440" s="58"/>
      <c r="BL440" s="66">
        <v>3594921</v>
      </c>
      <c r="BM440" s="56" t="s">
        <v>17007</v>
      </c>
      <c r="BN440" s="67">
        <v>7187.93</v>
      </c>
      <c r="BO440" s="58"/>
      <c r="BP440" s="58"/>
      <c r="BQ440" s="58"/>
      <c r="BR440" s="56" t="s">
        <v>17008</v>
      </c>
      <c r="BS440" s="56" t="s">
        <v>1285</v>
      </c>
      <c r="BT440" s="58"/>
      <c r="BU440" s="58"/>
      <c r="BV440" s="58"/>
      <c r="BW440" s="58"/>
      <c r="BX440" s="67">
        <v>7187.93</v>
      </c>
      <c r="BY440" s="58"/>
      <c r="BZ440" s="58"/>
      <c r="CA440" s="58"/>
      <c r="CB440" s="58"/>
      <c r="CC440" s="58"/>
      <c r="CD440" s="58"/>
    </row>
    <row r="441" ht="108" spans="1:82">
      <c r="A441" s="56" t="s">
        <v>17009</v>
      </c>
      <c r="B441" s="58"/>
      <c r="C441" s="57" t="s">
        <v>17010</v>
      </c>
      <c r="D441" s="58"/>
      <c r="E441" s="57" t="s">
        <v>15158</v>
      </c>
      <c r="F441" s="57" t="s">
        <v>17011</v>
      </c>
      <c r="G441" s="57" t="s">
        <v>15160</v>
      </c>
      <c r="H441" s="56" t="s">
        <v>3797</v>
      </c>
      <c r="I441" s="60">
        <v>184000</v>
      </c>
      <c r="J441" s="58"/>
      <c r="K441" s="58"/>
      <c r="L441" s="57" t="s">
        <v>14203</v>
      </c>
      <c r="M441" s="61" t="s">
        <v>15448</v>
      </c>
      <c r="N441" s="62" t="s">
        <v>15448</v>
      </c>
      <c r="O441" s="57" t="s">
        <v>15165</v>
      </c>
      <c r="P441" s="57" t="s">
        <v>15166</v>
      </c>
      <c r="Q441" s="57" t="s">
        <v>3797</v>
      </c>
      <c r="R441" s="57" t="s">
        <v>17012</v>
      </c>
      <c r="S441" s="57" t="s">
        <v>17013</v>
      </c>
      <c r="T441" s="57" t="s">
        <v>15190</v>
      </c>
      <c r="U441" s="57" t="s">
        <v>14184</v>
      </c>
      <c r="V441" s="56" t="s">
        <v>14153</v>
      </c>
      <c r="W441" s="58"/>
      <c r="X441" s="57" t="s">
        <v>17014</v>
      </c>
      <c r="Y441" s="58"/>
      <c r="Z441" s="61" t="s">
        <v>16438</v>
      </c>
      <c r="AA441" s="58"/>
      <c r="AB441" s="58"/>
      <c r="AC441" s="58"/>
      <c r="AD441" s="58"/>
      <c r="AE441" s="58"/>
      <c r="AF441" s="58"/>
      <c r="AG441" s="58"/>
      <c r="AH441" s="58"/>
      <c r="AI441" s="58"/>
      <c r="AJ441" s="58"/>
      <c r="AK441" s="58"/>
      <c r="AL441" s="58"/>
      <c r="AM441" s="58"/>
      <c r="AN441" s="58"/>
      <c r="AO441" s="58"/>
      <c r="AP441" s="63">
        <v>45842.4434143519</v>
      </c>
      <c r="AQ441" s="58"/>
      <c r="AR441" s="58"/>
      <c r="AS441" s="57" t="s">
        <v>14184</v>
      </c>
      <c r="AT441" s="56" t="s">
        <v>15177</v>
      </c>
      <c r="AU441" s="58"/>
      <c r="AV441" s="58"/>
      <c r="AW441" s="64">
        <v>45841.7584490741</v>
      </c>
      <c r="AX441" s="58"/>
      <c r="AY441" s="56" t="s">
        <v>15179</v>
      </c>
      <c r="AZ441" s="58"/>
      <c r="BA441" s="58"/>
      <c r="BB441" s="58"/>
      <c r="BC441" s="56" t="s">
        <v>3795</v>
      </c>
      <c r="BD441" s="56" t="s">
        <v>15551</v>
      </c>
      <c r="BE441" s="56" t="s">
        <v>2837</v>
      </c>
      <c r="BF441" s="56" t="s">
        <v>15181</v>
      </c>
      <c r="BG441" s="58"/>
      <c r="BH441" s="58"/>
      <c r="BI441" s="57" t="s">
        <v>2801</v>
      </c>
      <c r="BJ441" s="58"/>
      <c r="BK441" s="58"/>
      <c r="BL441" s="66">
        <v>3528680</v>
      </c>
      <c r="BM441" s="56" t="s">
        <v>17015</v>
      </c>
      <c r="BN441" s="67">
        <v>184000</v>
      </c>
      <c r="BO441" s="58"/>
      <c r="BP441" s="58"/>
      <c r="BQ441" s="58"/>
      <c r="BR441" s="56" t="s">
        <v>17016</v>
      </c>
      <c r="BS441" s="56" t="s">
        <v>1285</v>
      </c>
      <c r="BT441" s="58"/>
      <c r="BU441" s="58"/>
      <c r="BV441" s="58"/>
      <c r="BW441" s="58"/>
      <c r="BX441" s="67">
        <v>184000</v>
      </c>
      <c r="BY441" s="58"/>
      <c r="BZ441" s="58"/>
      <c r="CA441" s="58"/>
      <c r="CB441" s="58"/>
      <c r="CC441" s="58"/>
      <c r="CD441" s="58"/>
    </row>
    <row r="442" ht="108" spans="1:82">
      <c r="A442" s="56" t="s">
        <v>17017</v>
      </c>
      <c r="B442" s="58"/>
      <c r="C442" s="57" t="s">
        <v>17018</v>
      </c>
      <c r="D442" s="58"/>
      <c r="E442" s="57" t="s">
        <v>15158</v>
      </c>
      <c r="F442" s="57" t="s">
        <v>17019</v>
      </c>
      <c r="G442" s="57" t="s">
        <v>15160</v>
      </c>
      <c r="H442" s="56" t="s">
        <v>2932</v>
      </c>
      <c r="I442" s="60">
        <v>31840.8</v>
      </c>
      <c r="J442" s="58"/>
      <c r="K442" s="58"/>
      <c r="L442" s="57" t="s">
        <v>14203</v>
      </c>
      <c r="M442" s="61" t="s">
        <v>15448</v>
      </c>
      <c r="N442" s="62" t="s">
        <v>15448</v>
      </c>
      <c r="O442" s="57" t="s">
        <v>15165</v>
      </c>
      <c r="P442" s="57" t="s">
        <v>15166</v>
      </c>
      <c r="Q442" s="57" t="s">
        <v>2932</v>
      </c>
      <c r="R442" s="57" t="s">
        <v>16053</v>
      </c>
      <c r="S442" s="57" t="s">
        <v>16054</v>
      </c>
      <c r="T442" s="57" t="s">
        <v>15190</v>
      </c>
      <c r="U442" s="57" t="s">
        <v>14184</v>
      </c>
      <c r="V442" s="56" t="s">
        <v>14153</v>
      </c>
      <c r="W442" s="58"/>
      <c r="X442" s="57" t="s">
        <v>17020</v>
      </c>
      <c r="Y442" s="58"/>
      <c r="Z442" s="61" t="s">
        <v>16438</v>
      </c>
      <c r="AA442" s="58"/>
      <c r="AB442" s="58"/>
      <c r="AC442" s="58"/>
      <c r="AD442" s="58"/>
      <c r="AE442" s="58"/>
      <c r="AF442" s="58"/>
      <c r="AG442" s="58"/>
      <c r="AH442" s="58"/>
      <c r="AI442" s="58"/>
      <c r="AJ442" s="58"/>
      <c r="AK442" s="58"/>
      <c r="AL442" s="58"/>
      <c r="AM442" s="58"/>
      <c r="AN442" s="58"/>
      <c r="AO442" s="58"/>
      <c r="AP442" s="63">
        <v>45841.764212963</v>
      </c>
      <c r="AQ442" s="58"/>
      <c r="AR442" s="58"/>
      <c r="AS442" s="57" t="s">
        <v>14184</v>
      </c>
      <c r="AT442" s="56" t="s">
        <v>15177</v>
      </c>
      <c r="AU442" s="58"/>
      <c r="AV442" s="58"/>
      <c r="AW442" s="64">
        <v>45841.7613657407</v>
      </c>
      <c r="AX442" s="58"/>
      <c r="AY442" s="56" t="s">
        <v>15179</v>
      </c>
      <c r="AZ442" s="58"/>
      <c r="BA442" s="58"/>
      <c r="BB442" s="58"/>
      <c r="BC442" s="56" t="s">
        <v>15965</v>
      </c>
      <c r="BD442" s="56" t="s">
        <v>15197</v>
      </c>
      <c r="BE442" s="58"/>
      <c r="BF442" s="56" t="s">
        <v>15181</v>
      </c>
      <c r="BG442" s="58"/>
      <c r="BH442" s="58"/>
      <c r="BI442" s="57" t="s">
        <v>2801</v>
      </c>
      <c r="BJ442" s="58"/>
      <c r="BK442" s="58"/>
      <c r="BL442" s="66">
        <v>3621217</v>
      </c>
      <c r="BM442" s="56" t="s">
        <v>17021</v>
      </c>
      <c r="BN442" s="67">
        <v>31840.8</v>
      </c>
      <c r="BO442" s="58"/>
      <c r="BP442" s="58"/>
      <c r="BQ442" s="58"/>
      <c r="BR442" s="56" t="s">
        <v>17022</v>
      </c>
      <c r="BS442" s="56" t="s">
        <v>1285</v>
      </c>
      <c r="BT442" s="58"/>
      <c r="BU442" s="58"/>
      <c r="BV442" s="58"/>
      <c r="BW442" s="58"/>
      <c r="BX442" s="67">
        <v>31840.8</v>
      </c>
      <c r="BY442" s="58"/>
      <c r="BZ442" s="58"/>
      <c r="CA442" s="58"/>
      <c r="CB442" s="58"/>
      <c r="CC442" s="58"/>
      <c r="CD442" s="58"/>
    </row>
    <row r="443" ht="108" spans="1:82">
      <c r="A443" s="56" t="s">
        <v>17023</v>
      </c>
      <c r="B443" s="58"/>
      <c r="C443" s="57" t="s">
        <v>17024</v>
      </c>
      <c r="D443" s="58"/>
      <c r="E443" s="57" t="s">
        <v>15158</v>
      </c>
      <c r="F443" s="57" t="s">
        <v>17025</v>
      </c>
      <c r="G443" s="57" t="s">
        <v>15160</v>
      </c>
      <c r="H443" s="56" t="s">
        <v>2938</v>
      </c>
      <c r="I443" s="60">
        <v>32300</v>
      </c>
      <c r="J443" s="58"/>
      <c r="K443" s="58"/>
      <c r="L443" s="57" t="s">
        <v>14203</v>
      </c>
      <c r="M443" s="61" t="s">
        <v>15448</v>
      </c>
      <c r="N443" s="62" t="s">
        <v>15448</v>
      </c>
      <c r="O443" s="57" t="s">
        <v>15165</v>
      </c>
      <c r="P443" s="57" t="s">
        <v>15166</v>
      </c>
      <c r="Q443" s="57" t="s">
        <v>2938</v>
      </c>
      <c r="R443" s="57" t="s">
        <v>15696</v>
      </c>
      <c r="S443" s="57" t="s">
        <v>15697</v>
      </c>
      <c r="T443" s="57" t="s">
        <v>15190</v>
      </c>
      <c r="U443" s="57" t="s">
        <v>14184</v>
      </c>
      <c r="V443" s="56" t="s">
        <v>14153</v>
      </c>
      <c r="W443" s="58"/>
      <c r="X443" s="57" t="s">
        <v>17026</v>
      </c>
      <c r="Y443" s="58"/>
      <c r="Z443" s="61" t="s">
        <v>16438</v>
      </c>
      <c r="AA443" s="58"/>
      <c r="AB443" s="58"/>
      <c r="AC443" s="58"/>
      <c r="AD443" s="58"/>
      <c r="AE443" s="58"/>
      <c r="AF443" s="58"/>
      <c r="AG443" s="58"/>
      <c r="AH443" s="58"/>
      <c r="AI443" s="58"/>
      <c r="AJ443" s="58"/>
      <c r="AK443" s="58"/>
      <c r="AL443" s="58"/>
      <c r="AM443" s="58"/>
      <c r="AN443" s="58"/>
      <c r="AO443" s="58"/>
      <c r="AP443" s="63">
        <v>45841.7628125</v>
      </c>
      <c r="AQ443" s="58"/>
      <c r="AR443" s="58"/>
      <c r="AS443" s="57" t="s">
        <v>14184</v>
      </c>
      <c r="AT443" s="56" t="s">
        <v>15177</v>
      </c>
      <c r="AU443" s="58"/>
      <c r="AV443" s="58"/>
      <c r="AW443" s="64">
        <v>45841.7607523148</v>
      </c>
      <c r="AX443" s="58"/>
      <c r="AY443" s="56" t="s">
        <v>15179</v>
      </c>
      <c r="AZ443" s="58"/>
      <c r="BA443" s="58"/>
      <c r="BB443" s="58"/>
      <c r="BC443" s="56" t="s">
        <v>15965</v>
      </c>
      <c r="BD443" s="56" t="s">
        <v>15197</v>
      </c>
      <c r="BE443" s="58"/>
      <c r="BF443" s="56" t="s">
        <v>15181</v>
      </c>
      <c r="BG443" s="58"/>
      <c r="BH443" s="58"/>
      <c r="BI443" s="57" t="s">
        <v>2801</v>
      </c>
      <c r="BJ443" s="58"/>
      <c r="BK443" s="58"/>
      <c r="BL443" s="66">
        <v>3621277</v>
      </c>
      <c r="BM443" s="56" t="s">
        <v>17027</v>
      </c>
      <c r="BN443" s="67">
        <v>32300</v>
      </c>
      <c r="BO443" s="58"/>
      <c r="BP443" s="58"/>
      <c r="BQ443" s="58"/>
      <c r="BR443" s="56" t="s">
        <v>17028</v>
      </c>
      <c r="BS443" s="56" t="s">
        <v>1285</v>
      </c>
      <c r="BT443" s="58"/>
      <c r="BU443" s="58"/>
      <c r="BV443" s="58"/>
      <c r="BW443" s="58"/>
      <c r="BX443" s="67">
        <v>32300</v>
      </c>
      <c r="BY443" s="58"/>
      <c r="BZ443" s="58"/>
      <c r="CA443" s="58"/>
      <c r="CB443" s="58"/>
      <c r="CC443" s="58"/>
      <c r="CD443" s="58"/>
    </row>
    <row r="444" ht="108" spans="1:82">
      <c r="A444" s="56" t="s">
        <v>17029</v>
      </c>
      <c r="B444" s="58"/>
      <c r="C444" s="57" t="s">
        <v>17030</v>
      </c>
      <c r="D444" s="58"/>
      <c r="E444" s="57" t="s">
        <v>15158</v>
      </c>
      <c r="F444" s="57" t="s">
        <v>17031</v>
      </c>
      <c r="G444" s="57" t="s">
        <v>15160</v>
      </c>
      <c r="H444" s="56" t="s">
        <v>2945</v>
      </c>
      <c r="I444" s="60">
        <v>19200</v>
      </c>
      <c r="J444" s="58"/>
      <c r="K444" s="58"/>
      <c r="L444" s="57" t="s">
        <v>14203</v>
      </c>
      <c r="M444" s="61" t="s">
        <v>15448</v>
      </c>
      <c r="N444" s="62" t="s">
        <v>15448</v>
      </c>
      <c r="O444" s="57" t="s">
        <v>15165</v>
      </c>
      <c r="P444" s="57" t="s">
        <v>15166</v>
      </c>
      <c r="Q444" s="57" t="s">
        <v>2945</v>
      </c>
      <c r="R444" s="57" t="s">
        <v>17032</v>
      </c>
      <c r="S444" s="57" t="s">
        <v>17033</v>
      </c>
      <c r="T444" s="57" t="s">
        <v>15190</v>
      </c>
      <c r="U444" s="57" t="s">
        <v>14184</v>
      </c>
      <c r="V444" s="56" t="s">
        <v>14153</v>
      </c>
      <c r="W444" s="58"/>
      <c r="X444" s="57" t="s">
        <v>17034</v>
      </c>
      <c r="Y444" s="58"/>
      <c r="Z444" s="61" t="s">
        <v>16438</v>
      </c>
      <c r="AA444" s="58"/>
      <c r="AB444" s="58"/>
      <c r="AC444" s="58"/>
      <c r="AD444" s="58"/>
      <c r="AE444" s="58"/>
      <c r="AF444" s="58"/>
      <c r="AG444" s="58"/>
      <c r="AH444" s="58"/>
      <c r="AI444" s="58"/>
      <c r="AJ444" s="58"/>
      <c r="AK444" s="58"/>
      <c r="AL444" s="58"/>
      <c r="AM444" s="58"/>
      <c r="AN444" s="58"/>
      <c r="AO444" s="58"/>
      <c r="AP444" s="63">
        <v>45841.7628356482</v>
      </c>
      <c r="AQ444" s="58"/>
      <c r="AR444" s="58"/>
      <c r="AS444" s="57" t="s">
        <v>14184</v>
      </c>
      <c r="AT444" s="56" t="s">
        <v>15177</v>
      </c>
      <c r="AU444" s="58"/>
      <c r="AV444" s="58"/>
      <c r="AW444" s="64">
        <v>45841.7606944444</v>
      </c>
      <c r="AX444" s="58"/>
      <c r="AY444" s="56" t="s">
        <v>15179</v>
      </c>
      <c r="AZ444" s="58"/>
      <c r="BA444" s="58"/>
      <c r="BB444" s="58"/>
      <c r="BC444" s="56" t="s">
        <v>15965</v>
      </c>
      <c r="BD444" s="56" t="s">
        <v>15197</v>
      </c>
      <c r="BE444" s="58"/>
      <c r="BF444" s="56" t="s">
        <v>15181</v>
      </c>
      <c r="BG444" s="58"/>
      <c r="BH444" s="58"/>
      <c r="BI444" s="57" t="s">
        <v>2801</v>
      </c>
      <c r="BJ444" s="58"/>
      <c r="BK444" s="58"/>
      <c r="BL444" s="66">
        <v>3621215</v>
      </c>
      <c r="BM444" s="56" t="s">
        <v>17035</v>
      </c>
      <c r="BN444" s="67">
        <v>19200</v>
      </c>
      <c r="BO444" s="58"/>
      <c r="BP444" s="58"/>
      <c r="BQ444" s="58"/>
      <c r="BR444" s="56" t="s">
        <v>17036</v>
      </c>
      <c r="BS444" s="56" t="s">
        <v>1285</v>
      </c>
      <c r="BT444" s="58"/>
      <c r="BU444" s="58"/>
      <c r="BV444" s="58"/>
      <c r="BW444" s="58"/>
      <c r="BX444" s="67">
        <v>19200</v>
      </c>
      <c r="BY444" s="58"/>
      <c r="BZ444" s="58"/>
      <c r="CA444" s="58"/>
      <c r="CB444" s="58"/>
      <c r="CC444" s="58"/>
      <c r="CD444" s="58"/>
    </row>
    <row r="445" ht="108" spans="1:82">
      <c r="A445" s="56" t="s">
        <v>17037</v>
      </c>
      <c r="B445" s="58"/>
      <c r="C445" s="57" t="s">
        <v>17038</v>
      </c>
      <c r="D445" s="58"/>
      <c r="E445" s="57" t="s">
        <v>15158</v>
      </c>
      <c r="F445" s="57" t="s">
        <v>17039</v>
      </c>
      <c r="G445" s="57" t="s">
        <v>15160</v>
      </c>
      <c r="H445" s="56" t="s">
        <v>2999</v>
      </c>
      <c r="I445" s="60">
        <v>2520</v>
      </c>
      <c r="J445" s="58"/>
      <c r="K445" s="58"/>
      <c r="L445" s="57" t="s">
        <v>14203</v>
      </c>
      <c r="M445" s="61" t="s">
        <v>17040</v>
      </c>
      <c r="N445" s="62" t="s">
        <v>17040</v>
      </c>
      <c r="O445" s="57" t="s">
        <v>15165</v>
      </c>
      <c r="P445" s="57" t="s">
        <v>15166</v>
      </c>
      <c r="Q445" s="57" t="s">
        <v>2999</v>
      </c>
      <c r="R445" s="57" t="s">
        <v>15219</v>
      </c>
      <c r="S445" s="57" t="s">
        <v>15220</v>
      </c>
      <c r="T445" s="57" t="s">
        <v>15190</v>
      </c>
      <c r="U445" s="57" t="s">
        <v>14184</v>
      </c>
      <c r="V445" s="56" t="s">
        <v>14153</v>
      </c>
      <c r="W445" s="58"/>
      <c r="X445" s="57" t="s">
        <v>17041</v>
      </c>
      <c r="Y445" s="58"/>
      <c r="Z445" s="61" t="s">
        <v>16389</v>
      </c>
      <c r="AA445" s="58"/>
      <c r="AB445" s="58"/>
      <c r="AC445" s="58"/>
      <c r="AD445" s="58"/>
      <c r="AE445" s="58"/>
      <c r="AF445" s="58"/>
      <c r="AG445" s="58"/>
      <c r="AH445" s="58"/>
      <c r="AI445" s="58"/>
      <c r="AJ445" s="58"/>
      <c r="AK445" s="58"/>
      <c r="AL445" s="58"/>
      <c r="AM445" s="58"/>
      <c r="AN445" s="58"/>
      <c r="AO445" s="58"/>
      <c r="AP445" s="63">
        <v>45840.7334953704</v>
      </c>
      <c r="AQ445" s="58"/>
      <c r="AR445" s="58"/>
      <c r="AS445" s="57" t="s">
        <v>14184</v>
      </c>
      <c r="AT445" s="56" t="s">
        <v>15177</v>
      </c>
      <c r="AU445" s="58"/>
      <c r="AV445" s="58"/>
      <c r="AW445" s="64">
        <v>45840.7308564815</v>
      </c>
      <c r="AX445" s="58"/>
      <c r="AY445" s="56" t="s">
        <v>15179</v>
      </c>
      <c r="AZ445" s="58"/>
      <c r="BA445" s="58"/>
      <c r="BB445" s="58"/>
      <c r="BC445" s="56" t="s">
        <v>2131</v>
      </c>
      <c r="BD445" s="56" t="s">
        <v>15197</v>
      </c>
      <c r="BE445" s="56" t="s">
        <v>15690</v>
      </c>
      <c r="BF445" s="56" t="s">
        <v>15181</v>
      </c>
      <c r="BG445" s="58"/>
      <c r="BH445" s="58"/>
      <c r="BI445" s="57" t="s">
        <v>2801</v>
      </c>
      <c r="BJ445" s="58"/>
      <c r="BK445" s="58"/>
      <c r="BL445" s="66">
        <v>3604467</v>
      </c>
      <c r="BM445" s="56" t="s">
        <v>17042</v>
      </c>
      <c r="BN445" s="67">
        <v>1260</v>
      </c>
      <c r="BO445" s="58"/>
      <c r="BP445" s="58"/>
      <c r="BQ445" s="58"/>
      <c r="BR445" s="56" t="s">
        <v>17043</v>
      </c>
      <c r="BS445" s="56" t="s">
        <v>1285</v>
      </c>
      <c r="BT445" s="58"/>
      <c r="BU445" s="58"/>
      <c r="BV445" s="58"/>
      <c r="BW445" s="58"/>
      <c r="BX445" s="67">
        <v>1260</v>
      </c>
      <c r="BY445" s="58"/>
      <c r="BZ445" s="58"/>
      <c r="CA445" s="58"/>
      <c r="CB445" s="58"/>
      <c r="CC445" s="58"/>
      <c r="CD445" s="58"/>
    </row>
    <row r="446" ht="108" spans="1:82">
      <c r="A446" s="56" t="s">
        <v>17044</v>
      </c>
      <c r="B446" s="58"/>
      <c r="C446" s="57" t="s">
        <v>17038</v>
      </c>
      <c r="D446" s="58"/>
      <c r="E446" s="57" t="s">
        <v>15158</v>
      </c>
      <c r="F446" s="57" t="s">
        <v>17039</v>
      </c>
      <c r="G446" s="57" t="s">
        <v>15160</v>
      </c>
      <c r="H446" s="56" t="s">
        <v>2999</v>
      </c>
      <c r="I446" s="60">
        <v>2520</v>
      </c>
      <c r="J446" s="58"/>
      <c r="K446" s="58"/>
      <c r="L446" s="57" t="s">
        <v>14203</v>
      </c>
      <c r="M446" s="61" t="s">
        <v>17040</v>
      </c>
      <c r="N446" s="62" t="s">
        <v>17040</v>
      </c>
      <c r="O446" s="57" t="s">
        <v>15165</v>
      </c>
      <c r="P446" s="57" t="s">
        <v>15166</v>
      </c>
      <c r="Q446" s="57" t="s">
        <v>2999</v>
      </c>
      <c r="R446" s="57" t="s">
        <v>15219</v>
      </c>
      <c r="S446" s="57" t="s">
        <v>15220</v>
      </c>
      <c r="T446" s="57" t="s">
        <v>15190</v>
      </c>
      <c r="U446" s="57" t="s">
        <v>14184</v>
      </c>
      <c r="V446" s="56" t="s">
        <v>14153</v>
      </c>
      <c r="W446" s="58"/>
      <c r="X446" s="57" t="s">
        <v>17041</v>
      </c>
      <c r="Y446" s="58"/>
      <c r="Z446" s="61" t="s">
        <v>16389</v>
      </c>
      <c r="AA446" s="58"/>
      <c r="AB446" s="58"/>
      <c r="AC446" s="58"/>
      <c r="AD446" s="58"/>
      <c r="AE446" s="58"/>
      <c r="AF446" s="58"/>
      <c r="AG446" s="58"/>
      <c r="AH446" s="58"/>
      <c r="AI446" s="58"/>
      <c r="AJ446" s="58"/>
      <c r="AK446" s="58"/>
      <c r="AL446" s="58"/>
      <c r="AM446" s="58"/>
      <c r="AN446" s="58"/>
      <c r="AO446" s="58"/>
      <c r="AP446" s="63">
        <v>45840.7334953704</v>
      </c>
      <c r="AQ446" s="58"/>
      <c r="AR446" s="58"/>
      <c r="AS446" s="57" t="s">
        <v>14184</v>
      </c>
      <c r="AT446" s="56" t="s">
        <v>15177</v>
      </c>
      <c r="AU446" s="58"/>
      <c r="AV446" s="58"/>
      <c r="AW446" s="64">
        <v>45840.7308564815</v>
      </c>
      <c r="AX446" s="58"/>
      <c r="AY446" s="56" t="s">
        <v>15179</v>
      </c>
      <c r="AZ446" s="58"/>
      <c r="BA446" s="58"/>
      <c r="BB446" s="58"/>
      <c r="BC446" s="56" t="s">
        <v>2131</v>
      </c>
      <c r="BD446" s="56" t="s">
        <v>15197</v>
      </c>
      <c r="BE446" s="56" t="s">
        <v>15690</v>
      </c>
      <c r="BF446" s="56" t="s">
        <v>15181</v>
      </c>
      <c r="BG446" s="58"/>
      <c r="BH446" s="58"/>
      <c r="BI446" s="57" t="s">
        <v>2801</v>
      </c>
      <c r="BJ446" s="58"/>
      <c r="BK446" s="58"/>
      <c r="BL446" s="66">
        <v>3604468</v>
      </c>
      <c r="BM446" s="56" t="s">
        <v>17042</v>
      </c>
      <c r="BN446" s="67">
        <v>1260</v>
      </c>
      <c r="BO446" s="58"/>
      <c r="BP446" s="58"/>
      <c r="BQ446" s="58"/>
      <c r="BR446" s="56" t="s">
        <v>17043</v>
      </c>
      <c r="BS446" s="56" t="s">
        <v>1285</v>
      </c>
      <c r="BT446" s="58"/>
      <c r="BU446" s="58"/>
      <c r="BV446" s="58"/>
      <c r="BW446" s="58"/>
      <c r="BX446" s="67">
        <v>1260</v>
      </c>
      <c r="BY446" s="58"/>
      <c r="BZ446" s="58"/>
      <c r="CA446" s="58"/>
      <c r="CB446" s="58"/>
      <c r="CC446" s="58"/>
      <c r="CD446" s="58"/>
    </row>
    <row r="447" ht="108" spans="1:82">
      <c r="A447" s="56" t="s">
        <v>17045</v>
      </c>
      <c r="B447" s="58"/>
      <c r="C447" s="57" t="s">
        <v>17046</v>
      </c>
      <c r="D447" s="58"/>
      <c r="E447" s="57" t="s">
        <v>15158</v>
      </c>
      <c r="F447" s="57" t="s">
        <v>17047</v>
      </c>
      <c r="G447" s="57" t="s">
        <v>15160</v>
      </c>
      <c r="H447" s="56" t="s">
        <v>2941</v>
      </c>
      <c r="I447" s="60">
        <v>14250</v>
      </c>
      <c r="J447" s="58"/>
      <c r="K447" s="58"/>
      <c r="L447" s="57" t="s">
        <v>14203</v>
      </c>
      <c r="M447" s="61" t="s">
        <v>17040</v>
      </c>
      <c r="N447" s="62" t="s">
        <v>17040</v>
      </c>
      <c r="O447" s="57" t="s">
        <v>15165</v>
      </c>
      <c r="P447" s="57" t="s">
        <v>15166</v>
      </c>
      <c r="Q447" s="57" t="s">
        <v>2941</v>
      </c>
      <c r="R447" s="57" t="s">
        <v>17048</v>
      </c>
      <c r="S447" s="57" t="s">
        <v>17049</v>
      </c>
      <c r="T447" s="57" t="s">
        <v>15190</v>
      </c>
      <c r="U447" s="57" t="s">
        <v>14184</v>
      </c>
      <c r="V447" s="56" t="s">
        <v>14153</v>
      </c>
      <c r="W447" s="58"/>
      <c r="X447" s="57" t="s">
        <v>17050</v>
      </c>
      <c r="Y447" s="58"/>
      <c r="Z447" s="61" t="s">
        <v>16438</v>
      </c>
      <c r="AA447" s="58"/>
      <c r="AB447" s="58"/>
      <c r="AC447" s="58"/>
      <c r="AD447" s="58"/>
      <c r="AE447" s="58"/>
      <c r="AF447" s="58"/>
      <c r="AG447" s="58"/>
      <c r="AH447" s="58"/>
      <c r="AI447" s="58"/>
      <c r="AJ447" s="58"/>
      <c r="AK447" s="58"/>
      <c r="AL447" s="58"/>
      <c r="AM447" s="58"/>
      <c r="AN447" s="58"/>
      <c r="AO447" s="58"/>
      <c r="AP447" s="63">
        <v>45841.764212963</v>
      </c>
      <c r="AQ447" s="58"/>
      <c r="AR447" s="58"/>
      <c r="AS447" s="57" t="s">
        <v>14184</v>
      </c>
      <c r="AT447" s="56" t="s">
        <v>15177</v>
      </c>
      <c r="AU447" s="58"/>
      <c r="AV447" s="58"/>
      <c r="AW447" s="64">
        <v>45841.7625694444</v>
      </c>
      <c r="AX447" s="58"/>
      <c r="AY447" s="56" t="s">
        <v>15179</v>
      </c>
      <c r="AZ447" s="58"/>
      <c r="BA447" s="58"/>
      <c r="BB447" s="58"/>
      <c r="BC447" s="56" t="s">
        <v>15965</v>
      </c>
      <c r="BD447" s="56" t="s">
        <v>15197</v>
      </c>
      <c r="BE447" s="58"/>
      <c r="BF447" s="56" t="s">
        <v>15181</v>
      </c>
      <c r="BG447" s="58"/>
      <c r="BH447" s="58"/>
      <c r="BI447" s="57" t="s">
        <v>2801</v>
      </c>
      <c r="BJ447" s="58"/>
      <c r="BK447" s="58"/>
      <c r="BL447" s="66">
        <v>3612690</v>
      </c>
      <c r="BM447" s="56" t="s">
        <v>17051</v>
      </c>
      <c r="BN447" s="67">
        <v>14250</v>
      </c>
      <c r="BO447" s="58"/>
      <c r="BP447" s="58"/>
      <c r="BQ447" s="58"/>
      <c r="BR447" s="56" t="s">
        <v>17052</v>
      </c>
      <c r="BS447" s="56" t="s">
        <v>1285</v>
      </c>
      <c r="BT447" s="58"/>
      <c r="BU447" s="58"/>
      <c r="BV447" s="58"/>
      <c r="BW447" s="58"/>
      <c r="BX447" s="67">
        <v>14250</v>
      </c>
      <c r="BY447" s="58"/>
      <c r="BZ447" s="58"/>
      <c r="CA447" s="58"/>
      <c r="CB447" s="58"/>
      <c r="CC447" s="58"/>
      <c r="CD447" s="58"/>
    </row>
    <row r="448" ht="108" spans="1:82">
      <c r="A448" s="56" t="s">
        <v>17053</v>
      </c>
      <c r="B448" s="58"/>
      <c r="C448" s="57" t="s">
        <v>17054</v>
      </c>
      <c r="D448" s="58"/>
      <c r="E448" s="57" t="s">
        <v>15158</v>
      </c>
      <c r="F448" s="57" t="s">
        <v>17055</v>
      </c>
      <c r="G448" s="57" t="s">
        <v>15160</v>
      </c>
      <c r="H448" s="56" t="s">
        <v>3025</v>
      </c>
      <c r="I448" s="60">
        <v>3028.4</v>
      </c>
      <c r="J448" s="58"/>
      <c r="K448" s="58"/>
      <c r="L448" s="57" t="s">
        <v>14203</v>
      </c>
      <c r="M448" s="61" t="s">
        <v>17040</v>
      </c>
      <c r="N448" s="62" t="s">
        <v>17040</v>
      </c>
      <c r="O448" s="57" t="s">
        <v>15165</v>
      </c>
      <c r="P448" s="57" t="s">
        <v>15166</v>
      </c>
      <c r="Q448" s="57" t="s">
        <v>3025</v>
      </c>
      <c r="R448" s="57" t="s">
        <v>16068</v>
      </c>
      <c r="S448" s="57" t="s">
        <v>16069</v>
      </c>
      <c r="T448" s="57" t="s">
        <v>15190</v>
      </c>
      <c r="U448" s="57" t="s">
        <v>14184</v>
      </c>
      <c r="V448" s="56" t="s">
        <v>14153</v>
      </c>
      <c r="W448" s="58"/>
      <c r="X448" s="57" t="s">
        <v>17056</v>
      </c>
      <c r="Y448" s="58"/>
      <c r="Z448" s="61" t="s">
        <v>16438</v>
      </c>
      <c r="AA448" s="58"/>
      <c r="AB448" s="58"/>
      <c r="AC448" s="58"/>
      <c r="AD448" s="58"/>
      <c r="AE448" s="58"/>
      <c r="AF448" s="58"/>
      <c r="AG448" s="58"/>
      <c r="AH448" s="58"/>
      <c r="AI448" s="58"/>
      <c r="AJ448" s="58"/>
      <c r="AK448" s="58"/>
      <c r="AL448" s="58"/>
      <c r="AM448" s="58"/>
      <c r="AN448" s="58"/>
      <c r="AO448" s="58"/>
      <c r="AP448" s="63">
        <v>45841.452025463</v>
      </c>
      <c r="AQ448" s="58"/>
      <c r="AR448" s="58"/>
      <c r="AS448" s="57" t="s">
        <v>14184</v>
      </c>
      <c r="AT448" s="56" t="s">
        <v>15177</v>
      </c>
      <c r="AU448" s="58"/>
      <c r="AV448" s="58"/>
      <c r="AW448" s="64">
        <v>45841.4504398148</v>
      </c>
      <c r="AX448" s="58"/>
      <c r="AY448" s="56" t="s">
        <v>15179</v>
      </c>
      <c r="AZ448" s="58"/>
      <c r="BA448" s="58"/>
      <c r="BB448" s="58"/>
      <c r="BC448" s="56" t="s">
        <v>1664</v>
      </c>
      <c r="BD448" s="56" t="s">
        <v>15197</v>
      </c>
      <c r="BE448" s="56" t="s">
        <v>16071</v>
      </c>
      <c r="BF448" s="56" t="s">
        <v>15181</v>
      </c>
      <c r="BG448" s="58"/>
      <c r="BH448" s="58"/>
      <c r="BI448" s="57" t="s">
        <v>2801</v>
      </c>
      <c r="BJ448" s="58"/>
      <c r="BK448" s="58"/>
      <c r="BL448" s="66">
        <v>3604463</v>
      </c>
      <c r="BM448" s="56" t="s">
        <v>17057</v>
      </c>
      <c r="BN448" s="67">
        <v>158.2</v>
      </c>
      <c r="BO448" s="58"/>
      <c r="BP448" s="58"/>
      <c r="BQ448" s="58"/>
      <c r="BR448" s="56" t="s">
        <v>17058</v>
      </c>
      <c r="BS448" s="56" t="s">
        <v>1285</v>
      </c>
      <c r="BT448" s="58"/>
      <c r="BU448" s="58"/>
      <c r="BV448" s="58"/>
      <c r="BW448" s="58"/>
      <c r="BX448" s="67">
        <v>158.2</v>
      </c>
      <c r="BY448" s="58"/>
      <c r="BZ448" s="58"/>
      <c r="CA448" s="58"/>
      <c r="CB448" s="58"/>
      <c r="CC448" s="58"/>
      <c r="CD448" s="58"/>
    </row>
    <row r="449" ht="108" spans="1:82">
      <c r="A449" s="56" t="s">
        <v>17059</v>
      </c>
      <c r="B449" s="58"/>
      <c r="C449" s="57" t="s">
        <v>17054</v>
      </c>
      <c r="D449" s="58"/>
      <c r="E449" s="57" t="s">
        <v>15158</v>
      </c>
      <c r="F449" s="57" t="s">
        <v>17055</v>
      </c>
      <c r="G449" s="57" t="s">
        <v>15160</v>
      </c>
      <c r="H449" s="56" t="s">
        <v>3025</v>
      </c>
      <c r="I449" s="60">
        <v>3028.4</v>
      </c>
      <c r="J449" s="58"/>
      <c r="K449" s="58"/>
      <c r="L449" s="57" t="s">
        <v>14203</v>
      </c>
      <c r="M449" s="61" t="s">
        <v>17040</v>
      </c>
      <c r="N449" s="62" t="s">
        <v>17040</v>
      </c>
      <c r="O449" s="57" t="s">
        <v>15165</v>
      </c>
      <c r="P449" s="57" t="s">
        <v>15166</v>
      </c>
      <c r="Q449" s="57" t="s">
        <v>3025</v>
      </c>
      <c r="R449" s="57" t="s">
        <v>16068</v>
      </c>
      <c r="S449" s="57" t="s">
        <v>16069</v>
      </c>
      <c r="T449" s="57" t="s">
        <v>15190</v>
      </c>
      <c r="U449" s="57" t="s">
        <v>14184</v>
      </c>
      <c r="V449" s="56" t="s">
        <v>14153</v>
      </c>
      <c r="W449" s="58"/>
      <c r="X449" s="57" t="s">
        <v>17056</v>
      </c>
      <c r="Y449" s="58"/>
      <c r="Z449" s="61" t="s">
        <v>16438</v>
      </c>
      <c r="AA449" s="58"/>
      <c r="AB449" s="58"/>
      <c r="AC449" s="58"/>
      <c r="AD449" s="58"/>
      <c r="AE449" s="58"/>
      <c r="AF449" s="58"/>
      <c r="AG449" s="58"/>
      <c r="AH449" s="58"/>
      <c r="AI449" s="58"/>
      <c r="AJ449" s="58"/>
      <c r="AK449" s="58"/>
      <c r="AL449" s="58"/>
      <c r="AM449" s="58"/>
      <c r="AN449" s="58"/>
      <c r="AO449" s="58"/>
      <c r="AP449" s="63">
        <v>45841.452025463</v>
      </c>
      <c r="AQ449" s="58"/>
      <c r="AR449" s="58"/>
      <c r="AS449" s="57" t="s">
        <v>14184</v>
      </c>
      <c r="AT449" s="56" t="s">
        <v>15177</v>
      </c>
      <c r="AU449" s="58"/>
      <c r="AV449" s="58"/>
      <c r="AW449" s="64">
        <v>45841.4504398148</v>
      </c>
      <c r="AX449" s="58"/>
      <c r="AY449" s="56" t="s">
        <v>15179</v>
      </c>
      <c r="AZ449" s="58"/>
      <c r="BA449" s="58"/>
      <c r="BB449" s="58"/>
      <c r="BC449" s="56" t="s">
        <v>1697</v>
      </c>
      <c r="BD449" s="56" t="s">
        <v>15197</v>
      </c>
      <c r="BE449" s="56" t="s">
        <v>16071</v>
      </c>
      <c r="BF449" s="56" t="s">
        <v>15181</v>
      </c>
      <c r="BG449" s="58"/>
      <c r="BH449" s="58"/>
      <c r="BI449" s="57" t="s">
        <v>2801</v>
      </c>
      <c r="BJ449" s="58"/>
      <c r="BK449" s="58"/>
      <c r="BL449" s="66">
        <v>3604464</v>
      </c>
      <c r="BM449" s="56" t="s">
        <v>17057</v>
      </c>
      <c r="BN449" s="67">
        <v>310.75</v>
      </c>
      <c r="BO449" s="58"/>
      <c r="BP449" s="58"/>
      <c r="BQ449" s="58"/>
      <c r="BR449" s="56" t="s">
        <v>17058</v>
      </c>
      <c r="BS449" s="56" t="s">
        <v>1285</v>
      </c>
      <c r="BT449" s="58"/>
      <c r="BU449" s="58"/>
      <c r="BV449" s="58"/>
      <c r="BW449" s="58"/>
      <c r="BX449" s="67">
        <v>310.75</v>
      </c>
      <c r="BY449" s="58"/>
      <c r="BZ449" s="58"/>
      <c r="CA449" s="58"/>
      <c r="CB449" s="58"/>
      <c r="CC449" s="58"/>
      <c r="CD449" s="58"/>
    </row>
    <row r="450" ht="108" spans="1:82">
      <c r="A450" s="56" t="s">
        <v>17060</v>
      </c>
      <c r="B450" s="58"/>
      <c r="C450" s="57" t="s">
        <v>17054</v>
      </c>
      <c r="D450" s="58"/>
      <c r="E450" s="57" t="s">
        <v>15158</v>
      </c>
      <c r="F450" s="57" t="s">
        <v>17055</v>
      </c>
      <c r="G450" s="57" t="s">
        <v>15160</v>
      </c>
      <c r="H450" s="56" t="s">
        <v>3025</v>
      </c>
      <c r="I450" s="60">
        <v>3028.4</v>
      </c>
      <c r="J450" s="58"/>
      <c r="K450" s="58"/>
      <c r="L450" s="57" t="s">
        <v>14203</v>
      </c>
      <c r="M450" s="61" t="s">
        <v>17040</v>
      </c>
      <c r="N450" s="62" t="s">
        <v>17040</v>
      </c>
      <c r="O450" s="57" t="s">
        <v>15165</v>
      </c>
      <c r="P450" s="57" t="s">
        <v>15166</v>
      </c>
      <c r="Q450" s="57" t="s">
        <v>3025</v>
      </c>
      <c r="R450" s="57" t="s">
        <v>16068</v>
      </c>
      <c r="S450" s="57" t="s">
        <v>16069</v>
      </c>
      <c r="T450" s="57" t="s">
        <v>15190</v>
      </c>
      <c r="U450" s="57" t="s">
        <v>14184</v>
      </c>
      <c r="V450" s="56" t="s">
        <v>14153</v>
      </c>
      <c r="W450" s="58"/>
      <c r="X450" s="57" t="s">
        <v>17056</v>
      </c>
      <c r="Y450" s="58"/>
      <c r="Z450" s="61" t="s">
        <v>16438</v>
      </c>
      <c r="AA450" s="58"/>
      <c r="AB450" s="58"/>
      <c r="AC450" s="58"/>
      <c r="AD450" s="58"/>
      <c r="AE450" s="58"/>
      <c r="AF450" s="58"/>
      <c r="AG450" s="58"/>
      <c r="AH450" s="58"/>
      <c r="AI450" s="58"/>
      <c r="AJ450" s="58"/>
      <c r="AK450" s="58"/>
      <c r="AL450" s="58"/>
      <c r="AM450" s="58"/>
      <c r="AN450" s="58"/>
      <c r="AO450" s="58"/>
      <c r="AP450" s="63">
        <v>45841.452025463</v>
      </c>
      <c r="AQ450" s="58"/>
      <c r="AR450" s="58"/>
      <c r="AS450" s="57" t="s">
        <v>14184</v>
      </c>
      <c r="AT450" s="56" t="s">
        <v>15177</v>
      </c>
      <c r="AU450" s="58"/>
      <c r="AV450" s="58"/>
      <c r="AW450" s="64">
        <v>45841.4504398148</v>
      </c>
      <c r="AX450" s="58"/>
      <c r="AY450" s="56" t="s">
        <v>15179</v>
      </c>
      <c r="AZ450" s="58"/>
      <c r="BA450" s="58"/>
      <c r="BB450" s="58"/>
      <c r="BC450" s="56" t="s">
        <v>138</v>
      </c>
      <c r="BD450" s="56" t="s">
        <v>15197</v>
      </c>
      <c r="BE450" s="56" t="s">
        <v>16071</v>
      </c>
      <c r="BF450" s="56" t="s">
        <v>15181</v>
      </c>
      <c r="BG450" s="58"/>
      <c r="BH450" s="58"/>
      <c r="BI450" s="57" t="s">
        <v>2801</v>
      </c>
      <c r="BJ450" s="58"/>
      <c r="BK450" s="58"/>
      <c r="BL450" s="66">
        <v>3604466</v>
      </c>
      <c r="BM450" s="56" t="s">
        <v>17057</v>
      </c>
      <c r="BN450" s="67">
        <v>355.95</v>
      </c>
      <c r="BO450" s="58"/>
      <c r="BP450" s="58"/>
      <c r="BQ450" s="58"/>
      <c r="BR450" s="56" t="s">
        <v>17058</v>
      </c>
      <c r="BS450" s="56" t="s">
        <v>1285</v>
      </c>
      <c r="BT450" s="58"/>
      <c r="BU450" s="58"/>
      <c r="BV450" s="58"/>
      <c r="BW450" s="58"/>
      <c r="BX450" s="67">
        <v>355.95</v>
      </c>
      <c r="BY450" s="58"/>
      <c r="BZ450" s="58"/>
      <c r="CA450" s="58"/>
      <c r="CB450" s="58"/>
      <c r="CC450" s="58"/>
      <c r="CD450" s="58"/>
    </row>
    <row r="451" ht="108" spans="1:82">
      <c r="A451" s="56" t="s">
        <v>17061</v>
      </c>
      <c r="B451" s="58"/>
      <c r="C451" s="57" t="s">
        <v>17054</v>
      </c>
      <c r="D451" s="58"/>
      <c r="E451" s="57" t="s">
        <v>15158</v>
      </c>
      <c r="F451" s="57" t="s">
        <v>17055</v>
      </c>
      <c r="G451" s="57" t="s">
        <v>15160</v>
      </c>
      <c r="H451" s="56" t="s">
        <v>3025</v>
      </c>
      <c r="I451" s="60">
        <v>3028.4</v>
      </c>
      <c r="J451" s="58"/>
      <c r="K451" s="58"/>
      <c r="L451" s="57" t="s">
        <v>14203</v>
      </c>
      <c r="M451" s="61" t="s">
        <v>17040</v>
      </c>
      <c r="N451" s="62" t="s">
        <v>17040</v>
      </c>
      <c r="O451" s="57" t="s">
        <v>15165</v>
      </c>
      <c r="P451" s="57" t="s">
        <v>15166</v>
      </c>
      <c r="Q451" s="57" t="s">
        <v>3025</v>
      </c>
      <c r="R451" s="57" t="s">
        <v>16068</v>
      </c>
      <c r="S451" s="57" t="s">
        <v>16069</v>
      </c>
      <c r="T451" s="57" t="s">
        <v>15190</v>
      </c>
      <c r="U451" s="57" t="s">
        <v>14184</v>
      </c>
      <c r="V451" s="56" t="s">
        <v>14153</v>
      </c>
      <c r="W451" s="58"/>
      <c r="X451" s="57" t="s">
        <v>17056</v>
      </c>
      <c r="Y451" s="58"/>
      <c r="Z451" s="61" t="s">
        <v>16438</v>
      </c>
      <c r="AA451" s="58"/>
      <c r="AB451" s="58"/>
      <c r="AC451" s="58"/>
      <c r="AD451" s="58"/>
      <c r="AE451" s="58"/>
      <c r="AF451" s="58"/>
      <c r="AG451" s="58"/>
      <c r="AH451" s="58"/>
      <c r="AI451" s="58"/>
      <c r="AJ451" s="58"/>
      <c r="AK451" s="58"/>
      <c r="AL451" s="58"/>
      <c r="AM451" s="58"/>
      <c r="AN451" s="58"/>
      <c r="AO451" s="58"/>
      <c r="AP451" s="63">
        <v>45841.452025463</v>
      </c>
      <c r="AQ451" s="58"/>
      <c r="AR451" s="58"/>
      <c r="AS451" s="57" t="s">
        <v>14184</v>
      </c>
      <c r="AT451" s="56" t="s">
        <v>15177</v>
      </c>
      <c r="AU451" s="58"/>
      <c r="AV451" s="58"/>
      <c r="AW451" s="64">
        <v>45841.4504398148</v>
      </c>
      <c r="AX451" s="58"/>
      <c r="AY451" s="56" t="s">
        <v>15179</v>
      </c>
      <c r="AZ451" s="58"/>
      <c r="BA451" s="58"/>
      <c r="BB451" s="58"/>
      <c r="BC451" s="56" t="s">
        <v>1697</v>
      </c>
      <c r="BD451" s="56" t="s">
        <v>15197</v>
      </c>
      <c r="BE451" s="56" t="s">
        <v>16071</v>
      </c>
      <c r="BF451" s="56" t="s">
        <v>15181</v>
      </c>
      <c r="BG451" s="58"/>
      <c r="BH451" s="58"/>
      <c r="BI451" s="57" t="s">
        <v>2801</v>
      </c>
      <c r="BJ451" s="58"/>
      <c r="BK451" s="58"/>
      <c r="BL451" s="66">
        <v>3604465</v>
      </c>
      <c r="BM451" s="56" t="s">
        <v>17057</v>
      </c>
      <c r="BN451" s="67">
        <v>2203.5</v>
      </c>
      <c r="BO451" s="58"/>
      <c r="BP451" s="58"/>
      <c r="BQ451" s="58"/>
      <c r="BR451" s="56" t="s">
        <v>17058</v>
      </c>
      <c r="BS451" s="56" t="s">
        <v>1285</v>
      </c>
      <c r="BT451" s="58"/>
      <c r="BU451" s="58"/>
      <c r="BV451" s="58"/>
      <c r="BW451" s="58"/>
      <c r="BX451" s="67">
        <v>2203.5</v>
      </c>
      <c r="BY451" s="58"/>
      <c r="BZ451" s="58"/>
      <c r="CA451" s="58"/>
      <c r="CB451" s="58"/>
      <c r="CC451" s="58"/>
      <c r="CD451" s="58"/>
    </row>
    <row r="452" ht="108" spans="1:82">
      <c r="A452" s="56" t="s">
        <v>17062</v>
      </c>
      <c r="B452" s="58"/>
      <c r="C452" s="57" t="s">
        <v>17063</v>
      </c>
      <c r="D452" s="58"/>
      <c r="E452" s="57" t="s">
        <v>15158</v>
      </c>
      <c r="F452" s="57" t="s">
        <v>17064</v>
      </c>
      <c r="G452" s="57" t="s">
        <v>15160</v>
      </c>
      <c r="H452" s="56" t="s">
        <v>3031</v>
      </c>
      <c r="I452" s="60">
        <v>975</v>
      </c>
      <c r="J452" s="58"/>
      <c r="K452" s="58"/>
      <c r="L452" s="57" t="s">
        <v>14203</v>
      </c>
      <c r="M452" s="61" t="s">
        <v>17040</v>
      </c>
      <c r="N452" s="62" t="s">
        <v>17040</v>
      </c>
      <c r="O452" s="57" t="s">
        <v>15165</v>
      </c>
      <c r="P452" s="57" t="s">
        <v>15166</v>
      </c>
      <c r="Q452" s="57" t="s">
        <v>3031</v>
      </c>
      <c r="R452" s="57" t="s">
        <v>17065</v>
      </c>
      <c r="S452" s="57" t="s">
        <v>17066</v>
      </c>
      <c r="T452" s="57" t="s">
        <v>15190</v>
      </c>
      <c r="U452" s="57" t="s">
        <v>14184</v>
      </c>
      <c r="V452" s="56" t="s">
        <v>14153</v>
      </c>
      <c r="W452" s="58"/>
      <c r="X452" s="57" t="s">
        <v>17067</v>
      </c>
      <c r="Y452" s="58"/>
      <c r="Z452" s="61" t="s">
        <v>16438</v>
      </c>
      <c r="AA452" s="58"/>
      <c r="AB452" s="58"/>
      <c r="AC452" s="58"/>
      <c r="AD452" s="58"/>
      <c r="AE452" s="58"/>
      <c r="AF452" s="58"/>
      <c r="AG452" s="58"/>
      <c r="AH452" s="58"/>
      <c r="AI452" s="58"/>
      <c r="AJ452" s="58"/>
      <c r="AK452" s="58"/>
      <c r="AL452" s="58"/>
      <c r="AM452" s="58"/>
      <c r="AN452" s="58"/>
      <c r="AO452" s="58"/>
      <c r="AP452" s="63">
        <v>45841.4390972222</v>
      </c>
      <c r="AQ452" s="58"/>
      <c r="AR452" s="58"/>
      <c r="AS452" s="57" t="s">
        <v>14184</v>
      </c>
      <c r="AT452" s="56" t="s">
        <v>15177</v>
      </c>
      <c r="AU452" s="58"/>
      <c r="AV452" s="58"/>
      <c r="AW452" s="64">
        <v>45841.4362847222</v>
      </c>
      <c r="AX452" s="58"/>
      <c r="AY452" s="56" t="s">
        <v>15179</v>
      </c>
      <c r="AZ452" s="58"/>
      <c r="BA452" s="58"/>
      <c r="BB452" s="58"/>
      <c r="BC452" s="56" t="s">
        <v>1914</v>
      </c>
      <c r="BD452" s="56" t="s">
        <v>15197</v>
      </c>
      <c r="BE452" s="56" t="s">
        <v>15240</v>
      </c>
      <c r="BF452" s="56" t="s">
        <v>15181</v>
      </c>
      <c r="BG452" s="58"/>
      <c r="BH452" s="58"/>
      <c r="BI452" s="57" t="s">
        <v>2801</v>
      </c>
      <c r="BJ452" s="58"/>
      <c r="BK452" s="58"/>
      <c r="BL452" s="66">
        <v>3604484</v>
      </c>
      <c r="BM452" s="56" t="s">
        <v>17068</v>
      </c>
      <c r="BN452" s="67">
        <v>975</v>
      </c>
      <c r="BO452" s="58"/>
      <c r="BP452" s="58"/>
      <c r="BQ452" s="58"/>
      <c r="BR452" s="56" t="s">
        <v>17069</v>
      </c>
      <c r="BS452" s="56" t="s">
        <v>1285</v>
      </c>
      <c r="BT452" s="58"/>
      <c r="BU452" s="58"/>
      <c r="BV452" s="58"/>
      <c r="BW452" s="58"/>
      <c r="BX452" s="67">
        <v>975</v>
      </c>
      <c r="BY452" s="58"/>
      <c r="BZ452" s="58"/>
      <c r="CA452" s="58"/>
      <c r="CB452" s="58"/>
      <c r="CC452" s="58"/>
      <c r="CD452" s="58"/>
    </row>
    <row r="453" ht="108" spans="1:82">
      <c r="A453" s="56" t="s">
        <v>17070</v>
      </c>
      <c r="B453" s="58"/>
      <c r="C453" s="57" t="s">
        <v>17071</v>
      </c>
      <c r="D453" s="58"/>
      <c r="E453" s="57" t="s">
        <v>15158</v>
      </c>
      <c r="F453" s="57" t="s">
        <v>17072</v>
      </c>
      <c r="G453" s="57" t="s">
        <v>15160</v>
      </c>
      <c r="H453" s="56" t="s">
        <v>3075</v>
      </c>
      <c r="I453" s="60">
        <v>1335</v>
      </c>
      <c r="J453" s="58"/>
      <c r="K453" s="58"/>
      <c r="L453" s="57" t="s">
        <v>14203</v>
      </c>
      <c r="M453" s="61" t="s">
        <v>17040</v>
      </c>
      <c r="N453" s="62" t="s">
        <v>17040</v>
      </c>
      <c r="O453" s="57" t="s">
        <v>15165</v>
      </c>
      <c r="P453" s="57" t="s">
        <v>15166</v>
      </c>
      <c r="Q453" s="57" t="s">
        <v>3075</v>
      </c>
      <c r="R453" s="57" t="s">
        <v>15659</v>
      </c>
      <c r="S453" s="57" t="s">
        <v>15660</v>
      </c>
      <c r="T453" s="57" t="s">
        <v>15190</v>
      </c>
      <c r="U453" s="57" t="s">
        <v>14184</v>
      </c>
      <c r="V453" s="56" t="s">
        <v>14153</v>
      </c>
      <c r="W453" s="58"/>
      <c r="X453" s="57" t="s">
        <v>17073</v>
      </c>
      <c r="Y453" s="58"/>
      <c r="Z453" s="61" t="s">
        <v>16389</v>
      </c>
      <c r="AA453" s="58"/>
      <c r="AB453" s="58"/>
      <c r="AC453" s="58"/>
      <c r="AD453" s="58"/>
      <c r="AE453" s="58"/>
      <c r="AF453" s="58"/>
      <c r="AG453" s="58"/>
      <c r="AH453" s="58"/>
      <c r="AI453" s="58"/>
      <c r="AJ453" s="58"/>
      <c r="AK453" s="58"/>
      <c r="AL453" s="58"/>
      <c r="AM453" s="58"/>
      <c r="AN453" s="58"/>
      <c r="AO453" s="58"/>
      <c r="AP453" s="63">
        <v>45840.7335300926</v>
      </c>
      <c r="AQ453" s="58"/>
      <c r="AR453" s="58"/>
      <c r="AS453" s="57" t="s">
        <v>14184</v>
      </c>
      <c r="AT453" s="56" t="s">
        <v>15177</v>
      </c>
      <c r="AU453" s="58"/>
      <c r="AV453" s="58"/>
      <c r="AW453" s="64">
        <v>45840.7310185185</v>
      </c>
      <c r="AX453" s="58"/>
      <c r="AY453" s="56" t="s">
        <v>15179</v>
      </c>
      <c r="AZ453" s="58"/>
      <c r="BA453" s="58"/>
      <c r="BB453" s="58"/>
      <c r="BC453" s="56" t="s">
        <v>15653</v>
      </c>
      <c r="BD453" s="56" t="s">
        <v>15197</v>
      </c>
      <c r="BE453" s="56" t="s">
        <v>15666</v>
      </c>
      <c r="BF453" s="56" t="s">
        <v>15181</v>
      </c>
      <c r="BG453" s="58"/>
      <c r="BH453" s="58"/>
      <c r="BI453" s="57" t="s">
        <v>2801</v>
      </c>
      <c r="BJ453" s="58"/>
      <c r="BK453" s="58"/>
      <c r="BL453" s="66">
        <v>3604469</v>
      </c>
      <c r="BM453" s="56" t="s">
        <v>17074</v>
      </c>
      <c r="BN453" s="67">
        <v>1335</v>
      </c>
      <c r="BO453" s="58"/>
      <c r="BP453" s="58"/>
      <c r="BQ453" s="58"/>
      <c r="BR453" s="56" t="s">
        <v>17075</v>
      </c>
      <c r="BS453" s="56" t="s">
        <v>1285</v>
      </c>
      <c r="BT453" s="58"/>
      <c r="BU453" s="58"/>
      <c r="BV453" s="58"/>
      <c r="BW453" s="58"/>
      <c r="BX453" s="67">
        <v>1335</v>
      </c>
      <c r="BY453" s="58"/>
      <c r="BZ453" s="58"/>
      <c r="CA453" s="58"/>
      <c r="CB453" s="58"/>
      <c r="CC453" s="58"/>
      <c r="CD453" s="58"/>
    </row>
    <row r="454" ht="108" spans="1:82">
      <c r="A454" s="56" t="s">
        <v>17076</v>
      </c>
      <c r="B454" s="58"/>
      <c r="C454" s="57" t="s">
        <v>17077</v>
      </c>
      <c r="D454" s="58"/>
      <c r="E454" s="57" t="s">
        <v>15158</v>
      </c>
      <c r="F454" s="57" t="s">
        <v>17078</v>
      </c>
      <c r="G454" s="57" t="s">
        <v>15160</v>
      </c>
      <c r="H454" s="56" t="s">
        <v>4169</v>
      </c>
      <c r="I454" s="60">
        <v>22500</v>
      </c>
      <c r="J454" s="57" t="s">
        <v>1285</v>
      </c>
      <c r="K454" s="57" t="s">
        <v>15162</v>
      </c>
      <c r="L454" s="57" t="s">
        <v>15163</v>
      </c>
      <c r="M454" s="61" t="s">
        <v>17079</v>
      </c>
      <c r="N454" s="62" t="s">
        <v>14367</v>
      </c>
      <c r="O454" s="57" t="s">
        <v>15165</v>
      </c>
      <c r="P454" s="57" t="s">
        <v>15166</v>
      </c>
      <c r="Q454" s="57" t="s">
        <v>4169</v>
      </c>
      <c r="R454" s="57" t="s">
        <v>17080</v>
      </c>
      <c r="S454" s="57" t="s">
        <v>17081</v>
      </c>
      <c r="T454" s="57" t="s">
        <v>15190</v>
      </c>
      <c r="U454" s="57" t="s">
        <v>14184</v>
      </c>
      <c r="V454" s="56" t="s">
        <v>14153</v>
      </c>
      <c r="W454" s="58"/>
      <c r="X454" s="57" t="s">
        <v>17082</v>
      </c>
      <c r="Y454" s="57" t="s">
        <v>15170</v>
      </c>
      <c r="Z454" s="61" t="s">
        <v>17083</v>
      </c>
      <c r="AA454" s="61" t="s">
        <v>17079</v>
      </c>
      <c r="AB454" s="58"/>
      <c r="AC454" s="57" t="s">
        <v>15172</v>
      </c>
      <c r="AD454" s="58"/>
      <c r="AE454" s="58"/>
      <c r="AF454" s="58"/>
      <c r="AG454" s="58"/>
      <c r="AH454" s="58"/>
      <c r="AI454" s="58"/>
      <c r="AJ454" s="58"/>
      <c r="AK454" s="56" t="s">
        <v>1285</v>
      </c>
      <c r="AL454" s="56" t="s">
        <v>17084</v>
      </c>
      <c r="AM454" s="58"/>
      <c r="AN454" s="56" t="s">
        <v>17085</v>
      </c>
      <c r="AO454" s="58"/>
      <c r="AP454" s="63">
        <v>45835.5365856482</v>
      </c>
      <c r="AQ454" s="56" t="s">
        <v>17086</v>
      </c>
      <c r="AR454" s="61" t="s">
        <v>15448</v>
      </c>
      <c r="AS454" s="57" t="s">
        <v>14184</v>
      </c>
      <c r="AT454" s="56" t="s">
        <v>15177</v>
      </c>
      <c r="AU454" s="56" t="s">
        <v>17087</v>
      </c>
      <c r="AV454" s="58"/>
      <c r="AW454" s="64">
        <v>45823.619837963</v>
      </c>
      <c r="AX454" s="56" t="s">
        <v>17084</v>
      </c>
      <c r="AY454" s="56" t="s">
        <v>15179</v>
      </c>
      <c r="AZ454" s="58"/>
      <c r="BA454" s="58"/>
      <c r="BB454" s="58"/>
      <c r="BC454" s="56" t="s">
        <v>4167</v>
      </c>
      <c r="BD454" s="56" t="s">
        <v>16148</v>
      </c>
      <c r="BE454" s="56" t="s">
        <v>2828</v>
      </c>
      <c r="BF454" s="56" t="s">
        <v>15181</v>
      </c>
      <c r="BG454" s="58"/>
      <c r="BH454" s="58"/>
      <c r="BI454" s="57" t="s">
        <v>2801</v>
      </c>
      <c r="BJ454" s="58"/>
      <c r="BK454" s="58"/>
      <c r="BL454" s="66">
        <v>3506083</v>
      </c>
      <c r="BM454" s="56" t="s">
        <v>17088</v>
      </c>
      <c r="BN454" s="58"/>
      <c r="BO454" s="67">
        <v>7500</v>
      </c>
      <c r="BP454" s="56" t="s">
        <v>15450</v>
      </c>
      <c r="BQ454" s="58"/>
      <c r="BR454" s="56" t="s">
        <v>17089</v>
      </c>
      <c r="BS454" s="56" t="s">
        <v>1285</v>
      </c>
      <c r="BT454" s="58"/>
      <c r="BU454" s="56" t="s">
        <v>17086</v>
      </c>
      <c r="BV454" s="58"/>
      <c r="BW454" s="58"/>
      <c r="BX454" s="67">
        <v>7500</v>
      </c>
      <c r="BY454" s="56" t="s">
        <v>1285</v>
      </c>
      <c r="BZ454" s="58"/>
      <c r="CA454" s="58"/>
      <c r="CB454" s="58"/>
      <c r="CC454" s="58"/>
      <c r="CD454" s="58"/>
    </row>
    <row r="455" ht="108" spans="1:82">
      <c r="A455" s="56" t="s">
        <v>17090</v>
      </c>
      <c r="B455" s="58"/>
      <c r="C455" s="57" t="s">
        <v>17077</v>
      </c>
      <c r="D455" s="58"/>
      <c r="E455" s="57" t="s">
        <v>15158</v>
      </c>
      <c r="F455" s="57" t="s">
        <v>17078</v>
      </c>
      <c r="G455" s="57" t="s">
        <v>15160</v>
      </c>
      <c r="H455" s="56" t="s">
        <v>4169</v>
      </c>
      <c r="I455" s="60">
        <v>22500</v>
      </c>
      <c r="J455" s="57" t="s">
        <v>1285</v>
      </c>
      <c r="K455" s="57" t="s">
        <v>15162</v>
      </c>
      <c r="L455" s="57" t="s">
        <v>15163</v>
      </c>
      <c r="M455" s="61" t="s">
        <v>17079</v>
      </c>
      <c r="N455" s="62" t="s">
        <v>14367</v>
      </c>
      <c r="O455" s="57" t="s">
        <v>15165</v>
      </c>
      <c r="P455" s="57" t="s">
        <v>15166</v>
      </c>
      <c r="Q455" s="57" t="s">
        <v>4169</v>
      </c>
      <c r="R455" s="57" t="s">
        <v>17080</v>
      </c>
      <c r="S455" s="57" t="s">
        <v>17081</v>
      </c>
      <c r="T455" s="57" t="s">
        <v>15190</v>
      </c>
      <c r="U455" s="57" t="s">
        <v>14184</v>
      </c>
      <c r="V455" s="56" t="s">
        <v>14153</v>
      </c>
      <c r="W455" s="58"/>
      <c r="X455" s="57" t="s">
        <v>17082</v>
      </c>
      <c r="Y455" s="57" t="s">
        <v>15170</v>
      </c>
      <c r="Z455" s="61" t="s">
        <v>17083</v>
      </c>
      <c r="AA455" s="61" t="s">
        <v>17079</v>
      </c>
      <c r="AB455" s="58"/>
      <c r="AC455" s="57" t="s">
        <v>15172</v>
      </c>
      <c r="AD455" s="58"/>
      <c r="AE455" s="58"/>
      <c r="AF455" s="58"/>
      <c r="AG455" s="58"/>
      <c r="AH455" s="58"/>
      <c r="AI455" s="58"/>
      <c r="AJ455" s="58"/>
      <c r="AK455" s="56" t="s">
        <v>1285</v>
      </c>
      <c r="AL455" s="56" t="s">
        <v>17084</v>
      </c>
      <c r="AM455" s="58"/>
      <c r="AN455" s="56" t="s">
        <v>17085</v>
      </c>
      <c r="AO455" s="58"/>
      <c r="AP455" s="63">
        <v>45835.5365856482</v>
      </c>
      <c r="AQ455" s="56" t="s">
        <v>17086</v>
      </c>
      <c r="AR455" s="61" t="s">
        <v>15448</v>
      </c>
      <c r="AS455" s="57" t="s">
        <v>14184</v>
      </c>
      <c r="AT455" s="56" t="s">
        <v>15177</v>
      </c>
      <c r="AU455" s="56" t="s">
        <v>17087</v>
      </c>
      <c r="AV455" s="58"/>
      <c r="AW455" s="64">
        <v>45823.619837963</v>
      </c>
      <c r="AX455" s="56" t="s">
        <v>17084</v>
      </c>
      <c r="AY455" s="56" t="s">
        <v>15179</v>
      </c>
      <c r="AZ455" s="58"/>
      <c r="BA455" s="58"/>
      <c r="BB455" s="58"/>
      <c r="BC455" s="56" t="s">
        <v>4167</v>
      </c>
      <c r="BD455" s="56" t="s">
        <v>16148</v>
      </c>
      <c r="BE455" s="56" t="s">
        <v>2828</v>
      </c>
      <c r="BF455" s="56" t="s">
        <v>15181</v>
      </c>
      <c r="BG455" s="58"/>
      <c r="BH455" s="58"/>
      <c r="BI455" s="57" t="s">
        <v>2801</v>
      </c>
      <c r="BJ455" s="58"/>
      <c r="BK455" s="58"/>
      <c r="BL455" s="66">
        <v>3506083</v>
      </c>
      <c r="BM455" s="56" t="s">
        <v>17088</v>
      </c>
      <c r="BN455" s="58"/>
      <c r="BO455" s="67">
        <v>7500</v>
      </c>
      <c r="BP455" s="56" t="s">
        <v>15450</v>
      </c>
      <c r="BQ455" s="58"/>
      <c r="BR455" s="56" t="s">
        <v>17089</v>
      </c>
      <c r="BS455" s="56" t="s">
        <v>1285</v>
      </c>
      <c r="BT455" s="58"/>
      <c r="BU455" s="56" t="s">
        <v>17086</v>
      </c>
      <c r="BV455" s="58"/>
      <c r="BW455" s="58"/>
      <c r="BX455" s="67">
        <v>7500</v>
      </c>
      <c r="BY455" s="56" t="s">
        <v>1285</v>
      </c>
      <c r="BZ455" s="58"/>
      <c r="CA455" s="58"/>
      <c r="CB455" s="58"/>
      <c r="CC455" s="58"/>
      <c r="CD455" s="58"/>
    </row>
    <row r="456" ht="108" spans="1:82">
      <c r="A456" s="56" t="s">
        <v>17091</v>
      </c>
      <c r="B456" s="58"/>
      <c r="C456" s="57" t="s">
        <v>17077</v>
      </c>
      <c r="D456" s="58"/>
      <c r="E456" s="57" t="s">
        <v>15158</v>
      </c>
      <c r="F456" s="57" t="s">
        <v>17078</v>
      </c>
      <c r="G456" s="57" t="s">
        <v>15160</v>
      </c>
      <c r="H456" s="56" t="s">
        <v>4169</v>
      </c>
      <c r="I456" s="60">
        <v>22500</v>
      </c>
      <c r="J456" s="57" t="s">
        <v>1285</v>
      </c>
      <c r="K456" s="57" t="s">
        <v>15162</v>
      </c>
      <c r="L456" s="57" t="s">
        <v>15163</v>
      </c>
      <c r="M456" s="61" t="s">
        <v>17079</v>
      </c>
      <c r="N456" s="62" t="s">
        <v>14367</v>
      </c>
      <c r="O456" s="57" t="s">
        <v>15165</v>
      </c>
      <c r="P456" s="57" t="s">
        <v>15166</v>
      </c>
      <c r="Q456" s="57" t="s">
        <v>4169</v>
      </c>
      <c r="R456" s="57" t="s">
        <v>17080</v>
      </c>
      <c r="S456" s="57" t="s">
        <v>17081</v>
      </c>
      <c r="T456" s="57" t="s">
        <v>15190</v>
      </c>
      <c r="U456" s="57" t="s">
        <v>14184</v>
      </c>
      <c r="V456" s="56" t="s">
        <v>14153</v>
      </c>
      <c r="W456" s="58"/>
      <c r="X456" s="57" t="s">
        <v>17082</v>
      </c>
      <c r="Y456" s="57" t="s">
        <v>15170</v>
      </c>
      <c r="Z456" s="61" t="s">
        <v>17083</v>
      </c>
      <c r="AA456" s="61" t="s">
        <v>17079</v>
      </c>
      <c r="AB456" s="58"/>
      <c r="AC456" s="57" t="s">
        <v>15172</v>
      </c>
      <c r="AD456" s="58"/>
      <c r="AE456" s="58"/>
      <c r="AF456" s="58"/>
      <c r="AG456" s="58"/>
      <c r="AH456" s="58"/>
      <c r="AI456" s="58"/>
      <c r="AJ456" s="58"/>
      <c r="AK456" s="56" t="s">
        <v>1285</v>
      </c>
      <c r="AL456" s="56" t="s">
        <v>17084</v>
      </c>
      <c r="AM456" s="58"/>
      <c r="AN456" s="56" t="s">
        <v>17085</v>
      </c>
      <c r="AO456" s="58"/>
      <c r="AP456" s="63">
        <v>45835.5365856482</v>
      </c>
      <c r="AQ456" s="56" t="s">
        <v>17086</v>
      </c>
      <c r="AR456" s="61" t="s">
        <v>15448</v>
      </c>
      <c r="AS456" s="57" t="s">
        <v>14184</v>
      </c>
      <c r="AT456" s="56" t="s">
        <v>15177</v>
      </c>
      <c r="AU456" s="56" t="s">
        <v>17087</v>
      </c>
      <c r="AV456" s="58"/>
      <c r="AW456" s="64">
        <v>45823.619837963</v>
      </c>
      <c r="AX456" s="56" t="s">
        <v>17084</v>
      </c>
      <c r="AY456" s="56" t="s">
        <v>15179</v>
      </c>
      <c r="AZ456" s="58"/>
      <c r="BA456" s="58"/>
      <c r="BB456" s="58"/>
      <c r="BC456" s="56" t="s">
        <v>4167</v>
      </c>
      <c r="BD456" s="56" t="s">
        <v>16148</v>
      </c>
      <c r="BE456" s="56" t="s">
        <v>2828</v>
      </c>
      <c r="BF456" s="56" t="s">
        <v>15181</v>
      </c>
      <c r="BG456" s="58"/>
      <c r="BH456" s="58"/>
      <c r="BI456" s="57" t="s">
        <v>2801</v>
      </c>
      <c r="BJ456" s="58"/>
      <c r="BK456" s="58"/>
      <c r="BL456" s="66">
        <v>3506083</v>
      </c>
      <c r="BM456" s="56" t="s">
        <v>17088</v>
      </c>
      <c r="BN456" s="58"/>
      <c r="BO456" s="67">
        <v>7500</v>
      </c>
      <c r="BP456" s="56" t="s">
        <v>15450</v>
      </c>
      <c r="BQ456" s="58"/>
      <c r="BR456" s="56" t="s">
        <v>17089</v>
      </c>
      <c r="BS456" s="56" t="s">
        <v>1285</v>
      </c>
      <c r="BT456" s="58"/>
      <c r="BU456" s="56" t="s">
        <v>17086</v>
      </c>
      <c r="BV456" s="58"/>
      <c r="BW456" s="58"/>
      <c r="BX456" s="67">
        <v>7500</v>
      </c>
      <c r="BY456" s="56" t="s">
        <v>1285</v>
      </c>
      <c r="BZ456" s="58"/>
      <c r="CA456" s="58"/>
      <c r="CB456" s="58"/>
      <c r="CC456" s="58"/>
      <c r="CD456" s="58"/>
    </row>
    <row r="457" ht="108" spans="1:82">
      <c r="A457" s="56" t="s">
        <v>17092</v>
      </c>
      <c r="B457" s="57" t="s">
        <v>15156</v>
      </c>
      <c r="C457" s="58"/>
      <c r="D457" s="57" t="s">
        <v>17093</v>
      </c>
      <c r="E457" s="57" t="s">
        <v>15158</v>
      </c>
      <c r="F457" s="57" t="s">
        <v>17094</v>
      </c>
      <c r="G457" s="57" t="s">
        <v>15160</v>
      </c>
      <c r="H457" s="56" t="s">
        <v>16279</v>
      </c>
      <c r="I457" s="60">
        <v>7970</v>
      </c>
      <c r="J457" s="57" t="s">
        <v>1285</v>
      </c>
      <c r="K457" s="57" t="s">
        <v>15162</v>
      </c>
      <c r="L457" s="57" t="s">
        <v>15163</v>
      </c>
      <c r="M457" s="61" t="s">
        <v>17079</v>
      </c>
      <c r="N457" s="62" t="s">
        <v>14351</v>
      </c>
      <c r="O457" s="57" t="s">
        <v>15165</v>
      </c>
      <c r="P457" s="57" t="s">
        <v>15166</v>
      </c>
      <c r="Q457" s="57" t="s">
        <v>16279</v>
      </c>
      <c r="R457" s="57" t="s">
        <v>16281</v>
      </c>
      <c r="S457" s="57" t="s">
        <v>15297</v>
      </c>
      <c r="T457" s="58"/>
      <c r="U457" s="57" t="s">
        <v>14184</v>
      </c>
      <c r="V457" s="56" t="s">
        <v>14153</v>
      </c>
      <c r="W457" s="58"/>
      <c r="X457" s="57" t="s">
        <v>16439</v>
      </c>
      <c r="Y457" s="57" t="s">
        <v>15170</v>
      </c>
      <c r="Z457" s="61" t="s">
        <v>17083</v>
      </c>
      <c r="AA457" s="61" t="s">
        <v>17079</v>
      </c>
      <c r="AB457" s="57" t="s">
        <v>15171</v>
      </c>
      <c r="AC457" s="57" t="s">
        <v>15172</v>
      </c>
      <c r="AD457" s="58"/>
      <c r="AE457" s="58"/>
      <c r="AF457" s="57" t="s">
        <v>15173</v>
      </c>
      <c r="AG457" s="58"/>
      <c r="AH457" s="58"/>
      <c r="AI457" s="57" t="s">
        <v>15173</v>
      </c>
      <c r="AJ457" s="58"/>
      <c r="AK457" s="56" t="s">
        <v>1285</v>
      </c>
      <c r="AL457" s="56" t="s">
        <v>17095</v>
      </c>
      <c r="AM457" s="58"/>
      <c r="AN457" s="56" t="s">
        <v>17096</v>
      </c>
      <c r="AO457" s="58"/>
      <c r="AP457" s="63">
        <v>45835.538125</v>
      </c>
      <c r="AQ457" s="56" t="s">
        <v>17097</v>
      </c>
      <c r="AR457" s="61" t="s">
        <v>15448</v>
      </c>
      <c r="AS457" s="57" t="s">
        <v>14184</v>
      </c>
      <c r="AT457" s="56" t="s">
        <v>15177</v>
      </c>
      <c r="AU457" s="56" t="s">
        <v>17098</v>
      </c>
      <c r="AV457" s="58"/>
      <c r="AW457" s="64">
        <v>45818.4475347222</v>
      </c>
      <c r="AX457" s="56" t="s">
        <v>17095</v>
      </c>
      <c r="AY457" s="56" t="s">
        <v>15179</v>
      </c>
      <c r="AZ457" s="58"/>
      <c r="BA457" s="58"/>
      <c r="BB457" s="58"/>
      <c r="BC457" s="58"/>
      <c r="BD457" s="56" t="s">
        <v>15276</v>
      </c>
      <c r="BE457" s="56" t="s">
        <v>16285</v>
      </c>
      <c r="BF457" s="56" t="s">
        <v>15181</v>
      </c>
      <c r="BG457" s="58"/>
      <c r="BH457" s="58"/>
      <c r="BI457" s="57" t="s">
        <v>2801</v>
      </c>
      <c r="BJ457" s="58"/>
      <c r="BK457" s="58"/>
      <c r="BL457" s="58"/>
      <c r="BM457" s="58"/>
      <c r="BN457" s="67">
        <v>7970</v>
      </c>
      <c r="BO457" s="58"/>
      <c r="BP457" s="56" t="s">
        <v>15450</v>
      </c>
      <c r="BQ457" s="58"/>
      <c r="BR457" s="58"/>
      <c r="BS457" s="58"/>
      <c r="BT457" s="56" t="s">
        <v>1285</v>
      </c>
      <c r="BU457" s="56" t="s">
        <v>17097</v>
      </c>
      <c r="BV457" s="58"/>
      <c r="BW457" s="58"/>
      <c r="BX457" s="67">
        <v>7970</v>
      </c>
      <c r="BY457" s="56" t="s">
        <v>1285</v>
      </c>
      <c r="BZ457" s="58"/>
      <c r="CA457" s="56" t="s">
        <v>15160</v>
      </c>
      <c r="CB457" s="56" t="s">
        <v>15183</v>
      </c>
      <c r="CC457" s="58"/>
      <c r="CD457" s="58"/>
    </row>
    <row r="458" ht="108" spans="1:82">
      <c r="A458" s="56" t="s">
        <v>17099</v>
      </c>
      <c r="B458" s="58"/>
      <c r="C458" s="57" t="s">
        <v>17100</v>
      </c>
      <c r="D458" s="58"/>
      <c r="E458" s="57" t="s">
        <v>15158</v>
      </c>
      <c r="F458" s="57" t="s">
        <v>17101</v>
      </c>
      <c r="G458" s="57" t="s">
        <v>15160</v>
      </c>
      <c r="H458" s="56" t="s">
        <v>3898</v>
      </c>
      <c r="I458" s="60">
        <v>484468.13</v>
      </c>
      <c r="J458" s="57" t="s">
        <v>1285</v>
      </c>
      <c r="K458" s="57" t="s">
        <v>15162</v>
      </c>
      <c r="L458" s="57" t="s">
        <v>15163</v>
      </c>
      <c r="M458" s="61" t="s">
        <v>17079</v>
      </c>
      <c r="N458" s="62" t="s">
        <v>16280</v>
      </c>
      <c r="O458" s="57" t="s">
        <v>15165</v>
      </c>
      <c r="P458" s="57" t="s">
        <v>15166</v>
      </c>
      <c r="Q458" s="57" t="s">
        <v>3898</v>
      </c>
      <c r="R458" s="57" t="s">
        <v>15383</v>
      </c>
      <c r="S458" s="57" t="s">
        <v>15384</v>
      </c>
      <c r="T458" s="57" t="s">
        <v>15190</v>
      </c>
      <c r="U458" s="57" t="s">
        <v>14184</v>
      </c>
      <c r="V458" s="56" t="s">
        <v>14153</v>
      </c>
      <c r="W458" s="58"/>
      <c r="X458" s="57" t="s">
        <v>17102</v>
      </c>
      <c r="Y458" s="57" t="s">
        <v>15170</v>
      </c>
      <c r="Z458" s="61" t="s">
        <v>17083</v>
      </c>
      <c r="AA458" s="61" t="s">
        <v>17079</v>
      </c>
      <c r="AB458" s="58"/>
      <c r="AC458" s="57" t="s">
        <v>15172</v>
      </c>
      <c r="AD458" s="58"/>
      <c r="AE458" s="58"/>
      <c r="AF458" s="58"/>
      <c r="AG458" s="58"/>
      <c r="AH458" s="58"/>
      <c r="AI458" s="58"/>
      <c r="AJ458" s="58"/>
      <c r="AK458" s="56" t="s">
        <v>1285</v>
      </c>
      <c r="AL458" s="56" t="s">
        <v>17103</v>
      </c>
      <c r="AM458" s="58"/>
      <c r="AN458" s="56" t="s">
        <v>17104</v>
      </c>
      <c r="AO458" s="58"/>
      <c r="AP458" s="63">
        <v>45835.5368865741</v>
      </c>
      <c r="AQ458" s="56" t="s">
        <v>17105</v>
      </c>
      <c r="AR458" s="61" t="s">
        <v>15448</v>
      </c>
      <c r="AS458" s="57" t="s">
        <v>14184</v>
      </c>
      <c r="AT458" s="56" t="s">
        <v>15177</v>
      </c>
      <c r="AU458" s="56" t="s">
        <v>17106</v>
      </c>
      <c r="AV458" s="58"/>
      <c r="AW458" s="64">
        <v>45812.4223842593</v>
      </c>
      <c r="AX458" s="56" t="s">
        <v>17103</v>
      </c>
      <c r="AY458" s="56" t="s">
        <v>15179</v>
      </c>
      <c r="AZ458" s="58"/>
      <c r="BA458" s="58"/>
      <c r="BB458" s="58"/>
      <c r="BC458" s="56" t="s">
        <v>4143</v>
      </c>
      <c r="BD458" s="56" t="s">
        <v>15551</v>
      </c>
      <c r="BE458" s="56" t="s">
        <v>2816</v>
      </c>
      <c r="BF458" s="56" t="s">
        <v>15181</v>
      </c>
      <c r="BG458" s="58"/>
      <c r="BH458" s="58"/>
      <c r="BI458" s="57" t="s">
        <v>2801</v>
      </c>
      <c r="BJ458" s="58"/>
      <c r="BK458" s="58"/>
      <c r="BL458" s="66">
        <v>3497184</v>
      </c>
      <c r="BM458" s="56" t="s">
        <v>17107</v>
      </c>
      <c r="BN458" s="58"/>
      <c r="BO458" s="67">
        <v>484468.13</v>
      </c>
      <c r="BP458" s="56" t="s">
        <v>15450</v>
      </c>
      <c r="BQ458" s="58"/>
      <c r="BR458" s="56" t="s">
        <v>17108</v>
      </c>
      <c r="BS458" s="56" t="s">
        <v>1285</v>
      </c>
      <c r="BT458" s="58"/>
      <c r="BU458" s="56" t="s">
        <v>17105</v>
      </c>
      <c r="BV458" s="58"/>
      <c r="BW458" s="58"/>
      <c r="BX458" s="67">
        <v>484468.13</v>
      </c>
      <c r="BY458" s="56" t="s">
        <v>1285</v>
      </c>
      <c r="BZ458" s="58"/>
      <c r="CA458" s="58"/>
      <c r="CB458" s="58"/>
      <c r="CC458" s="58"/>
      <c r="CD458" s="58"/>
    </row>
    <row r="459" ht="108" spans="1:82">
      <c r="A459" s="56" t="s">
        <v>17109</v>
      </c>
      <c r="B459" s="58"/>
      <c r="C459" s="57" t="s">
        <v>17110</v>
      </c>
      <c r="D459" s="58"/>
      <c r="E459" s="57" t="s">
        <v>15158</v>
      </c>
      <c r="F459" s="57" t="s">
        <v>17111</v>
      </c>
      <c r="G459" s="57" t="s">
        <v>15160</v>
      </c>
      <c r="H459" s="56" t="s">
        <v>4151</v>
      </c>
      <c r="I459" s="60">
        <v>9500</v>
      </c>
      <c r="J459" s="57" t="s">
        <v>1285</v>
      </c>
      <c r="K459" s="57" t="s">
        <v>15162</v>
      </c>
      <c r="L459" s="57" t="s">
        <v>15163</v>
      </c>
      <c r="M459" s="61" t="s">
        <v>17079</v>
      </c>
      <c r="N459" s="62" t="s">
        <v>16280</v>
      </c>
      <c r="O459" s="57" t="s">
        <v>15165</v>
      </c>
      <c r="P459" s="57" t="s">
        <v>15166</v>
      </c>
      <c r="Q459" s="57" t="s">
        <v>4151</v>
      </c>
      <c r="R459" s="57" t="s">
        <v>15360</v>
      </c>
      <c r="S459" s="57" t="s">
        <v>15361</v>
      </c>
      <c r="T459" s="57" t="s">
        <v>15190</v>
      </c>
      <c r="U459" s="57" t="s">
        <v>14184</v>
      </c>
      <c r="V459" s="56" t="s">
        <v>14153</v>
      </c>
      <c r="W459" s="58"/>
      <c r="X459" s="57" t="s">
        <v>17112</v>
      </c>
      <c r="Y459" s="57" t="s">
        <v>15170</v>
      </c>
      <c r="Z459" s="61" t="s">
        <v>17083</v>
      </c>
      <c r="AA459" s="61" t="s">
        <v>17079</v>
      </c>
      <c r="AB459" s="58"/>
      <c r="AC459" s="57" t="s">
        <v>15172</v>
      </c>
      <c r="AD459" s="58"/>
      <c r="AE459" s="58"/>
      <c r="AF459" s="58"/>
      <c r="AG459" s="58"/>
      <c r="AH459" s="58"/>
      <c r="AI459" s="58"/>
      <c r="AJ459" s="58"/>
      <c r="AK459" s="56" t="s">
        <v>1285</v>
      </c>
      <c r="AL459" s="56" t="s">
        <v>17113</v>
      </c>
      <c r="AM459" s="58"/>
      <c r="AN459" s="56" t="s">
        <v>17114</v>
      </c>
      <c r="AO459" s="58"/>
      <c r="AP459" s="63">
        <v>45835.5367361111</v>
      </c>
      <c r="AQ459" s="56" t="s">
        <v>17115</v>
      </c>
      <c r="AR459" s="61" t="s">
        <v>15448</v>
      </c>
      <c r="AS459" s="57" t="s">
        <v>14184</v>
      </c>
      <c r="AT459" s="56" t="s">
        <v>15177</v>
      </c>
      <c r="AU459" s="56" t="s">
        <v>17116</v>
      </c>
      <c r="AV459" s="58"/>
      <c r="AW459" s="64">
        <v>45805.7518287037</v>
      </c>
      <c r="AX459" s="56" t="s">
        <v>17113</v>
      </c>
      <c r="AY459" s="56" t="s">
        <v>15179</v>
      </c>
      <c r="AZ459" s="58"/>
      <c r="BA459" s="58"/>
      <c r="BB459" s="58"/>
      <c r="BC459" s="56" t="s">
        <v>4149</v>
      </c>
      <c r="BD459" s="56" t="s">
        <v>15366</v>
      </c>
      <c r="BE459" s="56" t="s">
        <v>2832</v>
      </c>
      <c r="BF459" s="56" t="s">
        <v>15181</v>
      </c>
      <c r="BG459" s="58"/>
      <c r="BH459" s="58"/>
      <c r="BI459" s="57" t="s">
        <v>2801</v>
      </c>
      <c r="BJ459" s="58"/>
      <c r="BK459" s="58"/>
      <c r="BL459" s="66">
        <v>3490781</v>
      </c>
      <c r="BM459" s="56" t="s">
        <v>17117</v>
      </c>
      <c r="BN459" s="58"/>
      <c r="BO459" s="67">
        <v>9500</v>
      </c>
      <c r="BP459" s="56" t="s">
        <v>15450</v>
      </c>
      <c r="BQ459" s="58"/>
      <c r="BR459" s="56" t="s">
        <v>17118</v>
      </c>
      <c r="BS459" s="56" t="s">
        <v>1285</v>
      </c>
      <c r="BT459" s="58"/>
      <c r="BU459" s="56" t="s">
        <v>17115</v>
      </c>
      <c r="BV459" s="58"/>
      <c r="BW459" s="58"/>
      <c r="BX459" s="67">
        <v>9500</v>
      </c>
      <c r="BY459" s="56" t="s">
        <v>1285</v>
      </c>
      <c r="BZ459" s="58"/>
      <c r="CA459" s="58"/>
      <c r="CB459" s="58"/>
      <c r="CC459" s="58"/>
      <c r="CD459" s="58"/>
    </row>
    <row r="460" ht="108" spans="1:82">
      <c r="A460" s="56" t="s">
        <v>17119</v>
      </c>
      <c r="B460" s="58"/>
      <c r="C460" s="57" t="s">
        <v>17120</v>
      </c>
      <c r="D460" s="58"/>
      <c r="E460" s="57" t="s">
        <v>15158</v>
      </c>
      <c r="F460" s="57" t="s">
        <v>17121</v>
      </c>
      <c r="G460" s="57" t="s">
        <v>15160</v>
      </c>
      <c r="H460" s="56" t="s">
        <v>4065</v>
      </c>
      <c r="I460" s="60">
        <v>12262</v>
      </c>
      <c r="J460" s="57" t="s">
        <v>1285</v>
      </c>
      <c r="K460" s="57" t="s">
        <v>15162</v>
      </c>
      <c r="L460" s="57" t="s">
        <v>15163</v>
      </c>
      <c r="M460" s="61" t="s">
        <v>17079</v>
      </c>
      <c r="N460" s="62" t="s">
        <v>16280</v>
      </c>
      <c r="O460" s="57" t="s">
        <v>15165</v>
      </c>
      <c r="P460" s="57" t="s">
        <v>15166</v>
      </c>
      <c r="Q460" s="57" t="s">
        <v>4065</v>
      </c>
      <c r="R460" s="57" t="s">
        <v>16354</v>
      </c>
      <c r="S460" s="57" t="s">
        <v>16355</v>
      </c>
      <c r="T460" s="57" t="s">
        <v>15190</v>
      </c>
      <c r="U460" s="57" t="s">
        <v>14184</v>
      </c>
      <c r="V460" s="56" t="s">
        <v>14153</v>
      </c>
      <c r="W460" s="58"/>
      <c r="X460" s="57" t="s">
        <v>17122</v>
      </c>
      <c r="Y460" s="57" t="s">
        <v>15170</v>
      </c>
      <c r="Z460" s="61" t="s">
        <v>17083</v>
      </c>
      <c r="AA460" s="61" t="s">
        <v>17079</v>
      </c>
      <c r="AB460" s="58"/>
      <c r="AC460" s="57" t="s">
        <v>15172</v>
      </c>
      <c r="AD460" s="58"/>
      <c r="AE460" s="58"/>
      <c r="AF460" s="58"/>
      <c r="AG460" s="58"/>
      <c r="AH460" s="58"/>
      <c r="AI460" s="58"/>
      <c r="AJ460" s="58"/>
      <c r="AK460" s="56" t="s">
        <v>1285</v>
      </c>
      <c r="AL460" s="56" t="s">
        <v>17123</v>
      </c>
      <c r="AM460" s="58"/>
      <c r="AN460" s="56" t="s">
        <v>17124</v>
      </c>
      <c r="AO460" s="58"/>
      <c r="AP460" s="63">
        <v>45835.5375115741</v>
      </c>
      <c r="AQ460" s="56" t="s">
        <v>17125</v>
      </c>
      <c r="AR460" s="61" t="s">
        <v>15448</v>
      </c>
      <c r="AS460" s="57" t="s">
        <v>14184</v>
      </c>
      <c r="AT460" s="56" t="s">
        <v>15177</v>
      </c>
      <c r="AU460" s="56" t="s">
        <v>17126</v>
      </c>
      <c r="AV460" s="58"/>
      <c r="AW460" s="64">
        <v>45804.6807407407</v>
      </c>
      <c r="AX460" s="56" t="s">
        <v>17123</v>
      </c>
      <c r="AY460" s="56" t="s">
        <v>15179</v>
      </c>
      <c r="AZ460" s="58"/>
      <c r="BA460" s="58"/>
      <c r="BB460" s="58"/>
      <c r="BC460" s="56" t="s">
        <v>4063</v>
      </c>
      <c r="BD460" s="56" t="s">
        <v>15551</v>
      </c>
      <c r="BE460" s="56" t="s">
        <v>2831</v>
      </c>
      <c r="BF460" s="56" t="s">
        <v>15181</v>
      </c>
      <c r="BG460" s="58"/>
      <c r="BH460" s="58"/>
      <c r="BI460" s="57" t="s">
        <v>2801</v>
      </c>
      <c r="BJ460" s="58"/>
      <c r="BK460" s="58"/>
      <c r="BL460" s="66">
        <v>3489739</v>
      </c>
      <c r="BM460" s="56" t="s">
        <v>17127</v>
      </c>
      <c r="BN460" s="58"/>
      <c r="BO460" s="67">
        <v>12262</v>
      </c>
      <c r="BP460" s="56" t="s">
        <v>15450</v>
      </c>
      <c r="BQ460" s="58"/>
      <c r="BR460" s="56" t="s">
        <v>17128</v>
      </c>
      <c r="BS460" s="56" t="s">
        <v>1285</v>
      </c>
      <c r="BT460" s="58"/>
      <c r="BU460" s="56" t="s">
        <v>17125</v>
      </c>
      <c r="BV460" s="58"/>
      <c r="BW460" s="58"/>
      <c r="BX460" s="67">
        <v>12262</v>
      </c>
      <c r="BY460" s="56" t="s">
        <v>1285</v>
      </c>
      <c r="BZ460" s="58"/>
      <c r="CA460" s="58"/>
      <c r="CB460" s="58"/>
      <c r="CC460" s="58"/>
      <c r="CD460" s="58"/>
    </row>
    <row r="461" ht="108" spans="1:82">
      <c r="A461" s="56" t="s">
        <v>17129</v>
      </c>
      <c r="B461" s="58"/>
      <c r="C461" s="57" t="s">
        <v>17130</v>
      </c>
      <c r="D461" s="58"/>
      <c r="E461" s="57" t="s">
        <v>15158</v>
      </c>
      <c r="F461" s="57" t="s">
        <v>17131</v>
      </c>
      <c r="G461" s="57" t="s">
        <v>15160</v>
      </c>
      <c r="H461" s="56" t="s">
        <v>6889</v>
      </c>
      <c r="I461" s="60">
        <v>39482.2</v>
      </c>
      <c r="J461" s="57" t="s">
        <v>1285</v>
      </c>
      <c r="K461" s="57" t="s">
        <v>15162</v>
      </c>
      <c r="L461" s="57" t="s">
        <v>15163</v>
      </c>
      <c r="M461" s="61" t="s">
        <v>17079</v>
      </c>
      <c r="N461" s="62" t="s">
        <v>15515</v>
      </c>
      <c r="O461" s="57" t="s">
        <v>15165</v>
      </c>
      <c r="P461" s="57" t="s">
        <v>15166</v>
      </c>
      <c r="Q461" s="57" t="s">
        <v>6889</v>
      </c>
      <c r="R461" s="57" t="s">
        <v>17132</v>
      </c>
      <c r="S461" s="57" t="s">
        <v>17133</v>
      </c>
      <c r="T461" s="57" t="s">
        <v>15190</v>
      </c>
      <c r="U461" s="57" t="s">
        <v>14184</v>
      </c>
      <c r="V461" s="56" t="s">
        <v>14153</v>
      </c>
      <c r="W461" s="58"/>
      <c r="X461" s="57" t="s">
        <v>17134</v>
      </c>
      <c r="Y461" s="57" t="s">
        <v>15170</v>
      </c>
      <c r="Z461" s="61" t="s">
        <v>15465</v>
      </c>
      <c r="AA461" s="61" t="s">
        <v>17079</v>
      </c>
      <c r="AB461" s="58"/>
      <c r="AC461" s="57" t="s">
        <v>15172</v>
      </c>
      <c r="AD461" s="58"/>
      <c r="AE461" s="58"/>
      <c r="AF461" s="58"/>
      <c r="AG461" s="58"/>
      <c r="AH461" s="58"/>
      <c r="AI461" s="58"/>
      <c r="AJ461" s="58"/>
      <c r="AK461" s="56" t="s">
        <v>1285</v>
      </c>
      <c r="AL461" s="56" t="s">
        <v>17135</v>
      </c>
      <c r="AM461" s="58"/>
      <c r="AN461" s="56" t="s">
        <v>17136</v>
      </c>
      <c r="AO461" s="58"/>
      <c r="AP461" s="63">
        <v>45835.5363194444</v>
      </c>
      <c r="AQ461" s="56" t="s">
        <v>17137</v>
      </c>
      <c r="AR461" s="61" t="s">
        <v>15448</v>
      </c>
      <c r="AS461" s="57" t="s">
        <v>14184</v>
      </c>
      <c r="AT461" s="56" t="s">
        <v>15177</v>
      </c>
      <c r="AU461" s="56" t="s">
        <v>17138</v>
      </c>
      <c r="AV461" s="58"/>
      <c r="AW461" s="64">
        <v>45791.7505324074</v>
      </c>
      <c r="AX461" s="56" t="s">
        <v>17135</v>
      </c>
      <c r="AY461" s="56" t="s">
        <v>15179</v>
      </c>
      <c r="AZ461" s="58"/>
      <c r="BA461" s="58"/>
      <c r="BB461" s="58"/>
      <c r="BC461" s="56" t="s">
        <v>2902</v>
      </c>
      <c r="BD461" s="56" t="s">
        <v>15353</v>
      </c>
      <c r="BE461" s="56" t="s">
        <v>17139</v>
      </c>
      <c r="BF461" s="56" t="s">
        <v>15181</v>
      </c>
      <c r="BG461" s="58"/>
      <c r="BH461" s="58"/>
      <c r="BI461" s="57" t="s">
        <v>2801</v>
      </c>
      <c r="BJ461" s="58"/>
      <c r="BK461" s="58"/>
      <c r="BL461" s="66">
        <v>3207453</v>
      </c>
      <c r="BM461" s="56" t="s">
        <v>17140</v>
      </c>
      <c r="BN461" s="58"/>
      <c r="BO461" s="67">
        <v>34532.8</v>
      </c>
      <c r="BP461" s="56" t="s">
        <v>15450</v>
      </c>
      <c r="BQ461" s="58"/>
      <c r="BR461" s="56" t="s">
        <v>17141</v>
      </c>
      <c r="BS461" s="56" t="s">
        <v>1285</v>
      </c>
      <c r="BT461" s="58"/>
      <c r="BU461" s="56" t="s">
        <v>17137</v>
      </c>
      <c r="BV461" s="58"/>
      <c r="BW461" s="58"/>
      <c r="BX461" s="67">
        <v>34532.8</v>
      </c>
      <c r="BY461" s="56" t="s">
        <v>1285</v>
      </c>
      <c r="BZ461" s="58"/>
      <c r="CA461" s="58"/>
      <c r="CB461" s="58"/>
      <c r="CC461" s="58"/>
      <c r="CD461" s="58"/>
    </row>
    <row r="462" ht="108" spans="1:82">
      <c r="A462" s="56" t="s">
        <v>17142</v>
      </c>
      <c r="B462" s="58"/>
      <c r="C462" s="57" t="s">
        <v>17130</v>
      </c>
      <c r="D462" s="58"/>
      <c r="E462" s="57" t="s">
        <v>15158</v>
      </c>
      <c r="F462" s="57" t="s">
        <v>17131</v>
      </c>
      <c r="G462" s="57" t="s">
        <v>15160</v>
      </c>
      <c r="H462" s="56" t="s">
        <v>6889</v>
      </c>
      <c r="I462" s="60">
        <v>39482.2</v>
      </c>
      <c r="J462" s="57" t="s">
        <v>1285</v>
      </c>
      <c r="K462" s="57" t="s">
        <v>15162</v>
      </c>
      <c r="L462" s="57" t="s">
        <v>15163</v>
      </c>
      <c r="M462" s="61" t="s">
        <v>17079</v>
      </c>
      <c r="N462" s="62" t="s">
        <v>15515</v>
      </c>
      <c r="O462" s="57" t="s">
        <v>15165</v>
      </c>
      <c r="P462" s="57" t="s">
        <v>15166</v>
      </c>
      <c r="Q462" s="57" t="s">
        <v>6889</v>
      </c>
      <c r="R462" s="57" t="s">
        <v>17132</v>
      </c>
      <c r="S462" s="57" t="s">
        <v>17133</v>
      </c>
      <c r="T462" s="57" t="s">
        <v>15190</v>
      </c>
      <c r="U462" s="57" t="s">
        <v>14184</v>
      </c>
      <c r="V462" s="56" t="s">
        <v>14153</v>
      </c>
      <c r="W462" s="58"/>
      <c r="X462" s="57" t="s">
        <v>17134</v>
      </c>
      <c r="Y462" s="57" t="s">
        <v>15170</v>
      </c>
      <c r="Z462" s="61" t="s">
        <v>15465</v>
      </c>
      <c r="AA462" s="61" t="s">
        <v>17079</v>
      </c>
      <c r="AB462" s="58"/>
      <c r="AC462" s="57" t="s">
        <v>15172</v>
      </c>
      <c r="AD462" s="58"/>
      <c r="AE462" s="58"/>
      <c r="AF462" s="58"/>
      <c r="AG462" s="58"/>
      <c r="AH462" s="58"/>
      <c r="AI462" s="58"/>
      <c r="AJ462" s="58"/>
      <c r="AK462" s="56" t="s">
        <v>1285</v>
      </c>
      <c r="AL462" s="56" t="s">
        <v>17135</v>
      </c>
      <c r="AM462" s="58"/>
      <c r="AN462" s="56" t="s">
        <v>17136</v>
      </c>
      <c r="AO462" s="58"/>
      <c r="AP462" s="63">
        <v>45835.5363194444</v>
      </c>
      <c r="AQ462" s="56" t="s">
        <v>17137</v>
      </c>
      <c r="AR462" s="61" t="s">
        <v>15448</v>
      </c>
      <c r="AS462" s="57" t="s">
        <v>14184</v>
      </c>
      <c r="AT462" s="56" t="s">
        <v>15177</v>
      </c>
      <c r="AU462" s="56" t="s">
        <v>17138</v>
      </c>
      <c r="AV462" s="58"/>
      <c r="AW462" s="64">
        <v>45791.7505324074</v>
      </c>
      <c r="AX462" s="56" t="s">
        <v>17135</v>
      </c>
      <c r="AY462" s="56" t="s">
        <v>15179</v>
      </c>
      <c r="AZ462" s="58"/>
      <c r="BA462" s="58"/>
      <c r="BB462" s="58"/>
      <c r="BC462" s="56" t="s">
        <v>2902</v>
      </c>
      <c r="BD462" s="56" t="s">
        <v>15353</v>
      </c>
      <c r="BE462" s="56" t="s">
        <v>17139</v>
      </c>
      <c r="BF462" s="56" t="s">
        <v>15181</v>
      </c>
      <c r="BG462" s="58"/>
      <c r="BH462" s="58"/>
      <c r="BI462" s="57" t="s">
        <v>2801</v>
      </c>
      <c r="BJ462" s="58"/>
      <c r="BK462" s="58"/>
      <c r="BL462" s="66">
        <v>3207453</v>
      </c>
      <c r="BM462" s="56" t="s">
        <v>17143</v>
      </c>
      <c r="BN462" s="58"/>
      <c r="BO462" s="67">
        <v>4949.4</v>
      </c>
      <c r="BP462" s="56" t="s">
        <v>15450</v>
      </c>
      <c r="BQ462" s="58"/>
      <c r="BR462" s="56" t="s">
        <v>17141</v>
      </c>
      <c r="BS462" s="56" t="s">
        <v>1285</v>
      </c>
      <c r="BT462" s="58"/>
      <c r="BU462" s="56" t="s">
        <v>17137</v>
      </c>
      <c r="BV462" s="58"/>
      <c r="BW462" s="58"/>
      <c r="BX462" s="67">
        <v>4949.4</v>
      </c>
      <c r="BY462" s="56" t="s">
        <v>1285</v>
      </c>
      <c r="BZ462" s="58"/>
      <c r="CA462" s="58"/>
      <c r="CB462" s="58"/>
      <c r="CC462" s="58"/>
      <c r="CD462" s="58"/>
    </row>
    <row r="463" ht="108" spans="1:82">
      <c r="A463" s="56" t="s">
        <v>17144</v>
      </c>
      <c r="B463" s="58"/>
      <c r="C463" s="57" t="s">
        <v>17145</v>
      </c>
      <c r="D463" s="58"/>
      <c r="E463" s="57" t="s">
        <v>15158</v>
      </c>
      <c r="F463" s="57" t="s">
        <v>17146</v>
      </c>
      <c r="G463" s="57" t="s">
        <v>15160</v>
      </c>
      <c r="H463" s="56" t="s">
        <v>4158</v>
      </c>
      <c r="I463" s="60">
        <v>23700</v>
      </c>
      <c r="J463" s="57" t="s">
        <v>1285</v>
      </c>
      <c r="K463" s="57" t="s">
        <v>15162</v>
      </c>
      <c r="L463" s="57" t="s">
        <v>15163</v>
      </c>
      <c r="M463" s="61" t="s">
        <v>17079</v>
      </c>
      <c r="N463" s="62" t="s">
        <v>15515</v>
      </c>
      <c r="O463" s="57" t="s">
        <v>15165</v>
      </c>
      <c r="P463" s="57" t="s">
        <v>15166</v>
      </c>
      <c r="Q463" s="57" t="s">
        <v>4158</v>
      </c>
      <c r="R463" s="57" t="s">
        <v>16120</v>
      </c>
      <c r="S463" s="57" t="s">
        <v>16121</v>
      </c>
      <c r="T463" s="57" t="s">
        <v>15190</v>
      </c>
      <c r="U463" s="57" t="s">
        <v>14184</v>
      </c>
      <c r="V463" s="56" t="s">
        <v>14153</v>
      </c>
      <c r="W463" s="58"/>
      <c r="X463" s="57" t="s">
        <v>17147</v>
      </c>
      <c r="Y463" s="57" t="s">
        <v>15170</v>
      </c>
      <c r="Z463" s="61" t="s">
        <v>15465</v>
      </c>
      <c r="AA463" s="61" t="s">
        <v>17079</v>
      </c>
      <c r="AB463" s="58"/>
      <c r="AC463" s="57" t="s">
        <v>15172</v>
      </c>
      <c r="AD463" s="58"/>
      <c r="AE463" s="58"/>
      <c r="AF463" s="58"/>
      <c r="AG463" s="58"/>
      <c r="AH463" s="58"/>
      <c r="AI463" s="58"/>
      <c r="AJ463" s="58"/>
      <c r="AK463" s="56" t="s">
        <v>1285</v>
      </c>
      <c r="AL463" s="56" t="s">
        <v>17148</v>
      </c>
      <c r="AM463" s="58"/>
      <c r="AN463" s="56" t="s">
        <v>17149</v>
      </c>
      <c r="AO463" s="58"/>
      <c r="AP463" s="63">
        <v>45835.5388657407</v>
      </c>
      <c r="AQ463" s="56" t="s">
        <v>17150</v>
      </c>
      <c r="AR463" s="61" t="s">
        <v>15448</v>
      </c>
      <c r="AS463" s="57" t="s">
        <v>14184</v>
      </c>
      <c r="AT463" s="56" t="s">
        <v>15177</v>
      </c>
      <c r="AU463" s="56" t="s">
        <v>17151</v>
      </c>
      <c r="AV463" s="58"/>
      <c r="AW463" s="64">
        <v>45791.7477199074</v>
      </c>
      <c r="AX463" s="56" t="s">
        <v>17148</v>
      </c>
      <c r="AY463" s="56" t="s">
        <v>15179</v>
      </c>
      <c r="AZ463" s="58"/>
      <c r="BA463" s="58"/>
      <c r="BB463" s="58"/>
      <c r="BC463" s="56" t="s">
        <v>4156</v>
      </c>
      <c r="BD463" s="56" t="s">
        <v>15482</v>
      </c>
      <c r="BE463" s="56" t="s">
        <v>2827</v>
      </c>
      <c r="BF463" s="56" t="s">
        <v>15181</v>
      </c>
      <c r="BG463" s="58"/>
      <c r="BH463" s="58"/>
      <c r="BI463" s="57" t="s">
        <v>2801</v>
      </c>
      <c r="BJ463" s="58"/>
      <c r="BK463" s="58"/>
      <c r="BL463" s="66">
        <v>3512295</v>
      </c>
      <c r="BM463" s="56" t="s">
        <v>17152</v>
      </c>
      <c r="BN463" s="58"/>
      <c r="BO463" s="67">
        <v>7900</v>
      </c>
      <c r="BP463" s="56" t="s">
        <v>15450</v>
      </c>
      <c r="BQ463" s="58"/>
      <c r="BR463" s="56" t="s">
        <v>17153</v>
      </c>
      <c r="BS463" s="56" t="s">
        <v>1285</v>
      </c>
      <c r="BT463" s="58"/>
      <c r="BU463" s="56" t="s">
        <v>17150</v>
      </c>
      <c r="BV463" s="58"/>
      <c r="BW463" s="58"/>
      <c r="BX463" s="67">
        <v>7900</v>
      </c>
      <c r="BY463" s="56" t="s">
        <v>1285</v>
      </c>
      <c r="BZ463" s="58"/>
      <c r="CA463" s="58"/>
      <c r="CB463" s="58"/>
      <c r="CC463" s="58"/>
      <c r="CD463" s="58"/>
    </row>
    <row r="464" ht="108" spans="1:82">
      <c r="A464" s="56" t="s">
        <v>17154</v>
      </c>
      <c r="B464" s="58"/>
      <c r="C464" s="57" t="s">
        <v>17145</v>
      </c>
      <c r="D464" s="58"/>
      <c r="E464" s="57" t="s">
        <v>15158</v>
      </c>
      <c r="F464" s="57" t="s">
        <v>17146</v>
      </c>
      <c r="G464" s="57" t="s">
        <v>15160</v>
      </c>
      <c r="H464" s="56" t="s">
        <v>4158</v>
      </c>
      <c r="I464" s="60">
        <v>23700</v>
      </c>
      <c r="J464" s="57" t="s">
        <v>1285</v>
      </c>
      <c r="K464" s="57" t="s">
        <v>15162</v>
      </c>
      <c r="L464" s="57" t="s">
        <v>15163</v>
      </c>
      <c r="M464" s="61" t="s">
        <v>17079</v>
      </c>
      <c r="N464" s="62" t="s">
        <v>15515</v>
      </c>
      <c r="O464" s="57" t="s">
        <v>15165</v>
      </c>
      <c r="P464" s="57" t="s">
        <v>15166</v>
      </c>
      <c r="Q464" s="57" t="s">
        <v>4158</v>
      </c>
      <c r="R464" s="57" t="s">
        <v>16120</v>
      </c>
      <c r="S464" s="57" t="s">
        <v>16121</v>
      </c>
      <c r="T464" s="57" t="s">
        <v>15190</v>
      </c>
      <c r="U464" s="57" t="s">
        <v>14184</v>
      </c>
      <c r="V464" s="56" t="s">
        <v>14153</v>
      </c>
      <c r="W464" s="58"/>
      <c r="X464" s="57" t="s">
        <v>17147</v>
      </c>
      <c r="Y464" s="57" t="s">
        <v>15170</v>
      </c>
      <c r="Z464" s="61" t="s">
        <v>15465</v>
      </c>
      <c r="AA464" s="61" t="s">
        <v>17079</v>
      </c>
      <c r="AB464" s="58"/>
      <c r="AC464" s="57" t="s">
        <v>15172</v>
      </c>
      <c r="AD464" s="58"/>
      <c r="AE464" s="58"/>
      <c r="AF464" s="58"/>
      <c r="AG464" s="58"/>
      <c r="AH464" s="58"/>
      <c r="AI464" s="58"/>
      <c r="AJ464" s="58"/>
      <c r="AK464" s="56" t="s">
        <v>1285</v>
      </c>
      <c r="AL464" s="56" t="s">
        <v>17148</v>
      </c>
      <c r="AM464" s="58"/>
      <c r="AN464" s="56" t="s">
        <v>17149</v>
      </c>
      <c r="AO464" s="58"/>
      <c r="AP464" s="63">
        <v>45835.5388657407</v>
      </c>
      <c r="AQ464" s="56" t="s">
        <v>17150</v>
      </c>
      <c r="AR464" s="61" t="s">
        <v>15448</v>
      </c>
      <c r="AS464" s="57" t="s">
        <v>14184</v>
      </c>
      <c r="AT464" s="56" t="s">
        <v>15177</v>
      </c>
      <c r="AU464" s="56" t="s">
        <v>17151</v>
      </c>
      <c r="AV464" s="58"/>
      <c r="AW464" s="64">
        <v>45791.7477199074</v>
      </c>
      <c r="AX464" s="56" t="s">
        <v>17148</v>
      </c>
      <c r="AY464" s="56" t="s">
        <v>15179</v>
      </c>
      <c r="AZ464" s="58"/>
      <c r="BA464" s="58"/>
      <c r="BB464" s="58"/>
      <c r="BC464" s="56" t="s">
        <v>4156</v>
      </c>
      <c r="BD464" s="56" t="s">
        <v>15482</v>
      </c>
      <c r="BE464" s="56" t="s">
        <v>2827</v>
      </c>
      <c r="BF464" s="56" t="s">
        <v>15181</v>
      </c>
      <c r="BG464" s="58"/>
      <c r="BH464" s="58"/>
      <c r="BI464" s="57" t="s">
        <v>2801</v>
      </c>
      <c r="BJ464" s="58"/>
      <c r="BK464" s="58"/>
      <c r="BL464" s="66">
        <v>3512295</v>
      </c>
      <c r="BM464" s="56" t="s">
        <v>17152</v>
      </c>
      <c r="BN464" s="58"/>
      <c r="BO464" s="67">
        <v>7900</v>
      </c>
      <c r="BP464" s="56" t="s">
        <v>15450</v>
      </c>
      <c r="BQ464" s="58"/>
      <c r="BR464" s="56" t="s">
        <v>17153</v>
      </c>
      <c r="BS464" s="56" t="s">
        <v>1285</v>
      </c>
      <c r="BT464" s="58"/>
      <c r="BU464" s="56" t="s">
        <v>17150</v>
      </c>
      <c r="BV464" s="58"/>
      <c r="BW464" s="58"/>
      <c r="BX464" s="67">
        <v>7900</v>
      </c>
      <c r="BY464" s="56" t="s">
        <v>1285</v>
      </c>
      <c r="BZ464" s="58"/>
      <c r="CA464" s="58"/>
      <c r="CB464" s="58"/>
      <c r="CC464" s="58"/>
      <c r="CD464" s="58"/>
    </row>
    <row r="465" ht="108" spans="1:82">
      <c r="A465" s="56" t="s">
        <v>17155</v>
      </c>
      <c r="B465" s="58"/>
      <c r="C465" s="57" t="s">
        <v>17145</v>
      </c>
      <c r="D465" s="58"/>
      <c r="E465" s="57" t="s">
        <v>15158</v>
      </c>
      <c r="F465" s="57" t="s">
        <v>17146</v>
      </c>
      <c r="G465" s="57" t="s">
        <v>15160</v>
      </c>
      <c r="H465" s="56" t="s">
        <v>4158</v>
      </c>
      <c r="I465" s="60">
        <v>23700</v>
      </c>
      <c r="J465" s="57" t="s">
        <v>1285</v>
      </c>
      <c r="K465" s="57" t="s">
        <v>15162</v>
      </c>
      <c r="L465" s="57" t="s">
        <v>15163</v>
      </c>
      <c r="M465" s="61" t="s">
        <v>17079</v>
      </c>
      <c r="N465" s="62" t="s">
        <v>15515</v>
      </c>
      <c r="O465" s="57" t="s">
        <v>15165</v>
      </c>
      <c r="P465" s="57" t="s">
        <v>15166</v>
      </c>
      <c r="Q465" s="57" t="s">
        <v>4158</v>
      </c>
      <c r="R465" s="57" t="s">
        <v>16120</v>
      </c>
      <c r="S465" s="57" t="s">
        <v>16121</v>
      </c>
      <c r="T465" s="57" t="s">
        <v>15190</v>
      </c>
      <c r="U465" s="57" t="s">
        <v>14184</v>
      </c>
      <c r="V465" s="56" t="s">
        <v>14153</v>
      </c>
      <c r="W465" s="58"/>
      <c r="X465" s="57" t="s">
        <v>17147</v>
      </c>
      <c r="Y465" s="57" t="s">
        <v>15170</v>
      </c>
      <c r="Z465" s="61" t="s">
        <v>15465</v>
      </c>
      <c r="AA465" s="61" t="s">
        <v>17079</v>
      </c>
      <c r="AB465" s="58"/>
      <c r="AC465" s="57" t="s">
        <v>15172</v>
      </c>
      <c r="AD465" s="58"/>
      <c r="AE465" s="58"/>
      <c r="AF465" s="58"/>
      <c r="AG465" s="58"/>
      <c r="AH465" s="58"/>
      <c r="AI465" s="58"/>
      <c r="AJ465" s="58"/>
      <c r="AK465" s="56" t="s">
        <v>1285</v>
      </c>
      <c r="AL465" s="56" t="s">
        <v>17148</v>
      </c>
      <c r="AM465" s="58"/>
      <c r="AN465" s="56" t="s">
        <v>17149</v>
      </c>
      <c r="AO465" s="58"/>
      <c r="AP465" s="63">
        <v>45835.5388657407</v>
      </c>
      <c r="AQ465" s="56" t="s">
        <v>17150</v>
      </c>
      <c r="AR465" s="61" t="s">
        <v>15448</v>
      </c>
      <c r="AS465" s="57" t="s">
        <v>14184</v>
      </c>
      <c r="AT465" s="56" t="s">
        <v>15177</v>
      </c>
      <c r="AU465" s="56" t="s">
        <v>17151</v>
      </c>
      <c r="AV465" s="58"/>
      <c r="AW465" s="64">
        <v>45791.7477199074</v>
      </c>
      <c r="AX465" s="56" t="s">
        <v>17148</v>
      </c>
      <c r="AY465" s="56" t="s">
        <v>15179</v>
      </c>
      <c r="AZ465" s="58"/>
      <c r="BA465" s="58"/>
      <c r="BB465" s="58"/>
      <c r="BC465" s="56" t="s">
        <v>4156</v>
      </c>
      <c r="BD465" s="56" t="s">
        <v>15482</v>
      </c>
      <c r="BE465" s="56" t="s">
        <v>2827</v>
      </c>
      <c r="BF465" s="56" t="s">
        <v>15181</v>
      </c>
      <c r="BG465" s="58"/>
      <c r="BH465" s="58"/>
      <c r="BI465" s="57" t="s">
        <v>2801</v>
      </c>
      <c r="BJ465" s="58"/>
      <c r="BK465" s="58"/>
      <c r="BL465" s="66">
        <v>3512295</v>
      </c>
      <c r="BM465" s="56" t="s">
        <v>17152</v>
      </c>
      <c r="BN465" s="58"/>
      <c r="BO465" s="67">
        <v>7900</v>
      </c>
      <c r="BP465" s="56" t="s">
        <v>15450</v>
      </c>
      <c r="BQ465" s="58"/>
      <c r="BR465" s="56" t="s">
        <v>17153</v>
      </c>
      <c r="BS465" s="56" t="s">
        <v>1285</v>
      </c>
      <c r="BT465" s="58"/>
      <c r="BU465" s="56" t="s">
        <v>17150</v>
      </c>
      <c r="BV465" s="58"/>
      <c r="BW465" s="58"/>
      <c r="BX465" s="67">
        <v>7900</v>
      </c>
      <c r="BY465" s="56" t="s">
        <v>1285</v>
      </c>
      <c r="BZ465" s="58"/>
      <c r="CA465" s="58"/>
      <c r="CB465" s="58"/>
      <c r="CC465" s="58"/>
      <c r="CD465" s="58"/>
    </row>
    <row r="466" ht="108" spans="1:82">
      <c r="A466" s="56" t="s">
        <v>17156</v>
      </c>
      <c r="B466" s="58"/>
      <c r="C466" s="57" t="s">
        <v>17157</v>
      </c>
      <c r="D466" s="58"/>
      <c r="E466" s="57" t="s">
        <v>15158</v>
      </c>
      <c r="F466" s="57" t="s">
        <v>17158</v>
      </c>
      <c r="G466" s="57" t="s">
        <v>15160</v>
      </c>
      <c r="H466" s="56" t="s">
        <v>2938</v>
      </c>
      <c r="I466" s="60">
        <v>60072</v>
      </c>
      <c r="J466" s="57" t="s">
        <v>1285</v>
      </c>
      <c r="K466" s="57" t="s">
        <v>15162</v>
      </c>
      <c r="L466" s="57" t="s">
        <v>15163</v>
      </c>
      <c r="M466" s="61" t="s">
        <v>17079</v>
      </c>
      <c r="N466" s="62" t="s">
        <v>17159</v>
      </c>
      <c r="O466" s="57" t="s">
        <v>15165</v>
      </c>
      <c r="P466" s="57" t="s">
        <v>15166</v>
      </c>
      <c r="Q466" s="57" t="s">
        <v>2938</v>
      </c>
      <c r="R466" s="57" t="s">
        <v>15696</v>
      </c>
      <c r="S466" s="57" t="s">
        <v>15697</v>
      </c>
      <c r="T466" s="57" t="s">
        <v>15190</v>
      </c>
      <c r="U466" s="57" t="s">
        <v>14184</v>
      </c>
      <c r="V466" s="56" t="s">
        <v>14153</v>
      </c>
      <c r="W466" s="58"/>
      <c r="X466" s="57" t="s">
        <v>17160</v>
      </c>
      <c r="Y466" s="57" t="s">
        <v>15170</v>
      </c>
      <c r="Z466" s="61" t="s">
        <v>15465</v>
      </c>
      <c r="AA466" s="61" t="s">
        <v>17079</v>
      </c>
      <c r="AB466" s="58"/>
      <c r="AC466" s="57" t="s">
        <v>15172</v>
      </c>
      <c r="AD466" s="58"/>
      <c r="AE466" s="58"/>
      <c r="AF466" s="58"/>
      <c r="AG466" s="58"/>
      <c r="AH466" s="58"/>
      <c r="AI466" s="58"/>
      <c r="AJ466" s="58"/>
      <c r="AK466" s="56" t="s">
        <v>1285</v>
      </c>
      <c r="AL466" s="56" t="s">
        <v>17161</v>
      </c>
      <c r="AM466" s="58"/>
      <c r="AN466" s="56" t="s">
        <v>17162</v>
      </c>
      <c r="AO466" s="58"/>
      <c r="AP466" s="63">
        <v>45835.5387615741</v>
      </c>
      <c r="AQ466" s="56" t="s">
        <v>17163</v>
      </c>
      <c r="AR466" s="61" t="s">
        <v>15448</v>
      </c>
      <c r="AS466" s="57" t="s">
        <v>14184</v>
      </c>
      <c r="AT466" s="56" t="s">
        <v>15177</v>
      </c>
      <c r="AU466" s="56" t="s">
        <v>17164</v>
      </c>
      <c r="AV466" s="58"/>
      <c r="AW466" s="64">
        <v>45747.8103703704</v>
      </c>
      <c r="AX466" s="56" t="s">
        <v>17161</v>
      </c>
      <c r="AY466" s="56" t="s">
        <v>15179</v>
      </c>
      <c r="AZ466" s="58"/>
      <c r="BA466" s="58"/>
      <c r="BB466" s="58"/>
      <c r="BC466" s="56" t="s">
        <v>15617</v>
      </c>
      <c r="BD466" s="56" t="s">
        <v>15197</v>
      </c>
      <c r="BE466" s="58"/>
      <c r="BF466" s="56" t="s">
        <v>15181</v>
      </c>
      <c r="BG466" s="58"/>
      <c r="BH466" s="58"/>
      <c r="BI466" s="57" t="s">
        <v>2801</v>
      </c>
      <c r="BJ466" s="58"/>
      <c r="BK466" s="58"/>
      <c r="BL466" s="66">
        <v>3475413</v>
      </c>
      <c r="BM466" s="56" t="s">
        <v>17165</v>
      </c>
      <c r="BN466" s="58"/>
      <c r="BO466" s="67">
        <v>53100</v>
      </c>
      <c r="BP466" s="56" t="s">
        <v>15450</v>
      </c>
      <c r="BQ466" s="58"/>
      <c r="BR466" s="56" t="s">
        <v>17166</v>
      </c>
      <c r="BS466" s="56" t="s">
        <v>1285</v>
      </c>
      <c r="BT466" s="58"/>
      <c r="BU466" s="56" t="s">
        <v>17163</v>
      </c>
      <c r="BV466" s="58"/>
      <c r="BW466" s="58"/>
      <c r="BX466" s="67">
        <v>53100</v>
      </c>
      <c r="BY466" s="58"/>
      <c r="BZ466" s="58"/>
      <c r="CA466" s="58"/>
      <c r="CB466" s="58"/>
      <c r="CC466" s="58"/>
      <c r="CD466" s="58"/>
    </row>
    <row r="467" ht="108" spans="1:82">
      <c r="A467" s="56" t="s">
        <v>17167</v>
      </c>
      <c r="B467" s="58"/>
      <c r="C467" s="57" t="s">
        <v>17157</v>
      </c>
      <c r="D467" s="58"/>
      <c r="E467" s="57" t="s">
        <v>15158</v>
      </c>
      <c r="F467" s="57" t="s">
        <v>17158</v>
      </c>
      <c r="G467" s="57" t="s">
        <v>15160</v>
      </c>
      <c r="H467" s="56" t="s">
        <v>2938</v>
      </c>
      <c r="I467" s="60">
        <v>60072</v>
      </c>
      <c r="J467" s="57" t="s">
        <v>1285</v>
      </c>
      <c r="K467" s="57" t="s">
        <v>15162</v>
      </c>
      <c r="L467" s="57" t="s">
        <v>15163</v>
      </c>
      <c r="M467" s="61" t="s">
        <v>17079</v>
      </c>
      <c r="N467" s="62" t="s">
        <v>17159</v>
      </c>
      <c r="O467" s="57" t="s">
        <v>15165</v>
      </c>
      <c r="P467" s="57" t="s">
        <v>15166</v>
      </c>
      <c r="Q467" s="57" t="s">
        <v>2938</v>
      </c>
      <c r="R467" s="57" t="s">
        <v>15696</v>
      </c>
      <c r="S467" s="57" t="s">
        <v>15697</v>
      </c>
      <c r="T467" s="57" t="s">
        <v>15190</v>
      </c>
      <c r="U467" s="57" t="s">
        <v>14184</v>
      </c>
      <c r="V467" s="56" t="s">
        <v>14153</v>
      </c>
      <c r="W467" s="58"/>
      <c r="X467" s="57" t="s">
        <v>17160</v>
      </c>
      <c r="Y467" s="57" t="s">
        <v>15170</v>
      </c>
      <c r="Z467" s="61" t="s">
        <v>15465</v>
      </c>
      <c r="AA467" s="61" t="s">
        <v>17079</v>
      </c>
      <c r="AB467" s="58"/>
      <c r="AC467" s="57" t="s">
        <v>15172</v>
      </c>
      <c r="AD467" s="58"/>
      <c r="AE467" s="58"/>
      <c r="AF467" s="58"/>
      <c r="AG467" s="58"/>
      <c r="AH467" s="58"/>
      <c r="AI467" s="58"/>
      <c r="AJ467" s="58"/>
      <c r="AK467" s="56" t="s">
        <v>1285</v>
      </c>
      <c r="AL467" s="56" t="s">
        <v>17161</v>
      </c>
      <c r="AM467" s="58"/>
      <c r="AN467" s="56" t="s">
        <v>17162</v>
      </c>
      <c r="AO467" s="58"/>
      <c r="AP467" s="63">
        <v>45835.5387615741</v>
      </c>
      <c r="AQ467" s="56" t="s">
        <v>17163</v>
      </c>
      <c r="AR467" s="61" t="s">
        <v>15448</v>
      </c>
      <c r="AS467" s="57" t="s">
        <v>14184</v>
      </c>
      <c r="AT467" s="56" t="s">
        <v>15177</v>
      </c>
      <c r="AU467" s="56" t="s">
        <v>17164</v>
      </c>
      <c r="AV467" s="58"/>
      <c r="AW467" s="64">
        <v>45747.8103703704</v>
      </c>
      <c r="AX467" s="56" t="s">
        <v>17161</v>
      </c>
      <c r="AY467" s="56" t="s">
        <v>15179</v>
      </c>
      <c r="AZ467" s="58"/>
      <c r="BA467" s="58"/>
      <c r="BB467" s="58"/>
      <c r="BC467" s="56" t="s">
        <v>16041</v>
      </c>
      <c r="BD467" s="56" t="s">
        <v>15197</v>
      </c>
      <c r="BE467" s="58"/>
      <c r="BF467" s="56" t="s">
        <v>15181</v>
      </c>
      <c r="BG467" s="58"/>
      <c r="BH467" s="58"/>
      <c r="BI467" s="57" t="s">
        <v>2801</v>
      </c>
      <c r="BJ467" s="58"/>
      <c r="BK467" s="58"/>
      <c r="BL467" s="66">
        <v>3475414</v>
      </c>
      <c r="BM467" s="56" t="s">
        <v>17165</v>
      </c>
      <c r="BN467" s="58"/>
      <c r="BO467" s="67">
        <v>1372</v>
      </c>
      <c r="BP467" s="56" t="s">
        <v>15450</v>
      </c>
      <c r="BQ467" s="58"/>
      <c r="BR467" s="56" t="s">
        <v>17166</v>
      </c>
      <c r="BS467" s="56" t="s">
        <v>1285</v>
      </c>
      <c r="BT467" s="58"/>
      <c r="BU467" s="56" t="s">
        <v>17163</v>
      </c>
      <c r="BV467" s="58"/>
      <c r="BW467" s="58"/>
      <c r="BX467" s="67">
        <v>1372</v>
      </c>
      <c r="BY467" s="58"/>
      <c r="BZ467" s="58"/>
      <c r="CA467" s="58"/>
      <c r="CB467" s="58"/>
      <c r="CC467" s="58"/>
      <c r="CD467" s="58"/>
    </row>
    <row r="468" ht="108" spans="1:82">
      <c r="A468" s="56" t="s">
        <v>17168</v>
      </c>
      <c r="B468" s="58"/>
      <c r="C468" s="57" t="s">
        <v>17157</v>
      </c>
      <c r="D468" s="58"/>
      <c r="E468" s="57" t="s">
        <v>15158</v>
      </c>
      <c r="F468" s="57" t="s">
        <v>17158</v>
      </c>
      <c r="G468" s="57" t="s">
        <v>15160</v>
      </c>
      <c r="H468" s="56" t="s">
        <v>2938</v>
      </c>
      <c r="I468" s="60">
        <v>60072</v>
      </c>
      <c r="J468" s="57" t="s">
        <v>1285</v>
      </c>
      <c r="K468" s="57" t="s">
        <v>15162</v>
      </c>
      <c r="L468" s="57" t="s">
        <v>15163</v>
      </c>
      <c r="M468" s="61" t="s">
        <v>17079</v>
      </c>
      <c r="N468" s="62" t="s">
        <v>17159</v>
      </c>
      <c r="O468" s="57" t="s">
        <v>15165</v>
      </c>
      <c r="P468" s="57" t="s">
        <v>15166</v>
      </c>
      <c r="Q468" s="57" t="s">
        <v>2938</v>
      </c>
      <c r="R468" s="57" t="s">
        <v>15696</v>
      </c>
      <c r="S468" s="57" t="s">
        <v>15697</v>
      </c>
      <c r="T468" s="57" t="s">
        <v>15190</v>
      </c>
      <c r="U468" s="57" t="s">
        <v>14184</v>
      </c>
      <c r="V468" s="56" t="s">
        <v>14153</v>
      </c>
      <c r="W468" s="58"/>
      <c r="X468" s="57" t="s">
        <v>17160</v>
      </c>
      <c r="Y468" s="57" t="s">
        <v>15170</v>
      </c>
      <c r="Z468" s="61" t="s">
        <v>15465</v>
      </c>
      <c r="AA468" s="61" t="s">
        <v>17079</v>
      </c>
      <c r="AB468" s="58"/>
      <c r="AC468" s="57" t="s">
        <v>15172</v>
      </c>
      <c r="AD468" s="58"/>
      <c r="AE468" s="58"/>
      <c r="AF468" s="58"/>
      <c r="AG468" s="58"/>
      <c r="AH468" s="58"/>
      <c r="AI468" s="58"/>
      <c r="AJ468" s="58"/>
      <c r="AK468" s="56" t="s">
        <v>1285</v>
      </c>
      <c r="AL468" s="56" t="s">
        <v>17161</v>
      </c>
      <c r="AM468" s="58"/>
      <c r="AN468" s="56" t="s">
        <v>17162</v>
      </c>
      <c r="AO468" s="58"/>
      <c r="AP468" s="63">
        <v>45835.5387615741</v>
      </c>
      <c r="AQ468" s="56" t="s">
        <v>17163</v>
      </c>
      <c r="AR468" s="61" t="s">
        <v>15448</v>
      </c>
      <c r="AS468" s="57" t="s">
        <v>14184</v>
      </c>
      <c r="AT468" s="56" t="s">
        <v>15177</v>
      </c>
      <c r="AU468" s="56" t="s">
        <v>17164</v>
      </c>
      <c r="AV468" s="58"/>
      <c r="AW468" s="64">
        <v>45747.8103703704</v>
      </c>
      <c r="AX468" s="56" t="s">
        <v>17161</v>
      </c>
      <c r="AY468" s="56" t="s">
        <v>15179</v>
      </c>
      <c r="AZ468" s="58"/>
      <c r="BA468" s="58"/>
      <c r="BB468" s="58"/>
      <c r="BC468" s="56" t="s">
        <v>15617</v>
      </c>
      <c r="BD468" s="56" t="s">
        <v>15197</v>
      </c>
      <c r="BE468" s="58"/>
      <c r="BF468" s="56" t="s">
        <v>15181</v>
      </c>
      <c r="BG468" s="58"/>
      <c r="BH468" s="58"/>
      <c r="BI468" s="57" t="s">
        <v>2801</v>
      </c>
      <c r="BJ468" s="58"/>
      <c r="BK468" s="58"/>
      <c r="BL468" s="66">
        <v>3475415</v>
      </c>
      <c r="BM468" s="56" t="s">
        <v>17165</v>
      </c>
      <c r="BN468" s="58"/>
      <c r="BO468" s="67">
        <v>5600</v>
      </c>
      <c r="BP468" s="56" t="s">
        <v>15450</v>
      </c>
      <c r="BQ468" s="58"/>
      <c r="BR468" s="56" t="s">
        <v>17166</v>
      </c>
      <c r="BS468" s="56" t="s">
        <v>1285</v>
      </c>
      <c r="BT468" s="58"/>
      <c r="BU468" s="56" t="s">
        <v>17163</v>
      </c>
      <c r="BV468" s="58"/>
      <c r="BW468" s="58"/>
      <c r="BX468" s="67">
        <v>5600</v>
      </c>
      <c r="BY468" s="58"/>
      <c r="BZ468" s="58"/>
      <c r="CA468" s="58"/>
      <c r="CB468" s="58"/>
      <c r="CC468" s="58"/>
      <c r="CD468" s="58"/>
    </row>
    <row r="469" ht="108" spans="1:82">
      <c r="A469" s="56" t="s">
        <v>17169</v>
      </c>
      <c r="B469" s="58"/>
      <c r="C469" s="57" t="s">
        <v>17170</v>
      </c>
      <c r="D469" s="58"/>
      <c r="E469" s="57" t="s">
        <v>15158</v>
      </c>
      <c r="F469" s="57" t="s">
        <v>17171</v>
      </c>
      <c r="G469" s="57" t="s">
        <v>15160</v>
      </c>
      <c r="H469" s="56" t="s">
        <v>3304</v>
      </c>
      <c r="I469" s="60">
        <v>7200</v>
      </c>
      <c r="J469" s="57" t="s">
        <v>1285</v>
      </c>
      <c r="K469" s="57" t="s">
        <v>15162</v>
      </c>
      <c r="L469" s="57" t="s">
        <v>15163</v>
      </c>
      <c r="M469" s="61" t="s">
        <v>17079</v>
      </c>
      <c r="N469" s="62" t="s">
        <v>15331</v>
      </c>
      <c r="O469" s="57" t="s">
        <v>15165</v>
      </c>
      <c r="P469" s="57" t="s">
        <v>15166</v>
      </c>
      <c r="Q469" s="57" t="s">
        <v>3304</v>
      </c>
      <c r="R469" s="57" t="s">
        <v>15206</v>
      </c>
      <c r="S469" s="57" t="s">
        <v>15207</v>
      </c>
      <c r="T469" s="57" t="s">
        <v>15190</v>
      </c>
      <c r="U469" s="57" t="s">
        <v>14184</v>
      </c>
      <c r="V469" s="56" t="s">
        <v>14153</v>
      </c>
      <c r="W469" s="58"/>
      <c r="X469" s="57" t="s">
        <v>17172</v>
      </c>
      <c r="Y469" s="57" t="s">
        <v>15170</v>
      </c>
      <c r="Z469" s="61" t="s">
        <v>15465</v>
      </c>
      <c r="AA469" s="61" t="s">
        <v>17079</v>
      </c>
      <c r="AB469" s="58"/>
      <c r="AC469" s="57" t="s">
        <v>15172</v>
      </c>
      <c r="AD469" s="58"/>
      <c r="AE469" s="58"/>
      <c r="AF469" s="58"/>
      <c r="AG469" s="58"/>
      <c r="AH469" s="58"/>
      <c r="AI469" s="58"/>
      <c r="AJ469" s="58"/>
      <c r="AK469" s="56" t="s">
        <v>1285</v>
      </c>
      <c r="AL469" s="56" t="s">
        <v>17173</v>
      </c>
      <c r="AM469" s="58"/>
      <c r="AN469" s="56" t="s">
        <v>17174</v>
      </c>
      <c r="AO469" s="58"/>
      <c r="AP469" s="63">
        <v>45835.5377662037</v>
      </c>
      <c r="AQ469" s="56" t="s">
        <v>17175</v>
      </c>
      <c r="AR469" s="61" t="s">
        <v>15448</v>
      </c>
      <c r="AS469" s="57" t="s">
        <v>14184</v>
      </c>
      <c r="AT469" s="56" t="s">
        <v>15177</v>
      </c>
      <c r="AU469" s="56" t="s">
        <v>17176</v>
      </c>
      <c r="AV469" s="58"/>
      <c r="AW469" s="64">
        <v>45722.6878009259</v>
      </c>
      <c r="AX469" s="56" t="s">
        <v>17173</v>
      </c>
      <c r="AY469" s="56" t="s">
        <v>15179</v>
      </c>
      <c r="AZ469" s="58"/>
      <c r="BA469" s="58"/>
      <c r="BB469" s="58"/>
      <c r="BC469" s="56" t="s">
        <v>15213</v>
      </c>
      <c r="BD469" s="56" t="s">
        <v>15197</v>
      </c>
      <c r="BE469" s="58"/>
      <c r="BF469" s="56" t="s">
        <v>15181</v>
      </c>
      <c r="BG469" s="58"/>
      <c r="BH469" s="58"/>
      <c r="BI469" s="57" t="s">
        <v>2801</v>
      </c>
      <c r="BJ469" s="58"/>
      <c r="BK469" s="58"/>
      <c r="BL469" s="66">
        <v>3468378</v>
      </c>
      <c r="BM469" s="56" t="s">
        <v>17177</v>
      </c>
      <c r="BN469" s="58"/>
      <c r="BO469" s="67">
        <v>7200</v>
      </c>
      <c r="BP469" s="56" t="s">
        <v>15450</v>
      </c>
      <c r="BQ469" s="58"/>
      <c r="BR469" s="56" t="s">
        <v>17178</v>
      </c>
      <c r="BS469" s="56" t="s">
        <v>1285</v>
      </c>
      <c r="BT469" s="58"/>
      <c r="BU469" s="56" t="s">
        <v>17175</v>
      </c>
      <c r="BV469" s="58"/>
      <c r="BW469" s="58"/>
      <c r="BX469" s="67">
        <v>7200</v>
      </c>
      <c r="BY469" s="58"/>
      <c r="BZ469" s="58"/>
      <c r="CA469" s="58"/>
      <c r="CB469" s="58"/>
      <c r="CC469" s="58"/>
      <c r="CD469" s="58"/>
    </row>
    <row r="470" ht="108" spans="1:82">
      <c r="A470" s="56" t="s">
        <v>17179</v>
      </c>
      <c r="B470" s="58"/>
      <c r="C470" s="57" t="s">
        <v>17180</v>
      </c>
      <c r="D470" s="58"/>
      <c r="E470" s="57" t="s">
        <v>15158</v>
      </c>
      <c r="F470" s="57" t="s">
        <v>17181</v>
      </c>
      <c r="G470" s="57" t="s">
        <v>15160</v>
      </c>
      <c r="H470" s="56" t="s">
        <v>2935</v>
      </c>
      <c r="I470" s="60">
        <v>41588.9</v>
      </c>
      <c r="J470" s="57" t="s">
        <v>1285</v>
      </c>
      <c r="K470" s="57" t="s">
        <v>15162</v>
      </c>
      <c r="L470" s="57" t="s">
        <v>15163</v>
      </c>
      <c r="M470" s="61" t="s">
        <v>17079</v>
      </c>
      <c r="N470" s="62" t="s">
        <v>15331</v>
      </c>
      <c r="O470" s="57" t="s">
        <v>15165</v>
      </c>
      <c r="P470" s="57" t="s">
        <v>15166</v>
      </c>
      <c r="Q470" s="57" t="s">
        <v>2935</v>
      </c>
      <c r="R470" s="57" t="s">
        <v>15594</v>
      </c>
      <c r="S470" s="57" t="s">
        <v>15595</v>
      </c>
      <c r="T470" s="57" t="s">
        <v>15190</v>
      </c>
      <c r="U470" s="57" t="s">
        <v>14184</v>
      </c>
      <c r="V470" s="56" t="s">
        <v>14153</v>
      </c>
      <c r="W470" s="58"/>
      <c r="X470" s="57" t="s">
        <v>17172</v>
      </c>
      <c r="Y470" s="57" t="s">
        <v>15170</v>
      </c>
      <c r="Z470" s="61" t="s">
        <v>15465</v>
      </c>
      <c r="AA470" s="61" t="s">
        <v>17079</v>
      </c>
      <c r="AB470" s="58"/>
      <c r="AC470" s="57" t="s">
        <v>15172</v>
      </c>
      <c r="AD470" s="58"/>
      <c r="AE470" s="58"/>
      <c r="AF470" s="58"/>
      <c r="AG470" s="58"/>
      <c r="AH470" s="58"/>
      <c r="AI470" s="58"/>
      <c r="AJ470" s="58"/>
      <c r="AK470" s="56" t="s">
        <v>1285</v>
      </c>
      <c r="AL470" s="56" t="s">
        <v>17182</v>
      </c>
      <c r="AM470" s="58"/>
      <c r="AN470" s="56" t="s">
        <v>17183</v>
      </c>
      <c r="AO470" s="58"/>
      <c r="AP470" s="63">
        <v>45835.5357986111</v>
      </c>
      <c r="AQ470" s="56" t="s">
        <v>17184</v>
      </c>
      <c r="AR470" s="61" t="s">
        <v>15448</v>
      </c>
      <c r="AS470" s="57" t="s">
        <v>14184</v>
      </c>
      <c r="AT470" s="56" t="s">
        <v>15177</v>
      </c>
      <c r="AU470" s="56" t="s">
        <v>17185</v>
      </c>
      <c r="AV470" s="58"/>
      <c r="AW470" s="64">
        <v>45721.4615740741</v>
      </c>
      <c r="AX470" s="56" t="s">
        <v>17182</v>
      </c>
      <c r="AY470" s="56" t="s">
        <v>15179</v>
      </c>
      <c r="AZ470" s="58"/>
      <c r="BA470" s="58"/>
      <c r="BB470" s="58"/>
      <c r="BC470" s="56" t="s">
        <v>15196</v>
      </c>
      <c r="BD470" s="56" t="s">
        <v>15197</v>
      </c>
      <c r="BE470" s="58"/>
      <c r="BF470" s="56" t="s">
        <v>15181</v>
      </c>
      <c r="BG470" s="58"/>
      <c r="BH470" s="58"/>
      <c r="BI470" s="57" t="s">
        <v>2801</v>
      </c>
      <c r="BJ470" s="58"/>
      <c r="BK470" s="58"/>
      <c r="BL470" s="66">
        <v>3471373</v>
      </c>
      <c r="BM470" s="56" t="s">
        <v>17186</v>
      </c>
      <c r="BN470" s="58"/>
      <c r="BO470" s="67">
        <v>330</v>
      </c>
      <c r="BP470" s="56" t="s">
        <v>15450</v>
      </c>
      <c r="BQ470" s="58"/>
      <c r="BR470" s="56" t="s">
        <v>17187</v>
      </c>
      <c r="BS470" s="56" t="s">
        <v>1285</v>
      </c>
      <c r="BT470" s="58"/>
      <c r="BU470" s="56" t="s">
        <v>17184</v>
      </c>
      <c r="BV470" s="58"/>
      <c r="BW470" s="58"/>
      <c r="BX470" s="67">
        <v>330</v>
      </c>
      <c r="BY470" s="58"/>
      <c r="BZ470" s="58"/>
      <c r="CA470" s="58"/>
      <c r="CB470" s="58"/>
      <c r="CC470" s="58"/>
      <c r="CD470" s="58"/>
    </row>
    <row r="471" ht="108" spans="1:82">
      <c r="A471" s="56" t="s">
        <v>17188</v>
      </c>
      <c r="B471" s="58"/>
      <c r="C471" s="57" t="s">
        <v>17180</v>
      </c>
      <c r="D471" s="58"/>
      <c r="E471" s="57" t="s">
        <v>15158</v>
      </c>
      <c r="F471" s="57" t="s">
        <v>17181</v>
      </c>
      <c r="G471" s="57" t="s">
        <v>15160</v>
      </c>
      <c r="H471" s="56" t="s">
        <v>2935</v>
      </c>
      <c r="I471" s="60">
        <v>41588.9</v>
      </c>
      <c r="J471" s="57" t="s">
        <v>1285</v>
      </c>
      <c r="K471" s="57" t="s">
        <v>15162</v>
      </c>
      <c r="L471" s="57" t="s">
        <v>15163</v>
      </c>
      <c r="M471" s="61" t="s">
        <v>17079</v>
      </c>
      <c r="N471" s="62" t="s">
        <v>15331</v>
      </c>
      <c r="O471" s="57" t="s">
        <v>15165</v>
      </c>
      <c r="P471" s="57" t="s">
        <v>15166</v>
      </c>
      <c r="Q471" s="57" t="s">
        <v>2935</v>
      </c>
      <c r="R471" s="57" t="s">
        <v>15594</v>
      </c>
      <c r="S471" s="57" t="s">
        <v>15595</v>
      </c>
      <c r="T471" s="57" t="s">
        <v>15190</v>
      </c>
      <c r="U471" s="57" t="s">
        <v>14184</v>
      </c>
      <c r="V471" s="56" t="s">
        <v>14153</v>
      </c>
      <c r="W471" s="58"/>
      <c r="X471" s="57" t="s">
        <v>17172</v>
      </c>
      <c r="Y471" s="57" t="s">
        <v>15170</v>
      </c>
      <c r="Z471" s="61" t="s">
        <v>15465</v>
      </c>
      <c r="AA471" s="61" t="s">
        <v>17079</v>
      </c>
      <c r="AB471" s="58"/>
      <c r="AC471" s="57" t="s">
        <v>15172</v>
      </c>
      <c r="AD471" s="58"/>
      <c r="AE471" s="58"/>
      <c r="AF471" s="58"/>
      <c r="AG471" s="58"/>
      <c r="AH471" s="58"/>
      <c r="AI471" s="58"/>
      <c r="AJ471" s="58"/>
      <c r="AK471" s="56" t="s">
        <v>1285</v>
      </c>
      <c r="AL471" s="56" t="s">
        <v>17182</v>
      </c>
      <c r="AM471" s="58"/>
      <c r="AN471" s="56" t="s">
        <v>17183</v>
      </c>
      <c r="AO471" s="58"/>
      <c r="AP471" s="63">
        <v>45835.5357986111</v>
      </c>
      <c r="AQ471" s="56" t="s">
        <v>17184</v>
      </c>
      <c r="AR471" s="61" t="s">
        <v>15448</v>
      </c>
      <c r="AS471" s="57" t="s">
        <v>14184</v>
      </c>
      <c r="AT471" s="56" t="s">
        <v>15177</v>
      </c>
      <c r="AU471" s="56" t="s">
        <v>17185</v>
      </c>
      <c r="AV471" s="58"/>
      <c r="AW471" s="64">
        <v>45721.4615740741</v>
      </c>
      <c r="AX471" s="56" t="s">
        <v>17182</v>
      </c>
      <c r="AY471" s="56" t="s">
        <v>15179</v>
      </c>
      <c r="AZ471" s="58"/>
      <c r="BA471" s="58"/>
      <c r="BB471" s="58"/>
      <c r="BC471" s="56" t="s">
        <v>15617</v>
      </c>
      <c r="BD471" s="56" t="s">
        <v>15197</v>
      </c>
      <c r="BE471" s="58"/>
      <c r="BF471" s="56" t="s">
        <v>15181</v>
      </c>
      <c r="BG471" s="58"/>
      <c r="BH471" s="58"/>
      <c r="BI471" s="57" t="s">
        <v>2801</v>
      </c>
      <c r="BJ471" s="58"/>
      <c r="BK471" s="58"/>
      <c r="BL471" s="66">
        <v>3471374</v>
      </c>
      <c r="BM471" s="56" t="s">
        <v>17186</v>
      </c>
      <c r="BN471" s="58"/>
      <c r="BO471" s="67">
        <v>770</v>
      </c>
      <c r="BP471" s="56" t="s">
        <v>15450</v>
      </c>
      <c r="BQ471" s="58"/>
      <c r="BR471" s="56" t="s">
        <v>17187</v>
      </c>
      <c r="BS471" s="56" t="s">
        <v>1285</v>
      </c>
      <c r="BT471" s="58"/>
      <c r="BU471" s="56" t="s">
        <v>17184</v>
      </c>
      <c r="BV471" s="58"/>
      <c r="BW471" s="58"/>
      <c r="BX471" s="67">
        <v>770</v>
      </c>
      <c r="BY471" s="58"/>
      <c r="BZ471" s="58"/>
      <c r="CA471" s="58"/>
      <c r="CB471" s="58"/>
      <c r="CC471" s="58"/>
      <c r="CD471" s="58"/>
    </row>
    <row r="472" ht="108" spans="1:82">
      <c r="A472" s="56" t="s">
        <v>17189</v>
      </c>
      <c r="B472" s="58"/>
      <c r="C472" s="57" t="s">
        <v>17180</v>
      </c>
      <c r="D472" s="58"/>
      <c r="E472" s="57" t="s">
        <v>15158</v>
      </c>
      <c r="F472" s="57" t="s">
        <v>17181</v>
      </c>
      <c r="G472" s="57" t="s">
        <v>15160</v>
      </c>
      <c r="H472" s="56" t="s">
        <v>2935</v>
      </c>
      <c r="I472" s="60">
        <v>41588.9</v>
      </c>
      <c r="J472" s="57" t="s">
        <v>1285</v>
      </c>
      <c r="K472" s="57" t="s">
        <v>15162</v>
      </c>
      <c r="L472" s="57" t="s">
        <v>15163</v>
      </c>
      <c r="M472" s="61" t="s">
        <v>17079</v>
      </c>
      <c r="N472" s="62" t="s">
        <v>15331</v>
      </c>
      <c r="O472" s="57" t="s">
        <v>15165</v>
      </c>
      <c r="P472" s="57" t="s">
        <v>15166</v>
      </c>
      <c r="Q472" s="57" t="s">
        <v>2935</v>
      </c>
      <c r="R472" s="57" t="s">
        <v>15594</v>
      </c>
      <c r="S472" s="57" t="s">
        <v>15595</v>
      </c>
      <c r="T472" s="57" t="s">
        <v>15190</v>
      </c>
      <c r="U472" s="57" t="s">
        <v>14184</v>
      </c>
      <c r="V472" s="56" t="s">
        <v>14153</v>
      </c>
      <c r="W472" s="58"/>
      <c r="X472" s="57" t="s">
        <v>17172</v>
      </c>
      <c r="Y472" s="57" t="s">
        <v>15170</v>
      </c>
      <c r="Z472" s="61" t="s">
        <v>15465</v>
      </c>
      <c r="AA472" s="61" t="s">
        <v>17079</v>
      </c>
      <c r="AB472" s="58"/>
      <c r="AC472" s="57" t="s">
        <v>15172</v>
      </c>
      <c r="AD472" s="58"/>
      <c r="AE472" s="58"/>
      <c r="AF472" s="58"/>
      <c r="AG472" s="58"/>
      <c r="AH472" s="58"/>
      <c r="AI472" s="58"/>
      <c r="AJ472" s="58"/>
      <c r="AK472" s="56" t="s">
        <v>1285</v>
      </c>
      <c r="AL472" s="56" t="s">
        <v>17182</v>
      </c>
      <c r="AM472" s="58"/>
      <c r="AN472" s="56" t="s">
        <v>17183</v>
      </c>
      <c r="AO472" s="58"/>
      <c r="AP472" s="63">
        <v>45835.5357986111</v>
      </c>
      <c r="AQ472" s="56" t="s">
        <v>17184</v>
      </c>
      <c r="AR472" s="61" t="s">
        <v>15448</v>
      </c>
      <c r="AS472" s="57" t="s">
        <v>14184</v>
      </c>
      <c r="AT472" s="56" t="s">
        <v>15177</v>
      </c>
      <c r="AU472" s="56" t="s">
        <v>17185</v>
      </c>
      <c r="AV472" s="58"/>
      <c r="AW472" s="64">
        <v>45721.4615740741</v>
      </c>
      <c r="AX472" s="56" t="s">
        <v>17182</v>
      </c>
      <c r="AY472" s="56" t="s">
        <v>15179</v>
      </c>
      <c r="AZ472" s="58"/>
      <c r="BA472" s="58"/>
      <c r="BB472" s="58"/>
      <c r="BC472" s="56" t="s">
        <v>138</v>
      </c>
      <c r="BD472" s="56" t="s">
        <v>15197</v>
      </c>
      <c r="BE472" s="58"/>
      <c r="BF472" s="56" t="s">
        <v>15181</v>
      </c>
      <c r="BG472" s="58"/>
      <c r="BH472" s="58"/>
      <c r="BI472" s="57" t="s">
        <v>2801</v>
      </c>
      <c r="BJ472" s="58"/>
      <c r="BK472" s="58"/>
      <c r="BL472" s="66">
        <v>3471375</v>
      </c>
      <c r="BM472" s="56" t="s">
        <v>17186</v>
      </c>
      <c r="BN472" s="58"/>
      <c r="BO472" s="67">
        <v>1410</v>
      </c>
      <c r="BP472" s="56" t="s">
        <v>15450</v>
      </c>
      <c r="BQ472" s="58"/>
      <c r="BR472" s="56" t="s">
        <v>17187</v>
      </c>
      <c r="BS472" s="56" t="s">
        <v>1285</v>
      </c>
      <c r="BT472" s="58"/>
      <c r="BU472" s="56" t="s">
        <v>17184</v>
      </c>
      <c r="BV472" s="58"/>
      <c r="BW472" s="58"/>
      <c r="BX472" s="67">
        <v>1410</v>
      </c>
      <c r="BY472" s="58"/>
      <c r="BZ472" s="58"/>
      <c r="CA472" s="58"/>
      <c r="CB472" s="58"/>
      <c r="CC472" s="58"/>
      <c r="CD472" s="58"/>
    </row>
    <row r="473" ht="108" spans="1:82">
      <c r="A473" s="56" t="s">
        <v>17190</v>
      </c>
      <c r="B473" s="58"/>
      <c r="C473" s="57" t="s">
        <v>17180</v>
      </c>
      <c r="D473" s="58"/>
      <c r="E473" s="57" t="s">
        <v>15158</v>
      </c>
      <c r="F473" s="57" t="s">
        <v>17181</v>
      </c>
      <c r="G473" s="57" t="s">
        <v>15160</v>
      </c>
      <c r="H473" s="56" t="s">
        <v>2935</v>
      </c>
      <c r="I473" s="60">
        <v>41588.9</v>
      </c>
      <c r="J473" s="57" t="s">
        <v>1285</v>
      </c>
      <c r="K473" s="57" t="s">
        <v>15162</v>
      </c>
      <c r="L473" s="57" t="s">
        <v>15163</v>
      </c>
      <c r="M473" s="61" t="s">
        <v>17079</v>
      </c>
      <c r="N473" s="62" t="s">
        <v>15331</v>
      </c>
      <c r="O473" s="57" t="s">
        <v>15165</v>
      </c>
      <c r="P473" s="57" t="s">
        <v>15166</v>
      </c>
      <c r="Q473" s="57" t="s">
        <v>2935</v>
      </c>
      <c r="R473" s="57" t="s">
        <v>15594</v>
      </c>
      <c r="S473" s="57" t="s">
        <v>15595</v>
      </c>
      <c r="T473" s="57" t="s">
        <v>15190</v>
      </c>
      <c r="U473" s="57" t="s">
        <v>14184</v>
      </c>
      <c r="V473" s="56" t="s">
        <v>14153</v>
      </c>
      <c r="W473" s="58"/>
      <c r="X473" s="57" t="s">
        <v>17172</v>
      </c>
      <c r="Y473" s="57" t="s">
        <v>15170</v>
      </c>
      <c r="Z473" s="61" t="s">
        <v>15465</v>
      </c>
      <c r="AA473" s="61" t="s">
        <v>17079</v>
      </c>
      <c r="AB473" s="58"/>
      <c r="AC473" s="57" t="s">
        <v>15172</v>
      </c>
      <c r="AD473" s="58"/>
      <c r="AE473" s="58"/>
      <c r="AF473" s="58"/>
      <c r="AG473" s="58"/>
      <c r="AH473" s="58"/>
      <c r="AI473" s="58"/>
      <c r="AJ473" s="58"/>
      <c r="AK473" s="56" t="s">
        <v>1285</v>
      </c>
      <c r="AL473" s="56" t="s">
        <v>17182</v>
      </c>
      <c r="AM473" s="58"/>
      <c r="AN473" s="56" t="s">
        <v>17183</v>
      </c>
      <c r="AO473" s="58"/>
      <c r="AP473" s="63">
        <v>45835.5357986111</v>
      </c>
      <c r="AQ473" s="56" t="s">
        <v>17184</v>
      </c>
      <c r="AR473" s="61" t="s">
        <v>15448</v>
      </c>
      <c r="AS473" s="57" t="s">
        <v>14184</v>
      </c>
      <c r="AT473" s="56" t="s">
        <v>15177</v>
      </c>
      <c r="AU473" s="56" t="s">
        <v>17185</v>
      </c>
      <c r="AV473" s="58"/>
      <c r="AW473" s="64">
        <v>45721.4615740741</v>
      </c>
      <c r="AX473" s="56" t="s">
        <v>17182</v>
      </c>
      <c r="AY473" s="56" t="s">
        <v>15179</v>
      </c>
      <c r="AZ473" s="58"/>
      <c r="BA473" s="58"/>
      <c r="BB473" s="58"/>
      <c r="BC473" s="56" t="s">
        <v>15213</v>
      </c>
      <c r="BD473" s="56" t="s">
        <v>15197</v>
      </c>
      <c r="BE473" s="58"/>
      <c r="BF473" s="56" t="s">
        <v>15181</v>
      </c>
      <c r="BG473" s="58"/>
      <c r="BH473" s="58"/>
      <c r="BI473" s="57" t="s">
        <v>2801</v>
      </c>
      <c r="BJ473" s="58"/>
      <c r="BK473" s="58"/>
      <c r="BL473" s="66">
        <v>3471376</v>
      </c>
      <c r="BM473" s="56" t="s">
        <v>17186</v>
      </c>
      <c r="BN473" s="58"/>
      <c r="BO473" s="67">
        <v>136</v>
      </c>
      <c r="BP473" s="56" t="s">
        <v>15450</v>
      </c>
      <c r="BQ473" s="58"/>
      <c r="BR473" s="56" t="s">
        <v>17187</v>
      </c>
      <c r="BS473" s="56" t="s">
        <v>1285</v>
      </c>
      <c r="BT473" s="58"/>
      <c r="BU473" s="56" t="s">
        <v>17184</v>
      </c>
      <c r="BV473" s="58"/>
      <c r="BW473" s="58"/>
      <c r="BX473" s="67">
        <v>136</v>
      </c>
      <c r="BY473" s="58"/>
      <c r="BZ473" s="58"/>
      <c r="CA473" s="58"/>
      <c r="CB473" s="58"/>
      <c r="CC473" s="58"/>
      <c r="CD473" s="58"/>
    </row>
    <row r="474" ht="108" spans="1:82">
      <c r="A474" s="56" t="s">
        <v>17191</v>
      </c>
      <c r="B474" s="58"/>
      <c r="C474" s="57" t="s">
        <v>17180</v>
      </c>
      <c r="D474" s="58"/>
      <c r="E474" s="57" t="s">
        <v>15158</v>
      </c>
      <c r="F474" s="57" t="s">
        <v>17181</v>
      </c>
      <c r="G474" s="57" t="s">
        <v>15160</v>
      </c>
      <c r="H474" s="56" t="s">
        <v>2935</v>
      </c>
      <c r="I474" s="60">
        <v>41588.9</v>
      </c>
      <c r="J474" s="57" t="s">
        <v>1285</v>
      </c>
      <c r="K474" s="57" t="s">
        <v>15162</v>
      </c>
      <c r="L474" s="57" t="s">
        <v>15163</v>
      </c>
      <c r="M474" s="61" t="s">
        <v>17079</v>
      </c>
      <c r="N474" s="62" t="s">
        <v>15331</v>
      </c>
      <c r="O474" s="57" t="s">
        <v>15165</v>
      </c>
      <c r="P474" s="57" t="s">
        <v>15166</v>
      </c>
      <c r="Q474" s="57" t="s">
        <v>2935</v>
      </c>
      <c r="R474" s="57" t="s">
        <v>15594</v>
      </c>
      <c r="S474" s="57" t="s">
        <v>15595</v>
      </c>
      <c r="T474" s="57" t="s">
        <v>15190</v>
      </c>
      <c r="U474" s="57" t="s">
        <v>14184</v>
      </c>
      <c r="V474" s="56" t="s">
        <v>14153</v>
      </c>
      <c r="W474" s="58"/>
      <c r="X474" s="57" t="s">
        <v>17172</v>
      </c>
      <c r="Y474" s="57" t="s">
        <v>15170</v>
      </c>
      <c r="Z474" s="61" t="s">
        <v>15465</v>
      </c>
      <c r="AA474" s="61" t="s">
        <v>17079</v>
      </c>
      <c r="AB474" s="58"/>
      <c r="AC474" s="57" t="s">
        <v>15172</v>
      </c>
      <c r="AD474" s="58"/>
      <c r="AE474" s="58"/>
      <c r="AF474" s="58"/>
      <c r="AG474" s="58"/>
      <c r="AH474" s="58"/>
      <c r="AI474" s="58"/>
      <c r="AJ474" s="58"/>
      <c r="AK474" s="56" t="s">
        <v>1285</v>
      </c>
      <c r="AL474" s="56" t="s">
        <v>17182</v>
      </c>
      <c r="AM474" s="58"/>
      <c r="AN474" s="56" t="s">
        <v>17183</v>
      </c>
      <c r="AO474" s="58"/>
      <c r="AP474" s="63">
        <v>45835.5357986111</v>
      </c>
      <c r="AQ474" s="56" t="s">
        <v>17184</v>
      </c>
      <c r="AR474" s="61" t="s">
        <v>15448</v>
      </c>
      <c r="AS474" s="57" t="s">
        <v>14184</v>
      </c>
      <c r="AT474" s="56" t="s">
        <v>15177</v>
      </c>
      <c r="AU474" s="56" t="s">
        <v>17185</v>
      </c>
      <c r="AV474" s="58"/>
      <c r="AW474" s="64">
        <v>45721.4615740741</v>
      </c>
      <c r="AX474" s="56" t="s">
        <v>17182</v>
      </c>
      <c r="AY474" s="56" t="s">
        <v>15179</v>
      </c>
      <c r="AZ474" s="58"/>
      <c r="BA474" s="58"/>
      <c r="BB474" s="58"/>
      <c r="BC474" s="56" t="s">
        <v>15213</v>
      </c>
      <c r="BD474" s="56" t="s">
        <v>15197</v>
      </c>
      <c r="BE474" s="58"/>
      <c r="BF474" s="56" t="s">
        <v>15181</v>
      </c>
      <c r="BG474" s="58"/>
      <c r="BH474" s="58"/>
      <c r="BI474" s="57" t="s">
        <v>2801</v>
      </c>
      <c r="BJ474" s="58"/>
      <c r="BK474" s="58"/>
      <c r="BL474" s="66">
        <v>3471377</v>
      </c>
      <c r="BM474" s="56" t="s">
        <v>17186</v>
      </c>
      <c r="BN474" s="58"/>
      <c r="BO474" s="67">
        <v>92.7</v>
      </c>
      <c r="BP474" s="56" t="s">
        <v>15450</v>
      </c>
      <c r="BQ474" s="58"/>
      <c r="BR474" s="56" t="s">
        <v>17187</v>
      </c>
      <c r="BS474" s="56" t="s">
        <v>1285</v>
      </c>
      <c r="BT474" s="58"/>
      <c r="BU474" s="56" t="s">
        <v>17184</v>
      </c>
      <c r="BV474" s="58"/>
      <c r="BW474" s="58"/>
      <c r="BX474" s="67">
        <v>92.7</v>
      </c>
      <c r="BY474" s="58"/>
      <c r="BZ474" s="58"/>
      <c r="CA474" s="58"/>
      <c r="CB474" s="58"/>
      <c r="CC474" s="58"/>
      <c r="CD474" s="58"/>
    </row>
    <row r="475" ht="108" spans="1:82">
      <c r="A475" s="56" t="s">
        <v>17192</v>
      </c>
      <c r="B475" s="58"/>
      <c r="C475" s="57" t="s">
        <v>17180</v>
      </c>
      <c r="D475" s="58"/>
      <c r="E475" s="57" t="s">
        <v>15158</v>
      </c>
      <c r="F475" s="57" t="s">
        <v>17181</v>
      </c>
      <c r="G475" s="57" t="s">
        <v>15160</v>
      </c>
      <c r="H475" s="56" t="s">
        <v>2935</v>
      </c>
      <c r="I475" s="60">
        <v>41588.9</v>
      </c>
      <c r="J475" s="57" t="s">
        <v>1285</v>
      </c>
      <c r="K475" s="57" t="s">
        <v>15162</v>
      </c>
      <c r="L475" s="57" t="s">
        <v>15163</v>
      </c>
      <c r="M475" s="61" t="s">
        <v>17079</v>
      </c>
      <c r="N475" s="62" t="s">
        <v>15331</v>
      </c>
      <c r="O475" s="57" t="s">
        <v>15165</v>
      </c>
      <c r="P475" s="57" t="s">
        <v>15166</v>
      </c>
      <c r="Q475" s="57" t="s">
        <v>2935</v>
      </c>
      <c r="R475" s="57" t="s">
        <v>15594</v>
      </c>
      <c r="S475" s="57" t="s">
        <v>15595</v>
      </c>
      <c r="T475" s="57" t="s">
        <v>15190</v>
      </c>
      <c r="U475" s="57" t="s">
        <v>14184</v>
      </c>
      <c r="V475" s="56" t="s">
        <v>14153</v>
      </c>
      <c r="W475" s="58"/>
      <c r="X475" s="57" t="s">
        <v>17172</v>
      </c>
      <c r="Y475" s="57" t="s">
        <v>15170</v>
      </c>
      <c r="Z475" s="61" t="s">
        <v>15465</v>
      </c>
      <c r="AA475" s="61" t="s">
        <v>17079</v>
      </c>
      <c r="AB475" s="58"/>
      <c r="AC475" s="57" t="s">
        <v>15172</v>
      </c>
      <c r="AD475" s="58"/>
      <c r="AE475" s="58"/>
      <c r="AF475" s="58"/>
      <c r="AG475" s="58"/>
      <c r="AH475" s="58"/>
      <c r="AI475" s="58"/>
      <c r="AJ475" s="58"/>
      <c r="AK475" s="56" t="s">
        <v>1285</v>
      </c>
      <c r="AL475" s="56" t="s">
        <v>17182</v>
      </c>
      <c r="AM475" s="58"/>
      <c r="AN475" s="56" t="s">
        <v>17183</v>
      </c>
      <c r="AO475" s="58"/>
      <c r="AP475" s="63">
        <v>45835.5357986111</v>
      </c>
      <c r="AQ475" s="56" t="s">
        <v>17184</v>
      </c>
      <c r="AR475" s="61" t="s">
        <v>15448</v>
      </c>
      <c r="AS475" s="57" t="s">
        <v>14184</v>
      </c>
      <c r="AT475" s="56" t="s">
        <v>15177</v>
      </c>
      <c r="AU475" s="56" t="s">
        <v>17185</v>
      </c>
      <c r="AV475" s="58"/>
      <c r="AW475" s="64">
        <v>45721.4615740741</v>
      </c>
      <c r="AX475" s="56" t="s">
        <v>17182</v>
      </c>
      <c r="AY475" s="56" t="s">
        <v>15179</v>
      </c>
      <c r="AZ475" s="58"/>
      <c r="BA475" s="58"/>
      <c r="BB475" s="58"/>
      <c r="BC475" s="56" t="s">
        <v>16197</v>
      </c>
      <c r="BD475" s="56" t="s">
        <v>15197</v>
      </c>
      <c r="BE475" s="58"/>
      <c r="BF475" s="56" t="s">
        <v>15181</v>
      </c>
      <c r="BG475" s="58"/>
      <c r="BH475" s="58"/>
      <c r="BI475" s="57" t="s">
        <v>2801</v>
      </c>
      <c r="BJ475" s="58"/>
      <c r="BK475" s="58"/>
      <c r="BL475" s="66">
        <v>3471378</v>
      </c>
      <c r="BM475" s="56" t="s">
        <v>17186</v>
      </c>
      <c r="BN475" s="58"/>
      <c r="BO475" s="67">
        <v>439.2</v>
      </c>
      <c r="BP475" s="56" t="s">
        <v>15450</v>
      </c>
      <c r="BQ475" s="58"/>
      <c r="BR475" s="56" t="s">
        <v>17187</v>
      </c>
      <c r="BS475" s="56" t="s">
        <v>1285</v>
      </c>
      <c r="BT475" s="58"/>
      <c r="BU475" s="56" t="s">
        <v>17184</v>
      </c>
      <c r="BV475" s="58"/>
      <c r="BW475" s="58"/>
      <c r="BX475" s="67">
        <v>439.2</v>
      </c>
      <c r="BY475" s="58"/>
      <c r="BZ475" s="58"/>
      <c r="CA475" s="58"/>
      <c r="CB475" s="58"/>
      <c r="CC475" s="58"/>
      <c r="CD475" s="58"/>
    </row>
    <row r="476" ht="108" spans="1:82">
      <c r="A476" s="56" t="s">
        <v>17193</v>
      </c>
      <c r="B476" s="58"/>
      <c r="C476" s="57" t="s">
        <v>17180</v>
      </c>
      <c r="D476" s="58"/>
      <c r="E476" s="57" t="s">
        <v>15158</v>
      </c>
      <c r="F476" s="57" t="s">
        <v>17181</v>
      </c>
      <c r="G476" s="57" t="s">
        <v>15160</v>
      </c>
      <c r="H476" s="56" t="s">
        <v>2935</v>
      </c>
      <c r="I476" s="60">
        <v>41588.9</v>
      </c>
      <c r="J476" s="57" t="s">
        <v>1285</v>
      </c>
      <c r="K476" s="57" t="s">
        <v>15162</v>
      </c>
      <c r="L476" s="57" t="s">
        <v>15163</v>
      </c>
      <c r="M476" s="61" t="s">
        <v>17079</v>
      </c>
      <c r="N476" s="62" t="s">
        <v>15331</v>
      </c>
      <c r="O476" s="57" t="s">
        <v>15165</v>
      </c>
      <c r="P476" s="57" t="s">
        <v>15166</v>
      </c>
      <c r="Q476" s="57" t="s">
        <v>2935</v>
      </c>
      <c r="R476" s="57" t="s">
        <v>15594</v>
      </c>
      <c r="S476" s="57" t="s">
        <v>15595</v>
      </c>
      <c r="T476" s="57" t="s">
        <v>15190</v>
      </c>
      <c r="U476" s="57" t="s">
        <v>14184</v>
      </c>
      <c r="V476" s="56" t="s">
        <v>14153</v>
      </c>
      <c r="W476" s="58"/>
      <c r="X476" s="57" t="s">
        <v>17172</v>
      </c>
      <c r="Y476" s="57" t="s">
        <v>15170</v>
      </c>
      <c r="Z476" s="61" t="s">
        <v>15465</v>
      </c>
      <c r="AA476" s="61" t="s">
        <v>17079</v>
      </c>
      <c r="AB476" s="58"/>
      <c r="AC476" s="57" t="s">
        <v>15172</v>
      </c>
      <c r="AD476" s="58"/>
      <c r="AE476" s="58"/>
      <c r="AF476" s="58"/>
      <c r="AG476" s="58"/>
      <c r="AH476" s="58"/>
      <c r="AI476" s="58"/>
      <c r="AJ476" s="58"/>
      <c r="AK476" s="56" t="s">
        <v>1285</v>
      </c>
      <c r="AL476" s="56" t="s">
        <v>17182</v>
      </c>
      <c r="AM476" s="58"/>
      <c r="AN476" s="56" t="s">
        <v>17183</v>
      </c>
      <c r="AO476" s="58"/>
      <c r="AP476" s="63">
        <v>45835.5357986111</v>
      </c>
      <c r="AQ476" s="56" t="s">
        <v>17184</v>
      </c>
      <c r="AR476" s="61" t="s">
        <v>15448</v>
      </c>
      <c r="AS476" s="57" t="s">
        <v>14184</v>
      </c>
      <c r="AT476" s="56" t="s">
        <v>15177</v>
      </c>
      <c r="AU476" s="56" t="s">
        <v>17185</v>
      </c>
      <c r="AV476" s="58"/>
      <c r="AW476" s="64">
        <v>45721.4615740741</v>
      </c>
      <c r="AX476" s="56" t="s">
        <v>17182</v>
      </c>
      <c r="AY476" s="56" t="s">
        <v>15179</v>
      </c>
      <c r="AZ476" s="58"/>
      <c r="BA476" s="58"/>
      <c r="BB476" s="58"/>
      <c r="BC476" s="56" t="s">
        <v>15213</v>
      </c>
      <c r="BD476" s="56" t="s">
        <v>15197</v>
      </c>
      <c r="BE476" s="58"/>
      <c r="BF476" s="56" t="s">
        <v>15181</v>
      </c>
      <c r="BG476" s="58"/>
      <c r="BH476" s="58"/>
      <c r="BI476" s="57" t="s">
        <v>2801</v>
      </c>
      <c r="BJ476" s="58"/>
      <c r="BK476" s="58"/>
      <c r="BL476" s="66">
        <v>3471379</v>
      </c>
      <c r="BM476" s="56" t="s">
        <v>17186</v>
      </c>
      <c r="BN476" s="58"/>
      <c r="BO476" s="67">
        <v>589</v>
      </c>
      <c r="BP476" s="56" t="s">
        <v>15450</v>
      </c>
      <c r="BQ476" s="58"/>
      <c r="BR476" s="56" t="s">
        <v>17187</v>
      </c>
      <c r="BS476" s="56" t="s">
        <v>1285</v>
      </c>
      <c r="BT476" s="58"/>
      <c r="BU476" s="56" t="s">
        <v>17184</v>
      </c>
      <c r="BV476" s="58"/>
      <c r="BW476" s="58"/>
      <c r="BX476" s="67">
        <v>589</v>
      </c>
      <c r="BY476" s="58"/>
      <c r="BZ476" s="58"/>
      <c r="CA476" s="58"/>
      <c r="CB476" s="58"/>
      <c r="CC476" s="58"/>
      <c r="CD476" s="58"/>
    </row>
    <row r="477" ht="108" spans="1:82">
      <c r="A477" s="56" t="s">
        <v>17194</v>
      </c>
      <c r="B477" s="58"/>
      <c r="C477" s="57" t="s">
        <v>17180</v>
      </c>
      <c r="D477" s="58"/>
      <c r="E477" s="57" t="s">
        <v>15158</v>
      </c>
      <c r="F477" s="57" t="s">
        <v>17181</v>
      </c>
      <c r="G477" s="57" t="s">
        <v>15160</v>
      </c>
      <c r="H477" s="56" t="s">
        <v>2935</v>
      </c>
      <c r="I477" s="60">
        <v>41588.9</v>
      </c>
      <c r="J477" s="57" t="s">
        <v>1285</v>
      </c>
      <c r="K477" s="57" t="s">
        <v>15162</v>
      </c>
      <c r="L477" s="57" t="s">
        <v>15163</v>
      </c>
      <c r="M477" s="61" t="s">
        <v>17079</v>
      </c>
      <c r="N477" s="62" t="s">
        <v>15331</v>
      </c>
      <c r="O477" s="57" t="s">
        <v>15165</v>
      </c>
      <c r="P477" s="57" t="s">
        <v>15166</v>
      </c>
      <c r="Q477" s="57" t="s">
        <v>2935</v>
      </c>
      <c r="R477" s="57" t="s">
        <v>15594</v>
      </c>
      <c r="S477" s="57" t="s">
        <v>15595</v>
      </c>
      <c r="T477" s="57" t="s">
        <v>15190</v>
      </c>
      <c r="U477" s="57" t="s">
        <v>14184</v>
      </c>
      <c r="V477" s="56" t="s">
        <v>14153</v>
      </c>
      <c r="W477" s="58"/>
      <c r="X477" s="57" t="s">
        <v>17172</v>
      </c>
      <c r="Y477" s="57" t="s">
        <v>15170</v>
      </c>
      <c r="Z477" s="61" t="s">
        <v>15465</v>
      </c>
      <c r="AA477" s="61" t="s">
        <v>17079</v>
      </c>
      <c r="AB477" s="58"/>
      <c r="AC477" s="57" t="s">
        <v>15172</v>
      </c>
      <c r="AD477" s="58"/>
      <c r="AE477" s="58"/>
      <c r="AF477" s="58"/>
      <c r="AG477" s="58"/>
      <c r="AH477" s="58"/>
      <c r="AI477" s="58"/>
      <c r="AJ477" s="58"/>
      <c r="AK477" s="56" t="s">
        <v>1285</v>
      </c>
      <c r="AL477" s="56" t="s">
        <v>17182</v>
      </c>
      <c r="AM477" s="58"/>
      <c r="AN477" s="56" t="s">
        <v>17183</v>
      </c>
      <c r="AO477" s="58"/>
      <c r="AP477" s="63">
        <v>45835.5357986111</v>
      </c>
      <c r="AQ477" s="56" t="s">
        <v>17184</v>
      </c>
      <c r="AR477" s="61" t="s">
        <v>15448</v>
      </c>
      <c r="AS477" s="57" t="s">
        <v>14184</v>
      </c>
      <c r="AT477" s="56" t="s">
        <v>15177</v>
      </c>
      <c r="AU477" s="56" t="s">
        <v>17185</v>
      </c>
      <c r="AV477" s="58"/>
      <c r="AW477" s="64">
        <v>45721.4615740741</v>
      </c>
      <c r="AX477" s="56" t="s">
        <v>17182</v>
      </c>
      <c r="AY477" s="56" t="s">
        <v>15179</v>
      </c>
      <c r="AZ477" s="58"/>
      <c r="BA477" s="58"/>
      <c r="BB477" s="58"/>
      <c r="BC477" s="56" t="s">
        <v>15861</v>
      </c>
      <c r="BD477" s="56" t="s">
        <v>15197</v>
      </c>
      <c r="BE477" s="58"/>
      <c r="BF477" s="56" t="s">
        <v>15181</v>
      </c>
      <c r="BG477" s="58"/>
      <c r="BH477" s="58"/>
      <c r="BI477" s="57" t="s">
        <v>2801</v>
      </c>
      <c r="BJ477" s="58"/>
      <c r="BK477" s="58"/>
      <c r="BL477" s="66">
        <v>3471380</v>
      </c>
      <c r="BM477" s="56" t="s">
        <v>17186</v>
      </c>
      <c r="BN477" s="58"/>
      <c r="BO477" s="67">
        <v>600</v>
      </c>
      <c r="BP477" s="56" t="s">
        <v>15450</v>
      </c>
      <c r="BQ477" s="58"/>
      <c r="BR477" s="56" t="s">
        <v>17187</v>
      </c>
      <c r="BS477" s="56" t="s">
        <v>1285</v>
      </c>
      <c r="BT477" s="58"/>
      <c r="BU477" s="56" t="s">
        <v>17184</v>
      </c>
      <c r="BV477" s="58"/>
      <c r="BW477" s="58"/>
      <c r="BX477" s="67">
        <v>600</v>
      </c>
      <c r="BY477" s="58"/>
      <c r="BZ477" s="58"/>
      <c r="CA477" s="58"/>
      <c r="CB477" s="58"/>
      <c r="CC477" s="58"/>
      <c r="CD477" s="58"/>
    </row>
    <row r="478" ht="108" spans="1:82">
      <c r="A478" s="56" t="s">
        <v>17195</v>
      </c>
      <c r="B478" s="58"/>
      <c r="C478" s="57" t="s">
        <v>17180</v>
      </c>
      <c r="D478" s="58"/>
      <c r="E478" s="57" t="s">
        <v>15158</v>
      </c>
      <c r="F478" s="57" t="s">
        <v>17181</v>
      </c>
      <c r="G478" s="57" t="s">
        <v>15160</v>
      </c>
      <c r="H478" s="56" t="s">
        <v>2935</v>
      </c>
      <c r="I478" s="60">
        <v>41588.9</v>
      </c>
      <c r="J478" s="57" t="s">
        <v>1285</v>
      </c>
      <c r="K478" s="57" t="s">
        <v>15162</v>
      </c>
      <c r="L478" s="57" t="s">
        <v>15163</v>
      </c>
      <c r="M478" s="61" t="s">
        <v>17079</v>
      </c>
      <c r="N478" s="62" t="s">
        <v>15331</v>
      </c>
      <c r="O478" s="57" t="s">
        <v>15165</v>
      </c>
      <c r="P478" s="57" t="s">
        <v>15166</v>
      </c>
      <c r="Q478" s="57" t="s">
        <v>2935</v>
      </c>
      <c r="R478" s="57" t="s">
        <v>15594</v>
      </c>
      <c r="S478" s="57" t="s">
        <v>15595</v>
      </c>
      <c r="T478" s="57" t="s">
        <v>15190</v>
      </c>
      <c r="U478" s="57" t="s">
        <v>14184</v>
      </c>
      <c r="V478" s="56" t="s">
        <v>14153</v>
      </c>
      <c r="W478" s="58"/>
      <c r="X478" s="57" t="s">
        <v>17172</v>
      </c>
      <c r="Y478" s="57" t="s">
        <v>15170</v>
      </c>
      <c r="Z478" s="61" t="s">
        <v>15465</v>
      </c>
      <c r="AA478" s="61" t="s">
        <v>17079</v>
      </c>
      <c r="AB478" s="58"/>
      <c r="AC478" s="57" t="s">
        <v>15172</v>
      </c>
      <c r="AD478" s="58"/>
      <c r="AE478" s="58"/>
      <c r="AF478" s="58"/>
      <c r="AG478" s="58"/>
      <c r="AH478" s="58"/>
      <c r="AI478" s="58"/>
      <c r="AJ478" s="58"/>
      <c r="AK478" s="56" t="s">
        <v>1285</v>
      </c>
      <c r="AL478" s="56" t="s">
        <v>17182</v>
      </c>
      <c r="AM478" s="58"/>
      <c r="AN478" s="56" t="s">
        <v>17183</v>
      </c>
      <c r="AO478" s="58"/>
      <c r="AP478" s="63">
        <v>45835.5357986111</v>
      </c>
      <c r="AQ478" s="56" t="s">
        <v>17184</v>
      </c>
      <c r="AR478" s="61" t="s">
        <v>15448</v>
      </c>
      <c r="AS478" s="57" t="s">
        <v>14184</v>
      </c>
      <c r="AT478" s="56" t="s">
        <v>15177</v>
      </c>
      <c r="AU478" s="56" t="s">
        <v>17185</v>
      </c>
      <c r="AV478" s="58"/>
      <c r="AW478" s="64">
        <v>45721.4615740741</v>
      </c>
      <c r="AX478" s="56" t="s">
        <v>17182</v>
      </c>
      <c r="AY478" s="56" t="s">
        <v>15179</v>
      </c>
      <c r="AZ478" s="58"/>
      <c r="BA478" s="58"/>
      <c r="BB478" s="58"/>
      <c r="BC478" s="56" t="s">
        <v>15196</v>
      </c>
      <c r="BD478" s="56" t="s">
        <v>15197</v>
      </c>
      <c r="BE478" s="58"/>
      <c r="BF478" s="56" t="s">
        <v>15181</v>
      </c>
      <c r="BG478" s="58"/>
      <c r="BH478" s="58"/>
      <c r="BI478" s="57" t="s">
        <v>2801</v>
      </c>
      <c r="BJ478" s="58"/>
      <c r="BK478" s="58"/>
      <c r="BL478" s="66">
        <v>3471372</v>
      </c>
      <c r="BM478" s="56" t="s">
        <v>17186</v>
      </c>
      <c r="BN478" s="58"/>
      <c r="BO478" s="67">
        <v>3752</v>
      </c>
      <c r="BP478" s="56" t="s">
        <v>15450</v>
      </c>
      <c r="BQ478" s="58"/>
      <c r="BR478" s="56" t="s">
        <v>17187</v>
      </c>
      <c r="BS478" s="56" t="s">
        <v>1285</v>
      </c>
      <c r="BT478" s="58"/>
      <c r="BU478" s="56" t="s">
        <v>17184</v>
      </c>
      <c r="BV478" s="58"/>
      <c r="BW478" s="58"/>
      <c r="BX478" s="67">
        <v>3752</v>
      </c>
      <c r="BY478" s="58"/>
      <c r="BZ478" s="58"/>
      <c r="CA478" s="58"/>
      <c r="CB478" s="58"/>
      <c r="CC478" s="58"/>
      <c r="CD478" s="58"/>
    </row>
    <row r="479" ht="108" spans="1:82">
      <c r="A479" s="56" t="s">
        <v>17196</v>
      </c>
      <c r="B479" s="58"/>
      <c r="C479" s="57" t="s">
        <v>17180</v>
      </c>
      <c r="D479" s="58"/>
      <c r="E479" s="57" t="s">
        <v>15158</v>
      </c>
      <c r="F479" s="57" t="s">
        <v>17181</v>
      </c>
      <c r="G479" s="57" t="s">
        <v>15160</v>
      </c>
      <c r="H479" s="56" t="s">
        <v>2935</v>
      </c>
      <c r="I479" s="60">
        <v>41588.9</v>
      </c>
      <c r="J479" s="57" t="s">
        <v>1285</v>
      </c>
      <c r="K479" s="57" t="s">
        <v>15162</v>
      </c>
      <c r="L479" s="57" t="s">
        <v>15163</v>
      </c>
      <c r="M479" s="61" t="s">
        <v>17079</v>
      </c>
      <c r="N479" s="62" t="s">
        <v>15331</v>
      </c>
      <c r="O479" s="57" t="s">
        <v>15165</v>
      </c>
      <c r="P479" s="57" t="s">
        <v>15166</v>
      </c>
      <c r="Q479" s="57" t="s">
        <v>2935</v>
      </c>
      <c r="R479" s="57" t="s">
        <v>15594</v>
      </c>
      <c r="S479" s="57" t="s">
        <v>15595</v>
      </c>
      <c r="T479" s="57" t="s">
        <v>15190</v>
      </c>
      <c r="U479" s="57" t="s">
        <v>14184</v>
      </c>
      <c r="V479" s="56" t="s">
        <v>14153</v>
      </c>
      <c r="W479" s="58"/>
      <c r="X479" s="57" t="s">
        <v>17172</v>
      </c>
      <c r="Y479" s="57" t="s">
        <v>15170</v>
      </c>
      <c r="Z479" s="61" t="s">
        <v>15465</v>
      </c>
      <c r="AA479" s="61" t="s">
        <v>17079</v>
      </c>
      <c r="AB479" s="58"/>
      <c r="AC479" s="57" t="s">
        <v>15172</v>
      </c>
      <c r="AD479" s="58"/>
      <c r="AE479" s="58"/>
      <c r="AF479" s="58"/>
      <c r="AG479" s="58"/>
      <c r="AH479" s="58"/>
      <c r="AI479" s="58"/>
      <c r="AJ479" s="58"/>
      <c r="AK479" s="56" t="s">
        <v>1285</v>
      </c>
      <c r="AL479" s="56" t="s">
        <v>17182</v>
      </c>
      <c r="AM479" s="58"/>
      <c r="AN479" s="56" t="s">
        <v>17183</v>
      </c>
      <c r="AO479" s="58"/>
      <c r="AP479" s="63">
        <v>45835.5357986111</v>
      </c>
      <c r="AQ479" s="56" t="s">
        <v>17184</v>
      </c>
      <c r="AR479" s="61" t="s">
        <v>15448</v>
      </c>
      <c r="AS479" s="57" t="s">
        <v>14184</v>
      </c>
      <c r="AT479" s="56" t="s">
        <v>15177</v>
      </c>
      <c r="AU479" s="56" t="s">
        <v>17185</v>
      </c>
      <c r="AV479" s="58"/>
      <c r="AW479" s="64">
        <v>45721.4615740741</v>
      </c>
      <c r="AX479" s="56" t="s">
        <v>17182</v>
      </c>
      <c r="AY479" s="56" t="s">
        <v>15179</v>
      </c>
      <c r="AZ479" s="58"/>
      <c r="BA479" s="58"/>
      <c r="BB479" s="58"/>
      <c r="BC479" s="56" t="s">
        <v>1780</v>
      </c>
      <c r="BD479" s="56" t="s">
        <v>15197</v>
      </c>
      <c r="BE479" s="58"/>
      <c r="BF479" s="56" t="s">
        <v>15181</v>
      </c>
      <c r="BG479" s="58"/>
      <c r="BH479" s="58"/>
      <c r="BI479" s="57" t="s">
        <v>2801</v>
      </c>
      <c r="BJ479" s="58"/>
      <c r="BK479" s="58"/>
      <c r="BL479" s="66">
        <v>3471381</v>
      </c>
      <c r="BM479" s="56" t="s">
        <v>17186</v>
      </c>
      <c r="BN479" s="58"/>
      <c r="BO479" s="67">
        <v>2350</v>
      </c>
      <c r="BP479" s="56" t="s">
        <v>15450</v>
      </c>
      <c r="BQ479" s="58"/>
      <c r="BR479" s="56" t="s">
        <v>17187</v>
      </c>
      <c r="BS479" s="56" t="s">
        <v>1285</v>
      </c>
      <c r="BT479" s="58"/>
      <c r="BU479" s="56" t="s">
        <v>17184</v>
      </c>
      <c r="BV479" s="58"/>
      <c r="BW479" s="58"/>
      <c r="BX479" s="67">
        <v>2350</v>
      </c>
      <c r="BY479" s="58"/>
      <c r="BZ479" s="58"/>
      <c r="CA479" s="58"/>
      <c r="CB479" s="58"/>
      <c r="CC479" s="58"/>
      <c r="CD479" s="58"/>
    </row>
    <row r="480" ht="108" spans="1:82">
      <c r="A480" s="56" t="s">
        <v>17197</v>
      </c>
      <c r="B480" s="58"/>
      <c r="C480" s="57" t="s">
        <v>17180</v>
      </c>
      <c r="D480" s="58"/>
      <c r="E480" s="57" t="s">
        <v>15158</v>
      </c>
      <c r="F480" s="57" t="s">
        <v>17181</v>
      </c>
      <c r="G480" s="57" t="s">
        <v>15160</v>
      </c>
      <c r="H480" s="56" t="s">
        <v>2935</v>
      </c>
      <c r="I480" s="60">
        <v>41588.9</v>
      </c>
      <c r="J480" s="57" t="s">
        <v>1285</v>
      </c>
      <c r="K480" s="57" t="s">
        <v>15162</v>
      </c>
      <c r="L480" s="57" t="s">
        <v>15163</v>
      </c>
      <c r="M480" s="61" t="s">
        <v>17079</v>
      </c>
      <c r="N480" s="62" t="s">
        <v>15331</v>
      </c>
      <c r="O480" s="57" t="s">
        <v>15165</v>
      </c>
      <c r="P480" s="57" t="s">
        <v>15166</v>
      </c>
      <c r="Q480" s="57" t="s">
        <v>2935</v>
      </c>
      <c r="R480" s="57" t="s">
        <v>15594</v>
      </c>
      <c r="S480" s="57" t="s">
        <v>15595</v>
      </c>
      <c r="T480" s="57" t="s">
        <v>15190</v>
      </c>
      <c r="U480" s="57" t="s">
        <v>14184</v>
      </c>
      <c r="V480" s="56" t="s">
        <v>14153</v>
      </c>
      <c r="W480" s="58"/>
      <c r="X480" s="57" t="s">
        <v>17172</v>
      </c>
      <c r="Y480" s="57" t="s">
        <v>15170</v>
      </c>
      <c r="Z480" s="61" t="s">
        <v>15465</v>
      </c>
      <c r="AA480" s="61" t="s">
        <v>17079</v>
      </c>
      <c r="AB480" s="58"/>
      <c r="AC480" s="57" t="s">
        <v>15172</v>
      </c>
      <c r="AD480" s="58"/>
      <c r="AE480" s="58"/>
      <c r="AF480" s="58"/>
      <c r="AG480" s="58"/>
      <c r="AH480" s="58"/>
      <c r="AI480" s="58"/>
      <c r="AJ480" s="58"/>
      <c r="AK480" s="56" t="s">
        <v>1285</v>
      </c>
      <c r="AL480" s="56" t="s">
        <v>17182</v>
      </c>
      <c r="AM480" s="58"/>
      <c r="AN480" s="56" t="s">
        <v>17183</v>
      </c>
      <c r="AO480" s="58"/>
      <c r="AP480" s="63">
        <v>45835.5357986111</v>
      </c>
      <c r="AQ480" s="56" t="s">
        <v>17184</v>
      </c>
      <c r="AR480" s="61" t="s">
        <v>15448</v>
      </c>
      <c r="AS480" s="57" t="s">
        <v>14184</v>
      </c>
      <c r="AT480" s="56" t="s">
        <v>15177</v>
      </c>
      <c r="AU480" s="56" t="s">
        <v>17185</v>
      </c>
      <c r="AV480" s="58"/>
      <c r="AW480" s="64">
        <v>45721.4615740741</v>
      </c>
      <c r="AX480" s="56" t="s">
        <v>17182</v>
      </c>
      <c r="AY480" s="56" t="s">
        <v>15179</v>
      </c>
      <c r="AZ480" s="58"/>
      <c r="BA480" s="58"/>
      <c r="BB480" s="58"/>
      <c r="BC480" s="56" t="s">
        <v>15965</v>
      </c>
      <c r="BD480" s="56" t="s">
        <v>15197</v>
      </c>
      <c r="BE480" s="58"/>
      <c r="BF480" s="56" t="s">
        <v>15181</v>
      </c>
      <c r="BG480" s="58"/>
      <c r="BH480" s="58"/>
      <c r="BI480" s="57" t="s">
        <v>2801</v>
      </c>
      <c r="BJ480" s="58"/>
      <c r="BK480" s="58"/>
      <c r="BL480" s="66">
        <v>3469121</v>
      </c>
      <c r="BM480" s="56" t="s">
        <v>17198</v>
      </c>
      <c r="BN480" s="58"/>
      <c r="BO480" s="67">
        <v>31120</v>
      </c>
      <c r="BP480" s="56" t="s">
        <v>15450</v>
      </c>
      <c r="BQ480" s="58"/>
      <c r="BR480" s="56" t="s">
        <v>17187</v>
      </c>
      <c r="BS480" s="56" t="s">
        <v>1285</v>
      </c>
      <c r="BT480" s="58"/>
      <c r="BU480" s="56" t="s">
        <v>17184</v>
      </c>
      <c r="BV480" s="58"/>
      <c r="BW480" s="58"/>
      <c r="BX480" s="67">
        <v>31120</v>
      </c>
      <c r="BY480" s="58"/>
      <c r="BZ480" s="58"/>
      <c r="CA480" s="58"/>
      <c r="CB480" s="58"/>
      <c r="CC480" s="58"/>
      <c r="CD480" s="58"/>
    </row>
    <row r="481" ht="108" spans="1:82">
      <c r="A481" s="56" t="s">
        <v>17199</v>
      </c>
      <c r="B481" s="58"/>
      <c r="C481" s="57" t="s">
        <v>17200</v>
      </c>
      <c r="D481" s="58"/>
      <c r="E481" s="57" t="s">
        <v>15158</v>
      </c>
      <c r="F481" s="57" t="s">
        <v>17201</v>
      </c>
      <c r="G481" s="57" t="s">
        <v>15160</v>
      </c>
      <c r="H481" s="56" t="s">
        <v>2932</v>
      </c>
      <c r="I481" s="60">
        <v>53068</v>
      </c>
      <c r="J481" s="57" t="s">
        <v>1285</v>
      </c>
      <c r="K481" s="57" t="s">
        <v>15162</v>
      </c>
      <c r="L481" s="57" t="s">
        <v>15163</v>
      </c>
      <c r="M481" s="61" t="s">
        <v>17079</v>
      </c>
      <c r="N481" s="62" t="s">
        <v>15331</v>
      </c>
      <c r="O481" s="57" t="s">
        <v>15165</v>
      </c>
      <c r="P481" s="57" t="s">
        <v>15166</v>
      </c>
      <c r="Q481" s="57" t="s">
        <v>2932</v>
      </c>
      <c r="R481" s="57" t="s">
        <v>16053</v>
      </c>
      <c r="S481" s="57" t="s">
        <v>16054</v>
      </c>
      <c r="T481" s="57" t="s">
        <v>15190</v>
      </c>
      <c r="U481" s="57" t="s">
        <v>14184</v>
      </c>
      <c r="V481" s="56" t="s">
        <v>14153</v>
      </c>
      <c r="W481" s="58"/>
      <c r="X481" s="57" t="s">
        <v>17202</v>
      </c>
      <c r="Y481" s="57" t="s">
        <v>15170</v>
      </c>
      <c r="Z481" s="61" t="s">
        <v>15465</v>
      </c>
      <c r="AA481" s="61" t="s">
        <v>17079</v>
      </c>
      <c r="AB481" s="58"/>
      <c r="AC481" s="57" t="s">
        <v>15172</v>
      </c>
      <c r="AD481" s="58"/>
      <c r="AE481" s="58"/>
      <c r="AF481" s="58"/>
      <c r="AG481" s="58"/>
      <c r="AH481" s="58"/>
      <c r="AI481" s="58"/>
      <c r="AJ481" s="58"/>
      <c r="AK481" s="56" t="s">
        <v>1285</v>
      </c>
      <c r="AL481" s="56" t="s">
        <v>17203</v>
      </c>
      <c r="AM481" s="58"/>
      <c r="AN481" s="56" t="s">
        <v>17204</v>
      </c>
      <c r="AO481" s="58"/>
      <c r="AP481" s="63">
        <v>45835.5355902778</v>
      </c>
      <c r="AQ481" s="56" t="s">
        <v>17205</v>
      </c>
      <c r="AR481" s="61" t="s">
        <v>15448</v>
      </c>
      <c r="AS481" s="57" t="s">
        <v>14184</v>
      </c>
      <c r="AT481" s="56" t="s">
        <v>15177</v>
      </c>
      <c r="AU481" s="56" t="s">
        <v>17206</v>
      </c>
      <c r="AV481" s="58"/>
      <c r="AW481" s="64">
        <v>45720.7136458333</v>
      </c>
      <c r="AX481" s="56" t="s">
        <v>17203</v>
      </c>
      <c r="AY481" s="56" t="s">
        <v>15179</v>
      </c>
      <c r="AZ481" s="58"/>
      <c r="BA481" s="58"/>
      <c r="BB481" s="58"/>
      <c r="BC481" s="56" t="s">
        <v>15617</v>
      </c>
      <c r="BD481" s="56" t="s">
        <v>15197</v>
      </c>
      <c r="BE481" s="58"/>
      <c r="BF481" s="56" t="s">
        <v>15181</v>
      </c>
      <c r="BG481" s="58"/>
      <c r="BH481" s="58"/>
      <c r="BI481" s="57" t="s">
        <v>2801</v>
      </c>
      <c r="BJ481" s="58"/>
      <c r="BK481" s="58"/>
      <c r="BL481" s="66">
        <v>3465686</v>
      </c>
      <c r="BM481" s="56" t="s">
        <v>17207</v>
      </c>
      <c r="BN481" s="58"/>
      <c r="BO481" s="67">
        <v>53068</v>
      </c>
      <c r="BP481" s="56" t="s">
        <v>15450</v>
      </c>
      <c r="BQ481" s="58"/>
      <c r="BR481" s="56" t="s">
        <v>17208</v>
      </c>
      <c r="BS481" s="56" t="s">
        <v>1285</v>
      </c>
      <c r="BT481" s="58"/>
      <c r="BU481" s="56" t="s">
        <v>17205</v>
      </c>
      <c r="BV481" s="58"/>
      <c r="BW481" s="58"/>
      <c r="BX481" s="67">
        <v>53068</v>
      </c>
      <c r="BY481" s="58"/>
      <c r="BZ481" s="58"/>
      <c r="CA481" s="58"/>
      <c r="CB481" s="58"/>
      <c r="CC481" s="58"/>
      <c r="CD481" s="58"/>
    </row>
    <row r="482" ht="108" spans="1:82">
      <c r="A482" s="56" t="s">
        <v>17209</v>
      </c>
      <c r="B482" s="58"/>
      <c r="C482" s="57" t="s">
        <v>17210</v>
      </c>
      <c r="D482" s="58"/>
      <c r="E482" s="57" t="s">
        <v>15158</v>
      </c>
      <c r="F482" s="57" t="s">
        <v>17211</v>
      </c>
      <c r="G482" s="57" t="s">
        <v>15160</v>
      </c>
      <c r="H482" s="56" t="s">
        <v>4162</v>
      </c>
      <c r="I482" s="60">
        <v>40833.33</v>
      </c>
      <c r="J482" s="57" t="s">
        <v>1285</v>
      </c>
      <c r="K482" s="57" t="s">
        <v>15162</v>
      </c>
      <c r="L482" s="57" t="s">
        <v>15163</v>
      </c>
      <c r="M482" s="61" t="s">
        <v>17079</v>
      </c>
      <c r="N482" s="62" t="s">
        <v>15672</v>
      </c>
      <c r="O482" s="57" t="s">
        <v>15165</v>
      </c>
      <c r="P482" s="57" t="s">
        <v>15166</v>
      </c>
      <c r="Q482" s="57" t="s">
        <v>4162</v>
      </c>
      <c r="R482" s="57" t="s">
        <v>17212</v>
      </c>
      <c r="S482" s="57" t="s">
        <v>17213</v>
      </c>
      <c r="T482" s="57" t="s">
        <v>15190</v>
      </c>
      <c r="U482" s="57" t="s">
        <v>14184</v>
      </c>
      <c r="V482" s="56" t="s">
        <v>14153</v>
      </c>
      <c r="W482" s="58"/>
      <c r="X482" s="57" t="s">
        <v>17214</v>
      </c>
      <c r="Y482" s="57" t="s">
        <v>15170</v>
      </c>
      <c r="Z482" s="61" t="s">
        <v>15504</v>
      </c>
      <c r="AA482" s="61" t="s">
        <v>17079</v>
      </c>
      <c r="AB482" s="58"/>
      <c r="AC482" s="57" t="s">
        <v>15172</v>
      </c>
      <c r="AD482" s="58"/>
      <c r="AE482" s="58"/>
      <c r="AF482" s="58"/>
      <c r="AG482" s="58"/>
      <c r="AH482" s="58"/>
      <c r="AI482" s="58"/>
      <c r="AJ482" s="58"/>
      <c r="AK482" s="56" t="s">
        <v>1285</v>
      </c>
      <c r="AL482" s="56" t="s">
        <v>17215</v>
      </c>
      <c r="AM482" s="58"/>
      <c r="AN482" s="56" t="s">
        <v>17216</v>
      </c>
      <c r="AO482" s="58"/>
      <c r="AP482" s="63">
        <v>45835.537337963</v>
      </c>
      <c r="AQ482" s="56" t="s">
        <v>17217</v>
      </c>
      <c r="AR482" s="61" t="s">
        <v>15448</v>
      </c>
      <c r="AS482" s="57" t="s">
        <v>14184</v>
      </c>
      <c r="AT482" s="56" t="s">
        <v>15177</v>
      </c>
      <c r="AU482" s="56" t="s">
        <v>17218</v>
      </c>
      <c r="AV482" s="58"/>
      <c r="AW482" s="64">
        <v>45710.8728472222</v>
      </c>
      <c r="AX482" s="56" t="s">
        <v>17215</v>
      </c>
      <c r="AY482" s="56" t="s">
        <v>15179</v>
      </c>
      <c r="AZ482" s="58"/>
      <c r="BA482" s="58"/>
      <c r="BB482" s="58"/>
      <c r="BC482" s="56" t="s">
        <v>4048</v>
      </c>
      <c r="BD482" s="56" t="s">
        <v>15482</v>
      </c>
      <c r="BE482" s="56" t="s">
        <v>17219</v>
      </c>
      <c r="BF482" s="56" t="s">
        <v>15181</v>
      </c>
      <c r="BG482" s="58"/>
      <c r="BH482" s="58"/>
      <c r="BI482" s="57" t="s">
        <v>2801</v>
      </c>
      <c r="BJ482" s="58"/>
      <c r="BK482" s="58"/>
      <c r="BL482" s="66">
        <v>3135256</v>
      </c>
      <c r="BM482" s="56" t="s">
        <v>17220</v>
      </c>
      <c r="BN482" s="58"/>
      <c r="BO482" s="67">
        <v>40833.33</v>
      </c>
      <c r="BP482" s="56" t="s">
        <v>15450</v>
      </c>
      <c r="BQ482" s="58"/>
      <c r="BR482" s="56" t="s">
        <v>17221</v>
      </c>
      <c r="BS482" s="56" t="s">
        <v>1285</v>
      </c>
      <c r="BT482" s="58"/>
      <c r="BU482" s="56" t="s">
        <v>17217</v>
      </c>
      <c r="BV482" s="58"/>
      <c r="BW482" s="58"/>
      <c r="BX482" s="67">
        <v>40833.33</v>
      </c>
      <c r="BY482" s="56" t="s">
        <v>1285</v>
      </c>
      <c r="BZ482" s="58"/>
      <c r="CA482" s="58"/>
      <c r="CB482" s="58"/>
      <c r="CC482" s="58"/>
      <c r="CD482" s="58"/>
    </row>
    <row r="483" ht="108" spans="1:82">
      <c r="A483" s="56" t="s">
        <v>17222</v>
      </c>
      <c r="B483" s="58"/>
      <c r="C483" s="57" t="s">
        <v>17223</v>
      </c>
      <c r="D483" s="58"/>
      <c r="E483" s="57" t="s">
        <v>15158</v>
      </c>
      <c r="F483" s="57" t="s">
        <v>17224</v>
      </c>
      <c r="G483" s="57" t="s">
        <v>15160</v>
      </c>
      <c r="H483" s="56" t="s">
        <v>2958</v>
      </c>
      <c r="I483" s="60">
        <v>23127.6</v>
      </c>
      <c r="J483" s="57" t="s">
        <v>1285</v>
      </c>
      <c r="K483" s="57" t="s">
        <v>15162</v>
      </c>
      <c r="L483" s="57" t="s">
        <v>15163</v>
      </c>
      <c r="M483" s="61" t="s">
        <v>17079</v>
      </c>
      <c r="N483" s="62" t="s">
        <v>15187</v>
      </c>
      <c r="O483" s="57" t="s">
        <v>15165</v>
      </c>
      <c r="P483" s="57" t="s">
        <v>15166</v>
      </c>
      <c r="Q483" s="57" t="s">
        <v>2958</v>
      </c>
      <c r="R483" s="57" t="s">
        <v>16031</v>
      </c>
      <c r="S483" s="57" t="s">
        <v>16032</v>
      </c>
      <c r="T483" s="57" t="s">
        <v>15190</v>
      </c>
      <c r="U483" s="57" t="s">
        <v>14184</v>
      </c>
      <c r="V483" s="56" t="s">
        <v>14153</v>
      </c>
      <c r="W483" s="58"/>
      <c r="X483" s="57" t="s">
        <v>17225</v>
      </c>
      <c r="Y483" s="57" t="s">
        <v>15170</v>
      </c>
      <c r="Z483" s="61" t="s">
        <v>15465</v>
      </c>
      <c r="AA483" s="61" t="s">
        <v>17079</v>
      </c>
      <c r="AB483" s="58"/>
      <c r="AC483" s="57" t="s">
        <v>15172</v>
      </c>
      <c r="AD483" s="58"/>
      <c r="AE483" s="58"/>
      <c r="AF483" s="58"/>
      <c r="AG483" s="58"/>
      <c r="AH483" s="58"/>
      <c r="AI483" s="58"/>
      <c r="AJ483" s="58"/>
      <c r="AK483" s="56" t="s">
        <v>1285</v>
      </c>
      <c r="AL483" s="56" t="s">
        <v>17226</v>
      </c>
      <c r="AM483" s="58"/>
      <c r="AN483" s="56" t="s">
        <v>17227</v>
      </c>
      <c r="AO483" s="58"/>
      <c r="AP483" s="63">
        <v>45835.5363194444</v>
      </c>
      <c r="AQ483" s="56" t="s">
        <v>17228</v>
      </c>
      <c r="AR483" s="61" t="s">
        <v>15448</v>
      </c>
      <c r="AS483" s="57" t="s">
        <v>14184</v>
      </c>
      <c r="AT483" s="56" t="s">
        <v>15177</v>
      </c>
      <c r="AU483" s="56" t="s">
        <v>17229</v>
      </c>
      <c r="AV483" s="58"/>
      <c r="AW483" s="64">
        <v>45706.7215393518</v>
      </c>
      <c r="AX483" s="56" t="s">
        <v>17226</v>
      </c>
      <c r="AY483" s="56" t="s">
        <v>15179</v>
      </c>
      <c r="AZ483" s="58"/>
      <c r="BA483" s="58"/>
      <c r="BB483" s="58"/>
      <c r="BC483" s="56" t="s">
        <v>15213</v>
      </c>
      <c r="BD483" s="56" t="s">
        <v>15197</v>
      </c>
      <c r="BE483" s="56" t="s">
        <v>16034</v>
      </c>
      <c r="BF483" s="56" t="s">
        <v>15181</v>
      </c>
      <c r="BG483" s="58"/>
      <c r="BH483" s="58"/>
      <c r="BI483" s="57" t="s">
        <v>2801</v>
      </c>
      <c r="BJ483" s="58"/>
      <c r="BK483" s="58"/>
      <c r="BL483" s="66">
        <v>3454193</v>
      </c>
      <c r="BM483" s="56" t="s">
        <v>17230</v>
      </c>
      <c r="BN483" s="58"/>
      <c r="BO483" s="67">
        <v>54</v>
      </c>
      <c r="BP483" s="56" t="s">
        <v>15450</v>
      </c>
      <c r="BQ483" s="58"/>
      <c r="BR483" s="56" t="s">
        <v>17231</v>
      </c>
      <c r="BS483" s="56" t="s">
        <v>1285</v>
      </c>
      <c r="BT483" s="58"/>
      <c r="BU483" s="56" t="s">
        <v>17228</v>
      </c>
      <c r="BV483" s="58"/>
      <c r="BW483" s="58"/>
      <c r="BX483" s="67">
        <v>54</v>
      </c>
      <c r="BY483" s="56" t="s">
        <v>1285</v>
      </c>
      <c r="BZ483" s="58"/>
      <c r="CA483" s="58"/>
      <c r="CB483" s="58"/>
      <c r="CC483" s="58"/>
      <c r="CD483" s="58"/>
    </row>
    <row r="484" ht="108" spans="1:82">
      <c r="A484" s="56" t="s">
        <v>17232</v>
      </c>
      <c r="B484" s="58"/>
      <c r="C484" s="57" t="s">
        <v>17223</v>
      </c>
      <c r="D484" s="58"/>
      <c r="E484" s="57" t="s">
        <v>15158</v>
      </c>
      <c r="F484" s="57" t="s">
        <v>17224</v>
      </c>
      <c r="G484" s="57" t="s">
        <v>15160</v>
      </c>
      <c r="H484" s="56" t="s">
        <v>2958</v>
      </c>
      <c r="I484" s="60">
        <v>23127.6</v>
      </c>
      <c r="J484" s="57" t="s">
        <v>1285</v>
      </c>
      <c r="K484" s="57" t="s">
        <v>15162</v>
      </c>
      <c r="L484" s="57" t="s">
        <v>15163</v>
      </c>
      <c r="M484" s="61" t="s">
        <v>17079</v>
      </c>
      <c r="N484" s="62" t="s">
        <v>15187</v>
      </c>
      <c r="O484" s="57" t="s">
        <v>15165</v>
      </c>
      <c r="P484" s="57" t="s">
        <v>15166</v>
      </c>
      <c r="Q484" s="57" t="s">
        <v>2958</v>
      </c>
      <c r="R484" s="57" t="s">
        <v>16031</v>
      </c>
      <c r="S484" s="57" t="s">
        <v>16032</v>
      </c>
      <c r="T484" s="57" t="s">
        <v>15190</v>
      </c>
      <c r="U484" s="57" t="s">
        <v>14184</v>
      </c>
      <c r="V484" s="56" t="s">
        <v>14153</v>
      </c>
      <c r="W484" s="58"/>
      <c r="X484" s="57" t="s">
        <v>17225</v>
      </c>
      <c r="Y484" s="57" t="s">
        <v>15170</v>
      </c>
      <c r="Z484" s="61" t="s">
        <v>15465</v>
      </c>
      <c r="AA484" s="61" t="s">
        <v>17079</v>
      </c>
      <c r="AB484" s="58"/>
      <c r="AC484" s="57" t="s">
        <v>15172</v>
      </c>
      <c r="AD484" s="58"/>
      <c r="AE484" s="58"/>
      <c r="AF484" s="58"/>
      <c r="AG484" s="58"/>
      <c r="AH484" s="58"/>
      <c r="AI484" s="58"/>
      <c r="AJ484" s="58"/>
      <c r="AK484" s="56" t="s">
        <v>1285</v>
      </c>
      <c r="AL484" s="56" t="s">
        <v>17226</v>
      </c>
      <c r="AM484" s="58"/>
      <c r="AN484" s="56" t="s">
        <v>17227</v>
      </c>
      <c r="AO484" s="58"/>
      <c r="AP484" s="63">
        <v>45835.5363194444</v>
      </c>
      <c r="AQ484" s="56" t="s">
        <v>17228</v>
      </c>
      <c r="AR484" s="61" t="s">
        <v>15448</v>
      </c>
      <c r="AS484" s="57" t="s">
        <v>14184</v>
      </c>
      <c r="AT484" s="56" t="s">
        <v>15177</v>
      </c>
      <c r="AU484" s="56" t="s">
        <v>17229</v>
      </c>
      <c r="AV484" s="58"/>
      <c r="AW484" s="64">
        <v>45706.7215393518</v>
      </c>
      <c r="AX484" s="56" t="s">
        <v>17226</v>
      </c>
      <c r="AY484" s="56" t="s">
        <v>15179</v>
      </c>
      <c r="AZ484" s="58"/>
      <c r="BA484" s="58"/>
      <c r="BB484" s="58"/>
      <c r="BC484" s="56" t="s">
        <v>15213</v>
      </c>
      <c r="BD484" s="56" t="s">
        <v>15197</v>
      </c>
      <c r="BE484" s="56" t="s">
        <v>16034</v>
      </c>
      <c r="BF484" s="56" t="s">
        <v>15181</v>
      </c>
      <c r="BG484" s="58"/>
      <c r="BH484" s="58"/>
      <c r="BI484" s="57" t="s">
        <v>2801</v>
      </c>
      <c r="BJ484" s="58"/>
      <c r="BK484" s="58"/>
      <c r="BL484" s="66">
        <v>3454194</v>
      </c>
      <c r="BM484" s="56" t="s">
        <v>17230</v>
      </c>
      <c r="BN484" s="58"/>
      <c r="BO484" s="67">
        <v>53</v>
      </c>
      <c r="BP484" s="56" t="s">
        <v>15450</v>
      </c>
      <c r="BQ484" s="58"/>
      <c r="BR484" s="56" t="s">
        <v>17231</v>
      </c>
      <c r="BS484" s="56" t="s">
        <v>1285</v>
      </c>
      <c r="BT484" s="58"/>
      <c r="BU484" s="56" t="s">
        <v>17228</v>
      </c>
      <c r="BV484" s="58"/>
      <c r="BW484" s="58"/>
      <c r="BX484" s="67">
        <v>53</v>
      </c>
      <c r="BY484" s="56" t="s">
        <v>1285</v>
      </c>
      <c r="BZ484" s="58"/>
      <c r="CA484" s="58"/>
      <c r="CB484" s="58"/>
      <c r="CC484" s="58"/>
      <c r="CD484" s="58"/>
    </row>
    <row r="485" ht="108" spans="1:82">
      <c r="A485" s="56" t="s">
        <v>17233</v>
      </c>
      <c r="B485" s="58"/>
      <c r="C485" s="57" t="s">
        <v>17223</v>
      </c>
      <c r="D485" s="58"/>
      <c r="E485" s="57" t="s">
        <v>15158</v>
      </c>
      <c r="F485" s="57" t="s">
        <v>17224</v>
      </c>
      <c r="G485" s="57" t="s">
        <v>15160</v>
      </c>
      <c r="H485" s="56" t="s">
        <v>2958</v>
      </c>
      <c r="I485" s="60">
        <v>23127.6</v>
      </c>
      <c r="J485" s="57" t="s">
        <v>1285</v>
      </c>
      <c r="K485" s="57" t="s">
        <v>15162</v>
      </c>
      <c r="L485" s="57" t="s">
        <v>15163</v>
      </c>
      <c r="M485" s="61" t="s">
        <v>17079</v>
      </c>
      <c r="N485" s="62" t="s">
        <v>15187</v>
      </c>
      <c r="O485" s="57" t="s">
        <v>15165</v>
      </c>
      <c r="P485" s="57" t="s">
        <v>15166</v>
      </c>
      <c r="Q485" s="57" t="s">
        <v>2958</v>
      </c>
      <c r="R485" s="57" t="s">
        <v>16031</v>
      </c>
      <c r="S485" s="57" t="s">
        <v>16032</v>
      </c>
      <c r="T485" s="57" t="s">
        <v>15190</v>
      </c>
      <c r="U485" s="57" t="s">
        <v>14184</v>
      </c>
      <c r="V485" s="56" t="s">
        <v>14153</v>
      </c>
      <c r="W485" s="58"/>
      <c r="X485" s="57" t="s">
        <v>17225</v>
      </c>
      <c r="Y485" s="57" t="s">
        <v>15170</v>
      </c>
      <c r="Z485" s="61" t="s">
        <v>15465</v>
      </c>
      <c r="AA485" s="61" t="s">
        <v>17079</v>
      </c>
      <c r="AB485" s="58"/>
      <c r="AC485" s="57" t="s">
        <v>15172</v>
      </c>
      <c r="AD485" s="58"/>
      <c r="AE485" s="58"/>
      <c r="AF485" s="58"/>
      <c r="AG485" s="58"/>
      <c r="AH485" s="58"/>
      <c r="AI485" s="58"/>
      <c r="AJ485" s="58"/>
      <c r="AK485" s="56" t="s">
        <v>1285</v>
      </c>
      <c r="AL485" s="56" t="s">
        <v>17226</v>
      </c>
      <c r="AM485" s="58"/>
      <c r="AN485" s="56" t="s">
        <v>17227</v>
      </c>
      <c r="AO485" s="58"/>
      <c r="AP485" s="63">
        <v>45835.5363194444</v>
      </c>
      <c r="AQ485" s="56" t="s">
        <v>17228</v>
      </c>
      <c r="AR485" s="61" t="s">
        <v>15448</v>
      </c>
      <c r="AS485" s="57" t="s">
        <v>14184</v>
      </c>
      <c r="AT485" s="56" t="s">
        <v>15177</v>
      </c>
      <c r="AU485" s="56" t="s">
        <v>17229</v>
      </c>
      <c r="AV485" s="58"/>
      <c r="AW485" s="64">
        <v>45706.7215393518</v>
      </c>
      <c r="AX485" s="56" t="s">
        <v>17226</v>
      </c>
      <c r="AY485" s="56" t="s">
        <v>15179</v>
      </c>
      <c r="AZ485" s="58"/>
      <c r="BA485" s="58"/>
      <c r="BB485" s="58"/>
      <c r="BC485" s="56" t="s">
        <v>15213</v>
      </c>
      <c r="BD485" s="56" t="s">
        <v>15197</v>
      </c>
      <c r="BE485" s="56" t="s">
        <v>16034</v>
      </c>
      <c r="BF485" s="56" t="s">
        <v>15181</v>
      </c>
      <c r="BG485" s="58"/>
      <c r="BH485" s="58"/>
      <c r="BI485" s="57" t="s">
        <v>2801</v>
      </c>
      <c r="BJ485" s="58"/>
      <c r="BK485" s="58"/>
      <c r="BL485" s="66">
        <v>3454195</v>
      </c>
      <c r="BM485" s="56" t="s">
        <v>17230</v>
      </c>
      <c r="BN485" s="58"/>
      <c r="BO485" s="67">
        <v>580.8</v>
      </c>
      <c r="BP485" s="56" t="s">
        <v>15450</v>
      </c>
      <c r="BQ485" s="58"/>
      <c r="BR485" s="56" t="s">
        <v>17231</v>
      </c>
      <c r="BS485" s="56" t="s">
        <v>1285</v>
      </c>
      <c r="BT485" s="58"/>
      <c r="BU485" s="56" t="s">
        <v>17228</v>
      </c>
      <c r="BV485" s="58"/>
      <c r="BW485" s="58"/>
      <c r="BX485" s="67">
        <v>580.8</v>
      </c>
      <c r="BY485" s="56" t="s">
        <v>1285</v>
      </c>
      <c r="BZ485" s="58"/>
      <c r="CA485" s="58"/>
      <c r="CB485" s="58"/>
      <c r="CC485" s="58"/>
      <c r="CD485" s="58"/>
    </row>
    <row r="486" ht="108" spans="1:82">
      <c r="A486" s="56" t="s">
        <v>17234</v>
      </c>
      <c r="B486" s="58"/>
      <c r="C486" s="57" t="s">
        <v>17223</v>
      </c>
      <c r="D486" s="58"/>
      <c r="E486" s="57" t="s">
        <v>15158</v>
      </c>
      <c r="F486" s="57" t="s">
        <v>17224</v>
      </c>
      <c r="G486" s="57" t="s">
        <v>15160</v>
      </c>
      <c r="H486" s="56" t="s">
        <v>2958</v>
      </c>
      <c r="I486" s="60">
        <v>23127.6</v>
      </c>
      <c r="J486" s="57" t="s">
        <v>1285</v>
      </c>
      <c r="K486" s="57" t="s">
        <v>15162</v>
      </c>
      <c r="L486" s="57" t="s">
        <v>15163</v>
      </c>
      <c r="M486" s="61" t="s">
        <v>17079</v>
      </c>
      <c r="N486" s="62" t="s">
        <v>15187</v>
      </c>
      <c r="O486" s="57" t="s">
        <v>15165</v>
      </c>
      <c r="P486" s="57" t="s">
        <v>15166</v>
      </c>
      <c r="Q486" s="57" t="s">
        <v>2958</v>
      </c>
      <c r="R486" s="57" t="s">
        <v>16031</v>
      </c>
      <c r="S486" s="57" t="s">
        <v>16032</v>
      </c>
      <c r="T486" s="57" t="s">
        <v>15190</v>
      </c>
      <c r="U486" s="57" t="s">
        <v>14184</v>
      </c>
      <c r="V486" s="56" t="s">
        <v>14153</v>
      </c>
      <c r="W486" s="58"/>
      <c r="X486" s="57" t="s">
        <v>17225</v>
      </c>
      <c r="Y486" s="57" t="s">
        <v>15170</v>
      </c>
      <c r="Z486" s="61" t="s">
        <v>15465</v>
      </c>
      <c r="AA486" s="61" t="s">
        <v>17079</v>
      </c>
      <c r="AB486" s="58"/>
      <c r="AC486" s="57" t="s">
        <v>15172</v>
      </c>
      <c r="AD486" s="58"/>
      <c r="AE486" s="58"/>
      <c r="AF486" s="58"/>
      <c r="AG486" s="58"/>
      <c r="AH486" s="58"/>
      <c r="AI486" s="58"/>
      <c r="AJ486" s="58"/>
      <c r="AK486" s="56" t="s">
        <v>1285</v>
      </c>
      <c r="AL486" s="56" t="s">
        <v>17226</v>
      </c>
      <c r="AM486" s="58"/>
      <c r="AN486" s="56" t="s">
        <v>17227</v>
      </c>
      <c r="AO486" s="58"/>
      <c r="AP486" s="63">
        <v>45835.5363194444</v>
      </c>
      <c r="AQ486" s="56" t="s">
        <v>17228</v>
      </c>
      <c r="AR486" s="61" t="s">
        <v>15448</v>
      </c>
      <c r="AS486" s="57" t="s">
        <v>14184</v>
      </c>
      <c r="AT486" s="56" t="s">
        <v>15177</v>
      </c>
      <c r="AU486" s="56" t="s">
        <v>17229</v>
      </c>
      <c r="AV486" s="58"/>
      <c r="AW486" s="64">
        <v>45706.7215393518</v>
      </c>
      <c r="AX486" s="56" t="s">
        <v>17226</v>
      </c>
      <c r="AY486" s="56" t="s">
        <v>15179</v>
      </c>
      <c r="AZ486" s="58"/>
      <c r="BA486" s="58"/>
      <c r="BB486" s="58"/>
      <c r="BC486" s="56" t="s">
        <v>16041</v>
      </c>
      <c r="BD486" s="56" t="s">
        <v>15197</v>
      </c>
      <c r="BE486" s="56" t="s">
        <v>16034</v>
      </c>
      <c r="BF486" s="56" t="s">
        <v>15181</v>
      </c>
      <c r="BG486" s="58"/>
      <c r="BH486" s="58"/>
      <c r="BI486" s="57" t="s">
        <v>2801</v>
      </c>
      <c r="BJ486" s="58"/>
      <c r="BK486" s="58"/>
      <c r="BL486" s="66">
        <v>3454196</v>
      </c>
      <c r="BM486" s="56" t="s">
        <v>17230</v>
      </c>
      <c r="BN486" s="58"/>
      <c r="BO486" s="67">
        <v>800</v>
      </c>
      <c r="BP486" s="56" t="s">
        <v>15450</v>
      </c>
      <c r="BQ486" s="58"/>
      <c r="BR486" s="56" t="s">
        <v>17231</v>
      </c>
      <c r="BS486" s="56" t="s">
        <v>1285</v>
      </c>
      <c r="BT486" s="58"/>
      <c r="BU486" s="56" t="s">
        <v>17228</v>
      </c>
      <c r="BV486" s="58"/>
      <c r="BW486" s="58"/>
      <c r="BX486" s="67">
        <v>800</v>
      </c>
      <c r="BY486" s="56" t="s">
        <v>1285</v>
      </c>
      <c r="BZ486" s="58"/>
      <c r="CA486" s="58"/>
      <c r="CB486" s="58"/>
      <c r="CC486" s="58"/>
      <c r="CD486" s="58"/>
    </row>
    <row r="487" ht="108" spans="1:82">
      <c r="A487" s="56" t="s">
        <v>17235</v>
      </c>
      <c r="B487" s="58"/>
      <c r="C487" s="57" t="s">
        <v>17223</v>
      </c>
      <c r="D487" s="58"/>
      <c r="E487" s="57" t="s">
        <v>15158</v>
      </c>
      <c r="F487" s="57" t="s">
        <v>17224</v>
      </c>
      <c r="G487" s="57" t="s">
        <v>15160</v>
      </c>
      <c r="H487" s="56" t="s">
        <v>2958</v>
      </c>
      <c r="I487" s="60">
        <v>23127.6</v>
      </c>
      <c r="J487" s="57" t="s">
        <v>1285</v>
      </c>
      <c r="K487" s="57" t="s">
        <v>15162</v>
      </c>
      <c r="L487" s="57" t="s">
        <v>15163</v>
      </c>
      <c r="M487" s="61" t="s">
        <v>17079</v>
      </c>
      <c r="N487" s="62" t="s">
        <v>15187</v>
      </c>
      <c r="O487" s="57" t="s">
        <v>15165</v>
      </c>
      <c r="P487" s="57" t="s">
        <v>15166</v>
      </c>
      <c r="Q487" s="57" t="s">
        <v>2958</v>
      </c>
      <c r="R487" s="57" t="s">
        <v>16031</v>
      </c>
      <c r="S487" s="57" t="s">
        <v>16032</v>
      </c>
      <c r="T487" s="57" t="s">
        <v>15190</v>
      </c>
      <c r="U487" s="57" t="s">
        <v>14184</v>
      </c>
      <c r="V487" s="56" t="s">
        <v>14153</v>
      </c>
      <c r="W487" s="58"/>
      <c r="X487" s="57" t="s">
        <v>17225</v>
      </c>
      <c r="Y487" s="57" t="s">
        <v>15170</v>
      </c>
      <c r="Z487" s="61" t="s">
        <v>15465</v>
      </c>
      <c r="AA487" s="61" t="s">
        <v>17079</v>
      </c>
      <c r="AB487" s="58"/>
      <c r="AC487" s="57" t="s">
        <v>15172</v>
      </c>
      <c r="AD487" s="58"/>
      <c r="AE487" s="58"/>
      <c r="AF487" s="58"/>
      <c r="AG487" s="58"/>
      <c r="AH487" s="58"/>
      <c r="AI487" s="58"/>
      <c r="AJ487" s="58"/>
      <c r="AK487" s="56" t="s">
        <v>1285</v>
      </c>
      <c r="AL487" s="56" t="s">
        <v>17226</v>
      </c>
      <c r="AM487" s="58"/>
      <c r="AN487" s="56" t="s">
        <v>17227</v>
      </c>
      <c r="AO487" s="58"/>
      <c r="AP487" s="63">
        <v>45835.5363194444</v>
      </c>
      <c r="AQ487" s="56" t="s">
        <v>17228</v>
      </c>
      <c r="AR487" s="61" t="s">
        <v>15448</v>
      </c>
      <c r="AS487" s="57" t="s">
        <v>14184</v>
      </c>
      <c r="AT487" s="56" t="s">
        <v>15177</v>
      </c>
      <c r="AU487" s="56" t="s">
        <v>17229</v>
      </c>
      <c r="AV487" s="58"/>
      <c r="AW487" s="64">
        <v>45706.7215393518</v>
      </c>
      <c r="AX487" s="56" t="s">
        <v>17226</v>
      </c>
      <c r="AY487" s="56" t="s">
        <v>15179</v>
      </c>
      <c r="AZ487" s="58"/>
      <c r="BA487" s="58"/>
      <c r="BB487" s="58"/>
      <c r="BC487" s="56" t="s">
        <v>15213</v>
      </c>
      <c r="BD487" s="56" t="s">
        <v>15197</v>
      </c>
      <c r="BE487" s="56" t="s">
        <v>16034</v>
      </c>
      <c r="BF487" s="56" t="s">
        <v>15181</v>
      </c>
      <c r="BG487" s="58"/>
      <c r="BH487" s="58"/>
      <c r="BI487" s="57" t="s">
        <v>2801</v>
      </c>
      <c r="BJ487" s="58"/>
      <c r="BK487" s="58"/>
      <c r="BL487" s="66">
        <v>3454197</v>
      </c>
      <c r="BM487" s="56" t="s">
        <v>17230</v>
      </c>
      <c r="BN487" s="58"/>
      <c r="BO487" s="67">
        <v>153</v>
      </c>
      <c r="BP487" s="56" t="s">
        <v>15450</v>
      </c>
      <c r="BQ487" s="58"/>
      <c r="BR487" s="56" t="s">
        <v>17231</v>
      </c>
      <c r="BS487" s="56" t="s">
        <v>1285</v>
      </c>
      <c r="BT487" s="58"/>
      <c r="BU487" s="56" t="s">
        <v>17228</v>
      </c>
      <c r="BV487" s="58"/>
      <c r="BW487" s="58"/>
      <c r="BX487" s="67">
        <v>153</v>
      </c>
      <c r="BY487" s="56" t="s">
        <v>1285</v>
      </c>
      <c r="BZ487" s="58"/>
      <c r="CA487" s="58"/>
      <c r="CB487" s="58"/>
      <c r="CC487" s="58"/>
      <c r="CD487" s="58"/>
    </row>
    <row r="488" ht="108" spans="1:82">
      <c r="A488" s="56" t="s">
        <v>17236</v>
      </c>
      <c r="B488" s="58"/>
      <c r="C488" s="57" t="s">
        <v>17223</v>
      </c>
      <c r="D488" s="58"/>
      <c r="E488" s="57" t="s">
        <v>15158</v>
      </c>
      <c r="F488" s="57" t="s">
        <v>17224</v>
      </c>
      <c r="G488" s="57" t="s">
        <v>15160</v>
      </c>
      <c r="H488" s="56" t="s">
        <v>2958</v>
      </c>
      <c r="I488" s="60">
        <v>23127.6</v>
      </c>
      <c r="J488" s="57" t="s">
        <v>1285</v>
      </c>
      <c r="K488" s="57" t="s">
        <v>15162</v>
      </c>
      <c r="L488" s="57" t="s">
        <v>15163</v>
      </c>
      <c r="M488" s="61" t="s">
        <v>17079</v>
      </c>
      <c r="N488" s="62" t="s">
        <v>15187</v>
      </c>
      <c r="O488" s="57" t="s">
        <v>15165</v>
      </c>
      <c r="P488" s="57" t="s">
        <v>15166</v>
      </c>
      <c r="Q488" s="57" t="s">
        <v>2958</v>
      </c>
      <c r="R488" s="57" t="s">
        <v>16031</v>
      </c>
      <c r="S488" s="57" t="s">
        <v>16032</v>
      </c>
      <c r="T488" s="57" t="s">
        <v>15190</v>
      </c>
      <c r="U488" s="57" t="s">
        <v>14184</v>
      </c>
      <c r="V488" s="56" t="s">
        <v>14153</v>
      </c>
      <c r="W488" s="58"/>
      <c r="X488" s="57" t="s">
        <v>17225</v>
      </c>
      <c r="Y488" s="57" t="s">
        <v>15170</v>
      </c>
      <c r="Z488" s="61" t="s">
        <v>15465</v>
      </c>
      <c r="AA488" s="61" t="s">
        <v>17079</v>
      </c>
      <c r="AB488" s="58"/>
      <c r="AC488" s="57" t="s">
        <v>15172</v>
      </c>
      <c r="AD488" s="58"/>
      <c r="AE488" s="58"/>
      <c r="AF488" s="58"/>
      <c r="AG488" s="58"/>
      <c r="AH488" s="58"/>
      <c r="AI488" s="58"/>
      <c r="AJ488" s="58"/>
      <c r="AK488" s="56" t="s">
        <v>1285</v>
      </c>
      <c r="AL488" s="56" t="s">
        <v>17226</v>
      </c>
      <c r="AM488" s="58"/>
      <c r="AN488" s="56" t="s">
        <v>17227</v>
      </c>
      <c r="AO488" s="58"/>
      <c r="AP488" s="63">
        <v>45835.5363194444</v>
      </c>
      <c r="AQ488" s="56" t="s">
        <v>17228</v>
      </c>
      <c r="AR488" s="61" t="s">
        <v>15448</v>
      </c>
      <c r="AS488" s="57" t="s">
        <v>14184</v>
      </c>
      <c r="AT488" s="56" t="s">
        <v>15177</v>
      </c>
      <c r="AU488" s="56" t="s">
        <v>17229</v>
      </c>
      <c r="AV488" s="58"/>
      <c r="AW488" s="64">
        <v>45706.7215393518</v>
      </c>
      <c r="AX488" s="56" t="s">
        <v>17226</v>
      </c>
      <c r="AY488" s="56" t="s">
        <v>15179</v>
      </c>
      <c r="AZ488" s="58"/>
      <c r="BA488" s="58"/>
      <c r="BB488" s="58"/>
      <c r="BC488" s="56" t="s">
        <v>15213</v>
      </c>
      <c r="BD488" s="56" t="s">
        <v>15197</v>
      </c>
      <c r="BE488" s="56" t="s">
        <v>16034</v>
      </c>
      <c r="BF488" s="56" t="s">
        <v>15181</v>
      </c>
      <c r="BG488" s="58"/>
      <c r="BH488" s="58"/>
      <c r="BI488" s="57" t="s">
        <v>2801</v>
      </c>
      <c r="BJ488" s="58"/>
      <c r="BK488" s="58"/>
      <c r="BL488" s="66">
        <v>3454198</v>
      </c>
      <c r="BM488" s="56" t="s">
        <v>17230</v>
      </c>
      <c r="BN488" s="58"/>
      <c r="BO488" s="67">
        <v>699</v>
      </c>
      <c r="BP488" s="56" t="s">
        <v>15450</v>
      </c>
      <c r="BQ488" s="58"/>
      <c r="BR488" s="56" t="s">
        <v>17231</v>
      </c>
      <c r="BS488" s="56" t="s">
        <v>1285</v>
      </c>
      <c r="BT488" s="58"/>
      <c r="BU488" s="56" t="s">
        <v>17228</v>
      </c>
      <c r="BV488" s="58"/>
      <c r="BW488" s="58"/>
      <c r="BX488" s="67">
        <v>699</v>
      </c>
      <c r="BY488" s="56" t="s">
        <v>1285</v>
      </c>
      <c r="BZ488" s="58"/>
      <c r="CA488" s="58"/>
      <c r="CB488" s="58"/>
      <c r="CC488" s="58"/>
      <c r="CD488" s="58"/>
    </row>
    <row r="489" ht="108" spans="1:82">
      <c r="A489" s="56" t="s">
        <v>17237</v>
      </c>
      <c r="B489" s="58"/>
      <c r="C489" s="57" t="s">
        <v>17223</v>
      </c>
      <c r="D489" s="58"/>
      <c r="E489" s="57" t="s">
        <v>15158</v>
      </c>
      <c r="F489" s="57" t="s">
        <v>17224</v>
      </c>
      <c r="G489" s="57" t="s">
        <v>15160</v>
      </c>
      <c r="H489" s="56" t="s">
        <v>2958</v>
      </c>
      <c r="I489" s="60">
        <v>23127.6</v>
      </c>
      <c r="J489" s="57" t="s">
        <v>1285</v>
      </c>
      <c r="K489" s="57" t="s">
        <v>15162</v>
      </c>
      <c r="L489" s="57" t="s">
        <v>15163</v>
      </c>
      <c r="M489" s="61" t="s">
        <v>17079</v>
      </c>
      <c r="N489" s="62" t="s">
        <v>15187</v>
      </c>
      <c r="O489" s="57" t="s">
        <v>15165</v>
      </c>
      <c r="P489" s="57" t="s">
        <v>15166</v>
      </c>
      <c r="Q489" s="57" t="s">
        <v>2958</v>
      </c>
      <c r="R489" s="57" t="s">
        <v>16031</v>
      </c>
      <c r="S489" s="57" t="s">
        <v>16032</v>
      </c>
      <c r="T489" s="57" t="s">
        <v>15190</v>
      </c>
      <c r="U489" s="57" t="s">
        <v>14184</v>
      </c>
      <c r="V489" s="56" t="s">
        <v>14153</v>
      </c>
      <c r="W489" s="58"/>
      <c r="X489" s="57" t="s">
        <v>17225</v>
      </c>
      <c r="Y489" s="57" t="s">
        <v>15170</v>
      </c>
      <c r="Z489" s="61" t="s">
        <v>15465</v>
      </c>
      <c r="AA489" s="61" t="s">
        <v>17079</v>
      </c>
      <c r="AB489" s="58"/>
      <c r="AC489" s="57" t="s">
        <v>15172</v>
      </c>
      <c r="AD489" s="58"/>
      <c r="AE489" s="58"/>
      <c r="AF489" s="58"/>
      <c r="AG489" s="58"/>
      <c r="AH489" s="58"/>
      <c r="AI489" s="58"/>
      <c r="AJ489" s="58"/>
      <c r="AK489" s="56" t="s">
        <v>1285</v>
      </c>
      <c r="AL489" s="56" t="s">
        <v>17226</v>
      </c>
      <c r="AM489" s="58"/>
      <c r="AN489" s="56" t="s">
        <v>17227</v>
      </c>
      <c r="AO489" s="58"/>
      <c r="AP489" s="63">
        <v>45835.5363194444</v>
      </c>
      <c r="AQ489" s="56" t="s">
        <v>17228</v>
      </c>
      <c r="AR489" s="61" t="s">
        <v>15448</v>
      </c>
      <c r="AS489" s="57" t="s">
        <v>14184</v>
      </c>
      <c r="AT489" s="56" t="s">
        <v>15177</v>
      </c>
      <c r="AU489" s="56" t="s">
        <v>17229</v>
      </c>
      <c r="AV489" s="58"/>
      <c r="AW489" s="64">
        <v>45706.7215393518</v>
      </c>
      <c r="AX489" s="56" t="s">
        <v>17226</v>
      </c>
      <c r="AY489" s="56" t="s">
        <v>15179</v>
      </c>
      <c r="AZ489" s="58"/>
      <c r="BA489" s="58"/>
      <c r="BB489" s="58"/>
      <c r="BC489" s="56" t="s">
        <v>1760</v>
      </c>
      <c r="BD489" s="56" t="s">
        <v>15197</v>
      </c>
      <c r="BE489" s="56" t="s">
        <v>16034</v>
      </c>
      <c r="BF489" s="56" t="s">
        <v>15181</v>
      </c>
      <c r="BG489" s="58"/>
      <c r="BH489" s="58"/>
      <c r="BI489" s="57" t="s">
        <v>2801</v>
      </c>
      <c r="BJ489" s="58"/>
      <c r="BK489" s="58"/>
      <c r="BL489" s="66">
        <v>3454199</v>
      </c>
      <c r="BM489" s="56" t="s">
        <v>17230</v>
      </c>
      <c r="BN489" s="58"/>
      <c r="BO489" s="67">
        <v>535</v>
      </c>
      <c r="BP489" s="56" t="s">
        <v>15450</v>
      </c>
      <c r="BQ489" s="58"/>
      <c r="BR489" s="56" t="s">
        <v>17231</v>
      </c>
      <c r="BS489" s="56" t="s">
        <v>1285</v>
      </c>
      <c r="BT489" s="58"/>
      <c r="BU489" s="56" t="s">
        <v>17228</v>
      </c>
      <c r="BV489" s="58"/>
      <c r="BW489" s="58"/>
      <c r="BX489" s="67">
        <v>535</v>
      </c>
      <c r="BY489" s="56" t="s">
        <v>1285</v>
      </c>
      <c r="BZ489" s="58"/>
      <c r="CA489" s="58"/>
      <c r="CB489" s="58"/>
      <c r="CC489" s="58"/>
      <c r="CD489" s="58"/>
    </row>
    <row r="490" ht="108" spans="1:82">
      <c r="A490" s="56" t="s">
        <v>17238</v>
      </c>
      <c r="B490" s="58"/>
      <c r="C490" s="57" t="s">
        <v>17223</v>
      </c>
      <c r="D490" s="58"/>
      <c r="E490" s="57" t="s">
        <v>15158</v>
      </c>
      <c r="F490" s="57" t="s">
        <v>17224</v>
      </c>
      <c r="G490" s="57" t="s">
        <v>15160</v>
      </c>
      <c r="H490" s="56" t="s">
        <v>2958</v>
      </c>
      <c r="I490" s="60">
        <v>23127.6</v>
      </c>
      <c r="J490" s="57" t="s">
        <v>1285</v>
      </c>
      <c r="K490" s="57" t="s">
        <v>15162</v>
      </c>
      <c r="L490" s="57" t="s">
        <v>15163</v>
      </c>
      <c r="M490" s="61" t="s">
        <v>17079</v>
      </c>
      <c r="N490" s="62" t="s">
        <v>15187</v>
      </c>
      <c r="O490" s="57" t="s">
        <v>15165</v>
      </c>
      <c r="P490" s="57" t="s">
        <v>15166</v>
      </c>
      <c r="Q490" s="57" t="s">
        <v>2958</v>
      </c>
      <c r="R490" s="57" t="s">
        <v>16031</v>
      </c>
      <c r="S490" s="57" t="s">
        <v>16032</v>
      </c>
      <c r="T490" s="57" t="s">
        <v>15190</v>
      </c>
      <c r="U490" s="57" t="s">
        <v>14184</v>
      </c>
      <c r="V490" s="56" t="s">
        <v>14153</v>
      </c>
      <c r="W490" s="58"/>
      <c r="X490" s="57" t="s">
        <v>17225</v>
      </c>
      <c r="Y490" s="57" t="s">
        <v>15170</v>
      </c>
      <c r="Z490" s="61" t="s">
        <v>15465</v>
      </c>
      <c r="AA490" s="61" t="s">
        <v>17079</v>
      </c>
      <c r="AB490" s="58"/>
      <c r="AC490" s="57" t="s">
        <v>15172</v>
      </c>
      <c r="AD490" s="58"/>
      <c r="AE490" s="58"/>
      <c r="AF490" s="58"/>
      <c r="AG490" s="58"/>
      <c r="AH490" s="58"/>
      <c r="AI490" s="58"/>
      <c r="AJ490" s="58"/>
      <c r="AK490" s="56" t="s">
        <v>1285</v>
      </c>
      <c r="AL490" s="56" t="s">
        <v>17226</v>
      </c>
      <c r="AM490" s="58"/>
      <c r="AN490" s="56" t="s">
        <v>17227</v>
      </c>
      <c r="AO490" s="58"/>
      <c r="AP490" s="63">
        <v>45835.5363194444</v>
      </c>
      <c r="AQ490" s="56" t="s">
        <v>17228</v>
      </c>
      <c r="AR490" s="61" t="s">
        <v>15448</v>
      </c>
      <c r="AS490" s="57" t="s">
        <v>14184</v>
      </c>
      <c r="AT490" s="56" t="s">
        <v>15177</v>
      </c>
      <c r="AU490" s="56" t="s">
        <v>17229</v>
      </c>
      <c r="AV490" s="58"/>
      <c r="AW490" s="64">
        <v>45706.7215393518</v>
      </c>
      <c r="AX490" s="56" t="s">
        <v>17226</v>
      </c>
      <c r="AY490" s="56" t="s">
        <v>15179</v>
      </c>
      <c r="AZ490" s="58"/>
      <c r="BA490" s="58"/>
      <c r="BB490" s="58"/>
      <c r="BC490" s="56" t="s">
        <v>16041</v>
      </c>
      <c r="BD490" s="56" t="s">
        <v>15197</v>
      </c>
      <c r="BE490" s="56" t="s">
        <v>16034</v>
      </c>
      <c r="BF490" s="56" t="s">
        <v>15181</v>
      </c>
      <c r="BG490" s="58"/>
      <c r="BH490" s="58"/>
      <c r="BI490" s="57" t="s">
        <v>2801</v>
      </c>
      <c r="BJ490" s="58"/>
      <c r="BK490" s="58"/>
      <c r="BL490" s="66">
        <v>3454200</v>
      </c>
      <c r="BM490" s="56" t="s">
        <v>17230</v>
      </c>
      <c r="BN490" s="58"/>
      <c r="BO490" s="67">
        <v>693</v>
      </c>
      <c r="BP490" s="56" t="s">
        <v>15450</v>
      </c>
      <c r="BQ490" s="58"/>
      <c r="BR490" s="56" t="s">
        <v>17231</v>
      </c>
      <c r="BS490" s="56" t="s">
        <v>1285</v>
      </c>
      <c r="BT490" s="58"/>
      <c r="BU490" s="56" t="s">
        <v>17228</v>
      </c>
      <c r="BV490" s="58"/>
      <c r="BW490" s="58"/>
      <c r="BX490" s="67">
        <v>693</v>
      </c>
      <c r="BY490" s="56" t="s">
        <v>1285</v>
      </c>
      <c r="BZ490" s="58"/>
      <c r="CA490" s="58"/>
      <c r="CB490" s="58"/>
      <c r="CC490" s="58"/>
      <c r="CD490" s="58"/>
    </row>
    <row r="491" ht="108" spans="1:82">
      <c r="A491" s="56" t="s">
        <v>17239</v>
      </c>
      <c r="B491" s="58"/>
      <c r="C491" s="57" t="s">
        <v>17223</v>
      </c>
      <c r="D491" s="58"/>
      <c r="E491" s="57" t="s">
        <v>15158</v>
      </c>
      <c r="F491" s="57" t="s">
        <v>17224</v>
      </c>
      <c r="G491" s="57" t="s">
        <v>15160</v>
      </c>
      <c r="H491" s="56" t="s">
        <v>2958</v>
      </c>
      <c r="I491" s="60">
        <v>23127.6</v>
      </c>
      <c r="J491" s="57" t="s">
        <v>1285</v>
      </c>
      <c r="K491" s="57" t="s">
        <v>15162</v>
      </c>
      <c r="L491" s="57" t="s">
        <v>15163</v>
      </c>
      <c r="M491" s="61" t="s">
        <v>17079</v>
      </c>
      <c r="N491" s="62" t="s">
        <v>15187</v>
      </c>
      <c r="O491" s="57" t="s">
        <v>15165</v>
      </c>
      <c r="P491" s="57" t="s">
        <v>15166</v>
      </c>
      <c r="Q491" s="57" t="s">
        <v>2958</v>
      </c>
      <c r="R491" s="57" t="s">
        <v>16031</v>
      </c>
      <c r="S491" s="57" t="s">
        <v>16032</v>
      </c>
      <c r="T491" s="57" t="s">
        <v>15190</v>
      </c>
      <c r="U491" s="57" t="s">
        <v>14184</v>
      </c>
      <c r="V491" s="56" t="s">
        <v>14153</v>
      </c>
      <c r="W491" s="58"/>
      <c r="X491" s="57" t="s">
        <v>17225</v>
      </c>
      <c r="Y491" s="57" t="s">
        <v>15170</v>
      </c>
      <c r="Z491" s="61" t="s">
        <v>15465</v>
      </c>
      <c r="AA491" s="61" t="s">
        <v>17079</v>
      </c>
      <c r="AB491" s="58"/>
      <c r="AC491" s="57" t="s">
        <v>15172</v>
      </c>
      <c r="AD491" s="58"/>
      <c r="AE491" s="58"/>
      <c r="AF491" s="58"/>
      <c r="AG491" s="58"/>
      <c r="AH491" s="58"/>
      <c r="AI491" s="58"/>
      <c r="AJ491" s="58"/>
      <c r="AK491" s="56" t="s">
        <v>1285</v>
      </c>
      <c r="AL491" s="56" t="s">
        <v>17226</v>
      </c>
      <c r="AM491" s="58"/>
      <c r="AN491" s="56" t="s">
        <v>17227</v>
      </c>
      <c r="AO491" s="58"/>
      <c r="AP491" s="63">
        <v>45835.5363194444</v>
      </c>
      <c r="AQ491" s="56" t="s">
        <v>17228</v>
      </c>
      <c r="AR491" s="61" t="s">
        <v>15448</v>
      </c>
      <c r="AS491" s="57" t="s">
        <v>14184</v>
      </c>
      <c r="AT491" s="56" t="s">
        <v>15177</v>
      </c>
      <c r="AU491" s="56" t="s">
        <v>17229</v>
      </c>
      <c r="AV491" s="58"/>
      <c r="AW491" s="64">
        <v>45706.7215393518</v>
      </c>
      <c r="AX491" s="56" t="s">
        <v>17226</v>
      </c>
      <c r="AY491" s="56" t="s">
        <v>15179</v>
      </c>
      <c r="AZ491" s="58"/>
      <c r="BA491" s="58"/>
      <c r="BB491" s="58"/>
      <c r="BC491" s="56" t="s">
        <v>16041</v>
      </c>
      <c r="BD491" s="56" t="s">
        <v>15197</v>
      </c>
      <c r="BE491" s="56" t="s">
        <v>16034</v>
      </c>
      <c r="BF491" s="56" t="s">
        <v>15181</v>
      </c>
      <c r="BG491" s="58"/>
      <c r="BH491" s="58"/>
      <c r="BI491" s="57" t="s">
        <v>2801</v>
      </c>
      <c r="BJ491" s="58"/>
      <c r="BK491" s="58"/>
      <c r="BL491" s="66">
        <v>3454201</v>
      </c>
      <c r="BM491" s="56" t="s">
        <v>17230</v>
      </c>
      <c r="BN491" s="58"/>
      <c r="BO491" s="67">
        <v>793.8</v>
      </c>
      <c r="BP491" s="56" t="s">
        <v>15450</v>
      </c>
      <c r="BQ491" s="58"/>
      <c r="BR491" s="56" t="s">
        <v>17231</v>
      </c>
      <c r="BS491" s="56" t="s">
        <v>1285</v>
      </c>
      <c r="BT491" s="58"/>
      <c r="BU491" s="56" t="s">
        <v>17228</v>
      </c>
      <c r="BV491" s="58"/>
      <c r="BW491" s="58"/>
      <c r="BX491" s="67">
        <v>793.8</v>
      </c>
      <c r="BY491" s="56" t="s">
        <v>1285</v>
      </c>
      <c r="BZ491" s="58"/>
      <c r="CA491" s="58"/>
      <c r="CB491" s="58"/>
      <c r="CC491" s="58"/>
      <c r="CD491" s="58"/>
    </row>
    <row r="492" ht="108" spans="1:82">
      <c r="A492" s="56" t="s">
        <v>17240</v>
      </c>
      <c r="B492" s="58"/>
      <c r="C492" s="57" t="s">
        <v>17223</v>
      </c>
      <c r="D492" s="58"/>
      <c r="E492" s="57" t="s">
        <v>15158</v>
      </c>
      <c r="F492" s="57" t="s">
        <v>17224</v>
      </c>
      <c r="G492" s="57" t="s">
        <v>15160</v>
      </c>
      <c r="H492" s="56" t="s">
        <v>2958</v>
      </c>
      <c r="I492" s="60">
        <v>23127.6</v>
      </c>
      <c r="J492" s="57" t="s">
        <v>1285</v>
      </c>
      <c r="K492" s="57" t="s">
        <v>15162</v>
      </c>
      <c r="L492" s="57" t="s">
        <v>15163</v>
      </c>
      <c r="M492" s="61" t="s">
        <v>17079</v>
      </c>
      <c r="N492" s="62" t="s">
        <v>15187</v>
      </c>
      <c r="O492" s="57" t="s">
        <v>15165</v>
      </c>
      <c r="P492" s="57" t="s">
        <v>15166</v>
      </c>
      <c r="Q492" s="57" t="s">
        <v>2958</v>
      </c>
      <c r="R492" s="57" t="s">
        <v>16031</v>
      </c>
      <c r="S492" s="57" t="s">
        <v>16032</v>
      </c>
      <c r="T492" s="57" t="s">
        <v>15190</v>
      </c>
      <c r="U492" s="57" t="s">
        <v>14184</v>
      </c>
      <c r="V492" s="56" t="s">
        <v>14153</v>
      </c>
      <c r="W492" s="58"/>
      <c r="X492" s="57" t="s">
        <v>17225</v>
      </c>
      <c r="Y492" s="57" t="s">
        <v>15170</v>
      </c>
      <c r="Z492" s="61" t="s">
        <v>15465</v>
      </c>
      <c r="AA492" s="61" t="s">
        <v>17079</v>
      </c>
      <c r="AB492" s="58"/>
      <c r="AC492" s="57" t="s">
        <v>15172</v>
      </c>
      <c r="AD492" s="58"/>
      <c r="AE492" s="58"/>
      <c r="AF492" s="58"/>
      <c r="AG492" s="58"/>
      <c r="AH492" s="58"/>
      <c r="AI492" s="58"/>
      <c r="AJ492" s="58"/>
      <c r="AK492" s="56" t="s">
        <v>1285</v>
      </c>
      <c r="AL492" s="56" t="s">
        <v>17226</v>
      </c>
      <c r="AM492" s="58"/>
      <c r="AN492" s="56" t="s">
        <v>17227</v>
      </c>
      <c r="AO492" s="58"/>
      <c r="AP492" s="63">
        <v>45835.5363194444</v>
      </c>
      <c r="AQ492" s="56" t="s">
        <v>17228</v>
      </c>
      <c r="AR492" s="61" t="s">
        <v>15448</v>
      </c>
      <c r="AS492" s="57" t="s">
        <v>14184</v>
      </c>
      <c r="AT492" s="56" t="s">
        <v>15177</v>
      </c>
      <c r="AU492" s="56" t="s">
        <v>17229</v>
      </c>
      <c r="AV492" s="58"/>
      <c r="AW492" s="64">
        <v>45706.7215393518</v>
      </c>
      <c r="AX492" s="56" t="s">
        <v>17226</v>
      </c>
      <c r="AY492" s="56" t="s">
        <v>15179</v>
      </c>
      <c r="AZ492" s="58"/>
      <c r="BA492" s="58"/>
      <c r="BB492" s="58"/>
      <c r="BC492" s="56" t="s">
        <v>1780</v>
      </c>
      <c r="BD492" s="56" t="s">
        <v>15197</v>
      </c>
      <c r="BE492" s="56" t="s">
        <v>16034</v>
      </c>
      <c r="BF492" s="56" t="s">
        <v>15181</v>
      </c>
      <c r="BG492" s="58"/>
      <c r="BH492" s="58"/>
      <c r="BI492" s="57" t="s">
        <v>2801</v>
      </c>
      <c r="BJ492" s="58"/>
      <c r="BK492" s="58"/>
      <c r="BL492" s="66">
        <v>3454202</v>
      </c>
      <c r="BM492" s="56" t="s">
        <v>17230</v>
      </c>
      <c r="BN492" s="58"/>
      <c r="BO492" s="67">
        <v>316</v>
      </c>
      <c r="BP492" s="56" t="s">
        <v>15450</v>
      </c>
      <c r="BQ492" s="58"/>
      <c r="BR492" s="56" t="s">
        <v>17231</v>
      </c>
      <c r="BS492" s="56" t="s">
        <v>1285</v>
      </c>
      <c r="BT492" s="58"/>
      <c r="BU492" s="56" t="s">
        <v>17228</v>
      </c>
      <c r="BV492" s="58"/>
      <c r="BW492" s="58"/>
      <c r="BX492" s="67">
        <v>316</v>
      </c>
      <c r="BY492" s="56" t="s">
        <v>1285</v>
      </c>
      <c r="BZ492" s="58"/>
      <c r="CA492" s="58"/>
      <c r="CB492" s="58"/>
      <c r="CC492" s="58"/>
      <c r="CD492" s="58"/>
    </row>
    <row r="493" ht="108" spans="1:82">
      <c r="A493" s="56" t="s">
        <v>17241</v>
      </c>
      <c r="B493" s="58"/>
      <c r="C493" s="57" t="s">
        <v>17223</v>
      </c>
      <c r="D493" s="58"/>
      <c r="E493" s="57" t="s">
        <v>15158</v>
      </c>
      <c r="F493" s="57" t="s">
        <v>17224</v>
      </c>
      <c r="G493" s="57" t="s">
        <v>15160</v>
      </c>
      <c r="H493" s="56" t="s">
        <v>2958</v>
      </c>
      <c r="I493" s="60">
        <v>23127.6</v>
      </c>
      <c r="J493" s="57" t="s">
        <v>1285</v>
      </c>
      <c r="K493" s="57" t="s">
        <v>15162</v>
      </c>
      <c r="L493" s="57" t="s">
        <v>15163</v>
      </c>
      <c r="M493" s="61" t="s">
        <v>17079</v>
      </c>
      <c r="N493" s="62" t="s">
        <v>15187</v>
      </c>
      <c r="O493" s="57" t="s">
        <v>15165</v>
      </c>
      <c r="P493" s="57" t="s">
        <v>15166</v>
      </c>
      <c r="Q493" s="57" t="s">
        <v>2958</v>
      </c>
      <c r="R493" s="57" t="s">
        <v>16031</v>
      </c>
      <c r="S493" s="57" t="s">
        <v>16032</v>
      </c>
      <c r="T493" s="57" t="s">
        <v>15190</v>
      </c>
      <c r="U493" s="57" t="s">
        <v>14184</v>
      </c>
      <c r="V493" s="56" t="s">
        <v>14153</v>
      </c>
      <c r="W493" s="58"/>
      <c r="X493" s="57" t="s">
        <v>17225</v>
      </c>
      <c r="Y493" s="57" t="s">
        <v>15170</v>
      </c>
      <c r="Z493" s="61" t="s">
        <v>15465</v>
      </c>
      <c r="AA493" s="61" t="s">
        <v>17079</v>
      </c>
      <c r="AB493" s="58"/>
      <c r="AC493" s="57" t="s">
        <v>15172</v>
      </c>
      <c r="AD493" s="58"/>
      <c r="AE493" s="58"/>
      <c r="AF493" s="58"/>
      <c r="AG493" s="58"/>
      <c r="AH493" s="58"/>
      <c r="AI493" s="58"/>
      <c r="AJ493" s="58"/>
      <c r="AK493" s="56" t="s">
        <v>1285</v>
      </c>
      <c r="AL493" s="56" t="s">
        <v>17226</v>
      </c>
      <c r="AM493" s="58"/>
      <c r="AN493" s="56" t="s">
        <v>17227</v>
      </c>
      <c r="AO493" s="58"/>
      <c r="AP493" s="63">
        <v>45835.5363194444</v>
      </c>
      <c r="AQ493" s="56" t="s">
        <v>17228</v>
      </c>
      <c r="AR493" s="61" t="s">
        <v>15448</v>
      </c>
      <c r="AS493" s="57" t="s">
        <v>14184</v>
      </c>
      <c r="AT493" s="56" t="s">
        <v>15177</v>
      </c>
      <c r="AU493" s="56" t="s">
        <v>17229</v>
      </c>
      <c r="AV493" s="58"/>
      <c r="AW493" s="64">
        <v>45706.7215393518</v>
      </c>
      <c r="AX493" s="56" t="s">
        <v>17226</v>
      </c>
      <c r="AY493" s="56" t="s">
        <v>15179</v>
      </c>
      <c r="AZ493" s="58"/>
      <c r="BA493" s="58"/>
      <c r="BB493" s="58"/>
      <c r="BC493" s="56" t="s">
        <v>16041</v>
      </c>
      <c r="BD493" s="56" t="s">
        <v>15197</v>
      </c>
      <c r="BE493" s="56" t="s">
        <v>16034</v>
      </c>
      <c r="BF493" s="56" t="s">
        <v>15181</v>
      </c>
      <c r="BG493" s="58"/>
      <c r="BH493" s="58"/>
      <c r="BI493" s="57" t="s">
        <v>2801</v>
      </c>
      <c r="BJ493" s="58"/>
      <c r="BK493" s="58"/>
      <c r="BL493" s="66">
        <v>3454206</v>
      </c>
      <c r="BM493" s="56" t="s">
        <v>17230</v>
      </c>
      <c r="BN493" s="58"/>
      <c r="BO493" s="67">
        <v>6360</v>
      </c>
      <c r="BP493" s="56" t="s">
        <v>15450</v>
      </c>
      <c r="BQ493" s="58"/>
      <c r="BR493" s="56" t="s">
        <v>17231</v>
      </c>
      <c r="BS493" s="56" t="s">
        <v>1285</v>
      </c>
      <c r="BT493" s="58"/>
      <c r="BU493" s="56" t="s">
        <v>17228</v>
      </c>
      <c r="BV493" s="58"/>
      <c r="BW493" s="58"/>
      <c r="BX493" s="67">
        <v>6360</v>
      </c>
      <c r="BY493" s="56" t="s">
        <v>1285</v>
      </c>
      <c r="BZ493" s="58"/>
      <c r="CA493" s="58"/>
      <c r="CB493" s="58"/>
      <c r="CC493" s="58"/>
      <c r="CD493" s="58"/>
    </row>
    <row r="494" ht="108" spans="1:82">
      <c r="A494" s="56" t="s">
        <v>17242</v>
      </c>
      <c r="B494" s="58"/>
      <c r="C494" s="57" t="s">
        <v>17223</v>
      </c>
      <c r="D494" s="58"/>
      <c r="E494" s="57" t="s">
        <v>15158</v>
      </c>
      <c r="F494" s="57" t="s">
        <v>17224</v>
      </c>
      <c r="G494" s="57" t="s">
        <v>15160</v>
      </c>
      <c r="H494" s="56" t="s">
        <v>2958</v>
      </c>
      <c r="I494" s="60">
        <v>23127.6</v>
      </c>
      <c r="J494" s="57" t="s">
        <v>1285</v>
      </c>
      <c r="K494" s="57" t="s">
        <v>15162</v>
      </c>
      <c r="L494" s="57" t="s">
        <v>15163</v>
      </c>
      <c r="M494" s="61" t="s">
        <v>17079</v>
      </c>
      <c r="N494" s="62" t="s">
        <v>15187</v>
      </c>
      <c r="O494" s="57" t="s">
        <v>15165</v>
      </c>
      <c r="P494" s="57" t="s">
        <v>15166</v>
      </c>
      <c r="Q494" s="57" t="s">
        <v>2958</v>
      </c>
      <c r="R494" s="57" t="s">
        <v>16031</v>
      </c>
      <c r="S494" s="57" t="s">
        <v>16032</v>
      </c>
      <c r="T494" s="57" t="s">
        <v>15190</v>
      </c>
      <c r="U494" s="57" t="s">
        <v>14184</v>
      </c>
      <c r="V494" s="56" t="s">
        <v>14153</v>
      </c>
      <c r="W494" s="58"/>
      <c r="X494" s="57" t="s">
        <v>17225</v>
      </c>
      <c r="Y494" s="57" t="s">
        <v>15170</v>
      </c>
      <c r="Z494" s="61" t="s">
        <v>15465</v>
      </c>
      <c r="AA494" s="61" t="s">
        <v>17079</v>
      </c>
      <c r="AB494" s="58"/>
      <c r="AC494" s="57" t="s">
        <v>15172</v>
      </c>
      <c r="AD494" s="58"/>
      <c r="AE494" s="58"/>
      <c r="AF494" s="58"/>
      <c r="AG494" s="58"/>
      <c r="AH494" s="58"/>
      <c r="AI494" s="58"/>
      <c r="AJ494" s="58"/>
      <c r="AK494" s="56" t="s">
        <v>1285</v>
      </c>
      <c r="AL494" s="56" t="s">
        <v>17226</v>
      </c>
      <c r="AM494" s="58"/>
      <c r="AN494" s="56" t="s">
        <v>17227</v>
      </c>
      <c r="AO494" s="58"/>
      <c r="AP494" s="63">
        <v>45835.5363194444</v>
      </c>
      <c r="AQ494" s="56" t="s">
        <v>17228</v>
      </c>
      <c r="AR494" s="61" t="s">
        <v>15448</v>
      </c>
      <c r="AS494" s="57" t="s">
        <v>14184</v>
      </c>
      <c r="AT494" s="56" t="s">
        <v>15177</v>
      </c>
      <c r="AU494" s="56" t="s">
        <v>17229</v>
      </c>
      <c r="AV494" s="58"/>
      <c r="AW494" s="64">
        <v>45706.7215393518</v>
      </c>
      <c r="AX494" s="56" t="s">
        <v>17226</v>
      </c>
      <c r="AY494" s="56" t="s">
        <v>15179</v>
      </c>
      <c r="AZ494" s="58"/>
      <c r="BA494" s="58"/>
      <c r="BB494" s="58"/>
      <c r="BC494" s="56" t="s">
        <v>16041</v>
      </c>
      <c r="BD494" s="56" t="s">
        <v>15197</v>
      </c>
      <c r="BE494" s="56" t="s">
        <v>16034</v>
      </c>
      <c r="BF494" s="56" t="s">
        <v>15181</v>
      </c>
      <c r="BG494" s="58"/>
      <c r="BH494" s="58"/>
      <c r="BI494" s="57" t="s">
        <v>2801</v>
      </c>
      <c r="BJ494" s="58"/>
      <c r="BK494" s="58"/>
      <c r="BL494" s="66">
        <v>3454203</v>
      </c>
      <c r="BM494" s="56" t="s">
        <v>17230</v>
      </c>
      <c r="BN494" s="58"/>
      <c r="BO494" s="67">
        <v>2880</v>
      </c>
      <c r="BP494" s="56" t="s">
        <v>15450</v>
      </c>
      <c r="BQ494" s="58"/>
      <c r="BR494" s="56" t="s">
        <v>17231</v>
      </c>
      <c r="BS494" s="56" t="s">
        <v>1285</v>
      </c>
      <c r="BT494" s="58"/>
      <c r="BU494" s="56" t="s">
        <v>17228</v>
      </c>
      <c r="BV494" s="58"/>
      <c r="BW494" s="58"/>
      <c r="BX494" s="67">
        <v>2880</v>
      </c>
      <c r="BY494" s="56" t="s">
        <v>1285</v>
      </c>
      <c r="BZ494" s="58"/>
      <c r="CA494" s="58"/>
      <c r="CB494" s="58"/>
      <c r="CC494" s="58"/>
      <c r="CD494" s="58"/>
    </row>
    <row r="495" ht="108" spans="1:82">
      <c r="A495" s="56" t="s">
        <v>17243</v>
      </c>
      <c r="B495" s="58"/>
      <c r="C495" s="57" t="s">
        <v>17223</v>
      </c>
      <c r="D495" s="58"/>
      <c r="E495" s="57" t="s">
        <v>15158</v>
      </c>
      <c r="F495" s="57" t="s">
        <v>17224</v>
      </c>
      <c r="G495" s="57" t="s">
        <v>15160</v>
      </c>
      <c r="H495" s="56" t="s">
        <v>2958</v>
      </c>
      <c r="I495" s="60">
        <v>23127.6</v>
      </c>
      <c r="J495" s="57" t="s">
        <v>1285</v>
      </c>
      <c r="K495" s="57" t="s">
        <v>15162</v>
      </c>
      <c r="L495" s="57" t="s">
        <v>15163</v>
      </c>
      <c r="M495" s="61" t="s">
        <v>17079</v>
      </c>
      <c r="N495" s="62" t="s">
        <v>15187</v>
      </c>
      <c r="O495" s="57" t="s">
        <v>15165</v>
      </c>
      <c r="P495" s="57" t="s">
        <v>15166</v>
      </c>
      <c r="Q495" s="57" t="s">
        <v>2958</v>
      </c>
      <c r="R495" s="57" t="s">
        <v>16031</v>
      </c>
      <c r="S495" s="57" t="s">
        <v>16032</v>
      </c>
      <c r="T495" s="57" t="s">
        <v>15190</v>
      </c>
      <c r="U495" s="57" t="s">
        <v>14184</v>
      </c>
      <c r="V495" s="56" t="s">
        <v>14153</v>
      </c>
      <c r="W495" s="58"/>
      <c r="X495" s="57" t="s">
        <v>17225</v>
      </c>
      <c r="Y495" s="57" t="s">
        <v>15170</v>
      </c>
      <c r="Z495" s="61" t="s">
        <v>15465</v>
      </c>
      <c r="AA495" s="61" t="s">
        <v>17079</v>
      </c>
      <c r="AB495" s="58"/>
      <c r="AC495" s="57" t="s">
        <v>15172</v>
      </c>
      <c r="AD495" s="58"/>
      <c r="AE495" s="58"/>
      <c r="AF495" s="58"/>
      <c r="AG495" s="58"/>
      <c r="AH495" s="58"/>
      <c r="AI495" s="58"/>
      <c r="AJ495" s="58"/>
      <c r="AK495" s="56" t="s">
        <v>1285</v>
      </c>
      <c r="AL495" s="56" t="s">
        <v>17226</v>
      </c>
      <c r="AM495" s="58"/>
      <c r="AN495" s="56" t="s">
        <v>17227</v>
      </c>
      <c r="AO495" s="58"/>
      <c r="AP495" s="63">
        <v>45835.5363194444</v>
      </c>
      <c r="AQ495" s="56" t="s">
        <v>17228</v>
      </c>
      <c r="AR495" s="61" t="s">
        <v>15448</v>
      </c>
      <c r="AS495" s="57" t="s">
        <v>14184</v>
      </c>
      <c r="AT495" s="56" t="s">
        <v>15177</v>
      </c>
      <c r="AU495" s="56" t="s">
        <v>17229</v>
      </c>
      <c r="AV495" s="58"/>
      <c r="AW495" s="64">
        <v>45706.7215393518</v>
      </c>
      <c r="AX495" s="56" t="s">
        <v>17226</v>
      </c>
      <c r="AY495" s="56" t="s">
        <v>15179</v>
      </c>
      <c r="AZ495" s="58"/>
      <c r="BA495" s="58"/>
      <c r="BB495" s="58"/>
      <c r="BC495" s="56" t="s">
        <v>16041</v>
      </c>
      <c r="BD495" s="56" t="s">
        <v>15197</v>
      </c>
      <c r="BE495" s="56" t="s">
        <v>16034</v>
      </c>
      <c r="BF495" s="56" t="s">
        <v>15181</v>
      </c>
      <c r="BG495" s="58"/>
      <c r="BH495" s="58"/>
      <c r="BI495" s="57" t="s">
        <v>2801</v>
      </c>
      <c r="BJ495" s="58"/>
      <c r="BK495" s="58"/>
      <c r="BL495" s="66">
        <v>3454204</v>
      </c>
      <c r="BM495" s="56" t="s">
        <v>17230</v>
      </c>
      <c r="BN495" s="58"/>
      <c r="BO495" s="67">
        <v>7440</v>
      </c>
      <c r="BP495" s="56" t="s">
        <v>15450</v>
      </c>
      <c r="BQ495" s="58"/>
      <c r="BR495" s="56" t="s">
        <v>17231</v>
      </c>
      <c r="BS495" s="56" t="s">
        <v>1285</v>
      </c>
      <c r="BT495" s="58"/>
      <c r="BU495" s="56" t="s">
        <v>17228</v>
      </c>
      <c r="BV495" s="58"/>
      <c r="BW495" s="58"/>
      <c r="BX495" s="67">
        <v>7440</v>
      </c>
      <c r="BY495" s="56" t="s">
        <v>1285</v>
      </c>
      <c r="BZ495" s="58"/>
      <c r="CA495" s="58"/>
      <c r="CB495" s="58"/>
      <c r="CC495" s="58"/>
      <c r="CD495" s="58"/>
    </row>
    <row r="496" ht="108" spans="1:82">
      <c r="A496" s="56" t="s">
        <v>17244</v>
      </c>
      <c r="B496" s="58"/>
      <c r="C496" s="57" t="s">
        <v>17223</v>
      </c>
      <c r="D496" s="58"/>
      <c r="E496" s="57" t="s">
        <v>15158</v>
      </c>
      <c r="F496" s="57" t="s">
        <v>17224</v>
      </c>
      <c r="G496" s="57" t="s">
        <v>15160</v>
      </c>
      <c r="H496" s="56" t="s">
        <v>2958</v>
      </c>
      <c r="I496" s="60">
        <v>23127.6</v>
      </c>
      <c r="J496" s="57" t="s">
        <v>1285</v>
      </c>
      <c r="K496" s="57" t="s">
        <v>15162</v>
      </c>
      <c r="L496" s="57" t="s">
        <v>15163</v>
      </c>
      <c r="M496" s="61" t="s">
        <v>17079</v>
      </c>
      <c r="N496" s="62" t="s">
        <v>15187</v>
      </c>
      <c r="O496" s="57" t="s">
        <v>15165</v>
      </c>
      <c r="P496" s="57" t="s">
        <v>15166</v>
      </c>
      <c r="Q496" s="57" t="s">
        <v>2958</v>
      </c>
      <c r="R496" s="57" t="s">
        <v>16031</v>
      </c>
      <c r="S496" s="57" t="s">
        <v>16032</v>
      </c>
      <c r="T496" s="57" t="s">
        <v>15190</v>
      </c>
      <c r="U496" s="57" t="s">
        <v>14184</v>
      </c>
      <c r="V496" s="56" t="s">
        <v>14153</v>
      </c>
      <c r="W496" s="58"/>
      <c r="X496" s="57" t="s">
        <v>17225</v>
      </c>
      <c r="Y496" s="57" t="s">
        <v>15170</v>
      </c>
      <c r="Z496" s="61" t="s">
        <v>15465</v>
      </c>
      <c r="AA496" s="61" t="s">
        <v>17079</v>
      </c>
      <c r="AB496" s="58"/>
      <c r="AC496" s="57" t="s">
        <v>15172</v>
      </c>
      <c r="AD496" s="58"/>
      <c r="AE496" s="58"/>
      <c r="AF496" s="58"/>
      <c r="AG496" s="58"/>
      <c r="AH496" s="58"/>
      <c r="AI496" s="58"/>
      <c r="AJ496" s="58"/>
      <c r="AK496" s="56" t="s">
        <v>1285</v>
      </c>
      <c r="AL496" s="56" t="s">
        <v>17226</v>
      </c>
      <c r="AM496" s="58"/>
      <c r="AN496" s="56" t="s">
        <v>17227</v>
      </c>
      <c r="AO496" s="58"/>
      <c r="AP496" s="63">
        <v>45835.5363194444</v>
      </c>
      <c r="AQ496" s="56" t="s">
        <v>17228</v>
      </c>
      <c r="AR496" s="61" t="s">
        <v>15448</v>
      </c>
      <c r="AS496" s="57" t="s">
        <v>14184</v>
      </c>
      <c r="AT496" s="56" t="s">
        <v>15177</v>
      </c>
      <c r="AU496" s="56" t="s">
        <v>17229</v>
      </c>
      <c r="AV496" s="58"/>
      <c r="AW496" s="64">
        <v>45706.7215393518</v>
      </c>
      <c r="AX496" s="56" t="s">
        <v>17226</v>
      </c>
      <c r="AY496" s="56" t="s">
        <v>15179</v>
      </c>
      <c r="AZ496" s="58"/>
      <c r="BA496" s="58"/>
      <c r="BB496" s="58"/>
      <c r="BC496" s="56" t="s">
        <v>16041</v>
      </c>
      <c r="BD496" s="56" t="s">
        <v>15197</v>
      </c>
      <c r="BE496" s="56" t="s">
        <v>16034</v>
      </c>
      <c r="BF496" s="56" t="s">
        <v>15181</v>
      </c>
      <c r="BG496" s="58"/>
      <c r="BH496" s="58"/>
      <c r="BI496" s="57" t="s">
        <v>2801</v>
      </c>
      <c r="BJ496" s="58"/>
      <c r="BK496" s="58"/>
      <c r="BL496" s="66">
        <v>3454205</v>
      </c>
      <c r="BM496" s="56" t="s">
        <v>17230</v>
      </c>
      <c r="BN496" s="58"/>
      <c r="BO496" s="67">
        <v>1770</v>
      </c>
      <c r="BP496" s="56" t="s">
        <v>15450</v>
      </c>
      <c r="BQ496" s="58"/>
      <c r="BR496" s="56" t="s">
        <v>17231</v>
      </c>
      <c r="BS496" s="56" t="s">
        <v>1285</v>
      </c>
      <c r="BT496" s="58"/>
      <c r="BU496" s="56" t="s">
        <v>17228</v>
      </c>
      <c r="BV496" s="58"/>
      <c r="BW496" s="58"/>
      <c r="BX496" s="67">
        <v>1770</v>
      </c>
      <c r="BY496" s="56" t="s">
        <v>1285</v>
      </c>
      <c r="BZ496" s="58"/>
      <c r="CA496" s="58"/>
      <c r="CB496" s="58"/>
      <c r="CC496" s="58"/>
      <c r="CD496" s="58"/>
    </row>
    <row r="497" ht="108" spans="1:82">
      <c r="A497" s="56" t="s">
        <v>17245</v>
      </c>
      <c r="B497" s="58"/>
      <c r="C497" s="57" t="s">
        <v>17246</v>
      </c>
      <c r="D497" s="58"/>
      <c r="E497" s="57" t="s">
        <v>15158</v>
      </c>
      <c r="F497" s="57" t="s">
        <v>17247</v>
      </c>
      <c r="G497" s="57" t="s">
        <v>15160</v>
      </c>
      <c r="H497" s="56" t="s">
        <v>2928</v>
      </c>
      <c r="I497" s="60">
        <v>20975.96</v>
      </c>
      <c r="J497" s="57" t="s">
        <v>1285</v>
      </c>
      <c r="K497" s="57" t="s">
        <v>15162</v>
      </c>
      <c r="L497" s="57" t="s">
        <v>15163</v>
      </c>
      <c r="M497" s="61" t="s">
        <v>17079</v>
      </c>
      <c r="N497" s="62" t="s">
        <v>15205</v>
      </c>
      <c r="O497" s="57" t="s">
        <v>15165</v>
      </c>
      <c r="P497" s="57" t="s">
        <v>15166</v>
      </c>
      <c r="Q497" s="57" t="s">
        <v>2928</v>
      </c>
      <c r="R497" s="57" t="s">
        <v>16023</v>
      </c>
      <c r="S497" s="57" t="s">
        <v>16024</v>
      </c>
      <c r="T497" s="57" t="s">
        <v>15190</v>
      </c>
      <c r="U497" s="57" t="s">
        <v>14184</v>
      </c>
      <c r="V497" s="56" t="s">
        <v>14153</v>
      </c>
      <c r="W497" s="58"/>
      <c r="X497" s="57" t="s">
        <v>16188</v>
      </c>
      <c r="Y497" s="57" t="s">
        <v>15170</v>
      </c>
      <c r="Z497" s="61" t="s">
        <v>15465</v>
      </c>
      <c r="AA497" s="61" t="s">
        <v>17079</v>
      </c>
      <c r="AB497" s="58"/>
      <c r="AC497" s="57" t="s">
        <v>15172</v>
      </c>
      <c r="AD497" s="58"/>
      <c r="AE497" s="58"/>
      <c r="AF497" s="58"/>
      <c r="AG497" s="58"/>
      <c r="AH497" s="58"/>
      <c r="AI497" s="58"/>
      <c r="AJ497" s="58"/>
      <c r="AK497" s="56" t="s">
        <v>1285</v>
      </c>
      <c r="AL497" s="56" t="s">
        <v>17248</v>
      </c>
      <c r="AM497" s="58"/>
      <c r="AN497" s="56" t="s">
        <v>17249</v>
      </c>
      <c r="AO497" s="58"/>
      <c r="AP497" s="63">
        <v>45835.5373611111</v>
      </c>
      <c r="AQ497" s="56" t="s">
        <v>17250</v>
      </c>
      <c r="AR497" s="61" t="s">
        <v>15448</v>
      </c>
      <c r="AS497" s="57" t="s">
        <v>14184</v>
      </c>
      <c r="AT497" s="56" t="s">
        <v>15177</v>
      </c>
      <c r="AU497" s="56" t="s">
        <v>17251</v>
      </c>
      <c r="AV497" s="58"/>
      <c r="AW497" s="64">
        <v>45696.4995138889</v>
      </c>
      <c r="AX497" s="56" t="s">
        <v>17248</v>
      </c>
      <c r="AY497" s="56" t="s">
        <v>15179</v>
      </c>
      <c r="AZ497" s="58"/>
      <c r="BA497" s="58"/>
      <c r="BB497" s="58"/>
      <c r="BC497" s="56" t="s">
        <v>1930</v>
      </c>
      <c r="BD497" s="56" t="s">
        <v>15197</v>
      </c>
      <c r="BE497" s="58"/>
      <c r="BF497" s="56" t="s">
        <v>15181</v>
      </c>
      <c r="BG497" s="58"/>
      <c r="BH497" s="58"/>
      <c r="BI497" s="57" t="s">
        <v>2801</v>
      </c>
      <c r="BJ497" s="58"/>
      <c r="BK497" s="58"/>
      <c r="BL497" s="66">
        <v>3442875</v>
      </c>
      <c r="BM497" s="56" t="s">
        <v>17252</v>
      </c>
      <c r="BN497" s="58"/>
      <c r="BO497" s="67">
        <v>7350</v>
      </c>
      <c r="BP497" s="56" t="s">
        <v>15450</v>
      </c>
      <c r="BQ497" s="58"/>
      <c r="BR497" s="56" t="s">
        <v>17253</v>
      </c>
      <c r="BS497" s="56" t="s">
        <v>1285</v>
      </c>
      <c r="BT497" s="58"/>
      <c r="BU497" s="56" t="s">
        <v>17250</v>
      </c>
      <c r="BV497" s="58"/>
      <c r="BW497" s="58"/>
      <c r="BX497" s="67">
        <v>7350</v>
      </c>
      <c r="BY497" s="58"/>
      <c r="BZ497" s="58"/>
      <c r="CA497" s="58"/>
      <c r="CB497" s="58"/>
      <c r="CC497" s="58"/>
      <c r="CD497" s="58"/>
    </row>
    <row r="498" ht="108" spans="1:82">
      <c r="A498" s="56" t="s">
        <v>17254</v>
      </c>
      <c r="B498" s="58"/>
      <c r="C498" s="57" t="s">
        <v>17246</v>
      </c>
      <c r="D498" s="58"/>
      <c r="E498" s="57" t="s">
        <v>15158</v>
      </c>
      <c r="F498" s="57" t="s">
        <v>17247</v>
      </c>
      <c r="G498" s="57" t="s">
        <v>15160</v>
      </c>
      <c r="H498" s="56" t="s">
        <v>2928</v>
      </c>
      <c r="I498" s="60">
        <v>20975.96</v>
      </c>
      <c r="J498" s="57" t="s">
        <v>1285</v>
      </c>
      <c r="K498" s="57" t="s">
        <v>15162</v>
      </c>
      <c r="L498" s="57" t="s">
        <v>15163</v>
      </c>
      <c r="M498" s="61" t="s">
        <v>17079</v>
      </c>
      <c r="N498" s="62" t="s">
        <v>15205</v>
      </c>
      <c r="O498" s="57" t="s">
        <v>15165</v>
      </c>
      <c r="P498" s="57" t="s">
        <v>15166</v>
      </c>
      <c r="Q498" s="57" t="s">
        <v>2928</v>
      </c>
      <c r="R498" s="57" t="s">
        <v>16023</v>
      </c>
      <c r="S498" s="57" t="s">
        <v>16024</v>
      </c>
      <c r="T498" s="57" t="s">
        <v>15190</v>
      </c>
      <c r="U498" s="57" t="s">
        <v>14184</v>
      </c>
      <c r="V498" s="56" t="s">
        <v>14153</v>
      </c>
      <c r="W498" s="58"/>
      <c r="X498" s="57" t="s">
        <v>16188</v>
      </c>
      <c r="Y498" s="57" t="s">
        <v>15170</v>
      </c>
      <c r="Z498" s="61" t="s">
        <v>15465</v>
      </c>
      <c r="AA498" s="61" t="s">
        <v>17079</v>
      </c>
      <c r="AB498" s="58"/>
      <c r="AC498" s="57" t="s">
        <v>15172</v>
      </c>
      <c r="AD498" s="58"/>
      <c r="AE498" s="58"/>
      <c r="AF498" s="58"/>
      <c r="AG498" s="58"/>
      <c r="AH498" s="58"/>
      <c r="AI498" s="58"/>
      <c r="AJ498" s="58"/>
      <c r="AK498" s="56" t="s">
        <v>1285</v>
      </c>
      <c r="AL498" s="56" t="s">
        <v>17248</v>
      </c>
      <c r="AM498" s="58"/>
      <c r="AN498" s="56" t="s">
        <v>17249</v>
      </c>
      <c r="AO498" s="58"/>
      <c r="AP498" s="63">
        <v>45835.5373611111</v>
      </c>
      <c r="AQ498" s="56" t="s">
        <v>17250</v>
      </c>
      <c r="AR498" s="61" t="s">
        <v>15448</v>
      </c>
      <c r="AS498" s="57" t="s">
        <v>14184</v>
      </c>
      <c r="AT498" s="56" t="s">
        <v>15177</v>
      </c>
      <c r="AU498" s="56" t="s">
        <v>17251</v>
      </c>
      <c r="AV498" s="58"/>
      <c r="AW498" s="64">
        <v>45696.4995138889</v>
      </c>
      <c r="AX498" s="56" t="s">
        <v>17248</v>
      </c>
      <c r="AY498" s="56" t="s">
        <v>15179</v>
      </c>
      <c r="AZ498" s="58"/>
      <c r="BA498" s="58"/>
      <c r="BB498" s="58"/>
      <c r="BC498" s="56" t="s">
        <v>15213</v>
      </c>
      <c r="BD498" s="56" t="s">
        <v>15197</v>
      </c>
      <c r="BE498" s="58"/>
      <c r="BF498" s="56" t="s">
        <v>15181</v>
      </c>
      <c r="BG498" s="58"/>
      <c r="BH498" s="58"/>
      <c r="BI498" s="57" t="s">
        <v>2801</v>
      </c>
      <c r="BJ498" s="58"/>
      <c r="BK498" s="58"/>
      <c r="BL498" s="66">
        <v>3442876</v>
      </c>
      <c r="BM498" s="56" t="s">
        <v>17252</v>
      </c>
      <c r="BN498" s="58"/>
      <c r="BO498" s="67">
        <v>83.8</v>
      </c>
      <c r="BP498" s="56" t="s">
        <v>15450</v>
      </c>
      <c r="BQ498" s="58"/>
      <c r="BR498" s="56" t="s">
        <v>17253</v>
      </c>
      <c r="BS498" s="56" t="s">
        <v>1285</v>
      </c>
      <c r="BT498" s="58"/>
      <c r="BU498" s="56" t="s">
        <v>17250</v>
      </c>
      <c r="BV498" s="58"/>
      <c r="BW498" s="58"/>
      <c r="BX498" s="67">
        <v>83.8</v>
      </c>
      <c r="BY498" s="58"/>
      <c r="BZ498" s="58"/>
      <c r="CA498" s="58"/>
      <c r="CB498" s="58"/>
      <c r="CC498" s="58"/>
      <c r="CD498" s="58"/>
    </row>
    <row r="499" ht="108" spans="1:82">
      <c r="A499" s="56" t="s">
        <v>17255</v>
      </c>
      <c r="B499" s="58"/>
      <c r="C499" s="57" t="s">
        <v>17246</v>
      </c>
      <c r="D499" s="58"/>
      <c r="E499" s="57" t="s">
        <v>15158</v>
      </c>
      <c r="F499" s="57" t="s">
        <v>17247</v>
      </c>
      <c r="G499" s="57" t="s">
        <v>15160</v>
      </c>
      <c r="H499" s="56" t="s">
        <v>2928</v>
      </c>
      <c r="I499" s="60">
        <v>20975.96</v>
      </c>
      <c r="J499" s="57" t="s">
        <v>1285</v>
      </c>
      <c r="K499" s="57" t="s">
        <v>15162</v>
      </c>
      <c r="L499" s="57" t="s">
        <v>15163</v>
      </c>
      <c r="M499" s="61" t="s">
        <v>17079</v>
      </c>
      <c r="N499" s="62" t="s">
        <v>15205</v>
      </c>
      <c r="O499" s="57" t="s">
        <v>15165</v>
      </c>
      <c r="P499" s="57" t="s">
        <v>15166</v>
      </c>
      <c r="Q499" s="57" t="s">
        <v>2928</v>
      </c>
      <c r="R499" s="57" t="s">
        <v>16023</v>
      </c>
      <c r="S499" s="57" t="s">
        <v>16024</v>
      </c>
      <c r="T499" s="57" t="s">
        <v>15190</v>
      </c>
      <c r="U499" s="57" t="s">
        <v>14184</v>
      </c>
      <c r="V499" s="56" t="s">
        <v>14153</v>
      </c>
      <c r="W499" s="58"/>
      <c r="X499" s="57" t="s">
        <v>16188</v>
      </c>
      <c r="Y499" s="57" t="s">
        <v>15170</v>
      </c>
      <c r="Z499" s="61" t="s">
        <v>15465</v>
      </c>
      <c r="AA499" s="61" t="s">
        <v>17079</v>
      </c>
      <c r="AB499" s="58"/>
      <c r="AC499" s="57" t="s">
        <v>15172</v>
      </c>
      <c r="AD499" s="58"/>
      <c r="AE499" s="58"/>
      <c r="AF499" s="58"/>
      <c r="AG499" s="58"/>
      <c r="AH499" s="58"/>
      <c r="AI499" s="58"/>
      <c r="AJ499" s="58"/>
      <c r="AK499" s="56" t="s">
        <v>1285</v>
      </c>
      <c r="AL499" s="56" t="s">
        <v>17248</v>
      </c>
      <c r="AM499" s="58"/>
      <c r="AN499" s="56" t="s">
        <v>17249</v>
      </c>
      <c r="AO499" s="58"/>
      <c r="AP499" s="63">
        <v>45835.5373611111</v>
      </c>
      <c r="AQ499" s="56" t="s">
        <v>17250</v>
      </c>
      <c r="AR499" s="61" t="s">
        <v>15448</v>
      </c>
      <c r="AS499" s="57" t="s">
        <v>14184</v>
      </c>
      <c r="AT499" s="56" t="s">
        <v>15177</v>
      </c>
      <c r="AU499" s="56" t="s">
        <v>17251</v>
      </c>
      <c r="AV499" s="58"/>
      <c r="AW499" s="64">
        <v>45696.4995138889</v>
      </c>
      <c r="AX499" s="56" t="s">
        <v>17248</v>
      </c>
      <c r="AY499" s="56" t="s">
        <v>15179</v>
      </c>
      <c r="AZ499" s="58"/>
      <c r="BA499" s="58"/>
      <c r="BB499" s="58"/>
      <c r="BC499" s="56" t="s">
        <v>15619</v>
      </c>
      <c r="BD499" s="56" t="s">
        <v>15197</v>
      </c>
      <c r="BE499" s="58"/>
      <c r="BF499" s="56" t="s">
        <v>15181</v>
      </c>
      <c r="BG499" s="58"/>
      <c r="BH499" s="58"/>
      <c r="BI499" s="57" t="s">
        <v>2801</v>
      </c>
      <c r="BJ499" s="58"/>
      <c r="BK499" s="58"/>
      <c r="BL499" s="66">
        <v>3442881</v>
      </c>
      <c r="BM499" s="56" t="s">
        <v>17252</v>
      </c>
      <c r="BN499" s="58"/>
      <c r="BO499" s="67">
        <v>118.24</v>
      </c>
      <c r="BP499" s="56" t="s">
        <v>15450</v>
      </c>
      <c r="BQ499" s="58"/>
      <c r="BR499" s="56" t="s">
        <v>17253</v>
      </c>
      <c r="BS499" s="56" t="s">
        <v>1285</v>
      </c>
      <c r="BT499" s="58"/>
      <c r="BU499" s="56" t="s">
        <v>17250</v>
      </c>
      <c r="BV499" s="58"/>
      <c r="BW499" s="58"/>
      <c r="BX499" s="67">
        <v>118.24</v>
      </c>
      <c r="BY499" s="58"/>
      <c r="BZ499" s="58"/>
      <c r="CA499" s="58"/>
      <c r="CB499" s="58"/>
      <c r="CC499" s="58"/>
      <c r="CD499" s="58"/>
    </row>
    <row r="500" ht="108" spans="1:82">
      <c r="A500" s="56" t="s">
        <v>17256</v>
      </c>
      <c r="B500" s="58"/>
      <c r="C500" s="57" t="s">
        <v>17246</v>
      </c>
      <c r="D500" s="58"/>
      <c r="E500" s="57" t="s">
        <v>15158</v>
      </c>
      <c r="F500" s="57" t="s">
        <v>17247</v>
      </c>
      <c r="G500" s="57" t="s">
        <v>15160</v>
      </c>
      <c r="H500" s="56" t="s">
        <v>2928</v>
      </c>
      <c r="I500" s="60">
        <v>20975.96</v>
      </c>
      <c r="J500" s="57" t="s">
        <v>1285</v>
      </c>
      <c r="K500" s="57" t="s">
        <v>15162</v>
      </c>
      <c r="L500" s="57" t="s">
        <v>15163</v>
      </c>
      <c r="M500" s="61" t="s">
        <v>17079</v>
      </c>
      <c r="N500" s="62" t="s">
        <v>15205</v>
      </c>
      <c r="O500" s="57" t="s">
        <v>15165</v>
      </c>
      <c r="P500" s="57" t="s">
        <v>15166</v>
      </c>
      <c r="Q500" s="57" t="s">
        <v>2928</v>
      </c>
      <c r="R500" s="57" t="s">
        <v>16023</v>
      </c>
      <c r="S500" s="57" t="s">
        <v>16024</v>
      </c>
      <c r="T500" s="57" t="s">
        <v>15190</v>
      </c>
      <c r="U500" s="57" t="s">
        <v>14184</v>
      </c>
      <c r="V500" s="56" t="s">
        <v>14153</v>
      </c>
      <c r="W500" s="58"/>
      <c r="X500" s="57" t="s">
        <v>16188</v>
      </c>
      <c r="Y500" s="57" t="s">
        <v>15170</v>
      </c>
      <c r="Z500" s="61" t="s">
        <v>15465</v>
      </c>
      <c r="AA500" s="61" t="s">
        <v>17079</v>
      </c>
      <c r="AB500" s="58"/>
      <c r="AC500" s="57" t="s">
        <v>15172</v>
      </c>
      <c r="AD500" s="58"/>
      <c r="AE500" s="58"/>
      <c r="AF500" s="58"/>
      <c r="AG500" s="58"/>
      <c r="AH500" s="58"/>
      <c r="AI500" s="58"/>
      <c r="AJ500" s="58"/>
      <c r="AK500" s="56" t="s">
        <v>1285</v>
      </c>
      <c r="AL500" s="56" t="s">
        <v>17248</v>
      </c>
      <c r="AM500" s="58"/>
      <c r="AN500" s="56" t="s">
        <v>17249</v>
      </c>
      <c r="AO500" s="58"/>
      <c r="AP500" s="63">
        <v>45835.5373611111</v>
      </c>
      <c r="AQ500" s="56" t="s">
        <v>17250</v>
      </c>
      <c r="AR500" s="61" t="s">
        <v>15448</v>
      </c>
      <c r="AS500" s="57" t="s">
        <v>14184</v>
      </c>
      <c r="AT500" s="56" t="s">
        <v>15177</v>
      </c>
      <c r="AU500" s="56" t="s">
        <v>17251</v>
      </c>
      <c r="AV500" s="58"/>
      <c r="AW500" s="64">
        <v>45696.4995138889</v>
      </c>
      <c r="AX500" s="56" t="s">
        <v>17248</v>
      </c>
      <c r="AY500" s="56" t="s">
        <v>15179</v>
      </c>
      <c r="AZ500" s="58"/>
      <c r="BA500" s="58"/>
      <c r="BB500" s="58"/>
      <c r="BC500" s="56" t="s">
        <v>2136</v>
      </c>
      <c r="BD500" s="56" t="s">
        <v>15197</v>
      </c>
      <c r="BE500" s="58"/>
      <c r="BF500" s="56" t="s">
        <v>15181</v>
      </c>
      <c r="BG500" s="58"/>
      <c r="BH500" s="58"/>
      <c r="BI500" s="57" t="s">
        <v>2801</v>
      </c>
      <c r="BJ500" s="58"/>
      <c r="BK500" s="58"/>
      <c r="BL500" s="66">
        <v>3442882</v>
      </c>
      <c r="BM500" s="56" t="s">
        <v>17252</v>
      </c>
      <c r="BN500" s="58"/>
      <c r="BO500" s="67">
        <v>240</v>
      </c>
      <c r="BP500" s="56" t="s">
        <v>15450</v>
      </c>
      <c r="BQ500" s="58"/>
      <c r="BR500" s="56" t="s">
        <v>17253</v>
      </c>
      <c r="BS500" s="56" t="s">
        <v>1285</v>
      </c>
      <c r="BT500" s="58"/>
      <c r="BU500" s="56" t="s">
        <v>17250</v>
      </c>
      <c r="BV500" s="58"/>
      <c r="BW500" s="58"/>
      <c r="BX500" s="67">
        <v>240</v>
      </c>
      <c r="BY500" s="58"/>
      <c r="BZ500" s="58"/>
      <c r="CA500" s="58"/>
      <c r="CB500" s="58"/>
      <c r="CC500" s="58"/>
      <c r="CD500" s="58"/>
    </row>
    <row r="501" ht="108" spans="1:82">
      <c r="A501" s="56" t="s">
        <v>17257</v>
      </c>
      <c r="B501" s="58"/>
      <c r="C501" s="57" t="s">
        <v>17246</v>
      </c>
      <c r="D501" s="58"/>
      <c r="E501" s="57" t="s">
        <v>15158</v>
      </c>
      <c r="F501" s="57" t="s">
        <v>17247</v>
      </c>
      <c r="G501" s="57" t="s">
        <v>15160</v>
      </c>
      <c r="H501" s="56" t="s">
        <v>2928</v>
      </c>
      <c r="I501" s="60">
        <v>20975.96</v>
      </c>
      <c r="J501" s="57" t="s">
        <v>1285</v>
      </c>
      <c r="K501" s="57" t="s">
        <v>15162</v>
      </c>
      <c r="L501" s="57" t="s">
        <v>15163</v>
      </c>
      <c r="M501" s="61" t="s">
        <v>17079</v>
      </c>
      <c r="N501" s="62" t="s">
        <v>15205</v>
      </c>
      <c r="O501" s="57" t="s">
        <v>15165</v>
      </c>
      <c r="P501" s="57" t="s">
        <v>15166</v>
      </c>
      <c r="Q501" s="57" t="s">
        <v>2928</v>
      </c>
      <c r="R501" s="57" t="s">
        <v>16023</v>
      </c>
      <c r="S501" s="57" t="s">
        <v>16024</v>
      </c>
      <c r="T501" s="57" t="s">
        <v>15190</v>
      </c>
      <c r="U501" s="57" t="s">
        <v>14184</v>
      </c>
      <c r="V501" s="56" t="s">
        <v>14153</v>
      </c>
      <c r="W501" s="58"/>
      <c r="X501" s="57" t="s">
        <v>16188</v>
      </c>
      <c r="Y501" s="57" t="s">
        <v>15170</v>
      </c>
      <c r="Z501" s="61" t="s">
        <v>15465</v>
      </c>
      <c r="AA501" s="61" t="s">
        <v>17079</v>
      </c>
      <c r="AB501" s="58"/>
      <c r="AC501" s="57" t="s">
        <v>15172</v>
      </c>
      <c r="AD501" s="58"/>
      <c r="AE501" s="58"/>
      <c r="AF501" s="58"/>
      <c r="AG501" s="58"/>
      <c r="AH501" s="58"/>
      <c r="AI501" s="58"/>
      <c r="AJ501" s="58"/>
      <c r="AK501" s="56" t="s">
        <v>1285</v>
      </c>
      <c r="AL501" s="56" t="s">
        <v>17248</v>
      </c>
      <c r="AM501" s="58"/>
      <c r="AN501" s="56" t="s">
        <v>17249</v>
      </c>
      <c r="AO501" s="58"/>
      <c r="AP501" s="63">
        <v>45835.5373611111</v>
      </c>
      <c r="AQ501" s="56" t="s">
        <v>17250</v>
      </c>
      <c r="AR501" s="61" t="s">
        <v>15448</v>
      </c>
      <c r="AS501" s="57" t="s">
        <v>14184</v>
      </c>
      <c r="AT501" s="56" t="s">
        <v>15177</v>
      </c>
      <c r="AU501" s="56" t="s">
        <v>17251</v>
      </c>
      <c r="AV501" s="58"/>
      <c r="AW501" s="64">
        <v>45696.4995138889</v>
      </c>
      <c r="AX501" s="56" t="s">
        <v>17248</v>
      </c>
      <c r="AY501" s="56" t="s">
        <v>15179</v>
      </c>
      <c r="AZ501" s="58"/>
      <c r="BA501" s="58"/>
      <c r="BB501" s="58"/>
      <c r="BC501" s="56" t="s">
        <v>2146</v>
      </c>
      <c r="BD501" s="56" t="s">
        <v>15197</v>
      </c>
      <c r="BE501" s="58"/>
      <c r="BF501" s="56" t="s">
        <v>15181</v>
      </c>
      <c r="BG501" s="58"/>
      <c r="BH501" s="58"/>
      <c r="BI501" s="57" t="s">
        <v>2801</v>
      </c>
      <c r="BJ501" s="58"/>
      <c r="BK501" s="58"/>
      <c r="BL501" s="66">
        <v>3442883</v>
      </c>
      <c r="BM501" s="56" t="s">
        <v>17252</v>
      </c>
      <c r="BN501" s="58"/>
      <c r="BO501" s="67">
        <v>357</v>
      </c>
      <c r="BP501" s="56" t="s">
        <v>15450</v>
      </c>
      <c r="BQ501" s="58"/>
      <c r="BR501" s="56" t="s">
        <v>17253</v>
      </c>
      <c r="BS501" s="56" t="s">
        <v>1285</v>
      </c>
      <c r="BT501" s="58"/>
      <c r="BU501" s="56" t="s">
        <v>17250</v>
      </c>
      <c r="BV501" s="58"/>
      <c r="BW501" s="58"/>
      <c r="BX501" s="67">
        <v>357</v>
      </c>
      <c r="BY501" s="58"/>
      <c r="BZ501" s="58"/>
      <c r="CA501" s="58"/>
      <c r="CB501" s="58"/>
      <c r="CC501" s="58"/>
      <c r="CD501" s="58"/>
    </row>
    <row r="502" ht="108" spans="1:82">
      <c r="A502" s="56" t="s">
        <v>17258</v>
      </c>
      <c r="B502" s="58"/>
      <c r="C502" s="57" t="s">
        <v>17246</v>
      </c>
      <c r="D502" s="58"/>
      <c r="E502" s="57" t="s">
        <v>15158</v>
      </c>
      <c r="F502" s="57" t="s">
        <v>17247</v>
      </c>
      <c r="G502" s="57" t="s">
        <v>15160</v>
      </c>
      <c r="H502" s="56" t="s">
        <v>2928</v>
      </c>
      <c r="I502" s="60">
        <v>20975.96</v>
      </c>
      <c r="J502" s="57" t="s">
        <v>1285</v>
      </c>
      <c r="K502" s="57" t="s">
        <v>15162</v>
      </c>
      <c r="L502" s="57" t="s">
        <v>15163</v>
      </c>
      <c r="M502" s="61" t="s">
        <v>17079</v>
      </c>
      <c r="N502" s="62" t="s">
        <v>15205</v>
      </c>
      <c r="O502" s="57" t="s">
        <v>15165</v>
      </c>
      <c r="P502" s="57" t="s">
        <v>15166</v>
      </c>
      <c r="Q502" s="57" t="s">
        <v>2928</v>
      </c>
      <c r="R502" s="57" t="s">
        <v>16023</v>
      </c>
      <c r="S502" s="57" t="s">
        <v>16024</v>
      </c>
      <c r="T502" s="57" t="s">
        <v>15190</v>
      </c>
      <c r="U502" s="57" t="s">
        <v>14184</v>
      </c>
      <c r="V502" s="56" t="s">
        <v>14153</v>
      </c>
      <c r="W502" s="58"/>
      <c r="X502" s="57" t="s">
        <v>16188</v>
      </c>
      <c r="Y502" s="57" t="s">
        <v>15170</v>
      </c>
      <c r="Z502" s="61" t="s">
        <v>15465</v>
      </c>
      <c r="AA502" s="61" t="s">
        <v>17079</v>
      </c>
      <c r="AB502" s="58"/>
      <c r="AC502" s="57" t="s">
        <v>15172</v>
      </c>
      <c r="AD502" s="58"/>
      <c r="AE502" s="58"/>
      <c r="AF502" s="58"/>
      <c r="AG502" s="58"/>
      <c r="AH502" s="58"/>
      <c r="AI502" s="58"/>
      <c r="AJ502" s="58"/>
      <c r="AK502" s="56" t="s">
        <v>1285</v>
      </c>
      <c r="AL502" s="56" t="s">
        <v>17248</v>
      </c>
      <c r="AM502" s="58"/>
      <c r="AN502" s="56" t="s">
        <v>17249</v>
      </c>
      <c r="AO502" s="58"/>
      <c r="AP502" s="63">
        <v>45835.5373611111</v>
      </c>
      <c r="AQ502" s="56" t="s">
        <v>17250</v>
      </c>
      <c r="AR502" s="61" t="s">
        <v>15448</v>
      </c>
      <c r="AS502" s="57" t="s">
        <v>14184</v>
      </c>
      <c r="AT502" s="56" t="s">
        <v>15177</v>
      </c>
      <c r="AU502" s="56" t="s">
        <v>17251</v>
      </c>
      <c r="AV502" s="58"/>
      <c r="AW502" s="64">
        <v>45696.4995138889</v>
      </c>
      <c r="AX502" s="56" t="s">
        <v>17248</v>
      </c>
      <c r="AY502" s="56" t="s">
        <v>15179</v>
      </c>
      <c r="AZ502" s="58"/>
      <c r="BA502" s="58"/>
      <c r="BB502" s="58"/>
      <c r="BC502" s="56" t="s">
        <v>2146</v>
      </c>
      <c r="BD502" s="56" t="s">
        <v>15197</v>
      </c>
      <c r="BE502" s="58"/>
      <c r="BF502" s="56" t="s">
        <v>15181</v>
      </c>
      <c r="BG502" s="58"/>
      <c r="BH502" s="58"/>
      <c r="BI502" s="57" t="s">
        <v>2801</v>
      </c>
      <c r="BJ502" s="58"/>
      <c r="BK502" s="58"/>
      <c r="BL502" s="66">
        <v>3442884</v>
      </c>
      <c r="BM502" s="56" t="s">
        <v>17252</v>
      </c>
      <c r="BN502" s="58"/>
      <c r="BO502" s="67">
        <v>498.3</v>
      </c>
      <c r="BP502" s="56" t="s">
        <v>15450</v>
      </c>
      <c r="BQ502" s="58"/>
      <c r="BR502" s="56" t="s">
        <v>17253</v>
      </c>
      <c r="BS502" s="56" t="s">
        <v>1285</v>
      </c>
      <c r="BT502" s="58"/>
      <c r="BU502" s="56" t="s">
        <v>17250</v>
      </c>
      <c r="BV502" s="58"/>
      <c r="BW502" s="58"/>
      <c r="BX502" s="67">
        <v>498.3</v>
      </c>
      <c r="BY502" s="58"/>
      <c r="BZ502" s="58"/>
      <c r="CA502" s="58"/>
      <c r="CB502" s="58"/>
      <c r="CC502" s="58"/>
      <c r="CD502" s="58"/>
    </row>
    <row r="503" ht="108" spans="1:82">
      <c r="A503" s="56" t="s">
        <v>17259</v>
      </c>
      <c r="B503" s="58"/>
      <c r="C503" s="57" t="s">
        <v>17246</v>
      </c>
      <c r="D503" s="58"/>
      <c r="E503" s="57" t="s">
        <v>15158</v>
      </c>
      <c r="F503" s="57" t="s">
        <v>17247</v>
      </c>
      <c r="G503" s="57" t="s">
        <v>15160</v>
      </c>
      <c r="H503" s="56" t="s">
        <v>2928</v>
      </c>
      <c r="I503" s="60">
        <v>20975.96</v>
      </c>
      <c r="J503" s="57" t="s">
        <v>1285</v>
      </c>
      <c r="K503" s="57" t="s">
        <v>15162</v>
      </c>
      <c r="L503" s="57" t="s">
        <v>15163</v>
      </c>
      <c r="M503" s="61" t="s">
        <v>17079</v>
      </c>
      <c r="N503" s="62" t="s">
        <v>15205</v>
      </c>
      <c r="O503" s="57" t="s">
        <v>15165</v>
      </c>
      <c r="P503" s="57" t="s">
        <v>15166</v>
      </c>
      <c r="Q503" s="57" t="s">
        <v>2928</v>
      </c>
      <c r="R503" s="57" t="s">
        <v>16023</v>
      </c>
      <c r="S503" s="57" t="s">
        <v>16024</v>
      </c>
      <c r="T503" s="57" t="s">
        <v>15190</v>
      </c>
      <c r="U503" s="57" t="s">
        <v>14184</v>
      </c>
      <c r="V503" s="56" t="s">
        <v>14153</v>
      </c>
      <c r="W503" s="58"/>
      <c r="X503" s="57" t="s">
        <v>16188</v>
      </c>
      <c r="Y503" s="57" t="s">
        <v>15170</v>
      </c>
      <c r="Z503" s="61" t="s">
        <v>15465</v>
      </c>
      <c r="AA503" s="61" t="s">
        <v>17079</v>
      </c>
      <c r="AB503" s="58"/>
      <c r="AC503" s="57" t="s">
        <v>15172</v>
      </c>
      <c r="AD503" s="58"/>
      <c r="AE503" s="58"/>
      <c r="AF503" s="58"/>
      <c r="AG503" s="58"/>
      <c r="AH503" s="58"/>
      <c r="AI503" s="58"/>
      <c r="AJ503" s="58"/>
      <c r="AK503" s="56" t="s">
        <v>1285</v>
      </c>
      <c r="AL503" s="56" t="s">
        <v>17248</v>
      </c>
      <c r="AM503" s="58"/>
      <c r="AN503" s="56" t="s">
        <v>17249</v>
      </c>
      <c r="AO503" s="58"/>
      <c r="AP503" s="63">
        <v>45835.5373611111</v>
      </c>
      <c r="AQ503" s="56" t="s">
        <v>17250</v>
      </c>
      <c r="AR503" s="61" t="s">
        <v>15448</v>
      </c>
      <c r="AS503" s="57" t="s">
        <v>14184</v>
      </c>
      <c r="AT503" s="56" t="s">
        <v>15177</v>
      </c>
      <c r="AU503" s="56" t="s">
        <v>17251</v>
      </c>
      <c r="AV503" s="58"/>
      <c r="AW503" s="64">
        <v>45696.4995138889</v>
      </c>
      <c r="AX503" s="56" t="s">
        <v>17248</v>
      </c>
      <c r="AY503" s="56" t="s">
        <v>15179</v>
      </c>
      <c r="AZ503" s="58"/>
      <c r="BA503" s="58"/>
      <c r="BB503" s="58"/>
      <c r="BC503" s="56" t="s">
        <v>2148</v>
      </c>
      <c r="BD503" s="56" t="s">
        <v>15197</v>
      </c>
      <c r="BE503" s="58"/>
      <c r="BF503" s="56" t="s">
        <v>15181</v>
      </c>
      <c r="BG503" s="58"/>
      <c r="BH503" s="58"/>
      <c r="BI503" s="57" t="s">
        <v>2801</v>
      </c>
      <c r="BJ503" s="58"/>
      <c r="BK503" s="58"/>
      <c r="BL503" s="66">
        <v>3442885</v>
      </c>
      <c r="BM503" s="56" t="s">
        <v>17252</v>
      </c>
      <c r="BN503" s="58"/>
      <c r="BO503" s="67">
        <v>221.8</v>
      </c>
      <c r="BP503" s="56" t="s">
        <v>15450</v>
      </c>
      <c r="BQ503" s="58"/>
      <c r="BR503" s="56" t="s">
        <v>17253</v>
      </c>
      <c r="BS503" s="56" t="s">
        <v>1285</v>
      </c>
      <c r="BT503" s="58"/>
      <c r="BU503" s="56" t="s">
        <v>17250</v>
      </c>
      <c r="BV503" s="58"/>
      <c r="BW503" s="58"/>
      <c r="BX503" s="67">
        <v>221.8</v>
      </c>
      <c r="BY503" s="58"/>
      <c r="BZ503" s="58"/>
      <c r="CA503" s="58"/>
      <c r="CB503" s="58"/>
      <c r="CC503" s="58"/>
      <c r="CD503" s="58"/>
    </row>
    <row r="504" ht="108" spans="1:82">
      <c r="A504" s="56" t="s">
        <v>17260</v>
      </c>
      <c r="B504" s="58"/>
      <c r="C504" s="57" t="s">
        <v>17246</v>
      </c>
      <c r="D504" s="58"/>
      <c r="E504" s="57" t="s">
        <v>15158</v>
      </c>
      <c r="F504" s="57" t="s">
        <v>17247</v>
      </c>
      <c r="G504" s="57" t="s">
        <v>15160</v>
      </c>
      <c r="H504" s="56" t="s">
        <v>2928</v>
      </c>
      <c r="I504" s="60">
        <v>20975.96</v>
      </c>
      <c r="J504" s="57" t="s">
        <v>1285</v>
      </c>
      <c r="K504" s="57" t="s">
        <v>15162</v>
      </c>
      <c r="L504" s="57" t="s">
        <v>15163</v>
      </c>
      <c r="M504" s="61" t="s">
        <v>17079</v>
      </c>
      <c r="N504" s="62" t="s">
        <v>15205</v>
      </c>
      <c r="O504" s="57" t="s">
        <v>15165</v>
      </c>
      <c r="P504" s="57" t="s">
        <v>15166</v>
      </c>
      <c r="Q504" s="57" t="s">
        <v>2928</v>
      </c>
      <c r="R504" s="57" t="s">
        <v>16023</v>
      </c>
      <c r="S504" s="57" t="s">
        <v>16024</v>
      </c>
      <c r="T504" s="57" t="s">
        <v>15190</v>
      </c>
      <c r="U504" s="57" t="s">
        <v>14184</v>
      </c>
      <c r="V504" s="56" t="s">
        <v>14153</v>
      </c>
      <c r="W504" s="58"/>
      <c r="X504" s="57" t="s">
        <v>16188</v>
      </c>
      <c r="Y504" s="57" t="s">
        <v>15170</v>
      </c>
      <c r="Z504" s="61" t="s">
        <v>15465</v>
      </c>
      <c r="AA504" s="61" t="s">
        <v>17079</v>
      </c>
      <c r="AB504" s="58"/>
      <c r="AC504" s="57" t="s">
        <v>15172</v>
      </c>
      <c r="AD504" s="58"/>
      <c r="AE504" s="58"/>
      <c r="AF504" s="58"/>
      <c r="AG504" s="58"/>
      <c r="AH504" s="58"/>
      <c r="AI504" s="58"/>
      <c r="AJ504" s="58"/>
      <c r="AK504" s="56" t="s">
        <v>1285</v>
      </c>
      <c r="AL504" s="56" t="s">
        <v>17248</v>
      </c>
      <c r="AM504" s="58"/>
      <c r="AN504" s="56" t="s">
        <v>17249</v>
      </c>
      <c r="AO504" s="58"/>
      <c r="AP504" s="63">
        <v>45835.5373611111</v>
      </c>
      <c r="AQ504" s="56" t="s">
        <v>17250</v>
      </c>
      <c r="AR504" s="61" t="s">
        <v>15448</v>
      </c>
      <c r="AS504" s="57" t="s">
        <v>14184</v>
      </c>
      <c r="AT504" s="56" t="s">
        <v>15177</v>
      </c>
      <c r="AU504" s="56" t="s">
        <v>17251</v>
      </c>
      <c r="AV504" s="58"/>
      <c r="AW504" s="64">
        <v>45696.4995138889</v>
      </c>
      <c r="AX504" s="56" t="s">
        <v>17248</v>
      </c>
      <c r="AY504" s="56" t="s">
        <v>15179</v>
      </c>
      <c r="AZ504" s="58"/>
      <c r="BA504" s="58"/>
      <c r="BB504" s="58"/>
      <c r="BC504" s="56" t="s">
        <v>2148</v>
      </c>
      <c r="BD504" s="56" t="s">
        <v>15197</v>
      </c>
      <c r="BE504" s="58"/>
      <c r="BF504" s="56" t="s">
        <v>15181</v>
      </c>
      <c r="BG504" s="58"/>
      <c r="BH504" s="58"/>
      <c r="BI504" s="57" t="s">
        <v>2801</v>
      </c>
      <c r="BJ504" s="58"/>
      <c r="BK504" s="58"/>
      <c r="BL504" s="66">
        <v>3442886</v>
      </c>
      <c r="BM504" s="56" t="s">
        <v>17252</v>
      </c>
      <c r="BN504" s="58"/>
      <c r="BO504" s="67">
        <v>447</v>
      </c>
      <c r="BP504" s="56" t="s">
        <v>15450</v>
      </c>
      <c r="BQ504" s="58"/>
      <c r="BR504" s="56" t="s">
        <v>17253</v>
      </c>
      <c r="BS504" s="56" t="s">
        <v>1285</v>
      </c>
      <c r="BT504" s="58"/>
      <c r="BU504" s="56" t="s">
        <v>17250</v>
      </c>
      <c r="BV504" s="58"/>
      <c r="BW504" s="58"/>
      <c r="BX504" s="67">
        <v>447</v>
      </c>
      <c r="BY504" s="58"/>
      <c r="BZ504" s="58"/>
      <c r="CA504" s="58"/>
      <c r="CB504" s="58"/>
      <c r="CC504" s="58"/>
      <c r="CD504" s="58"/>
    </row>
    <row r="505" ht="108" spans="1:82">
      <c r="A505" s="56" t="s">
        <v>17261</v>
      </c>
      <c r="B505" s="58"/>
      <c r="C505" s="57" t="s">
        <v>17246</v>
      </c>
      <c r="D505" s="58"/>
      <c r="E505" s="57" t="s">
        <v>15158</v>
      </c>
      <c r="F505" s="57" t="s">
        <v>17247</v>
      </c>
      <c r="G505" s="57" t="s">
        <v>15160</v>
      </c>
      <c r="H505" s="56" t="s">
        <v>2928</v>
      </c>
      <c r="I505" s="60">
        <v>20975.96</v>
      </c>
      <c r="J505" s="57" t="s">
        <v>1285</v>
      </c>
      <c r="K505" s="57" t="s">
        <v>15162</v>
      </c>
      <c r="L505" s="57" t="s">
        <v>15163</v>
      </c>
      <c r="M505" s="61" t="s">
        <v>17079</v>
      </c>
      <c r="N505" s="62" t="s">
        <v>15205</v>
      </c>
      <c r="O505" s="57" t="s">
        <v>15165</v>
      </c>
      <c r="P505" s="57" t="s">
        <v>15166</v>
      </c>
      <c r="Q505" s="57" t="s">
        <v>2928</v>
      </c>
      <c r="R505" s="57" t="s">
        <v>16023</v>
      </c>
      <c r="S505" s="57" t="s">
        <v>16024</v>
      </c>
      <c r="T505" s="57" t="s">
        <v>15190</v>
      </c>
      <c r="U505" s="57" t="s">
        <v>14184</v>
      </c>
      <c r="V505" s="56" t="s">
        <v>14153</v>
      </c>
      <c r="W505" s="58"/>
      <c r="X505" s="57" t="s">
        <v>16188</v>
      </c>
      <c r="Y505" s="57" t="s">
        <v>15170</v>
      </c>
      <c r="Z505" s="61" t="s">
        <v>15465</v>
      </c>
      <c r="AA505" s="61" t="s">
        <v>17079</v>
      </c>
      <c r="AB505" s="58"/>
      <c r="AC505" s="57" t="s">
        <v>15172</v>
      </c>
      <c r="AD505" s="58"/>
      <c r="AE505" s="58"/>
      <c r="AF505" s="58"/>
      <c r="AG505" s="58"/>
      <c r="AH505" s="58"/>
      <c r="AI505" s="58"/>
      <c r="AJ505" s="58"/>
      <c r="AK505" s="56" t="s">
        <v>1285</v>
      </c>
      <c r="AL505" s="56" t="s">
        <v>17248</v>
      </c>
      <c r="AM505" s="58"/>
      <c r="AN505" s="56" t="s">
        <v>17249</v>
      </c>
      <c r="AO505" s="58"/>
      <c r="AP505" s="63">
        <v>45835.5373611111</v>
      </c>
      <c r="AQ505" s="56" t="s">
        <v>17250</v>
      </c>
      <c r="AR505" s="61" t="s">
        <v>15448</v>
      </c>
      <c r="AS505" s="57" t="s">
        <v>14184</v>
      </c>
      <c r="AT505" s="56" t="s">
        <v>15177</v>
      </c>
      <c r="AU505" s="56" t="s">
        <v>17251</v>
      </c>
      <c r="AV505" s="58"/>
      <c r="AW505" s="64">
        <v>45696.4995138889</v>
      </c>
      <c r="AX505" s="56" t="s">
        <v>17248</v>
      </c>
      <c r="AY505" s="56" t="s">
        <v>15179</v>
      </c>
      <c r="AZ505" s="58"/>
      <c r="BA505" s="58"/>
      <c r="BB505" s="58"/>
      <c r="BC505" s="56" t="s">
        <v>15628</v>
      </c>
      <c r="BD505" s="56" t="s">
        <v>15197</v>
      </c>
      <c r="BE505" s="58"/>
      <c r="BF505" s="56" t="s">
        <v>15181</v>
      </c>
      <c r="BG505" s="58"/>
      <c r="BH505" s="58"/>
      <c r="BI505" s="57" t="s">
        <v>2801</v>
      </c>
      <c r="BJ505" s="58"/>
      <c r="BK505" s="58"/>
      <c r="BL505" s="66">
        <v>3442887</v>
      </c>
      <c r="BM505" s="56" t="s">
        <v>17252</v>
      </c>
      <c r="BN505" s="58"/>
      <c r="BO505" s="67">
        <v>185.2</v>
      </c>
      <c r="BP505" s="56" t="s">
        <v>15450</v>
      </c>
      <c r="BQ505" s="58"/>
      <c r="BR505" s="56" t="s">
        <v>17253</v>
      </c>
      <c r="BS505" s="56" t="s">
        <v>1285</v>
      </c>
      <c r="BT505" s="58"/>
      <c r="BU505" s="56" t="s">
        <v>17250</v>
      </c>
      <c r="BV505" s="58"/>
      <c r="BW505" s="58"/>
      <c r="BX505" s="67">
        <v>185.2</v>
      </c>
      <c r="BY505" s="58"/>
      <c r="BZ505" s="58"/>
      <c r="CA505" s="58"/>
      <c r="CB505" s="58"/>
      <c r="CC505" s="58"/>
      <c r="CD505" s="58"/>
    </row>
    <row r="506" ht="108" spans="1:82">
      <c r="A506" s="56" t="s">
        <v>17262</v>
      </c>
      <c r="B506" s="58"/>
      <c r="C506" s="57" t="s">
        <v>17246</v>
      </c>
      <c r="D506" s="58"/>
      <c r="E506" s="57" t="s">
        <v>15158</v>
      </c>
      <c r="F506" s="57" t="s">
        <v>17247</v>
      </c>
      <c r="G506" s="57" t="s">
        <v>15160</v>
      </c>
      <c r="H506" s="56" t="s">
        <v>2928</v>
      </c>
      <c r="I506" s="60">
        <v>20975.96</v>
      </c>
      <c r="J506" s="57" t="s">
        <v>1285</v>
      </c>
      <c r="K506" s="57" t="s">
        <v>15162</v>
      </c>
      <c r="L506" s="57" t="s">
        <v>15163</v>
      </c>
      <c r="M506" s="61" t="s">
        <v>17079</v>
      </c>
      <c r="N506" s="62" t="s">
        <v>15205</v>
      </c>
      <c r="O506" s="57" t="s">
        <v>15165</v>
      </c>
      <c r="P506" s="57" t="s">
        <v>15166</v>
      </c>
      <c r="Q506" s="57" t="s">
        <v>2928</v>
      </c>
      <c r="R506" s="57" t="s">
        <v>16023</v>
      </c>
      <c r="S506" s="57" t="s">
        <v>16024</v>
      </c>
      <c r="T506" s="57" t="s">
        <v>15190</v>
      </c>
      <c r="U506" s="57" t="s">
        <v>14184</v>
      </c>
      <c r="V506" s="56" t="s">
        <v>14153</v>
      </c>
      <c r="W506" s="58"/>
      <c r="X506" s="57" t="s">
        <v>16188</v>
      </c>
      <c r="Y506" s="57" t="s">
        <v>15170</v>
      </c>
      <c r="Z506" s="61" t="s">
        <v>15465</v>
      </c>
      <c r="AA506" s="61" t="s">
        <v>17079</v>
      </c>
      <c r="AB506" s="58"/>
      <c r="AC506" s="57" t="s">
        <v>15172</v>
      </c>
      <c r="AD506" s="58"/>
      <c r="AE506" s="58"/>
      <c r="AF506" s="58"/>
      <c r="AG506" s="58"/>
      <c r="AH506" s="58"/>
      <c r="AI506" s="58"/>
      <c r="AJ506" s="58"/>
      <c r="AK506" s="56" t="s">
        <v>1285</v>
      </c>
      <c r="AL506" s="56" t="s">
        <v>17248</v>
      </c>
      <c r="AM506" s="58"/>
      <c r="AN506" s="56" t="s">
        <v>17249</v>
      </c>
      <c r="AO506" s="58"/>
      <c r="AP506" s="63">
        <v>45835.5373611111</v>
      </c>
      <c r="AQ506" s="56" t="s">
        <v>17250</v>
      </c>
      <c r="AR506" s="61" t="s">
        <v>15448</v>
      </c>
      <c r="AS506" s="57" t="s">
        <v>14184</v>
      </c>
      <c r="AT506" s="56" t="s">
        <v>15177</v>
      </c>
      <c r="AU506" s="56" t="s">
        <v>17251</v>
      </c>
      <c r="AV506" s="58"/>
      <c r="AW506" s="64">
        <v>45696.4995138889</v>
      </c>
      <c r="AX506" s="56" t="s">
        <v>17248</v>
      </c>
      <c r="AY506" s="56" t="s">
        <v>15179</v>
      </c>
      <c r="AZ506" s="58"/>
      <c r="BA506" s="58"/>
      <c r="BB506" s="58"/>
      <c r="BC506" s="56" t="s">
        <v>2148</v>
      </c>
      <c r="BD506" s="56" t="s">
        <v>15197</v>
      </c>
      <c r="BE506" s="58"/>
      <c r="BF506" s="56" t="s">
        <v>15181</v>
      </c>
      <c r="BG506" s="58"/>
      <c r="BH506" s="58"/>
      <c r="BI506" s="57" t="s">
        <v>2801</v>
      </c>
      <c r="BJ506" s="58"/>
      <c r="BK506" s="58"/>
      <c r="BL506" s="66">
        <v>3442888</v>
      </c>
      <c r="BM506" s="56" t="s">
        <v>17252</v>
      </c>
      <c r="BN506" s="58"/>
      <c r="BO506" s="67">
        <v>512.4</v>
      </c>
      <c r="BP506" s="56" t="s">
        <v>15450</v>
      </c>
      <c r="BQ506" s="58"/>
      <c r="BR506" s="56" t="s">
        <v>17253</v>
      </c>
      <c r="BS506" s="56" t="s">
        <v>1285</v>
      </c>
      <c r="BT506" s="58"/>
      <c r="BU506" s="56" t="s">
        <v>17250</v>
      </c>
      <c r="BV506" s="58"/>
      <c r="BW506" s="58"/>
      <c r="BX506" s="67">
        <v>512.4</v>
      </c>
      <c r="BY506" s="58"/>
      <c r="BZ506" s="58"/>
      <c r="CA506" s="58"/>
      <c r="CB506" s="58"/>
      <c r="CC506" s="58"/>
      <c r="CD506" s="58"/>
    </row>
    <row r="507" ht="108" spans="1:82">
      <c r="A507" s="56" t="s">
        <v>17263</v>
      </c>
      <c r="B507" s="58"/>
      <c r="C507" s="57" t="s">
        <v>17246</v>
      </c>
      <c r="D507" s="58"/>
      <c r="E507" s="57" t="s">
        <v>15158</v>
      </c>
      <c r="F507" s="57" t="s">
        <v>17247</v>
      </c>
      <c r="G507" s="57" t="s">
        <v>15160</v>
      </c>
      <c r="H507" s="56" t="s">
        <v>2928</v>
      </c>
      <c r="I507" s="60">
        <v>20975.96</v>
      </c>
      <c r="J507" s="57" t="s">
        <v>1285</v>
      </c>
      <c r="K507" s="57" t="s">
        <v>15162</v>
      </c>
      <c r="L507" s="57" t="s">
        <v>15163</v>
      </c>
      <c r="M507" s="61" t="s">
        <v>17079</v>
      </c>
      <c r="N507" s="62" t="s">
        <v>15205</v>
      </c>
      <c r="O507" s="57" t="s">
        <v>15165</v>
      </c>
      <c r="P507" s="57" t="s">
        <v>15166</v>
      </c>
      <c r="Q507" s="57" t="s">
        <v>2928</v>
      </c>
      <c r="R507" s="57" t="s">
        <v>16023</v>
      </c>
      <c r="S507" s="57" t="s">
        <v>16024</v>
      </c>
      <c r="T507" s="57" t="s">
        <v>15190</v>
      </c>
      <c r="U507" s="57" t="s">
        <v>14184</v>
      </c>
      <c r="V507" s="56" t="s">
        <v>14153</v>
      </c>
      <c r="W507" s="58"/>
      <c r="X507" s="57" t="s">
        <v>16188</v>
      </c>
      <c r="Y507" s="57" t="s">
        <v>15170</v>
      </c>
      <c r="Z507" s="61" t="s">
        <v>15465</v>
      </c>
      <c r="AA507" s="61" t="s">
        <v>17079</v>
      </c>
      <c r="AB507" s="58"/>
      <c r="AC507" s="57" t="s">
        <v>15172</v>
      </c>
      <c r="AD507" s="58"/>
      <c r="AE507" s="58"/>
      <c r="AF507" s="58"/>
      <c r="AG507" s="58"/>
      <c r="AH507" s="58"/>
      <c r="AI507" s="58"/>
      <c r="AJ507" s="58"/>
      <c r="AK507" s="56" t="s">
        <v>1285</v>
      </c>
      <c r="AL507" s="56" t="s">
        <v>17248</v>
      </c>
      <c r="AM507" s="58"/>
      <c r="AN507" s="56" t="s">
        <v>17249</v>
      </c>
      <c r="AO507" s="58"/>
      <c r="AP507" s="63">
        <v>45835.5373611111</v>
      </c>
      <c r="AQ507" s="56" t="s">
        <v>17250</v>
      </c>
      <c r="AR507" s="61" t="s">
        <v>15448</v>
      </c>
      <c r="AS507" s="57" t="s">
        <v>14184</v>
      </c>
      <c r="AT507" s="56" t="s">
        <v>15177</v>
      </c>
      <c r="AU507" s="56" t="s">
        <v>17251</v>
      </c>
      <c r="AV507" s="58"/>
      <c r="AW507" s="64">
        <v>45696.4995138889</v>
      </c>
      <c r="AX507" s="56" t="s">
        <v>17248</v>
      </c>
      <c r="AY507" s="56" t="s">
        <v>15179</v>
      </c>
      <c r="AZ507" s="58"/>
      <c r="BA507" s="58"/>
      <c r="BB507" s="58"/>
      <c r="BC507" s="56" t="s">
        <v>2136</v>
      </c>
      <c r="BD507" s="56" t="s">
        <v>15197</v>
      </c>
      <c r="BE507" s="58"/>
      <c r="BF507" s="56" t="s">
        <v>15181</v>
      </c>
      <c r="BG507" s="58"/>
      <c r="BH507" s="58"/>
      <c r="BI507" s="57" t="s">
        <v>2801</v>
      </c>
      <c r="BJ507" s="58"/>
      <c r="BK507" s="58"/>
      <c r="BL507" s="66">
        <v>3442871</v>
      </c>
      <c r="BM507" s="56" t="s">
        <v>17252</v>
      </c>
      <c r="BN507" s="58"/>
      <c r="BO507" s="67">
        <v>752.1</v>
      </c>
      <c r="BP507" s="56" t="s">
        <v>15450</v>
      </c>
      <c r="BQ507" s="58"/>
      <c r="BR507" s="56" t="s">
        <v>17253</v>
      </c>
      <c r="BS507" s="56" t="s">
        <v>1285</v>
      </c>
      <c r="BT507" s="58"/>
      <c r="BU507" s="56" t="s">
        <v>17250</v>
      </c>
      <c r="BV507" s="58"/>
      <c r="BW507" s="58"/>
      <c r="BX507" s="67">
        <v>752.1</v>
      </c>
      <c r="BY507" s="58"/>
      <c r="BZ507" s="58"/>
      <c r="CA507" s="58"/>
      <c r="CB507" s="58"/>
      <c r="CC507" s="58"/>
      <c r="CD507" s="58"/>
    </row>
    <row r="508" ht="108" spans="1:82">
      <c r="A508" s="56" t="s">
        <v>17264</v>
      </c>
      <c r="B508" s="58"/>
      <c r="C508" s="57" t="s">
        <v>17246</v>
      </c>
      <c r="D508" s="58"/>
      <c r="E508" s="57" t="s">
        <v>15158</v>
      </c>
      <c r="F508" s="57" t="s">
        <v>17247</v>
      </c>
      <c r="G508" s="57" t="s">
        <v>15160</v>
      </c>
      <c r="H508" s="56" t="s">
        <v>2928</v>
      </c>
      <c r="I508" s="60">
        <v>20975.96</v>
      </c>
      <c r="J508" s="57" t="s">
        <v>1285</v>
      </c>
      <c r="K508" s="57" t="s">
        <v>15162</v>
      </c>
      <c r="L508" s="57" t="s">
        <v>15163</v>
      </c>
      <c r="M508" s="61" t="s">
        <v>17079</v>
      </c>
      <c r="N508" s="62" t="s">
        <v>15205</v>
      </c>
      <c r="O508" s="57" t="s">
        <v>15165</v>
      </c>
      <c r="P508" s="57" t="s">
        <v>15166</v>
      </c>
      <c r="Q508" s="57" t="s">
        <v>2928</v>
      </c>
      <c r="R508" s="57" t="s">
        <v>16023</v>
      </c>
      <c r="S508" s="57" t="s">
        <v>16024</v>
      </c>
      <c r="T508" s="57" t="s">
        <v>15190</v>
      </c>
      <c r="U508" s="57" t="s">
        <v>14184</v>
      </c>
      <c r="V508" s="56" t="s">
        <v>14153</v>
      </c>
      <c r="W508" s="58"/>
      <c r="X508" s="57" t="s">
        <v>16188</v>
      </c>
      <c r="Y508" s="57" t="s">
        <v>15170</v>
      </c>
      <c r="Z508" s="61" t="s">
        <v>15465</v>
      </c>
      <c r="AA508" s="61" t="s">
        <v>17079</v>
      </c>
      <c r="AB508" s="58"/>
      <c r="AC508" s="57" t="s">
        <v>15172</v>
      </c>
      <c r="AD508" s="58"/>
      <c r="AE508" s="58"/>
      <c r="AF508" s="58"/>
      <c r="AG508" s="58"/>
      <c r="AH508" s="58"/>
      <c r="AI508" s="58"/>
      <c r="AJ508" s="58"/>
      <c r="AK508" s="56" t="s">
        <v>1285</v>
      </c>
      <c r="AL508" s="56" t="s">
        <v>17248</v>
      </c>
      <c r="AM508" s="58"/>
      <c r="AN508" s="56" t="s">
        <v>17249</v>
      </c>
      <c r="AO508" s="58"/>
      <c r="AP508" s="63">
        <v>45835.5373611111</v>
      </c>
      <c r="AQ508" s="56" t="s">
        <v>17250</v>
      </c>
      <c r="AR508" s="61" t="s">
        <v>15448</v>
      </c>
      <c r="AS508" s="57" t="s">
        <v>14184</v>
      </c>
      <c r="AT508" s="56" t="s">
        <v>15177</v>
      </c>
      <c r="AU508" s="56" t="s">
        <v>17251</v>
      </c>
      <c r="AV508" s="58"/>
      <c r="AW508" s="64">
        <v>45696.4995138889</v>
      </c>
      <c r="AX508" s="56" t="s">
        <v>17248</v>
      </c>
      <c r="AY508" s="56" t="s">
        <v>15179</v>
      </c>
      <c r="AZ508" s="58"/>
      <c r="BA508" s="58"/>
      <c r="BB508" s="58"/>
      <c r="BC508" s="56" t="s">
        <v>16041</v>
      </c>
      <c r="BD508" s="56" t="s">
        <v>15197</v>
      </c>
      <c r="BE508" s="58"/>
      <c r="BF508" s="56" t="s">
        <v>15181</v>
      </c>
      <c r="BG508" s="58"/>
      <c r="BH508" s="58"/>
      <c r="BI508" s="57" t="s">
        <v>2801</v>
      </c>
      <c r="BJ508" s="58"/>
      <c r="BK508" s="58"/>
      <c r="BL508" s="66">
        <v>3442872</v>
      </c>
      <c r="BM508" s="56" t="s">
        <v>17252</v>
      </c>
      <c r="BN508" s="58"/>
      <c r="BO508" s="67">
        <v>1410</v>
      </c>
      <c r="BP508" s="56" t="s">
        <v>15450</v>
      </c>
      <c r="BQ508" s="58"/>
      <c r="BR508" s="56" t="s">
        <v>17253</v>
      </c>
      <c r="BS508" s="56" t="s">
        <v>1285</v>
      </c>
      <c r="BT508" s="58"/>
      <c r="BU508" s="56" t="s">
        <v>17250</v>
      </c>
      <c r="BV508" s="58"/>
      <c r="BW508" s="58"/>
      <c r="BX508" s="67">
        <v>1410</v>
      </c>
      <c r="BY508" s="58"/>
      <c r="BZ508" s="58"/>
      <c r="CA508" s="58"/>
      <c r="CB508" s="58"/>
      <c r="CC508" s="58"/>
      <c r="CD508" s="58"/>
    </row>
    <row r="509" ht="108" spans="1:82">
      <c r="A509" s="56" t="s">
        <v>17265</v>
      </c>
      <c r="B509" s="58"/>
      <c r="C509" s="57" t="s">
        <v>17246</v>
      </c>
      <c r="D509" s="58"/>
      <c r="E509" s="57" t="s">
        <v>15158</v>
      </c>
      <c r="F509" s="57" t="s">
        <v>17247</v>
      </c>
      <c r="G509" s="57" t="s">
        <v>15160</v>
      </c>
      <c r="H509" s="56" t="s">
        <v>2928</v>
      </c>
      <c r="I509" s="60">
        <v>20975.96</v>
      </c>
      <c r="J509" s="57" t="s">
        <v>1285</v>
      </c>
      <c r="K509" s="57" t="s">
        <v>15162</v>
      </c>
      <c r="L509" s="57" t="s">
        <v>15163</v>
      </c>
      <c r="M509" s="61" t="s">
        <v>17079</v>
      </c>
      <c r="N509" s="62" t="s">
        <v>15205</v>
      </c>
      <c r="O509" s="57" t="s">
        <v>15165</v>
      </c>
      <c r="P509" s="57" t="s">
        <v>15166</v>
      </c>
      <c r="Q509" s="57" t="s">
        <v>2928</v>
      </c>
      <c r="R509" s="57" t="s">
        <v>16023</v>
      </c>
      <c r="S509" s="57" t="s">
        <v>16024</v>
      </c>
      <c r="T509" s="57" t="s">
        <v>15190</v>
      </c>
      <c r="U509" s="57" t="s">
        <v>14184</v>
      </c>
      <c r="V509" s="56" t="s">
        <v>14153</v>
      </c>
      <c r="W509" s="58"/>
      <c r="X509" s="57" t="s">
        <v>16188</v>
      </c>
      <c r="Y509" s="57" t="s">
        <v>15170</v>
      </c>
      <c r="Z509" s="61" t="s">
        <v>15465</v>
      </c>
      <c r="AA509" s="61" t="s">
        <v>17079</v>
      </c>
      <c r="AB509" s="58"/>
      <c r="AC509" s="57" t="s">
        <v>15172</v>
      </c>
      <c r="AD509" s="58"/>
      <c r="AE509" s="58"/>
      <c r="AF509" s="58"/>
      <c r="AG509" s="58"/>
      <c r="AH509" s="58"/>
      <c r="AI509" s="58"/>
      <c r="AJ509" s="58"/>
      <c r="AK509" s="56" t="s">
        <v>1285</v>
      </c>
      <c r="AL509" s="56" t="s">
        <v>17248</v>
      </c>
      <c r="AM509" s="58"/>
      <c r="AN509" s="56" t="s">
        <v>17249</v>
      </c>
      <c r="AO509" s="58"/>
      <c r="AP509" s="63">
        <v>45835.5373611111</v>
      </c>
      <c r="AQ509" s="56" t="s">
        <v>17250</v>
      </c>
      <c r="AR509" s="61" t="s">
        <v>15448</v>
      </c>
      <c r="AS509" s="57" t="s">
        <v>14184</v>
      </c>
      <c r="AT509" s="56" t="s">
        <v>15177</v>
      </c>
      <c r="AU509" s="56" t="s">
        <v>17251</v>
      </c>
      <c r="AV509" s="58"/>
      <c r="AW509" s="64">
        <v>45696.4995138889</v>
      </c>
      <c r="AX509" s="56" t="s">
        <v>17248</v>
      </c>
      <c r="AY509" s="56" t="s">
        <v>15179</v>
      </c>
      <c r="AZ509" s="58"/>
      <c r="BA509" s="58"/>
      <c r="BB509" s="58"/>
      <c r="BC509" s="56" t="s">
        <v>16041</v>
      </c>
      <c r="BD509" s="56" t="s">
        <v>15197</v>
      </c>
      <c r="BE509" s="58"/>
      <c r="BF509" s="56" t="s">
        <v>15181</v>
      </c>
      <c r="BG509" s="58"/>
      <c r="BH509" s="58"/>
      <c r="BI509" s="57" t="s">
        <v>2801</v>
      </c>
      <c r="BJ509" s="58"/>
      <c r="BK509" s="58"/>
      <c r="BL509" s="66">
        <v>3442873</v>
      </c>
      <c r="BM509" s="56" t="s">
        <v>17252</v>
      </c>
      <c r="BN509" s="58"/>
      <c r="BO509" s="67">
        <v>1750</v>
      </c>
      <c r="BP509" s="56" t="s">
        <v>15450</v>
      </c>
      <c r="BQ509" s="58"/>
      <c r="BR509" s="56" t="s">
        <v>17253</v>
      </c>
      <c r="BS509" s="56" t="s">
        <v>1285</v>
      </c>
      <c r="BT509" s="58"/>
      <c r="BU509" s="56" t="s">
        <v>17250</v>
      </c>
      <c r="BV509" s="58"/>
      <c r="BW509" s="58"/>
      <c r="BX509" s="67">
        <v>1750</v>
      </c>
      <c r="BY509" s="58"/>
      <c r="BZ509" s="58"/>
      <c r="CA509" s="58"/>
      <c r="CB509" s="58"/>
      <c r="CC509" s="58"/>
      <c r="CD509" s="58"/>
    </row>
    <row r="510" ht="108" spans="1:82">
      <c r="A510" s="56" t="s">
        <v>17266</v>
      </c>
      <c r="B510" s="58"/>
      <c r="C510" s="57" t="s">
        <v>17246</v>
      </c>
      <c r="D510" s="58"/>
      <c r="E510" s="57" t="s">
        <v>15158</v>
      </c>
      <c r="F510" s="57" t="s">
        <v>17247</v>
      </c>
      <c r="G510" s="57" t="s">
        <v>15160</v>
      </c>
      <c r="H510" s="56" t="s">
        <v>2928</v>
      </c>
      <c r="I510" s="60">
        <v>20975.96</v>
      </c>
      <c r="J510" s="57" t="s">
        <v>1285</v>
      </c>
      <c r="K510" s="57" t="s">
        <v>15162</v>
      </c>
      <c r="L510" s="57" t="s">
        <v>15163</v>
      </c>
      <c r="M510" s="61" t="s">
        <v>17079</v>
      </c>
      <c r="N510" s="62" t="s">
        <v>15205</v>
      </c>
      <c r="O510" s="57" t="s">
        <v>15165</v>
      </c>
      <c r="P510" s="57" t="s">
        <v>15166</v>
      </c>
      <c r="Q510" s="57" t="s">
        <v>2928</v>
      </c>
      <c r="R510" s="57" t="s">
        <v>16023</v>
      </c>
      <c r="S510" s="57" t="s">
        <v>16024</v>
      </c>
      <c r="T510" s="57" t="s">
        <v>15190</v>
      </c>
      <c r="U510" s="57" t="s">
        <v>14184</v>
      </c>
      <c r="V510" s="56" t="s">
        <v>14153</v>
      </c>
      <c r="W510" s="58"/>
      <c r="X510" s="57" t="s">
        <v>16188</v>
      </c>
      <c r="Y510" s="57" t="s">
        <v>15170</v>
      </c>
      <c r="Z510" s="61" t="s">
        <v>15465</v>
      </c>
      <c r="AA510" s="61" t="s">
        <v>17079</v>
      </c>
      <c r="AB510" s="58"/>
      <c r="AC510" s="57" t="s">
        <v>15172</v>
      </c>
      <c r="AD510" s="58"/>
      <c r="AE510" s="58"/>
      <c r="AF510" s="58"/>
      <c r="AG510" s="58"/>
      <c r="AH510" s="58"/>
      <c r="AI510" s="58"/>
      <c r="AJ510" s="58"/>
      <c r="AK510" s="56" t="s">
        <v>1285</v>
      </c>
      <c r="AL510" s="56" t="s">
        <v>17248</v>
      </c>
      <c r="AM510" s="58"/>
      <c r="AN510" s="56" t="s">
        <v>17249</v>
      </c>
      <c r="AO510" s="58"/>
      <c r="AP510" s="63">
        <v>45835.5373611111</v>
      </c>
      <c r="AQ510" s="56" t="s">
        <v>17250</v>
      </c>
      <c r="AR510" s="61" t="s">
        <v>15448</v>
      </c>
      <c r="AS510" s="57" t="s">
        <v>14184</v>
      </c>
      <c r="AT510" s="56" t="s">
        <v>15177</v>
      </c>
      <c r="AU510" s="56" t="s">
        <v>17251</v>
      </c>
      <c r="AV510" s="58"/>
      <c r="AW510" s="64">
        <v>45696.4995138889</v>
      </c>
      <c r="AX510" s="56" t="s">
        <v>17248</v>
      </c>
      <c r="AY510" s="56" t="s">
        <v>15179</v>
      </c>
      <c r="AZ510" s="58"/>
      <c r="BA510" s="58"/>
      <c r="BB510" s="58"/>
      <c r="BC510" s="56" t="s">
        <v>15637</v>
      </c>
      <c r="BD510" s="56" t="s">
        <v>15197</v>
      </c>
      <c r="BE510" s="58"/>
      <c r="BF510" s="56" t="s">
        <v>15181</v>
      </c>
      <c r="BG510" s="58"/>
      <c r="BH510" s="58"/>
      <c r="BI510" s="57" t="s">
        <v>2801</v>
      </c>
      <c r="BJ510" s="58"/>
      <c r="BK510" s="58"/>
      <c r="BL510" s="66">
        <v>3442874</v>
      </c>
      <c r="BM510" s="56" t="s">
        <v>17252</v>
      </c>
      <c r="BN510" s="58"/>
      <c r="BO510" s="67">
        <v>156</v>
      </c>
      <c r="BP510" s="56" t="s">
        <v>15450</v>
      </c>
      <c r="BQ510" s="58"/>
      <c r="BR510" s="56" t="s">
        <v>17253</v>
      </c>
      <c r="BS510" s="56" t="s">
        <v>1285</v>
      </c>
      <c r="BT510" s="58"/>
      <c r="BU510" s="56" t="s">
        <v>17250</v>
      </c>
      <c r="BV510" s="58"/>
      <c r="BW510" s="58"/>
      <c r="BX510" s="67">
        <v>156</v>
      </c>
      <c r="BY510" s="58"/>
      <c r="BZ510" s="58"/>
      <c r="CA510" s="58"/>
      <c r="CB510" s="58"/>
      <c r="CC510" s="58"/>
      <c r="CD510" s="58"/>
    </row>
    <row r="511" ht="108" spans="1:82">
      <c r="A511" s="56" t="s">
        <v>17267</v>
      </c>
      <c r="B511" s="58"/>
      <c r="C511" s="57" t="s">
        <v>17246</v>
      </c>
      <c r="D511" s="58"/>
      <c r="E511" s="57" t="s">
        <v>15158</v>
      </c>
      <c r="F511" s="57" t="s">
        <v>17247</v>
      </c>
      <c r="G511" s="57" t="s">
        <v>15160</v>
      </c>
      <c r="H511" s="56" t="s">
        <v>2928</v>
      </c>
      <c r="I511" s="60">
        <v>20975.96</v>
      </c>
      <c r="J511" s="57" t="s">
        <v>1285</v>
      </c>
      <c r="K511" s="57" t="s">
        <v>15162</v>
      </c>
      <c r="L511" s="57" t="s">
        <v>15163</v>
      </c>
      <c r="M511" s="61" t="s">
        <v>17079</v>
      </c>
      <c r="N511" s="62" t="s">
        <v>15205</v>
      </c>
      <c r="O511" s="57" t="s">
        <v>15165</v>
      </c>
      <c r="P511" s="57" t="s">
        <v>15166</v>
      </c>
      <c r="Q511" s="57" t="s">
        <v>2928</v>
      </c>
      <c r="R511" s="57" t="s">
        <v>16023</v>
      </c>
      <c r="S511" s="57" t="s">
        <v>16024</v>
      </c>
      <c r="T511" s="57" t="s">
        <v>15190</v>
      </c>
      <c r="U511" s="57" t="s">
        <v>14184</v>
      </c>
      <c r="V511" s="56" t="s">
        <v>14153</v>
      </c>
      <c r="W511" s="58"/>
      <c r="X511" s="57" t="s">
        <v>16188</v>
      </c>
      <c r="Y511" s="57" t="s">
        <v>15170</v>
      </c>
      <c r="Z511" s="61" t="s">
        <v>15465</v>
      </c>
      <c r="AA511" s="61" t="s">
        <v>17079</v>
      </c>
      <c r="AB511" s="58"/>
      <c r="AC511" s="57" t="s">
        <v>15172</v>
      </c>
      <c r="AD511" s="58"/>
      <c r="AE511" s="58"/>
      <c r="AF511" s="58"/>
      <c r="AG511" s="58"/>
      <c r="AH511" s="58"/>
      <c r="AI511" s="58"/>
      <c r="AJ511" s="58"/>
      <c r="AK511" s="56" t="s">
        <v>1285</v>
      </c>
      <c r="AL511" s="56" t="s">
        <v>17248</v>
      </c>
      <c r="AM511" s="58"/>
      <c r="AN511" s="56" t="s">
        <v>17249</v>
      </c>
      <c r="AO511" s="58"/>
      <c r="AP511" s="63">
        <v>45835.5373611111</v>
      </c>
      <c r="AQ511" s="56" t="s">
        <v>17250</v>
      </c>
      <c r="AR511" s="61" t="s">
        <v>15448</v>
      </c>
      <c r="AS511" s="57" t="s">
        <v>14184</v>
      </c>
      <c r="AT511" s="56" t="s">
        <v>15177</v>
      </c>
      <c r="AU511" s="56" t="s">
        <v>17251</v>
      </c>
      <c r="AV511" s="58"/>
      <c r="AW511" s="64">
        <v>45696.4995138889</v>
      </c>
      <c r="AX511" s="56" t="s">
        <v>17248</v>
      </c>
      <c r="AY511" s="56" t="s">
        <v>15179</v>
      </c>
      <c r="AZ511" s="58"/>
      <c r="BA511" s="58"/>
      <c r="BB511" s="58"/>
      <c r="BC511" s="56" t="s">
        <v>2136</v>
      </c>
      <c r="BD511" s="56" t="s">
        <v>15197</v>
      </c>
      <c r="BE511" s="58"/>
      <c r="BF511" s="56" t="s">
        <v>15181</v>
      </c>
      <c r="BG511" s="58"/>
      <c r="BH511" s="58"/>
      <c r="BI511" s="57" t="s">
        <v>2801</v>
      </c>
      <c r="BJ511" s="58"/>
      <c r="BK511" s="58"/>
      <c r="BL511" s="66">
        <v>3442877</v>
      </c>
      <c r="BM511" s="56" t="s">
        <v>17252</v>
      </c>
      <c r="BN511" s="58"/>
      <c r="BO511" s="67">
        <v>90</v>
      </c>
      <c r="BP511" s="56" t="s">
        <v>15450</v>
      </c>
      <c r="BQ511" s="58"/>
      <c r="BR511" s="56" t="s">
        <v>17253</v>
      </c>
      <c r="BS511" s="56" t="s">
        <v>1285</v>
      </c>
      <c r="BT511" s="58"/>
      <c r="BU511" s="56" t="s">
        <v>17250</v>
      </c>
      <c r="BV511" s="58"/>
      <c r="BW511" s="58"/>
      <c r="BX511" s="67">
        <v>90</v>
      </c>
      <c r="BY511" s="58"/>
      <c r="BZ511" s="58"/>
      <c r="CA511" s="58"/>
      <c r="CB511" s="58"/>
      <c r="CC511" s="58"/>
      <c r="CD511" s="58"/>
    </row>
    <row r="512" ht="108" spans="1:82">
      <c r="A512" s="56" t="s">
        <v>17268</v>
      </c>
      <c r="B512" s="58"/>
      <c r="C512" s="57" t="s">
        <v>17246</v>
      </c>
      <c r="D512" s="58"/>
      <c r="E512" s="57" t="s">
        <v>15158</v>
      </c>
      <c r="F512" s="57" t="s">
        <v>17247</v>
      </c>
      <c r="G512" s="57" t="s">
        <v>15160</v>
      </c>
      <c r="H512" s="56" t="s">
        <v>2928</v>
      </c>
      <c r="I512" s="60">
        <v>20975.96</v>
      </c>
      <c r="J512" s="57" t="s">
        <v>1285</v>
      </c>
      <c r="K512" s="57" t="s">
        <v>15162</v>
      </c>
      <c r="L512" s="57" t="s">
        <v>15163</v>
      </c>
      <c r="M512" s="61" t="s">
        <v>17079</v>
      </c>
      <c r="N512" s="62" t="s">
        <v>15205</v>
      </c>
      <c r="O512" s="57" t="s">
        <v>15165</v>
      </c>
      <c r="P512" s="57" t="s">
        <v>15166</v>
      </c>
      <c r="Q512" s="57" t="s">
        <v>2928</v>
      </c>
      <c r="R512" s="57" t="s">
        <v>16023</v>
      </c>
      <c r="S512" s="57" t="s">
        <v>16024</v>
      </c>
      <c r="T512" s="57" t="s">
        <v>15190</v>
      </c>
      <c r="U512" s="57" t="s">
        <v>14184</v>
      </c>
      <c r="V512" s="56" t="s">
        <v>14153</v>
      </c>
      <c r="W512" s="58"/>
      <c r="X512" s="57" t="s">
        <v>16188</v>
      </c>
      <c r="Y512" s="57" t="s">
        <v>15170</v>
      </c>
      <c r="Z512" s="61" t="s">
        <v>15465</v>
      </c>
      <c r="AA512" s="61" t="s">
        <v>17079</v>
      </c>
      <c r="AB512" s="58"/>
      <c r="AC512" s="57" t="s">
        <v>15172</v>
      </c>
      <c r="AD512" s="58"/>
      <c r="AE512" s="58"/>
      <c r="AF512" s="58"/>
      <c r="AG512" s="58"/>
      <c r="AH512" s="58"/>
      <c r="AI512" s="58"/>
      <c r="AJ512" s="58"/>
      <c r="AK512" s="56" t="s">
        <v>1285</v>
      </c>
      <c r="AL512" s="56" t="s">
        <v>17248</v>
      </c>
      <c r="AM512" s="58"/>
      <c r="AN512" s="56" t="s">
        <v>17249</v>
      </c>
      <c r="AO512" s="58"/>
      <c r="AP512" s="63">
        <v>45835.5373611111</v>
      </c>
      <c r="AQ512" s="56" t="s">
        <v>17250</v>
      </c>
      <c r="AR512" s="61" t="s">
        <v>15448</v>
      </c>
      <c r="AS512" s="57" t="s">
        <v>14184</v>
      </c>
      <c r="AT512" s="56" t="s">
        <v>15177</v>
      </c>
      <c r="AU512" s="56" t="s">
        <v>17251</v>
      </c>
      <c r="AV512" s="58"/>
      <c r="AW512" s="64">
        <v>45696.4995138889</v>
      </c>
      <c r="AX512" s="56" t="s">
        <v>17248</v>
      </c>
      <c r="AY512" s="56" t="s">
        <v>15179</v>
      </c>
      <c r="AZ512" s="58"/>
      <c r="BA512" s="58"/>
      <c r="BB512" s="58"/>
      <c r="BC512" s="56" t="s">
        <v>2131</v>
      </c>
      <c r="BD512" s="56" t="s">
        <v>15197</v>
      </c>
      <c r="BE512" s="58"/>
      <c r="BF512" s="56" t="s">
        <v>15181</v>
      </c>
      <c r="BG512" s="58"/>
      <c r="BH512" s="58"/>
      <c r="BI512" s="57" t="s">
        <v>2801</v>
      </c>
      <c r="BJ512" s="58"/>
      <c r="BK512" s="58"/>
      <c r="BL512" s="66">
        <v>3442878</v>
      </c>
      <c r="BM512" s="56" t="s">
        <v>17252</v>
      </c>
      <c r="BN512" s="58"/>
      <c r="BO512" s="67">
        <v>6060</v>
      </c>
      <c r="BP512" s="56" t="s">
        <v>15450</v>
      </c>
      <c r="BQ512" s="58"/>
      <c r="BR512" s="56" t="s">
        <v>17253</v>
      </c>
      <c r="BS512" s="56" t="s">
        <v>1285</v>
      </c>
      <c r="BT512" s="58"/>
      <c r="BU512" s="56" t="s">
        <v>17250</v>
      </c>
      <c r="BV512" s="58"/>
      <c r="BW512" s="58"/>
      <c r="BX512" s="67">
        <v>6060</v>
      </c>
      <c r="BY512" s="58"/>
      <c r="BZ512" s="58"/>
      <c r="CA512" s="58"/>
      <c r="CB512" s="58"/>
      <c r="CC512" s="58"/>
      <c r="CD512" s="58"/>
    </row>
    <row r="513" ht="108" spans="1:82">
      <c r="A513" s="56" t="s">
        <v>17269</v>
      </c>
      <c r="B513" s="58"/>
      <c r="C513" s="57" t="s">
        <v>17246</v>
      </c>
      <c r="D513" s="58"/>
      <c r="E513" s="57" t="s">
        <v>15158</v>
      </c>
      <c r="F513" s="57" t="s">
        <v>17247</v>
      </c>
      <c r="G513" s="57" t="s">
        <v>15160</v>
      </c>
      <c r="H513" s="56" t="s">
        <v>2928</v>
      </c>
      <c r="I513" s="60">
        <v>20975.96</v>
      </c>
      <c r="J513" s="57" t="s">
        <v>1285</v>
      </c>
      <c r="K513" s="57" t="s">
        <v>15162</v>
      </c>
      <c r="L513" s="57" t="s">
        <v>15163</v>
      </c>
      <c r="M513" s="61" t="s">
        <v>17079</v>
      </c>
      <c r="N513" s="62" t="s">
        <v>15205</v>
      </c>
      <c r="O513" s="57" t="s">
        <v>15165</v>
      </c>
      <c r="P513" s="57" t="s">
        <v>15166</v>
      </c>
      <c r="Q513" s="57" t="s">
        <v>2928</v>
      </c>
      <c r="R513" s="57" t="s">
        <v>16023</v>
      </c>
      <c r="S513" s="57" t="s">
        <v>16024</v>
      </c>
      <c r="T513" s="57" t="s">
        <v>15190</v>
      </c>
      <c r="U513" s="57" t="s">
        <v>14184</v>
      </c>
      <c r="V513" s="56" t="s">
        <v>14153</v>
      </c>
      <c r="W513" s="58"/>
      <c r="X513" s="57" t="s">
        <v>16188</v>
      </c>
      <c r="Y513" s="57" t="s">
        <v>15170</v>
      </c>
      <c r="Z513" s="61" t="s">
        <v>15465</v>
      </c>
      <c r="AA513" s="61" t="s">
        <v>17079</v>
      </c>
      <c r="AB513" s="58"/>
      <c r="AC513" s="57" t="s">
        <v>15172</v>
      </c>
      <c r="AD513" s="58"/>
      <c r="AE513" s="58"/>
      <c r="AF513" s="58"/>
      <c r="AG513" s="58"/>
      <c r="AH513" s="58"/>
      <c r="AI513" s="58"/>
      <c r="AJ513" s="58"/>
      <c r="AK513" s="56" t="s">
        <v>1285</v>
      </c>
      <c r="AL513" s="56" t="s">
        <v>17248</v>
      </c>
      <c r="AM513" s="58"/>
      <c r="AN513" s="56" t="s">
        <v>17249</v>
      </c>
      <c r="AO513" s="58"/>
      <c r="AP513" s="63">
        <v>45835.5373611111</v>
      </c>
      <c r="AQ513" s="56" t="s">
        <v>17250</v>
      </c>
      <c r="AR513" s="61" t="s">
        <v>15448</v>
      </c>
      <c r="AS513" s="57" t="s">
        <v>14184</v>
      </c>
      <c r="AT513" s="56" t="s">
        <v>15177</v>
      </c>
      <c r="AU513" s="56" t="s">
        <v>17251</v>
      </c>
      <c r="AV513" s="58"/>
      <c r="AW513" s="64">
        <v>45696.4995138889</v>
      </c>
      <c r="AX513" s="56" t="s">
        <v>17248</v>
      </c>
      <c r="AY513" s="56" t="s">
        <v>15179</v>
      </c>
      <c r="AZ513" s="58"/>
      <c r="BA513" s="58"/>
      <c r="BB513" s="58"/>
      <c r="BC513" s="56" t="s">
        <v>2131</v>
      </c>
      <c r="BD513" s="56" t="s">
        <v>15197</v>
      </c>
      <c r="BE513" s="58"/>
      <c r="BF513" s="56" t="s">
        <v>15181</v>
      </c>
      <c r="BG513" s="58"/>
      <c r="BH513" s="58"/>
      <c r="BI513" s="57" t="s">
        <v>2801</v>
      </c>
      <c r="BJ513" s="58"/>
      <c r="BK513" s="58"/>
      <c r="BL513" s="66">
        <v>3442879</v>
      </c>
      <c r="BM513" s="56" t="s">
        <v>17252</v>
      </c>
      <c r="BN513" s="58"/>
      <c r="BO513" s="67">
        <v>294.12</v>
      </c>
      <c r="BP513" s="56" t="s">
        <v>15450</v>
      </c>
      <c r="BQ513" s="58"/>
      <c r="BR513" s="56" t="s">
        <v>17253</v>
      </c>
      <c r="BS513" s="56" t="s">
        <v>1285</v>
      </c>
      <c r="BT513" s="58"/>
      <c r="BU513" s="56" t="s">
        <v>17250</v>
      </c>
      <c r="BV513" s="58"/>
      <c r="BW513" s="58"/>
      <c r="BX513" s="67">
        <v>294.12</v>
      </c>
      <c r="BY513" s="58"/>
      <c r="BZ513" s="58"/>
      <c r="CA513" s="58"/>
      <c r="CB513" s="58"/>
      <c r="CC513" s="58"/>
      <c r="CD513" s="58"/>
    </row>
    <row r="514" ht="108" spans="1:82">
      <c r="A514" s="56" t="s">
        <v>17270</v>
      </c>
      <c r="B514" s="58"/>
      <c r="C514" s="57" t="s">
        <v>17246</v>
      </c>
      <c r="D514" s="58"/>
      <c r="E514" s="57" t="s">
        <v>15158</v>
      </c>
      <c r="F514" s="57" t="s">
        <v>17247</v>
      </c>
      <c r="G514" s="57" t="s">
        <v>15160</v>
      </c>
      <c r="H514" s="56" t="s">
        <v>2928</v>
      </c>
      <c r="I514" s="60">
        <v>20975.96</v>
      </c>
      <c r="J514" s="57" t="s">
        <v>1285</v>
      </c>
      <c r="K514" s="57" t="s">
        <v>15162</v>
      </c>
      <c r="L514" s="57" t="s">
        <v>15163</v>
      </c>
      <c r="M514" s="61" t="s">
        <v>17079</v>
      </c>
      <c r="N514" s="62" t="s">
        <v>15205</v>
      </c>
      <c r="O514" s="57" t="s">
        <v>15165</v>
      </c>
      <c r="P514" s="57" t="s">
        <v>15166</v>
      </c>
      <c r="Q514" s="57" t="s">
        <v>2928</v>
      </c>
      <c r="R514" s="57" t="s">
        <v>16023</v>
      </c>
      <c r="S514" s="57" t="s">
        <v>16024</v>
      </c>
      <c r="T514" s="57" t="s">
        <v>15190</v>
      </c>
      <c r="U514" s="57" t="s">
        <v>14184</v>
      </c>
      <c r="V514" s="56" t="s">
        <v>14153</v>
      </c>
      <c r="W514" s="58"/>
      <c r="X514" s="57" t="s">
        <v>16188</v>
      </c>
      <c r="Y514" s="57" t="s">
        <v>15170</v>
      </c>
      <c r="Z514" s="61" t="s">
        <v>15465</v>
      </c>
      <c r="AA514" s="61" t="s">
        <v>17079</v>
      </c>
      <c r="AB514" s="58"/>
      <c r="AC514" s="57" t="s">
        <v>15172</v>
      </c>
      <c r="AD514" s="58"/>
      <c r="AE514" s="58"/>
      <c r="AF514" s="58"/>
      <c r="AG514" s="58"/>
      <c r="AH514" s="58"/>
      <c r="AI514" s="58"/>
      <c r="AJ514" s="58"/>
      <c r="AK514" s="56" t="s">
        <v>1285</v>
      </c>
      <c r="AL514" s="56" t="s">
        <v>17248</v>
      </c>
      <c r="AM514" s="58"/>
      <c r="AN514" s="56" t="s">
        <v>17249</v>
      </c>
      <c r="AO514" s="58"/>
      <c r="AP514" s="63">
        <v>45835.5373611111</v>
      </c>
      <c r="AQ514" s="56" t="s">
        <v>17250</v>
      </c>
      <c r="AR514" s="61" t="s">
        <v>15448</v>
      </c>
      <c r="AS514" s="57" t="s">
        <v>14184</v>
      </c>
      <c r="AT514" s="56" t="s">
        <v>15177</v>
      </c>
      <c r="AU514" s="56" t="s">
        <v>17251</v>
      </c>
      <c r="AV514" s="58"/>
      <c r="AW514" s="64">
        <v>45696.4995138889</v>
      </c>
      <c r="AX514" s="56" t="s">
        <v>17248</v>
      </c>
      <c r="AY514" s="56" t="s">
        <v>15179</v>
      </c>
      <c r="AZ514" s="58"/>
      <c r="BA514" s="58"/>
      <c r="BB514" s="58"/>
      <c r="BC514" s="56" t="s">
        <v>2150</v>
      </c>
      <c r="BD514" s="56" t="s">
        <v>15197</v>
      </c>
      <c r="BE514" s="58"/>
      <c r="BF514" s="56" t="s">
        <v>15181</v>
      </c>
      <c r="BG514" s="58"/>
      <c r="BH514" s="58"/>
      <c r="BI514" s="57" t="s">
        <v>2801</v>
      </c>
      <c r="BJ514" s="58"/>
      <c r="BK514" s="58"/>
      <c r="BL514" s="66">
        <v>3442880</v>
      </c>
      <c r="BM514" s="56" t="s">
        <v>17252</v>
      </c>
      <c r="BN514" s="58"/>
      <c r="BO514" s="67">
        <v>450</v>
      </c>
      <c r="BP514" s="56" t="s">
        <v>15450</v>
      </c>
      <c r="BQ514" s="58"/>
      <c r="BR514" s="56" t="s">
        <v>17253</v>
      </c>
      <c r="BS514" s="56" t="s">
        <v>1285</v>
      </c>
      <c r="BT514" s="58"/>
      <c r="BU514" s="56" t="s">
        <v>17250</v>
      </c>
      <c r="BV514" s="58"/>
      <c r="BW514" s="58"/>
      <c r="BX514" s="67">
        <v>450</v>
      </c>
      <c r="BY514" s="58"/>
      <c r="BZ514" s="58"/>
      <c r="CA514" s="58"/>
      <c r="CB514" s="58"/>
      <c r="CC514" s="58"/>
      <c r="CD514" s="58"/>
    </row>
    <row r="515" ht="108" spans="1:82">
      <c r="A515" s="56" t="s">
        <v>17271</v>
      </c>
      <c r="B515" s="58"/>
      <c r="C515" s="57" t="s">
        <v>17272</v>
      </c>
      <c r="D515" s="58"/>
      <c r="E515" s="57" t="s">
        <v>15158</v>
      </c>
      <c r="F515" s="57" t="s">
        <v>17273</v>
      </c>
      <c r="G515" s="57" t="s">
        <v>15160</v>
      </c>
      <c r="H515" s="56" t="s">
        <v>4370</v>
      </c>
      <c r="I515" s="60">
        <v>17013</v>
      </c>
      <c r="J515" s="57" t="s">
        <v>1285</v>
      </c>
      <c r="K515" s="57" t="s">
        <v>15162</v>
      </c>
      <c r="L515" s="57" t="s">
        <v>15163</v>
      </c>
      <c r="M515" s="61" t="s">
        <v>17079</v>
      </c>
      <c r="N515" s="62" t="s">
        <v>14909</v>
      </c>
      <c r="O515" s="57" t="s">
        <v>15165</v>
      </c>
      <c r="P515" s="57" t="s">
        <v>15166</v>
      </c>
      <c r="Q515" s="57" t="s">
        <v>4370</v>
      </c>
      <c r="R515" s="57" t="s">
        <v>17274</v>
      </c>
      <c r="S515" s="57" t="s">
        <v>17275</v>
      </c>
      <c r="T515" s="57" t="s">
        <v>15190</v>
      </c>
      <c r="U515" s="57" t="s">
        <v>14184</v>
      </c>
      <c r="V515" s="56" t="s">
        <v>14153</v>
      </c>
      <c r="W515" s="58"/>
      <c r="X515" s="57" t="s">
        <v>17276</v>
      </c>
      <c r="Y515" s="57" t="s">
        <v>15170</v>
      </c>
      <c r="Z515" s="61" t="s">
        <v>14605</v>
      </c>
      <c r="AA515" s="61" t="s">
        <v>17079</v>
      </c>
      <c r="AB515" s="58"/>
      <c r="AC515" s="57" t="s">
        <v>15172</v>
      </c>
      <c r="AD515" s="58"/>
      <c r="AE515" s="58"/>
      <c r="AF515" s="58"/>
      <c r="AG515" s="58"/>
      <c r="AH515" s="58"/>
      <c r="AI515" s="58"/>
      <c r="AJ515" s="58"/>
      <c r="AK515" s="56" t="s">
        <v>1285</v>
      </c>
      <c r="AL515" s="56" t="s">
        <v>17277</v>
      </c>
      <c r="AM515" s="58"/>
      <c r="AN515" s="56" t="s">
        <v>17278</v>
      </c>
      <c r="AO515" s="58"/>
      <c r="AP515" s="63">
        <v>45835.5370833333</v>
      </c>
      <c r="AQ515" s="56" t="s">
        <v>17279</v>
      </c>
      <c r="AR515" s="61" t="s">
        <v>15448</v>
      </c>
      <c r="AS515" s="57" t="s">
        <v>14184</v>
      </c>
      <c r="AT515" s="56" t="s">
        <v>15177</v>
      </c>
      <c r="AU515" s="56" t="s">
        <v>17280</v>
      </c>
      <c r="AV515" s="58"/>
      <c r="AW515" s="64">
        <v>45680.6978935185</v>
      </c>
      <c r="AX515" s="56" t="s">
        <v>17277</v>
      </c>
      <c r="AY515" s="56" t="s">
        <v>15179</v>
      </c>
      <c r="AZ515" s="58"/>
      <c r="BA515" s="58"/>
      <c r="BB515" s="58"/>
      <c r="BC515" s="56" t="s">
        <v>1664</v>
      </c>
      <c r="BD515" s="56" t="s">
        <v>15197</v>
      </c>
      <c r="BE515" s="56" t="s">
        <v>17281</v>
      </c>
      <c r="BF515" s="56" t="s">
        <v>15181</v>
      </c>
      <c r="BG515" s="58"/>
      <c r="BH515" s="58"/>
      <c r="BI515" s="57" t="s">
        <v>2801</v>
      </c>
      <c r="BJ515" s="58"/>
      <c r="BK515" s="58"/>
      <c r="BL515" s="66">
        <v>3400711</v>
      </c>
      <c r="BM515" s="56" t="s">
        <v>17282</v>
      </c>
      <c r="BN515" s="58"/>
      <c r="BO515" s="67">
        <v>1080</v>
      </c>
      <c r="BP515" s="56" t="s">
        <v>15450</v>
      </c>
      <c r="BQ515" s="58"/>
      <c r="BR515" s="56" t="s">
        <v>17283</v>
      </c>
      <c r="BS515" s="56" t="s">
        <v>1285</v>
      </c>
      <c r="BT515" s="58"/>
      <c r="BU515" s="56" t="s">
        <v>17279</v>
      </c>
      <c r="BV515" s="58"/>
      <c r="BW515" s="58"/>
      <c r="BX515" s="67">
        <v>1080</v>
      </c>
      <c r="BY515" s="56" t="s">
        <v>1285</v>
      </c>
      <c r="BZ515" s="58"/>
      <c r="CA515" s="58"/>
      <c r="CB515" s="58"/>
      <c r="CC515" s="58"/>
      <c r="CD515" s="58"/>
    </row>
    <row r="516" ht="108" spans="1:82">
      <c r="A516" s="56" t="s">
        <v>17284</v>
      </c>
      <c r="B516" s="58"/>
      <c r="C516" s="57" t="s">
        <v>17272</v>
      </c>
      <c r="D516" s="58"/>
      <c r="E516" s="57" t="s">
        <v>15158</v>
      </c>
      <c r="F516" s="57" t="s">
        <v>17273</v>
      </c>
      <c r="G516" s="57" t="s">
        <v>15160</v>
      </c>
      <c r="H516" s="56" t="s">
        <v>4370</v>
      </c>
      <c r="I516" s="60">
        <v>17013</v>
      </c>
      <c r="J516" s="57" t="s">
        <v>1285</v>
      </c>
      <c r="K516" s="57" t="s">
        <v>15162</v>
      </c>
      <c r="L516" s="57" t="s">
        <v>15163</v>
      </c>
      <c r="M516" s="61" t="s">
        <v>17079</v>
      </c>
      <c r="N516" s="62" t="s">
        <v>14909</v>
      </c>
      <c r="O516" s="57" t="s">
        <v>15165</v>
      </c>
      <c r="P516" s="57" t="s">
        <v>15166</v>
      </c>
      <c r="Q516" s="57" t="s">
        <v>4370</v>
      </c>
      <c r="R516" s="57" t="s">
        <v>17274</v>
      </c>
      <c r="S516" s="57" t="s">
        <v>17275</v>
      </c>
      <c r="T516" s="57" t="s">
        <v>15190</v>
      </c>
      <c r="U516" s="57" t="s">
        <v>14184</v>
      </c>
      <c r="V516" s="56" t="s">
        <v>14153</v>
      </c>
      <c r="W516" s="58"/>
      <c r="X516" s="57" t="s">
        <v>17276</v>
      </c>
      <c r="Y516" s="57" t="s">
        <v>15170</v>
      </c>
      <c r="Z516" s="61" t="s">
        <v>14605</v>
      </c>
      <c r="AA516" s="61" t="s">
        <v>17079</v>
      </c>
      <c r="AB516" s="58"/>
      <c r="AC516" s="57" t="s">
        <v>15172</v>
      </c>
      <c r="AD516" s="58"/>
      <c r="AE516" s="58"/>
      <c r="AF516" s="58"/>
      <c r="AG516" s="58"/>
      <c r="AH516" s="58"/>
      <c r="AI516" s="58"/>
      <c r="AJ516" s="58"/>
      <c r="AK516" s="56" t="s">
        <v>1285</v>
      </c>
      <c r="AL516" s="56" t="s">
        <v>17277</v>
      </c>
      <c r="AM516" s="58"/>
      <c r="AN516" s="56" t="s">
        <v>17278</v>
      </c>
      <c r="AO516" s="58"/>
      <c r="AP516" s="63">
        <v>45835.5370833333</v>
      </c>
      <c r="AQ516" s="56" t="s">
        <v>17279</v>
      </c>
      <c r="AR516" s="61" t="s">
        <v>15448</v>
      </c>
      <c r="AS516" s="57" t="s">
        <v>14184</v>
      </c>
      <c r="AT516" s="56" t="s">
        <v>15177</v>
      </c>
      <c r="AU516" s="56" t="s">
        <v>17280</v>
      </c>
      <c r="AV516" s="58"/>
      <c r="AW516" s="64">
        <v>45680.6978935185</v>
      </c>
      <c r="AX516" s="56" t="s">
        <v>17277</v>
      </c>
      <c r="AY516" s="56" t="s">
        <v>15179</v>
      </c>
      <c r="AZ516" s="58"/>
      <c r="BA516" s="58"/>
      <c r="BB516" s="58"/>
      <c r="BC516" s="56" t="s">
        <v>16076</v>
      </c>
      <c r="BD516" s="56" t="s">
        <v>15197</v>
      </c>
      <c r="BE516" s="56" t="s">
        <v>17281</v>
      </c>
      <c r="BF516" s="56" t="s">
        <v>15181</v>
      </c>
      <c r="BG516" s="58"/>
      <c r="BH516" s="58"/>
      <c r="BI516" s="57" t="s">
        <v>2801</v>
      </c>
      <c r="BJ516" s="58"/>
      <c r="BK516" s="58"/>
      <c r="BL516" s="66">
        <v>3400712</v>
      </c>
      <c r="BM516" s="56" t="s">
        <v>17282</v>
      </c>
      <c r="BN516" s="58"/>
      <c r="BO516" s="67">
        <v>760</v>
      </c>
      <c r="BP516" s="56" t="s">
        <v>15450</v>
      </c>
      <c r="BQ516" s="58"/>
      <c r="BR516" s="56" t="s">
        <v>17283</v>
      </c>
      <c r="BS516" s="56" t="s">
        <v>1285</v>
      </c>
      <c r="BT516" s="58"/>
      <c r="BU516" s="56" t="s">
        <v>17279</v>
      </c>
      <c r="BV516" s="58"/>
      <c r="BW516" s="58"/>
      <c r="BX516" s="67">
        <v>760</v>
      </c>
      <c r="BY516" s="56" t="s">
        <v>1285</v>
      </c>
      <c r="BZ516" s="58"/>
      <c r="CA516" s="58"/>
      <c r="CB516" s="58"/>
      <c r="CC516" s="58"/>
      <c r="CD516" s="58"/>
    </row>
    <row r="517" ht="108" spans="1:82">
      <c r="A517" s="56" t="s">
        <v>17285</v>
      </c>
      <c r="B517" s="58"/>
      <c r="C517" s="57" t="s">
        <v>17272</v>
      </c>
      <c r="D517" s="58"/>
      <c r="E517" s="57" t="s">
        <v>15158</v>
      </c>
      <c r="F517" s="57" t="s">
        <v>17273</v>
      </c>
      <c r="G517" s="57" t="s">
        <v>15160</v>
      </c>
      <c r="H517" s="56" t="s">
        <v>4370</v>
      </c>
      <c r="I517" s="60">
        <v>17013</v>
      </c>
      <c r="J517" s="57" t="s">
        <v>1285</v>
      </c>
      <c r="K517" s="57" t="s">
        <v>15162</v>
      </c>
      <c r="L517" s="57" t="s">
        <v>15163</v>
      </c>
      <c r="M517" s="61" t="s">
        <v>17079</v>
      </c>
      <c r="N517" s="62" t="s">
        <v>14909</v>
      </c>
      <c r="O517" s="57" t="s">
        <v>15165</v>
      </c>
      <c r="P517" s="57" t="s">
        <v>15166</v>
      </c>
      <c r="Q517" s="57" t="s">
        <v>4370</v>
      </c>
      <c r="R517" s="57" t="s">
        <v>17274</v>
      </c>
      <c r="S517" s="57" t="s">
        <v>17275</v>
      </c>
      <c r="T517" s="57" t="s">
        <v>15190</v>
      </c>
      <c r="U517" s="57" t="s">
        <v>14184</v>
      </c>
      <c r="V517" s="56" t="s">
        <v>14153</v>
      </c>
      <c r="W517" s="58"/>
      <c r="X517" s="57" t="s">
        <v>17276</v>
      </c>
      <c r="Y517" s="57" t="s">
        <v>15170</v>
      </c>
      <c r="Z517" s="61" t="s">
        <v>14605</v>
      </c>
      <c r="AA517" s="61" t="s">
        <v>17079</v>
      </c>
      <c r="AB517" s="58"/>
      <c r="AC517" s="57" t="s">
        <v>15172</v>
      </c>
      <c r="AD517" s="58"/>
      <c r="AE517" s="58"/>
      <c r="AF517" s="58"/>
      <c r="AG517" s="58"/>
      <c r="AH517" s="58"/>
      <c r="AI517" s="58"/>
      <c r="AJ517" s="58"/>
      <c r="AK517" s="56" t="s">
        <v>1285</v>
      </c>
      <c r="AL517" s="56" t="s">
        <v>17277</v>
      </c>
      <c r="AM517" s="58"/>
      <c r="AN517" s="56" t="s">
        <v>17278</v>
      </c>
      <c r="AO517" s="58"/>
      <c r="AP517" s="63">
        <v>45835.5370833333</v>
      </c>
      <c r="AQ517" s="56" t="s">
        <v>17279</v>
      </c>
      <c r="AR517" s="61" t="s">
        <v>15448</v>
      </c>
      <c r="AS517" s="57" t="s">
        <v>14184</v>
      </c>
      <c r="AT517" s="56" t="s">
        <v>15177</v>
      </c>
      <c r="AU517" s="56" t="s">
        <v>17280</v>
      </c>
      <c r="AV517" s="58"/>
      <c r="AW517" s="64">
        <v>45680.6978935185</v>
      </c>
      <c r="AX517" s="56" t="s">
        <v>17277</v>
      </c>
      <c r="AY517" s="56" t="s">
        <v>15179</v>
      </c>
      <c r="AZ517" s="58"/>
      <c r="BA517" s="58"/>
      <c r="BB517" s="58"/>
      <c r="BC517" s="56" t="s">
        <v>1664</v>
      </c>
      <c r="BD517" s="56" t="s">
        <v>15197</v>
      </c>
      <c r="BE517" s="56" t="s">
        <v>17281</v>
      </c>
      <c r="BF517" s="56" t="s">
        <v>15181</v>
      </c>
      <c r="BG517" s="58"/>
      <c r="BH517" s="58"/>
      <c r="BI517" s="57" t="s">
        <v>2801</v>
      </c>
      <c r="BJ517" s="58"/>
      <c r="BK517" s="58"/>
      <c r="BL517" s="66">
        <v>3400713</v>
      </c>
      <c r="BM517" s="56" t="s">
        <v>17282</v>
      </c>
      <c r="BN517" s="58"/>
      <c r="BO517" s="67">
        <v>140</v>
      </c>
      <c r="BP517" s="56" t="s">
        <v>15450</v>
      </c>
      <c r="BQ517" s="58"/>
      <c r="BR517" s="56" t="s">
        <v>17283</v>
      </c>
      <c r="BS517" s="56" t="s">
        <v>1285</v>
      </c>
      <c r="BT517" s="58"/>
      <c r="BU517" s="56" t="s">
        <v>17279</v>
      </c>
      <c r="BV517" s="58"/>
      <c r="BW517" s="58"/>
      <c r="BX517" s="67">
        <v>140</v>
      </c>
      <c r="BY517" s="56" t="s">
        <v>1285</v>
      </c>
      <c r="BZ517" s="58"/>
      <c r="CA517" s="58"/>
      <c r="CB517" s="58"/>
      <c r="CC517" s="58"/>
      <c r="CD517" s="58"/>
    </row>
    <row r="518" ht="108" spans="1:82">
      <c r="A518" s="56" t="s">
        <v>17286</v>
      </c>
      <c r="B518" s="58"/>
      <c r="C518" s="57" t="s">
        <v>17272</v>
      </c>
      <c r="D518" s="58"/>
      <c r="E518" s="57" t="s">
        <v>15158</v>
      </c>
      <c r="F518" s="57" t="s">
        <v>17273</v>
      </c>
      <c r="G518" s="57" t="s">
        <v>15160</v>
      </c>
      <c r="H518" s="56" t="s">
        <v>4370</v>
      </c>
      <c r="I518" s="60">
        <v>17013</v>
      </c>
      <c r="J518" s="57" t="s">
        <v>1285</v>
      </c>
      <c r="K518" s="57" t="s">
        <v>15162</v>
      </c>
      <c r="L518" s="57" t="s">
        <v>15163</v>
      </c>
      <c r="M518" s="61" t="s">
        <v>17079</v>
      </c>
      <c r="N518" s="62" t="s">
        <v>14909</v>
      </c>
      <c r="O518" s="57" t="s">
        <v>15165</v>
      </c>
      <c r="P518" s="57" t="s">
        <v>15166</v>
      </c>
      <c r="Q518" s="57" t="s">
        <v>4370</v>
      </c>
      <c r="R518" s="57" t="s">
        <v>17274</v>
      </c>
      <c r="S518" s="57" t="s">
        <v>17275</v>
      </c>
      <c r="T518" s="57" t="s">
        <v>15190</v>
      </c>
      <c r="U518" s="57" t="s">
        <v>14184</v>
      </c>
      <c r="V518" s="56" t="s">
        <v>14153</v>
      </c>
      <c r="W518" s="58"/>
      <c r="X518" s="57" t="s">
        <v>17276</v>
      </c>
      <c r="Y518" s="57" t="s">
        <v>15170</v>
      </c>
      <c r="Z518" s="61" t="s">
        <v>14605</v>
      </c>
      <c r="AA518" s="61" t="s">
        <v>17079</v>
      </c>
      <c r="AB518" s="58"/>
      <c r="AC518" s="57" t="s">
        <v>15172</v>
      </c>
      <c r="AD518" s="58"/>
      <c r="AE518" s="58"/>
      <c r="AF518" s="58"/>
      <c r="AG518" s="58"/>
      <c r="AH518" s="58"/>
      <c r="AI518" s="58"/>
      <c r="AJ518" s="58"/>
      <c r="AK518" s="56" t="s">
        <v>1285</v>
      </c>
      <c r="AL518" s="56" t="s">
        <v>17277</v>
      </c>
      <c r="AM518" s="58"/>
      <c r="AN518" s="56" t="s">
        <v>17278</v>
      </c>
      <c r="AO518" s="58"/>
      <c r="AP518" s="63">
        <v>45835.5370833333</v>
      </c>
      <c r="AQ518" s="56" t="s">
        <v>17279</v>
      </c>
      <c r="AR518" s="61" t="s">
        <v>15448</v>
      </c>
      <c r="AS518" s="57" t="s">
        <v>14184</v>
      </c>
      <c r="AT518" s="56" t="s">
        <v>15177</v>
      </c>
      <c r="AU518" s="56" t="s">
        <v>17280</v>
      </c>
      <c r="AV518" s="58"/>
      <c r="AW518" s="64">
        <v>45680.6978935185</v>
      </c>
      <c r="AX518" s="56" t="s">
        <v>17277</v>
      </c>
      <c r="AY518" s="56" t="s">
        <v>15179</v>
      </c>
      <c r="AZ518" s="58"/>
      <c r="BA518" s="58"/>
      <c r="BB518" s="58"/>
      <c r="BC518" s="56" t="s">
        <v>1664</v>
      </c>
      <c r="BD518" s="56" t="s">
        <v>15197</v>
      </c>
      <c r="BE518" s="56" t="s">
        <v>17281</v>
      </c>
      <c r="BF518" s="56" t="s">
        <v>15181</v>
      </c>
      <c r="BG518" s="58"/>
      <c r="BH518" s="58"/>
      <c r="BI518" s="57" t="s">
        <v>2801</v>
      </c>
      <c r="BJ518" s="58"/>
      <c r="BK518" s="58"/>
      <c r="BL518" s="66">
        <v>3400714</v>
      </c>
      <c r="BM518" s="56" t="s">
        <v>17282</v>
      </c>
      <c r="BN518" s="58"/>
      <c r="BO518" s="67">
        <v>460</v>
      </c>
      <c r="BP518" s="56" t="s">
        <v>15450</v>
      </c>
      <c r="BQ518" s="58"/>
      <c r="BR518" s="56" t="s">
        <v>17283</v>
      </c>
      <c r="BS518" s="56" t="s">
        <v>1285</v>
      </c>
      <c r="BT518" s="58"/>
      <c r="BU518" s="56" t="s">
        <v>17279</v>
      </c>
      <c r="BV518" s="58"/>
      <c r="BW518" s="58"/>
      <c r="BX518" s="67">
        <v>460</v>
      </c>
      <c r="BY518" s="56" t="s">
        <v>1285</v>
      </c>
      <c r="BZ518" s="58"/>
      <c r="CA518" s="58"/>
      <c r="CB518" s="58"/>
      <c r="CC518" s="58"/>
      <c r="CD518" s="58"/>
    </row>
    <row r="519" ht="108" spans="1:82">
      <c r="A519" s="56" t="s">
        <v>17287</v>
      </c>
      <c r="B519" s="58"/>
      <c r="C519" s="57" t="s">
        <v>17272</v>
      </c>
      <c r="D519" s="58"/>
      <c r="E519" s="57" t="s">
        <v>15158</v>
      </c>
      <c r="F519" s="57" t="s">
        <v>17273</v>
      </c>
      <c r="G519" s="57" t="s">
        <v>15160</v>
      </c>
      <c r="H519" s="56" t="s">
        <v>4370</v>
      </c>
      <c r="I519" s="60">
        <v>17013</v>
      </c>
      <c r="J519" s="57" t="s">
        <v>1285</v>
      </c>
      <c r="K519" s="57" t="s">
        <v>15162</v>
      </c>
      <c r="L519" s="57" t="s">
        <v>15163</v>
      </c>
      <c r="M519" s="61" t="s">
        <v>17079</v>
      </c>
      <c r="N519" s="62" t="s">
        <v>14909</v>
      </c>
      <c r="O519" s="57" t="s">
        <v>15165</v>
      </c>
      <c r="P519" s="57" t="s">
        <v>15166</v>
      </c>
      <c r="Q519" s="57" t="s">
        <v>4370</v>
      </c>
      <c r="R519" s="57" t="s">
        <v>17274</v>
      </c>
      <c r="S519" s="57" t="s">
        <v>17275</v>
      </c>
      <c r="T519" s="57" t="s">
        <v>15190</v>
      </c>
      <c r="U519" s="57" t="s">
        <v>14184</v>
      </c>
      <c r="V519" s="56" t="s">
        <v>14153</v>
      </c>
      <c r="W519" s="58"/>
      <c r="X519" s="57" t="s">
        <v>17276</v>
      </c>
      <c r="Y519" s="57" t="s">
        <v>15170</v>
      </c>
      <c r="Z519" s="61" t="s">
        <v>14605</v>
      </c>
      <c r="AA519" s="61" t="s">
        <v>17079</v>
      </c>
      <c r="AB519" s="58"/>
      <c r="AC519" s="57" t="s">
        <v>15172</v>
      </c>
      <c r="AD519" s="58"/>
      <c r="AE519" s="58"/>
      <c r="AF519" s="58"/>
      <c r="AG519" s="58"/>
      <c r="AH519" s="58"/>
      <c r="AI519" s="58"/>
      <c r="AJ519" s="58"/>
      <c r="AK519" s="56" t="s">
        <v>1285</v>
      </c>
      <c r="AL519" s="56" t="s">
        <v>17277</v>
      </c>
      <c r="AM519" s="58"/>
      <c r="AN519" s="56" t="s">
        <v>17278</v>
      </c>
      <c r="AO519" s="58"/>
      <c r="AP519" s="63">
        <v>45835.5370833333</v>
      </c>
      <c r="AQ519" s="56" t="s">
        <v>17279</v>
      </c>
      <c r="AR519" s="61" t="s">
        <v>15448</v>
      </c>
      <c r="AS519" s="57" t="s">
        <v>14184</v>
      </c>
      <c r="AT519" s="56" t="s">
        <v>15177</v>
      </c>
      <c r="AU519" s="56" t="s">
        <v>17280</v>
      </c>
      <c r="AV519" s="58"/>
      <c r="AW519" s="64">
        <v>45680.6978935185</v>
      </c>
      <c r="AX519" s="56" t="s">
        <v>17277</v>
      </c>
      <c r="AY519" s="56" t="s">
        <v>15179</v>
      </c>
      <c r="AZ519" s="58"/>
      <c r="BA519" s="58"/>
      <c r="BB519" s="58"/>
      <c r="BC519" s="56" t="s">
        <v>1664</v>
      </c>
      <c r="BD519" s="56" t="s">
        <v>15197</v>
      </c>
      <c r="BE519" s="56" t="s">
        <v>17281</v>
      </c>
      <c r="BF519" s="56" t="s">
        <v>15181</v>
      </c>
      <c r="BG519" s="58"/>
      <c r="BH519" s="58"/>
      <c r="BI519" s="57" t="s">
        <v>2801</v>
      </c>
      <c r="BJ519" s="58"/>
      <c r="BK519" s="58"/>
      <c r="BL519" s="66">
        <v>3400715</v>
      </c>
      <c r="BM519" s="56" t="s">
        <v>17282</v>
      </c>
      <c r="BN519" s="58"/>
      <c r="BO519" s="67">
        <v>3510</v>
      </c>
      <c r="BP519" s="56" t="s">
        <v>15450</v>
      </c>
      <c r="BQ519" s="58"/>
      <c r="BR519" s="56" t="s">
        <v>17283</v>
      </c>
      <c r="BS519" s="56" t="s">
        <v>1285</v>
      </c>
      <c r="BT519" s="58"/>
      <c r="BU519" s="56" t="s">
        <v>17279</v>
      </c>
      <c r="BV519" s="58"/>
      <c r="BW519" s="58"/>
      <c r="BX519" s="67">
        <v>3510</v>
      </c>
      <c r="BY519" s="56" t="s">
        <v>1285</v>
      </c>
      <c r="BZ519" s="58"/>
      <c r="CA519" s="58"/>
      <c r="CB519" s="58"/>
      <c r="CC519" s="58"/>
      <c r="CD519" s="58"/>
    </row>
    <row r="520" ht="108" spans="1:82">
      <c r="A520" s="56" t="s">
        <v>17288</v>
      </c>
      <c r="B520" s="58"/>
      <c r="C520" s="57" t="s">
        <v>17272</v>
      </c>
      <c r="D520" s="58"/>
      <c r="E520" s="57" t="s">
        <v>15158</v>
      </c>
      <c r="F520" s="57" t="s">
        <v>17273</v>
      </c>
      <c r="G520" s="57" t="s">
        <v>15160</v>
      </c>
      <c r="H520" s="56" t="s">
        <v>4370</v>
      </c>
      <c r="I520" s="60">
        <v>17013</v>
      </c>
      <c r="J520" s="57" t="s">
        <v>1285</v>
      </c>
      <c r="K520" s="57" t="s">
        <v>15162</v>
      </c>
      <c r="L520" s="57" t="s">
        <v>15163</v>
      </c>
      <c r="M520" s="61" t="s">
        <v>17079</v>
      </c>
      <c r="N520" s="62" t="s">
        <v>14909</v>
      </c>
      <c r="O520" s="57" t="s">
        <v>15165</v>
      </c>
      <c r="P520" s="57" t="s">
        <v>15166</v>
      </c>
      <c r="Q520" s="57" t="s">
        <v>4370</v>
      </c>
      <c r="R520" s="57" t="s">
        <v>17274</v>
      </c>
      <c r="S520" s="57" t="s">
        <v>17275</v>
      </c>
      <c r="T520" s="57" t="s">
        <v>15190</v>
      </c>
      <c r="U520" s="57" t="s">
        <v>14184</v>
      </c>
      <c r="V520" s="56" t="s">
        <v>14153</v>
      </c>
      <c r="W520" s="58"/>
      <c r="X520" s="57" t="s">
        <v>17276</v>
      </c>
      <c r="Y520" s="57" t="s">
        <v>15170</v>
      </c>
      <c r="Z520" s="61" t="s">
        <v>14605</v>
      </c>
      <c r="AA520" s="61" t="s">
        <v>17079</v>
      </c>
      <c r="AB520" s="58"/>
      <c r="AC520" s="57" t="s">
        <v>15172</v>
      </c>
      <c r="AD520" s="58"/>
      <c r="AE520" s="58"/>
      <c r="AF520" s="58"/>
      <c r="AG520" s="58"/>
      <c r="AH520" s="58"/>
      <c r="AI520" s="58"/>
      <c r="AJ520" s="58"/>
      <c r="AK520" s="56" t="s">
        <v>1285</v>
      </c>
      <c r="AL520" s="56" t="s">
        <v>17277</v>
      </c>
      <c r="AM520" s="58"/>
      <c r="AN520" s="56" t="s">
        <v>17278</v>
      </c>
      <c r="AO520" s="58"/>
      <c r="AP520" s="63">
        <v>45835.5370833333</v>
      </c>
      <c r="AQ520" s="56" t="s">
        <v>17279</v>
      </c>
      <c r="AR520" s="61" t="s">
        <v>15448</v>
      </c>
      <c r="AS520" s="57" t="s">
        <v>14184</v>
      </c>
      <c r="AT520" s="56" t="s">
        <v>15177</v>
      </c>
      <c r="AU520" s="56" t="s">
        <v>17280</v>
      </c>
      <c r="AV520" s="58"/>
      <c r="AW520" s="64">
        <v>45680.6978935185</v>
      </c>
      <c r="AX520" s="56" t="s">
        <v>17277</v>
      </c>
      <c r="AY520" s="56" t="s">
        <v>15179</v>
      </c>
      <c r="AZ520" s="58"/>
      <c r="BA520" s="58"/>
      <c r="BB520" s="58"/>
      <c r="BC520" s="56" t="s">
        <v>138</v>
      </c>
      <c r="BD520" s="56" t="s">
        <v>15197</v>
      </c>
      <c r="BE520" s="56" t="s">
        <v>17281</v>
      </c>
      <c r="BF520" s="56" t="s">
        <v>15181</v>
      </c>
      <c r="BG520" s="58"/>
      <c r="BH520" s="58"/>
      <c r="BI520" s="57" t="s">
        <v>2801</v>
      </c>
      <c r="BJ520" s="58"/>
      <c r="BK520" s="58"/>
      <c r="BL520" s="66">
        <v>3400716</v>
      </c>
      <c r="BM520" s="56" t="s">
        <v>17282</v>
      </c>
      <c r="BN520" s="58"/>
      <c r="BO520" s="67">
        <v>132</v>
      </c>
      <c r="BP520" s="56" t="s">
        <v>15450</v>
      </c>
      <c r="BQ520" s="58"/>
      <c r="BR520" s="56" t="s">
        <v>17283</v>
      </c>
      <c r="BS520" s="56" t="s">
        <v>1285</v>
      </c>
      <c r="BT520" s="58"/>
      <c r="BU520" s="56" t="s">
        <v>17279</v>
      </c>
      <c r="BV520" s="58"/>
      <c r="BW520" s="58"/>
      <c r="BX520" s="67">
        <v>132</v>
      </c>
      <c r="BY520" s="56" t="s">
        <v>1285</v>
      </c>
      <c r="BZ520" s="58"/>
      <c r="CA520" s="58"/>
      <c r="CB520" s="58"/>
      <c r="CC520" s="58"/>
      <c r="CD520" s="58"/>
    </row>
    <row r="521" ht="108" spans="1:82">
      <c r="A521" s="56" t="s">
        <v>17289</v>
      </c>
      <c r="B521" s="58"/>
      <c r="C521" s="57" t="s">
        <v>17272</v>
      </c>
      <c r="D521" s="58"/>
      <c r="E521" s="57" t="s">
        <v>15158</v>
      </c>
      <c r="F521" s="57" t="s">
        <v>17273</v>
      </c>
      <c r="G521" s="57" t="s">
        <v>15160</v>
      </c>
      <c r="H521" s="56" t="s">
        <v>4370</v>
      </c>
      <c r="I521" s="60">
        <v>17013</v>
      </c>
      <c r="J521" s="57" t="s">
        <v>1285</v>
      </c>
      <c r="K521" s="57" t="s">
        <v>15162</v>
      </c>
      <c r="L521" s="57" t="s">
        <v>15163</v>
      </c>
      <c r="M521" s="61" t="s">
        <v>17079</v>
      </c>
      <c r="N521" s="62" t="s">
        <v>14909</v>
      </c>
      <c r="O521" s="57" t="s">
        <v>15165</v>
      </c>
      <c r="P521" s="57" t="s">
        <v>15166</v>
      </c>
      <c r="Q521" s="57" t="s">
        <v>4370</v>
      </c>
      <c r="R521" s="57" t="s">
        <v>17274</v>
      </c>
      <c r="S521" s="57" t="s">
        <v>17275</v>
      </c>
      <c r="T521" s="57" t="s">
        <v>15190</v>
      </c>
      <c r="U521" s="57" t="s">
        <v>14184</v>
      </c>
      <c r="V521" s="56" t="s">
        <v>14153</v>
      </c>
      <c r="W521" s="58"/>
      <c r="X521" s="57" t="s">
        <v>17276</v>
      </c>
      <c r="Y521" s="57" t="s">
        <v>15170</v>
      </c>
      <c r="Z521" s="61" t="s">
        <v>14605</v>
      </c>
      <c r="AA521" s="61" t="s">
        <v>17079</v>
      </c>
      <c r="AB521" s="58"/>
      <c r="AC521" s="57" t="s">
        <v>15172</v>
      </c>
      <c r="AD521" s="58"/>
      <c r="AE521" s="58"/>
      <c r="AF521" s="58"/>
      <c r="AG521" s="58"/>
      <c r="AH521" s="58"/>
      <c r="AI521" s="58"/>
      <c r="AJ521" s="58"/>
      <c r="AK521" s="56" t="s">
        <v>1285</v>
      </c>
      <c r="AL521" s="56" t="s">
        <v>17277</v>
      </c>
      <c r="AM521" s="58"/>
      <c r="AN521" s="56" t="s">
        <v>17278</v>
      </c>
      <c r="AO521" s="58"/>
      <c r="AP521" s="63">
        <v>45835.5370833333</v>
      </c>
      <c r="AQ521" s="56" t="s">
        <v>17279</v>
      </c>
      <c r="AR521" s="61" t="s">
        <v>15448</v>
      </c>
      <c r="AS521" s="57" t="s">
        <v>14184</v>
      </c>
      <c r="AT521" s="56" t="s">
        <v>15177</v>
      </c>
      <c r="AU521" s="56" t="s">
        <v>17280</v>
      </c>
      <c r="AV521" s="58"/>
      <c r="AW521" s="64">
        <v>45680.6978935185</v>
      </c>
      <c r="AX521" s="56" t="s">
        <v>17277</v>
      </c>
      <c r="AY521" s="56" t="s">
        <v>15179</v>
      </c>
      <c r="AZ521" s="58"/>
      <c r="BA521" s="58"/>
      <c r="BB521" s="58"/>
      <c r="BC521" s="56" t="s">
        <v>1664</v>
      </c>
      <c r="BD521" s="56" t="s">
        <v>15197</v>
      </c>
      <c r="BE521" s="56" t="s">
        <v>17281</v>
      </c>
      <c r="BF521" s="56" t="s">
        <v>15181</v>
      </c>
      <c r="BG521" s="58"/>
      <c r="BH521" s="58"/>
      <c r="BI521" s="57" t="s">
        <v>2801</v>
      </c>
      <c r="BJ521" s="58"/>
      <c r="BK521" s="58"/>
      <c r="BL521" s="66">
        <v>3400717</v>
      </c>
      <c r="BM521" s="56" t="s">
        <v>17282</v>
      </c>
      <c r="BN521" s="58"/>
      <c r="BO521" s="67">
        <v>195</v>
      </c>
      <c r="BP521" s="56" t="s">
        <v>15450</v>
      </c>
      <c r="BQ521" s="58"/>
      <c r="BR521" s="56" t="s">
        <v>17283</v>
      </c>
      <c r="BS521" s="56" t="s">
        <v>1285</v>
      </c>
      <c r="BT521" s="58"/>
      <c r="BU521" s="56" t="s">
        <v>17279</v>
      </c>
      <c r="BV521" s="58"/>
      <c r="BW521" s="58"/>
      <c r="BX521" s="67">
        <v>195</v>
      </c>
      <c r="BY521" s="56" t="s">
        <v>1285</v>
      </c>
      <c r="BZ521" s="58"/>
      <c r="CA521" s="58"/>
      <c r="CB521" s="58"/>
      <c r="CC521" s="58"/>
      <c r="CD521" s="58"/>
    </row>
    <row r="522" ht="108" spans="1:82">
      <c r="A522" s="56" t="s">
        <v>17290</v>
      </c>
      <c r="B522" s="58"/>
      <c r="C522" s="57" t="s">
        <v>17272</v>
      </c>
      <c r="D522" s="58"/>
      <c r="E522" s="57" t="s">
        <v>15158</v>
      </c>
      <c r="F522" s="57" t="s">
        <v>17273</v>
      </c>
      <c r="G522" s="57" t="s">
        <v>15160</v>
      </c>
      <c r="H522" s="56" t="s">
        <v>4370</v>
      </c>
      <c r="I522" s="60">
        <v>17013</v>
      </c>
      <c r="J522" s="57" t="s">
        <v>1285</v>
      </c>
      <c r="K522" s="57" t="s">
        <v>15162</v>
      </c>
      <c r="L522" s="57" t="s">
        <v>15163</v>
      </c>
      <c r="M522" s="61" t="s">
        <v>17079</v>
      </c>
      <c r="N522" s="62" t="s">
        <v>14909</v>
      </c>
      <c r="O522" s="57" t="s">
        <v>15165</v>
      </c>
      <c r="P522" s="57" t="s">
        <v>15166</v>
      </c>
      <c r="Q522" s="57" t="s">
        <v>4370</v>
      </c>
      <c r="R522" s="57" t="s">
        <v>17274</v>
      </c>
      <c r="S522" s="57" t="s">
        <v>17275</v>
      </c>
      <c r="T522" s="57" t="s">
        <v>15190</v>
      </c>
      <c r="U522" s="57" t="s">
        <v>14184</v>
      </c>
      <c r="V522" s="56" t="s">
        <v>14153</v>
      </c>
      <c r="W522" s="58"/>
      <c r="X522" s="57" t="s">
        <v>17276</v>
      </c>
      <c r="Y522" s="57" t="s">
        <v>15170</v>
      </c>
      <c r="Z522" s="61" t="s">
        <v>14605</v>
      </c>
      <c r="AA522" s="61" t="s">
        <v>17079</v>
      </c>
      <c r="AB522" s="58"/>
      <c r="AC522" s="57" t="s">
        <v>15172</v>
      </c>
      <c r="AD522" s="58"/>
      <c r="AE522" s="58"/>
      <c r="AF522" s="58"/>
      <c r="AG522" s="58"/>
      <c r="AH522" s="58"/>
      <c r="AI522" s="58"/>
      <c r="AJ522" s="58"/>
      <c r="AK522" s="56" t="s">
        <v>1285</v>
      </c>
      <c r="AL522" s="56" t="s">
        <v>17277</v>
      </c>
      <c r="AM522" s="58"/>
      <c r="AN522" s="56" t="s">
        <v>17278</v>
      </c>
      <c r="AO522" s="58"/>
      <c r="AP522" s="63">
        <v>45835.5370833333</v>
      </c>
      <c r="AQ522" s="56" t="s">
        <v>17279</v>
      </c>
      <c r="AR522" s="61" t="s">
        <v>15448</v>
      </c>
      <c r="AS522" s="57" t="s">
        <v>14184</v>
      </c>
      <c r="AT522" s="56" t="s">
        <v>15177</v>
      </c>
      <c r="AU522" s="56" t="s">
        <v>17280</v>
      </c>
      <c r="AV522" s="58"/>
      <c r="AW522" s="64">
        <v>45680.6978935185</v>
      </c>
      <c r="AX522" s="56" t="s">
        <v>17277</v>
      </c>
      <c r="AY522" s="56" t="s">
        <v>15179</v>
      </c>
      <c r="AZ522" s="58"/>
      <c r="BA522" s="58"/>
      <c r="BB522" s="58"/>
      <c r="BC522" s="56" t="s">
        <v>1664</v>
      </c>
      <c r="BD522" s="56" t="s">
        <v>15197</v>
      </c>
      <c r="BE522" s="56" t="s">
        <v>17281</v>
      </c>
      <c r="BF522" s="56" t="s">
        <v>15181</v>
      </c>
      <c r="BG522" s="58"/>
      <c r="BH522" s="58"/>
      <c r="BI522" s="57" t="s">
        <v>2801</v>
      </c>
      <c r="BJ522" s="58"/>
      <c r="BK522" s="58"/>
      <c r="BL522" s="66">
        <v>3400718</v>
      </c>
      <c r="BM522" s="56" t="s">
        <v>17282</v>
      </c>
      <c r="BN522" s="58"/>
      <c r="BO522" s="67">
        <v>396</v>
      </c>
      <c r="BP522" s="56" t="s">
        <v>15450</v>
      </c>
      <c r="BQ522" s="58"/>
      <c r="BR522" s="56" t="s">
        <v>17283</v>
      </c>
      <c r="BS522" s="56" t="s">
        <v>1285</v>
      </c>
      <c r="BT522" s="58"/>
      <c r="BU522" s="56" t="s">
        <v>17279</v>
      </c>
      <c r="BV522" s="58"/>
      <c r="BW522" s="58"/>
      <c r="BX522" s="67">
        <v>396</v>
      </c>
      <c r="BY522" s="56" t="s">
        <v>1285</v>
      </c>
      <c r="BZ522" s="58"/>
      <c r="CA522" s="58"/>
      <c r="CB522" s="58"/>
      <c r="CC522" s="58"/>
      <c r="CD522" s="58"/>
    </row>
    <row r="523" ht="108" spans="1:82">
      <c r="A523" s="56" t="s">
        <v>17291</v>
      </c>
      <c r="B523" s="58"/>
      <c r="C523" s="57" t="s">
        <v>17272</v>
      </c>
      <c r="D523" s="58"/>
      <c r="E523" s="57" t="s">
        <v>15158</v>
      </c>
      <c r="F523" s="57" t="s">
        <v>17273</v>
      </c>
      <c r="G523" s="57" t="s">
        <v>15160</v>
      </c>
      <c r="H523" s="56" t="s">
        <v>4370</v>
      </c>
      <c r="I523" s="60">
        <v>17013</v>
      </c>
      <c r="J523" s="57" t="s">
        <v>1285</v>
      </c>
      <c r="K523" s="57" t="s">
        <v>15162</v>
      </c>
      <c r="L523" s="57" t="s">
        <v>15163</v>
      </c>
      <c r="M523" s="61" t="s">
        <v>17079</v>
      </c>
      <c r="N523" s="62" t="s">
        <v>14909</v>
      </c>
      <c r="O523" s="57" t="s">
        <v>15165</v>
      </c>
      <c r="P523" s="57" t="s">
        <v>15166</v>
      </c>
      <c r="Q523" s="57" t="s">
        <v>4370</v>
      </c>
      <c r="R523" s="57" t="s">
        <v>17274</v>
      </c>
      <c r="S523" s="57" t="s">
        <v>17275</v>
      </c>
      <c r="T523" s="57" t="s">
        <v>15190</v>
      </c>
      <c r="U523" s="57" t="s">
        <v>14184</v>
      </c>
      <c r="V523" s="56" t="s">
        <v>14153</v>
      </c>
      <c r="W523" s="58"/>
      <c r="X523" s="57" t="s">
        <v>17276</v>
      </c>
      <c r="Y523" s="57" t="s">
        <v>15170</v>
      </c>
      <c r="Z523" s="61" t="s">
        <v>14605</v>
      </c>
      <c r="AA523" s="61" t="s">
        <v>17079</v>
      </c>
      <c r="AB523" s="58"/>
      <c r="AC523" s="57" t="s">
        <v>15172</v>
      </c>
      <c r="AD523" s="58"/>
      <c r="AE523" s="58"/>
      <c r="AF523" s="58"/>
      <c r="AG523" s="58"/>
      <c r="AH523" s="58"/>
      <c r="AI523" s="58"/>
      <c r="AJ523" s="58"/>
      <c r="AK523" s="56" t="s">
        <v>1285</v>
      </c>
      <c r="AL523" s="56" t="s">
        <v>17277</v>
      </c>
      <c r="AM523" s="58"/>
      <c r="AN523" s="56" t="s">
        <v>17278</v>
      </c>
      <c r="AO523" s="58"/>
      <c r="AP523" s="63">
        <v>45835.5370833333</v>
      </c>
      <c r="AQ523" s="56" t="s">
        <v>17279</v>
      </c>
      <c r="AR523" s="61" t="s">
        <v>15448</v>
      </c>
      <c r="AS523" s="57" t="s">
        <v>14184</v>
      </c>
      <c r="AT523" s="56" t="s">
        <v>15177</v>
      </c>
      <c r="AU523" s="56" t="s">
        <v>17280</v>
      </c>
      <c r="AV523" s="58"/>
      <c r="AW523" s="64">
        <v>45680.6978935185</v>
      </c>
      <c r="AX523" s="56" t="s">
        <v>17277</v>
      </c>
      <c r="AY523" s="56" t="s">
        <v>15179</v>
      </c>
      <c r="AZ523" s="58"/>
      <c r="BA523" s="58"/>
      <c r="BB523" s="58"/>
      <c r="BC523" s="56" t="s">
        <v>1664</v>
      </c>
      <c r="BD523" s="56" t="s">
        <v>15197</v>
      </c>
      <c r="BE523" s="56" t="s">
        <v>17281</v>
      </c>
      <c r="BF523" s="56" t="s">
        <v>15181</v>
      </c>
      <c r="BG523" s="58"/>
      <c r="BH523" s="58"/>
      <c r="BI523" s="57" t="s">
        <v>2801</v>
      </c>
      <c r="BJ523" s="58"/>
      <c r="BK523" s="58"/>
      <c r="BL523" s="66">
        <v>3400719</v>
      </c>
      <c r="BM523" s="56" t="s">
        <v>17282</v>
      </c>
      <c r="BN523" s="58"/>
      <c r="BO523" s="67">
        <v>700</v>
      </c>
      <c r="BP523" s="56" t="s">
        <v>15450</v>
      </c>
      <c r="BQ523" s="58"/>
      <c r="BR523" s="56" t="s">
        <v>17283</v>
      </c>
      <c r="BS523" s="56" t="s">
        <v>1285</v>
      </c>
      <c r="BT523" s="58"/>
      <c r="BU523" s="56" t="s">
        <v>17279</v>
      </c>
      <c r="BV523" s="58"/>
      <c r="BW523" s="58"/>
      <c r="BX523" s="67">
        <v>700</v>
      </c>
      <c r="BY523" s="56" t="s">
        <v>1285</v>
      </c>
      <c r="BZ523" s="58"/>
      <c r="CA523" s="58"/>
      <c r="CB523" s="58"/>
      <c r="CC523" s="58"/>
      <c r="CD523" s="58"/>
    </row>
    <row r="524" ht="108" spans="1:82">
      <c r="A524" s="56" t="s">
        <v>17292</v>
      </c>
      <c r="B524" s="58"/>
      <c r="C524" s="57" t="s">
        <v>17272</v>
      </c>
      <c r="D524" s="58"/>
      <c r="E524" s="57" t="s">
        <v>15158</v>
      </c>
      <c r="F524" s="57" t="s">
        <v>17273</v>
      </c>
      <c r="G524" s="57" t="s">
        <v>15160</v>
      </c>
      <c r="H524" s="56" t="s">
        <v>4370</v>
      </c>
      <c r="I524" s="60">
        <v>17013</v>
      </c>
      <c r="J524" s="57" t="s">
        <v>1285</v>
      </c>
      <c r="K524" s="57" t="s">
        <v>15162</v>
      </c>
      <c r="L524" s="57" t="s">
        <v>15163</v>
      </c>
      <c r="M524" s="61" t="s">
        <v>17079</v>
      </c>
      <c r="N524" s="62" t="s">
        <v>14909</v>
      </c>
      <c r="O524" s="57" t="s">
        <v>15165</v>
      </c>
      <c r="P524" s="57" t="s">
        <v>15166</v>
      </c>
      <c r="Q524" s="57" t="s">
        <v>4370</v>
      </c>
      <c r="R524" s="57" t="s">
        <v>17274</v>
      </c>
      <c r="S524" s="57" t="s">
        <v>17275</v>
      </c>
      <c r="T524" s="57" t="s">
        <v>15190</v>
      </c>
      <c r="U524" s="57" t="s">
        <v>14184</v>
      </c>
      <c r="V524" s="56" t="s">
        <v>14153</v>
      </c>
      <c r="W524" s="58"/>
      <c r="X524" s="57" t="s">
        <v>17276</v>
      </c>
      <c r="Y524" s="57" t="s">
        <v>15170</v>
      </c>
      <c r="Z524" s="61" t="s">
        <v>14605</v>
      </c>
      <c r="AA524" s="61" t="s">
        <v>17079</v>
      </c>
      <c r="AB524" s="58"/>
      <c r="AC524" s="57" t="s">
        <v>15172</v>
      </c>
      <c r="AD524" s="58"/>
      <c r="AE524" s="58"/>
      <c r="AF524" s="58"/>
      <c r="AG524" s="58"/>
      <c r="AH524" s="58"/>
      <c r="AI524" s="58"/>
      <c r="AJ524" s="58"/>
      <c r="AK524" s="56" t="s">
        <v>1285</v>
      </c>
      <c r="AL524" s="56" t="s">
        <v>17277</v>
      </c>
      <c r="AM524" s="58"/>
      <c r="AN524" s="56" t="s">
        <v>17278</v>
      </c>
      <c r="AO524" s="58"/>
      <c r="AP524" s="63">
        <v>45835.5370833333</v>
      </c>
      <c r="AQ524" s="56" t="s">
        <v>17279</v>
      </c>
      <c r="AR524" s="61" t="s">
        <v>15448</v>
      </c>
      <c r="AS524" s="57" t="s">
        <v>14184</v>
      </c>
      <c r="AT524" s="56" t="s">
        <v>15177</v>
      </c>
      <c r="AU524" s="56" t="s">
        <v>17280</v>
      </c>
      <c r="AV524" s="58"/>
      <c r="AW524" s="64">
        <v>45680.6978935185</v>
      </c>
      <c r="AX524" s="56" t="s">
        <v>17277</v>
      </c>
      <c r="AY524" s="56" t="s">
        <v>15179</v>
      </c>
      <c r="AZ524" s="58"/>
      <c r="BA524" s="58"/>
      <c r="BB524" s="58"/>
      <c r="BC524" s="56" t="s">
        <v>1664</v>
      </c>
      <c r="BD524" s="56" t="s">
        <v>15197</v>
      </c>
      <c r="BE524" s="56" t="s">
        <v>17281</v>
      </c>
      <c r="BF524" s="56" t="s">
        <v>15181</v>
      </c>
      <c r="BG524" s="58"/>
      <c r="BH524" s="58"/>
      <c r="BI524" s="57" t="s">
        <v>2801</v>
      </c>
      <c r="BJ524" s="58"/>
      <c r="BK524" s="58"/>
      <c r="BL524" s="66">
        <v>3399381</v>
      </c>
      <c r="BM524" s="56" t="s">
        <v>17282</v>
      </c>
      <c r="BN524" s="58"/>
      <c r="BO524" s="67">
        <v>2640</v>
      </c>
      <c r="BP524" s="56" t="s">
        <v>15450</v>
      </c>
      <c r="BQ524" s="58"/>
      <c r="BR524" s="56" t="s">
        <v>17283</v>
      </c>
      <c r="BS524" s="56" t="s">
        <v>1285</v>
      </c>
      <c r="BT524" s="58"/>
      <c r="BU524" s="56" t="s">
        <v>17279</v>
      </c>
      <c r="BV524" s="58"/>
      <c r="BW524" s="58"/>
      <c r="BX524" s="67">
        <v>2640</v>
      </c>
      <c r="BY524" s="56" t="s">
        <v>1285</v>
      </c>
      <c r="BZ524" s="58"/>
      <c r="CA524" s="58"/>
      <c r="CB524" s="58"/>
      <c r="CC524" s="58"/>
      <c r="CD524" s="58"/>
    </row>
    <row r="525" ht="108" spans="1:82">
      <c r="A525" s="56" t="s">
        <v>17293</v>
      </c>
      <c r="B525" s="58"/>
      <c r="C525" s="57" t="s">
        <v>17272</v>
      </c>
      <c r="D525" s="58"/>
      <c r="E525" s="57" t="s">
        <v>15158</v>
      </c>
      <c r="F525" s="57" t="s">
        <v>17273</v>
      </c>
      <c r="G525" s="57" t="s">
        <v>15160</v>
      </c>
      <c r="H525" s="56" t="s">
        <v>4370</v>
      </c>
      <c r="I525" s="60">
        <v>17013</v>
      </c>
      <c r="J525" s="57" t="s">
        <v>1285</v>
      </c>
      <c r="K525" s="57" t="s">
        <v>15162</v>
      </c>
      <c r="L525" s="57" t="s">
        <v>15163</v>
      </c>
      <c r="M525" s="61" t="s">
        <v>17079</v>
      </c>
      <c r="N525" s="62" t="s">
        <v>14909</v>
      </c>
      <c r="O525" s="57" t="s">
        <v>15165</v>
      </c>
      <c r="P525" s="57" t="s">
        <v>15166</v>
      </c>
      <c r="Q525" s="57" t="s">
        <v>4370</v>
      </c>
      <c r="R525" s="57" t="s">
        <v>17274</v>
      </c>
      <c r="S525" s="57" t="s">
        <v>17275</v>
      </c>
      <c r="T525" s="57" t="s">
        <v>15190</v>
      </c>
      <c r="U525" s="57" t="s">
        <v>14184</v>
      </c>
      <c r="V525" s="56" t="s">
        <v>14153</v>
      </c>
      <c r="W525" s="58"/>
      <c r="X525" s="57" t="s">
        <v>17276</v>
      </c>
      <c r="Y525" s="57" t="s">
        <v>15170</v>
      </c>
      <c r="Z525" s="61" t="s">
        <v>14605</v>
      </c>
      <c r="AA525" s="61" t="s">
        <v>17079</v>
      </c>
      <c r="AB525" s="58"/>
      <c r="AC525" s="57" t="s">
        <v>15172</v>
      </c>
      <c r="AD525" s="58"/>
      <c r="AE525" s="58"/>
      <c r="AF525" s="58"/>
      <c r="AG525" s="58"/>
      <c r="AH525" s="58"/>
      <c r="AI525" s="58"/>
      <c r="AJ525" s="58"/>
      <c r="AK525" s="56" t="s">
        <v>1285</v>
      </c>
      <c r="AL525" s="56" t="s">
        <v>17277</v>
      </c>
      <c r="AM525" s="58"/>
      <c r="AN525" s="56" t="s">
        <v>17278</v>
      </c>
      <c r="AO525" s="58"/>
      <c r="AP525" s="63">
        <v>45835.5370833333</v>
      </c>
      <c r="AQ525" s="56" t="s">
        <v>17279</v>
      </c>
      <c r="AR525" s="61" t="s">
        <v>15448</v>
      </c>
      <c r="AS525" s="57" t="s">
        <v>14184</v>
      </c>
      <c r="AT525" s="56" t="s">
        <v>15177</v>
      </c>
      <c r="AU525" s="56" t="s">
        <v>17280</v>
      </c>
      <c r="AV525" s="58"/>
      <c r="AW525" s="64">
        <v>45680.6978935185</v>
      </c>
      <c r="AX525" s="56" t="s">
        <v>17277</v>
      </c>
      <c r="AY525" s="56" t="s">
        <v>15179</v>
      </c>
      <c r="AZ525" s="58"/>
      <c r="BA525" s="58"/>
      <c r="BB525" s="58"/>
      <c r="BC525" s="56" t="s">
        <v>1664</v>
      </c>
      <c r="BD525" s="56" t="s">
        <v>15197</v>
      </c>
      <c r="BE525" s="56" t="s">
        <v>17281</v>
      </c>
      <c r="BF525" s="56" t="s">
        <v>15181</v>
      </c>
      <c r="BG525" s="58"/>
      <c r="BH525" s="58"/>
      <c r="BI525" s="57" t="s">
        <v>2801</v>
      </c>
      <c r="BJ525" s="58"/>
      <c r="BK525" s="58"/>
      <c r="BL525" s="66">
        <v>3399382</v>
      </c>
      <c r="BM525" s="56" t="s">
        <v>17282</v>
      </c>
      <c r="BN525" s="58"/>
      <c r="BO525" s="67">
        <v>7000</v>
      </c>
      <c r="BP525" s="56" t="s">
        <v>15450</v>
      </c>
      <c r="BQ525" s="58"/>
      <c r="BR525" s="56" t="s">
        <v>17283</v>
      </c>
      <c r="BS525" s="56" t="s">
        <v>1285</v>
      </c>
      <c r="BT525" s="58"/>
      <c r="BU525" s="56" t="s">
        <v>17279</v>
      </c>
      <c r="BV525" s="58"/>
      <c r="BW525" s="58"/>
      <c r="BX525" s="67">
        <v>7000</v>
      </c>
      <c r="BY525" s="56" t="s">
        <v>1285</v>
      </c>
      <c r="BZ525" s="58"/>
      <c r="CA525" s="58"/>
      <c r="CB525" s="58"/>
      <c r="CC525" s="58"/>
      <c r="CD525" s="58"/>
    </row>
    <row r="526" ht="81" spans="1:82">
      <c r="A526" s="56" t="s">
        <v>17294</v>
      </c>
      <c r="B526" s="57" t="s">
        <v>15245</v>
      </c>
      <c r="C526" s="58"/>
      <c r="D526" s="57" t="s">
        <v>15396</v>
      </c>
      <c r="E526" s="57" t="s">
        <v>15158</v>
      </c>
      <c r="F526" s="57" t="s">
        <v>17295</v>
      </c>
      <c r="G526" s="57" t="s">
        <v>15183</v>
      </c>
      <c r="H526" s="56" t="s">
        <v>15077</v>
      </c>
      <c r="I526" s="60">
        <v>90600</v>
      </c>
      <c r="J526" s="57" t="s">
        <v>1285</v>
      </c>
      <c r="K526" s="57" t="s">
        <v>15162</v>
      </c>
      <c r="L526" s="57" t="s">
        <v>15163</v>
      </c>
      <c r="M526" s="61" t="s">
        <v>15030</v>
      </c>
      <c r="N526" s="58"/>
      <c r="O526" s="57" t="s">
        <v>15250</v>
      </c>
      <c r="P526" s="57" t="s">
        <v>15251</v>
      </c>
      <c r="Q526" s="57" t="s">
        <v>15077</v>
      </c>
      <c r="R526" s="57" t="s">
        <v>15397</v>
      </c>
      <c r="S526" s="57" t="s">
        <v>15398</v>
      </c>
      <c r="T526" s="57" t="s">
        <v>15190</v>
      </c>
      <c r="U526" s="57" t="s">
        <v>15074</v>
      </c>
      <c r="V526" s="56" t="s">
        <v>14153</v>
      </c>
      <c r="W526" s="58"/>
      <c r="X526" s="57" t="s">
        <v>15399</v>
      </c>
      <c r="Y526" s="57" t="s">
        <v>15170</v>
      </c>
      <c r="Z526" s="61" t="s">
        <v>14498</v>
      </c>
      <c r="AA526" s="61" t="s">
        <v>15030</v>
      </c>
      <c r="AB526" s="57" t="s">
        <v>15256</v>
      </c>
      <c r="AC526" s="57" t="s">
        <v>15172</v>
      </c>
      <c r="AD526" s="58"/>
      <c r="AE526" s="58"/>
      <c r="AF526" s="57" t="s">
        <v>15173</v>
      </c>
      <c r="AG526" s="58"/>
      <c r="AH526" s="58"/>
      <c r="AI526" s="57" t="s">
        <v>15173</v>
      </c>
      <c r="AJ526" s="58"/>
      <c r="AK526" s="56" t="s">
        <v>1285</v>
      </c>
      <c r="AL526" s="56" t="s">
        <v>17296</v>
      </c>
      <c r="AM526" s="58"/>
      <c r="AN526" s="56" t="s">
        <v>17278</v>
      </c>
      <c r="AO526" s="58"/>
      <c r="AP526" s="63">
        <v>45777.7905671296</v>
      </c>
      <c r="AQ526" s="56" t="s">
        <v>17297</v>
      </c>
      <c r="AR526" s="61" t="s">
        <v>15404</v>
      </c>
      <c r="AS526" s="57" t="s">
        <v>15074</v>
      </c>
      <c r="AT526" s="56" t="s">
        <v>15260</v>
      </c>
      <c r="AU526" s="56" t="s">
        <v>17298</v>
      </c>
      <c r="AV526" s="56" t="s">
        <v>15395</v>
      </c>
      <c r="AW526" s="64">
        <v>45756.5313888889</v>
      </c>
      <c r="AX526" s="56" t="s">
        <v>17296</v>
      </c>
      <c r="AY526" s="56" t="s">
        <v>15179</v>
      </c>
      <c r="AZ526" s="58"/>
      <c r="BA526" s="58"/>
      <c r="BB526" s="58"/>
      <c r="BC526" s="56" t="s">
        <v>15406</v>
      </c>
      <c r="BD526" s="56" t="s">
        <v>15407</v>
      </c>
      <c r="BE526" s="56" t="s">
        <v>2815</v>
      </c>
      <c r="BF526" s="56" t="s">
        <v>15181</v>
      </c>
      <c r="BG526" s="58"/>
      <c r="BH526" s="58"/>
      <c r="BI526" s="57" t="s">
        <v>2801</v>
      </c>
      <c r="BJ526" s="58"/>
      <c r="BK526" s="58"/>
      <c r="BL526" s="58"/>
      <c r="BM526" s="58"/>
      <c r="BN526" s="67">
        <v>90600</v>
      </c>
      <c r="BO526" s="58"/>
      <c r="BP526" s="56" t="s">
        <v>15409</v>
      </c>
      <c r="BQ526" s="58"/>
      <c r="BR526" s="58"/>
      <c r="BS526" s="58"/>
      <c r="BT526" s="58"/>
      <c r="BU526" s="56" t="s">
        <v>17297</v>
      </c>
      <c r="BV526" s="58"/>
      <c r="BW526" s="58"/>
      <c r="BX526" s="67">
        <v>90600</v>
      </c>
      <c r="BY526" s="56" t="s">
        <v>1285</v>
      </c>
      <c r="BZ526" s="56" t="s">
        <v>15264</v>
      </c>
      <c r="CA526" s="56" t="s">
        <v>15183</v>
      </c>
      <c r="CB526" s="56" t="s">
        <v>15183</v>
      </c>
      <c r="CC526" s="58"/>
      <c r="CD526" s="58"/>
    </row>
    <row r="527" ht="121.5" spans="1:82">
      <c r="A527" s="56" t="s">
        <v>17299</v>
      </c>
      <c r="B527" s="58"/>
      <c r="C527" s="57" t="s">
        <v>17300</v>
      </c>
      <c r="D527" s="58"/>
      <c r="E527" s="57" t="s">
        <v>15158</v>
      </c>
      <c r="F527" s="57" t="s">
        <v>17301</v>
      </c>
      <c r="G527" s="57" t="s">
        <v>15160</v>
      </c>
      <c r="H527" s="56" t="s">
        <v>5083</v>
      </c>
      <c r="I527" s="60">
        <v>60166</v>
      </c>
      <c r="J527" s="57" t="s">
        <v>1285</v>
      </c>
      <c r="K527" s="57" t="s">
        <v>15162</v>
      </c>
      <c r="L527" s="57" t="s">
        <v>15163</v>
      </c>
      <c r="M527" s="61" t="s">
        <v>15030</v>
      </c>
      <c r="N527" s="62" t="s">
        <v>15187</v>
      </c>
      <c r="O527" s="57" t="s">
        <v>15165</v>
      </c>
      <c r="P527" s="57" t="s">
        <v>15166</v>
      </c>
      <c r="Q527" s="57" t="s">
        <v>5083</v>
      </c>
      <c r="R527" s="57" t="s">
        <v>17302</v>
      </c>
      <c r="S527" s="57" t="s">
        <v>17303</v>
      </c>
      <c r="T527" s="57" t="s">
        <v>15190</v>
      </c>
      <c r="U527" s="57" t="s">
        <v>14184</v>
      </c>
      <c r="V527" s="56" t="s">
        <v>14153</v>
      </c>
      <c r="W527" s="58"/>
      <c r="X527" s="57" t="s">
        <v>17304</v>
      </c>
      <c r="Y527" s="57" t="s">
        <v>15170</v>
      </c>
      <c r="Z527" s="61" t="s">
        <v>15030</v>
      </c>
      <c r="AA527" s="61" t="s">
        <v>15030</v>
      </c>
      <c r="AB527" s="58"/>
      <c r="AC527" s="57" t="s">
        <v>15172</v>
      </c>
      <c r="AD527" s="58"/>
      <c r="AE527" s="58"/>
      <c r="AF527" s="58"/>
      <c r="AG527" s="58"/>
      <c r="AH527" s="58"/>
      <c r="AI527" s="58"/>
      <c r="AJ527" s="58"/>
      <c r="AK527" s="56" t="s">
        <v>1285</v>
      </c>
      <c r="AL527" s="56" t="s">
        <v>17305</v>
      </c>
      <c r="AM527" s="58"/>
      <c r="AN527" s="56" t="s">
        <v>16099</v>
      </c>
      <c r="AO527" s="58"/>
      <c r="AP527" s="63">
        <v>45777.8060648148</v>
      </c>
      <c r="AQ527" s="56" t="s">
        <v>17306</v>
      </c>
      <c r="AR527" s="61" t="s">
        <v>15404</v>
      </c>
      <c r="AS527" s="57" t="s">
        <v>14184</v>
      </c>
      <c r="AT527" s="56" t="s">
        <v>15177</v>
      </c>
      <c r="AU527" s="56" t="s">
        <v>17307</v>
      </c>
      <c r="AV527" s="58"/>
      <c r="AW527" s="64">
        <v>45768.755787037</v>
      </c>
      <c r="AX527" s="56" t="s">
        <v>17305</v>
      </c>
      <c r="AY527" s="56" t="s">
        <v>15179</v>
      </c>
      <c r="AZ527" s="58"/>
      <c r="BA527" s="58"/>
      <c r="BB527" s="58"/>
      <c r="BC527" s="56" t="s">
        <v>3124</v>
      </c>
      <c r="BD527" s="56" t="s">
        <v>15353</v>
      </c>
      <c r="BE527" s="56" t="s">
        <v>17308</v>
      </c>
      <c r="BF527" s="56" t="s">
        <v>15181</v>
      </c>
      <c r="BG527" s="58"/>
      <c r="BH527" s="58"/>
      <c r="BI527" s="57" t="s">
        <v>2801</v>
      </c>
      <c r="BJ527" s="58"/>
      <c r="BK527" s="58"/>
      <c r="BL527" s="66">
        <v>3376716</v>
      </c>
      <c r="BM527" s="56" t="s">
        <v>17309</v>
      </c>
      <c r="BN527" s="58"/>
      <c r="BO527" s="67">
        <v>60166</v>
      </c>
      <c r="BP527" s="56" t="s">
        <v>15409</v>
      </c>
      <c r="BQ527" s="58"/>
      <c r="BR527" s="56" t="s">
        <v>17310</v>
      </c>
      <c r="BS527" s="56" t="s">
        <v>1285</v>
      </c>
      <c r="BT527" s="58"/>
      <c r="BU527" s="56" t="s">
        <v>17306</v>
      </c>
      <c r="BV527" s="58"/>
      <c r="BW527" s="58"/>
      <c r="BX527" s="67">
        <v>60166</v>
      </c>
      <c r="BY527" s="56" t="s">
        <v>1285</v>
      </c>
      <c r="BZ527" s="58"/>
      <c r="CA527" s="58"/>
      <c r="CB527" s="58"/>
      <c r="CC527" s="58"/>
      <c r="CD527" s="58"/>
    </row>
    <row r="528" ht="108" spans="1:82">
      <c r="A528" s="56" t="s">
        <v>17311</v>
      </c>
      <c r="B528" s="58"/>
      <c r="C528" s="57" t="s">
        <v>17312</v>
      </c>
      <c r="D528" s="58"/>
      <c r="E528" s="57" t="s">
        <v>15158</v>
      </c>
      <c r="F528" s="57" t="s">
        <v>17313</v>
      </c>
      <c r="G528" s="57" t="s">
        <v>15160</v>
      </c>
      <c r="H528" s="56" t="s">
        <v>4054</v>
      </c>
      <c r="I528" s="60">
        <v>169435.7</v>
      </c>
      <c r="J528" s="57" t="s">
        <v>1285</v>
      </c>
      <c r="K528" s="57" t="s">
        <v>15162</v>
      </c>
      <c r="L528" s="57" t="s">
        <v>15163</v>
      </c>
      <c r="M528" s="61" t="s">
        <v>15030</v>
      </c>
      <c r="N528" s="62" t="s">
        <v>15331</v>
      </c>
      <c r="O528" s="57" t="s">
        <v>15165</v>
      </c>
      <c r="P528" s="57" t="s">
        <v>15166</v>
      </c>
      <c r="Q528" s="57" t="s">
        <v>4054</v>
      </c>
      <c r="R528" s="57" t="s">
        <v>15530</v>
      </c>
      <c r="S528" s="57" t="s">
        <v>15531</v>
      </c>
      <c r="T528" s="57" t="s">
        <v>15190</v>
      </c>
      <c r="U528" s="57" t="s">
        <v>14184</v>
      </c>
      <c r="V528" s="56" t="s">
        <v>14153</v>
      </c>
      <c r="W528" s="58"/>
      <c r="X528" s="57" t="s">
        <v>17314</v>
      </c>
      <c r="Y528" s="57" t="s">
        <v>15170</v>
      </c>
      <c r="Z528" s="61" t="s">
        <v>15255</v>
      </c>
      <c r="AA528" s="61" t="s">
        <v>15030</v>
      </c>
      <c r="AB528" s="58"/>
      <c r="AC528" s="57" t="s">
        <v>15172</v>
      </c>
      <c r="AD528" s="58"/>
      <c r="AE528" s="58"/>
      <c r="AF528" s="58"/>
      <c r="AG528" s="58"/>
      <c r="AH528" s="58"/>
      <c r="AI528" s="58"/>
      <c r="AJ528" s="58"/>
      <c r="AK528" s="56" t="s">
        <v>1285</v>
      </c>
      <c r="AL528" s="56" t="s">
        <v>17315</v>
      </c>
      <c r="AM528" s="58"/>
      <c r="AN528" s="56" t="s">
        <v>16111</v>
      </c>
      <c r="AO528" s="58"/>
      <c r="AP528" s="63">
        <v>45777.5881134259</v>
      </c>
      <c r="AQ528" s="56" t="s">
        <v>17316</v>
      </c>
      <c r="AR528" s="61" t="s">
        <v>15404</v>
      </c>
      <c r="AS528" s="57" t="s">
        <v>14184</v>
      </c>
      <c r="AT528" s="56" t="s">
        <v>15177</v>
      </c>
      <c r="AU528" s="56" t="s">
        <v>17317</v>
      </c>
      <c r="AV528" s="58"/>
      <c r="AW528" s="64">
        <v>45719.7509837963</v>
      </c>
      <c r="AX528" s="56" t="s">
        <v>17315</v>
      </c>
      <c r="AY528" s="56" t="s">
        <v>15179</v>
      </c>
      <c r="AZ528" s="58"/>
      <c r="BA528" s="58"/>
      <c r="BB528" s="58"/>
      <c r="BC528" s="56" t="s">
        <v>2902</v>
      </c>
      <c r="BD528" s="56" t="s">
        <v>15353</v>
      </c>
      <c r="BE528" s="56" t="s">
        <v>17318</v>
      </c>
      <c r="BF528" s="56" t="s">
        <v>15181</v>
      </c>
      <c r="BG528" s="58"/>
      <c r="BH528" s="58"/>
      <c r="BI528" s="57" t="s">
        <v>2801</v>
      </c>
      <c r="BJ528" s="58"/>
      <c r="BK528" s="58"/>
      <c r="BL528" s="66">
        <v>3220437</v>
      </c>
      <c r="BM528" s="56" t="s">
        <v>17319</v>
      </c>
      <c r="BN528" s="58"/>
      <c r="BO528" s="67">
        <v>134618.3</v>
      </c>
      <c r="BP528" s="56" t="s">
        <v>15409</v>
      </c>
      <c r="BQ528" s="58"/>
      <c r="BR528" s="56" t="s">
        <v>17320</v>
      </c>
      <c r="BS528" s="56" t="s">
        <v>1285</v>
      </c>
      <c r="BT528" s="58"/>
      <c r="BU528" s="56" t="s">
        <v>17316</v>
      </c>
      <c r="BV528" s="58"/>
      <c r="BW528" s="58"/>
      <c r="BX528" s="67">
        <v>134618.3</v>
      </c>
      <c r="BY528" s="56" t="s">
        <v>1285</v>
      </c>
      <c r="BZ528" s="58"/>
      <c r="CA528" s="58"/>
      <c r="CB528" s="58"/>
      <c r="CC528" s="58"/>
      <c r="CD528" s="58"/>
    </row>
    <row r="529" ht="108" spans="1:82">
      <c r="A529" s="56" t="s">
        <v>17321</v>
      </c>
      <c r="B529" s="58"/>
      <c r="C529" s="57" t="s">
        <v>17312</v>
      </c>
      <c r="D529" s="58"/>
      <c r="E529" s="57" t="s">
        <v>15158</v>
      </c>
      <c r="F529" s="57" t="s">
        <v>17313</v>
      </c>
      <c r="G529" s="57" t="s">
        <v>15160</v>
      </c>
      <c r="H529" s="56" t="s">
        <v>4054</v>
      </c>
      <c r="I529" s="60">
        <v>169435.7</v>
      </c>
      <c r="J529" s="57" t="s">
        <v>1285</v>
      </c>
      <c r="K529" s="57" t="s">
        <v>15162</v>
      </c>
      <c r="L529" s="57" t="s">
        <v>15163</v>
      </c>
      <c r="M529" s="61" t="s">
        <v>15030</v>
      </c>
      <c r="N529" s="62" t="s">
        <v>15331</v>
      </c>
      <c r="O529" s="57" t="s">
        <v>15165</v>
      </c>
      <c r="P529" s="57" t="s">
        <v>15166</v>
      </c>
      <c r="Q529" s="57" t="s">
        <v>4054</v>
      </c>
      <c r="R529" s="57" t="s">
        <v>15530</v>
      </c>
      <c r="S529" s="57" t="s">
        <v>15531</v>
      </c>
      <c r="T529" s="57" t="s">
        <v>15190</v>
      </c>
      <c r="U529" s="57" t="s">
        <v>14184</v>
      </c>
      <c r="V529" s="56" t="s">
        <v>14153</v>
      </c>
      <c r="W529" s="58"/>
      <c r="X529" s="57" t="s">
        <v>17314</v>
      </c>
      <c r="Y529" s="57" t="s">
        <v>15170</v>
      </c>
      <c r="Z529" s="61" t="s">
        <v>15255</v>
      </c>
      <c r="AA529" s="61" t="s">
        <v>15030</v>
      </c>
      <c r="AB529" s="58"/>
      <c r="AC529" s="57" t="s">
        <v>15172</v>
      </c>
      <c r="AD529" s="58"/>
      <c r="AE529" s="58"/>
      <c r="AF529" s="58"/>
      <c r="AG529" s="58"/>
      <c r="AH529" s="58"/>
      <c r="AI529" s="58"/>
      <c r="AJ529" s="58"/>
      <c r="AK529" s="56" t="s">
        <v>1285</v>
      </c>
      <c r="AL529" s="56" t="s">
        <v>17315</v>
      </c>
      <c r="AM529" s="58"/>
      <c r="AN529" s="56" t="s">
        <v>16111</v>
      </c>
      <c r="AO529" s="58"/>
      <c r="AP529" s="63">
        <v>45777.5881134259</v>
      </c>
      <c r="AQ529" s="56" t="s">
        <v>17316</v>
      </c>
      <c r="AR529" s="61" t="s">
        <v>15404</v>
      </c>
      <c r="AS529" s="57" t="s">
        <v>14184</v>
      </c>
      <c r="AT529" s="56" t="s">
        <v>15177</v>
      </c>
      <c r="AU529" s="56" t="s">
        <v>17317</v>
      </c>
      <c r="AV529" s="58"/>
      <c r="AW529" s="64">
        <v>45719.7509837963</v>
      </c>
      <c r="AX529" s="56" t="s">
        <v>17315</v>
      </c>
      <c r="AY529" s="56" t="s">
        <v>15179</v>
      </c>
      <c r="AZ529" s="58"/>
      <c r="BA529" s="58"/>
      <c r="BB529" s="58"/>
      <c r="BC529" s="56" t="s">
        <v>2902</v>
      </c>
      <c r="BD529" s="56" t="s">
        <v>15353</v>
      </c>
      <c r="BE529" s="56" t="s">
        <v>17318</v>
      </c>
      <c r="BF529" s="56" t="s">
        <v>15181</v>
      </c>
      <c r="BG529" s="58"/>
      <c r="BH529" s="58"/>
      <c r="BI529" s="57" t="s">
        <v>2801</v>
      </c>
      <c r="BJ529" s="58"/>
      <c r="BK529" s="58"/>
      <c r="BL529" s="66">
        <v>3220437</v>
      </c>
      <c r="BM529" s="56" t="s">
        <v>17319</v>
      </c>
      <c r="BN529" s="58"/>
      <c r="BO529" s="67">
        <v>34817.4</v>
      </c>
      <c r="BP529" s="56" t="s">
        <v>15409</v>
      </c>
      <c r="BQ529" s="58"/>
      <c r="BR529" s="56" t="s">
        <v>17320</v>
      </c>
      <c r="BS529" s="56" t="s">
        <v>1285</v>
      </c>
      <c r="BT529" s="58"/>
      <c r="BU529" s="56" t="s">
        <v>17316</v>
      </c>
      <c r="BV529" s="58"/>
      <c r="BW529" s="58"/>
      <c r="BX529" s="67">
        <v>34817.4</v>
      </c>
      <c r="BY529" s="56" t="s">
        <v>1285</v>
      </c>
      <c r="BZ529" s="58"/>
      <c r="CA529" s="58"/>
      <c r="CB529" s="58"/>
      <c r="CC529" s="58"/>
      <c r="CD529" s="58"/>
    </row>
    <row r="530" ht="108" spans="1:82">
      <c r="A530" s="56" t="s">
        <v>17322</v>
      </c>
      <c r="B530" s="58"/>
      <c r="C530" s="57" t="s">
        <v>17323</v>
      </c>
      <c r="D530" s="58"/>
      <c r="E530" s="57" t="s">
        <v>15158</v>
      </c>
      <c r="F530" s="57" t="s">
        <v>17324</v>
      </c>
      <c r="G530" s="57" t="s">
        <v>15160</v>
      </c>
      <c r="H530" s="56" t="s">
        <v>3947</v>
      </c>
      <c r="I530" s="60">
        <v>119800</v>
      </c>
      <c r="J530" s="57" t="s">
        <v>1285</v>
      </c>
      <c r="K530" s="57" t="s">
        <v>15162</v>
      </c>
      <c r="L530" s="57" t="s">
        <v>15163</v>
      </c>
      <c r="M530" s="61" t="s">
        <v>17325</v>
      </c>
      <c r="N530" s="62" t="s">
        <v>17326</v>
      </c>
      <c r="O530" s="57" t="s">
        <v>15165</v>
      </c>
      <c r="P530" s="57" t="s">
        <v>15166</v>
      </c>
      <c r="Q530" s="57" t="s">
        <v>3947</v>
      </c>
      <c r="R530" s="57" t="s">
        <v>17327</v>
      </c>
      <c r="S530" s="57" t="s">
        <v>17328</v>
      </c>
      <c r="T530" s="57" t="s">
        <v>15190</v>
      </c>
      <c r="U530" s="57" t="s">
        <v>14184</v>
      </c>
      <c r="V530" s="56" t="s">
        <v>14153</v>
      </c>
      <c r="W530" s="58"/>
      <c r="X530" s="57" t="s">
        <v>17329</v>
      </c>
      <c r="Y530" s="57" t="s">
        <v>15443</v>
      </c>
      <c r="Z530" s="61" t="s">
        <v>16254</v>
      </c>
      <c r="AA530" s="61" t="s">
        <v>17325</v>
      </c>
      <c r="AB530" s="58"/>
      <c r="AC530" s="57" t="s">
        <v>15172</v>
      </c>
      <c r="AD530" s="58"/>
      <c r="AE530" s="58"/>
      <c r="AF530" s="58"/>
      <c r="AG530" s="58"/>
      <c r="AH530" s="58"/>
      <c r="AI530" s="58"/>
      <c r="AJ530" s="58"/>
      <c r="AK530" s="56" t="s">
        <v>1285</v>
      </c>
      <c r="AL530" s="56" t="s">
        <v>17330</v>
      </c>
      <c r="AM530" s="58"/>
      <c r="AN530" s="56" t="s">
        <v>15193</v>
      </c>
      <c r="AO530" s="58"/>
      <c r="AP530" s="63">
        <v>45776.7961458333</v>
      </c>
      <c r="AQ530" s="56" t="s">
        <v>17331</v>
      </c>
      <c r="AR530" s="61" t="s">
        <v>15404</v>
      </c>
      <c r="AS530" s="57" t="s">
        <v>14184</v>
      </c>
      <c r="AT530" s="56" t="s">
        <v>15177</v>
      </c>
      <c r="AU530" s="56" t="s">
        <v>17332</v>
      </c>
      <c r="AV530" s="58"/>
      <c r="AW530" s="64">
        <v>45764.3918981481</v>
      </c>
      <c r="AX530" s="56" t="s">
        <v>17330</v>
      </c>
      <c r="AY530" s="56" t="s">
        <v>15179</v>
      </c>
      <c r="AZ530" s="58"/>
      <c r="BA530" s="58"/>
      <c r="BB530" s="58"/>
      <c r="BC530" s="56" t="s">
        <v>3124</v>
      </c>
      <c r="BD530" s="56" t="s">
        <v>15353</v>
      </c>
      <c r="BE530" s="56" t="s">
        <v>2872</v>
      </c>
      <c r="BF530" s="56" t="s">
        <v>15181</v>
      </c>
      <c r="BG530" s="58"/>
      <c r="BH530" s="58"/>
      <c r="BI530" s="57" t="s">
        <v>2801</v>
      </c>
      <c r="BJ530" s="58"/>
      <c r="BK530" s="58"/>
      <c r="BL530" s="66">
        <v>3538547</v>
      </c>
      <c r="BM530" s="56" t="s">
        <v>17333</v>
      </c>
      <c r="BN530" s="58"/>
      <c r="BO530" s="67">
        <v>119800</v>
      </c>
      <c r="BP530" s="56" t="s">
        <v>15409</v>
      </c>
      <c r="BQ530" s="58"/>
      <c r="BR530" s="56" t="s">
        <v>17334</v>
      </c>
      <c r="BS530" s="56" t="s">
        <v>1285</v>
      </c>
      <c r="BT530" s="58"/>
      <c r="BU530" s="56" t="s">
        <v>17331</v>
      </c>
      <c r="BV530" s="58"/>
      <c r="BW530" s="58"/>
      <c r="BX530" s="67">
        <v>119800</v>
      </c>
      <c r="BY530" s="56" t="s">
        <v>1285</v>
      </c>
      <c r="BZ530" s="58"/>
      <c r="CA530" s="58"/>
      <c r="CB530" s="58"/>
      <c r="CC530" s="58"/>
      <c r="CD530" s="58"/>
    </row>
    <row r="531" ht="108" spans="1:82">
      <c r="A531" s="56" t="s">
        <v>17335</v>
      </c>
      <c r="B531" s="57" t="s">
        <v>15156</v>
      </c>
      <c r="C531" s="58"/>
      <c r="D531" s="57" t="s">
        <v>17336</v>
      </c>
      <c r="E531" s="57" t="s">
        <v>15158</v>
      </c>
      <c r="F531" s="57" t="s">
        <v>17337</v>
      </c>
      <c r="G531" s="57" t="s">
        <v>15160</v>
      </c>
      <c r="H531" s="56" t="s">
        <v>15295</v>
      </c>
      <c r="I531" s="60">
        <v>31358</v>
      </c>
      <c r="J531" s="57" t="s">
        <v>1285</v>
      </c>
      <c r="K531" s="57" t="s">
        <v>15162</v>
      </c>
      <c r="L531" s="57" t="s">
        <v>15163</v>
      </c>
      <c r="M531" s="61" t="s">
        <v>17325</v>
      </c>
      <c r="N531" s="58"/>
      <c r="O531" s="57" t="s">
        <v>15165</v>
      </c>
      <c r="P531" s="57" t="s">
        <v>15166</v>
      </c>
      <c r="Q531" s="57" t="s">
        <v>15295</v>
      </c>
      <c r="R531" s="57" t="s">
        <v>15296</v>
      </c>
      <c r="S531" s="57" t="s">
        <v>15297</v>
      </c>
      <c r="T531" s="58"/>
      <c r="U531" s="57" t="s">
        <v>14184</v>
      </c>
      <c r="V531" s="56" t="s">
        <v>14153</v>
      </c>
      <c r="W531" s="58"/>
      <c r="X531" s="57" t="s">
        <v>17338</v>
      </c>
      <c r="Y531" s="57" t="s">
        <v>15443</v>
      </c>
      <c r="Z531" s="61" t="s">
        <v>16254</v>
      </c>
      <c r="AA531" s="61" t="s">
        <v>17325</v>
      </c>
      <c r="AB531" s="57" t="s">
        <v>15171</v>
      </c>
      <c r="AC531" s="57" t="s">
        <v>15172</v>
      </c>
      <c r="AD531" s="58"/>
      <c r="AE531" s="58"/>
      <c r="AF531" s="57" t="s">
        <v>15173</v>
      </c>
      <c r="AG531" s="58"/>
      <c r="AH531" s="58"/>
      <c r="AI531" s="57" t="s">
        <v>15173</v>
      </c>
      <c r="AJ531" s="58"/>
      <c r="AK531" s="56" t="s">
        <v>1285</v>
      </c>
      <c r="AL531" s="56" t="s">
        <v>17339</v>
      </c>
      <c r="AM531" s="58"/>
      <c r="AN531" s="56" t="s">
        <v>15175</v>
      </c>
      <c r="AO531" s="58"/>
      <c r="AP531" s="63">
        <v>45776.7987962963</v>
      </c>
      <c r="AQ531" s="56" t="s">
        <v>17340</v>
      </c>
      <c r="AR531" s="61" t="s">
        <v>15404</v>
      </c>
      <c r="AS531" s="57" t="s">
        <v>14184</v>
      </c>
      <c r="AT531" s="56" t="s">
        <v>15177</v>
      </c>
      <c r="AU531" s="56" t="s">
        <v>17341</v>
      </c>
      <c r="AV531" s="58"/>
      <c r="AW531" s="64">
        <v>45756.3879513889</v>
      </c>
      <c r="AX531" s="56" t="s">
        <v>17339</v>
      </c>
      <c r="AY531" s="56" t="s">
        <v>15179</v>
      </c>
      <c r="AZ531" s="58"/>
      <c r="BA531" s="58"/>
      <c r="BB531" s="58"/>
      <c r="BC531" s="58"/>
      <c r="BD531" s="56" t="s">
        <v>15276</v>
      </c>
      <c r="BE531" s="56" t="s">
        <v>15303</v>
      </c>
      <c r="BF531" s="56" t="s">
        <v>15181</v>
      </c>
      <c r="BG531" s="58"/>
      <c r="BH531" s="58"/>
      <c r="BI531" s="57" t="s">
        <v>2801</v>
      </c>
      <c r="BJ531" s="58"/>
      <c r="BK531" s="58"/>
      <c r="BL531" s="58"/>
      <c r="BM531" s="58"/>
      <c r="BN531" s="67">
        <v>31358</v>
      </c>
      <c r="BO531" s="58"/>
      <c r="BP531" s="56" t="s">
        <v>15409</v>
      </c>
      <c r="BQ531" s="58"/>
      <c r="BR531" s="58"/>
      <c r="BS531" s="58"/>
      <c r="BT531" s="58"/>
      <c r="BU531" s="56" t="s">
        <v>17340</v>
      </c>
      <c r="BV531" s="58"/>
      <c r="BW531" s="58"/>
      <c r="BX531" s="67">
        <v>31358</v>
      </c>
      <c r="BY531" s="56" t="s">
        <v>1285</v>
      </c>
      <c r="BZ531" s="58"/>
      <c r="CA531" s="56" t="s">
        <v>15183</v>
      </c>
      <c r="CB531" s="56" t="s">
        <v>15183</v>
      </c>
      <c r="CC531" s="58"/>
      <c r="CD531" s="58"/>
    </row>
    <row r="532" ht="108" spans="1:82">
      <c r="A532" s="56" t="s">
        <v>17342</v>
      </c>
      <c r="B532" s="57" t="s">
        <v>15156</v>
      </c>
      <c r="C532" s="58"/>
      <c r="D532" s="57" t="s">
        <v>17343</v>
      </c>
      <c r="E532" s="57" t="s">
        <v>15158</v>
      </c>
      <c r="F532" s="57" t="s">
        <v>17344</v>
      </c>
      <c r="G532" s="57" t="s">
        <v>15160</v>
      </c>
      <c r="H532" s="56" t="s">
        <v>15268</v>
      </c>
      <c r="I532" s="60">
        <v>40980</v>
      </c>
      <c r="J532" s="57" t="s">
        <v>1285</v>
      </c>
      <c r="K532" s="57" t="s">
        <v>15162</v>
      </c>
      <c r="L532" s="57" t="s">
        <v>15163</v>
      </c>
      <c r="M532" s="61" t="s">
        <v>17325</v>
      </c>
      <c r="N532" s="58"/>
      <c r="O532" s="57" t="s">
        <v>15165</v>
      </c>
      <c r="P532" s="57" t="s">
        <v>15166</v>
      </c>
      <c r="Q532" s="57" t="s">
        <v>15268</v>
      </c>
      <c r="R532" s="57" t="s">
        <v>15269</v>
      </c>
      <c r="S532" s="57" t="s">
        <v>15270</v>
      </c>
      <c r="T532" s="58"/>
      <c r="U532" s="57" t="s">
        <v>14184</v>
      </c>
      <c r="V532" s="56" t="s">
        <v>14153</v>
      </c>
      <c r="W532" s="58"/>
      <c r="X532" s="57" t="s">
        <v>17338</v>
      </c>
      <c r="Y532" s="57" t="s">
        <v>15443</v>
      </c>
      <c r="Z532" s="61" t="s">
        <v>16254</v>
      </c>
      <c r="AA532" s="61" t="s">
        <v>17325</v>
      </c>
      <c r="AB532" s="57" t="s">
        <v>15171</v>
      </c>
      <c r="AC532" s="57" t="s">
        <v>15172</v>
      </c>
      <c r="AD532" s="58"/>
      <c r="AE532" s="58"/>
      <c r="AF532" s="57" t="s">
        <v>15173</v>
      </c>
      <c r="AG532" s="58"/>
      <c r="AH532" s="58"/>
      <c r="AI532" s="57" t="s">
        <v>15173</v>
      </c>
      <c r="AJ532" s="58"/>
      <c r="AK532" s="56" t="s">
        <v>1285</v>
      </c>
      <c r="AL532" s="56" t="s">
        <v>17345</v>
      </c>
      <c r="AM532" s="58"/>
      <c r="AN532" s="56" t="s">
        <v>16135</v>
      </c>
      <c r="AO532" s="58"/>
      <c r="AP532" s="63">
        <v>45776.8000810185</v>
      </c>
      <c r="AQ532" s="56" t="s">
        <v>17346</v>
      </c>
      <c r="AR532" s="61" t="s">
        <v>15404</v>
      </c>
      <c r="AS532" s="57" t="s">
        <v>14184</v>
      </c>
      <c r="AT532" s="56" t="s">
        <v>15177</v>
      </c>
      <c r="AU532" s="56" t="s">
        <v>17347</v>
      </c>
      <c r="AV532" s="58"/>
      <c r="AW532" s="64">
        <v>45748.7489351852</v>
      </c>
      <c r="AX532" s="56" t="s">
        <v>17345</v>
      </c>
      <c r="AY532" s="56" t="s">
        <v>15179</v>
      </c>
      <c r="AZ532" s="58"/>
      <c r="BA532" s="58"/>
      <c r="BB532" s="58"/>
      <c r="BC532" s="58"/>
      <c r="BD532" s="56" t="s">
        <v>15276</v>
      </c>
      <c r="BE532" s="56" t="s">
        <v>15277</v>
      </c>
      <c r="BF532" s="56" t="s">
        <v>15181</v>
      </c>
      <c r="BG532" s="58"/>
      <c r="BH532" s="58"/>
      <c r="BI532" s="57" t="s">
        <v>2801</v>
      </c>
      <c r="BJ532" s="58"/>
      <c r="BK532" s="58"/>
      <c r="BL532" s="58"/>
      <c r="BM532" s="58"/>
      <c r="BN532" s="67">
        <v>40980</v>
      </c>
      <c r="BO532" s="58"/>
      <c r="BP532" s="56" t="s">
        <v>15409</v>
      </c>
      <c r="BQ532" s="58"/>
      <c r="BR532" s="58"/>
      <c r="BS532" s="58"/>
      <c r="BT532" s="56" t="s">
        <v>1285</v>
      </c>
      <c r="BU532" s="56" t="s">
        <v>17346</v>
      </c>
      <c r="BV532" s="58"/>
      <c r="BW532" s="58"/>
      <c r="BX532" s="67">
        <v>40980</v>
      </c>
      <c r="BY532" s="56" t="s">
        <v>1285</v>
      </c>
      <c r="BZ532" s="58"/>
      <c r="CA532" s="56" t="s">
        <v>15183</v>
      </c>
      <c r="CB532" s="56" t="s">
        <v>15183</v>
      </c>
      <c r="CC532" s="58"/>
      <c r="CD532" s="58"/>
    </row>
    <row r="533" ht="108" spans="1:82">
      <c r="A533" s="56" t="s">
        <v>17348</v>
      </c>
      <c r="B533" s="58"/>
      <c r="C533" s="57" t="s">
        <v>17349</v>
      </c>
      <c r="D533" s="58"/>
      <c r="E533" s="57" t="s">
        <v>15158</v>
      </c>
      <c r="F533" s="57" t="s">
        <v>17350</v>
      </c>
      <c r="G533" s="57" t="s">
        <v>15160</v>
      </c>
      <c r="H533" s="56" t="s">
        <v>4658</v>
      </c>
      <c r="I533" s="60">
        <v>19780</v>
      </c>
      <c r="J533" s="57" t="s">
        <v>1285</v>
      </c>
      <c r="K533" s="57" t="s">
        <v>15162</v>
      </c>
      <c r="L533" s="57" t="s">
        <v>15163</v>
      </c>
      <c r="M533" s="61" t="s">
        <v>17325</v>
      </c>
      <c r="N533" s="62" t="s">
        <v>15331</v>
      </c>
      <c r="O533" s="57" t="s">
        <v>15165</v>
      </c>
      <c r="P533" s="57" t="s">
        <v>15166</v>
      </c>
      <c r="Q533" s="57" t="s">
        <v>4658</v>
      </c>
      <c r="R533" s="57" t="s">
        <v>17351</v>
      </c>
      <c r="S533" s="57" t="s">
        <v>17352</v>
      </c>
      <c r="T533" s="57" t="s">
        <v>15190</v>
      </c>
      <c r="U533" s="57" t="s">
        <v>14184</v>
      </c>
      <c r="V533" s="56" t="s">
        <v>14153</v>
      </c>
      <c r="W533" s="58"/>
      <c r="X533" s="57" t="s">
        <v>17353</v>
      </c>
      <c r="Y533" s="57" t="s">
        <v>15170</v>
      </c>
      <c r="Z533" s="61" t="s">
        <v>14605</v>
      </c>
      <c r="AA533" s="61" t="s">
        <v>17325</v>
      </c>
      <c r="AB533" s="58"/>
      <c r="AC533" s="57" t="s">
        <v>15172</v>
      </c>
      <c r="AD533" s="58"/>
      <c r="AE533" s="58"/>
      <c r="AF533" s="58"/>
      <c r="AG533" s="58"/>
      <c r="AH533" s="58"/>
      <c r="AI533" s="58"/>
      <c r="AJ533" s="58"/>
      <c r="AK533" s="56" t="s">
        <v>1285</v>
      </c>
      <c r="AL533" s="56" t="s">
        <v>17354</v>
      </c>
      <c r="AM533" s="58"/>
      <c r="AN533" s="56" t="s">
        <v>15237</v>
      </c>
      <c r="AO533" s="58"/>
      <c r="AP533" s="63">
        <v>45776.7977893519</v>
      </c>
      <c r="AQ533" s="56" t="s">
        <v>17355</v>
      </c>
      <c r="AR533" s="61" t="s">
        <v>15404</v>
      </c>
      <c r="AS533" s="57" t="s">
        <v>14184</v>
      </c>
      <c r="AT533" s="56" t="s">
        <v>15177</v>
      </c>
      <c r="AU533" s="56" t="s">
        <v>17356</v>
      </c>
      <c r="AV533" s="58"/>
      <c r="AW533" s="64">
        <v>45719.6831481481</v>
      </c>
      <c r="AX533" s="56" t="s">
        <v>17354</v>
      </c>
      <c r="AY533" s="56" t="s">
        <v>15179</v>
      </c>
      <c r="AZ533" s="58"/>
      <c r="BA533" s="58"/>
      <c r="BB533" s="58"/>
      <c r="BC533" s="56" t="s">
        <v>4656</v>
      </c>
      <c r="BD533" s="56" t="s">
        <v>15339</v>
      </c>
      <c r="BE533" s="56" t="s">
        <v>2852</v>
      </c>
      <c r="BF533" s="56" t="s">
        <v>15181</v>
      </c>
      <c r="BG533" s="58"/>
      <c r="BH533" s="58"/>
      <c r="BI533" s="57" t="s">
        <v>2801</v>
      </c>
      <c r="BJ533" s="58"/>
      <c r="BK533" s="58"/>
      <c r="BL533" s="66">
        <v>3464606</v>
      </c>
      <c r="BM533" s="56" t="s">
        <v>17357</v>
      </c>
      <c r="BN533" s="58"/>
      <c r="BO533" s="67">
        <v>19780</v>
      </c>
      <c r="BP533" s="56" t="s">
        <v>15409</v>
      </c>
      <c r="BQ533" s="58"/>
      <c r="BR533" s="56" t="s">
        <v>17358</v>
      </c>
      <c r="BS533" s="56" t="s">
        <v>1285</v>
      </c>
      <c r="BT533" s="58"/>
      <c r="BU533" s="56" t="s">
        <v>17355</v>
      </c>
      <c r="BV533" s="58"/>
      <c r="BW533" s="58"/>
      <c r="BX533" s="67">
        <v>19780</v>
      </c>
      <c r="BY533" s="56" t="s">
        <v>1285</v>
      </c>
      <c r="BZ533" s="58"/>
      <c r="CA533" s="58"/>
      <c r="CB533" s="58"/>
      <c r="CC533" s="58"/>
      <c r="CD533" s="58"/>
    </row>
    <row r="534" ht="108" spans="1:82">
      <c r="A534" s="56" t="s">
        <v>17359</v>
      </c>
      <c r="B534" s="58"/>
      <c r="C534" s="57" t="s">
        <v>17360</v>
      </c>
      <c r="D534" s="58"/>
      <c r="E534" s="57" t="s">
        <v>15158</v>
      </c>
      <c r="F534" s="57" t="s">
        <v>17361</v>
      </c>
      <c r="G534" s="57" t="s">
        <v>15160</v>
      </c>
      <c r="H534" s="56" t="s">
        <v>5389</v>
      </c>
      <c r="I534" s="60">
        <v>7102</v>
      </c>
      <c r="J534" s="57" t="s">
        <v>1285</v>
      </c>
      <c r="K534" s="57" t="s">
        <v>15162</v>
      </c>
      <c r="L534" s="57" t="s">
        <v>15163</v>
      </c>
      <c r="M534" s="61" t="s">
        <v>17325</v>
      </c>
      <c r="N534" s="62" t="s">
        <v>15672</v>
      </c>
      <c r="O534" s="57" t="s">
        <v>15165</v>
      </c>
      <c r="P534" s="57" t="s">
        <v>15166</v>
      </c>
      <c r="Q534" s="57" t="s">
        <v>5389</v>
      </c>
      <c r="R534" s="57" t="s">
        <v>17362</v>
      </c>
      <c r="S534" s="57" t="s">
        <v>17363</v>
      </c>
      <c r="T534" s="57" t="s">
        <v>15190</v>
      </c>
      <c r="U534" s="57" t="s">
        <v>14184</v>
      </c>
      <c r="V534" s="56" t="s">
        <v>14153</v>
      </c>
      <c r="W534" s="58"/>
      <c r="X534" s="57" t="s">
        <v>17364</v>
      </c>
      <c r="Y534" s="57" t="s">
        <v>15170</v>
      </c>
      <c r="Z534" s="61" t="s">
        <v>14605</v>
      </c>
      <c r="AA534" s="61" t="s">
        <v>17325</v>
      </c>
      <c r="AB534" s="58"/>
      <c r="AC534" s="57" t="s">
        <v>15172</v>
      </c>
      <c r="AD534" s="58"/>
      <c r="AE534" s="58"/>
      <c r="AF534" s="58"/>
      <c r="AG534" s="58"/>
      <c r="AH534" s="58"/>
      <c r="AI534" s="58"/>
      <c r="AJ534" s="58"/>
      <c r="AK534" s="56" t="s">
        <v>1285</v>
      </c>
      <c r="AL534" s="56" t="s">
        <v>17365</v>
      </c>
      <c r="AM534" s="58"/>
      <c r="AN534" s="56" t="s">
        <v>15828</v>
      </c>
      <c r="AO534" s="58"/>
      <c r="AP534" s="63">
        <v>45776.8004861111</v>
      </c>
      <c r="AQ534" s="56" t="s">
        <v>17366</v>
      </c>
      <c r="AR534" s="61" t="s">
        <v>15404</v>
      </c>
      <c r="AS534" s="57" t="s">
        <v>14184</v>
      </c>
      <c r="AT534" s="56" t="s">
        <v>15177</v>
      </c>
      <c r="AU534" s="56" t="s">
        <v>17367</v>
      </c>
      <c r="AV534" s="58"/>
      <c r="AW534" s="64">
        <v>45708.7709490741</v>
      </c>
      <c r="AX534" s="56" t="s">
        <v>17365</v>
      </c>
      <c r="AY534" s="56" t="s">
        <v>15179</v>
      </c>
      <c r="AZ534" s="58"/>
      <c r="BA534" s="58"/>
      <c r="BB534" s="58"/>
      <c r="BC534" s="56" t="s">
        <v>3124</v>
      </c>
      <c r="BD534" s="56" t="s">
        <v>15353</v>
      </c>
      <c r="BE534" s="56" t="s">
        <v>17368</v>
      </c>
      <c r="BF534" s="56" t="s">
        <v>15181</v>
      </c>
      <c r="BG534" s="58"/>
      <c r="BH534" s="58"/>
      <c r="BI534" s="57" t="s">
        <v>2801</v>
      </c>
      <c r="BJ534" s="58"/>
      <c r="BK534" s="58"/>
      <c r="BL534" s="66">
        <v>3376719</v>
      </c>
      <c r="BM534" s="56" t="s">
        <v>17369</v>
      </c>
      <c r="BN534" s="58"/>
      <c r="BO534" s="67">
        <v>7102</v>
      </c>
      <c r="BP534" s="56" t="s">
        <v>15409</v>
      </c>
      <c r="BQ534" s="58"/>
      <c r="BR534" s="56" t="s">
        <v>17370</v>
      </c>
      <c r="BS534" s="56" t="s">
        <v>1285</v>
      </c>
      <c r="BT534" s="58"/>
      <c r="BU534" s="56" t="s">
        <v>17366</v>
      </c>
      <c r="BV534" s="58"/>
      <c r="BW534" s="58"/>
      <c r="BX534" s="67">
        <v>7102</v>
      </c>
      <c r="BY534" s="56" t="s">
        <v>1285</v>
      </c>
      <c r="BZ534" s="58"/>
      <c r="CA534" s="58"/>
      <c r="CB534" s="58"/>
      <c r="CC534" s="58"/>
      <c r="CD534" s="58"/>
    </row>
    <row r="535" ht="121.5" spans="1:82">
      <c r="A535" s="56" t="s">
        <v>17371</v>
      </c>
      <c r="B535" s="58"/>
      <c r="C535" s="57" t="s">
        <v>17372</v>
      </c>
      <c r="D535" s="58"/>
      <c r="E535" s="57" t="s">
        <v>15158</v>
      </c>
      <c r="F535" s="57" t="s">
        <v>17373</v>
      </c>
      <c r="G535" s="57" t="s">
        <v>15160</v>
      </c>
      <c r="H535" s="56" t="s">
        <v>4197</v>
      </c>
      <c r="I535" s="60">
        <v>15642</v>
      </c>
      <c r="J535" s="57" t="s">
        <v>1285</v>
      </c>
      <c r="K535" s="57" t="s">
        <v>15162</v>
      </c>
      <c r="L535" s="57" t="s">
        <v>15163</v>
      </c>
      <c r="M535" s="61" t="s">
        <v>17325</v>
      </c>
      <c r="N535" s="62" t="s">
        <v>15187</v>
      </c>
      <c r="O535" s="57" t="s">
        <v>15165</v>
      </c>
      <c r="P535" s="57" t="s">
        <v>15166</v>
      </c>
      <c r="Q535" s="57" t="s">
        <v>4197</v>
      </c>
      <c r="R535" s="57" t="s">
        <v>17374</v>
      </c>
      <c r="S535" s="57" t="s">
        <v>17375</v>
      </c>
      <c r="T535" s="57" t="s">
        <v>15190</v>
      </c>
      <c r="U535" s="57" t="s">
        <v>14184</v>
      </c>
      <c r="V535" s="56" t="s">
        <v>14153</v>
      </c>
      <c r="W535" s="58"/>
      <c r="X535" s="57" t="s">
        <v>17376</v>
      </c>
      <c r="Y535" s="57" t="s">
        <v>15170</v>
      </c>
      <c r="Z535" s="61" t="s">
        <v>14605</v>
      </c>
      <c r="AA535" s="61" t="s">
        <v>17325</v>
      </c>
      <c r="AB535" s="58"/>
      <c r="AC535" s="57" t="s">
        <v>15172</v>
      </c>
      <c r="AD535" s="58"/>
      <c r="AE535" s="58"/>
      <c r="AF535" s="58"/>
      <c r="AG535" s="58"/>
      <c r="AH535" s="58"/>
      <c r="AI535" s="58"/>
      <c r="AJ535" s="58"/>
      <c r="AK535" s="56" t="s">
        <v>1285</v>
      </c>
      <c r="AL535" s="56" t="s">
        <v>17377</v>
      </c>
      <c r="AM535" s="58"/>
      <c r="AN535" s="56" t="s">
        <v>16785</v>
      </c>
      <c r="AO535" s="58"/>
      <c r="AP535" s="63">
        <v>45776.8032291667</v>
      </c>
      <c r="AQ535" s="56" t="s">
        <v>17378</v>
      </c>
      <c r="AR535" s="61" t="s">
        <v>15404</v>
      </c>
      <c r="AS535" s="57" t="s">
        <v>14184</v>
      </c>
      <c r="AT535" s="56" t="s">
        <v>15177</v>
      </c>
      <c r="AU535" s="56" t="s">
        <v>17379</v>
      </c>
      <c r="AV535" s="58"/>
      <c r="AW535" s="64">
        <v>45706.800474537</v>
      </c>
      <c r="AX535" s="56" t="s">
        <v>17377</v>
      </c>
      <c r="AY535" s="56" t="s">
        <v>15179</v>
      </c>
      <c r="AZ535" s="58"/>
      <c r="BA535" s="58"/>
      <c r="BB535" s="58"/>
      <c r="BC535" s="56" t="s">
        <v>2902</v>
      </c>
      <c r="BD535" s="56" t="s">
        <v>15353</v>
      </c>
      <c r="BE535" s="56" t="s">
        <v>2863</v>
      </c>
      <c r="BF535" s="56" t="s">
        <v>15181</v>
      </c>
      <c r="BG535" s="58"/>
      <c r="BH535" s="58"/>
      <c r="BI535" s="57" t="s">
        <v>2801</v>
      </c>
      <c r="BJ535" s="58"/>
      <c r="BK535" s="58"/>
      <c r="BL535" s="66">
        <v>3456933</v>
      </c>
      <c r="BM535" s="56" t="s">
        <v>17380</v>
      </c>
      <c r="BN535" s="58"/>
      <c r="BO535" s="67">
        <v>15642</v>
      </c>
      <c r="BP535" s="56" t="s">
        <v>15409</v>
      </c>
      <c r="BQ535" s="58"/>
      <c r="BR535" s="56" t="s">
        <v>17381</v>
      </c>
      <c r="BS535" s="56" t="s">
        <v>1285</v>
      </c>
      <c r="BT535" s="58"/>
      <c r="BU535" s="56" t="s">
        <v>17378</v>
      </c>
      <c r="BV535" s="58"/>
      <c r="BW535" s="58"/>
      <c r="BX535" s="67">
        <v>15642</v>
      </c>
      <c r="BY535" s="56" t="s">
        <v>1285</v>
      </c>
      <c r="BZ535" s="58"/>
      <c r="CA535" s="58"/>
      <c r="CB535" s="58"/>
      <c r="CC535" s="58"/>
      <c r="CD535" s="58"/>
    </row>
    <row r="536" ht="108" spans="1:82">
      <c r="A536" s="56" t="s">
        <v>17382</v>
      </c>
      <c r="B536" s="58"/>
      <c r="C536" s="57" t="s">
        <v>17383</v>
      </c>
      <c r="D536" s="58"/>
      <c r="E536" s="57" t="s">
        <v>15158</v>
      </c>
      <c r="F536" s="57" t="s">
        <v>17384</v>
      </c>
      <c r="G536" s="57" t="s">
        <v>15160</v>
      </c>
      <c r="H536" s="56" t="s">
        <v>4197</v>
      </c>
      <c r="I536" s="60">
        <v>5820</v>
      </c>
      <c r="J536" s="57" t="s">
        <v>1285</v>
      </c>
      <c r="K536" s="57" t="s">
        <v>15162</v>
      </c>
      <c r="L536" s="57" t="s">
        <v>15163</v>
      </c>
      <c r="M536" s="61" t="s">
        <v>17325</v>
      </c>
      <c r="N536" s="62" t="s">
        <v>15187</v>
      </c>
      <c r="O536" s="57" t="s">
        <v>15165</v>
      </c>
      <c r="P536" s="57" t="s">
        <v>15166</v>
      </c>
      <c r="Q536" s="57" t="s">
        <v>4197</v>
      </c>
      <c r="R536" s="57" t="s">
        <v>17374</v>
      </c>
      <c r="S536" s="57" t="s">
        <v>17375</v>
      </c>
      <c r="T536" s="57" t="s">
        <v>15190</v>
      </c>
      <c r="U536" s="57" t="s">
        <v>14184</v>
      </c>
      <c r="V536" s="56" t="s">
        <v>14153</v>
      </c>
      <c r="W536" s="58"/>
      <c r="X536" s="57" t="s">
        <v>17385</v>
      </c>
      <c r="Y536" s="57" t="s">
        <v>15170</v>
      </c>
      <c r="Z536" s="61" t="s">
        <v>14605</v>
      </c>
      <c r="AA536" s="61" t="s">
        <v>17325</v>
      </c>
      <c r="AB536" s="58"/>
      <c r="AC536" s="57" t="s">
        <v>15172</v>
      </c>
      <c r="AD536" s="58"/>
      <c r="AE536" s="58"/>
      <c r="AF536" s="58"/>
      <c r="AG536" s="58"/>
      <c r="AH536" s="58"/>
      <c r="AI536" s="58"/>
      <c r="AJ536" s="58"/>
      <c r="AK536" s="56" t="s">
        <v>1285</v>
      </c>
      <c r="AL536" s="56" t="s">
        <v>17386</v>
      </c>
      <c r="AM536" s="58"/>
      <c r="AN536" s="56" t="s">
        <v>15223</v>
      </c>
      <c r="AO536" s="58"/>
      <c r="AP536" s="63">
        <v>45776.7952083333</v>
      </c>
      <c r="AQ536" s="56" t="s">
        <v>17387</v>
      </c>
      <c r="AR536" s="61" t="s">
        <v>15404</v>
      </c>
      <c r="AS536" s="57" t="s">
        <v>14184</v>
      </c>
      <c r="AT536" s="56" t="s">
        <v>15177</v>
      </c>
      <c r="AU536" s="56" t="s">
        <v>17388</v>
      </c>
      <c r="AV536" s="58"/>
      <c r="AW536" s="64">
        <v>45706.7213078704</v>
      </c>
      <c r="AX536" s="56" t="s">
        <v>17386</v>
      </c>
      <c r="AY536" s="56" t="s">
        <v>15179</v>
      </c>
      <c r="AZ536" s="58"/>
      <c r="BA536" s="58"/>
      <c r="BB536" s="58"/>
      <c r="BC536" s="56" t="s">
        <v>2902</v>
      </c>
      <c r="BD536" s="56" t="s">
        <v>15353</v>
      </c>
      <c r="BE536" s="56" t="s">
        <v>2835</v>
      </c>
      <c r="BF536" s="56" t="s">
        <v>15181</v>
      </c>
      <c r="BG536" s="58"/>
      <c r="BH536" s="58"/>
      <c r="BI536" s="57" t="s">
        <v>2801</v>
      </c>
      <c r="BJ536" s="58"/>
      <c r="BK536" s="58"/>
      <c r="BL536" s="66">
        <v>3456931</v>
      </c>
      <c r="BM536" s="56" t="s">
        <v>17389</v>
      </c>
      <c r="BN536" s="58"/>
      <c r="BO536" s="67">
        <v>5820</v>
      </c>
      <c r="BP536" s="56" t="s">
        <v>15409</v>
      </c>
      <c r="BQ536" s="58"/>
      <c r="BR536" s="56" t="s">
        <v>17390</v>
      </c>
      <c r="BS536" s="56" t="s">
        <v>1285</v>
      </c>
      <c r="BT536" s="58"/>
      <c r="BU536" s="56" t="s">
        <v>17387</v>
      </c>
      <c r="BV536" s="58"/>
      <c r="BW536" s="58"/>
      <c r="BX536" s="67">
        <v>5820</v>
      </c>
      <c r="BY536" s="56" t="s">
        <v>1285</v>
      </c>
      <c r="BZ536" s="58"/>
      <c r="CA536" s="58"/>
      <c r="CB536" s="58"/>
      <c r="CC536" s="58"/>
      <c r="CD536" s="58"/>
    </row>
    <row r="537" ht="108" spans="1:82">
      <c r="A537" s="56" t="s">
        <v>17391</v>
      </c>
      <c r="B537" s="58"/>
      <c r="C537" s="57" t="s">
        <v>17392</v>
      </c>
      <c r="D537" s="58"/>
      <c r="E537" s="57" t="s">
        <v>15158</v>
      </c>
      <c r="F537" s="57" t="s">
        <v>17393</v>
      </c>
      <c r="G537" s="57" t="s">
        <v>15160</v>
      </c>
      <c r="H537" s="56" t="s">
        <v>4197</v>
      </c>
      <c r="I537" s="60">
        <v>48512</v>
      </c>
      <c r="J537" s="57" t="s">
        <v>1285</v>
      </c>
      <c r="K537" s="57" t="s">
        <v>15162</v>
      </c>
      <c r="L537" s="57" t="s">
        <v>15163</v>
      </c>
      <c r="M537" s="61" t="s">
        <v>17325</v>
      </c>
      <c r="N537" s="62" t="s">
        <v>15187</v>
      </c>
      <c r="O537" s="57" t="s">
        <v>15165</v>
      </c>
      <c r="P537" s="57" t="s">
        <v>15166</v>
      </c>
      <c r="Q537" s="57" t="s">
        <v>4197</v>
      </c>
      <c r="R537" s="57" t="s">
        <v>17374</v>
      </c>
      <c r="S537" s="57" t="s">
        <v>17375</v>
      </c>
      <c r="T537" s="57" t="s">
        <v>15190</v>
      </c>
      <c r="U537" s="57" t="s">
        <v>14184</v>
      </c>
      <c r="V537" s="56" t="s">
        <v>14153</v>
      </c>
      <c r="W537" s="58"/>
      <c r="X537" s="57" t="s">
        <v>17394</v>
      </c>
      <c r="Y537" s="57" t="s">
        <v>15170</v>
      </c>
      <c r="Z537" s="61" t="s">
        <v>14605</v>
      </c>
      <c r="AA537" s="61" t="s">
        <v>17325</v>
      </c>
      <c r="AB537" s="58"/>
      <c r="AC537" s="57" t="s">
        <v>15172</v>
      </c>
      <c r="AD537" s="58"/>
      <c r="AE537" s="58"/>
      <c r="AF537" s="58"/>
      <c r="AG537" s="58"/>
      <c r="AH537" s="58"/>
      <c r="AI537" s="58"/>
      <c r="AJ537" s="58"/>
      <c r="AK537" s="56" t="s">
        <v>1285</v>
      </c>
      <c r="AL537" s="56" t="s">
        <v>17395</v>
      </c>
      <c r="AM537" s="58"/>
      <c r="AN537" s="56" t="s">
        <v>15273</v>
      </c>
      <c r="AO537" s="58"/>
      <c r="AP537" s="63">
        <v>45776.8009606482</v>
      </c>
      <c r="AQ537" s="56" t="s">
        <v>17396</v>
      </c>
      <c r="AR537" s="61" t="s">
        <v>15404</v>
      </c>
      <c r="AS537" s="57" t="s">
        <v>14184</v>
      </c>
      <c r="AT537" s="56" t="s">
        <v>15177</v>
      </c>
      <c r="AU537" s="56" t="s">
        <v>17397</v>
      </c>
      <c r="AV537" s="58"/>
      <c r="AW537" s="64">
        <v>45706.7206828704</v>
      </c>
      <c r="AX537" s="56" t="s">
        <v>17395</v>
      </c>
      <c r="AY537" s="56" t="s">
        <v>15179</v>
      </c>
      <c r="AZ537" s="58"/>
      <c r="BA537" s="58"/>
      <c r="BB537" s="58"/>
      <c r="BC537" s="56" t="s">
        <v>1664</v>
      </c>
      <c r="BD537" s="56" t="s">
        <v>15197</v>
      </c>
      <c r="BE537" s="58"/>
      <c r="BF537" s="56" t="s">
        <v>15181</v>
      </c>
      <c r="BG537" s="58"/>
      <c r="BH537" s="58"/>
      <c r="BI537" s="57" t="s">
        <v>2801</v>
      </c>
      <c r="BJ537" s="58"/>
      <c r="BK537" s="58"/>
      <c r="BL537" s="66">
        <v>3448919</v>
      </c>
      <c r="BM537" s="56" t="s">
        <v>17398</v>
      </c>
      <c r="BN537" s="58"/>
      <c r="BO537" s="67">
        <v>4300</v>
      </c>
      <c r="BP537" s="56" t="s">
        <v>15409</v>
      </c>
      <c r="BQ537" s="58"/>
      <c r="BR537" s="56" t="s">
        <v>17399</v>
      </c>
      <c r="BS537" s="56" t="s">
        <v>1285</v>
      </c>
      <c r="BT537" s="58"/>
      <c r="BU537" s="56" t="s">
        <v>17396</v>
      </c>
      <c r="BV537" s="58"/>
      <c r="BW537" s="58"/>
      <c r="BX537" s="67">
        <v>4300</v>
      </c>
      <c r="BY537" s="58"/>
      <c r="BZ537" s="58"/>
      <c r="CA537" s="58"/>
      <c r="CB537" s="58"/>
      <c r="CC537" s="58"/>
      <c r="CD537" s="58"/>
    </row>
    <row r="538" ht="108" spans="1:82">
      <c r="A538" s="56" t="s">
        <v>17400</v>
      </c>
      <c r="B538" s="58"/>
      <c r="C538" s="57" t="s">
        <v>17392</v>
      </c>
      <c r="D538" s="58"/>
      <c r="E538" s="57" t="s">
        <v>15158</v>
      </c>
      <c r="F538" s="57" t="s">
        <v>17393</v>
      </c>
      <c r="G538" s="57" t="s">
        <v>15160</v>
      </c>
      <c r="H538" s="56" t="s">
        <v>4197</v>
      </c>
      <c r="I538" s="60">
        <v>48512</v>
      </c>
      <c r="J538" s="57" t="s">
        <v>1285</v>
      </c>
      <c r="K538" s="57" t="s">
        <v>15162</v>
      </c>
      <c r="L538" s="57" t="s">
        <v>15163</v>
      </c>
      <c r="M538" s="61" t="s">
        <v>17325</v>
      </c>
      <c r="N538" s="62" t="s">
        <v>15187</v>
      </c>
      <c r="O538" s="57" t="s">
        <v>15165</v>
      </c>
      <c r="P538" s="57" t="s">
        <v>15166</v>
      </c>
      <c r="Q538" s="57" t="s">
        <v>4197</v>
      </c>
      <c r="R538" s="57" t="s">
        <v>17374</v>
      </c>
      <c r="S538" s="57" t="s">
        <v>17375</v>
      </c>
      <c r="T538" s="57" t="s">
        <v>15190</v>
      </c>
      <c r="U538" s="57" t="s">
        <v>14184</v>
      </c>
      <c r="V538" s="56" t="s">
        <v>14153</v>
      </c>
      <c r="W538" s="58"/>
      <c r="X538" s="57" t="s">
        <v>17394</v>
      </c>
      <c r="Y538" s="57" t="s">
        <v>15170</v>
      </c>
      <c r="Z538" s="61" t="s">
        <v>14605</v>
      </c>
      <c r="AA538" s="61" t="s">
        <v>17325</v>
      </c>
      <c r="AB538" s="58"/>
      <c r="AC538" s="57" t="s">
        <v>15172</v>
      </c>
      <c r="AD538" s="58"/>
      <c r="AE538" s="58"/>
      <c r="AF538" s="58"/>
      <c r="AG538" s="58"/>
      <c r="AH538" s="58"/>
      <c r="AI538" s="58"/>
      <c r="AJ538" s="58"/>
      <c r="AK538" s="56" t="s">
        <v>1285</v>
      </c>
      <c r="AL538" s="56" t="s">
        <v>17395</v>
      </c>
      <c r="AM538" s="58"/>
      <c r="AN538" s="56" t="s">
        <v>15273</v>
      </c>
      <c r="AO538" s="58"/>
      <c r="AP538" s="63">
        <v>45776.8009606482</v>
      </c>
      <c r="AQ538" s="56" t="s">
        <v>17396</v>
      </c>
      <c r="AR538" s="61" t="s">
        <v>15404</v>
      </c>
      <c r="AS538" s="57" t="s">
        <v>14184</v>
      </c>
      <c r="AT538" s="56" t="s">
        <v>15177</v>
      </c>
      <c r="AU538" s="56" t="s">
        <v>17397</v>
      </c>
      <c r="AV538" s="58"/>
      <c r="AW538" s="64">
        <v>45706.7206828704</v>
      </c>
      <c r="AX538" s="56" t="s">
        <v>17395</v>
      </c>
      <c r="AY538" s="56" t="s">
        <v>15179</v>
      </c>
      <c r="AZ538" s="58"/>
      <c r="BA538" s="58"/>
      <c r="BB538" s="58"/>
      <c r="BC538" s="56" t="s">
        <v>15196</v>
      </c>
      <c r="BD538" s="56" t="s">
        <v>15197</v>
      </c>
      <c r="BE538" s="58"/>
      <c r="BF538" s="56" t="s">
        <v>15181</v>
      </c>
      <c r="BG538" s="58"/>
      <c r="BH538" s="58"/>
      <c r="BI538" s="57" t="s">
        <v>2801</v>
      </c>
      <c r="BJ538" s="58"/>
      <c r="BK538" s="58"/>
      <c r="BL538" s="66">
        <v>3448920</v>
      </c>
      <c r="BM538" s="56" t="s">
        <v>17398</v>
      </c>
      <c r="BN538" s="58"/>
      <c r="BO538" s="67">
        <v>21800</v>
      </c>
      <c r="BP538" s="56" t="s">
        <v>15409</v>
      </c>
      <c r="BQ538" s="58"/>
      <c r="BR538" s="56" t="s">
        <v>17399</v>
      </c>
      <c r="BS538" s="56" t="s">
        <v>1285</v>
      </c>
      <c r="BT538" s="58"/>
      <c r="BU538" s="56" t="s">
        <v>17396</v>
      </c>
      <c r="BV538" s="58"/>
      <c r="BW538" s="58"/>
      <c r="BX538" s="67">
        <v>21800</v>
      </c>
      <c r="BY538" s="58"/>
      <c r="BZ538" s="58"/>
      <c r="CA538" s="58"/>
      <c r="CB538" s="58"/>
      <c r="CC538" s="58"/>
      <c r="CD538" s="58"/>
    </row>
    <row r="539" ht="108" spans="1:82">
      <c r="A539" s="56" t="s">
        <v>17401</v>
      </c>
      <c r="B539" s="58"/>
      <c r="C539" s="57" t="s">
        <v>17392</v>
      </c>
      <c r="D539" s="58"/>
      <c r="E539" s="57" t="s">
        <v>15158</v>
      </c>
      <c r="F539" s="57" t="s">
        <v>17393</v>
      </c>
      <c r="G539" s="57" t="s">
        <v>15160</v>
      </c>
      <c r="H539" s="56" t="s">
        <v>4197</v>
      </c>
      <c r="I539" s="60">
        <v>48512</v>
      </c>
      <c r="J539" s="57" t="s">
        <v>1285</v>
      </c>
      <c r="K539" s="57" t="s">
        <v>15162</v>
      </c>
      <c r="L539" s="57" t="s">
        <v>15163</v>
      </c>
      <c r="M539" s="61" t="s">
        <v>17325</v>
      </c>
      <c r="N539" s="62" t="s">
        <v>15187</v>
      </c>
      <c r="O539" s="57" t="s">
        <v>15165</v>
      </c>
      <c r="P539" s="57" t="s">
        <v>15166</v>
      </c>
      <c r="Q539" s="57" t="s">
        <v>4197</v>
      </c>
      <c r="R539" s="57" t="s">
        <v>17374</v>
      </c>
      <c r="S539" s="57" t="s">
        <v>17375</v>
      </c>
      <c r="T539" s="57" t="s">
        <v>15190</v>
      </c>
      <c r="U539" s="57" t="s">
        <v>14184</v>
      </c>
      <c r="V539" s="56" t="s">
        <v>14153</v>
      </c>
      <c r="W539" s="58"/>
      <c r="X539" s="57" t="s">
        <v>17394</v>
      </c>
      <c r="Y539" s="57" t="s">
        <v>15170</v>
      </c>
      <c r="Z539" s="61" t="s">
        <v>14605</v>
      </c>
      <c r="AA539" s="61" t="s">
        <v>17325</v>
      </c>
      <c r="AB539" s="58"/>
      <c r="AC539" s="57" t="s">
        <v>15172</v>
      </c>
      <c r="AD539" s="58"/>
      <c r="AE539" s="58"/>
      <c r="AF539" s="58"/>
      <c r="AG539" s="58"/>
      <c r="AH539" s="58"/>
      <c r="AI539" s="58"/>
      <c r="AJ539" s="58"/>
      <c r="AK539" s="56" t="s">
        <v>1285</v>
      </c>
      <c r="AL539" s="56" t="s">
        <v>17395</v>
      </c>
      <c r="AM539" s="58"/>
      <c r="AN539" s="56" t="s">
        <v>15273</v>
      </c>
      <c r="AO539" s="58"/>
      <c r="AP539" s="63">
        <v>45776.8009606482</v>
      </c>
      <c r="AQ539" s="56" t="s">
        <v>17396</v>
      </c>
      <c r="AR539" s="61" t="s">
        <v>15404</v>
      </c>
      <c r="AS539" s="57" t="s">
        <v>14184</v>
      </c>
      <c r="AT539" s="56" t="s">
        <v>15177</v>
      </c>
      <c r="AU539" s="56" t="s">
        <v>17397</v>
      </c>
      <c r="AV539" s="58"/>
      <c r="AW539" s="64">
        <v>45706.7206828704</v>
      </c>
      <c r="AX539" s="56" t="s">
        <v>17395</v>
      </c>
      <c r="AY539" s="56" t="s">
        <v>15179</v>
      </c>
      <c r="AZ539" s="58"/>
      <c r="BA539" s="58"/>
      <c r="BB539" s="58"/>
      <c r="BC539" s="56" t="s">
        <v>2148</v>
      </c>
      <c r="BD539" s="56" t="s">
        <v>15197</v>
      </c>
      <c r="BE539" s="58"/>
      <c r="BF539" s="56" t="s">
        <v>15181</v>
      </c>
      <c r="BG539" s="58"/>
      <c r="BH539" s="58"/>
      <c r="BI539" s="57" t="s">
        <v>2801</v>
      </c>
      <c r="BJ539" s="58"/>
      <c r="BK539" s="58"/>
      <c r="BL539" s="66">
        <v>3448921</v>
      </c>
      <c r="BM539" s="56" t="s">
        <v>17398</v>
      </c>
      <c r="BN539" s="58"/>
      <c r="BO539" s="67">
        <v>7600</v>
      </c>
      <c r="BP539" s="56" t="s">
        <v>15409</v>
      </c>
      <c r="BQ539" s="58"/>
      <c r="BR539" s="56" t="s">
        <v>17399</v>
      </c>
      <c r="BS539" s="56" t="s">
        <v>1285</v>
      </c>
      <c r="BT539" s="58"/>
      <c r="BU539" s="56" t="s">
        <v>17396</v>
      </c>
      <c r="BV539" s="58"/>
      <c r="BW539" s="58"/>
      <c r="BX539" s="67">
        <v>7600</v>
      </c>
      <c r="BY539" s="58"/>
      <c r="BZ539" s="58"/>
      <c r="CA539" s="58"/>
      <c r="CB539" s="58"/>
      <c r="CC539" s="58"/>
      <c r="CD539" s="58"/>
    </row>
    <row r="540" ht="108" spans="1:82">
      <c r="A540" s="56" t="s">
        <v>17402</v>
      </c>
      <c r="B540" s="58"/>
      <c r="C540" s="57" t="s">
        <v>17392</v>
      </c>
      <c r="D540" s="58"/>
      <c r="E540" s="57" t="s">
        <v>15158</v>
      </c>
      <c r="F540" s="57" t="s">
        <v>17393</v>
      </c>
      <c r="G540" s="57" t="s">
        <v>15160</v>
      </c>
      <c r="H540" s="56" t="s">
        <v>4197</v>
      </c>
      <c r="I540" s="60">
        <v>48512</v>
      </c>
      <c r="J540" s="57" t="s">
        <v>1285</v>
      </c>
      <c r="K540" s="57" t="s">
        <v>15162</v>
      </c>
      <c r="L540" s="57" t="s">
        <v>15163</v>
      </c>
      <c r="M540" s="61" t="s">
        <v>17325</v>
      </c>
      <c r="N540" s="62" t="s">
        <v>15187</v>
      </c>
      <c r="O540" s="57" t="s">
        <v>15165</v>
      </c>
      <c r="P540" s="57" t="s">
        <v>15166</v>
      </c>
      <c r="Q540" s="57" t="s">
        <v>4197</v>
      </c>
      <c r="R540" s="57" t="s">
        <v>17374</v>
      </c>
      <c r="S540" s="57" t="s">
        <v>17375</v>
      </c>
      <c r="T540" s="57" t="s">
        <v>15190</v>
      </c>
      <c r="U540" s="57" t="s">
        <v>14184</v>
      </c>
      <c r="V540" s="56" t="s">
        <v>14153</v>
      </c>
      <c r="W540" s="58"/>
      <c r="X540" s="57" t="s">
        <v>17394</v>
      </c>
      <c r="Y540" s="57" t="s">
        <v>15170</v>
      </c>
      <c r="Z540" s="61" t="s">
        <v>14605</v>
      </c>
      <c r="AA540" s="61" t="s">
        <v>17325</v>
      </c>
      <c r="AB540" s="58"/>
      <c r="AC540" s="57" t="s">
        <v>15172</v>
      </c>
      <c r="AD540" s="58"/>
      <c r="AE540" s="58"/>
      <c r="AF540" s="58"/>
      <c r="AG540" s="58"/>
      <c r="AH540" s="58"/>
      <c r="AI540" s="58"/>
      <c r="AJ540" s="58"/>
      <c r="AK540" s="56" t="s">
        <v>1285</v>
      </c>
      <c r="AL540" s="56" t="s">
        <v>17395</v>
      </c>
      <c r="AM540" s="58"/>
      <c r="AN540" s="56" t="s">
        <v>15273</v>
      </c>
      <c r="AO540" s="58"/>
      <c r="AP540" s="63">
        <v>45776.8009606482</v>
      </c>
      <c r="AQ540" s="56" t="s">
        <v>17396</v>
      </c>
      <c r="AR540" s="61" t="s">
        <v>15404</v>
      </c>
      <c r="AS540" s="57" t="s">
        <v>14184</v>
      </c>
      <c r="AT540" s="56" t="s">
        <v>15177</v>
      </c>
      <c r="AU540" s="56" t="s">
        <v>17397</v>
      </c>
      <c r="AV540" s="58"/>
      <c r="AW540" s="64">
        <v>45706.7206828704</v>
      </c>
      <c r="AX540" s="56" t="s">
        <v>17395</v>
      </c>
      <c r="AY540" s="56" t="s">
        <v>15179</v>
      </c>
      <c r="AZ540" s="58"/>
      <c r="BA540" s="58"/>
      <c r="BB540" s="58"/>
      <c r="BC540" s="56" t="s">
        <v>1760</v>
      </c>
      <c r="BD540" s="56" t="s">
        <v>15197</v>
      </c>
      <c r="BE540" s="58"/>
      <c r="BF540" s="56" t="s">
        <v>15181</v>
      </c>
      <c r="BG540" s="58"/>
      <c r="BH540" s="58"/>
      <c r="BI540" s="57" t="s">
        <v>2801</v>
      </c>
      <c r="BJ540" s="58"/>
      <c r="BK540" s="58"/>
      <c r="BL540" s="66">
        <v>3448922</v>
      </c>
      <c r="BM540" s="56" t="s">
        <v>17398</v>
      </c>
      <c r="BN540" s="58"/>
      <c r="BO540" s="67">
        <v>14812</v>
      </c>
      <c r="BP540" s="56" t="s">
        <v>15409</v>
      </c>
      <c r="BQ540" s="58"/>
      <c r="BR540" s="56" t="s">
        <v>17399</v>
      </c>
      <c r="BS540" s="56" t="s">
        <v>1285</v>
      </c>
      <c r="BT540" s="58"/>
      <c r="BU540" s="56" t="s">
        <v>17396</v>
      </c>
      <c r="BV540" s="58"/>
      <c r="BW540" s="58"/>
      <c r="BX540" s="67">
        <v>14812</v>
      </c>
      <c r="BY540" s="58"/>
      <c r="BZ540" s="58"/>
      <c r="CA540" s="58"/>
      <c r="CB540" s="58"/>
      <c r="CC540" s="58"/>
      <c r="CD540" s="58"/>
    </row>
    <row r="541" ht="108" spans="1:82">
      <c r="A541" s="56" t="s">
        <v>17403</v>
      </c>
      <c r="B541" s="58"/>
      <c r="C541" s="57" t="s">
        <v>17404</v>
      </c>
      <c r="D541" s="58"/>
      <c r="E541" s="57" t="s">
        <v>15158</v>
      </c>
      <c r="F541" s="57" t="s">
        <v>17405</v>
      </c>
      <c r="G541" s="57" t="s">
        <v>15160</v>
      </c>
      <c r="H541" s="56" t="s">
        <v>3307</v>
      </c>
      <c r="I541" s="60">
        <v>7930</v>
      </c>
      <c r="J541" s="57" t="s">
        <v>1285</v>
      </c>
      <c r="K541" s="57" t="s">
        <v>15162</v>
      </c>
      <c r="L541" s="57" t="s">
        <v>15163</v>
      </c>
      <c r="M541" s="61" t="s">
        <v>17325</v>
      </c>
      <c r="N541" s="62" t="s">
        <v>15205</v>
      </c>
      <c r="O541" s="57" t="s">
        <v>15165</v>
      </c>
      <c r="P541" s="57" t="s">
        <v>15166</v>
      </c>
      <c r="Q541" s="57" t="s">
        <v>3307</v>
      </c>
      <c r="R541" s="57" t="s">
        <v>15462</v>
      </c>
      <c r="S541" s="57" t="s">
        <v>15463</v>
      </c>
      <c r="T541" s="57" t="s">
        <v>15190</v>
      </c>
      <c r="U541" s="57" t="s">
        <v>14184</v>
      </c>
      <c r="V541" s="56" t="s">
        <v>14153</v>
      </c>
      <c r="W541" s="58"/>
      <c r="X541" s="57" t="s">
        <v>17406</v>
      </c>
      <c r="Y541" s="57" t="s">
        <v>15170</v>
      </c>
      <c r="Z541" s="61" t="s">
        <v>14605</v>
      </c>
      <c r="AA541" s="61" t="s">
        <v>17325</v>
      </c>
      <c r="AB541" s="58"/>
      <c r="AC541" s="57" t="s">
        <v>15172</v>
      </c>
      <c r="AD541" s="58"/>
      <c r="AE541" s="58"/>
      <c r="AF541" s="58"/>
      <c r="AG541" s="58"/>
      <c r="AH541" s="58"/>
      <c r="AI541" s="58"/>
      <c r="AJ541" s="58"/>
      <c r="AK541" s="56" t="s">
        <v>1285</v>
      </c>
      <c r="AL541" s="56" t="s">
        <v>17407</v>
      </c>
      <c r="AM541" s="58"/>
      <c r="AN541" s="56" t="s">
        <v>15375</v>
      </c>
      <c r="AO541" s="58"/>
      <c r="AP541" s="63">
        <v>45776.7983217593</v>
      </c>
      <c r="AQ541" s="56" t="s">
        <v>17408</v>
      </c>
      <c r="AR541" s="61" t="s">
        <v>15404</v>
      </c>
      <c r="AS541" s="57" t="s">
        <v>14184</v>
      </c>
      <c r="AT541" s="56" t="s">
        <v>15177</v>
      </c>
      <c r="AU541" s="56" t="s">
        <v>17409</v>
      </c>
      <c r="AV541" s="58"/>
      <c r="AW541" s="64">
        <v>45696.4993287037</v>
      </c>
      <c r="AX541" s="56" t="s">
        <v>17407</v>
      </c>
      <c r="AY541" s="56" t="s">
        <v>15179</v>
      </c>
      <c r="AZ541" s="58"/>
      <c r="BA541" s="58"/>
      <c r="BB541" s="58"/>
      <c r="BC541" s="56" t="s">
        <v>2148</v>
      </c>
      <c r="BD541" s="56" t="s">
        <v>15197</v>
      </c>
      <c r="BE541" s="58"/>
      <c r="BF541" s="56" t="s">
        <v>15181</v>
      </c>
      <c r="BG541" s="58"/>
      <c r="BH541" s="58"/>
      <c r="BI541" s="57" t="s">
        <v>2801</v>
      </c>
      <c r="BJ541" s="58"/>
      <c r="BK541" s="58"/>
      <c r="BL541" s="66">
        <v>3427063</v>
      </c>
      <c r="BM541" s="56" t="s">
        <v>17410</v>
      </c>
      <c r="BN541" s="58"/>
      <c r="BO541" s="67">
        <v>480</v>
      </c>
      <c r="BP541" s="56" t="s">
        <v>15409</v>
      </c>
      <c r="BQ541" s="58"/>
      <c r="BR541" s="56" t="s">
        <v>17411</v>
      </c>
      <c r="BS541" s="56" t="s">
        <v>1285</v>
      </c>
      <c r="BT541" s="58"/>
      <c r="BU541" s="56" t="s">
        <v>17408</v>
      </c>
      <c r="BV541" s="58"/>
      <c r="BW541" s="58"/>
      <c r="BX541" s="67">
        <v>480</v>
      </c>
      <c r="BY541" s="58"/>
      <c r="BZ541" s="58"/>
      <c r="CA541" s="58"/>
      <c r="CB541" s="58"/>
      <c r="CC541" s="58"/>
      <c r="CD541" s="58"/>
    </row>
    <row r="542" ht="108" spans="1:82">
      <c r="A542" s="56" t="s">
        <v>17412</v>
      </c>
      <c r="B542" s="58"/>
      <c r="C542" s="57" t="s">
        <v>17404</v>
      </c>
      <c r="D542" s="58"/>
      <c r="E542" s="57" t="s">
        <v>15158</v>
      </c>
      <c r="F542" s="57" t="s">
        <v>17405</v>
      </c>
      <c r="G542" s="57" t="s">
        <v>15160</v>
      </c>
      <c r="H542" s="56" t="s">
        <v>3307</v>
      </c>
      <c r="I542" s="60">
        <v>7930</v>
      </c>
      <c r="J542" s="57" t="s">
        <v>1285</v>
      </c>
      <c r="K542" s="57" t="s">
        <v>15162</v>
      </c>
      <c r="L542" s="57" t="s">
        <v>15163</v>
      </c>
      <c r="M542" s="61" t="s">
        <v>17325</v>
      </c>
      <c r="N542" s="62" t="s">
        <v>15205</v>
      </c>
      <c r="O542" s="57" t="s">
        <v>15165</v>
      </c>
      <c r="P542" s="57" t="s">
        <v>15166</v>
      </c>
      <c r="Q542" s="57" t="s">
        <v>3307</v>
      </c>
      <c r="R542" s="57" t="s">
        <v>15462</v>
      </c>
      <c r="S542" s="57" t="s">
        <v>15463</v>
      </c>
      <c r="T542" s="57" t="s">
        <v>15190</v>
      </c>
      <c r="U542" s="57" t="s">
        <v>14184</v>
      </c>
      <c r="V542" s="56" t="s">
        <v>14153</v>
      </c>
      <c r="W542" s="58"/>
      <c r="X542" s="57" t="s">
        <v>17406</v>
      </c>
      <c r="Y542" s="57" t="s">
        <v>15170</v>
      </c>
      <c r="Z542" s="61" t="s">
        <v>14605</v>
      </c>
      <c r="AA542" s="61" t="s">
        <v>17325</v>
      </c>
      <c r="AB542" s="58"/>
      <c r="AC542" s="57" t="s">
        <v>15172</v>
      </c>
      <c r="AD542" s="58"/>
      <c r="AE542" s="58"/>
      <c r="AF542" s="58"/>
      <c r="AG542" s="58"/>
      <c r="AH542" s="58"/>
      <c r="AI542" s="58"/>
      <c r="AJ542" s="58"/>
      <c r="AK542" s="56" t="s">
        <v>1285</v>
      </c>
      <c r="AL542" s="56" t="s">
        <v>17407</v>
      </c>
      <c r="AM542" s="58"/>
      <c r="AN542" s="56" t="s">
        <v>15375</v>
      </c>
      <c r="AO542" s="58"/>
      <c r="AP542" s="63">
        <v>45776.7983217593</v>
      </c>
      <c r="AQ542" s="56" t="s">
        <v>17408</v>
      </c>
      <c r="AR542" s="61" t="s">
        <v>15404</v>
      </c>
      <c r="AS542" s="57" t="s">
        <v>14184</v>
      </c>
      <c r="AT542" s="56" t="s">
        <v>15177</v>
      </c>
      <c r="AU542" s="56" t="s">
        <v>17409</v>
      </c>
      <c r="AV542" s="58"/>
      <c r="AW542" s="64">
        <v>45696.4993287037</v>
      </c>
      <c r="AX542" s="56" t="s">
        <v>17407</v>
      </c>
      <c r="AY542" s="56" t="s">
        <v>15179</v>
      </c>
      <c r="AZ542" s="58"/>
      <c r="BA542" s="58"/>
      <c r="BB542" s="58"/>
      <c r="BC542" s="56" t="s">
        <v>2148</v>
      </c>
      <c r="BD542" s="56" t="s">
        <v>15197</v>
      </c>
      <c r="BE542" s="58"/>
      <c r="BF542" s="56" t="s">
        <v>15181</v>
      </c>
      <c r="BG542" s="58"/>
      <c r="BH542" s="58"/>
      <c r="BI542" s="57" t="s">
        <v>2801</v>
      </c>
      <c r="BJ542" s="58"/>
      <c r="BK542" s="58"/>
      <c r="BL542" s="66">
        <v>3427064</v>
      </c>
      <c r="BM542" s="56" t="s">
        <v>17410</v>
      </c>
      <c r="BN542" s="58"/>
      <c r="BO542" s="67">
        <v>5470</v>
      </c>
      <c r="BP542" s="56" t="s">
        <v>15409</v>
      </c>
      <c r="BQ542" s="58"/>
      <c r="BR542" s="56" t="s">
        <v>17411</v>
      </c>
      <c r="BS542" s="56" t="s">
        <v>1285</v>
      </c>
      <c r="BT542" s="58"/>
      <c r="BU542" s="56" t="s">
        <v>17408</v>
      </c>
      <c r="BV542" s="58"/>
      <c r="BW542" s="58"/>
      <c r="BX542" s="67">
        <v>5470</v>
      </c>
      <c r="BY542" s="58"/>
      <c r="BZ542" s="58"/>
      <c r="CA542" s="58"/>
      <c r="CB542" s="58"/>
      <c r="CC542" s="58"/>
      <c r="CD542" s="58"/>
    </row>
    <row r="543" ht="108" spans="1:82">
      <c r="A543" s="56" t="s">
        <v>17413</v>
      </c>
      <c r="B543" s="58"/>
      <c r="C543" s="57" t="s">
        <v>17404</v>
      </c>
      <c r="D543" s="58"/>
      <c r="E543" s="57" t="s">
        <v>15158</v>
      </c>
      <c r="F543" s="57" t="s">
        <v>17405</v>
      </c>
      <c r="G543" s="57" t="s">
        <v>15160</v>
      </c>
      <c r="H543" s="56" t="s">
        <v>3307</v>
      </c>
      <c r="I543" s="60">
        <v>7930</v>
      </c>
      <c r="J543" s="57" t="s">
        <v>1285</v>
      </c>
      <c r="K543" s="57" t="s">
        <v>15162</v>
      </c>
      <c r="L543" s="57" t="s">
        <v>15163</v>
      </c>
      <c r="M543" s="61" t="s">
        <v>17325</v>
      </c>
      <c r="N543" s="62" t="s">
        <v>15205</v>
      </c>
      <c r="O543" s="57" t="s">
        <v>15165</v>
      </c>
      <c r="P543" s="57" t="s">
        <v>15166</v>
      </c>
      <c r="Q543" s="57" t="s">
        <v>3307</v>
      </c>
      <c r="R543" s="57" t="s">
        <v>15462</v>
      </c>
      <c r="S543" s="57" t="s">
        <v>15463</v>
      </c>
      <c r="T543" s="57" t="s">
        <v>15190</v>
      </c>
      <c r="U543" s="57" t="s">
        <v>14184</v>
      </c>
      <c r="V543" s="56" t="s">
        <v>14153</v>
      </c>
      <c r="W543" s="58"/>
      <c r="X543" s="57" t="s">
        <v>17406</v>
      </c>
      <c r="Y543" s="57" t="s">
        <v>15170</v>
      </c>
      <c r="Z543" s="61" t="s">
        <v>14605</v>
      </c>
      <c r="AA543" s="61" t="s">
        <v>17325</v>
      </c>
      <c r="AB543" s="58"/>
      <c r="AC543" s="57" t="s">
        <v>15172</v>
      </c>
      <c r="AD543" s="58"/>
      <c r="AE543" s="58"/>
      <c r="AF543" s="58"/>
      <c r="AG543" s="58"/>
      <c r="AH543" s="58"/>
      <c r="AI543" s="58"/>
      <c r="AJ543" s="58"/>
      <c r="AK543" s="56" t="s">
        <v>1285</v>
      </c>
      <c r="AL543" s="56" t="s">
        <v>17407</v>
      </c>
      <c r="AM543" s="58"/>
      <c r="AN543" s="56" t="s">
        <v>15375</v>
      </c>
      <c r="AO543" s="58"/>
      <c r="AP543" s="63">
        <v>45776.7983217593</v>
      </c>
      <c r="AQ543" s="56" t="s">
        <v>17408</v>
      </c>
      <c r="AR543" s="61" t="s">
        <v>15404</v>
      </c>
      <c r="AS543" s="57" t="s">
        <v>14184</v>
      </c>
      <c r="AT543" s="56" t="s">
        <v>15177</v>
      </c>
      <c r="AU543" s="56" t="s">
        <v>17409</v>
      </c>
      <c r="AV543" s="58"/>
      <c r="AW543" s="64">
        <v>45696.4993287037</v>
      </c>
      <c r="AX543" s="56" t="s">
        <v>17407</v>
      </c>
      <c r="AY543" s="56" t="s">
        <v>15179</v>
      </c>
      <c r="AZ543" s="58"/>
      <c r="BA543" s="58"/>
      <c r="BB543" s="58"/>
      <c r="BC543" s="56" t="s">
        <v>2148</v>
      </c>
      <c r="BD543" s="56" t="s">
        <v>15197</v>
      </c>
      <c r="BE543" s="58"/>
      <c r="BF543" s="56" t="s">
        <v>15181</v>
      </c>
      <c r="BG543" s="58"/>
      <c r="BH543" s="58"/>
      <c r="BI543" s="57" t="s">
        <v>2801</v>
      </c>
      <c r="BJ543" s="58"/>
      <c r="BK543" s="58"/>
      <c r="BL543" s="66">
        <v>3427065</v>
      </c>
      <c r="BM543" s="56" t="s">
        <v>17410</v>
      </c>
      <c r="BN543" s="58"/>
      <c r="BO543" s="67">
        <v>450</v>
      </c>
      <c r="BP543" s="56" t="s">
        <v>15409</v>
      </c>
      <c r="BQ543" s="58"/>
      <c r="BR543" s="56" t="s">
        <v>17411</v>
      </c>
      <c r="BS543" s="56" t="s">
        <v>1285</v>
      </c>
      <c r="BT543" s="58"/>
      <c r="BU543" s="56" t="s">
        <v>17408</v>
      </c>
      <c r="BV543" s="58"/>
      <c r="BW543" s="58"/>
      <c r="BX543" s="67">
        <v>450</v>
      </c>
      <c r="BY543" s="58"/>
      <c r="BZ543" s="58"/>
      <c r="CA543" s="58"/>
      <c r="CB543" s="58"/>
      <c r="CC543" s="58"/>
      <c r="CD543" s="58"/>
    </row>
    <row r="544" ht="108" spans="1:82">
      <c r="A544" s="56" t="s">
        <v>17414</v>
      </c>
      <c r="B544" s="58"/>
      <c r="C544" s="57" t="s">
        <v>17404</v>
      </c>
      <c r="D544" s="58"/>
      <c r="E544" s="57" t="s">
        <v>15158</v>
      </c>
      <c r="F544" s="57" t="s">
        <v>17405</v>
      </c>
      <c r="G544" s="57" t="s">
        <v>15160</v>
      </c>
      <c r="H544" s="56" t="s">
        <v>3307</v>
      </c>
      <c r="I544" s="60">
        <v>7930</v>
      </c>
      <c r="J544" s="57" t="s">
        <v>1285</v>
      </c>
      <c r="K544" s="57" t="s">
        <v>15162</v>
      </c>
      <c r="L544" s="57" t="s">
        <v>15163</v>
      </c>
      <c r="M544" s="61" t="s">
        <v>17325</v>
      </c>
      <c r="N544" s="62" t="s">
        <v>15205</v>
      </c>
      <c r="O544" s="57" t="s">
        <v>15165</v>
      </c>
      <c r="P544" s="57" t="s">
        <v>15166</v>
      </c>
      <c r="Q544" s="57" t="s">
        <v>3307</v>
      </c>
      <c r="R544" s="57" t="s">
        <v>15462</v>
      </c>
      <c r="S544" s="57" t="s">
        <v>15463</v>
      </c>
      <c r="T544" s="57" t="s">
        <v>15190</v>
      </c>
      <c r="U544" s="57" t="s">
        <v>14184</v>
      </c>
      <c r="V544" s="56" t="s">
        <v>14153</v>
      </c>
      <c r="W544" s="58"/>
      <c r="X544" s="57" t="s">
        <v>17406</v>
      </c>
      <c r="Y544" s="57" t="s">
        <v>15170</v>
      </c>
      <c r="Z544" s="61" t="s">
        <v>14605</v>
      </c>
      <c r="AA544" s="61" t="s">
        <v>17325</v>
      </c>
      <c r="AB544" s="58"/>
      <c r="AC544" s="57" t="s">
        <v>15172</v>
      </c>
      <c r="AD544" s="58"/>
      <c r="AE544" s="58"/>
      <c r="AF544" s="58"/>
      <c r="AG544" s="58"/>
      <c r="AH544" s="58"/>
      <c r="AI544" s="58"/>
      <c r="AJ544" s="58"/>
      <c r="AK544" s="56" t="s">
        <v>1285</v>
      </c>
      <c r="AL544" s="56" t="s">
        <v>17407</v>
      </c>
      <c r="AM544" s="58"/>
      <c r="AN544" s="56" t="s">
        <v>15375</v>
      </c>
      <c r="AO544" s="58"/>
      <c r="AP544" s="63">
        <v>45776.7983217593</v>
      </c>
      <c r="AQ544" s="56" t="s">
        <v>17408</v>
      </c>
      <c r="AR544" s="61" t="s">
        <v>15404</v>
      </c>
      <c r="AS544" s="57" t="s">
        <v>14184</v>
      </c>
      <c r="AT544" s="56" t="s">
        <v>15177</v>
      </c>
      <c r="AU544" s="56" t="s">
        <v>17409</v>
      </c>
      <c r="AV544" s="58"/>
      <c r="AW544" s="64">
        <v>45696.4993287037</v>
      </c>
      <c r="AX544" s="56" t="s">
        <v>17407</v>
      </c>
      <c r="AY544" s="56" t="s">
        <v>15179</v>
      </c>
      <c r="AZ544" s="58"/>
      <c r="BA544" s="58"/>
      <c r="BB544" s="58"/>
      <c r="BC544" s="56" t="s">
        <v>2148</v>
      </c>
      <c r="BD544" s="56" t="s">
        <v>15197</v>
      </c>
      <c r="BE544" s="58"/>
      <c r="BF544" s="56" t="s">
        <v>15181</v>
      </c>
      <c r="BG544" s="58"/>
      <c r="BH544" s="58"/>
      <c r="BI544" s="57" t="s">
        <v>2801</v>
      </c>
      <c r="BJ544" s="58"/>
      <c r="BK544" s="58"/>
      <c r="BL544" s="66">
        <v>3427066</v>
      </c>
      <c r="BM544" s="56" t="s">
        <v>17410</v>
      </c>
      <c r="BN544" s="58"/>
      <c r="BO544" s="67">
        <v>850</v>
      </c>
      <c r="BP544" s="56" t="s">
        <v>15409</v>
      </c>
      <c r="BQ544" s="58"/>
      <c r="BR544" s="56" t="s">
        <v>17411</v>
      </c>
      <c r="BS544" s="56" t="s">
        <v>1285</v>
      </c>
      <c r="BT544" s="58"/>
      <c r="BU544" s="56" t="s">
        <v>17408</v>
      </c>
      <c r="BV544" s="58"/>
      <c r="BW544" s="58"/>
      <c r="BX544" s="67">
        <v>850</v>
      </c>
      <c r="BY544" s="58"/>
      <c r="BZ544" s="58"/>
      <c r="CA544" s="58"/>
      <c r="CB544" s="58"/>
      <c r="CC544" s="58"/>
      <c r="CD544" s="58"/>
    </row>
    <row r="545" ht="108" spans="1:82">
      <c r="A545" s="56" t="s">
        <v>17415</v>
      </c>
      <c r="B545" s="58"/>
      <c r="C545" s="57" t="s">
        <v>17404</v>
      </c>
      <c r="D545" s="58"/>
      <c r="E545" s="57" t="s">
        <v>15158</v>
      </c>
      <c r="F545" s="57" t="s">
        <v>17405</v>
      </c>
      <c r="G545" s="57" t="s">
        <v>15160</v>
      </c>
      <c r="H545" s="56" t="s">
        <v>3307</v>
      </c>
      <c r="I545" s="60">
        <v>7930</v>
      </c>
      <c r="J545" s="57" t="s">
        <v>1285</v>
      </c>
      <c r="K545" s="57" t="s">
        <v>15162</v>
      </c>
      <c r="L545" s="57" t="s">
        <v>15163</v>
      </c>
      <c r="M545" s="61" t="s">
        <v>17325</v>
      </c>
      <c r="N545" s="62" t="s">
        <v>15205</v>
      </c>
      <c r="O545" s="57" t="s">
        <v>15165</v>
      </c>
      <c r="P545" s="57" t="s">
        <v>15166</v>
      </c>
      <c r="Q545" s="57" t="s">
        <v>3307</v>
      </c>
      <c r="R545" s="57" t="s">
        <v>15462</v>
      </c>
      <c r="S545" s="57" t="s">
        <v>15463</v>
      </c>
      <c r="T545" s="57" t="s">
        <v>15190</v>
      </c>
      <c r="U545" s="57" t="s">
        <v>14184</v>
      </c>
      <c r="V545" s="56" t="s">
        <v>14153</v>
      </c>
      <c r="W545" s="58"/>
      <c r="X545" s="57" t="s">
        <v>17406</v>
      </c>
      <c r="Y545" s="57" t="s">
        <v>15170</v>
      </c>
      <c r="Z545" s="61" t="s">
        <v>14605</v>
      </c>
      <c r="AA545" s="61" t="s">
        <v>17325</v>
      </c>
      <c r="AB545" s="58"/>
      <c r="AC545" s="57" t="s">
        <v>15172</v>
      </c>
      <c r="AD545" s="58"/>
      <c r="AE545" s="58"/>
      <c r="AF545" s="58"/>
      <c r="AG545" s="58"/>
      <c r="AH545" s="58"/>
      <c r="AI545" s="58"/>
      <c r="AJ545" s="58"/>
      <c r="AK545" s="56" t="s">
        <v>1285</v>
      </c>
      <c r="AL545" s="56" t="s">
        <v>17407</v>
      </c>
      <c r="AM545" s="58"/>
      <c r="AN545" s="56" t="s">
        <v>15375</v>
      </c>
      <c r="AO545" s="58"/>
      <c r="AP545" s="63">
        <v>45776.7983217593</v>
      </c>
      <c r="AQ545" s="56" t="s">
        <v>17408</v>
      </c>
      <c r="AR545" s="61" t="s">
        <v>15404</v>
      </c>
      <c r="AS545" s="57" t="s">
        <v>14184</v>
      </c>
      <c r="AT545" s="56" t="s">
        <v>15177</v>
      </c>
      <c r="AU545" s="56" t="s">
        <v>17409</v>
      </c>
      <c r="AV545" s="58"/>
      <c r="AW545" s="64">
        <v>45696.4993287037</v>
      </c>
      <c r="AX545" s="56" t="s">
        <v>17407</v>
      </c>
      <c r="AY545" s="56" t="s">
        <v>15179</v>
      </c>
      <c r="AZ545" s="58"/>
      <c r="BA545" s="58"/>
      <c r="BB545" s="58"/>
      <c r="BC545" s="56" t="s">
        <v>2148</v>
      </c>
      <c r="BD545" s="56" t="s">
        <v>15197</v>
      </c>
      <c r="BE545" s="58"/>
      <c r="BF545" s="56" t="s">
        <v>15181</v>
      </c>
      <c r="BG545" s="58"/>
      <c r="BH545" s="58"/>
      <c r="BI545" s="57" t="s">
        <v>2801</v>
      </c>
      <c r="BJ545" s="58"/>
      <c r="BK545" s="58"/>
      <c r="BL545" s="66">
        <v>3427062</v>
      </c>
      <c r="BM545" s="56" t="s">
        <v>17410</v>
      </c>
      <c r="BN545" s="58"/>
      <c r="BO545" s="67">
        <v>680</v>
      </c>
      <c r="BP545" s="56" t="s">
        <v>15409</v>
      </c>
      <c r="BQ545" s="58"/>
      <c r="BR545" s="56" t="s">
        <v>17411</v>
      </c>
      <c r="BS545" s="56" t="s">
        <v>1285</v>
      </c>
      <c r="BT545" s="58"/>
      <c r="BU545" s="56" t="s">
        <v>17408</v>
      </c>
      <c r="BV545" s="58"/>
      <c r="BW545" s="58"/>
      <c r="BX545" s="67">
        <v>680</v>
      </c>
      <c r="BY545" s="58"/>
      <c r="BZ545" s="58"/>
      <c r="CA545" s="58"/>
      <c r="CB545" s="58"/>
      <c r="CC545" s="58"/>
      <c r="CD545" s="58"/>
    </row>
    <row r="546" ht="108" spans="1:82">
      <c r="A546" s="56" t="s">
        <v>17416</v>
      </c>
      <c r="B546" s="58"/>
      <c r="C546" s="57" t="s">
        <v>17417</v>
      </c>
      <c r="D546" s="58"/>
      <c r="E546" s="57" t="s">
        <v>15158</v>
      </c>
      <c r="F546" s="57" t="s">
        <v>17418</v>
      </c>
      <c r="G546" s="57" t="s">
        <v>15160</v>
      </c>
      <c r="H546" s="56" t="s">
        <v>3112</v>
      </c>
      <c r="I546" s="60">
        <v>5063.89</v>
      </c>
      <c r="J546" s="57" t="s">
        <v>1285</v>
      </c>
      <c r="K546" s="57" t="s">
        <v>15162</v>
      </c>
      <c r="L546" s="57" t="s">
        <v>15163</v>
      </c>
      <c r="M546" s="61" t="s">
        <v>17325</v>
      </c>
      <c r="N546" s="62" t="s">
        <v>15205</v>
      </c>
      <c r="O546" s="57" t="s">
        <v>15165</v>
      </c>
      <c r="P546" s="57" t="s">
        <v>15166</v>
      </c>
      <c r="Q546" s="57" t="s">
        <v>3112</v>
      </c>
      <c r="R546" s="57" t="s">
        <v>15188</v>
      </c>
      <c r="S546" s="57" t="s">
        <v>15189</v>
      </c>
      <c r="T546" s="57" t="s">
        <v>15190</v>
      </c>
      <c r="U546" s="57" t="s">
        <v>14184</v>
      </c>
      <c r="V546" s="56" t="s">
        <v>14153</v>
      </c>
      <c r="W546" s="58"/>
      <c r="X546" s="57" t="s">
        <v>17419</v>
      </c>
      <c r="Y546" s="57" t="s">
        <v>15170</v>
      </c>
      <c r="Z546" s="61" t="s">
        <v>14605</v>
      </c>
      <c r="AA546" s="61" t="s">
        <v>17325</v>
      </c>
      <c r="AB546" s="58"/>
      <c r="AC546" s="57" t="s">
        <v>15172</v>
      </c>
      <c r="AD546" s="58"/>
      <c r="AE546" s="58"/>
      <c r="AF546" s="58"/>
      <c r="AG546" s="58"/>
      <c r="AH546" s="58"/>
      <c r="AI546" s="58"/>
      <c r="AJ546" s="58"/>
      <c r="AK546" s="56" t="s">
        <v>1285</v>
      </c>
      <c r="AL546" s="56" t="s">
        <v>17420</v>
      </c>
      <c r="AM546" s="58"/>
      <c r="AN546" s="56" t="s">
        <v>15312</v>
      </c>
      <c r="AO546" s="58"/>
      <c r="AP546" s="63">
        <v>45776.7970601852</v>
      </c>
      <c r="AQ546" s="56" t="s">
        <v>17421</v>
      </c>
      <c r="AR546" s="61" t="s">
        <v>15404</v>
      </c>
      <c r="AS546" s="57" t="s">
        <v>14184</v>
      </c>
      <c r="AT546" s="56" t="s">
        <v>15177</v>
      </c>
      <c r="AU546" s="56" t="s">
        <v>17422</v>
      </c>
      <c r="AV546" s="58"/>
      <c r="AW546" s="64">
        <v>45694.8085185185</v>
      </c>
      <c r="AX546" s="56" t="s">
        <v>17420</v>
      </c>
      <c r="AY546" s="56" t="s">
        <v>15179</v>
      </c>
      <c r="AZ546" s="58"/>
      <c r="BA546" s="58"/>
      <c r="BB546" s="58"/>
      <c r="BC546" s="56" t="s">
        <v>15196</v>
      </c>
      <c r="BD546" s="56" t="s">
        <v>15197</v>
      </c>
      <c r="BE546" s="58"/>
      <c r="BF546" s="56" t="s">
        <v>15181</v>
      </c>
      <c r="BG546" s="58"/>
      <c r="BH546" s="58"/>
      <c r="BI546" s="57" t="s">
        <v>2801</v>
      </c>
      <c r="BJ546" s="58"/>
      <c r="BK546" s="58"/>
      <c r="BL546" s="66">
        <v>3386234</v>
      </c>
      <c r="BM546" s="56" t="s">
        <v>17423</v>
      </c>
      <c r="BN546" s="58"/>
      <c r="BO546" s="67">
        <v>1800</v>
      </c>
      <c r="BP546" s="56" t="s">
        <v>15409</v>
      </c>
      <c r="BQ546" s="58"/>
      <c r="BR546" s="56" t="s">
        <v>17424</v>
      </c>
      <c r="BS546" s="56" t="s">
        <v>1285</v>
      </c>
      <c r="BT546" s="58"/>
      <c r="BU546" s="56" t="s">
        <v>17421</v>
      </c>
      <c r="BV546" s="58"/>
      <c r="BW546" s="58"/>
      <c r="BX546" s="67">
        <v>1800</v>
      </c>
      <c r="BY546" s="58"/>
      <c r="BZ546" s="58"/>
      <c r="CA546" s="58"/>
      <c r="CB546" s="58"/>
      <c r="CC546" s="58"/>
      <c r="CD546" s="58"/>
    </row>
    <row r="547" ht="108" spans="1:82">
      <c r="A547" s="56" t="s">
        <v>17425</v>
      </c>
      <c r="B547" s="58"/>
      <c r="C547" s="57" t="s">
        <v>17417</v>
      </c>
      <c r="D547" s="58"/>
      <c r="E547" s="57" t="s">
        <v>15158</v>
      </c>
      <c r="F547" s="57" t="s">
        <v>17418</v>
      </c>
      <c r="G547" s="57" t="s">
        <v>15160</v>
      </c>
      <c r="H547" s="56" t="s">
        <v>3112</v>
      </c>
      <c r="I547" s="60">
        <v>5063.89</v>
      </c>
      <c r="J547" s="57" t="s">
        <v>1285</v>
      </c>
      <c r="K547" s="57" t="s">
        <v>15162</v>
      </c>
      <c r="L547" s="57" t="s">
        <v>15163</v>
      </c>
      <c r="M547" s="61" t="s">
        <v>17325</v>
      </c>
      <c r="N547" s="62" t="s">
        <v>15205</v>
      </c>
      <c r="O547" s="57" t="s">
        <v>15165</v>
      </c>
      <c r="P547" s="57" t="s">
        <v>15166</v>
      </c>
      <c r="Q547" s="57" t="s">
        <v>3112</v>
      </c>
      <c r="R547" s="57" t="s">
        <v>15188</v>
      </c>
      <c r="S547" s="57" t="s">
        <v>15189</v>
      </c>
      <c r="T547" s="57" t="s">
        <v>15190</v>
      </c>
      <c r="U547" s="57" t="s">
        <v>14184</v>
      </c>
      <c r="V547" s="56" t="s">
        <v>14153</v>
      </c>
      <c r="W547" s="58"/>
      <c r="X547" s="57" t="s">
        <v>17419</v>
      </c>
      <c r="Y547" s="57" t="s">
        <v>15170</v>
      </c>
      <c r="Z547" s="61" t="s">
        <v>14605</v>
      </c>
      <c r="AA547" s="61" t="s">
        <v>17325</v>
      </c>
      <c r="AB547" s="58"/>
      <c r="AC547" s="57" t="s">
        <v>15172</v>
      </c>
      <c r="AD547" s="58"/>
      <c r="AE547" s="58"/>
      <c r="AF547" s="58"/>
      <c r="AG547" s="58"/>
      <c r="AH547" s="58"/>
      <c r="AI547" s="58"/>
      <c r="AJ547" s="58"/>
      <c r="AK547" s="56" t="s">
        <v>1285</v>
      </c>
      <c r="AL547" s="56" t="s">
        <v>17420</v>
      </c>
      <c r="AM547" s="58"/>
      <c r="AN547" s="56" t="s">
        <v>15312</v>
      </c>
      <c r="AO547" s="58"/>
      <c r="AP547" s="63">
        <v>45776.7970601852</v>
      </c>
      <c r="AQ547" s="56" t="s">
        <v>17421</v>
      </c>
      <c r="AR547" s="61" t="s">
        <v>15404</v>
      </c>
      <c r="AS547" s="57" t="s">
        <v>14184</v>
      </c>
      <c r="AT547" s="56" t="s">
        <v>15177</v>
      </c>
      <c r="AU547" s="56" t="s">
        <v>17422</v>
      </c>
      <c r="AV547" s="58"/>
      <c r="AW547" s="64">
        <v>45694.8085185185</v>
      </c>
      <c r="AX547" s="56" t="s">
        <v>17420</v>
      </c>
      <c r="AY547" s="56" t="s">
        <v>15179</v>
      </c>
      <c r="AZ547" s="58"/>
      <c r="BA547" s="58"/>
      <c r="BB547" s="58"/>
      <c r="BC547" s="56" t="s">
        <v>15196</v>
      </c>
      <c r="BD547" s="56" t="s">
        <v>15197</v>
      </c>
      <c r="BE547" s="58"/>
      <c r="BF547" s="56" t="s">
        <v>15181</v>
      </c>
      <c r="BG547" s="58"/>
      <c r="BH547" s="58"/>
      <c r="BI547" s="57" t="s">
        <v>2801</v>
      </c>
      <c r="BJ547" s="58"/>
      <c r="BK547" s="58"/>
      <c r="BL547" s="66">
        <v>3386235</v>
      </c>
      <c r="BM547" s="56" t="s">
        <v>17423</v>
      </c>
      <c r="BN547" s="58"/>
      <c r="BO547" s="67">
        <v>800</v>
      </c>
      <c r="BP547" s="56" t="s">
        <v>15409</v>
      </c>
      <c r="BQ547" s="58"/>
      <c r="BR547" s="56" t="s">
        <v>17424</v>
      </c>
      <c r="BS547" s="56" t="s">
        <v>1285</v>
      </c>
      <c r="BT547" s="58"/>
      <c r="BU547" s="56" t="s">
        <v>17421</v>
      </c>
      <c r="BV547" s="58"/>
      <c r="BW547" s="58"/>
      <c r="BX547" s="67">
        <v>800</v>
      </c>
      <c r="BY547" s="58"/>
      <c r="BZ547" s="58"/>
      <c r="CA547" s="58"/>
      <c r="CB547" s="58"/>
      <c r="CC547" s="58"/>
      <c r="CD547" s="58"/>
    </row>
    <row r="548" ht="108" spans="1:82">
      <c r="A548" s="56" t="s">
        <v>17426</v>
      </c>
      <c r="B548" s="58"/>
      <c r="C548" s="57" t="s">
        <v>17417</v>
      </c>
      <c r="D548" s="58"/>
      <c r="E548" s="57" t="s">
        <v>15158</v>
      </c>
      <c r="F548" s="57" t="s">
        <v>17418</v>
      </c>
      <c r="G548" s="57" t="s">
        <v>15160</v>
      </c>
      <c r="H548" s="56" t="s">
        <v>3112</v>
      </c>
      <c r="I548" s="60">
        <v>5063.89</v>
      </c>
      <c r="J548" s="57" t="s">
        <v>1285</v>
      </c>
      <c r="K548" s="57" t="s">
        <v>15162</v>
      </c>
      <c r="L548" s="57" t="s">
        <v>15163</v>
      </c>
      <c r="M548" s="61" t="s">
        <v>17325</v>
      </c>
      <c r="N548" s="62" t="s">
        <v>15205</v>
      </c>
      <c r="O548" s="57" t="s">
        <v>15165</v>
      </c>
      <c r="P548" s="57" t="s">
        <v>15166</v>
      </c>
      <c r="Q548" s="57" t="s">
        <v>3112</v>
      </c>
      <c r="R548" s="57" t="s">
        <v>15188</v>
      </c>
      <c r="S548" s="57" t="s">
        <v>15189</v>
      </c>
      <c r="T548" s="57" t="s">
        <v>15190</v>
      </c>
      <c r="U548" s="57" t="s">
        <v>14184</v>
      </c>
      <c r="V548" s="56" t="s">
        <v>14153</v>
      </c>
      <c r="W548" s="58"/>
      <c r="X548" s="57" t="s">
        <v>17419</v>
      </c>
      <c r="Y548" s="57" t="s">
        <v>15170</v>
      </c>
      <c r="Z548" s="61" t="s">
        <v>14605</v>
      </c>
      <c r="AA548" s="61" t="s">
        <v>17325</v>
      </c>
      <c r="AB548" s="58"/>
      <c r="AC548" s="57" t="s">
        <v>15172</v>
      </c>
      <c r="AD548" s="58"/>
      <c r="AE548" s="58"/>
      <c r="AF548" s="58"/>
      <c r="AG548" s="58"/>
      <c r="AH548" s="58"/>
      <c r="AI548" s="58"/>
      <c r="AJ548" s="58"/>
      <c r="AK548" s="56" t="s">
        <v>1285</v>
      </c>
      <c r="AL548" s="56" t="s">
        <v>17420</v>
      </c>
      <c r="AM548" s="58"/>
      <c r="AN548" s="56" t="s">
        <v>15312</v>
      </c>
      <c r="AO548" s="58"/>
      <c r="AP548" s="63">
        <v>45776.7970601852</v>
      </c>
      <c r="AQ548" s="56" t="s">
        <v>17421</v>
      </c>
      <c r="AR548" s="61" t="s">
        <v>15404</v>
      </c>
      <c r="AS548" s="57" t="s">
        <v>14184</v>
      </c>
      <c r="AT548" s="56" t="s">
        <v>15177</v>
      </c>
      <c r="AU548" s="56" t="s">
        <v>17422</v>
      </c>
      <c r="AV548" s="58"/>
      <c r="AW548" s="64">
        <v>45694.8085185185</v>
      </c>
      <c r="AX548" s="56" t="s">
        <v>17420</v>
      </c>
      <c r="AY548" s="56" t="s">
        <v>15179</v>
      </c>
      <c r="AZ548" s="58"/>
      <c r="BA548" s="58"/>
      <c r="BB548" s="58"/>
      <c r="BC548" s="56" t="s">
        <v>15196</v>
      </c>
      <c r="BD548" s="56" t="s">
        <v>15197</v>
      </c>
      <c r="BE548" s="58"/>
      <c r="BF548" s="56" t="s">
        <v>15181</v>
      </c>
      <c r="BG548" s="58"/>
      <c r="BH548" s="58"/>
      <c r="BI548" s="57" t="s">
        <v>2801</v>
      </c>
      <c r="BJ548" s="58"/>
      <c r="BK548" s="58"/>
      <c r="BL548" s="66">
        <v>3386236</v>
      </c>
      <c r="BM548" s="56" t="s">
        <v>17423</v>
      </c>
      <c r="BN548" s="58"/>
      <c r="BO548" s="67">
        <v>250</v>
      </c>
      <c r="BP548" s="56" t="s">
        <v>15409</v>
      </c>
      <c r="BQ548" s="58"/>
      <c r="BR548" s="56" t="s">
        <v>17424</v>
      </c>
      <c r="BS548" s="56" t="s">
        <v>1285</v>
      </c>
      <c r="BT548" s="58"/>
      <c r="BU548" s="56" t="s">
        <v>17421</v>
      </c>
      <c r="BV548" s="58"/>
      <c r="BW548" s="58"/>
      <c r="BX548" s="67">
        <v>250</v>
      </c>
      <c r="BY548" s="58"/>
      <c r="BZ548" s="58"/>
      <c r="CA548" s="58"/>
      <c r="CB548" s="58"/>
      <c r="CC548" s="58"/>
      <c r="CD548" s="58"/>
    </row>
    <row r="549" ht="108" spans="1:82">
      <c r="A549" s="56" t="s">
        <v>17427</v>
      </c>
      <c r="B549" s="58"/>
      <c r="C549" s="57" t="s">
        <v>17417</v>
      </c>
      <c r="D549" s="58"/>
      <c r="E549" s="57" t="s">
        <v>15158</v>
      </c>
      <c r="F549" s="57" t="s">
        <v>17418</v>
      </c>
      <c r="G549" s="57" t="s">
        <v>15160</v>
      </c>
      <c r="H549" s="56" t="s">
        <v>3112</v>
      </c>
      <c r="I549" s="60">
        <v>5063.89</v>
      </c>
      <c r="J549" s="57" t="s">
        <v>1285</v>
      </c>
      <c r="K549" s="57" t="s">
        <v>15162</v>
      </c>
      <c r="L549" s="57" t="s">
        <v>15163</v>
      </c>
      <c r="M549" s="61" t="s">
        <v>17325</v>
      </c>
      <c r="N549" s="62" t="s">
        <v>15205</v>
      </c>
      <c r="O549" s="57" t="s">
        <v>15165</v>
      </c>
      <c r="P549" s="57" t="s">
        <v>15166</v>
      </c>
      <c r="Q549" s="57" t="s">
        <v>3112</v>
      </c>
      <c r="R549" s="57" t="s">
        <v>15188</v>
      </c>
      <c r="S549" s="57" t="s">
        <v>15189</v>
      </c>
      <c r="T549" s="57" t="s">
        <v>15190</v>
      </c>
      <c r="U549" s="57" t="s">
        <v>14184</v>
      </c>
      <c r="V549" s="56" t="s">
        <v>14153</v>
      </c>
      <c r="W549" s="58"/>
      <c r="X549" s="57" t="s">
        <v>17419</v>
      </c>
      <c r="Y549" s="57" t="s">
        <v>15170</v>
      </c>
      <c r="Z549" s="61" t="s">
        <v>14605</v>
      </c>
      <c r="AA549" s="61" t="s">
        <v>17325</v>
      </c>
      <c r="AB549" s="58"/>
      <c r="AC549" s="57" t="s">
        <v>15172</v>
      </c>
      <c r="AD549" s="58"/>
      <c r="AE549" s="58"/>
      <c r="AF549" s="58"/>
      <c r="AG549" s="58"/>
      <c r="AH549" s="58"/>
      <c r="AI549" s="58"/>
      <c r="AJ549" s="58"/>
      <c r="AK549" s="56" t="s">
        <v>1285</v>
      </c>
      <c r="AL549" s="56" t="s">
        <v>17420</v>
      </c>
      <c r="AM549" s="58"/>
      <c r="AN549" s="56" t="s">
        <v>15312</v>
      </c>
      <c r="AO549" s="58"/>
      <c r="AP549" s="63">
        <v>45776.7970601852</v>
      </c>
      <c r="AQ549" s="56" t="s">
        <v>17421</v>
      </c>
      <c r="AR549" s="61" t="s">
        <v>15404</v>
      </c>
      <c r="AS549" s="57" t="s">
        <v>14184</v>
      </c>
      <c r="AT549" s="56" t="s">
        <v>15177</v>
      </c>
      <c r="AU549" s="56" t="s">
        <v>17422</v>
      </c>
      <c r="AV549" s="58"/>
      <c r="AW549" s="64">
        <v>45694.8085185185</v>
      </c>
      <c r="AX549" s="56" t="s">
        <v>17420</v>
      </c>
      <c r="AY549" s="56" t="s">
        <v>15179</v>
      </c>
      <c r="AZ549" s="58"/>
      <c r="BA549" s="58"/>
      <c r="BB549" s="58"/>
      <c r="BC549" s="56" t="s">
        <v>15196</v>
      </c>
      <c r="BD549" s="56" t="s">
        <v>15197</v>
      </c>
      <c r="BE549" s="58"/>
      <c r="BF549" s="56" t="s">
        <v>15181</v>
      </c>
      <c r="BG549" s="58"/>
      <c r="BH549" s="58"/>
      <c r="BI549" s="57" t="s">
        <v>2801</v>
      </c>
      <c r="BJ549" s="58"/>
      <c r="BK549" s="58"/>
      <c r="BL549" s="66">
        <v>3386237</v>
      </c>
      <c r="BM549" s="56" t="s">
        <v>17423</v>
      </c>
      <c r="BN549" s="58"/>
      <c r="BO549" s="67">
        <v>150</v>
      </c>
      <c r="BP549" s="56" t="s">
        <v>15409</v>
      </c>
      <c r="BQ549" s="58"/>
      <c r="BR549" s="56" t="s">
        <v>17424</v>
      </c>
      <c r="BS549" s="56" t="s">
        <v>1285</v>
      </c>
      <c r="BT549" s="58"/>
      <c r="BU549" s="56" t="s">
        <v>17421</v>
      </c>
      <c r="BV549" s="58"/>
      <c r="BW549" s="58"/>
      <c r="BX549" s="67">
        <v>150</v>
      </c>
      <c r="BY549" s="58"/>
      <c r="BZ549" s="58"/>
      <c r="CA549" s="58"/>
      <c r="CB549" s="58"/>
      <c r="CC549" s="58"/>
      <c r="CD549" s="58"/>
    </row>
    <row r="550" ht="108" spans="1:82">
      <c r="A550" s="56" t="s">
        <v>17428</v>
      </c>
      <c r="B550" s="58"/>
      <c r="C550" s="57" t="s">
        <v>17417</v>
      </c>
      <c r="D550" s="58"/>
      <c r="E550" s="57" t="s">
        <v>15158</v>
      </c>
      <c r="F550" s="57" t="s">
        <v>17418</v>
      </c>
      <c r="G550" s="57" t="s">
        <v>15160</v>
      </c>
      <c r="H550" s="56" t="s">
        <v>3112</v>
      </c>
      <c r="I550" s="60">
        <v>5063.89</v>
      </c>
      <c r="J550" s="57" t="s">
        <v>1285</v>
      </c>
      <c r="K550" s="57" t="s">
        <v>15162</v>
      </c>
      <c r="L550" s="57" t="s">
        <v>15163</v>
      </c>
      <c r="M550" s="61" t="s">
        <v>17325</v>
      </c>
      <c r="N550" s="62" t="s">
        <v>15205</v>
      </c>
      <c r="O550" s="57" t="s">
        <v>15165</v>
      </c>
      <c r="P550" s="57" t="s">
        <v>15166</v>
      </c>
      <c r="Q550" s="57" t="s">
        <v>3112</v>
      </c>
      <c r="R550" s="57" t="s">
        <v>15188</v>
      </c>
      <c r="S550" s="57" t="s">
        <v>15189</v>
      </c>
      <c r="T550" s="57" t="s">
        <v>15190</v>
      </c>
      <c r="U550" s="57" t="s">
        <v>14184</v>
      </c>
      <c r="V550" s="56" t="s">
        <v>14153</v>
      </c>
      <c r="W550" s="58"/>
      <c r="X550" s="57" t="s">
        <v>17419</v>
      </c>
      <c r="Y550" s="57" t="s">
        <v>15170</v>
      </c>
      <c r="Z550" s="61" t="s">
        <v>14605</v>
      </c>
      <c r="AA550" s="61" t="s">
        <v>17325</v>
      </c>
      <c r="AB550" s="58"/>
      <c r="AC550" s="57" t="s">
        <v>15172</v>
      </c>
      <c r="AD550" s="58"/>
      <c r="AE550" s="58"/>
      <c r="AF550" s="58"/>
      <c r="AG550" s="58"/>
      <c r="AH550" s="58"/>
      <c r="AI550" s="58"/>
      <c r="AJ550" s="58"/>
      <c r="AK550" s="56" t="s">
        <v>1285</v>
      </c>
      <c r="AL550" s="56" t="s">
        <v>17420</v>
      </c>
      <c r="AM550" s="58"/>
      <c r="AN550" s="56" t="s">
        <v>15312</v>
      </c>
      <c r="AO550" s="58"/>
      <c r="AP550" s="63">
        <v>45776.7970601852</v>
      </c>
      <c r="AQ550" s="56" t="s">
        <v>17421</v>
      </c>
      <c r="AR550" s="61" t="s">
        <v>15404</v>
      </c>
      <c r="AS550" s="57" t="s">
        <v>14184</v>
      </c>
      <c r="AT550" s="56" t="s">
        <v>15177</v>
      </c>
      <c r="AU550" s="56" t="s">
        <v>17422</v>
      </c>
      <c r="AV550" s="58"/>
      <c r="AW550" s="64">
        <v>45694.8085185185</v>
      </c>
      <c r="AX550" s="56" t="s">
        <v>17420</v>
      </c>
      <c r="AY550" s="56" t="s">
        <v>15179</v>
      </c>
      <c r="AZ550" s="58"/>
      <c r="BA550" s="58"/>
      <c r="BB550" s="58"/>
      <c r="BC550" s="56" t="s">
        <v>15196</v>
      </c>
      <c r="BD550" s="56" t="s">
        <v>15197</v>
      </c>
      <c r="BE550" s="58"/>
      <c r="BF550" s="56" t="s">
        <v>15181</v>
      </c>
      <c r="BG550" s="58"/>
      <c r="BH550" s="58"/>
      <c r="BI550" s="57" t="s">
        <v>2801</v>
      </c>
      <c r="BJ550" s="58"/>
      <c r="BK550" s="58"/>
      <c r="BL550" s="66">
        <v>3386238</v>
      </c>
      <c r="BM550" s="56" t="s">
        <v>17423</v>
      </c>
      <c r="BN550" s="58"/>
      <c r="BO550" s="67">
        <v>300</v>
      </c>
      <c r="BP550" s="56" t="s">
        <v>15409</v>
      </c>
      <c r="BQ550" s="58"/>
      <c r="BR550" s="56" t="s">
        <v>17424</v>
      </c>
      <c r="BS550" s="56" t="s">
        <v>1285</v>
      </c>
      <c r="BT550" s="58"/>
      <c r="BU550" s="56" t="s">
        <v>17421</v>
      </c>
      <c r="BV550" s="58"/>
      <c r="BW550" s="58"/>
      <c r="BX550" s="67">
        <v>300</v>
      </c>
      <c r="BY550" s="58"/>
      <c r="BZ550" s="58"/>
      <c r="CA550" s="58"/>
      <c r="CB550" s="58"/>
      <c r="CC550" s="58"/>
      <c r="CD550" s="58"/>
    </row>
    <row r="551" ht="108" spans="1:82">
      <c r="A551" s="56" t="s">
        <v>17429</v>
      </c>
      <c r="B551" s="58"/>
      <c r="C551" s="57" t="s">
        <v>17417</v>
      </c>
      <c r="D551" s="58"/>
      <c r="E551" s="57" t="s">
        <v>15158</v>
      </c>
      <c r="F551" s="57" t="s">
        <v>17418</v>
      </c>
      <c r="G551" s="57" t="s">
        <v>15160</v>
      </c>
      <c r="H551" s="56" t="s">
        <v>3112</v>
      </c>
      <c r="I551" s="60">
        <v>5063.89</v>
      </c>
      <c r="J551" s="57" t="s">
        <v>1285</v>
      </c>
      <c r="K551" s="57" t="s">
        <v>15162</v>
      </c>
      <c r="L551" s="57" t="s">
        <v>15163</v>
      </c>
      <c r="M551" s="61" t="s">
        <v>17325</v>
      </c>
      <c r="N551" s="62" t="s">
        <v>15205</v>
      </c>
      <c r="O551" s="57" t="s">
        <v>15165</v>
      </c>
      <c r="P551" s="57" t="s">
        <v>15166</v>
      </c>
      <c r="Q551" s="57" t="s">
        <v>3112</v>
      </c>
      <c r="R551" s="57" t="s">
        <v>15188</v>
      </c>
      <c r="S551" s="57" t="s">
        <v>15189</v>
      </c>
      <c r="T551" s="57" t="s">
        <v>15190</v>
      </c>
      <c r="U551" s="57" t="s">
        <v>14184</v>
      </c>
      <c r="V551" s="56" t="s">
        <v>14153</v>
      </c>
      <c r="W551" s="58"/>
      <c r="X551" s="57" t="s">
        <v>17419</v>
      </c>
      <c r="Y551" s="57" t="s">
        <v>15170</v>
      </c>
      <c r="Z551" s="61" t="s">
        <v>14605</v>
      </c>
      <c r="AA551" s="61" t="s">
        <v>17325</v>
      </c>
      <c r="AB551" s="58"/>
      <c r="AC551" s="57" t="s">
        <v>15172</v>
      </c>
      <c r="AD551" s="58"/>
      <c r="AE551" s="58"/>
      <c r="AF551" s="58"/>
      <c r="AG551" s="58"/>
      <c r="AH551" s="58"/>
      <c r="AI551" s="58"/>
      <c r="AJ551" s="58"/>
      <c r="AK551" s="56" t="s">
        <v>1285</v>
      </c>
      <c r="AL551" s="56" t="s">
        <v>17420</v>
      </c>
      <c r="AM551" s="58"/>
      <c r="AN551" s="56" t="s">
        <v>15312</v>
      </c>
      <c r="AO551" s="58"/>
      <c r="AP551" s="63">
        <v>45776.7970601852</v>
      </c>
      <c r="AQ551" s="56" t="s">
        <v>17421</v>
      </c>
      <c r="AR551" s="61" t="s">
        <v>15404</v>
      </c>
      <c r="AS551" s="57" t="s">
        <v>14184</v>
      </c>
      <c r="AT551" s="56" t="s">
        <v>15177</v>
      </c>
      <c r="AU551" s="56" t="s">
        <v>17422</v>
      </c>
      <c r="AV551" s="58"/>
      <c r="AW551" s="64">
        <v>45694.8085185185</v>
      </c>
      <c r="AX551" s="56" t="s">
        <v>17420</v>
      </c>
      <c r="AY551" s="56" t="s">
        <v>15179</v>
      </c>
      <c r="AZ551" s="58"/>
      <c r="BA551" s="58"/>
      <c r="BB551" s="58"/>
      <c r="BC551" s="56" t="s">
        <v>15196</v>
      </c>
      <c r="BD551" s="56" t="s">
        <v>15197</v>
      </c>
      <c r="BE551" s="58"/>
      <c r="BF551" s="56" t="s">
        <v>15181</v>
      </c>
      <c r="BG551" s="58"/>
      <c r="BH551" s="58"/>
      <c r="BI551" s="57" t="s">
        <v>2801</v>
      </c>
      <c r="BJ551" s="58"/>
      <c r="BK551" s="58"/>
      <c r="BL551" s="66">
        <v>3409214</v>
      </c>
      <c r="BM551" s="56" t="s">
        <v>17430</v>
      </c>
      <c r="BN551" s="58"/>
      <c r="BO551" s="67">
        <v>81.59</v>
      </c>
      <c r="BP551" s="56" t="s">
        <v>15409</v>
      </c>
      <c r="BQ551" s="58"/>
      <c r="BR551" s="56" t="s">
        <v>17424</v>
      </c>
      <c r="BS551" s="56" t="s">
        <v>1285</v>
      </c>
      <c r="BT551" s="58"/>
      <c r="BU551" s="56" t="s">
        <v>17421</v>
      </c>
      <c r="BV551" s="58"/>
      <c r="BW551" s="58"/>
      <c r="BX551" s="67">
        <v>81.59</v>
      </c>
      <c r="BY551" s="58"/>
      <c r="BZ551" s="58"/>
      <c r="CA551" s="58"/>
      <c r="CB551" s="58"/>
      <c r="CC551" s="58"/>
      <c r="CD551" s="58"/>
    </row>
    <row r="552" ht="108" spans="1:82">
      <c r="A552" s="56" t="s">
        <v>17431</v>
      </c>
      <c r="B552" s="58"/>
      <c r="C552" s="57" t="s">
        <v>17417</v>
      </c>
      <c r="D552" s="58"/>
      <c r="E552" s="57" t="s">
        <v>15158</v>
      </c>
      <c r="F552" s="57" t="s">
        <v>17418</v>
      </c>
      <c r="G552" s="57" t="s">
        <v>15160</v>
      </c>
      <c r="H552" s="56" t="s">
        <v>3112</v>
      </c>
      <c r="I552" s="60">
        <v>5063.89</v>
      </c>
      <c r="J552" s="57" t="s">
        <v>1285</v>
      </c>
      <c r="K552" s="57" t="s">
        <v>15162</v>
      </c>
      <c r="L552" s="57" t="s">
        <v>15163</v>
      </c>
      <c r="M552" s="61" t="s">
        <v>17325</v>
      </c>
      <c r="N552" s="62" t="s">
        <v>15205</v>
      </c>
      <c r="O552" s="57" t="s">
        <v>15165</v>
      </c>
      <c r="P552" s="57" t="s">
        <v>15166</v>
      </c>
      <c r="Q552" s="57" t="s">
        <v>3112</v>
      </c>
      <c r="R552" s="57" t="s">
        <v>15188</v>
      </c>
      <c r="S552" s="57" t="s">
        <v>15189</v>
      </c>
      <c r="T552" s="57" t="s">
        <v>15190</v>
      </c>
      <c r="U552" s="57" t="s">
        <v>14184</v>
      </c>
      <c r="V552" s="56" t="s">
        <v>14153</v>
      </c>
      <c r="W552" s="58"/>
      <c r="X552" s="57" t="s">
        <v>17419</v>
      </c>
      <c r="Y552" s="57" t="s">
        <v>15170</v>
      </c>
      <c r="Z552" s="61" t="s">
        <v>14605</v>
      </c>
      <c r="AA552" s="61" t="s">
        <v>17325</v>
      </c>
      <c r="AB552" s="58"/>
      <c r="AC552" s="57" t="s">
        <v>15172</v>
      </c>
      <c r="AD552" s="58"/>
      <c r="AE552" s="58"/>
      <c r="AF552" s="58"/>
      <c r="AG552" s="58"/>
      <c r="AH552" s="58"/>
      <c r="AI552" s="58"/>
      <c r="AJ552" s="58"/>
      <c r="AK552" s="56" t="s">
        <v>1285</v>
      </c>
      <c r="AL552" s="56" t="s">
        <v>17420</v>
      </c>
      <c r="AM552" s="58"/>
      <c r="AN552" s="56" t="s">
        <v>15312</v>
      </c>
      <c r="AO552" s="58"/>
      <c r="AP552" s="63">
        <v>45776.7970601852</v>
      </c>
      <c r="AQ552" s="56" t="s">
        <v>17421</v>
      </c>
      <c r="AR552" s="61" t="s">
        <v>15404</v>
      </c>
      <c r="AS552" s="57" t="s">
        <v>14184</v>
      </c>
      <c r="AT552" s="56" t="s">
        <v>15177</v>
      </c>
      <c r="AU552" s="56" t="s">
        <v>17422</v>
      </c>
      <c r="AV552" s="58"/>
      <c r="AW552" s="64">
        <v>45694.8085185185</v>
      </c>
      <c r="AX552" s="56" t="s">
        <v>17420</v>
      </c>
      <c r="AY552" s="56" t="s">
        <v>15179</v>
      </c>
      <c r="AZ552" s="58"/>
      <c r="BA552" s="58"/>
      <c r="BB552" s="58"/>
      <c r="BC552" s="56" t="s">
        <v>15196</v>
      </c>
      <c r="BD552" s="56" t="s">
        <v>15197</v>
      </c>
      <c r="BE552" s="58"/>
      <c r="BF552" s="56" t="s">
        <v>15181</v>
      </c>
      <c r="BG552" s="58"/>
      <c r="BH552" s="58"/>
      <c r="BI552" s="57" t="s">
        <v>2801</v>
      </c>
      <c r="BJ552" s="58"/>
      <c r="BK552" s="58"/>
      <c r="BL552" s="66">
        <v>3409215</v>
      </c>
      <c r="BM552" s="56" t="s">
        <v>17430</v>
      </c>
      <c r="BN552" s="58"/>
      <c r="BO552" s="67">
        <v>150</v>
      </c>
      <c r="BP552" s="56" t="s">
        <v>15409</v>
      </c>
      <c r="BQ552" s="58"/>
      <c r="BR552" s="56" t="s">
        <v>17424</v>
      </c>
      <c r="BS552" s="56" t="s">
        <v>1285</v>
      </c>
      <c r="BT552" s="58"/>
      <c r="BU552" s="56" t="s">
        <v>17421</v>
      </c>
      <c r="BV552" s="58"/>
      <c r="BW552" s="58"/>
      <c r="BX552" s="67">
        <v>150</v>
      </c>
      <c r="BY552" s="58"/>
      <c r="BZ552" s="58"/>
      <c r="CA552" s="58"/>
      <c r="CB552" s="58"/>
      <c r="CC552" s="58"/>
      <c r="CD552" s="58"/>
    </row>
    <row r="553" ht="108" spans="1:82">
      <c r="A553" s="56" t="s">
        <v>17432</v>
      </c>
      <c r="B553" s="58"/>
      <c r="C553" s="57" t="s">
        <v>17417</v>
      </c>
      <c r="D553" s="58"/>
      <c r="E553" s="57" t="s">
        <v>15158</v>
      </c>
      <c r="F553" s="57" t="s">
        <v>17418</v>
      </c>
      <c r="G553" s="57" t="s">
        <v>15160</v>
      </c>
      <c r="H553" s="56" t="s">
        <v>3112</v>
      </c>
      <c r="I553" s="60">
        <v>5063.89</v>
      </c>
      <c r="J553" s="57" t="s">
        <v>1285</v>
      </c>
      <c r="K553" s="57" t="s">
        <v>15162</v>
      </c>
      <c r="L553" s="57" t="s">
        <v>15163</v>
      </c>
      <c r="M553" s="61" t="s">
        <v>17325</v>
      </c>
      <c r="N553" s="62" t="s">
        <v>15205</v>
      </c>
      <c r="O553" s="57" t="s">
        <v>15165</v>
      </c>
      <c r="P553" s="57" t="s">
        <v>15166</v>
      </c>
      <c r="Q553" s="57" t="s">
        <v>3112</v>
      </c>
      <c r="R553" s="57" t="s">
        <v>15188</v>
      </c>
      <c r="S553" s="57" t="s">
        <v>15189</v>
      </c>
      <c r="T553" s="57" t="s">
        <v>15190</v>
      </c>
      <c r="U553" s="57" t="s">
        <v>14184</v>
      </c>
      <c r="V553" s="56" t="s">
        <v>14153</v>
      </c>
      <c r="W553" s="58"/>
      <c r="X553" s="57" t="s">
        <v>17419</v>
      </c>
      <c r="Y553" s="57" t="s">
        <v>15170</v>
      </c>
      <c r="Z553" s="61" t="s">
        <v>14605</v>
      </c>
      <c r="AA553" s="61" t="s">
        <v>17325</v>
      </c>
      <c r="AB553" s="58"/>
      <c r="AC553" s="57" t="s">
        <v>15172</v>
      </c>
      <c r="AD553" s="58"/>
      <c r="AE553" s="58"/>
      <c r="AF553" s="58"/>
      <c r="AG553" s="58"/>
      <c r="AH553" s="58"/>
      <c r="AI553" s="58"/>
      <c r="AJ553" s="58"/>
      <c r="AK553" s="56" t="s">
        <v>1285</v>
      </c>
      <c r="AL553" s="56" t="s">
        <v>17420</v>
      </c>
      <c r="AM553" s="58"/>
      <c r="AN553" s="56" t="s">
        <v>15312</v>
      </c>
      <c r="AO553" s="58"/>
      <c r="AP553" s="63">
        <v>45776.7970601852</v>
      </c>
      <c r="AQ553" s="56" t="s">
        <v>17421</v>
      </c>
      <c r="AR553" s="61" t="s">
        <v>15404</v>
      </c>
      <c r="AS553" s="57" t="s">
        <v>14184</v>
      </c>
      <c r="AT553" s="56" t="s">
        <v>15177</v>
      </c>
      <c r="AU553" s="56" t="s">
        <v>17422</v>
      </c>
      <c r="AV553" s="58"/>
      <c r="AW553" s="64">
        <v>45694.8085185185</v>
      </c>
      <c r="AX553" s="56" t="s">
        <v>17420</v>
      </c>
      <c r="AY553" s="56" t="s">
        <v>15179</v>
      </c>
      <c r="AZ553" s="58"/>
      <c r="BA553" s="58"/>
      <c r="BB553" s="58"/>
      <c r="BC553" s="56" t="s">
        <v>15196</v>
      </c>
      <c r="BD553" s="56" t="s">
        <v>15197</v>
      </c>
      <c r="BE553" s="58"/>
      <c r="BF553" s="56" t="s">
        <v>15181</v>
      </c>
      <c r="BG553" s="58"/>
      <c r="BH553" s="58"/>
      <c r="BI553" s="57" t="s">
        <v>2801</v>
      </c>
      <c r="BJ553" s="58"/>
      <c r="BK553" s="58"/>
      <c r="BL553" s="66">
        <v>3409216</v>
      </c>
      <c r="BM553" s="56" t="s">
        <v>17430</v>
      </c>
      <c r="BN553" s="58"/>
      <c r="BO553" s="67">
        <v>250</v>
      </c>
      <c r="BP553" s="56" t="s">
        <v>15409</v>
      </c>
      <c r="BQ553" s="58"/>
      <c r="BR553" s="56" t="s">
        <v>17424</v>
      </c>
      <c r="BS553" s="56" t="s">
        <v>1285</v>
      </c>
      <c r="BT553" s="58"/>
      <c r="BU553" s="56" t="s">
        <v>17421</v>
      </c>
      <c r="BV553" s="58"/>
      <c r="BW553" s="58"/>
      <c r="BX553" s="67">
        <v>250</v>
      </c>
      <c r="BY553" s="58"/>
      <c r="BZ553" s="58"/>
      <c r="CA553" s="58"/>
      <c r="CB553" s="58"/>
      <c r="CC553" s="58"/>
      <c r="CD553" s="58"/>
    </row>
    <row r="554" ht="108" spans="1:82">
      <c r="A554" s="56" t="s">
        <v>17433</v>
      </c>
      <c r="B554" s="58"/>
      <c r="C554" s="57" t="s">
        <v>17417</v>
      </c>
      <c r="D554" s="58"/>
      <c r="E554" s="57" t="s">
        <v>15158</v>
      </c>
      <c r="F554" s="57" t="s">
        <v>17418</v>
      </c>
      <c r="G554" s="57" t="s">
        <v>15160</v>
      </c>
      <c r="H554" s="56" t="s">
        <v>3112</v>
      </c>
      <c r="I554" s="60">
        <v>5063.89</v>
      </c>
      <c r="J554" s="57" t="s">
        <v>1285</v>
      </c>
      <c r="K554" s="57" t="s">
        <v>15162</v>
      </c>
      <c r="L554" s="57" t="s">
        <v>15163</v>
      </c>
      <c r="M554" s="61" t="s">
        <v>17325</v>
      </c>
      <c r="N554" s="62" t="s">
        <v>15205</v>
      </c>
      <c r="O554" s="57" t="s">
        <v>15165</v>
      </c>
      <c r="P554" s="57" t="s">
        <v>15166</v>
      </c>
      <c r="Q554" s="57" t="s">
        <v>3112</v>
      </c>
      <c r="R554" s="57" t="s">
        <v>15188</v>
      </c>
      <c r="S554" s="57" t="s">
        <v>15189</v>
      </c>
      <c r="T554" s="57" t="s">
        <v>15190</v>
      </c>
      <c r="U554" s="57" t="s">
        <v>14184</v>
      </c>
      <c r="V554" s="56" t="s">
        <v>14153</v>
      </c>
      <c r="W554" s="58"/>
      <c r="X554" s="57" t="s">
        <v>17419</v>
      </c>
      <c r="Y554" s="57" t="s">
        <v>15170</v>
      </c>
      <c r="Z554" s="61" t="s">
        <v>14605</v>
      </c>
      <c r="AA554" s="61" t="s">
        <v>17325</v>
      </c>
      <c r="AB554" s="58"/>
      <c r="AC554" s="57" t="s">
        <v>15172</v>
      </c>
      <c r="AD554" s="58"/>
      <c r="AE554" s="58"/>
      <c r="AF554" s="58"/>
      <c r="AG554" s="58"/>
      <c r="AH554" s="58"/>
      <c r="AI554" s="58"/>
      <c r="AJ554" s="58"/>
      <c r="AK554" s="56" t="s">
        <v>1285</v>
      </c>
      <c r="AL554" s="56" t="s">
        <v>17420</v>
      </c>
      <c r="AM554" s="58"/>
      <c r="AN554" s="56" t="s">
        <v>15312</v>
      </c>
      <c r="AO554" s="58"/>
      <c r="AP554" s="63">
        <v>45776.7970601852</v>
      </c>
      <c r="AQ554" s="56" t="s">
        <v>17421</v>
      </c>
      <c r="AR554" s="61" t="s">
        <v>15404</v>
      </c>
      <c r="AS554" s="57" t="s">
        <v>14184</v>
      </c>
      <c r="AT554" s="56" t="s">
        <v>15177</v>
      </c>
      <c r="AU554" s="56" t="s">
        <v>17422</v>
      </c>
      <c r="AV554" s="58"/>
      <c r="AW554" s="64">
        <v>45694.8085185185</v>
      </c>
      <c r="AX554" s="56" t="s">
        <v>17420</v>
      </c>
      <c r="AY554" s="56" t="s">
        <v>15179</v>
      </c>
      <c r="AZ554" s="58"/>
      <c r="BA554" s="58"/>
      <c r="BB554" s="58"/>
      <c r="BC554" s="56" t="s">
        <v>15196</v>
      </c>
      <c r="BD554" s="56" t="s">
        <v>15197</v>
      </c>
      <c r="BE554" s="58"/>
      <c r="BF554" s="56" t="s">
        <v>15181</v>
      </c>
      <c r="BG554" s="58"/>
      <c r="BH554" s="58"/>
      <c r="BI554" s="57" t="s">
        <v>2801</v>
      </c>
      <c r="BJ554" s="58"/>
      <c r="BK554" s="58"/>
      <c r="BL554" s="66">
        <v>3409217</v>
      </c>
      <c r="BM554" s="56" t="s">
        <v>17430</v>
      </c>
      <c r="BN554" s="58"/>
      <c r="BO554" s="67">
        <v>387.53</v>
      </c>
      <c r="BP554" s="56" t="s">
        <v>15409</v>
      </c>
      <c r="BQ554" s="58"/>
      <c r="BR554" s="56" t="s">
        <v>17424</v>
      </c>
      <c r="BS554" s="56" t="s">
        <v>1285</v>
      </c>
      <c r="BT554" s="58"/>
      <c r="BU554" s="56" t="s">
        <v>17421</v>
      </c>
      <c r="BV554" s="58"/>
      <c r="BW554" s="58"/>
      <c r="BX554" s="67">
        <v>387.53</v>
      </c>
      <c r="BY554" s="58"/>
      <c r="BZ554" s="58"/>
      <c r="CA554" s="58"/>
      <c r="CB554" s="58"/>
      <c r="CC554" s="58"/>
      <c r="CD554" s="58"/>
    </row>
    <row r="555" ht="108" spans="1:82">
      <c r="A555" s="56" t="s">
        <v>17434</v>
      </c>
      <c r="B555" s="58"/>
      <c r="C555" s="57" t="s">
        <v>17417</v>
      </c>
      <c r="D555" s="58"/>
      <c r="E555" s="57" t="s">
        <v>15158</v>
      </c>
      <c r="F555" s="57" t="s">
        <v>17418</v>
      </c>
      <c r="G555" s="57" t="s">
        <v>15160</v>
      </c>
      <c r="H555" s="56" t="s">
        <v>3112</v>
      </c>
      <c r="I555" s="60">
        <v>5063.89</v>
      </c>
      <c r="J555" s="57" t="s">
        <v>1285</v>
      </c>
      <c r="K555" s="57" t="s">
        <v>15162</v>
      </c>
      <c r="L555" s="57" t="s">
        <v>15163</v>
      </c>
      <c r="M555" s="61" t="s">
        <v>17325</v>
      </c>
      <c r="N555" s="62" t="s">
        <v>15205</v>
      </c>
      <c r="O555" s="57" t="s">
        <v>15165</v>
      </c>
      <c r="P555" s="57" t="s">
        <v>15166</v>
      </c>
      <c r="Q555" s="57" t="s">
        <v>3112</v>
      </c>
      <c r="R555" s="57" t="s">
        <v>15188</v>
      </c>
      <c r="S555" s="57" t="s">
        <v>15189</v>
      </c>
      <c r="T555" s="57" t="s">
        <v>15190</v>
      </c>
      <c r="U555" s="57" t="s">
        <v>14184</v>
      </c>
      <c r="V555" s="56" t="s">
        <v>14153</v>
      </c>
      <c r="W555" s="58"/>
      <c r="X555" s="57" t="s">
        <v>17419</v>
      </c>
      <c r="Y555" s="57" t="s">
        <v>15170</v>
      </c>
      <c r="Z555" s="61" t="s">
        <v>14605</v>
      </c>
      <c r="AA555" s="61" t="s">
        <v>17325</v>
      </c>
      <c r="AB555" s="58"/>
      <c r="AC555" s="57" t="s">
        <v>15172</v>
      </c>
      <c r="AD555" s="58"/>
      <c r="AE555" s="58"/>
      <c r="AF555" s="58"/>
      <c r="AG555" s="58"/>
      <c r="AH555" s="58"/>
      <c r="AI555" s="58"/>
      <c r="AJ555" s="58"/>
      <c r="AK555" s="56" t="s">
        <v>1285</v>
      </c>
      <c r="AL555" s="56" t="s">
        <v>17420</v>
      </c>
      <c r="AM555" s="58"/>
      <c r="AN555" s="56" t="s">
        <v>15312</v>
      </c>
      <c r="AO555" s="58"/>
      <c r="AP555" s="63">
        <v>45776.7970601852</v>
      </c>
      <c r="AQ555" s="56" t="s">
        <v>17421</v>
      </c>
      <c r="AR555" s="61" t="s">
        <v>15404</v>
      </c>
      <c r="AS555" s="57" t="s">
        <v>14184</v>
      </c>
      <c r="AT555" s="56" t="s">
        <v>15177</v>
      </c>
      <c r="AU555" s="56" t="s">
        <v>17422</v>
      </c>
      <c r="AV555" s="58"/>
      <c r="AW555" s="64">
        <v>45694.8085185185</v>
      </c>
      <c r="AX555" s="56" t="s">
        <v>17420</v>
      </c>
      <c r="AY555" s="56" t="s">
        <v>15179</v>
      </c>
      <c r="AZ555" s="58"/>
      <c r="BA555" s="58"/>
      <c r="BB555" s="58"/>
      <c r="BC555" s="56" t="s">
        <v>15196</v>
      </c>
      <c r="BD555" s="56" t="s">
        <v>15197</v>
      </c>
      <c r="BE555" s="58"/>
      <c r="BF555" s="56" t="s">
        <v>15181</v>
      </c>
      <c r="BG555" s="58"/>
      <c r="BH555" s="58"/>
      <c r="BI555" s="57" t="s">
        <v>2801</v>
      </c>
      <c r="BJ555" s="58"/>
      <c r="BK555" s="58"/>
      <c r="BL555" s="66">
        <v>3409218</v>
      </c>
      <c r="BM555" s="56" t="s">
        <v>17430</v>
      </c>
      <c r="BN555" s="58"/>
      <c r="BO555" s="67">
        <v>244.77</v>
      </c>
      <c r="BP555" s="56" t="s">
        <v>15409</v>
      </c>
      <c r="BQ555" s="58"/>
      <c r="BR555" s="56" t="s">
        <v>17424</v>
      </c>
      <c r="BS555" s="56" t="s">
        <v>1285</v>
      </c>
      <c r="BT555" s="58"/>
      <c r="BU555" s="56" t="s">
        <v>17421</v>
      </c>
      <c r="BV555" s="58"/>
      <c r="BW555" s="58"/>
      <c r="BX555" s="67">
        <v>244.77</v>
      </c>
      <c r="BY555" s="58"/>
      <c r="BZ555" s="58"/>
      <c r="CA555" s="58"/>
      <c r="CB555" s="58"/>
      <c r="CC555" s="58"/>
      <c r="CD555" s="58"/>
    </row>
    <row r="556" ht="108" spans="1:82">
      <c r="A556" s="56" t="s">
        <v>17435</v>
      </c>
      <c r="B556" s="58"/>
      <c r="C556" s="57" t="s">
        <v>17417</v>
      </c>
      <c r="D556" s="58"/>
      <c r="E556" s="57" t="s">
        <v>15158</v>
      </c>
      <c r="F556" s="57" t="s">
        <v>17418</v>
      </c>
      <c r="G556" s="57" t="s">
        <v>15160</v>
      </c>
      <c r="H556" s="56" t="s">
        <v>3112</v>
      </c>
      <c r="I556" s="60">
        <v>5063.89</v>
      </c>
      <c r="J556" s="57" t="s">
        <v>1285</v>
      </c>
      <c r="K556" s="57" t="s">
        <v>15162</v>
      </c>
      <c r="L556" s="57" t="s">
        <v>15163</v>
      </c>
      <c r="M556" s="61" t="s">
        <v>17325</v>
      </c>
      <c r="N556" s="62" t="s">
        <v>15205</v>
      </c>
      <c r="O556" s="57" t="s">
        <v>15165</v>
      </c>
      <c r="P556" s="57" t="s">
        <v>15166</v>
      </c>
      <c r="Q556" s="57" t="s">
        <v>3112</v>
      </c>
      <c r="R556" s="57" t="s">
        <v>15188</v>
      </c>
      <c r="S556" s="57" t="s">
        <v>15189</v>
      </c>
      <c r="T556" s="57" t="s">
        <v>15190</v>
      </c>
      <c r="U556" s="57" t="s">
        <v>14184</v>
      </c>
      <c r="V556" s="56" t="s">
        <v>14153</v>
      </c>
      <c r="W556" s="58"/>
      <c r="X556" s="57" t="s">
        <v>17419</v>
      </c>
      <c r="Y556" s="57" t="s">
        <v>15170</v>
      </c>
      <c r="Z556" s="61" t="s">
        <v>14605</v>
      </c>
      <c r="AA556" s="61" t="s">
        <v>17325</v>
      </c>
      <c r="AB556" s="58"/>
      <c r="AC556" s="57" t="s">
        <v>15172</v>
      </c>
      <c r="AD556" s="58"/>
      <c r="AE556" s="58"/>
      <c r="AF556" s="58"/>
      <c r="AG556" s="58"/>
      <c r="AH556" s="58"/>
      <c r="AI556" s="58"/>
      <c r="AJ556" s="58"/>
      <c r="AK556" s="56" t="s">
        <v>1285</v>
      </c>
      <c r="AL556" s="56" t="s">
        <v>17420</v>
      </c>
      <c r="AM556" s="58"/>
      <c r="AN556" s="56" t="s">
        <v>15312</v>
      </c>
      <c r="AO556" s="58"/>
      <c r="AP556" s="63">
        <v>45776.7970601852</v>
      </c>
      <c r="AQ556" s="56" t="s">
        <v>17421</v>
      </c>
      <c r="AR556" s="61" t="s">
        <v>15404</v>
      </c>
      <c r="AS556" s="57" t="s">
        <v>14184</v>
      </c>
      <c r="AT556" s="56" t="s">
        <v>15177</v>
      </c>
      <c r="AU556" s="56" t="s">
        <v>17422</v>
      </c>
      <c r="AV556" s="58"/>
      <c r="AW556" s="64">
        <v>45694.8085185185</v>
      </c>
      <c r="AX556" s="56" t="s">
        <v>17420</v>
      </c>
      <c r="AY556" s="56" t="s">
        <v>15179</v>
      </c>
      <c r="AZ556" s="58"/>
      <c r="BA556" s="58"/>
      <c r="BB556" s="58"/>
      <c r="BC556" s="56" t="s">
        <v>15196</v>
      </c>
      <c r="BD556" s="56" t="s">
        <v>15197</v>
      </c>
      <c r="BE556" s="58"/>
      <c r="BF556" s="56" t="s">
        <v>15181</v>
      </c>
      <c r="BG556" s="58"/>
      <c r="BH556" s="58"/>
      <c r="BI556" s="57" t="s">
        <v>2801</v>
      </c>
      <c r="BJ556" s="58"/>
      <c r="BK556" s="58"/>
      <c r="BL556" s="66">
        <v>3409219</v>
      </c>
      <c r="BM556" s="56" t="s">
        <v>17430</v>
      </c>
      <c r="BN556" s="58"/>
      <c r="BO556" s="67">
        <v>150</v>
      </c>
      <c r="BP556" s="56" t="s">
        <v>15409</v>
      </c>
      <c r="BQ556" s="58"/>
      <c r="BR556" s="56" t="s">
        <v>17424</v>
      </c>
      <c r="BS556" s="56" t="s">
        <v>1285</v>
      </c>
      <c r="BT556" s="58"/>
      <c r="BU556" s="56" t="s">
        <v>17421</v>
      </c>
      <c r="BV556" s="58"/>
      <c r="BW556" s="58"/>
      <c r="BX556" s="67">
        <v>150</v>
      </c>
      <c r="BY556" s="58"/>
      <c r="BZ556" s="58"/>
      <c r="CA556" s="58"/>
      <c r="CB556" s="58"/>
      <c r="CC556" s="58"/>
      <c r="CD556" s="58"/>
    </row>
    <row r="557" ht="108" spans="1:82">
      <c r="A557" s="56" t="s">
        <v>17436</v>
      </c>
      <c r="B557" s="58"/>
      <c r="C557" s="57" t="s">
        <v>17417</v>
      </c>
      <c r="D557" s="58"/>
      <c r="E557" s="57" t="s">
        <v>15158</v>
      </c>
      <c r="F557" s="57" t="s">
        <v>17418</v>
      </c>
      <c r="G557" s="57" t="s">
        <v>15160</v>
      </c>
      <c r="H557" s="56" t="s">
        <v>3112</v>
      </c>
      <c r="I557" s="60">
        <v>5063.89</v>
      </c>
      <c r="J557" s="57" t="s">
        <v>1285</v>
      </c>
      <c r="K557" s="57" t="s">
        <v>15162</v>
      </c>
      <c r="L557" s="57" t="s">
        <v>15163</v>
      </c>
      <c r="M557" s="61" t="s">
        <v>17325</v>
      </c>
      <c r="N557" s="62" t="s">
        <v>15205</v>
      </c>
      <c r="O557" s="57" t="s">
        <v>15165</v>
      </c>
      <c r="P557" s="57" t="s">
        <v>15166</v>
      </c>
      <c r="Q557" s="57" t="s">
        <v>3112</v>
      </c>
      <c r="R557" s="57" t="s">
        <v>15188</v>
      </c>
      <c r="S557" s="57" t="s">
        <v>15189</v>
      </c>
      <c r="T557" s="57" t="s">
        <v>15190</v>
      </c>
      <c r="U557" s="57" t="s">
        <v>14184</v>
      </c>
      <c r="V557" s="56" t="s">
        <v>14153</v>
      </c>
      <c r="W557" s="58"/>
      <c r="X557" s="57" t="s">
        <v>17419</v>
      </c>
      <c r="Y557" s="57" t="s">
        <v>15170</v>
      </c>
      <c r="Z557" s="61" t="s">
        <v>14605</v>
      </c>
      <c r="AA557" s="61" t="s">
        <v>17325</v>
      </c>
      <c r="AB557" s="58"/>
      <c r="AC557" s="57" t="s">
        <v>15172</v>
      </c>
      <c r="AD557" s="58"/>
      <c r="AE557" s="58"/>
      <c r="AF557" s="58"/>
      <c r="AG557" s="58"/>
      <c r="AH557" s="58"/>
      <c r="AI557" s="58"/>
      <c r="AJ557" s="58"/>
      <c r="AK557" s="56" t="s">
        <v>1285</v>
      </c>
      <c r="AL557" s="56" t="s">
        <v>17420</v>
      </c>
      <c r="AM557" s="58"/>
      <c r="AN557" s="56" t="s">
        <v>15312</v>
      </c>
      <c r="AO557" s="58"/>
      <c r="AP557" s="63">
        <v>45776.7970601852</v>
      </c>
      <c r="AQ557" s="56" t="s">
        <v>17421</v>
      </c>
      <c r="AR557" s="61" t="s">
        <v>15404</v>
      </c>
      <c r="AS557" s="57" t="s">
        <v>14184</v>
      </c>
      <c r="AT557" s="56" t="s">
        <v>15177</v>
      </c>
      <c r="AU557" s="56" t="s">
        <v>17422</v>
      </c>
      <c r="AV557" s="58"/>
      <c r="AW557" s="64">
        <v>45694.8085185185</v>
      </c>
      <c r="AX557" s="56" t="s">
        <v>17420</v>
      </c>
      <c r="AY557" s="56" t="s">
        <v>15179</v>
      </c>
      <c r="AZ557" s="58"/>
      <c r="BA557" s="58"/>
      <c r="BB557" s="58"/>
      <c r="BC557" s="56" t="s">
        <v>15196</v>
      </c>
      <c r="BD557" s="56" t="s">
        <v>15197</v>
      </c>
      <c r="BE557" s="58"/>
      <c r="BF557" s="56" t="s">
        <v>15181</v>
      </c>
      <c r="BG557" s="58"/>
      <c r="BH557" s="58"/>
      <c r="BI557" s="57" t="s">
        <v>2801</v>
      </c>
      <c r="BJ557" s="58"/>
      <c r="BK557" s="58"/>
      <c r="BL557" s="66">
        <v>3409220</v>
      </c>
      <c r="BM557" s="56" t="s">
        <v>17430</v>
      </c>
      <c r="BN557" s="58"/>
      <c r="BO557" s="67">
        <v>300</v>
      </c>
      <c r="BP557" s="56" t="s">
        <v>15409</v>
      </c>
      <c r="BQ557" s="58"/>
      <c r="BR557" s="56" t="s">
        <v>17424</v>
      </c>
      <c r="BS557" s="56" t="s">
        <v>1285</v>
      </c>
      <c r="BT557" s="58"/>
      <c r="BU557" s="56" t="s">
        <v>17421</v>
      </c>
      <c r="BV557" s="58"/>
      <c r="BW557" s="58"/>
      <c r="BX557" s="67">
        <v>300</v>
      </c>
      <c r="BY557" s="58"/>
      <c r="BZ557" s="58"/>
      <c r="CA557" s="58"/>
      <c r="CB557" s="58"/>
      <c r="CC557" s="58"/>
      <c r="CD557" s="58"/>
    </row>
    <row r="558" ht="108" spans="1:82">
      <c r="A558" s="56" t="s">
        <v>17437</v>
      </c>
      <c r="B558" s="58"/>
      <c r="C558" s="57" t="s">
        <v>17417</v>
      </c>
      <c r="D558" s="58"/>
      <c r="E558" s="57" t="s">
        <v>15158</v>
      </c>
      <c r="F558" s="57" t="s">
        <v>17418</v>
      </c>
      <c r="G558" s="57" t="s">
        <v>15160</v>
      </c>
      <c r="H558" s="56" t="s">
        <v>3112</v>
      </c>
      <c r="I558" s="60">
        <v>5063.89</v>
      </c>
      <c r="J558" s="57" t="s">
        <v>1285</v>
      </c>
      <c r="K558" s="57" t="s">
        <v>15162</v>
      </c>
      <c r="L558" s="57" t="s">
        <v>15163</v>
      </c>
      <c r="M558" s="61" t="s">
        <v>17325</v>
      </c>
      <c r="N558" s="62" t="s">
        <v>15205</v>
      </c>
      <c r="O558" s="57" t="s">
        <v>15165</v>
      </c>
      <c r="P558" s="57" t="s">
        <v>15166</v>
      </c>
      <c r="Q558" s="57" t="s">
        <v>3112</v>
      </c>
      <c r="R558" s="57" t="s">
        <v>15188</v>
      </c>
      <c r="S558" s="57" t="s">
        <v>15189</v>
      </c>
      <c r="T558" s="57" t="s">
        <v>15190</v>
      </c>
      <c r="U558" s="57" t="s">
        <v>14184</v>
      </c>
      <c r="V558" s="56" t="s">
        <v>14153</v>
      </c>
      <c r="W558" s="58"/>
      <c r="X558" s="57" t="s">
        <v>17419</v>
      </c>
      <c r="Y558" s="57" t="s">
        <v>15170</v>
      </c>
      <c r="Z558" s="61" t="s">
        <v>14605</v>
      </c>
      <c r="AA558" s="61" t="s">
        <v>17325</v>
      </c>
      <c r="AB558" s="58"/>
      <c r="AC558" s="57" t="s">
        <v>15172</v>
      </c>
      <c r="AD558" s="58"/>
      <c r="AE558" s="58"/>
      <c r="AF558" s="58"/>
      <c r="AG558" s="58"/>
      <c r="AH558" s="58"/>
      <c r="AI558" s="58"/>
      <c r="AJ558" s="58"/>
      <c r="AK558" s="56" t="s">
        <v>1285</v>
      </c>
      <c r="AL558" s="56" t="s">
        <v>17420</v>
      </c>
      <c r="AM558" s="58"/>
      <c r="AN558" s="56" t="s">
        <v>15312</v>
      </c>
      <c r="AO558" s="58"/>
      <c r="AP558" s="63">
        <v>45776.7970601852</v>
      </c>
      <c r="AQ558" s="56" t="s">
        <v>17421</v>
      </c>
      <c r="AR558" s="61" t="s">
        <v>15404</v>
      </c>
      <c r="AS558" s="57" t="s">
        <v>14184</v>
      </c>
      <c r="AT558" s="56" t="s">
        <v>15177</v>
      </c>
      <c r="AU558" s="56" t="s">
        <v>17422</v>
      </c>
      <c r="AV558" s="58"/>
      <c r="AW558" s="64">
        <v>45694.8085185185</v>
      </c>
      <c r="AX558" s="56" t="s">
        <v>17420</v>
      </c>
      <c r="AY558" s="56" t="s">
        <v>15179</v>
      </c>
      <c r="AZ558" s="58"/>
      <c r="BA558" s="58"/>
      <c r="BB558" s="58"/>
      <c r="BC558" s="56" t="s">
        <v>15196</v>
      </c>
      <c r="BD558" s="56" t="s">
        <v>15197</v>
      </c>
      <c r="BE558" s="58"/>
      <c r="BF558" s="56" t="s">
        <v>15181</v>
      </c>
      <c r="BG558" s="58"/>
      <c r="BH558" s="58"/>
      <c r="BI558" s="57" t="s">
        <v>2801</v>
      </c>
      <c r="BJ558" s="58"/>
      <c r="BK558" s="58"/>
      <c r="BL558" s="66">
        <v>3386233</v>
      </c>
      <c r="BM558" s="56" t="s">
        <v>17423</v>
      </c>
      <c r="BN558" s="58"/>
      <c r="BO558" s="67">
        <v>200</v>
      </c>
      <c r="BP558" s="56" t="s">
        <v>15409</v>
      </c>
      <c r="BQ558" s="58"/>
      <c r="BR558" s="56" t="s">
        <v>17424</v>
      </c>
      <c r="BS558" s="56" t="s">
        <v>1285</v>
      </c>
      <c r="BT558" s="58"/>
      <c r="BU558" s="56" t="s">
        <v>17421</v>
      </c>
      <c r="BV558" s="58"/>
      <c r="BW558" s="58"/>
      <c r="BX558" s="67">
        <v>200</v>
      </c>
      <c r="BY558" s="58"/>
      <c r="BZ558" s="58"/>
      <c r="CA558" s="58"/>
      <c r="CB558" s="58"/>
      <c r="CC558" s="58"/>
      <c r="CD558" s="58"/>
    </row>
    <row r="559" ht="108" spans="1:82">
      <c r="A559" s="56" t="s">
        <v>17438</v>
      </c>
      <c r="B559" s="58"/>
      <c r="C559" s="57" t="s">
        <v>17439</v>
      </c>
      <c r="D559" s="58"/>
      <c r="E559" s="57" t="s">
        <v>15158</v>
      </c>
      <c r="F559" s="57" t="s">
        <v>17440</v>
      </c>
      <c r="G559" s="57" t="s">
        <v>15160</v>
      </c>
      <c r="H559" s="56" t="s">
        <v>4619</v>
      </c>
      <c r="I559" s="60">
        <v>35460</v>
      </c>
      <c r="J559" s="57" t="s">
        <v>1285</v>
      </c>
      <c r="K559" s="57" t="s">
        <v>15162</v>
      </c>
      <c r="L559" s="57" t="s">
        <v>15163</v>
      </c>
      <c r="M559" s="61" t="s">
        <v>17325</v>
      </c>
      <c r="N559" s="62" t="s">
        <v>15205</v>
      </c>
      <c r="O559" s="57" t="s">
        <v>15165</v>
      </c>
      <c r="P559" s="57" t="s">
        <v>15166</v>
      </c>
      <c r="Q559" s="57" t="s">
        <v>4619</v>
      </c>
      <c r="R559" s="57" t="s">
        <v>17441</v>
      </c>
      <c r="S559" s="57" t="s">
        <v>17442</v>
      </c>
      <c r="T559" s="57" t="s">
        <v>15190</v>
      </c>
      <c r="U559" s="57" t="s">
        <v>14184</v>
      </c>
      <c r="V559" s="56" t="s">
        <v>14153</v>
      </c>
      <c r="W559" s="58"/>
      <c r="X559" s="57" t="s">
        <v>17443</v>
      </c>
      <c r="Y559" s="57" t="s">
        <v>15170</v>
      </c>
      <c r="Z559" s="61" t="s">
        <v>14605</v>
      </c>
      <c r="AA559" s="61" t="s">
        <v>17325</v>
      </c>
      <c r="AB559" s="58"/>
      <c r="AC559" s="57" t="s">
        <v>15172</v>
      </c>
      <c r="AD559" s="58"/>
      <c r="AE559" s="58"/>
      <c r="AF559" s="58"/>
      <c r="AG559" s="58"/>
      <c r="AH559" s="58"/>
      <c r="AI559" s="58"/>
      <c r="AJ559" s="58"/>
      <c r="AK559" s="56" t="s">
        <v>1285</v>
      </c>
      <c r="AL559" s="56" t="s">
        <v>17444</v>
      </c>
      <c r="AM559" s="58"/>
      <c r="AN559" s="56" t="s">
        <v>15350</v>
      </c>
      <c r="AO559" s="58"/>
      <c r="AP559" s="63">
        <v>45776.795462963</v>
      </c>
      <c r="AQ559" s="56" t="s">
        <v>17445</v>
      </c>
      <c r="AR559" s="61" t="s">
        <v>15404</v>
      </c>
      <c r="AS559" s="57" t="s">
        <v>14184</v>
      </c>
      <c r="AT559" s="56" t="s">
        <v>15177</v>
      </c>
      <c r="AU559" s="56" t="s">
        <v>17446</v>
      </c>
      <c r="AV559" s="58"/>
      <c r="AW559" s="64">
        <v>45694.8053587963</v>
      </c>
      <c r="AX559" s="56" t="s">
        <v>17444</v>
      </c>
      <c r="AY559" s="56" t="s">
        <v>15179</v>
      </c>
      <c r="AZ559" s="58"/>
      <c r="BA559" s="58"/>
      <c r="BB559" s="58"/>
      <c r="BC559" s="56" t="s">
        <v>16181</v>
      </c>
      <c r="BD559" s="56" t="s">
        <v>15197</v>
      </c>
      <c r="BE559" s="58"/>
      <c r="BF559" s="56" t="s">
        <v>15181</v>
      </c>
      <c r="BG559" s="58"/>
      <c r="BH559" s="58"/>
      <c r="BI559" s="57" t="s">
        <v>2801</v>
      </c>
      <c r="BJ559" s="58"/>
      <c r="BK559" s="58"/>
      <c r="BL559" s="66">
        <v>3398693</v>
      </c>
      <c r="BM559" s="56" t="s">
        <v>17447</v>
      </c>
      <c r="BN559" s="58"/>
      <c r="BO559" s="67">
        <v>12760</v>
      </c>
      <c r="BP559" s="56" t="s">
        <v>15409</v>
      </c>
      <c r="BQ559" s="58"/>
      <c r="BR559" s="56" t="s">
        <v>17448</v>
      </c>
      <c r="BS559" s="56" t="s">
        <v>1285</v>
      </c>
      <c r="BT559" s="58"/>
      <c r="BU559" s="56" t="s">
        <v>17445</v>
      </c>
      <c r="BV559" s="58"/>
      <c r="BW559" s="58"/>
      <c r="BX559" s="67">
        <v>12760</v>
      </c>
      <c r="BY559" s="58"/>
      <c r="BZ559" s="58"/>
      <c r="CA559" s="58"/>
      <c r="CB559" s="58"/>
      <c r="CC559" s="58"/>
      <c r="CD559" s="58"/>
    </row>
    <row r="560" ht="108" spans="1:82">
      <c r="A560" s="56" t="s">
        <v>17449</v>
      </c>
      <c r="B560" s="58"/>
      <c r="C560" s="57" t="s">
        <v>17439</v>
      </c>
      <c r="D560" s="58"/>
      <c r="E560" s="57" t="s">
        <v>15158</v>
      </c>
      <c r="F560" s="57" t="s">
        <v>17440</v>
      </c>
      <c r="G560" s="57" t="s">
        <v>15160</v>
      </c>
      <c r="H560" s="56" t="s">
        <v>4619</v>
      </c>
      <c r="I560" s="60">
        <v>35460</v>
      </c>
      <c r="J560" s="57" t="s">
        <v>1285</v>
      </c>
      <c r="K560" s="57" t="s">
        <v>15162</v>
      </c>
      <c r="L560" s="57" t="s">
        <v>15163</v>
      </c>
      <c r="M560" s="61" t="s">
        <v>17325</v>
      </c>
      <c r="N560" s="62" t="s">
        <v>15205</v>
      </c>
      <c r="O560" s="57" t="s">
        <v>15165</v>
      </c>
      <c r="P560" s="57" t="s">
        <v>15166</v>
      </c>
      <c r="Q560" s="57" t="s">
        <v>4619</v>
      </c>
      <c r="R560" s="57" t="s">
        <v>17441</v>
      </c>
      <c r="S560" s="57" t="s">
        <v>17442</v>
      </c>
      <c r="T560" s="57" t="s">
        <v>15190</v>
      </c>
      <c r="U560" s="57" t="s">
        <v>14184</v>
      </c>
      <c r="V560" s="56" t="s">
        <v>14153</v>
      </c>
      <c r="W560" s="58"/>
      <c r="X560" s="57" t="s">
        <v>17443</v>
      </c>
      <c r="Y560" s="57" t="s">
        <v>15170</v>
      </c>
      <c r="Z560" s="61" t="s">
        <v>14605</v>
      </c>
      <c r="AA560" s="61" t="s">
        <v>17325</v>
      </c>
      <c r="AB560" s="58"/>
      <c r="AC560" s="57" t="s">
        <v>15172</v>
      </c>
      <c r="AD560" s="58"/>
      <c r="AE560" s="58"/>
      <c r="AF560" s="58"/>
      <c r="AG560" s="58"/>
      <c r="AH560" s="58"/>
      <c r="AI560" s="58"/>
      <c r="AJ560" s="58"/>
      <c r="AK560" s="56" t="s">
        <v>1285</v>
      </c>
      <c r="AL560" s="56" t="s">
        <v>17444</v>
      </c>
      <c r="AM560" s="58"/>
      <c r="AN560" s="56" t="s">
        <v>15350</v>
      </c>
      <c r="AO560" s="58"/>
      <c r="AP560" s="63">
        <v>45776.795462963</v>
      </c>
      <c r="AQ560" s="56" t="s">
        <v>17445</v>
      </c>
      <c r="AR560" s="61" t="s">
        <v>15404</v>
      </c>
      <c r="AS560" s="57" t="s">
        <v>14184</v>
      </c>
      <c r="AT560" s="56" t="s">
        <v>15177</v>
      </c>
      <c r="AU560" s="56" t="s">
        <v>17446</v>
      </c>
      <c r="AV560" s="58"/>
      <c r="AW560" s="64">
        <v>45694.8053587963</v>
      </c>
      <c r="AX560" s="56" t="s">
        <v>17444</v>
      </c>
      <c r="AY560" s="56" t="s">
        <v>15179</v>
      </c>
      <c r="AZ560" s="58"/>
      <c r="BA560" s="58"/>
      <c r="BB560" s="58"/>
      <c r="BC560" s="56" t="s">
        <v>16181</v>
      </c>
      <c r="BD560" s="56" t="s">
        <v>15197</v>
      </c>
      <c r="BE560" s="58"/>
      <c r="BF560" s="56" t="s">
        <v>15181</v>
      </c>
      <c r="BG560" s="58"/>
      <c r="BH560" s="58"/>
      <c r="BI560" s="57" t="s">
        <v>2801</v>
      </c>
      <c r="BJ560" s="58"/>
      <c r="BK560" s="58"/>
      <c r="BL560" s="66">
        <v>3398694</v>
      </c>
      <c r="BM560" s="56" t="s">
        <v>17447</v>
      </c>
      <c r="BN560" s="58"/>
      <c r="BO560" s="67">
        <v>15000</v>
      </c>
      <c r="BP560" s="56" t="s">
        <v>15409</v>
      </c>
      <c r="BQ560" s="58"/>
      <c r="BR560" s="56" t="s">
        <v>17448</v>
      </c>
      <c r="BS560" s="56" t="s">
        <v>1285</v>
      </c>
      <c r="BT560" s="58"/>
      <c r="BU560" s="56" t="s">
        <v>17445</v>
      </c>
      <c r="BV560" s="58"/>
      <c r="BW560" s="58"/>
      <c r="BX560" s="67">
        <v>15000</v>
      </c>
      <c r="BY560" s="58"/>
      <c r="BZ560" s="58"/>
      <c r="CA560" s="58"/>
      <c r="CB560" s="58"/>
      <c r="CC560" s="58"/>
      <c r="CD560" s="58"/>
    </row>
    <row r="561" ht="108" spans="1:82">
      <c r="A561" s="56" t="s">
        <v>17450</v>
      </c>
      <c r="B561" s="58"/>
      <c r="C561" s="57" t="s">
        <v>17439</v>
      </c>
      <c r="D561" s="58"/>
      <c r="E561" s="57" t="s">
        <v>15158</v>
      </c>
      <c r="F561" s="57" t="s">
        <v>17440</v>
      </c>
      <c r="G561" s="57" t="s">
        <v>15160</v>
      </c>
      <c r="H561" s="56" t="s">
        <v>4619</v>
      </c>
      <c r="I561" s="60">
        <v>35460</v>
      </c>
      <c r="J561" s="57" t="s">
        <v>1285</v>
      </c>
      <c r="K561" s="57" t="s">
        <v>15162</v>
      </c>
      <c r="L561" s="57" t="s">
        <v>15163</v>
      </c>
      <c r="M561" s="61" t="s">
        <v>17325</v>
      </c>
      <c r="N561" s="62" t="s">
        <v>15205</v>
      </c>
      <c r="O561" s="57" t="s">
        <v>15165</v>
      </c>
      <c r="P561" s="57" t="s">
        <v>15166</v>
      </c>
      <c r="Q561" s="57" t="s">
        <v>4619</v>
      </c>
      <c r="R561" s="57" t="s">
        <v>17441</v>
      </c>
      <c r="S561" s="57" t="s">
        <v>17442</v>
      </c>
      <c r="T561" s="57" t="s">
        <v>15190</v>
      </c>
      <c r="U561" s="57" t="s">
        <v>14184</v>
      </c>
      <c r="V561" s="56" t="s">
        <v>14153</v>
      </c>
      <c r="W561" s="58"/>
      <c r="X561" s="57" t="s">
        <v>17443</v>
      </c>
      <c r="Y561" s="57" t="s">
        <v>15170</v>
      </c>
      <c r="Z561" s="61" t="s">
        <v>14605</v>
      </c>
      <c r="AA561" s="61" t="s">
        <v>17325</v>
      </c>
      <c r="AB561" s="58"/>
      <c r="AC561" s="57" t="s">
        <v>15172</v>
      </c>
      <c r="AD561" s="58"/>
      <c r="AE561" s="58"/>
      <c r="AF561" s="58"/>
      <c r="AG561" s="58"/>
      <c r="AH561" s="58"/>
      <c r="AI561" s="58"/>
      <c r="AJ561" s="58"/>
      <c r="AK561" s="56" t="s">
        <v>1285</v>
      </c>
      <c r="AL561" s="56" t="s">
        <v>17444</v>
      </c>
      <c r="AM561" s="58"/>
      <c r="AN561" s="56" t="s">
        <v>15350</v>
      </c>
      <c r="AO561" s="58"/>
      <c r="AP561" s="63">
        <v>45776.795462963</v>
      </c>
      <c r="AQ561" s="56" t="s">
        <v>17445</v>
      </c>
      <c r="AR561" s="61" t="s">
        <v>15404</v>
      </c>
      <c r="AS561" s="57" t="s">
        <v>14184</v>
      </c>
      <c r="AT561" s="56" t="s">
        <v>15177</v>
      </c>
      <c r="AU561" s="56" t="s">
        <v>17446</v>
      </c>
      <c r="AV561" s="58"/>
      <c r="AW561" s="64">
        <v>45694.8053587963</v>
      </c>
      <c r="AX561" s="56" t="s">
        <v>17444</v>
      </c>
      <c r="AY561" s="56" t="s">
        <v>15179</v>
      </c>
      <c r="AZ561" s="58"/>
      <c r="BA561" s="58"/>
      <c r="BB561" s="58"/>
      <c r="BC561" s="56" t="s">
        <v>16181</v>
      </c>
      <c r="BD561" s="56" t="s">
        <v>15197</v>
      </c>
      <c r="BE561" s="58"/>
      <c r="BF561" s="56" t="s">
        <v>15181</v>
      </c>
      <c r="BG561" s="58"/>
      <c r="BH561" s="58"/>
      <c r="BI561" s="57" t="s">
        <v>2801</v>
      </c>
      <c r="BJ561" s="58"/>
      <c r="BK561" s="58"/>
      <c r="BL561" s="66">
        <v>3398695</v>
      </c>
      <c r="BM561" s="56" t="s">
        <v>17447</v>
      </c>
      <c r="BN561" s="58"/>
      <c r="BO561" s="67">
        <v>7700</v>
      </c>
      <c r="BP561" s="56" t="s">
        <v>15409</v>
      </c>
      <c r="BQ561" s="58"/>
      <c r="BR561" s="56" t="s">
        <v>17448</v>
      </c>
      <c r="BS561" s="56" t="s">
        <v>1285</v>
      </c>
      <c r="BT561" s="58"/>
      <c r="BU561" s="56" t="s">
        <v>17445</v>
      </c>
      <c r="BV561" s="58"/>
      <c r="BW561" s="58"/>
      <c r="BX561" s="67">
        <v>7700</v>
      </c>
      <c r="BY561" s="58"/>
      <c r="BZ561" s="58"/>
      <c r="CA561" s="58"/>
      <c r="CB561" s="58"/>
      <c r="CC561" s="58"/>
      <c r="CD561" s="58"/>
    </row>
    <row r="562" ht="108" spans="1:82">
      <c r="A562" s="56" t="s">
        <v>17451</v>
      </c>
      <c r="B562" s="58"/>
      <c r="C562" s="57" t="s">
        <v>17452</v>
      </c>
      <c r="D562" s="58"/>
      <c r="E562" s="57" t="s">
        <v>15158</v>
      </c>
      <c r="F562" s="57" t="s">
        <v>17453</v>
      </c>
      <c r="G562" s="57" t="s">
        <v>15160</v>
      </c>
      <c r="H562" s="56" t="s">
        <v>2958</v>
      </c>
      <c r="I562" s="60">
        <v>5905.4</v>
      </c>
      <c r="J562" s="57" t="s">
        <v>1285</v>
      </c>
      <c r="K562" s="57" t="s">
        <v>15162</v>
      </c>
      <c r="L562" s="57" t="s">
        <v>15163</v>
      </c>
      <c r="M562" s="61" t="s">
        <v>17325</v>
      </c>
      <c r="N562" s="62" t="s">
        <v>14909</v>
      </c>
      <c r="O562" s="57" t="s">
        <v>15165</v>
      </c>
      <c r="P562" s="57" t="s">
        <v>15166</v>
      </c>
      <c r="Q562" s="57" t="s">
        <v>2958</v>
      </c>
      <c r="R562" s="57" t="s">
        <v>16031</v>
      </c>
      <c r="S562" s="57" t="s">
        <v>16032</v>
      </c>
      <c r="T562" s="57" t="s">
        <v>15190</v>
      </c>
      <c r="U562" s="57" t="s">
        <v>14184</v>
      </c>
      <c r="V562" s="56" t="s">
        <v>14153</v>
      </c>
      <c r="W562" s="58"/>
      <c r="X562" s="57" t="s">
        <v>17454</v>
      </c>
      <c r="Y562" s="57" t="s">
        <v>15170</v>
      </c>
      <c r="Z562" s="61" t="s">
        <v>14605</v>
      </c>
      <c r="AA562" s="61" t="s">
        <v>17325</v>
      </c>
      <c r="AB562" s="58"/>
      <c r="AC562" s="57" t="s">
        <v>15172</v>
      </c>
      <c r="AD562" s="58"/>
      <c r="AE562" s="58"/>
      <c r="AF562" s="58"/>
      <c r="AG562" s="58"/>
      <c r="AH562" s="58"/>
      <c r="AI562" s="58"/>
      <c r="AJ562" s="58"/>
      <c r="AK562" s="56" t="s">
        <v>1285</v>
      </c>
      <c r="AL562" s="56" t="s">
        <v>17455</v>
      </c>
      <c r="AM562" s="58"/>
      <c r="AN562" s="56" t="s">
        <v>15300</v>
      </c>
      <c r="AO562" s="58"/>
      <c r="AP562" s="63">
        <v>45776.8015625</v>
      </c>
      <c r="AQ562" s="56" t="s">
        <v>17456</v>
      </c>
      <c r="AR562" s="61" t="s">
        <v>15404</v>
      </c>
      <c r="AS562" s="57" t="s">
        <v>14184</v>
      </c>
      <c r="AT562" s="56" t="s">
        <v>15177</v>
      </c>
      <c r="AU562" s="56" t="s">
        <v>17457</v>
      </c>
      <c r="AV562" s="58"/>
      <c r="AW562" s="64">
        <v>45680.7178935185</v>
      </c>
      <c r="AX562" s="56" t="s">
        <v>17455</v>
      </c>
      <c r="AY562" s="56" t="s">
        <v>15179</v>
      </c>
      <c r="AZ562" s="58"/>
      <c r="BA562" s="58"/>
      <c r="BB562" s="58"/>
      <c r="BC562" s="56" t="s">
        <v>15213</v>
      </c>
      <c r="BD562" s="56" t="s">
        <v>15197</v>
      </c>
      <c r="BE562" s="56" t="s">
        <v>16034</v>
      </c>
      <c r="BF562" s="56" t="s">
        <v>15181</v>
      </c>
      <c r="BG562" s="58"/>
      <c r="BH562" s="58"/>
      <c r="BI562" s="57" t="s">
        <v>2801</v>
      </c>
      <c r="BJ562" s="58"/>
      <c r="BK562" s="58"/>
      <c r="BL562" s="66">
        <v>3400703</v>
      </c>
      <c r="BM562" s="56" t="s">
        <v>17458</v>
      </c>
      <c r="BN562" s="58"/>
      <c r="BO562" s="67">
        <v>444</v>
      </c>
      <c r="BP562" s="56" t="s">
        <v>15409</v>
      </c>
      <c r="BQ562" s="58"/>
      <c r="BR562" s="56" t="s">
        <v>17459</v>
      </c>
      <c r="BS562" s="56" t="s">
        <v>1285</v>
      </c>
      <c r="BT562" s="58"/>
      <c r="BU562" s="56" t="s">
        <v>17456</v>
      </c>
      <c r="BV562" s="58"/>
      <c r="BW562" s="58"/>
      <c r="BX562" s="67">
        <v>444</v>
      </c>
      <c r="BY562" s="56" t="s">
        <v>1285</v>
      </c>
      <c r="BZ562" s="58"/>
      <c r="CA562" s="58"/>
      <c r="CB562" s="58"/>
      <c r="CC562" s="58"/>
      <c r="CD562" s="58"/>
    </row>
    <row r="563" ht="108" spans="1:82">
      <c r="A563" s="56" t="s">
        <v>17460</v>
      </c>
      <c r="B563" s="58"/>
      <c r="C563" s="57" t="s">
        <v>17452</v>
      </c>
      <c r="D563" s="58"/>
      <c r="E563" s="57" t="s">
        <v>15158</v>
      </c>
      <c r="F563" s="57" t="s">
        <v>17453</v>
      </c>
      <c r="G563" s="57" t="s">
        <v>15160</v>
      </c>
      <c r="H563" s="56" t="s">
        <v>2958</v>
      </c>
      <c r="I563" s="60">
        <v>5905.4</v>
      </c>
      <c r="J563" s="57" t="s">
        <v>1285</v>
      </c>
      <c r="K563" s="57" t="s">
        <v>15162</v>
      </c>
      <c r="L563" s="57" t="s">
        <v>15163</v>
      </c>
      <c r="M563" s="61" t="s">
        <v>17325</v>
      </c>
      <c r="N563" s="62" t="s">
        <v>14909</v>
      </c>
      <c r="O563" s="57" t="s">
        <v>15165</v>
      </c>
      <c r="P563" s="57" t="s">
        <v>15166</v>
      </c>
      <c r="Q563" s="57" t="s">
        <v>2958</v>
      </c>
      <c r="R563" s="57" t="s">
        <v>16031</v>
      </c>
      <c r="S563" s="57" t="s">
        <v>16032</v>
      </c>
      <c r="T563" s="57" t="s">
        <v>15190</v>
      </c>
      <c r="U563" s="57" t="s">
        <v>14184</v>
      </c>
      <c r="V563" s="56" t="s">
        <v>14153</v>
      </c>
      <c r="W563" s="58"/>
      <c r="X563" s="57" t="s">
        <v>17454</v>
      </c>
      <c r="Y563" s="57" t="s">
        <v>15170</v>
      </c>
      <c r="Z563" s="61" t="s">
        <v>14605</v>
      </c>
      <c r="AA563" s="61" t="s">
        <v>17325</v>
      </c>
      <c r="AB563" s="58"/>
      <c r="AC563" s="57" t="s">
        <v>15172</v>
      </c>
      <c r="AD563" s="58"/>
      <c r="AE563" s="58"/>
      <c r="AF563" s="58"/>
      <c r="AG563" s="58"/>
      <c r="AH563" s="58"/>
      <c r="AI563" s="58"/>
      <c r="AJ563" s="58"/>
      <c r="AK563" s="56" t="s">
        <v>1285</v>
      </c>
      <c r="AL563" s="56" t="s">
        <v>17455</v>
      </c>
      <c r="AM563" s="58"/>
      <c r="AN563" s="56" t="s">
        <v>15300</v>
      </c>
      <c r="AO563" s="58"/>
      <c r="AP563" s="63">
        <v>45776.8015625</v>
      </c>
      <c r="AQ563" s="56" t="s">
        <v>17456</v>
      </c>
      <c r="AR563" s="61" t="s">
        <v>15404</v>
      </c>
      <c r="AS563" s="57" t="s">
        <v>14184</v>
      </c>
      <c r="AT563" s="56" t="s">
        <v>15177</v>
      </c>
      <c r="AU563" s="56" t="s">
        <v>17457</v>
      </c>
      <c r="AV563" s="58"/>
      <c r="AW563" s="64">
        <v>45680.7178935185</v>
      </c>
      <c r="AX563" s="56" t="s">
        <v>17455</v>
      </c>
      <c r="AY563" s="56" t="s">
        <v>15179</v>
      </c>
      <c r="AZ563" s="58"/>
      <c r="BA563" s="58"/>
      <c r="BB563" s="58"/>
      <c r="BC563" s="56" t="s">
        <v>15196</v>
      </c>
      <c r="BD563" s="56" t="s">
        <v>15197</v>
      </c>
      <c r="BE563" s="56" t="s">
        <v>16034</v>
      </c>
      <c r="BF563" s="56" t="s">
        <v>15181</v>
      </c>
      <c r="BG563" s="58"/>
      <c r="BH563" s="58"/>
      <c r="BI563" s="57" t="s">
        <v>2801</v>
      </c>
      <c r="BJ563" s="58"/>
      <c r="BK563" s="58"/>
      <c r="BL563" s="66">
        <v>3400698</v>
      </c>
      <c r="BM563" s="56" t="s">
        <v>17458</v>
      </c>
      <c r="BN563" s="58"/>
      <c r="BO563" s="67">
        <v>190</v>
      </c>
      <c r="BP563" s="56" t="s">
        <v>15409</v>
      </c>
      <c r="BQ563" s="58"/>
      <c r="BR563" s="56" t="s">
        <v>17459</v>
      </c>
      <c r="BS563" s="56" t="s">
        <v>1285</v>
      </c>
      <c r="BT563" s="58"/>
      <c r="BU563" s="56" t="s">
        <v>17456</v>
      </c>
      <c r="BV563" s="58"/>
      <c r="BW563" s="58"/>
      <c r="BX563" s="67">
        <v>190</v>
      </c>
      <c r="BY563" s="56" t="s">
        <v>1285</v>
      </c>
      <c r="BZ563" s="58"/>
      <c r="CA563" s="58"/>
      <c r="CB563" s="58"/>
      <c r="CC563" s="58"/>
      <c r="CD563" s="58"/>
    </row>
    <row r="564" ht="108" spans="1:82">
      <c r="A564" s="56" t="s">
        <v>17461</v>
      </c>
      <c r="B564" s="58"/>
      <c r="C564" s="57" t="s">
        <v>17452</v>
      </c>
      <c r="D564" s="58"/>
      <c r="E564" s="57" t="s">
        <v>15158</v>
      </c>
      <c r="F564" s="57" t="s">
        <v>17453</v>
      </c>
      <c r="G564" s="57" t="s">
        <v>15160</v>
      </c>
      <c r="H564" s="56" t="s">
        <v>2958</v>
      </c>
      <c r="I564" s="60">
        <v>5905.4</v>
      </c>
      <c r="J564" s="57" t="s">
        <v>1285</v>
      </c>
      <c r="K564" s="57" t="s">
        <v>15162</v>
      </c>
      <c r="L564" s="57" t="s">
        <v>15163</v>
      </c>
      <c r="M564" s="61" t="s">
        <v>17325</v>
      </c>
      <c r="N564" s="62" t="s">
        <v>14909</v>
      </c>
      <c r="O564" s="57" t="s">
        <v>15165</v>
      </c>
      <c r="P564" s="57" t="s">
        <v>15166</v>
      </c>
      <c r="Q564" s="57" t="s">
        <v>2958</v>
      </c>
      <c r="R564" s="57" t="s">
        <v>16031</v>
      </c>
      <c r="S564" s="57" t="s">
        <v>16032</v>
      </c>
      <c r="T564" s="57" t="s">
        <v>15190</v>
      </c>
      <c r="U564" s="57" t="s">
        <v>14184</v>
      </c>
      <c r="V564" s="56" t="s">
        <v>14153</v>
      </c>
      <c r="W564" s="58"/>
      <c r="X564" s="57" t="s">
        <v>17454</v>
      </c>
      <c r="Y564" s="57" t="s">
        <v>15170</v>
      </c>
      <c r="Z564" s="61" t="s">
        <v>14605</v>
      </c>
      <c r="AA564" s="61" t="s">
        <v>17325</v>
      </c>
      <c r="AB564" s="58"/>
      <c r="AC564" s="57" t="s">
        <v>15172</v>
      </c>
      <c r="AD564" s="58"/>
      <c r="AE564" s="58"/>
      <c r="AF564" s="58"/>
      <c r="AG564" s="58"/>
      <c r="AH564" s="58"/>
      <c r="AI564" s="58"/>
      <c r="AJ564" s="58"/>
      <c r="AK564" s="56" t="s">
        <v>1285</v>
      </c>
      <c r="AL564" s="56" t="s">
        <v>17455</v>
      </c>
      <c r="AM564" s="58"/>
      <c r="AN564" s="56" t="s">
        <v>15300</v>
      </c>
      <c r="AO564" s="58"/>
      <c r="AP564" s="63">
        <v>45776.8015625</v>
      </c>
      <c r="AQ564" s="56" t="s">
        <v>17456</v>
      </c>
      <c r="AR564" s="61" t="s">
        <v>15404</v>
      </c>
      <c r="AS564" s="57" t="s">
        <v>14184</v>
      </c>
      <c r="AT564" s="56" t="s">
        <v>15177</v>
      </c>
      <c r="AU564" s="56" t="s">
        <v>17457</v>
      </c>
      <c r="AV564" s="58"/>
      <c r="AW564" s="64">
        <v>45680.7178935185</v>
      </c>
      <c r="AX564" s="56" t="s">
        <v>17455</v>
      </c>
      <c r="AY564" s="56" t="s">
        <v>15179</v>
      </c>
      <c r="AZ564" s="58"/>
      <c r="BA564" s="58"/>
      <c r="BB564" s="58"/>
      <c r="BC564" s="56" t="s">
        <v>15196</v>
      </c>
      <c r="BD564" s="56" t="s">
        <v>15197</v>
      </c>
      <c r="BE564" s="56" t="s">
        <v>16034</v>
      </c>
      <c r="BF564" s="56" t="s">
        <v>15181</v>
      </c>
      <c r="BG564" s="58"/>
      <c r="BH564" s="58"/>
      <c r="BI564" s="57" t="s">
        <v>2801</v>
      </c>
      <c r="BJ564" s="58"/>
      <c r="BK564" s="58"/>
      <c r="BL564" s="66">
        <v>3400699</v>
      </c>
      <c r="BM564" s="56" t="s">
        <v>17458</v>
      </c>
      <c r="BN564" s="58"/>
      <c r="BO564" s="67">
        <v>176.4</v>
      </c>
      <c r="BP564" s="56" t="s">
        <v>15409</v>
      </c>
      <c r="BQ564" s="58"/>
      <c r="BR564" s="56" t="s">
        <v>17459</v>
      </c>
      <c r="BS564" s="56" t="s">
        <v>1285</v>
      </c>
      <c r="BT564" s="58"/>
      <c r="BU564" s="56" t="s">
        <v>17456</v>
      </c>
      <c r="BV564" s="58"/>
      <c r="BW564" s="58"/>
      <c r="BX564" s="67">
        <v>176.4</v>
      </c>
      <c r="BY564" s="56" t="s">
        <v>1285</v>
      </c>
      <c r="BZ564" s="58"/>
      <c r="CA564" s="58"/>
      <c r="CB564" s="58"/>
      <c r="CC564" s="58"/>
      <c r="CD564" s="58"/>
    </row>
    <row r="565" ht="108" spans="1:82">
      <c r="A565" s="56" t="s">
        <v>17462</v>
      </c>
      <c r="B565" s="58"/>
      <c r="C565" s="57" t="s">
        <v>17452</v>
      </c>
      <c r="D565" s="58"/>
      <c r="E565" s="57" t="s">
        <v>15158</v>
      </c>
      <c r="F565" s="57" t="s">
        <v>17453</v>
      </c>
      <c r="G565" s="57" t="s">
        <v>15160</v>
      </c>
      <c r="H565" s="56" t="s">
        <v>2958</v>
      </c>
      <c r="I565" s="60">
        <v>5905.4</v>
      </c>
      <c r="J565" s="57" t="s">
        <v>1285</v>
      </c>
      <c r="K565" s="57" t="s">
        <v>15162</v>
      </c>
      <c r="L565" s="57" t="s">
        <v>15163</v>
      </c>
      <c r="M565" s="61" t="s">
        <v>17325</v>
      </c>
      <c r="N565" s="62" t="s">
        <v>14909</v>
      </c>
      <c r="O565" s="57" t="s">
        <v>15165</v>
      </c>
      <c r="P565" s="57" t="s">
        <v>15166</v>
      </c>
      <c r="Q565" s="57" t="s">
        <v>2958</v>
      </c>
      <c r="R565" s="57" t="s">
        <v>16031</v>
      </c>
      <c r="S565" s="57" t="s">
        <v>16032</v>
      </c>
      <c r="T565" s="57" t="s">
        <v>15190</v>
      </c>
      <c r="U565" s="57" t="s">
        <v>14184</v>
      </c>
      <c r="V565" s="56" t="s">
        <v>14153</v>
      </c>
      <c r="W565" s="58"/>
      <c r="X565" s="57" t="s">
        <v>17454</v>
      </c>
      <c r="Y565" s="57" t="s">
        <v>15170</v>
      </c>
      <c r="Z565" s="61" t="s">
        <v>14605</v>
      </c>
      <c r="AA565" s="61" t="s">
        <v>17325</v>
      </c>
      <c r="AB565" s="58"/>
      <c r="AC565" s="57" t="s">
        <v>15172</v>
      </c>
      <c r="AD565" s="58"/>
      <c r="AE565" s="58"/>
      <c r="AF565" s="58"/>
      <c r="AG565" s="58"/>
      <c r="AH565" s="58"/>
      <c r="AI565" s="58"/>
      <c r="AJ565" s="58"/>
      <c r="AK565" s="56" t="s">
        <v>1285</v>
      </c>
      <c r="AL565" s="56" t="s">
        <v>17455</v>
      </c>
      <c r="AM565" s="58"/>
      <c r="AN565" s="56" t="s">
        <v>15300</v>
      </c>
      <c r="AO565" s="58"/>
      <c r="AP565" s="63">
        <v>45776.8015625</v>
      </c>
      <c r="AQ565" s="56" t="s">
        <v>17456</v>
      </c>
      <c r="AR565" s="61" t="s">
        <v>15404</v>
      </c>
      <c r="AS565" s="57" t="s">
        <v>14184</v>
      </c>
      <c r="AT565" s="56" t="s">
        <v>15177</v>
      </c>
      <c r="AU565" s="56" t="s">
        <v>17457</v>
      </c>
      <c r="AV565" s="58"/>
      <c r="AW565" s="64">
        <v>45680.7178935185</v>
      </c>
      <c r="AX565" s="56" t="s">
        <v>17455</v>
      </c>
      <c r="AY565" s="56" t="s">
        <v>15179</v>
      </c>
      <c r="AZ565" s="58"/>
      <c r="BA565" s="58"/>
      <c r="BB565" s="58"/>
      <c r="BC565" s="56" t="s">
        <v>15213</v>
      </c>
      <c r="BD565" s="56" t="s">
        <v>15197</v>
      </c>
      <c r="BE565" s="56" t="s">
        <v>16034</v>
      </c>
      <c r="BF565" s="56" t="s">
        <v>15181</v>
      </c>
      <c r="BG565" s="58"/>
      <c r="BH565" s="58"/>
      <c r="BI565" s="57" t="s">
        <v>2801</v>
      </c>
      <c r="BJ565" s="58"/>
      <c r="BK565" s="58"/>
      <c r="BL565" s="66">
        <v>3400700</v>
      </c>
      <c r="BM565" s="56" t="s">
        <v>17458</v>
      </c>
      <c r="BN565" s="58"/>
      <c r="BO565" s="67">
        <v>153</v>
      </c>
      <c r="BP565" s="56" t="s">
        <v>15409</v>
      </c>
      <c r="BQ565" s="58"/>
      <c r="BR565" s="56" t="s">
        <v>17459</v>
      </c>
      <c r="BS565" s="56" t="s">
        <v>1285</v>
      </c>
      <c r="BT565" s="58"/>
      <c r="BU565" s="56" t="s">
        <v>17456</v>
      </c>
      <c r="BV565" s="58"/>
      <c r="BW565" s="58"/>
      <c r="BX565" s="67">
        <v>153</v>
      </c>
      <c r="BY565" s="56" t="s">
        <v>1285</v>
      </c>
      <c r="BZ565" s="58"/>
      <c r="CA565" s="58"/>
      <c r="CB565" s="58"/>
      <c r="CC565" s="58"/>
      <c r="CD565" s="58"/>
    </row>
    <row r="566" ht="108" spans="1:82">
      <c r="A566" s="56" t="s">
        <v>17463</v>
      </c>
      <c r="B566" s="58"/>
      <c r="C566" s="57" t="s">
        <v>17452</v>
      </c>
      <c r="D566" s="58"/>
      <c r="E566" s="57" t="s">
        <v>15158</v>
      </c>
      <c r="F566" s="57" t="s">
        <v>17453</v>
      </c>
      <c r="G566" s="57" t="s">
        <v>15160</v>
      </c>
      <c r="H566" s="56" t="s">
        <v>2958</v>
      </c>
      <c r="I566" s="60">
        <v>5905.4</v>
      </c>
      <c r="J566" s="57" t="s">
        <v>1285</v>
      </c>
      <c r="K566" s="57" t="s">
        <v>15162</v>
      </c>
      <c r="L566" s="57" t="s">
        <v>15163</v>
      </c>
      <c r="M566" s="61" t="s">
        <v>17325</v>
      </c>
      <c r="N566" s="62" t="s">
        <v>14909</v>
      </c>
      <c r="O566" s="57" t="s">
        <v>15165</v>
      </c>
      <c r="P566" s="57" t="s">
        <v>15166</v>
      </c>
      <c r="Q566" s="57" t="s">
        <v>2958</v>
      </c>
      <c r="R566" s="57" t="s">
        <v>16031</v>
      </c>
      <c r="S566" s="57" t="s">
        <v>16032</v>
      </c>
      <c r="T566" s="57" t="s">
        <v>15190</v>
      </c>
      <c r="U566" s="57" t="s">
        <v>14184</v>
      </c>
      <c r="V566" s="56" t="s">
        <v>14153</v>
      </c>
      <c r="W566" s="58"/>
      <c r="X566" s="57" t="s">
        <v>17454</v>
      </c>
      <c r="Y566" s="57" t="s">
        <v>15170</v>
      </c>
      <c r="Z566" s="61" t="s">
        <v>14605</v>
      </c>
      <c r="AA566" s="61" t="s">
        <v>17325</v>
      </c>
      <c r="AB566" s="58"/>
      <c r="AC566" s="57" t="s">
        <v>15172</v>
      </c>
      <c r="AD566" s="58"/>
      <c r="AE566" s="58"/>
      <c r="AF566" s="58"/>
      <c r="AG566" s="58"/>
      <c r="AH566" s="58"/>
      <c r="AI566" s="58"/>
      <c r="AJ566" s="58"/>
      <c r="AK566" s="56" t="s">
        <v>1285</v>
      </c>
      <c r="AL566" s="56" t="s">
        <v>17455</v>
      </c>
      <c r="AM566" s="58"/>
      <c r="AN566" s="56" t="s">
        <v>15300</v>
      </c>
      <c r="AO566" s="58"/>
      <c r="AP566" s="63">
        <v>45776.8015625</v>
      </c>
      <c r="AQ566" s="56" t="s">
        <v>17456</v>
      </c>
      <c r="AR566" s="61" t="s">
        <v>15404</v>
      </c>
      <c r="AS566" s="57" t="s">
        <v>14184</v>
      </c>
      <c r="AT566" s="56" t="s">
        <v>15177</v>
      </c>
      <c r="AU566" s="56" t="s">
        <v>17457</v>
      </c>
      <c r="AV566" s="58"/>
      <c r="AW566" s="64">
        <v>45680.7178935185</v>
      </c>
      <c r="AX566" s="56" t="s">
        <v>17455</v>
      </c>
      <c r="AY566" s="56" t="s">
        <v>15179</v>
      </c>
      <c r="AZ566" s="58"/>
      <c r="BA566" s="58"/>
      <c r="BB566" s="58"/>
      <c r="BC566" s="56" t="s">
        <v>15213</v>
      </c>
      <c r="BD566" s="56" t="s">
        <v>15197</v>
      </c>
      <c r="BE566" s="56" t="s">
        <v>16034</v>
      </c>
      <c r="BF566" s="56" t="s">
        <v>15181</v>
      </c>
      <c r="BG566" s="58"/>
      <c r="BH566" s="58"/>
      <c r="BI566" s="57" t="s">
        <v>2801</v>
      </c>
      <c r="BJ566" s="58"/>
      <c r="BK566" s="58"/>
      <c r="BL566" s="66">
        <v>3400701</v>
      </c>
      <c r="BM566" s="56" t="s">
        <v>17458</v>
      </c>
      <c r="BN566" s="58"/>
      <c r="BO566" s="67">
        <v>42</v>
      </c>
      <c r="BP566" s="56" t="s">
        <v>15409</v>
      </c>
      <c r="BQ566" s="58"/>
      <c r="BR566" s="56" t="s">
        <v>17459</v>
      </c>
      <c r="BS566" s="56" t="s">
        <v>1285</v>
      </c>
      <c r="BT566" s="58"/>
      <c r="BU566" s="56" t="s">
        <v>17456</v>
      </c>
      <c r="BV566" s="58"/>
      <c r="BW566" s="58"/>
      <c r="BX566" s="67">
        <v>42</v>
      </c>
      <c r="BY566" s="56" t="s">
        <v>1285</v>
      </c>
      <c r="BZ566" s="58"/>
      <c r="CA566" s="58"/>
      <c r="CB566" s="58"/>
      <c r="CC566" s="58"/>
      <c r="CD566" s="58"/>
    </row>
    <row r="567" ht="108" spans="1:82">
      <c r="A567" s="56" t="s">
        <v>17464</v>
      </c>
      <c r="B567" s="58"/>
      <c r="C567" s="57" t="s">
        <v>17452</v>
      </c>
      <c r="D567" s="58"/>
      <c r="E567" s="57" t="s">
        <v>15158</v>
      </c>
      <c r="F567" s="57" t="s">
        <v>17453</v>
      </c>
      <c r="G567" s="57" t="s">
        <v>15160</v>
      </c>
      <c r="H567" s="56" t="s">
        <v>2958</v>
      </c>
      <c r="I567" s="60">
        <v>5905.4</v>
      </c>
      <c r="J567" s="57" t="s">
        <v>1285</v>
      </c>
      <c r="K567" s="57" t="s">
        <v>15162</v>
      </c>
      <c r="L567" s="57" t="s">
        <v>15163</v>
      </c>
      <c r="M567" s="61" t="s">
        <v>17325</v>
      </c>
      <c r="N567" s="62" t="s">
        <v>14909</v>
      </c>
      <c r="O567" s="57" t="s">
        <v>15165</v>
      </c>
      <c r="P567" s="57" t="s">
        <v>15166</v>
      </c>
      <c r="Q567" s="57" t="s">
        <v>2958</v>
      </c>
      <c r="R567" s="57" t="s">
        <v>16031</v>
      </c>
      <c r="S567" s="57" t="s">
        <v>16032</v>
      </c>
      <c r="T567" s="57" t="s">
        <v>15190</v>
      </c>
      <c r="U567" s="57" t="s">
        <v>14184</v>
      </c>
      <c r="V567" s="56" t="s">
        <v>14153</v>
      </c>
      <c r="W567" s="58"/>
      <c r="X567" s="57" t="s">
        <v>17454</v>
      </c>
      <c r="Y567" s="57" t="s">
        <v>15170</v>
      </c>
      <c r="Z567" s="61" t="s">
        <v>14605</v>
      </c>
      <c r="AA567" s="61" t="s">
        <v>17325</v>
      </c>
      <c r="AB567" s="58"/>
      <c r="AC567" s="57" t="s">
        <v>15172</v>
      </c>
      <c r="AD567" s="58"/>
      <c r="AE567" s="58"/>
      <c r="AF567" s="58"/>
      <c r="AG567" s="58"/>
      <c r="AH567" s="58"/>
      <c r="AI567" s="58"/>
      <c r="AJ567" s="58"/>
      <c r="AK567" s="56" t="s">
        <v>1285</v>
      </c>
      <c r="AL567" s="56" t="s">
        <v>17455</v>
      </c>
      <c r="AM567" s="58"/>
      <c r="AN567" s="56" t="s">
        <v>15300</v>
      </c>
      <c r="AO567" s="58"/>
      <c r="AP567" s="63">
        <v>45776.8015625</v>
      </c>
      <c r="AQ567" s="56" t="s">
        <v>17456</v>
      </c>
      <c r="AR567" s="61" t="s">
        <v>15404</v>
      </c>
      <c r="AS567" s="57" t="s">
        <v>14184</v>
      </c>
      <c r="AT567" s="56" t="s">
        <v>15177</v>
      </c>
      <c r="AU567" s="56" t="s">
        <v>17457</v>
      </c>
      <c r="AV567" s="58"/>
      <c r="AW567" s="64">
        <v>45680.7178935185</v>
      </c>
      <c r="AX567" s="56" t="s">
        <v>17455</v>
      </c>
      <c r="AY567" s="56" t="s">
        <v>15179</v>
      </c>
      <c r="AZ567" s="58"/>
      <c r="BA567" s="58"/>
      <c r="BB567" s="58"/>
      <c r="BC567" s="56" t="s">
        <v>16041</v>
      </c>
      <c r="BD567" s="56" t="s">
        <v>15197</v>
      </c>
      <c r="BE567" s="56" t="s">
        <v>16034</v>
      </c>
      <c r="BF567" s="56" t="s">
        <v>15181</v>
      </c>
      <c r="BG567" s="58"/>
      <c r="BH567" s="58"/>
      <c r="BI567" s="57" t="s">
        <v>2801</v>
      </c>
      <c r="BJ567" s="58"/>
      <c r="BK567" s="58"/>
      <c r="BL567" s="66">
        <v>3400702</v>
      </c>
      <c r="BM567" s="56" t="s">
        <v>17458</v>
      </c>
      <c r="BN567" s="58"/>
      <c r="BO567" s="67">
        <v>480</v>
      </c>
      <c r="BP567" s="56" t="s">
        <v>15409</v>
      </c>
      <c r="BQ567" s="58"/>
      <c r="BR567" s="56" t="s">
        <v>17459</v>
      </c>
      <c r="BS567" s="56" t="s">
        <v>1285</v>
      </c>
      <c r="BT567" s="58"/>
      <c r="BU567" s="56" t="s">
        <v>17456</v>
      </c>
      <c r="BV567" s="58"/>
      <c r="BW567" s="58"/>
      <c r="BX567" s="67">
        <v>480</v>
      </c>
      <c r="BY567" s="56" t="s">
        <v>1285</v>
      </c>
      <c r="BZ567" s="58"/>
      <c r="CA567" s="58"/>
      <c r="CB567" s="58"/>
      <c r="CC567" s="58"/>
      <c r="CD567" s="58"/>
    </row>
    <row r="568" ht="108" spans="1:82">
      <c r="A568" s="56" t="s">
        <v>17465</v>
      </c>
      <c r="B568" s="58"/>
      <c r="C568" s="57" t="s">
        <v>17452</v>
      </c>
      <c r="D568" s="58"/>
      <c r="E568" s="57" t="s">
        <v>15158</v>
      </c>
      <c r="F568" s="57" t="s">
        <v>17453</v>
      </c>
      <c r="G568" s="57" t="s">
        <v>15160</v>
      </c>
      <c r="H568" s="56" t="s">
        <v>2958</v>
      </c>
      <c r="I568" s="60">
        <v>5905.4</v>
      </c>
      <c r="J568" s="57" t="s">
        <v>1285</v>
      </c>
      <c r="K568" s="57" t="s">
        <v>15162</v>
      </c>
      <c r="L568" s="57" t="s">
        <v>15163</v>
      </c>
      <c r="M568" s="61" t="s">
        <v>17325</v>
      </c>
      <c r="N568" s="62" t="s">
        <v>14909</v>
      </c>
      <c r="O568" s="57" t="s">
        <v>15165</v>
      </c>
      <c r="P568" s="57" t="s">
        <v>15166</v>
      </c>
      <c r="Q568" s="57" t="s">
        <v>2958</v>
      </c>
      <c r="R568" s="57" t="s">
        <v>16031</v>
      </c>
      <c r="S568" s="57" t="s">
        <v>16032</v>
      </c>
      <c r="T568" s="57" t="s">
        <v>15190</v>
      </c>
      <c r="U568" s="57" t="s">
        <v>14184</v>
      </c>
      <c r="V568" s="56" t="s">
        <v>14153</v>
      </c>
      <c r="W568" s="58"/>
      <c r="X568" s="57" t="s">
        <v>17454</v>
      </c>
      <c r="Y568" s="57" t="s">
        <v>15170</v>
      </c>
      <c r="Z568" s="61" t="s">
        <v>14605</v>
      </c>
      <c r="AA568" s="61" t="s">
        <v>17325</v>
      </c>
      <c r="AB568" s="58"/>
      <c r="AC568" s="57" t="s">
        <v>15172</v>
      </c>
      <c r="AD568" s="58"/>
      <c r="AE568" s="58"/>
      <c r="AF568" s="58"/>
      <c r="AG568" s="58"/>
      <c r="AH568" s="58"/>
      <c r="AI568" s="58"/>
      <c r="AJ568" s="58"/>
      <c r="AK568" s="56" t="s">
        <v>1285</v>
      </c>
      <c r="AL568" s="56" t="s">
        <v>17455</v>
      </c>
      <c r="AM568" s="58"/>
      <c r="AN568" s="56" t="s">
        <v>15300</v>
      </c>
      <c r="AO568" s="58"/>
      <c r="AP568" s="63">
        <v>45776.8015625</v>
      </c>
      <c r="AQ568" s="56" t="s">
        <v>17456</v>
      </c>
      <c r="AR568" s="61" t="s">
        <v>15404</v>
      </c>
      <c r="AS568" s="57" t="s">
        <v>14184</v>
      </c>
      <c r="AT568" s="56" t="s">
        <v>15177</v>
      </c>
      <c r="AU568" s="56" t="s">
        <v>17457</v>
      </c>
      <c r="AV568" s="58"/>
      <c r="AW568" s="64">
        <v>45680.7178935185</v>
      </c>
      <c r="AX568" s="56" t="s">
        <v>17455</v>
      </c>
      <c r="AY568" s="56" t="s">
        <v>15179</v>
      </c>
      <c r="AZ568" s="58"/>
      <c r="BA568" s="58"/>
      <c r="BB568" s="58"/>
      <c r="BC568" s="56" t="s">
        <v>16041</v>
      </c>
      <c r="BD568" s="56" t="s">
        <v>15197</v>
      </c>
      <c r="BE568" s="56" t="s">
        <v>16034</v>
      </c>
      <c r="BF568" s="56" t="s">
        <v>15181</v>
      </c>
      <c r="BG568" s="58"/>
      <c r="BH568" s="58"/>
      <c r="BI568" s="57" t="s">
        <v>2801</v>
      </c>
      <c r="BJ568" s="58"/>
      <c r="BK568" s="58"/>
      <c r="BL568" s="66">
        <v>3400704</v>
      </c>
      <c r="BM568" s="56" t="s">
        <v>17458</v>
      </c>
      <c r="BN568" s="58"/>
      <c r="BO568" s="67">
        <v>1770</v>
      </c>
      <c r="BP568" s="56" t="s">
        <v>15409</v>
      </c>
      <c r="BQ568" s="58"/>
      <c r="BR568" s="56" t="s">
        <v>17459</v>
      </c>
      <c r="BS568" s="56" t="s">
        <v>1285</v>
      </c>
      <c r="BT568" s="58"/>
      <c r="BU568" s="56" t="s">
        <v>17456</v>
      </c>
      <c r="BV568" s="58"/>
      <c r="BW568" s="58"/>
      <c r="BX568" s="67">
        <v>1770</v>
      </c>
      <c r="BY568" s="56" t="s">
        <v>1285</v>
      </c>
      <c r="BZ568" s="58"/>
      <c r="CA568" s="58"/>
      <c r="CB568" s="58"/>
      <c r="CC568" s="58"/>
      <c r="CD568" s="58"/>
    </row>
    <row r="569" ht="108" spans="1:82">
      <c r="A569" s="56" t="s">
        <v>17466</v>
      </c>
      <c r="B569" s="58"/>
      <c r="C569" s="57" t="s">
        <v>17452</v>
      </c>
      <c r="D569" s="58"/>
      <c r="E569" s="57" t="s">
        <v>15158</v>
      </c>
      <c r="F569" s="57" t="s">
        <v>17453</v>
      </c>
      <c r="G569" s="57" t="s">
        <v>15160</v>
      </c>
      <c r="H569" s="56" t="s">
        <v>2958</v>
      </c>
      <c r="I569" s="60">
        <v>5905.4</v>
      </c>
      <c r="J569" s="57" t="s">
        <v>1285</v>
      </c>
      <c r="K569" s="57" t="s">
        <v>15162</v>
      </c>
      <c r="L569" s="57" t="s">
        <v>15163</v>
      </c>
      <c r="M569" s="61" t="s">
        <v>17325</v>
      </c>
      <c r="N569" s="62" t="s">
        <v>14909</v>
      </c>
      <c r="O569" s="57" t="s">
        <v>15165</v>
      </c>
      <c r="P569" s="57" t="s">
        <v>15166</v>
      </c>
      <c r="Q569" s="57" t="s">
        <v>2958</v>
      </c>
      <c r="R569" s="57" t="s">
        <v>16031</v>
      </c>
      <c r="S569" s="57" t="s">
        <v>16032</v>
      </c>
      <c r="T569" s="57" t="s">
        <v>15190</v>
      </c>
      <c r="U569" s="57" t="s">
        <v>14184</v>
      </c>
      <c r="V569" s="56" t="s">
        <v>14153</v>
      </c>
      <c r="W569" s="58"/>
      <c r="X569" s="57" t="s">
        <v>17454</v>
      </c>
      <c r="Y569" s="57" t="s">
        <v>15170</v>
      </c>
      <c r="Z569" s="61" t="s">
        <v>14605</v>
      </c>
      <c r="AA569" s="61" t="s">
        <v>17325</v>
      </c>
      <c r="AB569" s="58"/>
      <c r="AC569" s="57" t="s">
        <v>15172</v>
      </c>
      <c r="AD569" s="58"/>
      <c r="AE569" s="58"/>
      <c r="AF569" s="58"/>
      <c r="AG569" s="58"/>
      <c r="AH569" s="58"/>
      <c r="AI569" s="58"/>
      <c r="AJ569" s="58"/>
      <c r="AK569" s="56" t="s">
        <v>1285</v>
      </c>
      <c r="AL569" s="56" t="s">
        <v>17455</v>
      </c>
      <c r="AM569" s="58"/>
      <c r="AN569" s="56" t="s">
        <v>15300</v>
      </c>
      <c r="AO569" s="58"/>
      <c r="AP569" s="63">
        <v>45776.8015625</v>
      </c>
      <c r="AQ569" s="56" t="s">
        <v>17456</v>
      </c>
      <c r="AR569" s="61" t="s">
        <v>15404</v>
      </c>
      <c r="AS569" s="57" t="s">
        <v>14184</v>
      </c>
      <c r="AT569" s="56" t="s">
        <v>15177</v>
      </c>
      <c r="AU569" s="56" t="s">
        <v>17457</v>
      </c>
      <c r="AV569" s="58"/>
      <c r="AW569" s="64">
        <v>45680.7178935185</v>
      </c>
      <c r="AX569" s="56" t="s">
        <v>17455</v>
      </c>
      <c r="AY569" s="56" t="s">
        <v>15179</v>
      </c>
      <c r="AZ569" s="58"/>
      <c r="BA569" s="58"/>
      <c r="BB569" s="58"/>
      <c r="BC569" s="56" t="s">
        <v>16041</v>
      </c>
      <c r="BD569" s="56" t="s">
        <v>15197</v>
      </c>
      <c r="BE569" s="56" t="s">
        <v>16034</v>
      </c>
      <c r="BF569" s="56" t="s">
        <v>15181</v>
      </c>
      <c r="BG569" s="58"/>
      <c r="BH569" s="58"/>
      <c r="BI569" s="57" t="s">
        <v>2801</v>
      </c>
      <c r="BJ569" s="58"/>
      <c r="BK569" s="58"/>
      <c r="BL569" s="66">
        <v>3400705</v>
      </c>
      <c r="BM569" s="56" t="s">
        <v>17458</v>
      </c>
      <c r="BN569" s="58"/>
      <c r="BO569" s="67">
        <v>2650</v>
      </c>
      <c r="BP569" s="56" t="s">
        <v>15409</v>
      </c>
      <c r="BQ569" s="58"/>
      <c r="BR569" s="56" t="s">
        <v>17459</v>
      </c>
      <c r="BS569" s="56" t="s">
        <v>1285</v>
      </c>
      <c r="BT569" s="58"/>
      <c r="BU569" s="56" t="s">
        <v>17456</v>
      </c>
      <c r="BV569" s="58"/>
      <c r="BW569" s="58"/>
      <c r="BX569" s="67">
        <v>2650</v>
      </c>
      <c r="BY569" s="56" t="s">
        <v>1285</v>
      </c>
      <c r="BZ569" s="58"/>
      <c r="CA569" s="58"/>
      <c r="CB569" s="58"/>
      <c r="CC569" s="58"/>
      <c r="CD569" s="58"/>
    </row>
    <row r="570" ht="108" spans="1:82">
      <c r="A570" s="56" t="s">
        <v>17467</v>
      </c>
      <c r="B570" s="58"/>
      <c r="C570" s="57" t="s">
        <v>17468</v>
      </c>
      <c r="D570" s="58"/>
      <c r="E570" s="57" t="s">
        <v>15158</v>
      </c>
      <c r="F570" s="57" t="s">
        <v>17469</v>
      </c>
      <c r="G570" s="57" t="s">
        <v>15160</v>
      </c>
      <c r="H570" s="56" t="s">
        <v>4391</v>
      </c>
      <c r="I570" s="60">
        <v>7091.66</v>
      </c>
      <c r="J570" s="57" t="s">
        <v>1285</v>
      </c>
      <c r="K570" s="57" t="s">
        <v>15162</v>
      </c>
      <c r="L570" s="57" t="s">
        <v>15163</v>
      </c>
      <c r="M570" s="61" t="s">
        <v>17325</v>
      </c>
      <c r="N570" s="62" t="s">
        <v>14909</v>
      </c>
      <c r="O570" s="57" t="s">
        <v>15165</v>
      </c>
      <c r="P570" s="57" t="s">
        <v>15166</v>
      </c>
      <c r="Q570" s="57" t="s">
        <v>4391</v>
      </c>
      <c r="R570" s="57" t="s">
        <v>17470</v>
      </c>
      <c r="S570" s="57" t="s">
        <v>17471</v>
      </c>
      <c r="T570" s="57" t="s">
        <v>15190</v>
      </c>
      <c r="U570" s="57" t="s">
        <v>14184</v>
      </c>
      <c r="V570" s="56" t="s">
        <v>14153</v>
      </c>
      <c r="W570" s="58"/>
      <c r="X570" s="57" t="s">
        <v>17472</v>
      </c>
      <c r="Y570" s="57" t="s">
        <v>15170</v>
      </c>
      <c r="Z570" s="61" t="s">
        <v>14605</v>
      </c>
      <c r="AA570" s="61" t="s">
        <v>17325</v>
      </c>
      <c r="AB570" s="58"/>
      <c r="AC570" s="57" t="s">
        <v>15172</v>
      </c>
      <c r="AD570" s="58"/>
      <c r="AE570" s="58"/>
      <c r="AF570" s="58"/>
      <c r="AG570" s="58"/>
      <c r="AH570" s="58"/>
      <c r="AI570" s="58"/>
      <c r="AJ570" s="58"/>
      <c r="AK570" s="56" t="s">
        <v>1285</v>
      </c>
      <c r="AL570" s="56" t="s">
        <v>17473</v>
      </c>
      <c r="AM570" s="58"/>
      <c r="AN570" s="56" t="s">
        <v>16083</v>
      </c>
      <c r="AO570" s="58"/>
      <c r="AP570" s="63">
        <v>45776.7964351852</v>
      </c>
      <c r="AQ570" s="56" t="s">
        <v>17474</v>
      </c>
      <c r="AR570" s="61" t="s">
        <v>15404</v>
      </c>
      <c r="AS570" s="57" t="s">
        <v>14184</v>
      </c>
      <c r="AT570" s="56" t="s">
        <v>15177</v>
      </c>
      <c r="AU570" s="56" t="s">
        <v>17475</v>
      </c>
      <c r="AV570" s="58"/>
      <c r="AW570" s="64">
        <v>45680.7036226852</v>
      </c>
      <c r="AX570" s="56" t="s">
        <v>17473</v>
      </c>
      <c r="AY570" s="56" t="s">
        <v>15179</v>
      </c>
      <c r="AZ570" s="58"/>
      <c r="BA570" s="58"/>
      <c r="BB570" s="58"/>
      <c r="BC570" s="56" t="s">
        <v>138</v>
      </c>
      <c r="BD570" s="56" t="s">
        <v>15197</v>
      </c>
      <c r="BE570" s="58"/>
      <c r="BF570" s="56" t="s">
        <v>15181</v>
      </c>
      <c r="BG570" s="58"/>
      <c r="BH570" s="58"/>
      <c r="BI570" s="57" t="s">
        <v>2801</v>
      </c>
      <c r="BJ570" s="58"/>
      <c r="BK570" s="58"/>
      <c r="BL570" s="66">
        <v>3398669</v>
      </c>
      <c r="BM570" s="56" t="s">
        <v>17476</v>
      </c>
      <c r="BN570" s="58"/>
      <c r="BO570" s="67">
        <v>101.25</v>
      </c>
      <c r="BP570" s="56" t="s">
        <v>15409</v>
      </c>
      <c r="BQ570" s="58"/>
      <c r="BR570" s="56" t="s">
        <v>17477</v>
      </c>
      <c r="BS570" s="56" t="s">
        <v>1285</v>
      </c>
      <c r="BT570" s="58"/>
      <c r="BU570" s="56" t="s">
        <v>17474</v>
      </c>
      <c r="BV570" s="58"/>
      <c r="BW570" s="58"/>
      <c r="BX570" s="67">
        <v>101.25</v>
      </c>
      <c r="BY570" s="58"/>
      <c r="BZ570" s="58"/>
      <c r="CA570" s="58"/>
      <c r="CB570" s="58"/>
      <c r="CC570" s="58"/>
      <c r="CD570" s="58"/>
    </row>
    <row r="571" ht="108" spans="1:82">
      <c r="A571" s="56" t="s">
        <v>17478</v>
      </c>
      <c r="B571" s="58"/>
      <c r="C571" s="57" t="s">
        <v>17468</v>
      </c>
      <c r="D571" s="58"/>
      <c r="E571" s="57" t="s">
        <v>15158</v>
      </c>
      <c r="F571" s="57" t="s">
        <v>17469</v>
      </c>
      <c r="G571" s="57" t="s">
        <v>15160</v>
      </c>
      <c r="H571" s="56" t="s">
        <v>4391</v>
      </c>
      <c r="I571" s="60">
        <v>7091.66</v>
      </c>
      <c r="J571" s="57" t="s">
        <v>1285</v>
      </c>
      <c r="K571" s="57" t="s">
        <v>15162</v>
      </c>
      <c r="L571" s="57" t="s">
        <v>15163</v>
      </c>
      <c r="M571" s="61" t="s">
        <v>17325</v>
      </c>
      <c r="N571" s="62" t="s">
        <v>14909</v>
      </c>
      <c r="O571" s="57" t="s">
        <v>15165</v>
      </c>
      <c r="P571" s="57" t="s">
        <v>15166</v>
      </c>
      <c r="Q571" s="57" t="s">
        <v>4391</v>
      </c>
      <c r="R571" s="57" t="s">
        <v>17470</v>
      </c>
      <c r="S571" s="57" t="s">
        <v>17471</v>
      </c>
      <c r="T571" s="57" t="s">
        <v>15190</v>
      </c>
      <c r="U571" s="57" t="s">
        <v>14184</v>
      </c>
      <c r="V571" s="56" t="s">
        <v>14153</v>
      </c>
      <c r="W571" s="58"/>
      <c r="X571" s="57" t="s">
        <v>17472</v>
      </c>
      <c r="Y571" s="57" t="s">
        <v>15170</v>
      </c>
      <c r="Z571" s="61" t="s">
        <v>14605</v>
      </c>
      <c r="AA571" s="61" t="s">
        <v>17325</v>
      </c>
      <c r="AB571" s="58"/>
      <c r="AC571" s="57" t="s">
        <v>15172</v>
      </c>
      <c r="AD571" s="58"/>
      <c r="AE571" s="58"/>
      <c r="AF571" s="58"/>
      <c r="AG571" s="58"/>
      <c r="AH571" s="58"/>
      <c r="AI571" s="58"/>
      <c r="AJ571" s="58"/>
      <c r="AK571" s="56" t="s">
        <v>1285</v>
      </c>
      <c r="AL571" s="56" t="s">
        <v>17473</v>
      </c>
      <c r="AM571" s="58"/>
      <c r="AN571" s="56" t="s">
        <v>16083</v>
      </c>
      <c r="AO571" s="58"/>
      <c r="AP571" s="63">
        <v>45776.7964351852</v>
      </c>
      <c r="AQ571" s="56" t="s">
        <v>17474</v>
      </c>
      <c r="AR571" s="61" t="s">
        <v>15404</v>
      </c>
      <c r="AS571" s="57" t="s">
        <v>14184</v>
      </c>
      <c r="AT571" s="56" t="s">
        <v>15177</v>
      </c>
      <c r="AU571" s="56" t="s">
        <v>17475</v>
      </c>
      <c r="AV571" s="58"/>
      <c r="AW571" s="64">
        <v>45680.7036226852</v>
      </c>
      <c r="AX571" s="56" t="s">
        <v>17473</v>
      </c>
      <c r="AY571" s="56" t="s">
        <v>15179</v>
      </c>
      <c r="AZ571" s="58"/>
      <c r="BA571" s="58"/>
      <c r="BB571" s="58"/>
      <c r="BC571" s="56" t="s">
        <v>2136</v>
      </c>
      <c r="BD571" s="56" t="s">
        <v>15197</v>
      </c>
      <c r="BE571" s="58"/>
      <c r="BF571" s="56" t="s">
        <v>15181</v>
      </c>
      <c r="BG571" s="58"/>
      <c r="BH571" s="58"/>
      <c r="BI571" s="57" t="s">
        <v>2801</v>
      </c>
      <c r="BJ571" s="58"/>
      <c r="BK571" s="58"/>
      <c r="BL571" s="66">
        <v>3398670</v>
      </c>
      <c r="BM571" s="56" t="s">
        <v>17476</v>
      </c>
      <c r="BN571" s="58"/>
      <c r="BO571" s="67">
        <v>41.25</v>
      </c>
      <c r="BP571" s="56" t="s">
        <v>15409</v>
      </c>
      <c r="BQ571" s="58"/>
      <c r="BR571" s="56" t="s">
        <v>17477</v>
      </c>
      <c r="BS571" s="56" t="s">
        <v>1285</v>
      </c>
      <c r="BT571" s="58"/>
      <c r="BU571" s="56" t="s">
        <v>17474</v>
      </c>
      <c r="BV571" s="58"/>
      <c r="BW571" s="58"/>
      <c r="BX571" s="67">
        <v>41.25</v>
      </c>
      <c r="BY571" s="58"/>
      <c r="BZ571" s="58"/>
      <c r="CA571" s="58"/>
      <c r="CB571" s="58"/>
      <c r="CC571" s="58"/>
      <c r="CD571" s="58"/>
    </row>
    <row r="572" ht="108" spans="1:82">
      <c r="A572" s="56" t="s">
        <v>17479</v>
      </c>
      <c r="B572" s="58"/>
      <c r="C572" s="57" t="s">
        <v>17468</v>
      </c>
      <c r="D572" s="58"/>
      <c r="E572" s="57" t="s">
        <v>15158</v>
      </c>
      <c r="F572" s="57" t="s">
        <v>17469</v>
      </c>
      <c r="G572" s="57" t="s">
        <v>15160</v>
      </c>
      <c r="H572" s="56" t="s">
        <v>4391</v>
      </c>
      <c r="I572" s="60">
        <v>7091.66</v>
      </c>
      <c r="J572" s="57" t="s">
        <v>1285</v>
      </c>
      <c r="K572" s="57" t="s">
        <v>15162</v>
      </c>
      <c r="L572" s="57" t="s">
        <v>15163</v>
      </c>
      <c r="M572" s="61" t="s">
        <v>17325</v>
      </c>
      <c r="N572" s="62" t="s">
        <v>14909</v>
      </c>
      <c r="O572" s="57" t="s">
        <v>15165</v>
      </c>
      <c r="P572" s="57" t="s">
        <v>15166</v>
      </c>
      <c r="Q572" s="57" t="s">
        <v>4391</v>
      </c>
      <c r="R572" s="57" t="s">
        <v>17470</v>
      </c>
      <c r="S572" s="57" t="s">
        <v>17471</v>
      </c>
      <c r="T572" s="57" t="s">
        <v>15190</v>
      </c>
      <c r="U572" s="57" t="s">
        <v>14184</v>
      </c>
      <c r="V572" s="56" t="s">
        <v>14153</v>
      </c>
      <c r="W572" s="58"/>
      <c r="X572" s="57" t="s">
        <v>17472</v>
      </c>
      <c r="Y572" s="57" t="s">
        <v>15170</v>
      </c>
      <c r="Z572" s="61" t="s">
        <v>14605</v>
      </c>
      <c r="AA572" s="61" t="s">
        <v>17325</v>
      </c>
      <c r="AB572" s="58"/>
      <c r="AC572" s="57" t="s">
        <v>15172</v>
      </c>
      <c r="AD572" s="58"/>
      <c r="AE572" s="58"/>
      <c r="AF572" s="58"/>
      <c r="AG572" s="58"/>
      <c r="AH572" s="58"/>
      <c r="AI572" s="58"/>
      <c r="AJ572" s="58"/>
      <c r="AK572" s="56" t="s">
        <v>1285</v>
      </c>
      <c r="AL572" s="56" t="s">
        <v>17473</v>
      </c>
      <c r="AM572" s="58"/>
      <c r="AN572" s="56" t="s">
        <v>16083</v>
      </c>
      <c r="AO572" s="58"/>
      <c r="AP572" s="63">
        <v>45776.7964351852</v>
      </c>
      <c r="AQ572" s="56" t="s">
        <v>17474</v>
      </c>
      <c r="AR572" s="61" t="s">
        <v>15404</v>
      </c>
      <c r="AS572" s="57" t="s">
        <v>14184</v>
      </c>
      <c r="AT572" s="56" t="s">
        <v>15177</v>
      </c>
      <c r="AU572" s="56" t="s">
        <v>17475</v>
      </c>
      <c r="AV572" s="58"/>
      <c r="AW572" s="64">
        <v>45680.7036226852</v>
      </c>
      <c r="AX572" s="56" t="s">
        <v>17473</v>
      </c>
      <c r="AY572" s="56" t="s">
        <v>15179</v>
      </c>
      <c r="AZ572" s="58"/>
      <c r="BA572" s="58"/>
      <c r="BB572" s="58"/>
      <c r="BC572" s="56" t="s">
        <v>2136</v>
      </c>
      <c r="BD572" s="56" t="s">
        <v>15197</v>
      </c>
      <c r="BE572" s="58"/>
      <c r="BF572" s="56" t="s">
        <v>15181</v>
      </c>
      <c r="BG572" s="58"/>
      <c r="BH572" s="58"/>
      <c r="BI572" s="57" t="s">
        <v>2801</v>
      </c>
      <c r="BJ572" s="58"/>
      <c r="BK572" s="58"/>
      <c r="BL572" s="66">
        <v>3398671</v>
      </c>
      <c r="BM572" s="56" t="s">
        <v>17476</v>
      </c>
      <c r="BN572" s="58"/>
      <c r="BO572" s="67">
        <v>272.8</v>
      </c>
      <c r="BP572" s="56" t="s">
        <v>15409</v>
      </c>
      <c r="BQ572" s="58"/>
      <c r="BR572" s="56" t="s">
        <v>17477</v>
      </c>
      <c r="BS572" s="56" t="s">
        <v>1285</v>
      </c>
      <c r="BT572" s="58"/>
      <c r="BU572" s="56" t="s">
        <v>17474</v>
      </c>
      <c r="BV572" s="58"/>
      <c r="BW572" s="58"/>
      <c r="BX572" s="67">
        <v>272.8</v>
      </c>
      <c r="BY572" s="58"/>
      <c r="BZ572" s="58"/>
      <c r="CA572" s="58"/>
      <c r="CB572" s="58"/>
      <c r="CC572" s="58"/>
      <c r="CD572" s="58"/>
    </row>
    <row r="573" ht="108" spans="1:82">
      <c r="A573" s="56" t="s">
        <v>17480</v>
      </c>
      <c r="B573" s="58"/>
      <c r="C573" s="57" t="s">
        <v>17468</v>
      </c>
      <c r="D573" s="58"/>
      <c r="E573" s="57" t="s">
        <v>15158</v>
      </c>
      <c r="F573" s="57" t="s">
        <v>17469</v>
      </c>
      <c r="G573" s="57" t="s">
        <v>15160</v>
      </c>
      <c r="H573" s="56" t="s">
        <v>4391</v>
      </c>
      <c r="I573" s="60">
        <v>7091.66</v>
      </c>
      <c r="J573" s="57" t="s">
        <v>1285</v>
      </c>
      <c r="K573" s="57" t="s">
        <v>15162</v>
      </c>
      <c r="L573" s="57" t="s">
        <v>15163</v>
      </c>
      <c r="M573" s="61" t="s">
        <v>17325</v>
      </c>
      <c r="N573" s="62" t="s">
        <v>14909</v>
      </c>
      <c r="O573" s="57" t="s">
        <v>15165</v>
      </c>
      <c r="P573" s="57" t="s">
        <v>15166</v>
      </c>
      <c r="Q573" s="57" t="s">
        <v>4391</v>
      </c>
      <c r="R573" s="57" t="s">
        <v>17470</v>
      </c>
      <c r="S573" s="57" t="s">
        <v>17471</v>
      </c>
      <c r="T573" s="57" t="s">
        <v>15190</v>
      </c>
      <c r="U573" s="57" t="s">
        <v>14184</v>
      </c>
      <c r="V573" s="56" t="s">
        <v>14153</v>
      </c>
      <c r="W573" s="58"/>
      <c r="X573" s="57" t="s">
        <v>17472</v>
      </c>
      <c r="Y573" s="57" t="s">
        <v>15170</v>
      </c>
      <c r="Z573" s="61" t="s">
        <v>14605</v>
      </c>
      <c r="AA573" s="61" t="s">
        <v>17325</v>
      </c>
      <c r="AB573" s="58"/>
      <c r="AC573" s="57" t="s">
        <v>15172</v>
      </c>
      <c r="AD573" s="58"/>
      <c r="AE573" s="58"/>
      <c r="AF573" s="58"/>
      <c r="AG573" s="58"/>
      <c r="AH573" s="58"/>
      <c r="AI573" s="58"/>
      <c r="AJ573" s="58"/>
      <c r="AK573" s="56" t="s">
        <v>1285</v>
      </c>
      <c r="AL573" s="56" t="s">
        <v>17473</v>
      </c>
      <c r="AM573" s="58"/>
      <c r="AN573" s="56" t="s">
        <v>16083</v>
      </c>
      <c r="AO573" s="58"/>
      <c r="AP573" s="63">
        <v>45776.7964351852</v>
      </c>
      <c r="AQ573" s="56" t="s">
        <v>17474</v>
      </c>
      <c r="AR573" s="61" t="s">
        <v>15404</v>
      </c>
      <c r="AS573" s="57" t="s">
        <v>14184</v>
      </c>
      <c r="AT573" s="56" t="s">
        <v>15177</v>
      </c>
      <c r="AU573" s="56" t="s">
        <v>17475</v>
      </c>
      <c r="AV573" s="58"/>
      <c r="AW573" s="64">
        <v>45680.7036226852</v>
      </c>
      <c r="AX573" s="56" t="s">
        <v>17473</v>
      </c>
      <c r="AY573" s="56" t="s">
        <v>15179</v>
      </c>
      <c r="AZ573" s="58"/>
      <c r="BA573" s="58"/>
      <c r="BB573" s="58"/>
      <c r="BC573" s="56" t="s">
        <v>2148</v>
      </c>
      <c r="BD573" s="56" t="s">
        <v>15197</v>
      </c>
      <c r="BE573" s="58"/>
      <c r="BF573" s="56" t="s">
        <v>15181</v>
      </c>
      <c r="BG573" s="58"/>
      <c r="BH573" s="58"/>
      <c r="BI573" s="57" t="s">
        <v>2801</v>
      </c>
      <c r="BJ573" s="58"/>
      <c r="BK573" s="58"/>
      <c r="BL573" s="66">
        <v>3398672</v>
      </c>
      <c r="BM573" s="56" t="s">
        <v>17476</v>
      </c>
      <c r="BN573" s="58"/>
      <c r="BO573" s="67">
        <v>15.3</v>
      </c>
      <c r="BP573" s="56" t="s">
        <v>15409</v>
      </c>
      <c r="BQ573" s="58"/>
      <c r="BR573" s="56" t="s">
        <v>17477</v>
      </c>
      <c r="BS573" s="56" t="s">
        <v>1285</v>
      </c>
      <c r="BT573" s="58"/>
      <c r="BU573" s="56" t="s">
        <v>17474</v>
      </c>
      <c r="BV573" s="58"/>
      <c r="BW573" s="58"/>
      <c r="BX573" s="67">
        <v>15.3</v>
      </c>
      <c r="BY573" s="58"/>
      <c r="BZ573" s="58"/>
      <c r="CA573" s="58"/>
      <c r="CB573" s="58"/>
      <c r="CC573" s="58"/>
      <c r="CD573" s="58"/>
    </row>
    <row r="574" ht="108" spans="1:82">
      <c r="A574" s="56" t="s">
        <v>17481</v>
      </c>
      <c r="B574" s="58"/>
      <c r="C574" s="57" t="s">
        <v>17468</v>
      </c>
      <c r="D574" s="58"/>
      <c r="E574" s="57" t="s">
        <v>15158</v>
      </c>
      <c r="F574" s="57" t="s">
        <v>17469</v>
      </c>
      <c r="G574" s="57" t="s">
        <v>15160</v>
      </c>
      <c r="H574" s="56" t="s">
        <v>4391</v>
      </c>
      <c r="I574" s="60">
        <v>7091.66</v>
      </c>
      <c r="J574" s="57" t="s">
        <v>1285</v>
      </c>
      <c r="K574" s="57" t="s">
        <v>15162</v>
      </c>
      <c r="L574" s="57" t="s">
        <v>15163</v>
      </c>
      <c r="M574" s="61" t="s">
        <v>17325</v>
      </c>
      <c r="N574" s="62" t="s">
        <v>14909</v>
      </c>
      <c r="O574" s="57" t="s">
        <v>15165</v>
      </c>
      <c r="P574" s="57" t="s">
        <v>15166</v>
      </c>
      <c r="Q574" s="57" t="s">
        <v>4391</v>
      </c>
      <c r="R574" s="57" t="s">
        <v>17470</v>
      </c>
      <c r="S574" s="57" t="s">
        <v>17471</v>
      </c>
      <c r="T574" s="57" t="s">
        <v>15190</v>
      </c>
      <c r="U574" s="57" t="s">
        <v>14184</v>
      </c>
      <c r="V574" s="56" t="s">
        <v>14153</v>
      </c>
      <c r="W574" s="58"/>
      <c r="X574" s="57" t="s">
        <v>17472</v>
      </c>
      <c r="Y574" s="57" t="s">
        <v>15170</v>
      </c>
      <c r="Z574" s="61" t="s">
        <v>14605</v>
      </c>
      <c r="AA574" s="61" t="s">
        <v>17325</v>
      </c>
      <c r="AB574" s="58"/>
      <c r="AC574" s="57" t="s">
        <v>15172</v>
      </c>
      <c r="AD574" s="58"/>
      <c r="AE574" s="58"/>
      <c r="AF574" s="58"/>
      <c r="AG574" s="58"/>
      <c r="AH574" s="58"/>
      <c r="AI574" s="58"/>
      <c r="AJ574" s="58"/>
      <c r="AK574" s="56" t="s">
        <v>1285</v>
      </c>
      <c r="AL574" s="56" t="s">
        <v>17473</v>
      </c>
      <c r="AM574" s="58"/>
      <c r="AN574" s="56" t="s">
        <v>16083</v>
      </c>
      <c r="AO574" s="58"/>
      <c r="AP574" s="63">
        <v>45776.7964351852</v>
      </c>
      <c r="AQ574" s="56" t="s">
        <v>17474</v>
      </c>
      <c r="AR574" s="61" t="s">
        <v>15404</v>
      </c>
      <c r="AS574" s="57" t="s">
        <v>14184</v>
      </c>
      <c r="AT574" s="56" t="s">
        <v>15177</v>
      </c>
      <c r="AU574" s="56" t="s">
        <v>17475</v>
      </c>
      <c r="AV574" s="58"/>
      <c r="AW574" s="64">
        <v>45680.7036226852</v>
      </c>
      <c r="AX574" s="56" t="s">
        <v>17473</v>
      </c>
      <c r="AY574" s="56" t="s">
        <v>15179</v>
      </c>
      <c r="AZ574" s="58"/>
      <c r="BA574" s="58"/>
      <c r="BB574" s="58"/>
      <c r="BC574" s="56" t="s">
        <v>17482</v>
      </c>
      <c r="BD574" s="56" t="s">
        <v>15197</v>
      </c>
      <c r="BE574" s="58"/>
      <c r="BF574" s="56" t="s">
        <v>15181</v>
      </c>
      <c r="BG574" s="58"/>
      <c r="BH574" s="58"/>
      <c r="BI574" s="57" t="s">
        <v>2801</v>
      </c>
      <c r="BJ574" s="58"/>
      <c r="BK574" s="58"/>
      <c r="BL574" s="66">
        <v>3398673</v>
      </c>
      <c r="BM574" s="56" t="s">
        <v>17476</v>
      </c>
      <c r="BN574" s="58"/>
      <c r="BO574" s="67">
        <v>76.05</v>
      </c>
      <c r="BP574" s="56" t="s">
        <v>15409</v>
      </c>
      <c r="BQ574" s="58"/>
      <c r="BR574" s="56" t="s">
        <v>17477</v>
      </c>
      <c r="BS574" s="56" t="s">
        <v>1285</v>
      </c>
      <c r="BT574" s="58"/>
      <c r="BU574" s="56" t="s">
        <v>17474</v>
      </c>
      <c r="BV574" s="58"/>
      <c r="BW574" s="58"/>
      <c r="BX574" s="67">
        <v>76.05</v>
      </c>
      <c r="BY574" s="58"/>
      <c r="BZ574" s="58"/>
      <c r="CA574" s="58"/>
      <c r="CB574" s="58"/>
      <c r="CC574" s="58"/>
      <c r="CD574" s="58"/>
    </row>
    <row r="575" ht="108" spans="1:82">
      <c r="A575" s="56" t="s">
        <v>17483</v>
      </c>
      <c r="B575" s="58"/>
      <c r="C575" s="57" t="s">
        <v>17468</v>
      </c>
      <c r="D575" s="58"/>
      <c r="E575" s="57" t="s">
        <v>15158</v>
      </c>
      <c r="F575" s="57" t="s">
        <v>17469</v>
      </c>
      <c r="G575" s="57" t="s">
        <v>15160</v>
      </c>
      <c r="H575" s="56" t="s">
        <v>4391</v>
      </c>
      <c r="I575" s="60">
        <v>7091.66</v>
      </c>
      <c r="J575" s="57" t="s">
        <v>1285</v>
      </c>
      <c r="K575" s="57" t="s">
        <v>15162</v>
      </c>
      <c r="L575" s="57" t="s">
        <v>15163</v>
      </c>
      <c r="M575" s="61" t="s">
        <v>17325</v>
      </c>
      <c r="N575" s="62" t="s">
        <v>14909</v>
      </c>
      <c r="O575" s="57" t="s">
        <v>15165</v>
      </c>
      <c r="P575" s="57" t="s">
        <v>15166</v>
      </c>
      <c r="Q575" s="57" t="s">
        <v>4391</v>
      </c>
      <c r="R575" s="57" t="s">
        <v>17470</v>
      </c>
      <c r="S575" s="57" t="s">
        <v>17471</v>
      </c>
      <c r="T575" s="57" t="s">
        <v>15190</v>
      </c>
      <c r="U575" s="57" t="s">
        <v>14184</v>
      </c>
      <c r="V575" s="56" t="s">
        <v>14153</v>
      </c>
      <c r="W575" s="58"/>
      <c r="X575" s="57" t="s">
        <v>17472</v>
      </c>
      <c r="Y575" s="57" t="s">
        <v>15170</v>
      </c>
      <c r="Z575" s="61" t="s">
        <v>14605</v>
      </c>
      <c r="AA575" s="61" t="s">
        <v>17325</v>
      </c>
      <c r="AB575" s="58"/>
      <c r="AC575" s="57" t="s">
        <v>15172</v>
      </c>
      <c r="AD575" s="58"/>
      <c r="AE575" s="58"/>
      <c r="AF575" s="58"/>
      <c r="AG575" s="58"/>
      <c r="AH575" s="58"/>
      <c r="AI575" s="58"/>
      <c r="AJ575" s="58"/>
      <c r="AK575" s="56" t="s">
        <v>1285</v>
      </c>
      <c r="AL575" s="56" t="s">
        <v>17473</v>
      </c>
      <c r="AM575" s="58"/>
      <c r="AN575" s="56" t="s">
        <v>16083</v>
      </c>
      <c r="AO575" s="58"/>
      <c r="AP575" s="63">
        <v>45776.7964351852</v>
      </c>
      <c r="AQ575" s="56" t="s">
        <v>17474</v>
      </c>
      <c r="AR575" s="61" t="s">
        <v>15404</v>
      </c>
      <c r="AS575" s="57" t="s">
        <v>14184</v>
      </c>
      <c r="AT575" s="56" t="s">
        <v>15177</v>
      </c>
      <c r="AU575" s="56" t="s">
        <v>17475</v>
      </c>
      <c r="AV575" s="58"/>
      <c r="AW575" s="64">
        <v>45680.7036226852</v>
      </c>
      <c r="AX575" s="56" t="s">
        <v>17473</v>
      </c>
      <c r="AY575" s="56" t="s">
        <v>15179</v>
      </c>
      <c r="AZ575" s="58"/>
      <c r="BA575" s="58"/>
      <c r="BB575" s="58"/>
      <c r="BC575" s="56" t="s">
        <v>2146</v>
      </c>
      <c r="BD575" s="56" t="s">
        <v>15197</v>
      </c>
      <c r="BE575" s="58"/>
      <c r="BF575" s="56" t="s">
        <v>15181</v>
      </c>
      <c r="BG575" s="58"/>
      <c r="BH575" s="58"/>
      <c r="BI575" s="57" t="s">
        <v>2801</v>
      </c>
      <c r="BJ575" s="58"/>
      <c r="BK575" s="58"/>
      <c r="BL575" s="66">
        <v>3398674</v>
      </c>
      <c r="BM575" s="56" t="s">
        <v>17476</v>
      </c>
      <c r="BN575" s="58"/>
      <c r="BO575" s="67">
        <v>228.15</v>
      </c>
      <c r="BP575" s="56" t="s">
        <v>15409</v>
      </c>
      <c r="BQ575" s="58"/>
      <c r="BR575" s="56" t="s">
        <v>17477</v>
      </c>
      <c r="BS575" s="56" t="s">
        <v>1285</v>
      </c>
      <c r="BT575" s="58"/>
      <c r="BU575" s="56" t="s">
        <v>17474</v>
      </c>
      <c r="BV575" s="58"/>
      <c r="BW575" s="58"/>
      <c r="BX575" s="67">
        <v>228.15</v>
      </c>
      <c r="BY575" s="58"/>
      <c r="BZ575" s="58"/>
      <c r="CA575" s="58"/>
      <c r="CB575" s="58"/>
      <c r="CC575" s="58"/>
      <c r="CD575" s="58"/>
    </row>
    <row r="576" ht="108" spans="1:82">
      <c r="A576" s="56" t="s">
        <v>17484</v>
      </c>
      <c r="B576" s="58"/>
      <c r="C576" s="57" t="s">
        <v>17468</v>
      </c>
      <c r="D576" s="58"/>
      <c r="E576" s="57" t="s">
        <v>15158</v>
      </c>
      <c r="F576" s="57" t="s">
        <v>17469</v>
      </c>
      <c r="G576" s="57" t="s">
        <v>15160</v>
      </c>
      <c r="H576" s="56" t="s">
        <v>4391</v>
      </c>
      <c r="I576" s="60">
        <v>7091.66</v>
      </c>
      <c r="J576" s="57" t="s">
        <v>1285</v>
      </c>
      <c r="K576" s="57" t="s">
        <v>15162</v>
      </c>
      <c r="L576" s="57" t="s">
        <v>15163</v>
      </c>
      <c r="M576" s="61" t="s">
        <v>17325</v>
      </c>
      <c r="N576" s="62" t="s">
        <v>14909</v>
      </c>
      <c r="O576" s="57" t="s">
        <v>15165</v>
      </c>
      <c r="P576" s="57" t="s">
        <v>15166</v>
      </c>
      <c r="Q576" s="57" t="s">
        <v>4391</v>
      </c>
      <c r="R576" s="57" t="s">
        <v>17470</v>
      </c>
      <c r="S576" s="57" t="s">
        <v>17471</v>
      </c>
      <c r="T576" s="57" t="s">
        <v>15190</v>
      </c>
      <c r="U576" s="57" t="s">
        <v>14184</v>
      </c>
      <c r="V576" s="56" t="s">
        <v>14153</v>
      </c>
      <c r="W576" s="58"/>
      <c r="X576" s="57" t="s">
        <v>17472</v>
      </c>
      <c r="Y576" s="57" t="s">
        <v>15170</v>
      </c>
      <c r="Z576" s="61" t="s">
        <v>14605</v>
      </c>
      <c r="AA576" s="61" t="s">
        <v>17325</v>
      </c>
      <c r="AB576" s="58"/>
      <c r="AC576" s="57" t="s">
        <v>15172</v>
      </c>
      <c r="AD576" s="58"/>
      <c r="AE576" s="58"/>
      <c r="AF576" s="58"/>
      <c r="AG576" s="58"/>
      <c r="AH576" s="58"/>
      <c r="AI576" s="58"/>
      <c r="AJ576" s="58"/>
      <c r="AK576" s="56" t="s">
        <v>1285</v>
      </c>
      <c r="AL576" s="56" t="s">
        <v>17473</v>
      </c>
      <c r="AM576" s="58"/>
      <c r="AN576" s="56" t="s">
        <v>16083</v>
      </c>
      <c r="AO576" s="58"/>
      <c r="AP576" s="63">
        <v>45776.7964351852</v>
      </c>
      <c r="AQ576" s="56" t="s">
        <v>17474</v>
      </c>
      <c r="AR576" s="61" t="s">
        <v>15404</v>
      </c>
      <c r="AS576" s="57" t="s">
        <v>14184</v>
      </c>
      <c r="AT576" s="56" t="s">
        <v>15177</v>
      </c>
      <c r="AU576" s="56" t="s">
        <v>17475</v>
      </c>
      <c r="AV576" s="58"/>
      <c r="AW576" s="64">
        <v>45680.7036226852</v>
      </c>
      <c r="AX576" s="56" t="s">
        <v>17473</v>
      </c>
      <c r="AY576" s="56" t="s">
        <v>15179</v>
      </c>
      <c r="AZ576" s="58"/>
      <c r="BA576" s="58"/>
      <c r="BB576" s="58"/>
      <c r="BC576" s="56" t="s">
        <v>2136</v>
      </c>
      <c r="BD576" s="56" t="s">
        <v>15197</v>
      </c>
      <c r="BE576" s="58"/>
      <c r="BF576" s="56" t="s">
        <v>15181</v>
      </c>
      <c r="BG576" s="58"/>
      <c r="BH576" s="58"/>
      <c r="BI576" s="57" t="s">
        <v>2801</v>
      </c>
      <c r="BJ576" s="58"/>
      <c r="BK576" s="58"/>
      <c r="BL576" s="66">
        <v>3398675</v>
      </c>
      <c r="BM576" s="56" t="s">
        <v>17476</v>
      </c>
      <c r="BN576" s="58"/>
      <c r="BO576" s="67">
        <v>201.65</v>
      </c>
      <c r="BP576" s="56" t="s">
        <v>15409</v>
      </c>
      <c r="BQ576" s="58"/>
      <c r="BR576" s="56" t="s">
        <v>17477</v>
      </c>
      <c r="BS576" s="56" t="s">
        <v>1285</v>
      </c>
      <c r="BT576" s="58"/>
      <c r="BU576" s="56" t="s">
        <v>17474</v>
      </c>
      <c r="BV576" s="58"/>
      <c r="BW576" s="58"/>
      <c r="BX576" s="67">
        <v>201.65</v>
      </c>
      <c r="BY576" s="58"/>
      <c r="BZ576" s="58"/>
      <c r="CA576" s="58"/>
      <c r="CB576" s="58"/>
      <c r="CC576" s="58"/>
      <c r="CD576" s="58"/>
    </row>
    <row r="577" ht="108" spans="1:82">
      <c r="A577" s="56" t="s">
        <v>17485</v>
      </c>
      <c r="B577" s="58"/>
      <c r="C577" s="57" t="s">
        <v>17468</v>
      </c>
      <c r="D577" s="58"/>
      <c r="E577" s="57" t="s">
        <v>15158</v>
      </c>
      <c r="F577" s="57" t="s">
        <v>17469</v>
      </c>
      <c r="G577" s="57" t="s">
        <v>15160</v>
      </c>
      <c r="H577" s="56" t="s">
        <v>4391</v>
      </c>
      <c r="I577" s="60">
        <v>7091.66</v>
      </c>
      <c r="J577" s="57" t="s">
        <v>1285</v>
      </c>
      <c r="K577" s="57" t="s">
        <v>15162</v>
      </c>
      <c r="L577" s="57" t="s">
        <v>15163</v>
      </c>
      <c r="M577" s="61" t="s">
        <v>17325</v>
      </c>
      <c r="N577" s="62" t="s">
        <v>14909</v>
      </c>
      <c r="O577" s="57" t="s">
        <v>15165</v>
      </c>
      <c r="P577" s="57" t="s">
        <v>15166</v>
      </c>
      <c r="Q577" s="57" t="s">
        <v>4391</v>
      </c>
      <c r="R577" s="57" t="s">
        <v>17470</v>
      </c>
      <c r="S577" s="57" t="s">
        <v>17471</v>
      </c>
      <c r="T577" s="57" t="s">
        <v>15190</v>
      </c>
      <c r="U577" s="57" t="s">
        <v>14184</v>
      </c>
      <c r="V577" s="56" t="s">
        <v>14153</v>
      </c>
      <c r="W577" s="58"/>
      <c r="X577" s="57" t="s">
        <v>17472</v>
      </c>
      <c r="Y577" s="57" t="s">
        <v>15170</v>
      </c>
      <c r="Z577" s="61" t="s">
        <v>14605</v>
      </c>
      <c r="AA577" s="61" t="s">
        <v>17325</v>
      </c>
      <c r="AB577" s="58"/>
      <c r="AC577" s="57" t="s">
        <v>15172</v>
      </c>
      <c r="AD577" s="58"/>
      <c r="AE577" s="58"/>
      <c r="AF577" s="58"/>
      <c r="AG577" s="58"/>
      <c r="AH577" s="58"/>
      <c r="AI577" s="58"/>
      <c r="AJ577" s="58"/>
      <c r="AK577" s="56" t="s">
        <v>1285</v>
      </c>
      <c r="AL577" s="56" t="s">
        <v>17473</v>
      </c>
      <c r="AM577" s="58"/>
      <c r="AN577" s="56" t="s">
        <v>16083</v>
      </c>
      <c r="AO577" s="58"/>
      <c r="AP577" s="63">
        <v>45776.7964351852</v>
      </c>
      <c r="AQ577" s="56" t="s">
        <v>17474</v>
      </c>
      <c r="AR577" s="61" t="s">
        <v>15404</v>
      </c>
      <c r="AS577" s="57" t="s">
        <v>14184</v>
      </c>
      <c r="AT577" s="56" t="s">
        <v>15177</v>
      </c>
      <c r="AU577" s="56" t="s">
        <v>17475</v>
      </c>
      <c r="AV577" s="58"/>
      <c r="AW577" s="64">
        <v>45680.7036226852</v>
      </c>
      <c r="AX577" s="56" t="s">
        <v>17473</v>
      </c>
      <c r="AY577" s="56" t="s">
        <v>15179</v>
      </c>
      <c r="AZ577" s="58"/>
      <c r="BA577" s="58"/>
      <c r="BB577" s="58"/>
      <c r="BC577" s="56" t="s">
        <v>2136</v>
      </c>
      <c r="BD577" s="56" t="s">
        <v>15197</v>
      </c>
      <c r="BE577" s="58"/>
      <c r="BF577" s="56" t="s">
        <v>15181</v>
      </c>
      <c r="BG577" s="58"/>
      <c r="BH577" s="58"/>
      <c r="BI577" s="57" t="s">
        <v>2801</v>
      </c>
      <c r="BJ577" s="58"/>
      <c r="BK577" s="58"/>
      <c r="BL577" s="66">
        <v>3398676</v>
      </c>
      <c r="BM577" s="56" t="s">
        <v>17476</v>
      </c>
      <c r="BN577" s="58"/>
      <c r="BO577" s="67">
        <v>17.01</v>
      </c>
      <c r="BP577" s="56" t="s">
        <v>15409</v>
      </c>
      <c r="BQ577" s="58"/>
      <c r="BR577" s="56" t="s">
        <v>17477</v>
      </c>
      <c r="BS577" s="56" t="s">
        <v>1285</v>
      </c>
      <c r="BT577" s="58"/>
      <c r="BU577" s="56" t="s">
        <v>17474</v>
      </c>
      <c r="BV577" s="58"/>
      <c r="BW577" s="58"/>
      <c r="BX577" s="67">
        <v>17.01</v>
      </c>
      <c r="BY577" s="58"/>
      <c r="BZ577" s="58"/>
      <c r="CA577" s="58"/>
      <c r="CB577" s="58"/>
      <c r="CC577" s="58"/>
      <c r="CD577" s="58"/>
    </row>
    <row r="578" ht="108" spans="1:82">
      <c r="A578" s="56" t="s">
        <v>17486</v>
      </c>
      <c r="B578" s="58"/>
      <c r="C578" s="57" t="s">
        <v>17468</v>
      </c>
      <c r="D578" s="58"/>
      <c r="E578" s="57" t="s">
        <v>15158</v>
      </c>
      <c r="F578" s="57" t="s">
        <v>17469</v>
      </c>
      <c r="G578" s="57" t="s">
        <v>15160</v>
      </c>
      <c r="H578" s="56" t="s">
        <v>4391</v>
      </c>
      <c r="I578" s="60">
        <v>7091.66</v>
      </c>
      <c r="J578" s="57" t="s">
        <v>1285</v>
      </c>
      <c r="K578" s="57" t="s">
        <v>15162</v>
      </c>
      <c r="L578" s="57" t="s">
        <v>15163</v>
      </c>
      <c r="M578" s="61" t="s">
        <v>17325</v>
      </c>
      <c r="N578" s="62" t="s">
        <v>14909</v>
      </c>
      <c r="O578" s="57" t="s">
        <v>15165</v>
      </c>
      <c r="P578" s="57" t="s">
        <v>15166</v>
      </c>
      <c r="Q578" s="57" t="s">
        <v>4391</v>
      </c>
      <c r="R578" s="57" t="s">
        <v>17470</v>
      </c>
      <c r="S578" s="57" t="s">
        <v>17471</v>
      </c>
      <c r="T578" s="57" t="s">
        <v>15190</v>
      </c>
      <c r="U578" s="57" t="s">
        <v>14184</v>
      </c>
      <c r="V578" s="56" t="s">
        <v>14153</v>
      </c>
      <c r="W578" s="58"/>
      <c r="X578" s="57" t="s">
        <v>17472</v>
      </c>
      <c r="Y578" s="57" t="s">
        <v>15170</v>
      </c>
      <c r="Z578" s="61" t="s">
        <v>14605</v>
      </c>
      <c r="AA578" s="61" t="s">
        <v>17325</v>
      </c>
      <c r="AB578" s="58"/>
      <c r="AC578" s="57" t="s">
        <v>15172</v>
      </c>
      <c r="AD578" s="58"/>
      <c r="AE578" s="58"/>
      <c r="AF578" s="58"/>
      <c r="AG578" s="58"/>
      <c r="AH578" s="58"/>
      <c r="AI578" s="58"/>
      <c r="AJ578" s="58"/>
      <c r="AK578" s="56" t="s">
        <v>1285</v>
      </c>
      <c r="AL578" s="56" t="s">
        <v>17473</v>
      </c>
      <c r="AM578" s="58"/>
      <c r="AN578" s="56" t="s">
        <v>16083</v>
      </c>
      <c r="AO578" s="58"/>
      <c r="AP578" s="63">
        <v>45776.7964351852</v>
      </c>
      <c r="AQ578" s="56" t="s">
        <v>17474</v>
      </c>
      <c r="AR578" s="61" t="s">
        <v>15404</v>
      </c>
      <c r="AS578" s="57" t="s">
        <v>14184</v>
      </c>
      <c r="AT578" s="56" t="s">
        <v>15177</v>
      </c>
      <c r="AU578" s="56" t="s">
        <v>17475</v>
      </c>
      <c r="AV578" s="58"/>
      <c r="AW578" s="64">
        <v>45680.7036226852</v>
      </c>
      <c r="AX578" s="56" t="s">
        <v>17473</v>
      </c>
      <c r="AY578" s="56" t="s">
        <v>15179</v>
      </c>
      <c r="AZ578" s="58"/>
      <c r="BA578" s="58"/>
      <c r="BB578" s="58"/>
      <c r="BC578" s="56" t="s">
        <v>2136</v>
      </c>
      <c r="BD578" s="56" t="s">
        <v>15197</v>
      </c>
      <c r="BE578" s="58"/>
      <c r="BF578" s="56" t="s">
        <v>15181</v>
      </c>
      <c r="BG578" s="58"/>
      <c r="BH578" s="58"/>
      <c r="BI578" s="57" t="s">
        <v>2801</v>
      </c>
      <c r="BJ578" s="58"/>
      <c r="BK578" s="58"/>
      <c r="BL578" s="66">
        <v>3398677</v>
      </c>
      <c r="BM578" s="56" t="s">
        <v>17476</v>
      </c>
      <c r="BN578" s="58"/>
      <c r="BO578" s="67">
        <v>90.3</v>
      </c>
      <c r="BP578" s="56" t="s">
        <v>15409</v>
      </c>
      <c r="BQ578" s="58"/>
      <c r="BR578" s="56" t="s">
        <v>17477</v>
      </c>
      <c r="BS578" s="56" t="s">
        <v>1285</v>
      </c>
      <c r="BT578" s="58"/>
      <c r="BU578" s="56" t="s">
        <v>17474</v>
      </c>
      <c r="BV578" s="58"/>
      <c r="BW578" s="58"/>
      <c r="BX578" s="67">
        <v>90.3</v>
      </c>
      <c r="BY578" s="58"/>
      <c r="BZ578" s="58"/>
      <c r="CA578" s="58"/>
      <c r="CB578" s="58"/>
      <c r="CC578" s="58"/>
      <c r="CD578" s="58"/>
    </row>
    <row r="579" ht="108" spans="1:82">
      <c r="A579" s="56" t="s">
        <v>17487</v>
      </c>
      <c r="B579" s="58"/>
      <c r="C579" s="57" t="s">
        <v>17468</v>
      </c>
      <c r="D579" s="58"/>
      <c r="E579" s="57" t="s">
        <v>15158</v>
      </c>
      <c r="F579" s="57" t="s">
        <v>17469</v>
      </c>
      <c r="G579" s="57" t="s">
        <v>15160</v>
      </c>
      <c r="H579" s="56" t="s">
        <v>4391</v>
      </c>
      <c r="I579" s="60">
        <v>7091.66</v>
      </c>
      <c r="J579" s="57" t="s">
        <v>1285</v>
      </c>
      <c r="K579" s="57" t="s">
        <v>15162</v>
      </c>
      <c r="L579" s="57" t="s">
        <v>15163</v>
      </c>
      <c r="M579" s="61" t="s">
        <v>17325</v>
      </c>
      <c r="N579" s="62" t="s">
        <v>14909</v>
      </c>
      <c r="O579" s="57" t="s">
        <v>15165</v>
      </c>
      <c r="P579" s="57" t="s">
        <v>15166</v>
      </c>
      <c r="Q579" s="57" t="s">
        <v>4391</v>
      </c>
      <c r="R579" s="57" t="s">
        <v>17470</v>
      </c>
      <c r="S579" s="57" t="s">
        <v>17471</v>
      </c>
      <c r="T579" s="57" t="s">
        <v>15190</v>
      </c>
      <c r="U579" s="57" t="s">
        <v>14184</v>
      </c>
      <c r="V579" s="56" t="s">
        <v>14153</v>
      </c>
      <c r="W579" s="58"/>
      <c r="X579" s="57" t="s">
        <v>17472</v>
      </c>
      <c r="Y579" s="57" t="s">
        <v>15170</v>
      </c>
      <c r="Z579" s="61" t="s">
        <v>14605</v>
      </c>
      <c r="AA579" s="61" t="s">
        <v>17325</v>
      </c>
      <c r="AB579" s="58"/>
      <c r="AC579" s="57" t="s">
        <v>15172</v>
      </c>
      <c r="AD579" s="58"/>
      <c r="AE579" s="58"/>
      <c r="AF579" s="58"/>
      <c r="AG579" s="58"/>
      <c r="AH579" s="58"/>
      <c r="AI579" s="58"/>
      <c r="AJ579" s="58"/>
      <c r="AK579" s="56" t="s">
        <v>1285</v>
      </c>
      <c r="AL579" s="56" t="s">
        <v>17473</v>
      </c>
      <c r="AM579" s="58"/>
      <c r="AN579" s="56" t="s">
        <v>16083</v>
      </c>
      <c r="AO579" s="58"/>
      <c r="AP579" s="63">
        <v>45776.7964351852</v>
      </c>
      <c r="AQ579" s="56" t="s">
        <v>17474</v>
      </c>
      <c r="AR579" s="61" t="s">
        <v>15404</v>
      </c>
      <c r="AS579" s="57" t="s">
        <v>14184</v>
      </c>
      <c r="AT579" s="56" t="s">
        <v>15177</v>
      </c>
      <c r="AU579" s="56" t="s">
        <v>17475</v>
      </c>
      <c r="AV579" s="58"/>
      <c r="AW579" s="64">
        <v>45680.7036226852</v>
      </c>
      <c r="AX579" s="56" t="s">
        <v>17473</v>
      </c>
      <c r="AY579" s="56" t="s">
        <v>15179</v>
      </c>
      <c r="AZ579" s="58"/>
      <c r="BA579" s="58"/>
      <c r="BB579" s="58"/>
      <c r="BC579" s="56" t="s">
        <v>2136</v>
      </c>
      <c r="BD579" s="56" t="s">
        <v>15197</v>
      </c>
      <c r="BE579" s="58"/>
      <c r="BF579" s="56" t="s">
        <v>15181</v>
      </c>
      <c r="BG579" s="58"/>
      <c r="BH579" s="58"/>
      <c r="BI579" s="57" t="s">
        <v>2801</v>
      </c>
      <c r="BJ579" s="58"/>
      <c r="BK579" s="58"/>
      <c r="BL579" s="66">
        <v>3398678</v>
      </c>
      <c r="BM579" s="56" t="s">
        <v>17476</v>
      </c>
      <c r="BN579" s="58"/>
      <c r="BO579" s="67">
        <v>61.02</v>
      </c>
      <c r="BP579" s="56" t="s">
        <v>15409</v>
      </c>
      <c r="BQ579" s="58"/>
      <c r="BR579" s="56" t="s">
        <v>17477</v>
      </c>
      <c r="BS579" s="56" t="s">
        <v>1285</v>
      </c>
      <c r="BT579" s="58"/>
      <c r="BU579" s="56" t="s">
        <v>17474</v>
      </c>
      <c r="BV579" s="58"/>
      <c r="BW579" s="58"/>
      <c r="BX579" s="67">
        <v>61.02</v>
      </c>
      <c r="BY579" s="58"/>
      <c r="BZ579" s="58"/>
      <c r="CA579" s="58"/>
      <c r="CB579" s="58"/>
      <c r="CC579" s="58"/>
      <c r="CD579" s="58"/>
    </row>
    <row r="580" ht="108" spans="1:82">
      <c r="A580" s="56" t="s">
        <v>17488</v>
      </c>
      <c r="B580" s="58"/>
      <c r="C580" s="57" t="s">
        <v>17468</v>
      </c>
      <c r="D580" s="58"/>
      <c r="E580" s="57" t="s">
        <v>15158</v>
      </c>
      <c r="F580" s="57" t="s">
        <v>17469</v>
      </c>
      <c r="G580" s="57" t="s">
        <v>15160</v>
      </c>
      <c r="H580" s="56" t="s">
        <v>4391</v>
      </c>
      <c r="I580" s="60">
        <v>7091.66</v>
      </c>
      <c r="J580" s="57" t="s">
        <v>1285</v>
      </c>
      <c r="K580" s="57" t="s">
        <v>15162</v>
      </c>
      <c r="L580" s="57" t="s">
        <v>15163</v>
      </c>
      <c r="M580" s="61" t="s">
        <v>17325</v>
      </c>
      <c r="N580" s="62" t="s">
        <v>14909</v>
      </c>
      <c r="O580" s="57" t="s">
        <v>15165</v>
      </c>
      <c r="P580" s="57" t="s">
        <v>15166</v>
      </c>
      <c r="Q580" s="57" t="s">
        <v>4391</v>
      </c>
      <c r="R580" s="57" t="s">
        <v>17470</v>
      </c>
      <c r="S580" s="57" t="s">
        <v>17471</v>
      </c>
      <c r="T580" s="57" t="s">
        <v>15190</v>
      </c>
      <c r="U580" s="57" t="s">
        <v>14184</v>
      </c>
      <c r="V580" s="56" t="s">
        <v>14153</v>
      </c>
      <c r="W580" s="58"/>
      <c r="X580" s="57" t="s">
        <v>17472</v>
      </c>
      <c r="Y580" s="57" t="s">
        <v>15170</v>
      </c>
      <c r="Z580" s="61" t="s">
        <v>14605</v>
      </c>
      <c r="AA580" s="61" t="s">
        <v>17325</v>
      </c>
      <c r="AB580" s="58"/>
      <c r="AC580" s="57" t="s">
        <v>15172</v>
      </c>
      <c r="AD580" s="58"/>
      <c r="AE580" s="58"/>
      <c r="AF580" s="58"/>
      <c r="AG580" s="58"/>
      <c r="AH580" s="58"/>
      <c r="AI580" s="58"/>
      <c r="AJ580" s="58"/>
      <c r="AK580" s="56" t="s">
        <v>1285</v>
      </c>
      <c r="AL580" s="56" t="s">
        <v>17473</v>
      </c>
      <c r="AM580" s="58"/>
      <c r="AN580" s="56" t="s">
        <v>16083</v>
      </c>
      <c r="AO580" s="58"/>
      <c r="AP580" s="63">
        <v>45776.7964351852</v>
      </c>
      <c r="AQ580" s="56" t="s">
        <v>17474</v>
      </c>
      <c r="AR580" s="61" t="s">
        <v>15404</v>
      </c>
      <c r="AS580" s="57" t="s">
        <v>14184</v>
      </c>
      <c r="AT580" s="56" t="s">
        <v>15177</v>
      </c>
      <c r="AU580" s="56" t="s">
        <v>17475</v>
      </c>
      <c r="AV580" s="58"/>
      <c r="AW580" s="64">
        <v>45680.7036226852</v>
      </c>
      <c r="AX580" s="56" t="s">
        <v>17473</v>
      </c>
      <c r="AY580" s="56" t="s">
        <v>15179</v>
      </c>
      <c r="AZ580" s="58"/>
      <c r="BA580" s="58"/>
      <c r="BB580" s="58"/>
      <c r="BC580" s="56" t="s">
        <v>2136</v>
      </c>
      <c r="BD580" s="56" t="s">
        <v>15197</v>
      </c>
      <c r="BE580" s="58"/>
      <c r="BF580" s="56" t="s">
        <v>15181</v>
      </c>
      <c r="BG580" s="58"/>
      <c r="BH580" s="58"/>
      <c r="BI580" s="57" t="s">
        <v>2801</v>
      </c>
      <c r="BJ580" s="58"/>
      <c r="BK580" s="58"/>
      <c r="BL580" s="66">
        <v>3398679</v>
      </c>
      <c r="BM580" s="56" t="s">
        <v>17476</v>
      </c>
      <c r="BN580" s="58"/>
      <c r="BO580" s="67">
        <v>214.74</v>
      </c>
      <c r="BP580" s="56" t="s">
        <v>15409</v>
      </c>
      <c r="BQ580" s="58"/>
      <c r="BR580" s="56" t="s">
        <v>17477</v>
      </c>
      <c r="BS580" s="56" t="s">
        <v>1285</v>
      </c>
      <c r="BT580" s="58"/>
      <c r="BU580" s="56" t="s">
        <v>17474</v>
      </c>
      <c r="BV580" s="58"/>
      <c r="BW580" s="58"/>
      <c r="BX580" s="67">
        <v>214.74</v>
      </c>
      <c r="BY580" s="58"/>
      <c r="BZ580" s="58"/>
      <c r="CA580" s="58"/>
      <c r="CB580" s="58"/>
      <c r="CC580" s="58"/>
      <c r="CD580" s="58"/>
    </row>
    <row r="581" ht="108" spans="1:82">
      <c r="A581" s="56" t="s">
        <v>17489</v>
      </c>
      <c r="B581" s="58"/>
      <c r="C581" s="57" t="s">
        <v>17468</v>
      </c>
      <c r="D581" s="58"/>
      <c r="E581" s="57" t="s">
        <v>15158</v>
      </c>
      <c r="F581" s="57" t="s">
        <v>17469</v>
      </c>
      <c r="G581" s="57" t="s">
        <v>15160</v>
      </c>
      <c r="H581" s="56" t="s">
        <v>4391</v>
      </c>
      <c r="I581" s="60">
        <v>7091.66</v>
      </c>
      <c r="J581" s="57" t="s">
        <v>1285</v>
      </c>
      <c r="K581" s="57" t="s">
        <v>15162</v>
      </c>
      <c r="L581" s="57" t="s">
        <v>15163</v>
      </c>
      <c r="M581" s="61" t="s">
        <v>17325</v>
      </c>
      <c r="N581" s="62" t="s">
        <v>14909</v>
      </c>
      <c r="O581" s="57" t="s">
        <v>15165</v>
      </c>
      <c r="P581" s="57" t="s">
        <v>15166</v>
      </c>
      <c r="Q581" s="57" t="s">
        <v>4391</v>
      </c>
      <c r="R581" s="57" t="s">
        <v>17470</v>
      </c>
      <c r="S581" s="57" t="s">
        <v>17471</v>
      </c>
      <c r="T581" s="57" t="s">
        <v>15190</v>
      </c>
      <c r="U581" s="57" t="s">
        <v>14184</v>
      </c>
      <c r="V581" s="56" t="s">
        <v>14153</v>
      </c>
      <c r="W581" s="58"/>
      <c r="X581" s="57" t="s">
        <v>17472</v>
      </c>
      <c r="Y581" s="57" t="s">
        <v>15170</v>
      </c>
      <c r="Z581" s="61" t="s">
        <v>14605</v>
      </c>
      <c r="AA581" s="61" t="s">
        <v>17325</v>
      </c>
      <c r="AB581" s="58"/>
      <c r="AC581" s="57" t="s">
        <v>15172</v>
      </c>
      <c r="AD581" s="58"/>
      <c r="AE581" s="58"/>
      <c r="AF581" s="58"/>
      <c r="AG581" s="58"/>
      <c r="AH581" s="58"/>
      <c r="AI581" s="58"/>
      <c r="AJ581" s="58"/>
      <c r="AK581" s="56" t="s">
        <v>1285</v>
      </c>
      <c r="AL581" s="56" t="s">
        <v>17473</v>
      </c>
      <c r="AM581" s="58"/>
      <c r="AN581" s="56" t="s">
        <v>16083</v>
      </c>
      <c r="AO581" s="58"/>
      <c r="AP581" s="63">
        <v>45776.7964351852</v>
      </c>
      <c r="AQ581" s="56" t="s">
        <v>17474</v>
      </c>
      <c r="AR581" s="61" t="s">
        <v>15404</v>
      </c>
      <c r="AS581" s="57" t="s">
        <v>14184</v>
      </c>
      <c r="AT581" s="56" t="s">
        <v>15177</v>
      </c>
      <c r="AU581" s="56" t="s">
        <v>17475</v>
      </c>
      <c r="AV581" s="58"/>
      <c r="AW581" s="64">
        <v>45680.7036226852</v>
      </c>
      <c r="AX581" s="56" t="s">
        <v>17473</v>
      </c>
      <c r="AY581" s="56" t="s">
        <v>15179</v>
      </c>
      <c r="AZ581" s="58"/>
      <c r="BA581" s="58"/>
      <c r="BB581" s="58"/>
      <c r="BC581" s="56" t="s">
        <v>15621</v>
      </c>
      <c r="BD581" s="56" t="s">
        <v>15197</v>
      </c>
      <c r="BE581" s="58"/>
      <c r="BF581" s="56" t="s">
        <v>15181</v>
      </c>
      <c r="BG581" s="58"/>
      <c r="BH581" s="58"/>
      <c r="BI581" s="57" t="s">
        <v>2801</v>
      </c>
      <c r="BJ581" s="58"/>
      <c r="BK581" s="58"/>
      <c r="BL581" s="66">
        <v>3398681</v>
      </c>
      <c r="BM581" s="56" t="s">
        <v>17476</v>
      </c>
      <c r="BN581" s="58"/>
      <c r="BO581" s="67">
        <v>61.3</v>
      </c>
      <c r="BP581" s="56" t="s">
        <v>15409</v>
      </c>
      <c r="BQ581" s="58"/>
      <c r="BR581" s="56" t="s">
        <v>17477</v>
      </c>
      <c r="BS581" s="56" t="s">
        <v>1285</v>
      </c>
      <c r="BT581" s="58"/>
      <c r="BU581" s="56" t="s">
        <v>17474</v>
      </c>
      <c r="BV581" s="58"/>
      <c r="BW581" s="58"/>
      <c r="BX581" s="67">
        <v>61.3</v>
      </c>
      <c r="BY581" s="58"/>
      <c r="BZ581" s="58"/>
      <c r="CA581" s="58"/>
      <c r="CB581" s="58"/>
      <c r="CC581" s="58"/>
      <c r="CD581" s="58"/>
    </row>
    <row r="582" ht="108" spans="1:82">
      <c r="A582" s="56" t="s">
        <v>17490</v>
      </c>
      <c r="B582" s="58"/>
      <c r="C582" s="57" t="s">
        <v>17468</v>
      </c>
      <c r="D582" s="58"/>
      <c r="E582" s="57" t="s">
        <v>15158</v>
      </c>
      <c r="F582" s="57" t="s">
        <v>17469</v>
      </c>
      <c r="G582" s="57" t="s">
        <v>15160</v>
      </c>
      <c r="H582" s="56" t="s">
        <v>4391</v>
      </c>
      <c r="I582" s="60">
        <v>7091.66</v>
      </c>
      <c r="J582" s="57" t="s">
        <v>1285</v>
      </c>
      <c r="K582" s="57" t="s">
        <v>15162</v>
      </c>
      <c r="L582" s="57" t="s">
        <v>15163</v>
      </c>
      <c r="M582" s="61" t="s">
        <v>17325</v>
      </c>
      <c r="N582" s="62" t="s">
        <v>14909</v>
      </c>
      <c r="O582" s="57" t="s">
        <v>15165</v>
      </c>
      <c r="P582" s="57" t="s">
        <v>15166</v>
      </c>
      <c r="Q582" s="57" t="s">
        <v>4391</v>
      </c>
      <c r="R582" s="57" t="s">
        <v>17470</v>
      </c>
      <c r="S582" s="57" t="s">
        <v>17471</v>
      </c>
      <c r="T582" s="57" t="s">
        <v>15190</v>
      </c>
      <c r="U582" s="57" t="s">
        <v>14184</v>
      </c>
      <c r="V582" s="56" t="s">
        <v>14153</v>
      </c>
      <c r="W582" s="58"/>
      <c r="X582" s="57" t="s">
        <v>17472</v>
      </c>
      <c r="Y582" s="57" t="s">
        <v>15170</v>
      </c>
      <c r="Z582" s="61" t="s">
        <v>14605</v>
      </c>
      <c r="AA582" s="61" t="s">
        <v>17325</v>
      </c>
      <c r="AB582" s="58"/>
      <c r="AC582" s="57" t="s">
        <v>15172</v>
      </c>
      <c r="AD582" s="58"/>
      <c r="AE582" s="58"/>
      <c r="AF582" s="58"/>
      <c r="AG582" s="58"/>
      <c r="AH582" s="58"/>
      <c r="AI582" s="58"/>
      <c r="AJ582" s="58"/>
      <c r="AK582" s="56" t="s">
        <v>1285</v>
      </c>
      <c r="AL582" s="56" t="s">
        <v>17473</v>
      </c>
      <c r="AM582" s="58"/>
      <c r="AN582" s="56" t="s">
        <v>16083</v>
      </c>
      <c r="AO582" s="58"/>
      <c r="AP582" s="63">
        <v>45776.7964351852</v>
      </c>
      <c r="AQ582" s="56" t="s">
        <v>17474</v>
      </c>
      <c r="AR582" s="61" t="s">
        <v>15404</v>
      </c>
      <c r="AS582" s="57" t="s">
        <v>14184</v>
      </c>
      <c r="AT582" s="56" t="s">
        <v>15177</v>
      </c>
      <c r="AU582" s="56" t="s">
        <v>17475</v>
      </c>
      <c r="AV582" s="58"/>
      <c r="AW582" s="64">
        <v>45680.7036226852</v>
      </c>
      <c r="AX582" s="56" t="s">
        <v>17473</v>
      </c>
      <c r="AY582" s="56" t="s">
        <v>15179</v>
      </c>
      <c r="AZ582" s="58"/>
      <c r="BA582" s="58"/>
      <c r="BB582" s="58"/>
      <c r="BC582" s="56" t="s">
        <v>2148</v>
      </c>
      <c r="BD582" s="56" t="s">
        <v>15197</v>
      </c>
      <c r="BE582" s="58"/>
      <c r="BF582" s="56" t="s">
        <v>15181</v>
      </c>
      <c r="BG582" s="58"/>
      <c r="BH582" s="58"/>
      <c r="BI582" s="57" t="s">
        <v>2801</v>
      </c>
      <c r="BJ582" s="58"/>
      <c r="BK582" s="58"/>
      <c r="BL582" s="66">
        <v>3398682</v>
      </c>
      <c r="BM582" s="56" t="s">
        <v>17476</v>
      </c>
      <c r="BN582" s="58"/>
      <c r="BO582" s="67">
        <v>8.5</v>
      </c>
      <c r="BP582" s="56" t="s">
        <v>15409</v>
      </c>
      <c r="BQ582" s="58"/>
      <c r="BR582" s="56" t="s">
        <v>17477</v>
      </c>
      <c r="BS582" s="56" t="s">
        <v>1285</v>
      </c>
      <c r="BT582" s="58"/>
      <c r="BU582" s="56" t="s">
        <v>17474</v>
      </c>
      <c r="BV582" s="58"/>
      <c r="BW582" s="58"/>
      <c r="BX582" s="67">
        <v>8.5</v>
      </c>
      <c r="BY582" s="58"/>
      <c r="BZ582" s="58"/>
      <c r="CA582" s="58"/>
      <c r="CB582" s="58"/>
      <c r="CC582" s="58"/>
      <c r="CD582" s="58"/>
    </row>
    <row r="583" ht="108" spans="1:82">
      <c r="A583" s="56" t="s">
        <v>17491</v>
      </c>
      <c r="B583" s="58"/>
      <c r="C583" s="57" t="s">
        <v>17468</v>
      </c>
      <c r="D583" s="58"/>
      <c r="E583" s="57" t="s">
        <v>15158</v>
      </c>
      <c r="F583" s="57" t="s">
        <v>17469</v>
      </c>
      <c r="G583" s="57" t="s">
        <v>15160</v>
      </c>
      <c r="H583" s="56" t="s">
        <v>4391</v>
      </c>
      <c r="I583" s="60">
        <v>7091.66</v>
      </c>
      <c r="J583" s="57" t="s">
        <v>1285</v>
      </c>
      <c r="K583" s="57" t="s">
        <v>15162</v>
      </c>
      <c r="L583" s="57" t="s">
        <v>15163</v>
      </c>
      <c r="M583" s="61" t="s">
        <v>17325</v>
      </c>
      <c r="N583" s="62" t="s">
        <v>14909</v>
      </c>
      <c r="O583" s="57" t="s">
        <v>15165</v>
      </c>
      <c r="P583" s="57" t="s">
        <v>15166</v>
      </c>
      <c r="Q583" s="57" t="s">
        <v>4391</v>
      </c>
      <c r="R583" s="57" t="s">
        <v>17470</v>
      </c>
      <c r="S583" s="57" t="s">
        <v>17471</v>
      </c>
      <c r="T583" s="57" t="s">
        <v>15190</v>
      </c>
      <c r="U583" s="57" t="s">
        <v>14184</v>
      </c>
      <c r="V583" s="56" t="s">
        <v>14153</v>
      </c>
      <c r="W583" s="58"/>
      <c r="X583" s="57" t="s">
        <v>17472</v>
      </c>
      <c r="Y583" s="57" t="s">
        <v>15170</v>
      </c>
      <c r="Z583" s="61" t="s">
        <v>14605</v>
      </c>
      <c r="AA583" s="61" t="s">
        <v>17325</v>
      </c>
      <c r="AB583" s="58"/>
      <c r="AC583" s="57" t="s">
        <v>15172</v>
      </c>
      <c r="AD583" s="58"/>
      <c r="AE583" s="58"/>
      <c r="AF583" s="58"/>
      <c r="AG583" s="58"/>
      <c r="AH583" s="58"/>
      <c r="AI583" s="58"/>
      <c r="AJ583" s="58"/>
      <c r="AK583" s="56" t="s">
        <v>1285</v>
      </c>
      <c r="AL583" s="56" t="s">
        <v>17473</v>
      </c>
      <c r="AM583" s="58"/>
      <c r="AN583" s="56" t="s">
        <v>16083</v>
      </c>
      <c r="AO583" s="58"/>
      <c r="AP583" s="63">
        <v>45776.7964351852</v>
      </c>
      <c r="AQ583" s="56" t="s">
        <v>17474</v>
      </c>
      <c r="AR583" s="61" t="s">
        <v>15404</v>
      </c>
      <c r="AS583" s="57" t="s">
        <v>14184</v>
      </c>
      <c r="AT583" s="56" t="s">
        <v>15177</v>
      </c>
      <c r="AU583" s="56" t="s">
        <v>17475</v>
      </c>
      <c r="AV583" s="58"/>
      <c r="AW583" s="64">
        <v>45680.7036226852</v>
      </c>
      <c r="AX583" s="56" t="s">
        <v>17473</v>
      </c>
      <c r="AY583" s="56" t="s">
        <v>15179</v>
      </c>
      <c r="AZ583" s="58"/>
      <c r="BA583" s="58"/>
      <c r="BB583" s="58"/>
      <c r="BC583" s="56" t="s">
        <v>2138</v>
      </c>
      <c r="BD583" s="56" t="s">
        <v>15197</v>
      </c>
      <c r="BE583" s="58"/>
      <c r="BF583" s="56" t="s">
        <v>15181</v>
      </c>
      <c r="BG583" s="58"/>
      <c r="BH583" s="58"/>
      <c r="BI583" s="57" t="s">
        <v>2801</v>
      </c>
      <c r="BJ583" s="58"/>
      <c r="BK583" s="58"/>
      <c r="BL583" s="66">
        <v>3398683</v>
      </c>
      <c r="BM583" s="56" t="s">
        <v>17476</v>
      </c>
      <c r="BN583" s="58"/>
      <c r="BO583" s="67">
        <v>14.46</v>
      </c>
      <c r="BP583" s="56" t="s">
        <v>15409</v>
      </c>
      <c r="BQ583" s="58"/>
      <c r="BR583" s="56" t="s">
        <v>17477</v>
      </c>
      <c r="BS583" s="56" t="s">
        <v>1285</v>
      </c>
      <c r="BT583" s="58"/>
      <c r="BU583" s="56" t="s">
        <v>17474</v>
      </c>
      <c r="BV583" s="58"/>
      <c r="BW583" s="58"/>
      <c r="BX583" s="67">
        <v>14.46</v>
      </c>
      <c r="BY583" s="58"/>
      <c r="BZ583" s="58"/>
      <c r="CA583" s="58"/>
      <c r="CB583" s="58"/>
      <c r="CC583" s="58"/>
      <c r="CD583" s="58"/>
    </row>
    <row r="584" ht="108" spans="1:82">
      <c r="A584" s="56" t="s">
        <v>17492</v>
      </c>
      <c r="B584" s="58"/>
      <c r="C584" s="57" t="s">
        <v>17468</v>
      </c>
      <c r="D584" s="58"/>
      <c r="E584" s="57" t="s">
        <v>15158</v>
      </c>
      <c r="F584" s="57" t="s">
        <v>17469</v>
      </c>
      <c r="G584" s="57" t="s">
        <v>15160</v>
      </c>
      <c r="H584" s="56" t="s">
        <v>4391</v>
      </c>
      <c r="I584" s="60">
        <v>7091.66</v>
      </c>
      <c r="J584" s="57" t="s">
        <v>1285</v>
      </c>
      <c r="K584" s="57" t="s">
        <v>15162</v>
      </c>
      <c r="L584" s="57" t="s">
        <v>15163</v>
      </c>
      <c r="M584" s="61" t="s">
        <v>17325</v>
      </c>
      <c r="N584" s="62" t="s">
        <v>14909</v>
      </c>
      <c r="O584" s="57" t="s">
        <v>15165</v>
      </c>
      <c r="P584" s="57" t="s">
        <v>15166</v>
      </c>
      <c r="Q584" s="57" t="s">
        <v>4391</v>
      </c>
      <c r="R584" s="57" t="s">
        <v>17470</v>
      </c>
      <c r="S584" s="57" t="s">
        <v>17471</v>
      </c>
      <c r="T584" s="57" t="s">
        <v>15190</v>
      </c>
      <c r="U584" s="57" t="s">
        <v>14184</v>
      </c>
      <c r="V584" s="56" t="s">
        <v>14153</v>
      </c>
      <c r="W584" s="58"/>
      <c r="X584" s="57" t="s">
        <v>17472</v>
      </c>
      <c r="Y584" s="57" t="s">
        <v>15170</v>
      </c>
      <c r="Z584" s="61" t="s">
        <v>14605</v>
      </c>
      <c r="AA584" s="61" t="s">
        <v>17325</v>
      </c>
      <c r="AB584" s="58"/>
      <c r="AC584" s="57" t="s">
        <v>15172</v>
      </c>
      <c r="AD584" s="58"/>
      <c r="AE584" s="58"/>
      <c r="AF584" s="58"/>
      <c r="AG584" s="58"/>
      <c r="AH584" s="58"/>
      <c r="AI584" s="58"/>
      <c r="AJ584" s="58"/>
      <c r="AK584" s="56" t="s">
        <v>1285</v>
      </c>
      <c r="AL584" s="56" t="s">
        <v>17473</v>
      </c>
      <c r="AM584" s="58"/>
      <c r="AN584" s="56" t="s">
        <v>16083</v>
      </c>
      <c r="AO584" s="58"/>
      <c r="AP584" s="63">
        <v>45776.7964351852</v>
      </c>
      <c r="AQ584" s="56" t="s">
        <v>17474</v>
      </c>
      <c r="AR584" s="61" t="s">
        <v>15404</v>
      </c>
      <c r="AS584" s="57" t="s">
        <v>14184</v>
      </c>
      <c r="AT584" s="56" t="s">
        <v>15177</v>
      </c>
      <c r="AU584" s="56" t="s">
        <v>17475</v>
      </c>
      <c r="AV584" s="58"/>
      <c r="AW584" s="64">
        <v>45680.7036226852</v>
      </c>
      <c r="AX584" s="56" t="s">
        <v>17473</v>
      </c>
      <c r="AY584" s="56" t="s">
        <v>15179</v>
      </c>
      <c r="AZ584" s="58"/>
      <c r="BA584" s="58"/>
      <c r="BB584" s="58"/>
      <c r="BC584" s="56" t="s">
        <v>2140</v>
      </c>
      <c r="BD584" s="56" t="s">
        <v>15197</v>
      </c>
      <c r="BE584" s="58"/>
      <c r="BF584" s="56" t="s">
        <v>15181</v>
      </c>
      <c r="BG584" s="58"/>
      <c r="BH584" s="58"/>
      <c r="BI584" s="57" t="s">
        <v>2801</v>
      </c>
      <c r="BJ584" s="58"/>
      <c r="BK584" s="58"/>
      <c r="BL584" s="66">
        <v>3398684</v>
      </c>
      <c r="BM584" s="56" t="s">
        <v>17476</v>
      </c>
      <c r="BN584" s="58"/>
      <c r="BO584" s="67">
        <v>643.2</v>
      </c>
      <c r="BP584" s="56" t="s">
        <v>15409</v>
      </c>
      <c r="BQ584" s="58"/>
      <c r="BR584" s="56" t="s">
        <v>17477</v>
      </c>
      <c r="BS584" s="56" t="s">
        <v>1285</v>
      </c>
      <c r="BT584" s="58"/>
      <c r="BU584" s="56" t="s">
        <v>17474</v>
      </c>
      <c r="BV584" s="58"/>
      <c r="BW584" s="58"/>
      <c r="BX584" s="67">
        <v>643.2</v>
      </c>
      <c r="BY584" s="58"/>
      <c r="BZ584" s="58"/>
      <c r="CA584" s="58"/>
      <c r="CB584" s="58"/>
      <c r="CC584" s="58"/>
      <c r="CD584" s="58"/>
    </row>
    <row r="585" ht="108" spans="1:82">
      <c r="A585" s="56" t="s">
        <v>17493</v>
      </c>
      <c r="B585" s="58"/>
      <c r="C585" s="57" t="s">
        <v>17468</v>
      </c>
      <c r="D585" s="58"/>
      <c r="E585" s="57" t="s">
        <v>15158</v>
      </c>
      <c r="F585" s="57" t="s">
        <v>17469</v>
      </c>
      <c r="G585" s="57" t="s">
        <v>15160</v>
      </c>
      <c r="H585" s="56" t="s">
        <v>4391</v>
      </c>
      <c r="I585" s="60">
        <v>7091.66</v>
      </c>
      <c r="J585" s="57" t="s">
        <v>1285</v>
      </c>
      <c r="K585" s="57" t="s">
        <v>15162</v>
      </c>
      <c r="L585" s="57" t="s">
        <v>15163</v>
      </c>
      <c r="M585" s="61" t="s">
        <v>17325</v>
      </c>
      <c r="N585" s="62" t="s">
        <v>14909</v>
      </c>
      <c r="O585" s="57" t="s">
        <v>15165</v>
      </c>
      <c r="P585" s="57" t="s">
        <v>15166</v>
      </c>
      <c r="Q585" s="57" t="s">
        <v>4391</v>
      </c>
      <c r="R585" s="57" t="s">
        <v>17470</v>
      </c>
      <c r="S585" s="57" t="s">
        <v>17471</v>
      </c>
      <c r="T585" s="57" t="s">
        <v>15190</v>
      </c>
      <c r="U585" s="57" t="s">
        <v>14184</v>
      </c>
      <c r="V585" s="56" t="s">
        <v>14153</v>
      </c>
      <c r="W585" s="58"/>
      <c r="X585" s="57" t="s">
        <v>17472</v>
      </c>
      <c r="Y585" s="57" t="s">
        <v>15170</v>
      </c>
      <c r="Z585" s="61" t="s">
        <v>14605</v>
      </c>
      <c r="AA585" s="61" t="s">
        <v>17325</v>
      </c>
      <c r="AB585" s="58"/>
      <c r="AC585" s="57" t="s">
        <v>15172</v>
      </c>
      <c r="AD585" s="58"/>
      <c r="AE585" s="58"/>
      <c r="AF585" s="58"/>
      <c r="AG585" s="58"/>
      <c r="AH585" s="58"/>
      <c r="AI585" s="58"/>
      <c r="AJ585" s="58"/>
      <c r="AK585" s="56" t="s">
        <v>1285</v>
      </c>
      <c r="AL585" s="56" t="s">
        <v>17473</v>
      </c>
      <c r="AM585" s="58"/>
      <c r="AN585" s="56" t="s">
        <v>16083</v>
      </c>
      <c r="AO585" s="58"/>
      <c r="AP585" s="63">
        <v>45776.7964351852</v>
      </c>
      <c r="AQ585" s="56" t="s">
        <v>17474</v>
      </c>
      <c r="AR585" s="61" t="s">
        <v>15404</v>
      </c>
      <c r="AS585" s="57" t="s">
        <v>14184</v>
      </c>
      <c r="AT585" s="56" t="s">
        <v>15177</v>
      </c>
      <c r="AU585" s="56" t="s">
        <v>17475</v>
      </c>
      <c r="AV585" s="58"/>
      <c r="AW585" s="64">
        <v>45680.7036226852</v>
      </c>
      <c r="AX585" s="56" t="s">
        <v>17473</v>
      </c>
      <c r="AY585" s="56" t="s">
        <v>15179</v>
      </c>
      <c r="AZ585" s="58"/>
      <c r="BA585" s="58"/>
      <c r="BB585" s="58"/>
      <c r="BC585" s="56" t="s">
        <v>2140</v>
      </c>
      <c r="BD585" s="56" t="s">
        <v>15197</v>
      </c>
      <c r="BE585" s="58"/>
      <c r="BF585" s="56" t="s">
        <v>15181</v>
      </c>
      <c r="BG585" s="58"/>
      <c r="BH585" s="58"/>
      <c r="BI585" s="57" t="s">
        <v>2801</v>
      </c>
      <c r="BJ585" s="58"/>
      <c r="BK585" s="58"/>
      <c r="BL585" s="66">
        <v>3398685</v>
      </c>
      <c r="BM585" s="56" t="s">
        <v>17476</v>
      </c>
      <c r="BN585" s="58"/>
      <c r="BO585" s="67">
        <v>612.8</v>
      </c>
      <c r="BP585" s="56" t="s">
        <v>15409</v>
      </c>
      <c r="BQ585" s="58"/>
      <c r="BR585" s="56" t="s">
        <v>17477</v>
      </c>
      <c r="BS585" s="56" t="s">
        <v>1285</v>
      </c>
      <c r="BT585" s="58"/>
      <c r="BU585" s="56" t="s">
        <v>17474</v>
      </c>
      <c r="BV585" s="58"/>
      <c r="BW585" s="58"/>
      <c r="BX585" s="67">
        <v>612.8</v>
      </c>
      <c r="BY585" s="58"/>
      <c r="BZ585" s="58"/>
      <c r="CA585" s="58"/>
      <c r="CB585" s="58"/>
      <c r="CC585" s="58"/>
      <c r="CD585" s="58"/>
    </row>
    <row r="586" ht="108" spans="1:82">
      <c r="A586" s="56" t="s">
        <v>17494</v>
      </c>
      <c r="B586" s="58"/>
      <c r="C586" s="57" t="s">
        <v>17468</v>
      </c>
      <c r="D586" s="58"/>
      <c r="E586" s="57" t="s">
        <v>15158</v>
      </c>
      <c r="F586" s="57" t="s">
        <v>17469</v>
      </c>
      <c r="G586" s="57" t="s">
        <v>15160</v>
      </c>
      <c r="H586" s="56" t="s">
        <v>4391</v>
      </c>
      <c r="I586" s="60">
        <v>7091.66</v>
      </c>
      <c r="J586" s="57" t="s">
        <v>1285</v>
      </c>
      <c r="K586" s="57" t="s">
        <v>15162</v>
      </c>
      <c r="L586" s="57" t="s">
        <v>15163</v>
      </c>
      <c r="M586" s="61" t="s">
        <v>17325</v>
      </c>
      <c r="N586" s="62" t="s">
        <v>14909</v>
      </c>
      <c r="O586" s="57" t="s">
        <v>15165</v>
      </c>
      <c r="P586" s="57" t="s">
        <v>15166</v>
      </c>
      <c r="Q586" s="57" t="s">
        <v>4391</v>
      </c>
      <c r="R586" s="57" t="s">
        <v>17470</v>
      </c>
      <c r="S586" s="57" t="s">
        <v>17471</v>
      </c>
      <c r="T586" s="57" t="s">
        <v>15190</v>
      </c>
      <c r="U586" s="57" t="s">
        <v>14184</v>
      </c>
      <c r="V586" s="56" t="s">
        <v>14153</v>
      </c>
      <c r="W586" s="58"/>
      <c r="X586" s="57" t="s">
        <v>17472</v>
      </c>
      <c r="Y586" s="57" t="s">
        <v>15170</v>
      </c>
      <c r="Z586" s="61" t="s">
        <v>14605</v>
      </c>
      <c r="AA586" s="61" t="s">
        <v>17325</v>
      </c>
      <c r="AB586" s="58"/>
      <c r="AC586" s="57" t="s">
        <v>15172</v>
      </c>
      <c r="AD586" s="58"/>
      <c r="AE586" s="58"/>
      <c r="AF586" s="58"/>
      <c r="AG586" s="58"/>
      <c r="AH586" s="58"/>
      <c r="AI586" s="58"/>
      <c r="AJ586" s="58"/>
      <c r="AK586" s="56" t="s">
        <v>1285</v>
      </c>
      <c r="AL586" s="56" t="s">
        <v>17473</v>
      </c>
      <c r="AM586" s="58"/>
      <c r="AN586" s="56" t="s">
        <v>16083</v>
      </c>
      <c r="AO586" s="58"/>
      <c r="AP586" s="63">
        <v>45776.7964351852</v>
      </c>
      <c r="AQ586" s="56" t="s">
        <v>17474</v>
      </c>
      <c r="AR586" s="61" t="s">
        <v>15404</v>
      </c>
      <c r="AS586" s="57" t="s">
        <v>14184</v>
      </c>
      <c r="AT586" s="56" t="s">
        <v>15177</v>
      </c>
      <c r="AU586" s="56" t="s">
        <v>17475</v>
      </c>
      <c r="AV586" s="58"/>
      <c r="AW586" s="64">
        <v>45680.7036226852</v>
      </c>
      <c r="AX586" s="56" t="s">
        <v>17473</v>
      </c>
      <c r="AY586" s="56" t="s">
        <v>15179</v>
      </c>
      <c r="AZ586" s="58"/>
      <c r="BA586" s="58"/>
      <c r="BB586" s="58"/>
      <c r="BC586" s="56" t="s">
        <v>2140</v>
      </c>
      <c r="BD586" s="56" t="s">
        <v>15197</v>
      </c>
      <c r="BE586" s="58"/>
      <c r="BF586" s="56" t="s">
        <v>15181</v>
      </c>
      <c r="BG586" s="58"/>
      <c r="BH586" s="58"/>
      <c r="BI586" s="57" t="s">
        <v>2801</v>
      </c>
      <c r="BJ586" s="58"/>
      <c r="BK586" s="58"/>
      <c r="BL586" s="66">
        <v>3398687</v>
      </c>
      <c r="BM586" s="56" t="s">
        <v>17476</v>
      </c>
      <c r="BN586" s="58"/>
      <c r="BO586" s="67">
        <v>103.2</v>
      </c>
      <c r="BP586" s="56" t="s">
        <v>15409</v>
      </c>
      <c r="BQ586" s="58"/>
      <c r="BR586" s="56" t="s">
        <v>17477</v>
      </c>
      <c r="BS586" s="56" t="s">
        <v>1285</v>
      </c>
      <c r="BT586" s="58"/>
      <c r="BU586" s="56" t="s">
        <v>17474</v>
      </c>
      <c r="BV586" s="58"/>
      <c r="BW586" s="58"/>
      <c r="BX586" s="67">
        <v>103.2</v>
      </c>
      <c r="BY586" s="58"/>
      <c r="BZ586" s="58"/>
      <c r="CA586" s="58"/>
      <c r="CB586" s="58"/>
      <c r="CC586" s="58"/>
      <c r="CD586" s="58"/>
    </row>
    <row r="587" ht="108" spans="1:82">
      <c r="A587" s="56" t="s">
        <v>17495</v>
      </c>
      <c r="B587" s="58"/>
      <c r="C587" s="57" t="s">
        <v>17468</v>
      </c>
      <c r="D587" s="58"/>
      <c r="E587" s="57" t="s">
        <v>15158</v>
      </c>
      <c r="F587" s="57" t="s">
        <v>17469</v>
      </c>
      <c r="G587" s="57" t="s">
        <v>15160</v>
      </c>
      <c r="H587" s="56" t="s">
        <v>4391</v>
      </c>
      <c r="I587" s="60">
        <v>7091.66</v>
      </c>
      <c r="J587" s="57" t="s">
        <v>1285</v>
      </c>
      <c r="K587" s="57" t="s">
        <v>15162</v>
      </c>
      <c r="L587" s="57" t="s">
        <v>15163</v>
      </c>
      <c r="M587" s="61" t="s">
        <v>17325</v>
      </c>
      <c r="N587" s="62" t="s">
        <v>14909</v>
      </c>
      <c r="O587" s="57" t="s">
        <v>15165</v>
      </c>
      <c r="P587" s="57" t="s">
        <v>15166</v>
      </c>
      <c r="Q587" s="57" t="s">
        <v>4391</v>
      </c>
      <c r="R587" s="57" t="s">
        <v>17470</v>
      </c>
      <c r="S587" s="57" t="s">
        <v>17471</v>
      </c>
      <c r="T587" s="57" t="s">
        <v>15190</v>
      </c>
      <c r="U587" s="57" t="s">
        <v>14184</v>
      </c>
      <c r="V587" s="56" t="s">
        <v>14153</v>
      </c>
      <c r="W587" s="58"/>
      <c r="X587" s="57" t="s">
        <v>17472</v>
      </c>
      <c r="Y587" s="57" t="s">
        <v>15170</v>
      </c>
      <c r="Z587" s="61" t="s">
        <v>14605</v>
      </c>
      <c r="AA587" s="61" t="s">
        <v>17325</v>
      </c>
      <c r="AB587" s="58"/>
      <c r="AC587" s="57" t="s">
        <v>15172</v>
      </c>
      <c r="AD587" s="58"/>
      <c r="AE587" s="58"/>
      <c r="AF587" s="58"/>
      <c r="AG587" s="58"/>
      <c r="AH587" s="58"/>
      <c r="AI587" s="58"/>
      <c r="AJ587" s="58"/>
      <c r="AK587" s="56" t="s">
        <v>1285</v>
      </c>
      <c r="AL587" s="56" t="s">
        <v>17473</v>
      </c>
      <c r="AM587" s="58"/>
      <c r="AN587" s="56" t="s">
        <v>16083</v>
      </c>
      <c r="AO587" s="58"/>
      <c r="AP587" s="63">
        <v>45776.7964351852</v>
      </c>
      <c r="AQ587" s="56" t="s">
        <v>17474</v>
      </c>
      <c r="AR587" s="61" t="s">
        <v>15404</v>
      </c>
      <c r="AS587" s="57" t="s">
        <v>14184</v>
      </c>
      <c r="AT587" s="56" t="s">
        <v>15177</v>
      </c>
      <c r="AU587" s="56" t="s">
        <v>17475</v>
      </c>
      <c r="AV587" s="58"/>
      <c r="AW587" s="64">
        <v>45680.7036226852</v>
      </c>
      <c r="AX587" s="56" t="s">
        <v>17473</v>
      </c>
      <c r="AY587" s="56" t="s">
        <v>15179</v>
      </c>
      <c r="AZ587" s="58"/>
      <c r="BA587" s="58"/>
      <c r="BB587" s="58"/>
      <c r="BC587" s="56" t="s">
        <v>15196</v>
      </c>
      <c r="BD587" s="56" t="s">
        <v>15197</v>
      </c>
      <c r="BE587" s="58"/>
      <c r="BF587" s="56" t="s">
        <v>15181</v>
      </c>
      <c r="BG587" s="58"/>
      <c r="BH587" s="58"/>
      <c r="BI587" s="57" t="s">
        <v>2801</v>
      </c>
      <c r="BJ587" s="58"/>
      <c r="BK587" s="58"/>
      <c r="BL587" s="66">
        <v>3398667</v>
      </c>
      <c r="BM587" s="56" t="s">
        <v>17476</v>
      </c>
      <c r="BN587" s="58"/>
      <c r="BO587" s="67">
        <v>2009.4</v>
      </c>
      <c r="BP587" s="56" t="s">
        <v>15409</v>
      </c>
      <c r="BQ587" s="58"/>
      <c r="BR587" s="56" t="s">
        <v>17477</v>
      </c>
      <c r="BS587" s="56" t="s">
        <v>1285</v>
      </c>
      <c r="BT587" s="58"/>
      <c r="BU587" s="56" t="s">
        <v>17474</v>
      </c>
      <c r="BV587" s="58"/>
      <c r="BW587" s="58"/>
      <c r="BX587" s="67">
        <v>2009.4</v>
      </c>
      <c r="BY587" s="58"/>
      <c r="BZ587" s="58"/>
      <c r="CA587" s="58"/>
      <c r="CB587" s="58"/>
      <c r="CC587" s="58"/>
      <c r="CD587" s="58"/>
    </row>
    <row r="588" ht="108" spans="1:82">
      <c r="A588" s="56" t="s">
        <v>17496</v>
      </c>
      <c r="B588" s="58"/>
      <c r="C588" s="57" t="s">
        <v>17468</v>
      </c>
      <c r="D588" s="58"/>
      <c r="E588" s="57" t="s">
        <v>15158</v>
      </c>
      <c r="F588" s="57" t="s">
        <v>17469</v>
      </c>
      <c r="G588" s="57" t="s">
        <v>15160</v>
      </c>
      <c r="H588" s="56" t="s">
        <v>4391</v>
      </c>
      <c r="I588" s="60">
        <v>7091.66</v>
      </c>
      <c r="J588" s="57" t="s">
        <v>1285</v>
      </c>
      <c r="K588" s="57" t="s">
        <v>15162</v>
      </c>
      <c r="L588" s="57" t="s">
        <v>15163</v>
      </c>
      <c r="M588" s="61" t="s">
        <v>17325</v>
      </c>
      <c r="N588" s="62" t="s">
        <v>14909</v>
      </c>
      <c r="O588" s="57" t="s">
        <v>15165</v>
      </c>
      <c r="P588" s="57" t="s">
        <v>15166</v>
      </c>
      <c r="Q588" s="57" t="s">
        <v>4391</v>
      </c>
      <c r="R588" s="57" t="s">
        <v>17470</v>
      </c>
      <c r="S588" s="57" t="s">
        <v>17471</v>
      </c>
      <c r="T588" s="57" t="s">
        <v>15190</v>
      </c>
      <c r="U588" s="57" t="s">
        <v>14184</v>
      </c>
      <c r="V588" s="56" t="s">
        <v>14153</v>
      </c>
      <c r="W588" s="58"/>
      <c r="X588" s="57" t="s">
        <v>17472</v>
      </c>
      <c r="Y588" s="57" t="s">
        <v>15170</v>
      </c>
      <c r="Z588" s="61" t="s">
        <v>14605</v>
      </c>
      <c r="AA588" s="61" t="s">
        <v>17325</v>
      </c>
      <c r="AB588" s="58"/>
      <c r="AC588" s="57" t="s">
        <v>15172</v>
      </c>
      <c r="AD588" s="58"/>
      <c r="AE588" s="58"/>
      <c r="AF588" s="58"/>
      <c r="AG588" s="58"/>
      <c r="AH588" s="58"/>
      <c r="AI588" s="58"/>
      <c r="AJ588" s="58"/>
      <c r="AK588" s="56" t="s">
        <v>1285</v>
      </c>
      <c r="AL588" s="56" t="s">
        <v>17473</v>
      </c>
      <c r="AM588" s="58"/>
      <c r="AN588" s="56" t="s">
        <v>16083</v>
      </c>
      <c r="AO588" s="58"/>
      <c r="AP588" s="63">
        <v>45776.7964351852</v>
      </c>
      <c r="AQ588" s="56" t="s">
        <v>17474</v>
      </c>
      <c r="AR588" s="61" t="s">
        <v>15404</v>
      </c>
      <c r="AS588" s="57" t="s">
        <v>14184</v>
      </c>
      <c r="AT588" s="56" t="s">
        <v>15177</v>
      </c>
      <c r="AU588" s="56" t="s">
        <v>17475</v>
      </c>
      <c r="AV588" s="58"/>
      <c r="AW588" s="64">
        <v>45680.7036226852</v>
      </c>
      <c r="AX588" s="56" t="s">
        <v>17473</v>
      </c>
      <c r="AY588" s="56" t="s">
        <v>15179</v>
      </c>
      <c r="AZ588" s="58"/>
      <c r="BA588" s="58"/>
      <c r="BB588" s="58"/>
      <c r="BC588" s="56" t="s">
        <v>1697</v>
      </c>
      <c r="BD588" s="56" t="s">
        <v>15197</v>
      </c>
      <c r="BE588" s="58"/>
      <c r="BF588" s="56" t="s">
        <v>15181</v>
      </c>
      <c r="BG588" s="58"/>
      <c r="BH588" s="58"/>
      <c r="BI588" s="57" t="s">
        <v>2801</v>
      </c>
      <c r="BJ588" s="58"/>
      <c r="BK588" s="58"/>
      <c r="BL588" s="66">
        <v>3398668</v>
      </c>
      <c r="BM588" s="56" t="s">
        <v>17476</v>
      </c>
      <c r="BN588" s="58"/>
      <c r="BO588" s="67">
        <v>563.64</v>
      </c>
      <c r="BP588" s="56" t="s">
        <v>15409</v>
      </c>
      <c r="BQ588" s="58"/>
      <c r="BR588" s="56" t="s">
        <v>17477</v>
      </c>
      <c r="BS588" s="56" t="s">
        <v>1285</v>
      </c>
      <c r="BT588" s="58"/>
      <c r="BU588" s="56" t="s">
        <v>17474</v>
      </c>
      <c r="BV588" s="58"/>
      <c r="BW588" s="58"/>
      <c r="BX588" s="67">
        <v>563.64</v>
      </c>
      <c r="BY588" s="58"/>
      <c r="BZ588" s="58"/>
      <c r="CA588" s="58"/>
      <c r="CB588" s="58"/>
      <c r="CC588" s="58"/>
      <c r="CD588" s="58"/>
    </row>
    <row r="589" ht="108" spans="1:82">
      <c r="A589" s="56" t="s">
        <v>17497</v>
      </c>
      <c r="B589" s="58"/>
      <c r="C589" s="57" t="s">
        <v>17468</v>
      </c>
      <c r="D589" s="58"/>
      <c r="E589" s="57" t="s">
        <v>15158</v>
      </c>
      <c r="F589" s="57" t="s">
        <v>17469</v>
      </c>
      <c r="G589" s="57" t="s">
        <v>15160</v>
      </c>
      <c r="H589" s="56" t="s">
        <v>4391</v>
      </c>
      <c r="I589" s="60">
        <v>7091.66</v>
      </c>
      <c r="J589" s="57" t="s">
        <v>1285</v>
      </c>
      <c r="K589" s="57" t="s">
        <v>15162</v>
      </c>
      <c r="L589" s="57" t="s">
        <v>15163</v>
      </c>
      <c r="M589" s="61" t="s">
        <v>17325</v>
      </c>
      <c r="N589" s="62" t="s">
        <v>14909</v>
      </c>
      <c r="O589" s="57" t="s">
        <v>15165</v>
      </c>
      <c r="P589" s="57" t="s">
        <v>15166</v>
      </c>
      <c r="Q589" s="57" t="s">
        <v>4391</v>
      </c>
      <c r="R589" s="57" t="s">
        <v>17470</v>
      </c>
      <c r="S589" s="57" t="s">
        <v>17471</v>
      </c>
      <c r="T589" s="57" t="s">
        <v>15190</v>
      </c>
      <c r="U589" s="57" t="s">
        <v>14184</v>
      </c>
      <c r="V589" s="56" t="s">
        <v>14153</v>
      </c>
      <c r="W589" s="58"/>
      <c r="X589" s="57" t="s">
        <v>17472</v>
      </c>
      <c r="Y589" s="57" t="s">
        <v>15170</v>
      </c>
      <c r="Z589" s="61" t="s">
        <v>14605</v>
      </c>
      <c r="AA589" s="61" t="s">
        <v>17325</v>
      </c>
      <c r="AB589" s="58"/>
      <c r="AC589" s="57" t="s">
        <v>15172</v>
      </c>
      <c r="AD589" s="58"/>
      <c r="AE589" s="58"/>
      <c r="AF589" s="58"/>
      <c r="AG589" s="58"/>
      <c r="AH589" s="58"/>
      <c r="AI589" s="58"/>
      <c r="AJ589" s="58"/>
      <c r="AK589" s="56" t="s">
        <v>1285</v>
      </c>
      <c r="AL589" s="56" t="s">
        <v>17473</v>
      </c>
      <c r="AM589" s="58"/>
      <c r="AN589" s="56" t="s">
        <v>16083</v>
      </c>
      <c r="AO589" s="58"/>
      <c r="AP589" s="63">
        <v>45776.7964351852</v>
      </c>
      <c r="AQ589" s="56" t="s">
        <v>17474</v>
      </c>
      <c r="AR589" s="61" t="s">
        <v>15404</v>
      </c>
      <c r="AS589" s="57" t="s">
        <v>14184</v>
      </c>
      <c r="AT589" s="56" t="s">
        <v>15177</v>
      </c>
      <c r="AU589" s="56" t="s">
        <v>17475</v>
      </c>
      <c r="AV589" s="58"/>
      <c r="AW589" s="64">
        <v>45680.7036226852</v>
      </c>
      <c r="AX589" s="56" t="s">
        <v>17473</v>
      </c>
      <c r="AY589" s="56" t="s">
        <v>15179</v>
      </c>
      <c r="AZ589" s="58"/>
      <c r="BA589" s="58"/>
      <c r="BB589" s="58"/>
      <c r="BC589" s="56" t="s">
        <v>2140</v>
      </c>
      <c r="BD589" s="56" t="s">
        <v>15197</v>
      </c>
      <c r="BE589" s="58"/>
      <c r="BF589" s="56" t="s">
        <v>15181</v>
      </c>
      <c r="BG589" s="58"/>
      <c r="BH589" s="58"/>
      <c r="BI589" s="57" t="s">
        <v>2801</v>
      </c>
      <c r="BJ589" s="58"/>
      <c r="BK589" s="58"/>
      <c r="BL589" s="66">
        <v>3398666</v>
      </c>
      <c r="BM589" s="56" t="s">
        <v>17476</v>
      </c>
      <c r="BN589" s="58"/>
      <c r="BO589" s="67">
        <v>492</v>
      </c>
      <c r="BP589" s="56" t="s">
        <v>15409</v>
      </c>
      <c r="BQ589" s="58"/>
      <c r="BR589" s="56" t="s">
        <v>17477</v>
      </c>
      <c r="BS589" s="56" t="s">
        <v>1285</v>
      </c>
      <c r="BT589" s="58"/>
      <c r="BU589" s="56" t="s">
        <v>17474</v>
      </c>
      <c r="BV589" s="58"/>
      <c r="BW589" s="58"/>
      <c r="BX589" s="67">
        <v>492</v>
      </c>
      <c r="BY589" s="58"/>
      <c r="BZ589" s="58"/>
      <c r="CA589" s="58"/>
      <c r="CB589" s="58"/>
      <c r="CC589" s="58"/>
      <c r="CD589" s="58"/>
    </row>
    <row r="590" ht="108" spans="1:82">
      <c r="A590" s="56" t="s">
        <v>17498</v>
      </c>
      <c r="B590" s="58"/>
      <c r="C590" s="57" t="s">
        <v>17468</v>
      </c>
      <c r="D590" s="58"/>
      <c r="E590" s="57" t="s">
        <v>15158</v>
      </c>
      <c r="F590" s="57" t="s">
        <v>17469</v>
      </c>
      <c r="G590" s="57" t="s">
        <v>15160</v>
      </c>
      <c r="H590" s="56" t="s">
        <v>4391</v>
      </c>
      <c r="I590" s="60">
        <v>7091.66</v>
      </c>
      <c r="J590" s="57" t="s">
        <v>1285</v>
      </c>
      <c r="K590" s="57" t="s">
        <v>15162</v>
      </c>
      <c r="L590" s="57" t="s">
        <v>15163</v>
      </c>
      <c r="M590" s="61" t="s">
        <v>17325</v>
      </c>
      <c r="N590" s="62" t="s">
        <v>14909</v>
      </c>
      <c r="O590" s="57" t="s">
        <v>15165</v>
      </c>
      <c r="P590" s="57" t="s">
        <v>15166</v>
      </c>
      <c r="Q590" s="57" t="s">
        <v>4391</v>
      </c>
      <c r="R590" s="57" t="s">
        <v>17470</v>
      </c>
      <c r="S590" s="57" t="s">
        <v>17471</v>
      </c>
      <c r="T590" s="57" t="s">
        <v>15190</v>
      </c>
      <c r="U590" s="57" t="s">
        <v>14184</v>
      </c>
      <c r="V590" s="56" t="s">
        <v>14153</v>
      </c>
      <c r="W590" s="58"/>
      <c r="X590" s="57" t="s">
        <v>17472</v>
      </c>
      <c r="Y590" s="57" t="s">
        <v>15170</v>
      </c>
      <c r="Z590" s="61" t="s">
        <v>14605</v>
      </c>
      <c r="AA590" s="61" t="s">
        <v>17325</v>
      </c>
      <c r="AB590" s="58"/>
      <c r="AC590" s="57" t="s">
        <v>15172</v>
      </c>
      <c r="AD590" s="58"/>
      <c r="AE590" s="58"/>
      <c r="AF590" s="58"/>
      <c r="AG590" s="58"/>
      <c r="AH590" s="58"/>
      <c r="AI590" s="58"/>
      <c r="AJ590" s="58"/>
      <c r="AK590" s="56" t="s">
        <v>1285</v>
      </c>
      <c r="AL590" s="56" t="s">
        <v>17473</v>
      </c>
      <c r="AM590" s="58"/>
      <c r="AN590" s="56" t="s">
        <v>16083</v>
      </c>
      <c r="AO590" s="58"/>
      <c r="AP590" s="63">
        <v>45776.7964351852</v>
      </c>
      <c r="AQ590" s="56" t="s">
        <v>17474</v>
      </c>
      <c r="AR590" s="61" t="s">
        <v>15404</v>
      </c>
      <c r="AS590" s="57" t="s">
        <v>14184</v>
      </c>
      <c r="AT590" s="56" t="s">
        <v>15177</v>
      </c>
      <c r="AU590" s="56" t="s">
        <v>17475</v>
      </c>
      <c r="AV590" s="58"/>
      <c r="AW590" s="64">
        <v>45680.7036226852</v>
      </c>
      <c r="AX590" s="56" t="s">
        <v>17473</v>
      </c>
      <c r="AY590" s="56" t="s">
        <v>15179</v>
      </c>
      <c r="AZ590" s="58"/>
      <c r="BA590" s="58"/>
      <c r="BB590" s="58"/>
      <c r="BC590" s="56" t="s">
        <v>2142</v>
      </c>
      <c r="BD590" s="56" t="s">
        <v>15197</v>
      </c>
      <c r="BE590" s="58"/>
      <c r="BF590" s="56" t="s">
        <v>15181</v>
      </c>
      <c r="BG590" s="58"/>
      <c r="BH590" s="58"/>
      <c r="BI590" s="57" t="s">
        <v>2801</v>
      </c>
      <c r="BJ590" s="58"/>
      <c r="BK590" s="58"/>
      <c r="BL590" s="66">
        <v>3398680</v>
      </c>
      <c r="BM590" s="56" t="s">
        <v>17476</v>
      </c>
      <c r="BN590" s="58"/>
      <c r="BO590" s="67">
        <v>1196.44</v>
      </c>
      <c r="BP590" s="56" t="s">
        <v>15409</v>
      </c>
      <c r="BQ590" s="58"/>
      <c r="BR590" s="56" t="s">
        <v>17477</v>
      </c>
      <c r="BS590" s="56" t="s">
        <v>1285</v>
      </c>
      <c r="BT590" s="58"/>
      <c r="BU590" s="56" t="s">
        <v>17474</v>
      </c>
      <c r="BV590" s="58"/>
      <c r="BW590" s="58"/>
      <c r="BX590" s="67">
        <v>1196.44</v>
      </c>
      <c r="BY590" s="58"/>
      <c r="BZ590" s="58"/>
      <c r="CA590" s="58"/>
      <c r="CB590" s="58"/>
      <c r="CC590" s="58"/>
      <c r="CD590" s="58"/>
    </row>
    <row r="591" ht="108" spans="1:82">
      <c r="A591" s="56" t="s">
        <v>17499</v>
      </c>
      <c r="B591" s="58"/>
      <c r="C591" s="57" t="s">
        <v>17468</v>
      </c>
      <c r="D591" s="58"/>
      <c r="E591" s="57" t="s">
        <v>15158</v>
      </c>
      <c r="F591" s="57" t="s">
        <v>17469</v>
      </c>
      <c r="G591" s="57" t="s">
        <v>15160</v>
      </c>
      <c r="H591" s="56" t="s">
        <v>4391</v>
      </c>
      <c r="I591" s="60">
        <v>7091.66</v>
      </c>
      <c r="J591" s="57" t="s">
        <v>1285</v>
      </c>
      <c r="K591" s="57" t="s">
        <v>15162</v>
      </c>
      <c r="L591" s="57" t="s">
        <v>15163</v>
      </c>
      <c r="M591" s="61" t="s">
        <v>17325</v>
      </c>
      <c r="N591" s="62" t="s">
        <v>14909</v>
      </c>
      <c r="O591" s="57" t="s">
        <v>15165</v>
      </c>
      <c r="P591" s="57" t="s">
        <v>15166</v>
      </c>
      <c r="Q591" s="57" t="s">
        <v>4391</v>
      </c>
      <c r="R591" s="57" t="s">
        <v>17470</v>
      </c>
      <c r="S591" s="57" t="s">
        <v>17471</v>
      </c>
      <c r="T591" s="57" t="s">
        <v>15190</v>
      </c>
      <c r="U591" s="57" t="s">
        <v>14184</v>
      </c>
      <c r="V591" s="56" t="s">
        <v>14153</v>
      </c>
      <c r="W591" s="58"/>
      <c r="X591" s="57" t="s">
        <v>17472</v>
      </c>
      <c r="Y591" s="57" t="s">
        <v>15170</v>
      </c>
      <c r="Z591" s="61" t="s">
        <v>14605</v>
      </c>
      <c r="AA591" s="61" t="s">
        <v>17325</v>
      </c>
      <c r="AB591" s="58"/>
      <c r="AC591" s="57" t="s">
        <v>15172</v>
      </c>
      <c r="AD591" s="58"/>
      <c r="AE591" s="58"/>
      <c r="AF591" s="58"/>
      <c r="AG591" s="58"/>
      <c r="AH591" s="58"/>
      <c r="AI591" s="58"/>
      <c r="AJ591" s="58"/>
      <c r="AK591" s="56" t="s">
        <v>1285</v>
      </c>
      <c r="AL591" s="56" t="s">
        <v>17473</v>
      </c>
      <c r="AM591" s="58"/>
      <c r="AN591" s="56" t="s">
        <v>16083</v>
      </c>
      <c r="AO591" s="58"/>
      <c r="AP591" s="63">
        <v>45776.7964351852</v>
      </c>
      <c r="AQ591" s="56" t="s">
        <v>17474</v>
      </c>
      <c r="AR591" s="61" t="s">
        <v>15404</v>
      </c>
      <c r="AS591" s="57" t="s">
        <v>14184</v>
      </c>
      <c r="AT591" s="56" t="s">
        <v>15177</v>
      </c>
      <c r="AU591" s="56" t="s">
        <v>17475</v>
      </c>
      <c r="AV591" s="58"/>
      <c r="AW591" s="64">
        <v>45680.7036226852</v>
      </c>
      <c r="AX591" s="56" t="s">
        <v>17473</v>
      </c>
      <c r="AY591" s="56" t="s">
        <v>15179</v>
      </c>
      <c r="AZ591" s="58"/>
      <c r="BA591" s="58"/>
      <c r="BB591" s="58"/>
      <c r="BC591" s="56" t="s">
        <v>2140</v>
      </c>
      <c r="BD591" s="56" t="s">
        <v>15197</v>
      </c>
      <c r="BE591" s="58"/>
      <c r="BF591" s="56" t="s">
        <v>15181</v>
      </c>
      <c r="BG591" s="58"/>
      <c r="BH591" s="58"/>
      <c r="BI591" s="57" t="s">
        <v>2801</v>
      </c>
      <c r="BJ591" s="58"/>
      <c r="BK591" s="58"/>
      <c r="BL591" s="66">
        <v>3398686</v>
      </c>
      <c r="BM591" s="56" t="s">
        <v>17476</v>
      </c>
      <c r="BN591" s="58"/>
      <c r="BO591" s="67">
        <v>67.2</v>
      </c>
      <c r="BP591" s="56" t="s">
        <v>15409</v>
      </c>
      <c r="BQ591" s="58"/>
      <c r="BR591" s="56" t="s">
        <v>17477</v>
      </c>
      <c r="BS591" s="56" t="s">
        <v>1285</v>
      </c>
      <c r="BT591" s="58"/>
      <c r="BU591" s="56" t="s">
        <v>17474</v>
      </c>
      <c r="BV591" s="58"/>
      <c r="BW591" s="58"/>
      <c r="BX591" s="67">
        <v>67.2</v>
      </c>
      <c r="BY591" s="58"/>
      <c r="BZ591" s="58"/>
      <c r="CA591" s="58"/>
      <c r="CB591" s="58"/>
      <c r="CC591" s="58"/>
      <c r="CD591" s="58"/>
    </row>
    <row r="592" ht="108" spans="1:82">
      <c r="A592" s="56" t="s">
        <v>17500</v>
      </c>
      <c r="B592" s="58"/>
      <c r="C592" s="57" t="s">
        <v>17501</v>
      </c>
      <c r="D592" s="58"/>
      <c r="E592" s="57" t="s">
        <v>15158</v>
      </c>
      <c r="F592" s="57" t="s">
        <v>17502</v>
      </c>
      <c r="G592" s="57" t="s">
        <v>15160</v>
      </c>
      <c r="H592" s="56" t="s">
        <v>2965</v>
      </c>
      <c r="I592" s="60">
        <v>13295.19</v>
      </c>
      <c r="J592" s="57" t="s">
        <v>1285</v>
      </c>
      <c r="K592" s="57" t="s">
        <v>15162</v>
      </c>
      <c r="L592" s="57" t="s">
        <v>15163</v>
      </c>
      <c r="M592" s="61" t="s">
        <v>17325</v>
      </c>
      <c r="N592" s="62" t="s">
        <v>14909</v>
      </c>
      <c r="O592" s="57" t="s">
        <v>15165</v>
      </c>
      <c r="P592" s="57" t="s">
        <v>15166</v>
      </c>
      <c r="Q592" s="57" t="s">
        <v>2965</v>
      </c>
      <c r="R592" s="57" t="s">
        <v>15606</v>
      </c>
      <c r="S592" s="57" t="s">
        <v>15607</v>
      </c>
      <c r="T592" s="57" t="s">
        <v>15190</v>
      </c>
      <c r="U592" s="57" t="s">
        <v>14184</v>
      </c>
      <c r="V592" s="56" t="s">
        <v>14153</v>
      </c>
      <c r="W592" s="58"/>
      <c r="X592" s="57" t="s">
        <v>17503</v>
      </c>
      <c r="Y592" s="57" t="s">
        <v>15170</v>
      </c>
      <c r="Z592" s="61" t="s">
        <v>14605</v>
      </c>
      <c r="AA592" s="61" t="s">
        <v>17325</v>
      </c>
      <c r="AB592" s="58"/>
      <c r="AC592" s="57" t="s">
        <v>15172</v>
      </c>
      <c r="AD592" s="58"/>
      <c r="AE592" s="58"/>
      <c r="AF592" s="58"/>
      <c r="AG592" s="58"/>
      <c r="AH592" s="58"/>
      <c r="AI592" s="58"/>
      <c r="AJ592" s="58"/>
      <c r="AK592" s="56" t="s">
        <v>1285</v>
      </c>
      <c r="AL592" s="56" t="s">
        <v>17504</v>
      </c>
      <c r="AM592" s="58"/>
      <c r="AN592" s="56" t="s">
        <v>15324</v>
      </c>
      <c r="AO592" s="58"/>
      <c r="AP592" s="63">
        <v>45776.8001157407</v>
      </c>
      <c r="AQ592" s="56" t="s">
        <v>17505</v>
      </c>
      <c r="AR592" s="61" t="s">
        <v>15404</v>
      </c>
      <c r="AS592" s="57" t="s">
        <v>14184</v>
      </c>
      <c r="AT592" s="56" t="s">
        <v>15177</v>
      </c>
      <c r="AU592" s="56" t="s">
        <v>17506</v>
      </c>
      <c r="AV592" s="58"/>
      <c r="AW592" s="64">
        <v>45679.9364236111</v>
      </c>
      <c r="AX592" s="56" t="s">
        <v>17504</v>
      </c>
      <c r="AY592" s="56" t="s">
        <v>15179</v>
      </c>
      <c r="AZ592" s="58"/>
      <c r="BA592" s="58"/>
      <c r="BB592" s="58"/>
      <c r="BC592" s="56" t="s">
        <v>15628</v>
      </c>
      <c r="BD592" s="56" t="s">
        <v>15197</v>
      </c>
      <c r="BE592" s="56" t="s">
        <v>15613</v>
      </c>
      <c r="BF592" s="56" t="s">
        <v>15181</v>
      </c>
      <c r="BG592" s="58"/>
      <c r="BH592" s="58"/>
      <c r="BI592" s="57" t="s">
        <v>2801</v>
      </c>
      <c r="BJ592" s="58"/>
      <c r="BK592" s="58"/>
      <c r="BL592" s="66">
        <v>3387688</v>
      </c>
      <c r="BM592" s="56" t="s">
        <v>17507</v>
      </c>
      <c r="BN592" s="58"/>
      <c r="BO592" s="67">
        <v>1139.04</v>
      </c>
      <c r="BP592" s="56" t="s">
        <v>15409</v>
      </c>
      <c r="BQ592" s="58"/>
      <c r="BR592" s="56" t="s">
        <v>17508</v>
      </c>
      <c r="BS592" s="56" t="s">
        <v>1285</v>
      </c>
      <c r="BT592" s="58"/>
      <c r="BU592" s="56" t="s">
        <v>17505</v>
      </c>
      <c r="BV592" s="58"/>
      <c r="BW592" s="58"/>
      <c r="BX592" s="67">
        <v>1139.04</v>
      </c>
      <c r="BY592" s="56" t="s">
        <v>1285</v>
      </c>
      <c r="BZ592" s="58"/>
      <c r="CA592" s="58"/>
      <c r="CB592" s="58"/>
      <c r="CC592" s="58"/>
      <c r="CD592" s="58"/>
    </row>
    <row r="593" ht="108" spans="1:82">
      <c r="A593" s="56" t="s">
        <v>17509</v>
      </c>
      <c r="B593" s="58"/>
      <c r="C593" s="57" t="s">
        <v>17501</v>
      </c>
      <c r="D593" s="58"/>
      <c r="E593" s="57" t="s">
        <v>15158</v>
      </c>
      <c r="F593" s="57" t="s">
        <v>17502</v>
      </c>
      <c r="G593" s="57" t="s">
        <v>15160</v>
      </c>
      <c r="H593" s="56" t="s">
        <v>2965</v>
      </c>
      <c r="I593" s="60">
        <v>13295.19</v>
      </c>
      <c r="J593" s="57" t="s">
        <v>1285</v>
      </c>
      <c r="K593" s="57" t="s">
        <v>15162</v>
      </c>
      <c r="L593" s="57" t="s">
        <v>15163</v>
      </c>
      <c r="M593" s="61" t="s">
        <v>17325</v>
      </c>
      <c r="N593" s="62" t="s">
        <v>14909</v>
      </c>
      <c r="O593" s="57" t="s">
        <v>15165</v>
      </c>
      <c r="P593" s="57" t="s">
        <v>15166</v>
      </c>
      <c r="Q593" s="57" t="s">
        <v>2965</v>
      </c>
      <c r="R593" s="57" t="s">
        <v>15606</v>
      </c>
      <c r="S593" s="57" t="s">
        <v>15607</v>
      </c>
      <c r="T593" s="57" t="s">
        <v>15190</v>
      </c>
      <c r="U593" s="57" t="s">
        <v>14184</v>
      </c>
      <c r="V593" s="56" t="s">
        <v>14153</v>
      </c>
      <c r="W593" s="58"/>
      <c r="X593" s="57" t="s">
        <v>17503</v>
      </c>
      <c r="Y593" s="57" t="s">
        <v>15170</v>
      </c>
      <c r="Z593" s="61" t="s">
        <v>14605</v>
      </c>
      <c r="AA593" s="61" t="s">
        <v>17325</v>
      </c>
      <c r="AB593" s="58"/>
      <c r="AC593" s="57" t="s">
        <v>15172</v>
      </c>
      <c r="AD593" s="58"/>
      <c r="AE593" s="58"/>
      <c r="AF593" s="58"/>
      <c r="AG593" s="58"/>
      <c r="AH593" s="58"/>
      <c r="AI593" s="58"/>
      <c r="AJ593" s="58"/>
      <c r="AK593" s="56" t="s">
        <v>1285</v>
      </c>
      <c r="AL593" s="56" t="s">
        <v>17504</v>
      </c>
      <c r="AM593" s="58"/>
      <c r="AN593" s="56" t="s">
        <v>15324</v>
      </c>
      <c r="AO593" s="58"/>
      <c r="AP593" s="63">
        <v>45776.8001157407</v>
      </c>
      <c r="AQ593" s="56" t="s">
        <v>17505</v>
      </c>
      <c r="AR593" s="61" t="s">
        <v>15404</v>
      </c>
      <c r="AS593" s="57" t="s">
        <v>14184</v>
      </c>
      <c r="AT593" s="56" t="s">
        <v>15177</v>
      </c>
      <c r="AU593" s="56" t="s">
        <v>17506</v>
      </c>
      <c r="AV593" s="58"/>
      <c r="AW593" s="64">
        <v>45679.9364236111</v>
      </c>
      <c r="AX593" s="56" t="s">
        <v>17504</v>
      </c>
      <c r="AY593" s="56" t="s">
        <v>15179</v>
      </c>
      <c r="AZ593" s="58"/>
      <c r="BA593" s="58"/>
      <c r="BB593" s="58"/>
      <c r="BC593" s="56" t="s">
        <v>15628</v>
      </c>
      <c r="BD593" s="56" t="s">
        <v>15197</v>
      </c>
      <c r="BE593" s="56" t="s">
        <v>15613</v>
      </c>
      <c r="BF593" s="56" t="s">
        <v>15181</v>
      </c>
      <c r="BG593" s="58"/>
      <c r="BH593" s="58"/>
      <c r="BI593" s="57" t="s">
        <v>2801</v>
      </c>
      <c r="BJ593" s="58"/>
      <c r="BK593" s="58"/>
      <c r="BL593" s="66">
        <v>3387711</v>
      </c>
      <c r="BM593" s="56" t="s">
        <v>17507</v>
      </c>
      <c r="BN593" s="58"/>
      <c r="BO593" s="67">
        <v>1654.8</v>
      </c>
      <c r="BP593" s="56" t="s">
        <v>15409</v>
      </c>
      <c r="BQ593" s="58"/>
      <c r="BR593" s="56" t="s">
        <v>17508</v>
      </c>
      <c r="BS593" s="56" t="s">
        <v>1285</v>
      </c>
      <c r="BT593" s="58"/>
      <c r="BU593" s="56" t="s">
        <v>17505</v>
      </c>
      <c r="BV593" s="58"/>
      <c r="BW593" s="58"/>
      <c r="BX593" s="67">
        <v>1654.8</v>
      </c>
      <c r="BY593" s="56" t="s">
        <v>1285</v>
      </c>
      <c r="BZ593" s="58"/>
      <c r="CA593" s="58"/>
      <c r="CB593" s="58"/>
      <c r="CC593" s="58"/>
      <c r="CD593" s="58"/>
    </row>
    <row r="594" ht="108" spans="1:82">
      <c r="A594" s="56" t="s">
        <v>17510</v>
      </c>
      <c r="B594" s="58"/>
      <c r="C594" s="57" t="s">
        <v>17501</v>
      </c>
      <c r="D594" s="58"/>
      <c r="E594" s="57" t="s">
        <v>15158</v>
      </c>
      <c r="F594" s="57" t="s">
        <v>17502</v>
      </c>
      <c r="G594" s="57" t="s">
        <v>15160</v>
      </c>
      <c r="H594" s="56" t="s">
        <v>2965</v>
      </c>
      <c r="I594" s="60">
        <v>13295.19</v>
      </c>
      <c r="J594" s="57" t="s">
        <v>1285</v>
      </c>
      <c r="K594" s="57" t="s">
        <v>15162</v>
      </c>
      <c r="L594" s="57" t="s">
        <v>15163</v>
      </c>
      <c r="M594" s="61" t="s">
        <v>17325</v>
      </c>
      <c r="N594" s="62" t="s">
        <v>14909</v>
      </c>
      <c r="O594" s="57" t="s">
        <v>15165</v>
      </c>
      <c r="P594" s="57" t="s">
        <v>15166</v>
      </c>
      <c r="Q594" s="57" t="s">
        <v>2965</v>
      </c>
      <c r="R594" s="57" t="s">
        <v>15606</v>
      </c>
      <c r="S594" s="57" t="s">
        <v>15607</v>
      </c>
      <c r="T594" s="57" t="s">
        <v>15190</v>
      </c>
      <c r="U594" s="57" t="s">
        <v>14184</v>
      </c>
      <c r="V594" s="56" t="s">
        <v>14153</v>
      </c>
      <c r="W594" s="58"/>
      <c r="X594" s="57" t="s">
        <v>17503</v>
      </c>
      <c r="Y594" s="57" t="s">
        <v>15170</v>
      </c>
      <c r="Z594" s="61" t="s">
        <v>14605</v>
      </c>
      <c r="AA594" s="61" t="s">
        <v>17325</v>
      </c>
      <c r="AB594" s="58"/>
      <c r="AC594" s="57" t="s">
        <v>15172</v>
      </c>
      <c r="AD594" s="58"/>
      <c r="AE594" s="58"/>
      <c r="AF594" s="58"/>
      <c r="AG594" s="58"/>
      <c r="AH594" s="58"/>
      <c r="AI594" s="58"/>
      <c r="AJ594" s="58"/>
      <c r="AK594" s="56" t="s">
        <v>1285</v>
      </c>
      <c r="AL594" s="56" t="s">
        <v>17504</v>
      </c>
      <c r="AM594" s="58"/>
      <c r="AN594" s="56" t="s">
        <v>15324</v>
      </c>
      <c r="AO594" s="58"/>
      <c r="AP594" s="63">
        <v>45776.8001157407</v>
      </c>
      <c r="AQ594" s="56" t="s">
        <v>17505</v>
      </c>
      <c r="AR594" s="61" t="s">
        <v>15404</v>
      </c>
      <c r="AS594" s="57" t="s">
        <v>14184</v>
      </c>
      <c r="AT594" s="56" t="s">
        <v>15177</v>
      </c>
      <c r="AU594" s="56" t="s">
        <v>17506</v>
      </c>
      <c r="AV594" s="58"/>
      <c r="AW594" s="64">
        <v>45679.9364236111</v>
      </c>
      <c r="AX594" s="56" t="s">
        <v>17504</v>
      </c>
      <c r="AY594" s="56" t="s">
        <v>15179</v>
      </c>
      <c r="AZ594" s="58"/>
      <c r="BA594" s="58"/>
      <c r="BB594" s="58"/>
      <c r="BC594" s="56" t="s">
        <v>15637</v>
      </c>
      <c r="BD594" s="56" t="s">
        <v>15197</v>
      </c>
      <c r="BE594" s="56" t="s">
        <v>15613</v>
      </c>
      <c r="BF594" s="56" t="s">
        <v>15181</v>
      </c>
      <c r="BG594" s="58"/>
      <c r="BH594" s="58"/>
      <c r="BI594" s="57" t="s">
        <v>2801</v>
      </c>
      <c r="BJ594" s="58"/>
      <c r="BK594" s="58"/>
      <c r="BL594" s="66">
        <v>3387691</v>
      </c>
      <c r="BM594" s="56" t="s">
        <v>17507</v>
      </c>
      <c r="BN594" s="58"/>
      <c r="BO594" s="67">
        <v>247.85</v>
      </c>
      <c r="BP594" s="56" t="s">
        <v>15409</v>
      </c>
      <c r="BQ594" s="58"/>
      <c r="BR594" s="56" t="s">
        <v>17508</v>
      </c>
      <c r="BS594" s="56" t="s">
        <v>1285</v>
      </c>
      <c r="BT594" s="58"/>
      <c r="BU594" s="56" t="s">
        <v>17505</v>
      </c>
      <c r="BV594" s="58"/>
      <c r="BW594" s="58"/>
      <c r="BX594" s="67">
        <v>247.85</v>
      </c>
      <c r="BY594" s="56" t="s">
        <v>1285</v>
      </c>
      <c r="BZ594" s="58"/>
      <c r="CA594" s="58"/>
      <c r="CB594" s="58"/>
      <c r="CC594" s="58"/>
      <c r="CD594" s="58"/>
    </row>
    <row r="595" ht="108" spans="1:82">
      <c r="A595" s="56" t="s">
        <v>17511</v>
      </c>
      <c r="B595" s="58"/>
      <c r="C595" s="57" t="s">
        <v>17501</v>
      </c>
      <c r="D595" s="58"/>
      <c r="E595" s="57" t="s">
        <v>15158</v>
      </c>
      <c r="F595" s="57" t="s">
        <v>17502</v>
      </c>
      <c r="G595" s="57" t="s">
        <v>15160</v>
      </c>
      <c r="H595" s="56" t="s">
        <v>2965</v>
      </c>
      <c r="I595" s="60">
        <v>13295.19</v>
      </c>
      <c r="J595" s="57" t="s">
        <v>1285</v>
      </c>
      <c r="K595" s="57" t="s">
        <v>15162</v>
      </c>
      <c r="L595" s="57" t="s">
        <v>15163</v>
      </c>
      <c r="M595" s="61" t="s">
        <v>17325</v>
      </c>
      <c r="N595" s="62" t="s">
        <v>14909</v>
      </c>
      <c r="O595" s="57" t="s">
        <v>15165</v>
      </c>
      <c r="P595" s="57" t="s">
        <v>15166</v>
      </c>
      <c r="Q595" s="57" t="s">
        <v>2965</v>
      </c>
      <c r="R595" s="57" t="s">
        <v>15606</v>
      </c>
      <c r="S595" s="57" t="s">
        <v>15607</v>
      </c>
      <c r="T595" s="57" t="s">
        <v>15190</v>
      </c>
      <c r="U595" s="57" t="s">
        <v>14184</v>
      </c>
      <c r="V595" s="56" t="s">
        <v>14153</v>
      </c>
      <c r="W595" s="58"/>
      <c r="X595" s="57" t="s">
        <v>17503</v>
      </c>
      <c r="Y595" s="57" t="s">
        <v>15170</v>
      </c>
      <c r="Z595" s="61" t="s">
        <v>14605</v>
      </c>
      <c r="AA595" s="61" t="s">
        <v>17325</v>
      </c>
      <c r="AB595" s="58"/>
      <c r="AC595" s="57" t="s">
        <v>15172</v>
      </c>
      <c r="AD595" s="58"/>
      <c r="AE595" s="58"/>
      <c r="AF595" s="58"/>
      <c r="AG595" s="58"/>
      <c r="AH595" s="58"/>
      <c r="AI595" s="58"/>
      <c r="AJ595" s="58"/>
      <c r="AK595" s="56" t="s">
        <v>1285</v>
      </c>
      <c r="AL595" s="56" t="s">
        <v>17504</v>
      </c>
      <c r="AM595" s="58"/>
      <c r="AN595" s="56" t="s">
        <v>15324</v>
      </c>
      <c r="AO595" s="58"/>
      <c r="AP595" s="63">
        <v>45776.8001157407</v>
      </c>
      <c r="AQ595" s="56" t="s">
        <v>17505</v>
      </c>
      <c r="AR595" s="61" t="s">
        <v>15404</v>
      </c>
      <c r="AS595" s="57" t="s">
        <v>14184</v>
      </c>
      <c r="AT595" s="56" t="s">
        <v>15177</v>
      </c>
      <c r="AU595" s="56" t="s">
        <v>17506</v>
      </c>
      <c r="AV595" s="58"/>
      <c r="AW595" s="64">
        <v>45679.9364236111</v>
      </c>
      <c r="AX595" s="56" t="s">
        <v>17504</v>
      </c>
      <c r="AY595" s="56" t="s">
        <v>15179</v>
      </c>
      <c r="AZ595" s="58"/>
      <c r="BA595" s="58"/>
      <c r="BB595" s="58"/>
      <c r="BC595" s="56" t="s">
        <v>2148</v>
      </c>
      <c r="BD595" s="56" t="s">
        <v>15197</v>
      </c>
      <c r="BE595" s="56" t="s">
        <v>15613</v>
      </c>
      <c r="BF595" s="56" t="s">
        <v>15181</v>
      </c>
      <c r="BG595" s="58"/>
      <c r="BH595" s="58"/>
      <c r="BI595" s="57" t="s">
        <v>2801</v>
      </c>
      <c r="BJ595" s="58"/>
      <c r="BK595" s="58"/>
      <c r="BL595" s="66">
        <v>3387701</v>
      </c>
      <c r="BM595" s="56" t="s">
        <v>17507</v>
      </c>
      <c r="BN595" s="58"/>
      <c r="BO595" s="67">
        <v>2924.1</v>
      </c>
      <c r="BP595" s="56" t="s">
        <v>15409</v>
      </c>
      <c r="BQ595" s="58"/>
      <c r="BR595" s="56" t="s">
        <v>17508</v>
      </c>
      <c r="BS595" s="56" t="s">
        <v>1285</v>
      </c>
      <c r="BT595" s="58"/>
      <c r="BU595" s="56" t="s">
        <v>17505</v>
      </c>
      <c r="BV595" s="58"/>
      <c r="BW595" s="58"/>
      <c r="BX595" s="67">
        <v>2924.1</v>
      </c>
      <c r="BY595" s="56" t="s">
        <v>1285</v>
      </c>
      <c r="BZ595" s="58"/>
      <c r="CA595" s="58"/>
      <c r="CB595" s="58"/>
      <c r="CC595" s="58"/>
      <c r="CD595" s="58"/>
    </row>
    <row r="596" ht="108" spans="1:82">
      <c r="A596" s="56" t="s">
        <v>17512</v>
      </c>
      <c r="B596" s="58"/>
      <c r="C596" s="57" t="s">
        <v>17501</v>
      </c>
      <c r="D596" s="58"/>
      <c r="E596" s="57" t="s">
        <v>15158</v>
      </c>
      <c r="F596" s="57" t="s">
        <v>17502</v>
      </c>
      <c r="G596" s="57" t="s">
        <v>15160</v>
      </c>
      <c r="H596" s="56" t="s">
        <v>2965</v>
      </c>
      <c r="I596" s="60">
        <v>13295.19</v>
      </c>
      <c r="J596" s="57" t="s">
        <v>1285</v>
      </c>
      <c r="K596" s="57" t="s">
        <v>15162</v>
      </c>
      <c r="L596" s="57" t="s">
        <v>15163</v>
      </c>
      <c r="M596" s="61" t="s">
        <v>17325</v>
      </c>
      <c r="N596" s="62" t="s">
        <v>14909</v>
      </c>
      <c r="O596" s="57" t="s">
        <v>15165</v>
      </c>
      <c r="P596" s="57" t="s">
        <v>15166</v>
      </c>
      <c r="Q596" s="57" t="s">
        <v>2965</v>
      </c>
      <c r="R596" s="57" t="s">
        <v>15606</v>
      </c>
      <c r="S596" s="57" t="s">
        <v>15607</v>
      </c>
      <c r="T596" s="57" t="s">
        <v>15190</v>
      </c>
      <c r="U596" s="57" t="s">
        <v>14184</v>
      </c>
      <c r="V596" s="56" t="s">
        <v>14153</v>
      </c>
      <c r="W596" s="58"/>
      <c r="X596" s="57" t="s">
        <v>17503</v>
      </c>
      <c r="Y596" s="57" t="s">
        <v>15170</v>
      </c>
      <c r="Z596" s="61" t="s">
        <v>14605</v>
      </c>
      <c r="AA596" s="61" t="s">
        <v>17325</v>
      </c>
      <c r="AB596" s="58"/>
      <c r="AC596" s="57" t="s">
        <v>15172</v>
      </c>
      <c r="AD596" s="58"/>
      <c r="AE596" s="58"/>
      <c r="AF596" s="58"/>
      <c r="AG596" s="58"/>
      <c r="AH596" s="58"/>
      <c r="AI596" s="58"/>
      <c r="AJ596" s="58"/>
      <c r="AK596" s="56" t="s">
        <v>1285</v>
      </c>
      <c r="AL596" s="56" t="s">
        <v>17504</v>
      </c>
      <c r="AM596" s="58"/>
      <c r="AN596" s="56" t="s">
        <v>15324</v>
      </c>
      <c r="AO596" s="58"/>
      <c r="AP596" s="63">
        <v>45776.8001157407</v>
      </c>
      <c r="AQ596" s="56" t="s">
        <v>17505</v>
      </c>
      <c r="AR596" s="61" t="s">
        <v>15404</v>
      </c>
      <c r="AS596" s="57" t="s">
        <v>14184</v>
      </c>
      <c r="AT596" s="56" t="s">
        <v>15177</v>
      </c>
      <c r="AU596" s="56" t="s">
        <v>17506</v>
      </c>
      <c r="AV596" s="58"/>
      <c r="AW596" s="64">
        <v>45679.9364236111</v>
      </c>
      <c r="AX596" s="56" t="s">
        <v>17504</v>
      </c>
      <c r="AY596" s="56" t="s">
        <v>15179</v>
      </c>
      <c r="AZ596" s="58"/>
      <c r="BA596" s="58"/>
      <c r="BB596" s="58"/>
      <c r="BC596" s="56" t="s">
        <v>2136</v>
      </c>
      <c r="BD596" s="56" t="s">
        <v>15197</v>
      </c>
      <c r="BE596" s="56" t="s">
        <v>15613</v>
      </c>
      <c r="BF596" s="56" t="s">
        <v>15181</v>
      </c>
      <c r="BG596" s="58"/>
      <c r="BH596" s="58"/>
      <c r="BI596" s="57" t="s">
        <v>2801</v>
      </c>
      <c r="BJ596" s="58"/>
      <c r="BK596" s="58"/>
      <c r="BL596" s="66">
        <v>3387708</v>
      </c>
      <c r="BM596" s="56" t="s">
        <v>17507</v>
      </c>
      <c r="BN596" s="58"/>
      <c r="BO596" s="67">
        <v>153.6</v>
      </c>
      <c r="BP596" s="56" t="s">
        <v>15409</v>
      </c>
      <c r="BQ596" s="58"/>
      <c r="BR596" s="56" t="s">
        <v>17508</v>
      </c>
      <c r="BS596" s="56" t="s">
        <v>1285</v>
      </c>
      <c r="BT596" s="58"/>
      <c r="BU596" s="56" t="s">
        <v>17505</v>
      </c>
      <c r="BV596" s="58"/>
      <c r="BW596" s="58"/>
      <c r="BX596" s="67">
        <v>153.6</v>
      </c>
      <c r="BY596" s="56" t="s">
        <v>1285</v>
      </c>
      <c r="BZ596" s="58"/>
      <c r="CA596" s="58"/>
      <c r="CB596" s="58"/>
      <c r="CC596" s="58"/>
      <c r="CD596" s="58"/>
    </row>
    <row r="597" ht="108" spans="1:82">
      <c r="A597" s="56" t="s">
        <v>17513</v>
      </c>
      <c r="B597" s="58"/>
      <c r="C597" s="57" t="s">
        <v>17501</v>
      </c>
      <c r="D597" s="58"/>
      <c r="E597" s="57" t="s">
        <v>15158</v>
      </c>
      <c r="F597" s="57" t="s">
        <v>17502</v>
      </c>
      <c r="G597" s="57" t="s">
        <v>15160</v>
      </c>
      <c r="H597" s="56" t="s">
        <v>2965</v>
      </c>
      <c r="I597" s="60">
        <v>13295.19</v>
      </c>
      <c r="J597" s="57" t="s">
        <v>1285</v>
      </c>
      <c r="K597" s="57" t="s">
        <v>15162</v>
      </c>
      <c r="L597" s="57" t="s">
        <v>15163</v>
      </c>
      <c r="M597" s="61" t="s">
        <v>17325</v>
      </c>
      <c r="N597" s="62" t="s">
        <v>14909</v>
      </c>
      <c r="O597" s="57" t="s">
        <v>15165</v>
      </c>
      <c r="P597" s="57" t="s">
        <v>15166</v>
      </c>
      <c r="Q597" s="57" t="s">
        <v>2965</v>
      </c>
      <c r="R597" s="57" t="s">
        <v>15606</v>
      </c>
      <c r="S597" s="57" t="s">
        <v>15607</v>
      </c>
      <c r="T597" s="57" t="s">
        <v>15190</v>
      </c>
      <c r="U597" s="57" t="s">
        <v>14184</v>
      </c>
      <c r="V597" s="56" t="s">
        <v>14153</v>
      </c>
      <c r="W597" s="58"/>
      <c r="X597" s="57" t="s">
        <v>17503</v>
      </c>
      <c r="Y597" s="57" t="s">
        <v>15170</v>
      </c>
      <c r="Z597" s="61" t="s">
        <v>14605</v>
      </c>
      <c r="AA597" s="61" t="s">
        <v>17325</v>
      </c>
      <c r="AB597" s="58"/>
      <c r="AC597" s="57" t="s">
        <v>15172</v>
      </c>
      <c r="AD597" s="58"/>
      <c r="AE597" s="58"/>
      <c r="AF597" s="58"/>
      <c r="AG597" s="58"/>
      <c r="AH597" s="58"/>
      <c r="AI597" s="58"/>
      <c r="AJ597" s="58"/>
      <c r="AK597" s="56" t="s">
        <v>1285</v>
      </c>
      <c r="AL597" s="56" t="s">
        <v>17504</v>
      </c>
      <c r="AM597" s="58"/>
      <c r="AN597" s="56" t="s">
        <v>15324</v>
      </c>
      <c r="AO597" s="58"/>
      <c r="AP597" s="63">
        <v>45776.8001157407</v>
      </c>
      <c r="AQ597" s="56" t="s">
        <v>17505</v>
      </c>
      <c r="AR597" s="61" t="s">
        <v>15404</v>
      </c>
      <c r="AS597" s="57" t="s">
        <v>14184</v>
      </c>
      <c r="AT597" s="56" t="s">
        <v>15177</v>
      </c>
      <c r="AU597" s="56" t="s">
        <v>17506</v>
      </c>
      <c r="AV597" s="58"/>
      <c r="AW597" s="64">
        <v>45679.9364236111</v>
      </c>
      <c r="AX597" s="56" t="s">
        <v>17504</v>
      </c>
      <c r="AY597" s="56" t="s">
        <v>15179</v>
      </c>
      <c r="AZ597" s="58"/>
      <c r="BA597" s="58"/>
      <c r="BB597" s="58"/>
      <c r="BC597" s="56" t="s">
        <v>2150</v>
      </c>
      <c r="BD597" s="56" t="s">
        <v>15197</v>
      </c>
      <c r="BE597" s="56" t="s">
        <v>15613</v>
      </c>
      <c r="BF597" s="56" t="s">
        <v>15181</v>
      </c>
      <c r="BG597" s="58"/>
      <c r="BH597" s="58"/>
      <c r="BI597" s="57" t="s">
        <v>2801</v>
      </c>
      <c r="BJ597" s="58"/>
      <c r="BK597" s="58"/>
      <c r="BL597" s="66">
        <v>3387700</v>
      </c>
      <c r="BM597" s="56" t="s">
        <v>17507</v>
      </c>
      <c r="BN597" s="58"/>
      <c r="BO597" s="67">
        <v>1176.21</v>
      </c>
      <c r="BP597" s="56" t="s">
        <v>15409</v>
      </c>
      <c r="BQ597" s="58"/>
      <c r="BR597" s="56" t="s">
        <v>17508</v>
      </c>
      <c r="BS597" s="56" t="s">
        <v>1285</v>
      </c>
      <c r="BT597" s="58"/>
      <c r="BU597" s="56" t="s">
        <v>17505</v>
      </c>
      <c r="BV597" s="58"/>
      <c r="BW597" s="58"/>
      <c r="BX597" s="67">
        <v>1176.21</v>
      </c>
      <c r="BY597" s="56" t="s">
        <v>1285</v>
      </c>
      <c r="BZ597" s="58"/>
      <c r="CA597" s="58"/>
      <c r="CB597" s="58"/>
      <c r="CC597" s="58"/>
      <c r="CD597" s="58"/>
    </row>
    <row r="598" ht="108" spans="1:82">
      <c r="A598" s="56" t="s">
        <v>17514</v>
      </c>
      <c r="B598" s="58"/>
      <c r="C598" s="57" t="s">
        <v>17501</v>
      </c>
      <c r="D598" s="58"/>
      <c r="E598" s="57" t="s">
        <v>15158</v>
      </c>
      <c r="F598" s="57" t="s">
        <v>17502</v>
      </c>
      <c r="G598" s="57" t="s">
        <v>15160</v>
      </c>
      <c r="H598" s="56" t="s">
        <v>2965</v>
      </c>
      <c r="I598" s="60">
        <v>13295.19</v>
      </c>
      <c r="J598" s="57" t="s">
        <v>1285</v>
      </c>
      <c r="K598" s="57" t="s">
        <v>15162</v>
      </c>
      <c r="L598" s="57" t="s">
        <v>15163</v>
      </c>
      <c r="M598" s="61" t="s">
        <v>17325</v>
      </c>
      <c r="N598" s="62" t="s">
        <v>14909</v>
      </c>
      <c r="O598" s="57" t="s">
        <v>15165</v>
      </c>
      <c r="P598" s="57" t="s">
        <v>15166</v>
      </c>
      <c r="Q598" s="57" t="s">
        <v>2965</v>
      </c>
      <c r="R598" s="57" t="s">
        <v>15606</v>
      </c>
      <c r="S598" s="57" t="s">
        <v>15607</v>
      </c>
      <c r="T598" s="57" t="s">
        <v>15190</v>
      </c>
      <c r="U598" s="57" t="s">
        <v>14184</v>
      </c>
      <c r="V598" s="56" t="s">
        <v>14153</v>
      </c>
      <c r="W598" s="58"/>
      <c r="X598" s="57" t="s">
        <v>17503</v>
      </c>
      <c r="Y598" s="57" t="s">
        <v>15170</v>
      </c>
      <c r="Z598" s="61" t="s">
        <v>14605</v>
      </c>
      <c r="AA598" s="61" t="s">
        <v>17325</v>
      </c>
      <c r="AB598" s="58"/>
      <c r="AC598" s="57" t="s">
        <v>15172</v>
      </c>
      <c r="AD598" s="58"/>
      <c r="AE598" s="58"/>
      <c r="AF598" s="58"/>
      <c r="AG598" s="58"/>
      <c r="AH598" s="58"/>
      <c r="AI598" s="58"/>
      <c r="AJ598" s="58"/>
      <c r="AK598" s="56" t="s">
        <v>1285</v>
      </c>
      <c r="AL598" s="56" t="s">
        <v>17504</v>
      </c>
      <c r="AM598" s="58"/>
      <c r="AN598" s="56" t="s">
        <v>15324</v>
      </c>
      <c r="AO598" s="58"/>
      <c r="AP598" s="63">
        <v>45776.8001157407</v>
      </c>
      <c r="AQ598" s="56" t="s">
        <v>17505</v>
      </c>
      <c r="AR598" s="61" t="s">
        <v>15404</v>
      </c>
      <c r="AS598" s="57" t="s">
        <v>14184</v>
      </c>
      <c r="AT598" s="56" t="s">
        <v>15177</v>
      </c>
      <c r="AU598" s="56" t="s">
        <v>17506</v>
      </c>
      <c r="AV598" s="58"/>
      <c r="AW598" s="64">
        <v>45679.9364236111</v>
      </c>
      <c r="AX598" s="56" t="s">
        <v>17504</v>
      </c>
      <c r="AY598" s="56" t="s">
        <v>15179</v>
      </c>
      <c r="AZ598" s="58"/>
      <c r="BA598" s="58"/>
      <c r="BB598" s="58"/>
      <c r="BC598" s="56" t="s">
        <v>15637</v>
      </c>
      <c r="BD598" s="56" t="s">
        <v>15197</v>
      </c>
      <c r="BE598" s="56" t="s">
        <v>15613</v>
      </c>
      <c r="BF598" s="56" t="s">
        <v>15181</v>
      </c>
      <c r="BG598" s="58"/>
      <c r="BH598" s="58"/>
      <c r="BI598" s="57" t="s">
        <v>2801</v>
      </c>
      <c r="BJ598" s="58"/>
      <c r="BK598" s="58"/>
      <c r="BL598" s="66">
        <v>3387698</v>
      </c>
      <c r="BM598" s="56" t="s">
        <v>17507</v>
      </c>
      <c r="BN598" s="58"/>
      <c r="BO598" s="67">
        <v>494.1</v>
      </c>
      <c r="BP598" s="56" t="s">
        <v>15409</v>
      </c>
      <c r="BQ598" s="58"/>
      <c r="BR598" s="56" t="s">
        <v>17508</v>
      </c>
      <c r="BS598" s="56" t="s">
        <v>1285</v>
      </c>
      <c r="BT598" s="58"/>
      <c r="BU598" s="56" t="s">
        <v>17505</v>
      </c>
      <c r="BV598" s="58"/>
      <c r="BW598" s="58"/>
      <c r="BX598" s="67">
        <v>494.1</v>
      </c>
      <c r="BY598" s="56" t="s">
        <v>1285</v>
      </c>
      <c r="BZ598" s="58"/>
      <c r="CA598" s="58"/>
      <c r="CB598" s="58"/>
      <c r="CC598" s="58"/>
      <c r="CD598" s="58"/>
    </row>
    <row r="599" ht="108" spans="1:82">
      <c r="A599" s="56" t="s">
        <v>17515</v>
      </c>
      <c r="B599" s="58"/>
      <c r="C599" s="57" t="s">
        <v>17501</v>
      </c>
      <c r="D599" s="58"/>
      <c r="E599" s="57" t="s">
        <v>15158</v>
      </c>
      <c r="F599" s="57" t="s">
        <v>17502</v>
      </c>
      <c r="G599" s="57" t="s">
        <v>15160</v>
      </c>
      <c r="H599" s="56" t="s">
        <v>2965</v>
      </c>
      <c r="I599" s="60">
        <v>13295.19</v>
      </c>
      <c r="J599" s="57" t="s">
        <v>1285</v>
      </c>
      <c r="K599" s="57" t="s">
        <v>15162</v>
      </c>
      <c r="L599" s="57" t="s">
        <v>15163</v>
      </c>
      <c r="M599" s="61" t="s">
        <v>17325</v>
      </c>
      <c r="N599" s="62" t="s">
        <v>14909</v>
      </c>
      <c r="O599" s="57" t="s">
        <v>15165</v>
      </c>
      <c r="P599" s="57" t="s">
        <v>15166</v>
      </c>
      <c r="Q599" s="57" t="s">
        <v>2965</v>
      </c>
      <c r="R599" s="57" t="s">
        <v>15606</v>
      </c>
      <c r="S599" s="57" t="s">
        <v>15607</v>
      </c>
      <c r="T599" s="57" t="s">
        <v>15190</v>
      </c>
      <c r="U599" s="57" t="s">
        <v>14184</v>
      </c>
      <c r="V599" s="56" t="s">
        <v>14153</v>
      </c>
      <c r="W599" s="58"/>
      <c r="X599" s="57" t="s">
        <v>17503</v>
      </c>
      <c r="Y599" s="57" t="s">
        <v>15170</v>
      </c>
      <c r="Z599" s="61" t="s">
        <v>14605</v>
      </c>
      <c r="AA599" s="61" t="s">
        <v>17325</v>
      </c>
      <c r="AB599" s="58"/>
      <c r="AC599" s="57" t="s">
        <v>15172</v>
      </c>
      <c r="AD599" s="58"/>
      <c r="AE599" s="58"/>
      <c r="AF599" s="58"/>
      <c r="AG599" s="58"/>
      <c r="AH599" s="58"/>
      <c r="AI599" s="58"/>
      <c r="AJ599" s="58"/>
      <c r="AK599" s="56" t="s">
        <v>1285</v>
      </c>
      <c r="AL599" s="56" t="s">
        <v>17504</v>
      </c>
      <c r="AM599" s="58"/>
      <c r="AN599" s="56" t="s">
        <v>15324</v>
      </c>
      <c r="AO599" s="58"/>
      <c r="AP599" s="63">
        <v>45776.8001157407</v>
      </c>
      <c r="AQ599" s="56" t="s">
        <v>17505</v>
      </c>
      <c r="AR599" s="61" t="s">
        <v>15404</v>
      </c>
      <c r="AS599" s="57" t="s">
        <v>14184</v>
      </c>
      <c r="AT599" s="56" t="s">
        <v>15177</v>
      </c>
      <c r="AU599" s="56" t="s">
        <v>17506</v>
      </c>
      <c r="AV599" s="58"/>
      <c r="AW599" s="64">
        <v>45679.9364236111</v>
      </c>
      <c r="AX599" s="56" t="s">
        <v>17504</v>
      </c>
      <c r="AY599" s="56" t="s">
        <v>15179</v>
      </c>
      <c r="AZ599" s="58"/>
      <c r="BA599" s="58"/>
      <c r="BB599" s="58"/>
      <c r="BC599" s="56" t="s">
        <v>15637</v>
      </c>
      <c r="BD599" s="56" t="s">
        <v>15197</v>
      </c>
      <c r="BE599" s="56" t="s">
        <v>15613</v>
      </c>
      <c r="BF599" s="56" t="s">
        <v>15181</v>
      </c>
      <c r="BG599" s="58"/>
      <c r="BH599" s="58"/>
      <c r="BI599" s="57" t="s">
        <v>2801</v>
      </c>
      <c r="BJ599" s="58"/>
      <c r="BK599" s="58"/>
      <c r="BL599" s="66">
        <v>3387689</v>
      </c>
      <c r="BM599" s="56" t="s">
        <v>17507</v>
      </c>
      <c r="BN599" s="58"/>
      <c r="BO599" s="67">
        <v>869.29</v>
      </c>
      <c r="BP599" s="56" t="s">
        <v>15409</v>
      </c>
      <c r="BQ599" s="58"/>
      <c r="BR599" s="56" t="s">
        <v>17508</v>
      </c>
      <c r="BS599" s="56" t="s">
        <v>1285</v>
      </c>
      <c r="BT599" s="58"/>
      <c r="BU599" s="56" t="s">
        <v>17505</v>
      </c>
      <c r="BV599" s="58"/>
      <c r="BW599" s="58"/>
      <c r="BX599" s="67">
        <v>869.29</v>
      </c>
      <c r="BY599" s="56" t="s">
        <v>1285</v>
      </c>
      <c r="BZ599" s="58"/>
      <c r="CA599" s="58"/>
      <c r="CB599" s="58"/>
      <c r="CC599" s="58"/>
      <c r="CD599" s="58"/>
    </row>
    <row r="600" ht="108" spans="1:82">
      <c r="A600" s="56" t="s">
        <v>17516</v>
      </c>
      <c r="B600" s="58"/>
      <c r="C600" s="57" t="s">
        <v>17501</v>
      </c>
      <c r="D600" s="58"/>
      <c r="E600" s="57" t="s">
        <v>15158</v>
      </c>
      <c r="F600" s="57" t="s">
        <v>17502</v>
      </c>
      <c r="G600" s="57" t="s">
        <v>15160</v>
      </c>
      <c r="H600" s="56" t="s">
        <v>2965</v>
      </c>
      <c r="I600" s="60">
        <v>13295.19</v>
      </c>
      <c r="J600" s="57" t="s">
        <v>1285</v>
      </c>
      <c r="K600" s="57" t="s">
        <v>15162</v>
      </c>
      <c r="L600" s="57" t="s">
        <v>15163</v>
      </c>
      <c r="M600" s="61" t="s">
        <v>17325</v>
      </c>
      <c r="N600" s="62" t="s">
        <v>14909</v>
      </c>
      <c r="O600" s="57" t="s">
        <v>15165</v>
      </c>
      <c r="P600" s="57" t="s">
        <v>15166</v>
      </c>
      <c r="Q600" s="57" t="s">
        <v>2965</v>
      </c>
      <c r="R600" s="57" t="s">
        <v>15606</v>
      </c>
      <c r="S600" s="57" t="s">
        <v>15607</v>
      </c>
      <c r="T600" s="57" t="s">
        <v>15190</v>
      </c>
      <c r="U600" s="57" t="s">
        <v>14184</v>
      </c>
      <c r="V600" s="56" t="s">
        <v>14153</v>
      </c>
      <c r="W600" s="58"/>
      <c r="X600" s="57" t="s">
        <v>17503</v>
      </c>
      <c r="Y600" s="57" t="s">
        <v>15170</v>
      </c>
      <c r="Z600" s="61" t="s">
        <v>14605</v>
      </c>
      <c r="AA600" s="61" t="s">
        <v>17325</v>
      </c>
      <c r="AB600" s="58"/>
      <c r="AC600" s="57" t="s">
        <v>15172</v>
      </c>
      <c r="AD600" s="58"/>
      <c r="AE600" s="58"/>
      <c r="AF600" s="58"/>
      <c r="AG600" s="58"/>
      <c r="AH600" s="58"/>
      <c r="AI600" s="58"/>
      <c r="AJ600" s="58"/>
      <c r="AK600" s="56" t="s">
        <v>1285</v>
      </c>
      <c r="AL600" s="56" t="s">
        <v>17504</v>
      </c>
      <c r="AM600" s="58"/>
      <c r="AN600" s="56" t="s">
        <v>15324</v>
      </c>
      <c r="AO600" s="58"/>
      <c r="AP600" s="63">
        <v>45776.8001157407</v>
      </c>
      <c r="AQ600" s="56" t="s">
        <v>17505</v>
      </c>
      <c r="AR600" s="61" t="s">
        <v>15404</v>
      </c>
      <c r="AS600" s="57" t="s">
        <v>14184</v>
      </c>
      <c r="AT600" s="56" t="s">
        <v>15177</v>
      </c>
      <c r="AU600" s="56" t="s">
        <v>17506</v>
      </c>
      <c r="AV600" s="58"/>
      <c r="AW600" s="64">
        <v>45679.9364236111</v>
      </c>
      <c r="AX600" s="56" t="s">
        <v>17504</v>
      </c>
      <c r="AY600" s="56" t="s">
        <v>15179</v>
      </c>
      <c r="AZ600" s="58"/>
      <c r="BA600" s="58"/>
      <c r="BB600" s="58"/>
      <c r="BC600" s="56" t="s">
        <v>2136</v>
      </c>
      <c r="BD600" s="56" t="s">
        <v>15197</v>
      </c>
      <c r="BE600" s="56" t="s">
        <v>15613</v>
      </c>
      <c r="BF600" s="56" t="s">
        <v>15181</v>
      </c>
      <c r="BG600" s="58"/>
      <c r="BH600" s="58"/>
      <c r="BI600" s="57" t="s">
        <v>2801</v>
      </c>
      <c r="BJ600" s="58"/>
      <c r="BK600" s="58"/>
      <c r="BL600" s="66">
        <v>3387702</v>
      </c>
      <c r="BM600" s="56" t="s">
        <v>17507</v>
      </c>
      <c r="BN600" s="58"/>
      <c r="BO600" s="67">
        <v>179.6</v>
      </c>
      <c r="BP600" s="56" t="s">
        <v>15409</v>
      </c>
      <c r="BQ600" s="58"/>
      <c r="BR600" s="56" t="s">
        <v>17508</v>
      </c>
      <c r="BS600" s="56" t="s">
        <v>1285</v>
      </c>
      <c r="BT600" s="58"/>
      <c r="BU600" s="56" t="s">
        <v>17505</v>
      </c>
      <c r="BV600" s="58"/>
      <c r="BW600" s="58"/>
      <c r="BX600" s="67">
        <v>179.6</v>
      </c>
      <c r="BY600" s="56" t="s">
        <v>1285</v>
      </c>
      <c r="BZ600" s="58"/>
      <c r="CA600" s="58"/>
      <c r="CB600" s="58"/>
      <c r="CC600" s="58"/>
      <c r="CD600" s="58"/>
    </row>
    <row r="601" ht="108" spans="1:82">
      <c r="A601" s="56" t="s">
        <v>17517</v>
      </c>
      <c r="B601" s="58"/>
      <c r="C601" s="57" t="s">
        <v>17501</v>
      </c>
      <c r="D601" s="58"/>
      <c r="E601" s="57" t="s">
        <v>15158</v>
      </c>
      <c r="F601" s="57" t="s">
        <v>17502</v>
      </c>
      <c r="G601" s="57" t="s">
        <v>15160</v>
      </c>
      <c r="H601" s="56" t="s">
        <v>2965</v>
      </c>
      <c r="I601" s="60">
        <v>13295.19</v>
      </c>
      <c r="J601" s="57" t="s">
        <v>1285</v>
      </c>
      <c r="K601" s="57" t="s">
        <v>15162</v>
      </c>
      <c r="L601" s="57" t="s">
        <v>15163</v>
      </c>
      <c r="M601" s="61" t="s">
        <v>17325</v>
      </c>
      <c r="N601" s="62" t="s">
        <v>14909</v>
      </c>
      <c r="O601" s="57" t="s">
        <v>15165</v>
      </c>
      <c r="P601" s="57" t="s">
        <v>15166</v>
      </c>
      <c r="Q601" s="57" t="s">
        <v>2965</v>
      </c>
      <c r="R601" s="57" t="s">
        <v>15606</v>
      </c>
      <c r="S601" s="57" t="s">
        <v>15607</v>
      </c>
      <c r="T601" s="57" t="s">
        <v>15190</v>
      </c>
      <c r="U601" s="57" t="s">
        <v>14184</v>
      </c>
      <c r="V601" s="56" t="s">
        <v>14153</v>
      </c>
      <c r="W601" s="58"/>
      <c r="X601" s="57" t="s">
        <v>17503</v>
      </c>
      <c r="Y601" s="57" t="s">
        <v>15170</v>
      </c>
      <c r="Z601" s="61" t="s">
        <v>14605</v>
      </c>
      <c r="AA601" s="61" t="s">
        <v>17325</v>
      </c>
      <c r="AB601" s="58"/>
      <c r="AC601" s="57" t="s">
        <v>15172</v>
      </c>
      <c r="AD601" s="58"/>
      <c r="AE601" s="58"/>
      <c r="AF601" s="58"/>
      <c r="AG601" s="58"/>
      <c r="AH601" s="58"/>
      <c r="AI601" s="58"/>
      <c r="AJ601" s="58"/>
      <c r="AK601" s="56" t="s">
        <v>1285</v>
      </c>
      <c r="AL601" s="56" t="s">
        <v>17504</v>
      </c>
      <c r="AM601" s="58"/>
      <c r="AN601" s="56" t="s">
        <v>15324</v>
      </c>
      <c r="AO601" s="58"/>
      <c r="AP601" s="63">
        <v>45776.8001157407</v>
      </c>
      <c r="AQ601" s="56" t="s">
        <v>17505</v>
      </c>
      <c r="AR601" s="61" t="s">
        <v>15404</v>
      </c>
      <c r="AS601" s="57" t="s">
        <v>14184</v>
      </c>
      <c r="AT601" s="56" t="s">
        <v>15177</v>
      </c>
      <c r="AU601" s="56" t="s">
        <v>17506</v>
      </c>
      <c r="AV601" s="58"/>
      <c r="AW601" s="64">
        <v>45679.9364236111</v>
      </c>
      <c r="AX601" s="56" t="s">
        <v>17504</v>
      </c>
      <c r="AY601" s="56" t="s">
        <v>15179</v>
      </c>
      <c r="AZ601" s="58"/>
      <c r="BA601" s="58"/>
      <c r="BB601" s="58"/>
      <c r="BC601" s="56" t="s">
        <v>2136</v>
      </c>
      <c r="BD601" s="56" t="s">
        <v>15197</v>
      </c>
      <c r="BE601" s="56" t="s">
        <v>15613</v>
      </c>
      <c r="BF601" s="56" t="s">
        <v>15181</v>
      </c>
      <c r="BG601" s="58"/>
      <c r="BH601" s="58"/>
      <c r="BI601" s="57" t="s">
        <v>2801</v>
      </c>
      <c r="BJ601" s="58"/>
      <c r="BK601" s="58"/>
      <c r="BL601" s="66">
        <v>3387709</v>
      </c>
      <c r="BM601" s="56" t="s">
        <v>17507</v>
      </c>
      <c r="BN601" s="58"/>
      <c r="BO601" s="67">
        <v>153.6</v>
      </c>
      <c r="BP601" s="56" t="s">
        <v>15409</v>
      </c>
      <c r="BQ601" s="58"/>
      <c r="BR601" s="56" t="s">
        <v>17508</v>
      </c>
      <c r="BS601" s="56" t="s">
        <v>1285</v>
      </c>
      <c r="BT601" s="58"/>
      <c r="BU601" s="56" t="s">
        <v>17505</v>
      </c>
      <c r="BV601" s="58"/>
      <c r="BW601" s="58"/>
      <c r="BX601" s="67">
        <v>153.6</v>
      </c>
      <c r="BY601" s="56" t="s">
        <v>1285</v>
      </c>
      <c r="BZ601" s="58"/>
      <c r="CA601" s="58"/>
      <c r="CB601" s="58"/>
      <c r="CC601" s="58"/>
      <c r="CD601" s="58"/>
    </row>
    <row r="602" ht="108" spans="1:82">
      <c r="A602" s="56" t="s">
        <v>17518</v>
      </c>
      <c r="B602" s="58"/>
      <c r="C602" s="57" t="s">
        <v>17501</v>
      </c>
      <c r="D602" s="58"/>
      <c r="E602" s="57" t="s">
        <v>15158</v>
      </c>
      <c r="F602" s="57" t="s">
        <v>17502</v>
      </c>
      <c r="G602" s="57" t="s">
        <v>15160</v>
      </c>
      <c r="H602" s="56" t="s">
        <v>2965</v>
      </c>
      <c r="I602" s="60">
        <v>13295.19</v>
      </c>
      <c r="J602" s="57" t="s">
        <v>1285</v>
      </c>
      <c r="K602" s="57" t="s">
        <v>15162</v>
      </c>
      <c r="L602" s="57" t="s">
        <v>15163</v>
      </c>
      <c r="M602" s="61" t="s">
        <v>17325</v>
      </c>
      <c r="N602" s="62" t="s">
        <v>14909</v>
      </c>
      <c r="O602" s="57" t="s">
        <v>15165</v>
      </c>
      <c r="P602" s="57" t="s">
        <v>15166</v>
      </c>
      <c r="Q602" s="57" t="s">
        <v>2965</v>
      </c>
      <c r="R602" s="57" t="s">
        <v>15606</v>
      </c>
      <c r="S602" s="57" t="s">
        <v>15607</v>
      </c>
      <c r="T602" s="57" t="s">
        <v>15190</v>
      </c>
      <c r="U602" s="57" t="s">
        <v>14184</v>
      </c>
      <c r="V602" s="56" t="s">
        <v>14153</v>
      </c>
      <c r="W602" s="58"/>
      <c r="X602" s="57" t="s">
        <v>17503</v>
      </c>
      <c r="Y602" s="57" t="s">
        <v>15170</v>
      </c>
      <c r="Z602" s="61" t="s">
        <v>14605</v>
      </c>
      <c r="AA602" s="61" t="s">
        <v>17325</v>
      </c>
      <c r="AB602" s="58"/>
      <c r="AC602" s="57" t="s">
        <v>15172</v>
      </c>
      <c r="AD602" s="58"/>
      <c r="AE602" s="58"/>
      <c r="AF602" s="58"/>
      <c r="AG602" s="58"/>
      <c r="AH602" s="58"/>
      <c r="AI602" s="58"/>
      <c r="AJ602" s="58"/>
      <c r="AK602" s="56" t="s">
        <v>1285</v>
      </c>
      <c r="AL602" s="56" t="s">
        <v>17504</v>
      </c>
      <c r="AM602" s="58"/>
      <c r="AN602" s="56" t="s">
        <v>15324</v>
      </c>
      <c r="AO602" s="58"/>
      <c r="AP602" s="63">
        <v>45776.8001157407</v>
      </c>
      <c r="AQ602" s="56" t="s">
        <v>17505</v>
      </c>
      <c r="AR602" s="61" t="s">
        <v>15404</v>
      </c>
      <c r="AS602" s="57" t="s">
        <v>14184</v>
      </c>
      <c r="AT602" s="56" t="s">
        <v>15177</v>
      </c>
      <c r="AU602" s="56" t="s">
        <v>17506</v>
      </c>
      <c r="AV602" s="58"/>
      <c r="AW602" s="64">
        <v>45679.9364236111</v>
      </c>
      <c r="AX602" s="56" t="s">
        <v>17504</v>
      </c>
      <c r="AY602" s="56" t="s">
        <v>15179</v>
      </c>
      <c r="AZ602" s="58"/>
      <c r="BA602" s="58"/>
      <c r="BB602" s="58"/>
      <c r="BC602" s="56" t="s">
        <v>2142</v>
      </c>
      <c r="BD602" s="56" t="s">
        <v>15197</v>
      </c>
      <c r="BE602" s="56" t="s">
        <v>15613</v>
      </c>
      <c r="BF602" s="56" t="s">
        <v>15181</v>
      </c>
      <c r="BG602" s="58"/>
      <c r="BH602" s="58"/>
      <c r="BI602" s="57" t="s">
        <v>2801</v>
      </c>
      <c r="BJ602" s="58"/>
      <c r="BK602" s="58"/>
      <c r="BL602" s="66">
        <v>3387707</v>
      </c>
      <c r="BM602" s="56" t="s">
        <v>17507</v>
      </c>
      <c r="BN602" s="58"/>
      <c r="BO602" s="67">
        <v>140.4</v>
      </c>
      <c r="BP602" s="56" t="s">
        <v>15409</v>
      </c>
      <c r="BQ602" s="58"/>
      <c r="BR602" s="56" t="s">
        <v>17508</v>
      </c>
      <c r="BS602" s="56" t="s">
        <v>1285</v>
      </c>
      <c r="BT602" s="58"/>
      <c r="BU602" s="56" t="s">
        <v>17505</v>
      </c>
      <c r="BV602" s="58"/>
      <c r="BW602" s="58"/>
      <c r="BX602" s="67">
        <v>140.4</v>
      </c>
      <c r="BY602" s="56" t="s">
        <v>1285</v>
      </c>
      <c r="BZ602" s="58"/>
      <c r="CA602" s="58"/>
      <c r="CB602" s="58"/>
      <c r="CC602" s="58"/>
      <c r="CD602" s="58"/>
    </row>
    <row r="603" ht="108" spans="1:82">
      <c r="A603" s="56" t="s">
        <v>17519</v>
      </c>
      <c r="B603" s="58"/>
      <c r="C603" s="57" t="s">
        <v>17501</v>
      </c>
      <c r="D603" s="58"/>
      <c r="E603" s="57" t="s">
        <v>15158</v>
      </c>
      <c r="F603" s="57" t="s">
        <v>17502</v>
      </c>
      <c r="G603" s="57" t="s">
        <v>15160</v>
      </c>
      <c r="H603" s="56" t="s">
        <v>2965</v>
      </c>
      <c r="I603" s="60">
        <v>13295.19</v>
      </c>
      <c r="J603" s="57" t="s">
        <v>1285</v>
      </c>
      <c r="K603" s="57" t="s">
        <v>15162</v>
      </c>
      <c r="L603" s="57" t="s">
        <v>15163</v>
      </c>
      <c r="M603" s="61" t="s">
        <v>17325</v>
      </c>
      <c r="N603" s="62" t="s">
        <v>14909</v>
      </c>
      <c r="O603" s="57" t="s">
        <v>15165</v>
      </c>
      <c r="P603" s="57" t="s">
        <v>15166</v>
      </c>
      <c r="Q603" s="57" t="s">
        <v>2965</v>
      </c>
      <c r="R603" s="57" t="s">
        <v>15606</v>
      </c>
      <c r="S603" s="57" t="s">
        <v>15607</v>
      </c>
      <c r="T603" s="57" t="s">
        <v>15190</v>
      </c>
      <c r="U603" s="57" t="s">
        <v>14184</v>
      </c>
      <c r="V603" s="56" t="s">
        <v>14153</v>
      </c>
      <c r="W603" s="58"/>
      <c r="X603" s="57" t="s">
        <v>17503</v>
      </c>
      <c r="Y603" s="57" t="s">
        <v>15170</v>
      </c>
      <c r="Z603" s="61" t="s">
        <v>14605</v>
      </c>
      <c r="AA603" s="61" t="s">
        <v>17325</v>
      </c>
      <c r="AB603" s="58"/>
      <c r="AC603" s="57" t="s">
        <v>15172</v>
      </c>
      <c r="AD603" s="58"/>
      <c r="AE603" s="58"/>
      <c r="AF603" s="58"/>
      <c r="AG603" s="58"/>
      <c r="AH603" s="58"/>
      <c r="AI603" s="58"/>
      <c r="AJ603" s="58"/>
      <c r="AK603" s="56" t="s">
        <v>1285</v>
      </c>
      <c r="AL603" s="56" t="s">
        <v>17504</v>
      </c>
      <c r="AM603" s="58"/>
      <c r="AN603" s="56" t="s">
        <v>15324</v>
      </c>
      <c r="AO603" s="58"/>
      <c r="AP603" s="63">
        <v>45776.8001157407</v>
      </c>
      <c r="AQ603" s="56" t="s">
        <v>17505</v>
      </c>
      <c r="AR603" s="61" t="s">
        <v>15404</v>
      </c>
      <c r="AS603" s="57" t="s">
        <v>14184</v>
      </c>
      <c r="AT603" s="56" t="s">
        <v>15177</v>
      </c>
      <c r="AU603" s="56" t="s">
        <v>17506</v>
      </c>
      <c r="AV603" s="58"/>
      <c r="AW603" s="64">
        <v>45679.9364236111</v>
      </c>
      <c r="AX603" s="56" t="s">
        <v>17504</v>
      </c>
      <c r="AY603" s="56" t="s">
        <v>15179</v>
      </c>
      <c r="AZ603" s="58"/>
      <c r="BA603" s="58"/>
      <c r="BB603" s="58"/>
      <c r="BC603" s="56" t="s">
        <v>2142</v>
      </c>
      <c r="BD603" s="56" t="s">
        <v>15197</v>
      </c>
      <c r="BE603" s="56" t="s">
        <v>15613</v>
      </c>
      <c r="BF603" s="56" t="s">
        <v>15181</v>
      </c>
      <c r="BG603" s="58"/>
      <c r="BH603" s="58"/>
      <c r="BI603" s="57" t="s">
        <v>2801</v>
      </c>
      <c r="BJ603" s="58"/>
      <c r="BK603" s="58"/>
      <c r="BL603" s="66">
        <v>3387706</v>
      </c>
      <c r="BM603" s="56" t="s">
        <v>17507</v>
      </c>
      <c r="BN603" s="58"/>
      <c r="BO603" s="67">
        <v>99.9</v>
      </c>
      <c r="BP603" s="56" t="s">
        <v>15409</v>
      </c>
      <c r="BQ603" s="58"/>
      <c r="BR603" s="56" t="s">
        <v>17508</v>
      </c>
      <c r="BS603" s="56" t="s">
        <v>1285</v>
      </c>
      <c r="BT603" s="58"/>
      <c r="BU603" s="56" t="s">
        <v>17505</v>
      </c>
      <c r="BV603" s="58"/>
      <c r="BW603" s="58"/>
      <c r="BX603" s="67">
        <v>99.9</v>
      </c>
      <c r="BY603" s="56" t="s">
        <v>1285</v>
      </c>
      <c r="BZ603" s="58"/>
      <c r="CA603" s="58"/>
      <c r="CB603" s="58"/>
      <c r="CC603" s="58"/>
      <c r="CD603" s="58"/>
    </row>
    <row r="604" ht="108" spans="1:82">
      <c r="A604" s="56" t="s">
        <v>17520</v>
      </c>
      <c r="B604" s="58"/>
      <c r="C604" s="57" t="s">
        <v>17501</v>
      </c>
      <c r="D604" s="58"/>
      <c r="E604" s="57" t="s">
        <v>15158</v>
      </c>
      <c r="F604" s="57" t="s">
        <v>17502</v>
      </c>
      <c r="G604" s="57" t="s">
        <v>15160</v>
      </c>
      <c r="H604" s="56" t="s">
        <v>2965</v>
      </c>
      <c r="I604" s="60">
        <v>13295.19</v>
      </c>
      <c r="J604" s="57" t="s">
        <v>1285</v>
      </c>
      <c r="K604" s="57" t="s">
        <v>15162</v>
      </c>
      <c r="L604" s="57" t="s">
        <v>15163</v>
      </c>
      <c r="M604" s="61" t="s">
        <v>17325</v>
      </c>
      <c r="N604" s="62" t="s">
        <v>14909</v>
      </c>
      <c r="O604" s="57" t="s">
        <v>15165</v>
      </c>
      <c r="P604" s="57" t="s">
        <v>15166</v>
      </c>
      <c r="Q604" s="57" t="s">
        <v>2965</v>
      </c>
      <c r="R604" s="57" t="s">
        <v>15606</v>
      </c>
      <c r="S604" s="57" t="s">
        <v>15607</v>
      </c>
      <c r="T604" s="57" t="s">
        <v>15190</v>
      </c>
      <c r="U604" s="57" t="s">
        <v>14184</v>
      </c>
      <c r="V604" s="56" t="s">
        <v>14153</v>
      </c>
      <c r="W604" s="58"/>
      <c r="X604" s="57" t="s">
        <v>17503</v>
      </c>
      <c r="Y604" s="57" t="s">
        <v>15170</v>
      </c>
      <c r="Z604" s="61" t="s">
        <v>14605</v>
      </c>
      <c r="AA604" s="61" t="s">
        <v>17325</v>
      </c>
      <c r="AB604" s="58"/>
      <c r="AC604" s="57" t="s">
        <v>15172</v>
      </c>
      <c r="AD604" s="58"/>
      <c r="AE604" s="58"/>
      <c r="AF604" s="58"/>
      <c r="AG604" s="58"/>
      <c r="AH604" s="58"/>
      <c r="AI604" s="58"/>
      <c r="AJ604" s="58"/>
      <c r="AK604" s="56" t="s">
        <v>1285</v>
      </c>
      <c r="AL604" s="56" t="s">
        <v>17504</v>
      </c>
      <c r="AM604" s="58"/>
      <c r="AN604" s="56" t="s">
        <v>15324</v>
      </c>
      <c r="AO604" s="58"/>
      <c r="AP604" s="63">
        <v>45776.8001157407</v>
      </c>
      <c r="AQ604" s="56" t="s">
        <v>17505</v>
      </c>
      <c r="AR604" s="61" t="s">
        <v>15404</v>
      </c>
      <c r="AS604" s="57" t="s">
        <v>14184</v>
      </c>
      <c r="AT604" s="56" t="s">
        <v>15177</v>
      </c>
      <c r="AU604" s="56" t="s">
        <v>17506</v>
      </c>
      <c r="AV604" s="58"/>
      <c r="AW604" s="64">
        <v>45679.9364236111</v>
      </c>
      <c r="AX604" s="56" t="s">
        <v>17504</v>
      </c>
      <c r="AY604" s="56" t="s">
        <v>15179</v>
      </c>
      <c r="AZ604" s="58"/>
      <c r="BA604" s="58"/>
      <c r="BB604" s="58"/>
      <c r="BC604" s="56" t="s">
        <v>2136</v>
      </c>
      <c r="BD604" s="56" t="s">
        <v>15197</v>
      </c>
      <c r="BE604" s="56" t="s">
        <v>15613</v>
      </c>
      <c r="BF604" s="56" t="s">
        <v>15181</v>
      </c>
      <c r="BG604" s="58"/>
      <c r="BH604" s="58"/>
      <c r="BI604" s="57" t="s">
        <v>2801</v>
      </c>
      <c r="BJ604" s="58"/>
      <c r="BK604" s="58"/>
      <c r="BL604" s="66">
        <v>3387703</v>
      </c>
      <c r="BM604" s="56" t="s">
        <v>17507</v>
      </c>
      <c r="BN604" s="58"/>
      <c r="BO604" s="67">
        <v>228</v>
      </c>
      <c r="BP604" s="56" t="s">
        <v>15409</v>
      </c>
      <c r="BQ604" s="58"/>
      <c r="BR604" s="56" t="s">
        <v>17508</v>
      </c>
      <c r="BS604" s="56" t="s">
        <v>1285</v>
      </c>
      <c r="BT604" s="58"/>
      <c r="BU604" s="56" t="s">
        <v>17505</v>
      </c>
      <c r="BV604" s="58"/>
      <c r="BW604" s="58"/>
      <c r="BX604" s="67">
        <v>228</v>
      </c>
      <c r="BY604" s="56" t="s">
        <v>1285</v>
      </c>
      <c r="BZ604" s="58"/>
      <c r="CA604" s="58"/>
      <c r="CB604" s="58"/>
      <c r="CC604" s="58"/>
      <c r="CD604" s="58"/>
    </row>
    <row r="605" ht="108" spans="1:82">
      <c r="A605" s="56" t="s">
        <v>17521</v>
      </c>
      <c r="B605" s="58"/>
      <c r="C605" s="57" t="s">
        <v>17501</v>
      </c>
      <c r="D605" s="58"/>
      <c r="E605" s="57" t="s">
        <v>15158</v>
      </c>
      <c r="F605" s="57" t="s">
        <v>17502</v>
      </c>
      <c r="G605" s="57" t="s">
        <v>15160</v>
      </c>
      <c r="H605" s="56" t="s">
        <v>2965</v>
      </c>
      <c r="I605" s="60">
        <v>13295.19</v>
      </c>
      <c r="J605" s="57" t="s">
        <v>1285</v>
      </c>
      <c r="K605" s="57" t="s">
        <v>15162</v>
      </c>
      <c r="L605" s="57" t="s">
        <v>15163</v>
      </c>
      <c r="M605" s="61" t="s">
        <v>17325</v>
      </c>
      <c r="N605" s="62" t="s">
        <v>14909</v>
      </c>
      <c r="O605" s="57" t="s">
        <v>15165</v>
      </c>
      <c r="P605" s="57" t="s">
        <v>15166</v>
      </c>
      <c r="Q605" s="57" t="s">
        <v>2965</v>
      </c>
      <c r="R605" s="57" t="s">
        <v>15606</v>
      </c>
      <c r="S605" s="57" t="s">
        <v>15607</v>
      </c>
      <c r="T605" s="57" t="s">
        <v>15190</v>
      </c>
      <c r="U605" s="57" t="s">
        <v>14184</v>
      </c>
      <c r="V605" s="56" t="s">
        <v>14153</v>
      </c>
      <c r="W605" s="58"/>
      <c r="X605" s="57" t="s">
        <v>17503</v>
      </c>
      <c r="Y605" s="57" t="s">
        <v>15170</v>
      </c>
      <c r="Z605" s="61" t="s">
        <v>14605</v>
      </c>
      <c r="AA605" s="61" t="s">
        <v>17325</v>
      </c>
      <c r="AB605" s="58"/>
      <c r="AC605" s="57" t="s">
        <v>15172</v>
      </c>
      <c r="AD605" s="58"/>
      <c r="AE605" s="58"/>
      <c r="AF605" s="58"/>
      <c r="AG605" s="58"/>
      <c r="AH605" s="58"/>
      <c r="AI605" s="58"/>
      <c r="AJ605" s="58"/>
      <c r="AK605" s="56" t="s">
        <v>1285</v>
      </c>
      <c r="AL605" s="56" t="s">
        <v>17504</v>
      </c>
      <c r="AM605" s="58"/>
      <c r="AN605" s="56" t="s">
        <v>15324</v>
      </c>
      <c r="AO605" s="58"/>
      <c r="AP605" s="63">
        <v>45776.8001157407</v>
      </c>
      <c r="AQ605" s="56" t="s">
        <v>17505</v>
      </c>
      <c r="AR605" s="61" t="s">
        <v>15404</v>
      </c>
      <c r="AS605" s="57" t="s">
        <v>14184</v>
      </c>
      <c r="AT605" s="56" t="s">
        <v>15177</v>
      </c>
      <c r="AU605" s="56" t="s">
        <v>17506</v>
      </c>
      <c r="AV605" s="58"/>
      <c r="AW605" s="64">
        <v>45679.9364236111</v>
      </c>
      <c r="AX605" s="56" t="s">
        <v>17504</v>
      </c>
      <c r="AY605" s="56" t="s">
        <v>15179</v>
      </c>
      <c r="AZ605" s="58"/>
      <c r="BA605" s="58"/>
      <c r="BB605" s="58"/>
      <c r="BC605" s="56" t="s">
        <v>15617</v>
      </c>
      <c r="BD605" s="56" t="s">
        <v>15197</v>
      </c>
      <c r="BE605" s="56" t="s">
        <v>15613</v>
      </c>
      <c r="BF605" s="56" t="s">
        <v>15181</v>
      </c>
      <c r="BG605" s="58"/>
      <c r="BH605" s="58"/>
      <c r="BI605" s="57" t="s">
        <v>2801</v>
      </c>
      <c r="BJ605" s="58"/>
      <c r="BK605" s="58"/>
      <c r="BL605" s="66">
        <v>3387696</v>
      </c>
      <c r="BM605" s="56" t="s">
        <v>17507</v>
      </c>
      <c r="BN605" s="58"/>
      <c r="BO605" s="67">
        <v>151.5</v>
      </c>
      <c r="BP605" s="56" t="s">
        <v>15409</v>
      </c>
      <c r="BQ605" s="58"/>
      <c r="BR605" s="56" t="s">
        <v>17508</v>
      </c>
      <c r="BS605" s="56" t="s">
        <v>1285</v>
      </c>
      <c r="BT605" s="58"/>
      <c r="BU605" s="56" t="s">
        <v>17505</v>
      </c>
      <c r="BV605" s="58"/>
      <c r="BW605" s="58"/>
      <c r="BX605" s="67">
        <v>151.5</v>
      </c>
      <c r="BY605" s="56" t="s">
        <v>1285</v>
      </c>
      <c r="BZ605" s="58"/>
      <c r="CA605" s="58"/>
      <c r="CB605" s="58"/>
      <c r="CC605" s="58"/>
      <c r="CD605" s="58"/>
    </row>
    <row r="606" ht="108" spans="1:82">
      <c r="A606" s="56" t="s">
        <v>17522</v>
      </c>
      <c r="B606" s="58"/>
      <c r="C606" s="57" t="s">
        <v>17501</v>
      </c>
      <c r="D606" s="58"/>
      <c r="E606" s="57" t="s">
        <v>15158</v>
      </c>
      <c r="F606" s="57" t="s">
        <v>17502</v>
      </c>
      <c r="G606" s="57" t="s">
        <v>15160</v>
      </c>
      <c r="H606" s="56" t="s">
        <v>2965</v>
      </c>
      <c r="I606" s="60">
        <v>13295.19</v>
      </c>
      <c r="J606" s="57" t="s">
        <v>1285</v>
      </c>
      <c r="K606" s="57" t="s">
        <v>15162</v>
      </c>
      <c r="L606" s="57" t="s">
        <v>15163</v>
      </c>
      <c r="M606" s="61" t="s">
        <v>17325</v>
      </c>
      <c r="N606" s="62" t="s">
        <v>14909</v>
      </c>
      <c r="O606" s="57" t="s">
        <v>15165</v>
      </c>
      <c r="P606" s="57" t="s">
        <v>15166</v>
      </c>
      <c r="Q606" s="57" t="s">
        <v>2965</v>
      </c>
      <c r="R606" s="57" t="s">
        <v>15606</v>
      </c>
      <c r="S606" s="57" t="s">
        <v>15607</v>
      </c>
      <c r="T606" s="57" t="s">
        <v>15190</v>
      </c>
      <c r="U606" s="57" t="s">
        <v>14184</v>
      </c>
      <c r="V606" s="56" t="s">
        <v>14153</v>
      </c>
      <c r="W606" s="58"/>
      <c r="X606" s="57" t="s">
        <v>17503</v>
      </c>
      <c r="Y606" s="57" t="s">
        <v>15170</v>
      </c>
      <c r="Z606" s="61" t="s">
        <v>14605</v>
      </c>
      <c r="AA606" s="61" t="s">
        <v>17325</v>
      </c>
      <c r="AB606" s="58"/>
      <c r="AC606" s="57" t="s">
        <v>15172</v>
      </c>
      <c r="AD606" s="58"/>
      <c r="AE606" s="58"/>
      <c r="AF606" s="58"/>
      <c r="AG606" s="58"/>
      <c r="AH606" s="58"/>
      <c r="AI606" s="58"/>
      <c r="AJ606" s="58"/>
      <c r="AK606" s="56" t="s">
        <v>1285</v>
      </c>
      <c r="AL606" s="56" t="s">
        <v>17504</v>
      </c>
      <c r="AM606" s="58"/>
      <c r="AN606" s="56" t="s">
        <v>15324</v>
      </c>
      <c r="AO606" s="58"/>
      <c r="AP606" s="63">
        <v>45776.8001157407</v>
      </c>
      <c r="AQ606" s="56" t="s">
        <v>17505</v>
      </c>
      <c r="AR606" s="61" t="s">
        <v>15404</v>
      </c>
      <c r="AS606" s="57" t="s">
        <v>14184</v>
      </c>
      <c r="AT606" s="56" t="s">
        <v>15177</v>
      </c>
      <c r="AU606" s="56" t="s">
        <v>17506</v>
      </c>
      <c r="AV606" s="58"/>
      <c r="AW606" s="64">
        <v>45679.9364236111</v>
      </c>
      <c r="AX606" s="56" t="s">
        <v>17504</v>
      </c>
      <c r="AY606" s="56" t="s">
        <v>15179</v>
      </c>
      <c r="AZ606" s="58"/>
      <c r="BA606" s="58"/>
      <c r="BB606" s="58"/>
      <c r="BC606" s="56" t="s">
        <v>2136</v>
      </c>
      <c r="BD606" s="56" t="s">
        <v>15197</v>
      </c>
      <c r="BE606" s="56" t="s">
        <v>15613</v>
      </c>
      <c r="BF606" s="56" t="s">
        <v>15181</v>
      </c>
      <c r="BG606" s="58"/>
      <c r="BH606" s="58"/>
      <c r="BI606" s="57" t="s">
        <v>2801</v>
      </c>
      <c r="BJ606" s="58"/>
      <c r="BK606" s="58"/>
      <c r="BL606" s="66">
        <v>3387693</v>
      </c>
      <c r="BM606" s="56" t="s">
        <v>17507</v>
      </c>
      <c r="BN606" s="58"/>
      <c r="BO606" s="67">
        <v>386.1</v>
      </c>
      <c r="BP606" s="56" t="s">
        <v>15409</v>
      </c>
      <c r="BQ606" s="58"/>
      <c r="BR606" s="56" t="s">
        <v>17508</v>
      </c>
      <c r="BS606" s="56" t="s">
        <v>1285</v>
      </c>
      <c r="BT606" s="58"/>
      <c r="BU606" s="56" t="s">
        <v>17505</v>
      </c>
      <c r="BV606" s="58"/>
      <c r="BW606" s="58"/>
      <c r="BX606" s="67">
        <v>386.1</v>
      </c>
      <c r="BY606" s="56" t="s">
        <v>1285</v>
      </c>
      <c r="BZ606" s="58"/>
      <c r="CA606" s="58"/>
      <c r="CB606" s="58"/>
      <c r="CC606" s="58"/>
      <c r="CD606" s="58"/>
    </row>
    <row r="607" ht="108" spans="1:82">
      <c r="A607" s="56" t="s">
        <v>17523</v>
      </c>
      <c r="B607" s="58"/>
      <c r="C607" s="57" t="s">
        <v>17501</v>
      </c>
      <c r="D607" s="58"/>
      <c r="E607" s="57" t="s">
        <v>15158</v>
      </c>
      <c r="F607" s="57" t="s">
        <v>17502</v>
      </c>
      <c r="G607" s="57" t="s">
        <v>15160</v>
      </c>
      <c r="H607" s="56" t="s">
        <v>2965</v>
      </c>
      <c r="I607" s="60">
        <v>13295.19</v>
      </c>
      <c r="J607" s="57" t="s">
        <v>1285</v>
      </c>
      <c r="K607" s="57" t="s">
        <v>15162</v>
      </c>
      <c r="L607" s="57" t="s">
        <v>15163</v>
      </c>
      <c r="M607" s="61" t="s">
        <v>17325</v>
      </c>
      <c r="N607" s="62" t="s">
        <v>14909</v>
      </c>
      <c r="O607" s="57" t="s">
        <v>15165</v>
      </c>
      <c r="P607" s="57" t="s">
        <v>15166</v>
      </c>
      <c r="Q607" s="57" t="s">
        <v>2965</v>
      </c>
      <c r="R607" s="57" t="s">
        <v>15606</v>
      </c>
      <c r="S607" s="57" t="s">
        <v>15607</v>
      </c>
      <c r="T607" s="57" t="s">
        <v>15190</v>
      </c>
      <c r="U607" s="57" t="s">
        <v>14184</v>
      </c>
      <c r="V607" s="56" t="s">
        <v>14153</v>
      </c>
      <c r="W607" s="58"/>
      <c r="X607" s="57" t="s">
        <v>17503</v>
      </c>
      <c r="Y607" s="57" t="s">
        <v>15170</v>
      </c>
      <c r="Z607" s="61" t="s">
        <v>14605</v>
      </c>
      <c r="AA607" s="61" t="s">
        <v>17325</v>
      </c>
      <c r="AB607" s="58"/>
      <c r="AC607" s="57" t="s">
        <v>15172</v>
      </c>
      <c r="AD607" s="58"/>
      <c r="AE607" s="58"/>
      <c r="AF607" s="58"/>
      <c r="AG607" s="58"/>
      <c r="AH607" s="58"/>
      <c r="AI607" s="58"/>
      <c r="AJ607" s="58"/>
      <c r="AK607" s="56" t="s">
        <v>1285</v>
      </c>
      <c r="AL607" s="56" t="s">
        <v>17504</v>
      </c>
      <c r="AM607" s="58"/>
      <c r="AN607" s="56" t="s">
        <v>15324</v>
      </c>
      <c r="AO607" s="58"/>
      <c r="AP607" s="63">
        <v>45776.8001157407</v>
      </c>
      <c r="AQ607" s="56" t="s">
        <v>17505</v>
      </c>
      <c r="AR607" s="61" t="s">
        <v>15404</v>
      </c>
      <c r="AS607" s="57" t="s">
        <v>14184</v>
      </c>
      <c r="AT607" s="56" t="s">
        <v>15177</v>
      </c>
      <c r="AU607" s="56" t="s">
        <v>17506</v>
      </c>
      <c r="AV607" s="58"/>
      <c r="AW607" s="64">
        <v>45679.9364236111</v>
      </c>
      <c r="AX607" s="56" t="s">
        <v>17504</v>
      </c>
      <c r="AY607" s="56" t="s">
        <v>15179</v>
      </c>
      <c r="AZ607" s="58"/>
      <c r="BA607" s="58"/>
      <c r="BB607" s="58"/>
      <c r="BC607" s="56" t="s">
        <v>2136</v>
      </c>
      <c r="BD607" s="56" t="s">
        <v>15197</v>
      </c>
      <c r="BE607" s="56" t="s">
        <v>15613</v>
      </c>
      <c r="BF607" s="56" t="s">
        <v>15181</v>
      </c>
      <c r="BG607" s="58"/>
      <c r="BH607" s="58"/>
      <c r="BI607" s="57" t="s">
        <v>2801</v>
      </c>
      <c r="BJ607" s="58"/>
      <c r="BK607" s="58"/>
      <c r="BL607" s="66">
        <v>3387710</v>
      </c>
      <c r="BM607" s="56" t="s">
        <v>17507</v>
      </c>
      <c r="BN607" s="58"/>
      <c r="BO607" s="67">
        <v>196.8</v>
      </c>
      <c r="BP607" s="56" t="s">
        <v>15409</v>
      </c>
      <c r="BQ607" s="58"/>
      <c r="BR607" s="56" t="s">
        <v>17508</v>
      </c>
      <c r="BS607" s="56" t="s">
        <v>1285</v>
      </c>
      <c r="BT607" s="58"/>
      <c r="BU607" s="56" t="s">
        <v>17505</v>
      </c>
      <c r="BV607" s="58"/>
      <c r="BW607" s="58"/>
      <c r="BX607" s="67">
        <v>196.8</v>
      </c>
      <c r="BY607" s="56" t="s">
        <v>1285</v>
      </c>
      <c r="BZ607" s="58"/>
      <c r="CA607" s="58"/>
      <c r="CB607" s="58"/>
      <c r="CC607" s="58"/>
      <c r="CD607" s="58"/>
    </row>
    <row r="608" ht="108" spans="1:82">
      <c r="A608" s="56" t="s">
        <v>17524</v>
      </c>
      <c r="B608" s="58"/>
      <c r="C608" s="57" t="s">
        <v>17501</v>
      </c>
      <c r="D608" s="58"/>
      <c r="E608" s="57" t="s">
        <v>15158</v>
      </c>
      <c r="F608" s="57" t="s">
        <v>17502</v>
      </c>
      <c r="G608" s="57" t="s">
        <v>15160</v>
      </c>
      <c r="H608" s="56" t="s">
        <v>2965</v>
      </c>
      <c r="I608" s="60">
        <v>13295.19</v>
      </c>
      <c r="J608" s="57" t="s">
        <v>1285</v>
      </c>
      <c r="K608" s="57" t="s">
        <v>15162</v>
      </c>
      <c r="L608" s="57" t="s">
        <v>15163</v>
      </c>
      <c r="M608" s="61" t="s">
        <v>17325</v>
      </c>
      <c r="N608" s="62" t="s">
        <v>14909</v>
      </c>
      <c r="O608" s="57" t="s">
        <v>15165</v>
      </c>
      <c r="P608" s="57" t="s">
        <v>15166</v>
      </c>
      <c r="Q608" s="57" t="s">
        <v>2965</v>
      </c>
      <c r="R608" s="57" t="s">
        <v>15606</v>
      </c>
      <c r="S608" s="57" t="s">
        <v>15607</v>
      </c>
      <c r="T608" s="57" t="s">
        <v>15190</v>
      </c>
      <c r="U608" s="57" t="s">
        <v>14184</v>
      </c>
      <c r="V608" s="56" t="s">
        <v>14153</v>
      </c>
      <c r="W608" s="58"/>
      <c r="X608" s="57" t="s">
        <v>17503</v>
      </c>
      <c r="Y608" s="57" t="s">
        <v>15170</v>
      </c>
      <c r="Z608" s="61" t="s">
        <v>14605</v>
      </c>
      <c r="AA608" s="61" t="s">
        <v>17325</v>
      </c>
      <c r="AB608" s="58"/>
      <c r="AC608" s="57" t="s">
        <v>15172</v>
      </c>
      <c r="AD608" s="58"/>
      <c r="AE608" s="58"/>
      <c r="AF608" s="58"/>
      <c r="AG608" s="58"/>
      <c r="AH608" s="58"/>
      <c r="AI608" s="58"/>
      <c r="AJ608" s="58"/>
      <c r="AK608" s="56" t="s">
        <v>1285</v>
      </c>
      <c r="AL608" s="56" t="s">
        <v>17504</v>
      </c>
      <c r="AM608" s="58"/>
      <c r="AN608" s="56" t="s">
        <v>15324</v>
      </c>
      <c r="AO608" s="58"/>
      <c r="AP608" s="63">
        <v>45776.8001157407</v>
      </c>
      <c r="AQ608" s="56" t="s">
        <v>17505</v>
      </c>
      <c r="AR608" s="61" t="s">
        <v>15404</v>
      </c>
      <c r="AS608" s="57" t="s">
        <v>14184</v>
      </c>
      <c r="AT608" s="56" t="s">
        <v>15177</v>
      </c>
      <c r="AU608" s="56" t="s">
        <v>17506</v>
      </c>
      <c r="AV608" s="58"/>
      <c r="AW608" s="64">
        <v>45679.9364236111</v>
      </c>
      <c r="AX608" s="56" t="s">
        <v>17504</v>
      </c>
      <c r="AY608" s="56" t="s">
        <v>15179</v>
      </c>
      <c r="AZ608" s="58"/>
      <c r="BA608" s="58"/>
      <c r="BB608" s="58"/>
      <c r="BC608" s="56" t="s">
        <v>138</v>
      </c>
      <c r="BD608" s="56" t="s">
        <v>15197</v>
      </c>
      <c r="BE608" s="56" t="s">
        <v>15613</v>
      </c>
      <c r="BF608" s="56" t="s">
        <v>15181</v>
      </c>
      <c r="BG608" s="58"/>
      <c r="BH608" s="58"/>
      <c r="BI608" s="57" t="s">
        <v>2801</v>
      </c>
      <c r="BJ608" s="58"/>
      <c r="BK608" s="58"/>
      <c r="BL608" s="66">
        <v>3387690</v>
      </c>
      <c r="BM608" s="56" t="s">
        <v>17507</v>
      </c>
      <c r="BN608" s="58"/>
      <c r="BO608" s="67">
        <v>1177.9</v>
      </c>
      <c r="BP608" s="56" t="s">
        <v>15409</v>
      </c>
      <c r="BQ608" s="58"/>
      <c r="BR608" s="56" t="s">
        <v>17508</v>
      </c>
      <c r="BS608" s="56" t="s">
        <v>1285</v>
      </c>
      <c r="BT608" s="58"/>
      <c r="BU608" s="56" t="s">
        <v>17505</v>
      </c>
      <c r="BV608" s="58"/>
      <c r="BW608" s="58"/>
      <c r="BX608" s="67">
        <v>1177.9</v>
      </c>
      <c r="BY608" s="56" t="s">
        <v>1285</v>
      </c>
      <c r="BZ608" s="58"/>
      <c r="CA608" s="58"/>
      <c r="CB608" s="58"/>
      <c r="CC608" s="58"/>
      <c r="CD608" s="58"/>
    </row>
    <row r="609" ht="108" spans="1:82">
      <c r="A609" s="56" t="s">
        <v>17525</v>
      </c>
      <c r="B609" s="58"/>
      <c r="C609" s="57" t="s">
        <v>17501</v>
      </c>
      <c r="D609" s="58"/>
      <c r="E609" s="57" t="s">
        <v>15158</v>
      </c>
      <c r="F609" s="57" t="s">
        <v>17502</v>
      </c>
      <c r="G609" s="57" t="s">
        <v>15160</v>
      </c>
      <c r="H609" s="56" t="s">
        <v>2965</v>
      </c>
      <c r="I609" s="60">
        <v>13295.19</v>
      </c>
      <c r="J609" s="57" t="s">
        <v>1285</v>
      </c>
      <c r="K609" s="57" t="s">
        <v>15162</v>
      </c>
      <c r="L609" s="57" t="s">
        <v>15163</v>
      </c>
      <c r="M609" s="61" t="s">
        <v>17325</v>
      </c>
      <c r="N609" s="62" t="s">
        <v>14909</v>
      </c>
      <c r="O609" s="57" t="s">
        <v>15165</v>
      </c>
      <c r="P609" s="57" t="s">
        <v>15166</v>
      </c>
      <c r="Q609" s="57" t="s">
        <v>2965</v>
      </c>
      <c r="R609" s="57" t="s">
        <v>15606</v>
      </c>
      <c r="S609" s="57" t="s">
        <v>15607</v>
      </c>
      <c r="T609" s="57" t="s">
        <v>15190</v>
      </c>
      <c r="U609" s="57" t="s">
        <v>14184</v>
      </c>
      <c r="V609" s="56" t="s">
        <v>14153</v>
      </c>
      <c r="W609" s="58"/>
      <c r="X609" s="57" t="s">
        <v>17503</v>
      </c>
      <c r="Y609" s="57" t="s">
        <v>15170</v>
      </c>
      <c r="Z609" s="61" t="s">
        <v>14605</v>
      </c>
      <c r="AA609" s="61" t="s">
        <v>17325</v>
      </c>
      <c r="AB609" s="58"/>
      <c r="AC609" s="57" t="s">
        <v>15172</v>
      </c>
      <c r="AD609" s="58"/>
      <c r="AE609" s="58"/>
      <c r="AF609" s="58"/>
      <c r="AG609" s="58"/>
      <c r="AH609" s="58"/>
      <c r="AI609" s="58"/>
      <c r="AJ609" s="58"/>
      <c r="AK609" s="56" t="s">
        <v>1285</v>
      </c>
      <c r="AL609" s="56" t="s">
        <v>17504</v>
      </c>
      <c r="AM609" s="58"/>
      <c r="AN609" s="56" t="s">
        <v>15324</v>
      </c>
      <c r="AO609" s="58"/>
      <c r="AP609" s="63">
        <v>45776.8001157407</v>
      </c>
      <c r="AQ609" s="56" t="s">
        <v>17505</v>
      </c>
      <c r="AR609" s="61" t="s">
        <v>15404</v>
      </c>
      <c r="AS609" s="57" t="s">
        <v>14184</v>
      </c>
      <c r="AT609" s="56" t="s">
        <v>15177</v>
      </c>
      <c r="AU609" s="56" t="s">
        <v>17506</v>
      </c>
      <c r="AV609" s="58"/>
      <c r="AW609" s="64">
        <v>45679.9364236111</v>
      </c>
      <c r="AX609" s="56" t="s">
        <v>17504</v>
      </c>
      <c r="AY609" s="56" t="s">
        <v>15179</v>
      </c>
      <c r="AZ609" s="58"/>
      <c r="BA609" s="58"/>
      <c r="BB609" s="58"/>
      <c r="BC609" s="56" t="s">
        <v>2136</v>
      </c>
      <c r="BD609" s="56" t="s">
        <v>15197</v>
      </c>
      <c r="BE609" s="56" t="s">
        <v>15613</v>
      </c>
      <c r="BF609" s="56" t="s">
        <v>15181</v>
      </c>
      <c r="BG609" s="58"/>
      <c r="BH609" s="58"/>
      <c r="BI609" s="57" t="s">
        <v>2801</v>
      </c>
      <c r="BJ609" s="58"/>
      <c r="BK609" s="58"/>
      <c r="BL609" s="66">
        <v>3387697</v>
      </c>
      <c r="BM609" s="56" t="s">
        <v>17507</v>
      </c>
      <c r="BN609" s="58"/>
      <c r="BO609" s="67">
        <v>20</v>
      </c>
      <c r="BP609" s="56" t="s">
        <v>15409</v>
      </c>
      <c r="BQ609" s="58"/>
      <c r="BR609" s="56" t="s">
        <v>17508</v>
      </c>
      <c r="BS609" s="56" t="s">
        <v>1285</v>
      </c>
      <c r="BT609" s="58"/>
      <c r="BU609" s="56" t="s">
        <v>17505</v>
      </c>
      <c r="BV609" s="58"/>
      <c r="BW609" s="58"/>
      <c r="BX609" s="67">
        <v>20</v>
      </c>
      <c r="BY609" s="56" t="s">
        <v>1285</v>
      </c>
      <c r="BZ609" s="58"/>
      <c r="CA609" s="58"/>
      <c r="CB609" s="58"/>
      <c r="CC609" s="58"/>
      <c r="CD609" s="58"/>
    </row>
    <row r="610" ht="108" spans="1:82">
      <c r="A610" s="56" t="s">
        <v>17526</v>
      </c>
      <c r="B610" s="58"/>
      <c r="C610" s="57" t="s">
        <v>17501</v>
      </c>
      <c r="D610" s="58"/>
      <c r="E610" s="57" t="s">
        <v>15158</v>
      </c>
      <c r="F610" s="57" t="s">
        <v>17502</v>
      </c>
      <c r="G610" s="57" t="s">
        <v>15160</v>
      </c>
      <c r="H610" s="56" t="s">
        <v>2965</v>
      </c>
      <c r="I610" s="60">
        <v>13295.19</v>
      </c>
      <c r="J610" s="57" t="s">
        <v>1285</v>
      </c>
      <c r="K610" s="57" t="s">
        <v>15162</v>
      </c>
      <c r="L610" s="57" t="s">
        <v>15163</v>
      </c>
      <c r="M610" s="61" t="s">
        <v>17325</v>
      </c>
      <c r="N610" s="62" t="s">
        <v>14909</v>
      </c>
      <c r="O610" s="57" t="s">
        <v>15165</v>
      </c>
      <c r="P610" s="57" t="s">
        <v>15166</v>
      </c>
      <c r="Q610" s="57" t="s">
        <v>2965</v>
      </c>
      <c r="R610" s="57" t="s">
        <v>15606</v>
      </c>
      <c r="S610" s="57" t="s">
        <v>15607</v>
      </c>
      <c r="T610" s="57" t="s">
        <v>15190</v>
      </c>
      <c r="U610" s="57" t="s">
        <v>14184</v>
      </c>
      <c r="V610" s="56" t="s">
        <v>14153</v>
      </c>
      <c r="W610" s="58"/>
      <c r="X610" s="57" t="s">
        <v>17503</v>
      </c>
      <c r="Y610" s="57" t="s">
        <v>15170</v>
      </c>
      <c r="Z610" s="61" t="s">
        <v>14605</v>
      </c>
      <c r="AA610" s="61" t="s">
        <v>17325</v>
      </c>
      <c r="AB610" s="58"/>
      <c r="AC610" s="57" t="s">
        <v>15172</v>
      </c>
      <c r="AD610" s="58"/>
      <c r="AE610" s="58"/>
      <c r="AF610" s="58"/>
      <c r="AG610" s="58"/>
      <c r="AH610" s="58"/>
      <c r="AI610" s="58"/>
      <c r="AJ610" s="58"/>
      <c r="AK610" s="56" t="s">
        <v>1285</v>
      </c>
      <c r="AL610" s="56" t="s">
        <v>17504</v>
      </c>
      <c r="AM610" s="58"/>
      <c r="AN610" s="56" t="s">
        <v>15324</v>
      </c>
      <c r="AO610" s="58"/>
      <c r="AP610" s="63">
        <v>45776.8001157407</v>
      </c>
      <c r="AQ610" s="56" t="s">
        <v>17505</v>
      </c>
      <c r="AR610" s="61" t="s">
        <v>15404</v>
      </c>
      <c r="AS610" s="57" t="s">
        <v>14184</v>
      </c>
      <c r="AT610" s="56" t="s">
        <v>15177</v>
      </c>
      <c r="AU610" s="56" t="s">
        <v>17506</v>
      </c>
      <c r="AV610" s="58"/>
      <c r="AW610" s="64">
        <v>45679.9364236111</v>
      </c>
      <c r="AX610" s="56" t="s">
        <v>17504</v>
      </c>
      <c r="AY610" s="56" t="s">
        <v>15179</v>
      </c>
      <c r="AZ610" s="58"/>
      <c r="BA610" s="58"/>
      <c r="BB610" s="58"/>
      <c r="BC610" s="56" t="s">
        <v>138</v>
      </c>
      <c r="BD610" s="56" t="s">
        <v>15197</v>
      </c>
      <c r="BE610" s="56" t="s">
        <v>15613</v>
      </c>
      <c r="BF610" s="56" t="s">
        <v>15181</v>
      </c>
      <c r="BG610" s="58"/>
      <c r="BH610" s="58"/>
      <c r="BI610" s="57" t="s">
        <v>2801</v>
      </c>
      <c r="BJ610" s="58"/>
      <c r="BK610" s="58"/>
      <c r="BL610" s="66">
        <v>3387699</v>
      </c>
      <c r="BM610" s="56" t="s">
        <v>17507</v>
      </c>
      <c r="BN610" s="58"/>
      <c r="BO610" s="67">
        <v>557.2</v>
      </c>
      <c r="BP610" s="56" t="s">
        <v>15409</v>
      </c>
      <c r="BQ610" s="58"/>
      <c r="BR610" s="56" t="s">
        <v>17508</v>
      </c>
      <c r="BS610" s="56" t="s">
        <v>1285</v>
      </c>
      <c r="BT610" s="58"/>
      <c r="BU610" s="56" t="s">
        <v>17505</v>
      </c>
      <c r="BV610" s="58"/>
      <c r="BW610" s="58"/>
      <c r="BX610" s="67">
        <v>557.2</v>
      </c>
      <c r="BY610" s="56" t="s">
        <v>1285</v>
      </c>
      <c r="BZ610" s="58"/>
      <c r="CA610" s="58"/>
      <c r="CB610" s="58"/>
      <c r="CC610" s="58"/>
      <c r="CD610" s="58"/>
    </row>
    <row r="611" ht="108" spans="1:82">
      <c r="A611" s="56" t="s">
        <v>17527</v>
      </c>
      <c r="B611" s="58"/>
      <c r="C611" s="57" t="s">
        <v>17501</v>
      </c>
      <c r="D611" s="58"/>
      <c r="E611" s="57" t="s">
        <v>15158</v>
      </c>
      <c r="F611" s="57" t="s">
        <v>17502</v>
      </c>
      <c r="G611" s="57" t="s">
        <v>15160</v>
      </c>
      <c r="H611" s="56" t="s">
        <v>2965</v>
      </c>
      <c r="I611" s="60">
        <v>13295.19</v>
      </c>
      <c r="J611" s="57" t="s">
        <v>1285</v>
      </c>
      <c r="K611" s="57" t="s">
        <v>15162</v>
      </c>
      <c r="L611" s="57" t="s">
        <v>15163</v>
      </c>
      <c r="M611" s="61" t="s">
        <v>17325</v>
      </c>
      <c r="N611" s="62" t="s">
        <v>14909</v>
      </c>
      <c r="O611" s="57" t="s">
        <v>15165</v>
      </c>
      <c r="P611" s="57" t="s">
        <v>15166</v>
      </c>
      <c r="Q611" s="57" t="s">
        <v>2965</v>
      </c>
      <c r="R611" s="57" t="s">
        <v>15606</v>
      </c>
      <c r="S611" s="57" t="s">
        <v>15607</v>
      </c>
      <c r="T611" s="57" t="s">
        <v>15190</v>
      </c>
      <c r="U611" s="57" t="s">
        <v>14184</v>
      </c>
      <c r="V611" s="56" t="s">
        <v>14153</v>
      </c>
      <c r="W611" s="58"/>
      <c r="X611" s="57" t="s">
        <v>17503</v>
      </c>
      <c r="Y611" s="57" t="s">
        <v>15170</v>
      </c>
      <c r="Z611" s="61" t="s">
        <v>14605</v>
      </c>
      <c r="AA611" s="61" t="s">
        <v>17325</v>
      </c>
      <c r="AB611" s="58"/>
      <c r="AC611" s="57" t="s">
        <v>15172</v>
      </c>
      <c r="AD611" s="58"/>
      <c r="AE611" s="58"/>
      <c r="AF611" s="58"/>
      <c r="AG611" s="58"/>
      <c r="AH611" s="58"/>
      <c r="AI611" s="58"/>
      <c r="AJ611" s="58"/>
      <c r="AK611" s="56" t="s">
        <v>1285</v>
      </c>
      <c r="AL611" s="56" t="s">
        <v>17504</v>
      </c>
      <c r="AM611" s="58"/>
      <c r="AN611" s="56" t="s">
        <v>15324</v>
      </c>
      <c r="AO611" s="58"/>
      <c r="AP611" s="63">
        <v>45776.8001157407</v>
      </c>
      <c r="AQ611" s="56" t="s">
        <v>17505</v>
      </c>
      <c r="AR611" s="61" t="s">
        <v>15404</v>
      </c>
      <c r="AS611" s="57" t="s">
        <v>14184</v>
      </c>
      <c r="AT611" s="56" t="s">
        <v>15177</v>
      </c>
      <c r="AU611" s="56" t="s">
        <v>17506</v>
      </c>
      <c r="AV611" s="58"/>
      <c r="AW611" s="64">
        <v>45679.9364236111</v>
      </c>
      <c r="AX611" s="56" t="s">
        <v>17504</v>
      </c>
      <c r="AY611" s="56" t="s">
        <v>15179</v>
      </c>
      <c r="AZ611" s="58"/>
      <c r="BA611" s="58"/>
      <c r="BB611" s="58"/>
      <c r="BC611" s="56" t="s">
        <v>2142</v>
      </c>
      <c r="BD611" s="56" t="s">
        <v>15197</v>
      </c>
      <c r="BE611" s="56" t="s">
        <v>15613</v>
      </c>
      <c r="BF611" s="56" t="s">
        <v>15181</v>
      </c>
      <c r="BG611" s="58"/>
      <c r="BH611" s="58"/>
      <c r="BI611" s="57" t="s">
        <v>2801</v>
      </c>
      <c r="BJ611" s="58"/>
      <c r="BK611" s="58"/>
      <c r="BL611" s="66">
        <v>3387705</v>
      </c>
      <c r="BM611" s="56" t="s">
        <v>17507</v>
      </c>
      <c r="BN611" s="58"/>
      <c r="BO611" s="67">
        <v>96</v>
      </c>
      <c r="BP611" s="56" t="s">
        <v>15409</v>
      </c>
      <c r="BQ611" s="58"/>
      <c r="BR611" s="56" t="s">
        <v>17508</v>
      </c>
      <c r="BS611" s="56" t="s">
        <v>1285</v>
      </c>
      <c r="BT611" s="58"/>
      <c r="BU611" s="56" t="s">
        <v>17505</v>
      </c>
      <c r="BV611" s="58"/>
      <c r="BW611" s="58"/>
      <c r="BX611" s="67">
        <v>96</v>
      </c>
      <c r="BY611" s="56" t="s">
        <v>1285</v>
      </c>
      <c r="BZ611" s="58"/>
      <c r="CA611" s="58"/>
      <c r="CB611" s="58"/>
      <c r="CC611" s="58"/>
      <c r="CD611" s="58"/>
    </row>
    <row r="612" ht="108" spans="1:82">
      <c r="A612" s="56" t="s">
        <v>17528</v>
      </c>
      <c r="B612" s="58"/>
      <c r="C612" s="57" t="s">
        <v>17501</v>
      </c>
      <c r="D612" s="58"/>
      <c r="E612" s="57" t="s">
        <v>15158</v>
      </c>
      <c r="F612" s="57" t="s">
        <v>17502</v>
      </c>
      <c r="G612" s="57" t="s">
        <v>15160</v>
      </c>
      <c r="H612" s="56" t="s">
        <v>2965</v>
      </c>
      <c r="I612" s="60">
        <v>13295.19</v>
      </c>
      <c r="J612" s="57" t="s">
        <v>1285</v>
      </c>
      <c r="K612" s="57" t="s">
        <v>15162</v>
      </c>
      <c r="L612" s="57" t="s">
        <v>15163</v>
      </c>
      <c r="M612" s="61" t="s">
        <v>17325</v>
      </c>
      <c r="N612" s="62" t="s">
        <v>14909</v>
      </c>
      <c r="O612" s="57" t="s">
        <v>15165</v>
      </c>
      <c r="P612" s="57" t="s">
        <v>15166</v>
      </c>
      <c r="Q612" s="57" t="s">
        <v>2965</v>
      </c>
      <c r="R612" s="57" t="s">
        <v>15606</v>
      </c>
      <c r="S612" s="57" t="s">
        <v>15607</v>
      </c>
      <c r="T612" s="57" t="s">
        <v>15190</v>
      </c>
      <c r="U612" s="57" t="s">
        <v>14184</v>
      </c>
      <c r="V612" s="56" t="s">
        <v>14153</v>
      </c>
      <c r="W612" s="58"/>
      <c r="X612" s="57" t="s">
        <v>17503</v>
      </c>
      <c r="Y612" s="57" t="s">
        <v>15170</v>
      </c>
      <c r="Z612" s="61" t="s">
        <v>14605</v>
      </c>
      <c r="AA612" s="61" t="s">
        <v>17325</v>
      </c>
      <c r="AB612" s="58"/>
      <c r="AC612" s="57" t="s">
        <v>15172</v>
      </c>
      <c r="AD612" s="58"/>
      <c r="AE612" s="58"/>
      <c r="AF612" s="58"/>
      <c r="AG612" s="58"/>
      <c r="AH612" s="58"/>
      <c r="AI612" s="58"/>
      <c r="AJ612" s="58"/>
      <c r="AK612" s="56" t="s">
        <v>1285</v>
      </c>
      <c r="AL612" s="56" t="s">
        <v>17504</v>
      </c>
      <c r="AM612" s="58"/>
      <c r="AN612" s="56" t="s">
        <v>15324</v>
      </c>
      <c r="AO612" s="58"/>
      <c r="AP612" s="63">
        <v>45776.8001157407</v>
      </c>
      <c r="AQ612" s="56" t="s">
        <v>17505</v>
      </c>
      <c r="AR612" s="61" t="s">
        <v>15404</v>
      </c>
      <c r="AS612" s="57" t="s">
        <v>14184</v>
      </c>
      <c r="AT612" s="56" t="s">
        <v>15177</v>
      </c>
      <c r="AU612" s="56" t="s">
        <v>17506</v>
      </c>
      <c r="AV612" s="58"/>
      <c r="AW612" s="64">
        <v>45679.9364236111</v>
      </c>
      <c r="AX612" s="56" t="s">
        <v>17504</v>
      </c>
      <c r="AY612" s="56" t="s">
        <v>15179</v>
      </c>
      <c r="AZ612" s="58"/>
      <c r="BA612" s="58"/>
      <c r="BB612" s="58"/>
      <c r="BC612" s="56" t="s">
        <v>15637</v>
      </c>
      <c r="BD612" s="56" t="s">
        <v>15197</v>
      </c>
      <c r="BE612" s="56" t="s">
        <v>15613</v>
      </c>
      <c r="BF612" s="56" t="s">
        <v>15181</v>
      </c>
      <c r="BG612" s="58"/>
      <c r="BH612" s="58"/>
      <c r="BI612" s="57" t="s">
        <v>2801</v>
      </c>
      <c r="BJ612" s="58"/>
      <c r="BK612" s="58"/>
      <c r="BL612" s="66">
        <v>3387712</v>
      </c>
      <c r="BM612" s="56" t="s">
        <v>17507</v>
      </c>
      <c r="BN612" s="58"/>
      <c r="BO612" s="67">
        <v>682.2</v>
      </c>
      <c r="BP612" s="56" t="s">
        <v>15409</v>
      </c>
      <c r="BQ612" s="58"/>
      <c r="BR612" s="56" t="s">
        <v>17508</v>
      </c>
      <c r="BS612" s="56" t="s">
        <v>1285</v>
      </c>
      <c r="BT612" s="58"/>
      <c r="BU612" s="56" t="s">
        <v>17505</v>
      </c>
      <c r="BV612" s="58"/>
      <c r="BW612" s="58"/>
      <c r="BX612" s="67">
        <v>682.2</v>
      </c>
      <c r="BY612" s="56" t="s">
        <v>1285</v>
      </c>
      <c r="BZ612" s="58"/>
      <c r="CA612" s="58"/>
      <c r="CB612" s="58"/>
      <c r="CC612" s="58"/>
      <c r="CD612" s="58"/>
    </row>
    <row r="613" ht="108" spans="1:82">
      <c r="A613" s="56" t="s">
        <v>17529</v>
      </c>
      <c r="B613" s="58"/>
      <c r="C613" s="57" t="s">
        <v>17501</v>
      </c>
      <c r="D613" s="58"/>
      <c r="E613" s="57" t="s">
        <v>15158</v>
      </c>
      <c r="F613" s="57" t="s">
        <v>17502</v>
      </c>
      <c r="G613" s="57" t="s">
        <v>15160</v>
      </c>
      <c r="H613" s="56" t="s">
        <v>2965</v>
      </c>
      <c r="I613" s="60">
        <v>13295.19</v>
      </c>
      <c r="J613" s="57" t="s">
        <v>1285</v>
      </c>
      <c r="K613" s="57" t="s">
        <v>15162</v>
      </c>
      <c r="L613" s="57" t="s">
        <v>15163</v>
      </c>
      <c r="M613" s="61" t="s">
        <v>17325</v>
      </c>
      <c r="N613" s="62" t="s">
        <v>14909</v>
      </c>
      <c r="O613" s="57" t="s">
        <v>15165</v>
      </c>
      <c r="P613" s="57" t="s">
        <v>15166</v>
      </c>
      <c r="Q613" s="57" t="s">
        <v>2965</v>
      </c>
      <c r="R613" s="57" t="s">
        <v>15606</v>
      </c>
      <c r="S613" s="57" t="s">
        <v>15607</v>
      </c>
      <c r="T613" s="57" t="s">
        <v>15190</v>
      </c>
      <c r="U613" s="57" t="s">
        <v>14184</v>
      </c>
      <c r="V613" s="56" t="s">
        <v>14153</v>
      </c>
      <c r="W613" s="58"/>
      <c r="X613" s="57" t="s">
        <v>17503</v>
      </c>
      <c r="Y613" s="57" t="s">
        <v>15170</v>
      </c>
      <c r="Z613" s="61" t="s">
        <v>14605</v>
      </c>
      <c r="AA613" s="61" t="s">
        <v>17325</v>
      </c>
      <c r="AB613" s="58"/>
      <c r="AC613" s="57" t="s">
        <v>15172</v>
      </c>
      <c r="AD613" s="58"/>
      <c r="AE613" s="58"/>
      <c r="AF613" s="58"/>
      <c r="AG613" s="58"/>
      <c r="AH613" s="58"/>
      <c r="AI613" s="58"/>
      <c r="AJ613" s="58"/>
      <c r="AK613" s="56" t="s">
        <v>1285</v>
      </c>
      <c r="AL613" s="56" t="s">
        <v>17504</v>
      </c>
      <c r="AM613" s="58"/>
      <c r="AN613" s="56" t="s">
        <v>15324</v>
      </c>
      <c r="AO613" s="58"/>
      <c r="AP613" s="63">
        <v>45776.8001157407</v>
      </c>
      <c r="AQ613" s="56" t="s">
        <v>17505</v>
      </c>
      <c r="AR613" s="61" t="s">
        <v>15404</v>
      </c>
      <c r="AS613" s="57" t="s">
        <v>14184</v>
      </c>
      <c r="AT613" s="56" t="s">
        <v>15177</v>
      </c>
      <c r="AU613" s="56" t="s">
        <v>17506</v>
      </c>
      <c r="AV613" s="58"/>
      <c r="AW613" s="64">
        <v>45679.9364236111</v>
      </c>
      <c r="AX613" s="56" t="s">
        <v>17504</v>
      </c>
      <c r="AY613" s="56" t="s">
        <v>15179</v>
      </c>
      <c r="AZ613" s="58"/>
      <c r="BA613" s="58"/>
      <c r="BB613" s="58"/>
      <c r="BC613" s="56" t="s">
        <v>2142</v>
      </c>
      <c r="BD613" s="56" t="s">
        <v>15197</v>
      </c>
      <c r="BE613" s="56" t="s">
        <v>15613</v>
      </c>
      <c r="BF613" s="56" t="s">
        <v>15181</v>
      </c>
      <c r="BG613" s="58"/>
      <c r="BH613" s="58"/>
      <c r="BI613" s="57" t="s">
        <v>2801</v>
      </c>
      <c r="BJ613" s="58"/>
      <c r="BK613" s="58"/>
      <c r="BL613" s="66">
        <v>3387704</v>
      </c>
      <c r="BM613" s="56" t="s">
        <v>17507</v>
      </c>
      <c r="BN613" s="58"/>
      <c r="BO613" s="67">
        <v>57.9</v>
      </c>
      <c r="BP613" s="56" t="s">
        <v>15409</v>
      </c>
      <c r="BQ613" s="58"/>
      <c r="BR613" s="56" t="s">
        <v>17508</v>
      </c>
      <c r="BS613" s="56" t="s">
        <v>1285</v>
      </c>
      <c r="BT613" s="58"/>
      <c r="BU613" s="56" t="s">
        <v>17505</v>
      </c>
      <c r="BV613" s="58"/>
      <c r="BW613" s="58"/>
      <c r="BX613" s="67">
        <v>57.9</v>
      </c>
      <c r="BY613" s="56" t="s">
        <v>1285</v>
      </c>
      <c r="BZ613" s="58"/>
      <c r="CA613" s="58"/>
      <c r="CB613" s="58"/>
      <c r="CC613" s="58"/>
      <c r="CD613" s="58"/>
    </row>
    <row r="614" ht="108" spans="1:82">
      <c r="A614" s="56" t="s">
        <v>17530</v>
      </c>
      <c r="B614" s="58"/>
      <c r="C614" s="57" t="s">
        <v>17501</v>
      </c>
      <c r="D614" s="58"/>
      <c r="E614" s="57" t="s">
        <v>15158</v>
      </c>
      <c r="F614" s="57" t="s">
        <v>17502</v>
      </c>
      <c r="G614" s="57" t="s">
        <v>15160</v>
      </c>
      <c r="H614" s="56" t="s">
        <v>2965</v>
      </c>
      <c r="I614" s="60">
        <v>13295.19</v>
      </c>
      <c r="J614" s="57" t="s">
        <v>1285</v>
      </c>
      <c r="K614" s="57" t="s">
        <v>15162</v>
      </c>
      <c r="L614" s="57" t="s">
        <v>15163</v>
      </c>
      <c r="M614" s="61" t="s">
        <v>17325</v>
      </c>
      <c r="N614" s="62" t="s">
        <v>14909</v>
      </c>
      <c r="O614" s="57" t="s">
        <v>15165</v>
      </c>
      <c r="P614" s="57" t="s">
        <v>15166</v>
      </c>
      <c r="Q614" s="57" t="s">
        <v>2965</v>
      </c>
      <c r="R614" s="57" t="s">
        <v>15606</v>
      </c>
      <c r="S614" s="57" t="s">
        <v>15607</v>
      </c>
      <c r="T614" s="57" t="s">
        <v>15190</v>
      </c>
      <c r="U614" s="57" t="s">
        <v>14184</v>
      </c>
      <c r="V614" s="56" t="s">
        <v>14153</v>
      </c>
      <c r="W614" s="58"/>
      <c r="X614" s="57" t="s">
        <v>17503</v>
      </c>
      <c r="Y614" s="57" t="s">
        <v>15170</v>
      </c>
      <c r="Z614" s="61" t="s">
        <v>14605</v>
      </c>
      <c r="AA614" s="61" t="s">
        <v>17325</v>
      </c>
      <c r="AB614" s="58"/>
      <c r="AC614" s="57" t="s">
        <v>15172</v>
      </c>
      <c r="AD614" s="58"/>
      <c r="AE614" s="58"/>
      <c r="AF614" s="58"/>
      <c r="AG614" s="58"/>
      <c r="AH614" s="58"/>
      <c r="AI614" s="58"/>
      <c r="AJ614" s="58"/>
      <c r="AK614" s="56" t="s">
        <v>1285</v>
      </c>
      <c r="AL614" s="56" t="s">
        <v>17504</v>
      </c>
      <c r="AM614" s="58"/>
      <c r="AN614" s="56" t="s">
        <v>15324</v>
      </c>
      <c r="AO614" s="58"/>
      <c r="AP614" s="63">
        <v>45776.8001157407</v>
      </c>
      <c r="AQ614" s="56" t="s">
        <v>17505</v>
      </c>
      <c r="AR614" s="61" t="s">
        <v>15404</v>
      </c>
      <c r="AS614" s="57" t="s">
        <v>14184</v>
      </c>
      <c r="AT614" s="56" t="s">
        <v>15177</v>
      </c>
      <c r="AU614" s="56" t="s">
        <v>17506</v>
      </c>
      <c r="AV614" s="58"/>
      <c r="AW614" s="64">
        <v>45679.9364236111</v>
      </c>
      <c r="AX614" s="56" t="s">
        <v>17504</v>
      </c>
      <c r="AY614" s="56" t="s">
        <v>15179</v>
      </c>
      <c r="AZ614" s="58"/>
      <c r="BA614" s="58"/>
      <c r="BB614" s="58"/>
      <c r="BC614" s="56" t="s">
        <v>15637</v>
      </c>
      <c r="BD614" s="56" t="s">
        <v>15197</v>
      </c>
      <c r="BE614" s="56" t="s">
        <v>15613</v>
      </c>
      <c r="BF614" s="56" t="s">
        <v>15181</v>
      </c>
      <c r="BG614" s="58"/>
      <c r="BH614" s="58"/>
      <c r="BI614" s="57" t="s">
        <v>2801</v>
      </c>
      <c r="BJ614" s="58"/>
      <c r="BK614" s="58"/>
      <c r="BL614" s="66">
        <v>3387695</v>
      </c>
      <c r="BM614" s="56" t="s">
        <v>17507</v>
      </c>
      <c r="BN614" s="58"/>
      <c r="BO614" s="67">
        <v>119.7</v>
      </c>
      <c r="BP614" s="56" t="s">
        <v>15409</v>
      </c>
      <c r="BQ614" s="58"/>
      <c r="BR614" s="56" t="s">
        <v>17508</v>
      </c>
      <c r="BS614" s="56" t="s">
        <v>1285</v>
      </c>
      <c r="BT614" s="58"/>
      <c r="BU614" s="56" t="s">
        <v>17505</v>
      </c>
      <c r="BV614" s="58"/>
      <c r="BW614" s="58"/>
      <c r="BX614" s="67">
        <v>119.7</v>
      </c>
      <c r="BY614" s="56" t="s">
        <v>1285</v>
      </c>
      <c r="BZ614" s="58"/>
      <c r="CA614" s="58"/>
      <c r="CB614" s="58"/>
      <c r="CC614" s="58"/>
      <c r="CD614" s="58"/>
    </row>
    <row r="615" ht="108" spans="1:82">
      <c r="A615" s="56" t="s">
        <v>17531</v>
      </c>
      <c r="B615" s="58"/>
      <c r="C615" s="57" t="s">
        <v>17501</v>
      </c>
      <c r="D615" s="58"/>
      <c r="E615" s="57" t="s">
        <v>15158</v>
      </c>
      <c r="F615" s="57" t="s">
        <v>17502</v>
      </c>
      <c r="G615" s="57" t="s">
        <v>15160</v>
      </c>
      <c r="H615" s="56" t="s">
        <v>2965</v>
      </c>
      <c r="I615" s="60">
        <v>13295.19</v>
      </c>
      <c r="J615" s="57" t="s">
        <v>1285</v>
      </c>
      <c r="K615" s="57" t="s">
        <v>15162</v>
      </c>
      <c r="L615" s="57" t="s">
        <v>15163</v>
      </c>
      <c r="M615" s="61" t="s">
        <v>17325</v>
      </c>
      <c r="N615" s="62" t="s">
        <v>14909</v>
      </c>
      <c r="O615" s="57" t="s">
        <v>15165</v>
      </c>
      <c r="P615" s="57" t="s">
        <v>15166</v>
      </c>
      <c r="Q615" s="57" t="s">
        <v>2965</v>
      </c>
      <c r="R615" s="57" t="s">
        <v>15606</v>
      </c>
      <c r="S615" s="57" t="s">
        <v>15607</v>
      </c>
      <c r="T615" s="57" t="s">
        <v>15190</v>
      </c>
      <c r="U615" s="57" t="s">
        <v>14184</v>
      </c>
      <c r="V615" s="56" t="s">
        <v>14153</v>
      </c>
      <c r="W615" s="58"/>
      <c r="X615" s="57" t="s">
        <v>17503</v>
      </c>
      <c r="Y615" s="57" t="s">
        <v>15170</v>
      </c>
      <c r="Z615" s="61" t="s">
        <v>14605</v>
      </c>
      <c r="AA615" s="61" t="s">
        <v>17325</v>
      </c>
      <c r="AB615" s="58"/>
      <c r="AC615" s="57" t="s">
        <v>15172</v>
      </c>
      <c r="AD615" s="58"/>
      <c r="AE615" s="58"/>
      <c r="AF615" s="58"/>
      <c r="AG615" s="58"/>
      <c r="AH615" s="58"/>
      <c r="AI615" s="58"/>
      <c r="AJ615" s="58"/>
      <c r="AK615" s="56" t="s">
        <v>1285</v>
      </c>
      <c r="AL615" s="56" t="s">
        <v>17504</v>
      </c>
      <c r="AM615" s="58"/>
      <c r="AN615" s="56" t="s">
        <v>15324</v>
      </c>
      <c r="AO615" s="58"/>
      <c r="AP615" s="63">
        <v>45776.8001157407</v>
      </c>
      <c r="AQ615" s="56" t="s">
        <v>17505</v>
      </c>
      <c r="AR615" s="61" t="s">
        <v>15404</v>
      </c>
      <c r="AS615" s="57" t="s">
        <v>14184</v>
      </c>
      <c r="AT615" s="56" t="s">
        <v>15177</v>
      </c>
      <c r="AU615" s="56" t="s">
        <v>17506</v>
      </c>
      <c r="AV615" s="58"/>
      <c r="AW615" s="64">
        <v>45679.9364236111</v>
      </c>
      <c r="AX615" s="56" t="s">
        <v>17504</v>
      </c>
      <c r="AY615" s="56" t="s">
        <v>15179</v>
      </c>
      <c r="AZ615" s="58"/>
      <c r="BA615" s="58"/>
      <c r="BB615" s="58"/>
      <c r="BC615" s="56" t="s">
        <v>138</v>
      </c>
      <c r="BD615" s="56" t="s">
        <v>15197</v>
      </c>
      <c r="BE615" s="56" t="s">
        <v>15613</v>
      </c>
      <c r="BF615" s="56" t="s">
        <v>15181</v>
      </c>
      <c r="BG615" s="58"/>
      <c r="BH615" s="58"/>
      <c r="BI615" s="57" t="s">
        <v>2801</v>
      </c>
      <c r="BJ615" s="58"/>
      <c r="BK615" s="58"/>
      <c r="BL615" s="66">
        <v>3387694</v>
      </c>
      <c r="BM615" s="56" t="s">
        <v>17507</v>
      </c>
      <c r="BN615" s="58"/>
      <c r="BO615" s="67">
        <v>281.4</v>
      </c>
      <c r="BP615" s="56" t="s">
        <v>15409</v>
      </c>
      <c r="BQ615" s="58"/>
      <c r="BR615" s="56" t="s">
        <v>17508</v>
      </c>
      <c r="BS615" s="56" t="s">
        <v>1285</v>
      </c>
      <c r="BT615" s="58"/>
      <c r="BU615" s="56" t="s">
        <v>17505</v>
      </c>
      <c r="BV615" s="58"/>
      <c r="BW615" s="58"/>
      <c r="BX615" s="67">
        <v>281.4</v>
      </c>
      <c r="BY615" s="56" t="s">
        <v>1285</v>
      </c>
      <c r="BZ615" s="58"/>
      <c r="CA615" s="58"/>
      <c r="CB615" s="58"/>
      <c r="CC615" s="58"/>
      <c r="CD615" s="58"/>
    </row>
    <row r="616" ht="108" spans="1:82">
      <c r="A616" s="56" t="s">
        <v>17532</v>
      </c>
      <c r="B616" s="58"/>
      <c r="C616" s="57" t="s">
        <v>17501</v>
      </c>
      <c r="D616" s="58"/>
      <c r="E616" s="57" t="s">
        <v>15158</v>
      </c>
      <c r="F616" s="57" t="s">
        <v>17502</v>
      </c>
      <c r="G616" s="57" t="s">
        <v>15160</v>
      </c>
      <c r="H616" s="56" t="s">
        <v>2965</v>
      </c>
      <c r="I616" s="60">
        <v>13295.19</v>
      </c>
      <c r="J616" s="57" t="s">
        <v>1285</v>
      </c>
      <c r="K616" s="57" t="s">
        <v>15162</v>
      </c>
      <c r="L616" s="57" t="s">
        <v>15163</v>
      </c>
      <c r="M616" s="61" t="s">
        <v>17325</v>
      </c>
      <c r="N616" s="62" t="s">
        <v>14909</v>
      </c>
      <c r="O616" s="57" t="s">
        <v>15165</v>
      </c>
      <c r="P616" s="57" t="s">
        <v>15166</v>
      </c>
      <c r="Q616" s="57" t="s">
        <v>2965</v>
      </c>
      <c r="R616" s="57" t="s">
        <v>15606</v>
      </c>
      <c r="S616" s="57" t="s">
        <v>15607</v>
      </c>
      <c r="T616" s="57" t="s">
        <v>15190</v>
      </c>
      <c r="U616" s="57" t="s">
        <v>14184</v>
      </c>
      <c r="V616" s="56" t="s">
        <v>14153</v>
      </c>
      <c r="W616" s="58"/>
      <c r="X616" s="57" t="s">
        <v>17503</v>
      </c>
      <c r="Y616" s="57" t="s">
        <v>15170</v>
      </c>
      <c r="Z616" s="61" t="s">
        <v>14605</v>
      </c>
      <c r="AA616" s="61" t="s">
        <v>17325</v>
      </c>
      <c r="AB616" s="58"/>
      <c r="AC616" s="57" t="s">
        <v>15172</v>
      </c>
      <c r="AD616" s="58"/>
      <c r="AE616" s="58"/>
      <c r="AF616" s="58"/>
      <c r="AG616" s="58"/>
      <c r="AH616" s="58"/>
      <c r="AI616" s="58"/>
      <c r="AJ616" s="58"/>
      <c r="AK616" s="56" t="s">
        <v>1285</v>
      </c>
      <c r="AL616" s="56" t="s">
        <v>17504</v>
      </c>
      <c r="AM616" s="58"/>
      <c r="AN616" s="56" t="s">
        <v>15324</v>
      </c>
      <c r="AO616" s="58"/>
      <c r="AP616" s="63">
        <v>45776.8001157407</v>
      </c>
      <c r="AQ616" s="56" t="s">
        <v>17505</v>
      </c>
      <c r="AR616" s="61" t="s">
        <v>15404</v>
      </c>
      <c r="AS616" s="57" t="s">
        <v>14184</v>
      </c>
      <c r="AT616" s="56" t="s">
        <v>15177</v>
      </c>
      <c r="AU616" s="56" t="s">
        <v>17506</v>
      </c>
      <c r="AV616" s="58"/>
      <c r="AW616" s="64">
        <v>45679.9364236111</v>
      </c>
      <c r="AX616" s="56" t="s">
        <v>17504</v>
      </c>
      <c r="AY616" s="56" t="s">
        <v>15179</v>
      </c>
      <c r="AZ616" s="58"/>
      <c r="BA616" s="58"/>
      <c r="BB616" s="58"/>
      <c r="BC616" s="56" t="s">
        <v>15213</v>
      </c>
      <c r="BD616" s="56" t="s">
        <v>15197</v>
      </c>
      <c r="BE616" s="56" t="s">
        <v>15613</v>
      </c>
      <c r="BF616" s="56" t="s">
        <v>15181</v>
      </c>
      <c r="BG616" s="58"/>
      <c r="BH616" s="58"/>
      <c r="BI616" s="57" t="s">
        <v>2801</v>
      </c>
      <c r="BJ616" s="58"/>
      <c r="BK616" s="58"/>
      <c r="BL616" s="66">
        <v>3387692</v>
      </c>
      <c r="BM616" s="56" t="s">
        <v>17507</v>
      </c>
      <c r="BN616" s="58"/>
      <c r="BO616" s="67">
        <v>108</v>
      </c>
      <c r="BP616" s="56" t="s">
        <v>15409</v>
      </c>
      <c r="BQ616" s="58"/>
      <c r="BR616" s="56" t="s">
        <v>17508</v>
      </c>
      <c r="BS616" s="56" t="s">
        <v>1285</v>
      </c>
      <c r="BT616" s="58"/>
      <c r="BU616" s="56" t="s">
        <v>17505</v>
      </c>
      <c r="BV616" s="58"/>
      <c r="BW616" s="58"/>
      <c r="BX616" s="67">
        <v>108</v>
      </c>
      <c r="BY616" s="56" t="s">
        <v>1285</v>
      </c>
      <c r="BZ616" s="58"/>
      <c r="CA616" s="58"/>
      <c r="CB616" s="58"/>
      <c r="CC616" s="58"/>
      <c r="CD616" s="58"/>
    </row>
    <row r="617" ht="108" spans="1:82">
      <c r="A617" s="56" t="s">
        <v>17533</v>
      </c>
      <c r="B617" s="58"/>
      <c r="C617" s="57" t="s">
        <v>17534</v>
      </c>
      <c r="D617" s="58"/>
      <c r="E617" s="57" t="s">
        <v>15158</v>
      </c>
      <c r="F617" s="57" t="s">
        <v>17535</v>
      </c>
      <c r="G617" s="57" t="s">
        <v>15160</v>
      </c>
      <c r="H617" s="56" t="s">
        <v>3314</v>
      </c>
      <c r="I617" s="60">
        <v>9450</v>
      </c>
      <c r="J617" s="57" t="s">
        <v>1285</v>
      </c>
      <c r="K617" s="57" t="s">
        <v>15162</v>
      </c>
      <c r="L617" s="57" t="s">
        <v>15163</v>
      </c>
      <c r="M617" s="61" t="s">
        <v>17325</v>
      </c>
      <c r="N617" s="62" t="s">
        <v>14909</v>
      </c>
      <c r="O617" s="57" t="s">
        <v>15165</v>
      </c>
      <c r="P617" s="57" t="s">
        <v>15166</v>
      </c>
      <c r="Q617" s="57" t="s">
        <v>3314</v>
      </c>
      <c r="R617" s="57" t="s">
        <v>15582</v>
      </c>
      <c r="S617" s="57" t="s">
        <v>15583</v>
      </c>
      <c r="T617" s="57" t="s">
        <v>15190</v>
      </c>
      <c r="U617" s="57" t="s">
        <v>14184</v>
      </c>
      <c r="V617" s="56" t="s">
        <v>14153</v>
      </c>
      <c r="W617" s="58"/>
      <c r="X617" s="57" t="s">
        <v>17536</v>
      </c>
      <c r="Y617" s="57" t="s">
        <v>15170</v>
      </c>
      <c r="Z617" s="61" t="s">
        <v>14605</v>
      </c>
      <c r="AA617" s="61" t="s">
        <v>17325</v>
      </c>
      <c r="AB617" s="58"/>
      <c r="AC617" s="57" t="s">
        <v>15172</v>
      </c>
      <c r="AD617" s="58"/>
      <c r="AE617" s="58"/>
      <c r="AF617" s="58"/>
      <c r="AG617" s="58"/>
      <c r="AH617" s="58"/>
      <c r="AI617" s="58"/>
      <c r="AJ617" s="58"/>
      <c r="AK617" s="56" t="s">
        <v>1285</v>
      </c>
      <c r="AL617" s="56" t="s">
        <v>17537</v>
      </c>
      <c r="AM617" s="58"/>
      <c r="AN617" s="56" t="s">
        <v>15387</v>
      </c>
      <c r="AO617" s="58"/>
      <c r="AP617" s="63">
        <v>45776.7981944444</v>
      </c>
      <c r="AQ617" s="56" t="s">
        <v>17538</v>
      </c>
      <c r="AR617" s="61" t="s">
        <v>15404</v>
      </c>
      <c r="AS617" s="57" t="s">
        <v>14184</v>
      </c>
      <c r="AT617" s="56" t="s">
        <v>15177</v>
      </c>
      <c r="AU617" s="56" t="s">
        <v>17539</v>
      </c>
      <c r="AV617" s="58"/>
      <c r="AW617" s="64">
        <v>45679.9358564815</v>
      </c>
      <c r="AX617" s="56" t="s">
        <v>17537</v>
      </c>
      <c r="AY617" s="56" t="s">
        <v>15179</v>
      </c>
      <c r="AZ617" s="58"/>
      <c r="BA617" s="58"/>
      <c r="BB617" s="58"/>
      <c r="BC617" s="56" t="s">
        <v>15213</v>
      </c>
      <c r="BD617" s="56" t="s">
        <v>15197</v>
      </c>
      <c r="BE617" s="58"/>
      <c r="BF617" s="56" t="s">
        <v>15181</v>
      </c>
      <c r="BG617" s="58"/>
      <c r="BH617" s="58"/>
      <c r="BI617" s="57" t="s">
        <v>2801</v>
      </c>
      <c r="BJ617" s="58"/>
      <c r="BK617" s="58"/>
      <c r="BL617" s="66">
        <v>3406142</v>
      </c>
      <c r="BM617" s="56" t="s">
        <v>17540</v>
      </c>
      <c r="BN617" s="58"/>
      <c r="BO617" s="67">
        <v>9450</v>
      </c>
      <c r="BP617" s="56" t="s">
        <v>15409</v>
      </c>
      <c r="BQ617" s="58"/>
      <c r="BR617" s="56" t="s">
        <v>17541</v>
      </c>
      <c r="BS617" s="56" t="s">
        <v>1285</v>
      </c>
      <c r="BT617" s="58"/>
      <c r="BU617" s="56" t="s">
        <v>17538</v>
      </c>
      <c r="BV617" s="58"/>
      <c r="BW617" s="58"/>
      <c r="BX617" s="67">
        <v>9450</v>
      </c>
      <c r="BY617" s="58"/>
      <c r="BZ617" s="58"/>
      <c r="CA617" s="58"/>
      <c r="CB617" s="58"/>
      <c r="CC617" s="58"/>
      <c r="CD617" s="58"/>
    </row>
    <row r="618" ht="108" spans="1:82">
      <c r="A618" s="56" t="s">
        <v>17542</v>
      </c>
      <c r="B618" s="57" t="s">
        <v>15156</v>
      </c>
      <c r="C618" s="58"/>
      <c r="D618" s="57" t="s">
        <v>17543</v>
      </c>
      <c r="E618" s="57" t="s">
        <v>15158</v>
      </c>
      <c r="F618" s="57" t="s">
        <v>17544</v>
      </c>
      <c r="G618" s="57" t="s">
        <v>15160</v>
      </c>
      <c r="H618" s="56" t="s">
        <v>16279</v>
      </c>
      <c r="I618" s="60">
        <v>7970</v>
      </c>
      <c r="J618" s="57" t="s">
        <v>1285</v>
      </c>
      <c r="K618" s="57" t="s">
        <v>15162</v>
      </c>
      <c r="L618" s="57" t="s">
        <v>15163</v>
      </c>
      <c r="M618" s="61" t="s">
        <v>16304</v>
      </c>
      <c r="N618" s="62" t="s">
        <v>16304</v>
      </c>
      <c r="O618" s="57" t="s">
        <v>15165</v>
      </c>
      <c r="P618" s="57" t="s">
        <v>15166</v>
      </c>
      <c r="Q618" s="57" t="s">
        <v>16279</v>
      </c>
      <c r="R618" s="57" t="s">
        <v>16281</v>
      </c>
      <c r="S618" s="57" t="s">
        <v>15297</v>
      </c>
      <c r="T618" s="58"/>
      <c r="U618" s="57" t="s">
        <v>14184</v>
      </c>
      <c r="V618" s="56" t="s">
        <v>14153</v>
      </c>
      <c r="W618" s="58"/>
      <c r="X618" s="57" t="s">
        <v>17545</v>
      </c>
      <c r="Y618" s="57" t="s">
        <v>15170</v>
      </c>
      <c r="Z618" s="61" t="s">
        <v>16304</v>
      </c>
      <c r="AA618" s="61" t="s">
        <v>16304</v>
      </c>
      <c r="AB618" s="57" t="s">
        <v>15171</v>
      </c>
      <c r="AC618" s="57" t="s">
        <v>15172</v>
      </c>
      <c r="AD618" s="58"/>
      <c r="AE618" s="58"/>
      <c r="AF618" s="57" t="s">
        <v>15173</v>
      </c>
      <c r="AG618" s="58"/>
      <c r="AH618" s="58"/>
      <c r="AI618" s="57" t="s">
        <v>15173</v>
      </c>
      <c r="AJ618" s="58"/>
      <c r="AK618" s="56" t="s">
        <v>1285</v>
      </c>
      <c r="AL618" s="56" t="s">
        <v>17546</v>
      </c>
      <c r="AM618" s="58"/>
      <c r="AN618" s="56" t="s">
        <v>16160</v>
      </c>
      <c r="AO618" s="58"/>
      <c r="AP618" s="63">
        <v>45775.8032986111</v>
      </c>
      <c r="AQ618" s="56" t="s">
        <v>17547</v>
      </c>
      <c r="AR618" s="61" t="s">
        <v>15404</v>
      </c>
      <c r="AS618" s="57" t="s">
        <v>14184</v>
      </c>
      <c r="AT618" s="56" t="s">
        <v>15177</v>
      </c>
      <c r="AU618" s="56" t="s">
        <v>17548</v>
      </c>
      <c r="AV618" s="58"/>
      <c r="AW618" s="64">
        <v>45775.439224537</v>
      </c>
      <c r="AX618" s="56" t="s">
        <v>17546</v>
      </c>
      <c r="AY618" s="56" t="s">
        <v>15179</v>
      </c>
      <c r="AZ618" s="58"/>
      <c r="BA618" s="58"/>
      <c r="BB618" s="58"/>
      <c r="BC618" s="58"/>
      <c r="BD618" s="56" t="s">
        <v>15276</v>
      </c>
      <c r="BE618" s="56" t="s">
        <v>16285</v>
      </c>
      <c r="BF618" s="56" t="s">
        <v>15181</v>
      </c>
      <c r="BG618" s="58"/>
      <c r="BH618" s="58"/>
      <c r="BI618" s="57" t="s">
        <v>2801</v>
      </c>
      <c r="BJ618" s="58"/>
      <c r="BK618" s="58"/>
      <c r="BL618" s="58"/>
      <c r="BM618" s="58"/>
      <c r="BN618" s="67">
        <v>7970</v>
      </c>
      <c r="BO618" s="58"/>
      <c r="BP618" s="56" t="s">
        <v>15182</v>
      </c>
      <c r="BQ618" s="58"/>
      <c r="BR618" s="58"/>
      <c r="BS618" s="58"/>
      <c r="BT618" s="56" t="s">
        <v>1285</v>
      </c>
      <c r="BU618" s="56" t="s">
        <v>17547</v>
      </c>
      <c r="BV618" s="58"/>
      <c r="BW618" s="58"/>
      <c r="BX618" s="67">
        <v>7970</v>
      </c>
      <c r="BY618" s="56" t="s">
        <v>1285</v>
      </c>
      <c r="BZ618" s="58"/>
      <c r="CA618" s="56" t="s">
        <v>15183</v>
      </c>
      <c r="CB618" s="56" t="s">
        <v>15183</v>
      </c>
      <c r="CC618" s="58"/>
      <c r="CD618" s="58"/>
    </row>
    <row r="619" ht="108" spans="1:82">
      <c r="A619" s="56" t="s">
        <v>17549</v>
      </c>
      <c r="B619" s="57" t="s">
        <v>15156</v>
      </c>
      <c r="C619" s="58"/>
      <c r="D619" s="57" t="s">
        <v>17550</v>
      </c>
      <c r="E619" s="57" t="s">
        <v>15158</v>
      </c>
      <c r="F619" s="57" t="s">
        <v>17551</v>
      </c>
      <c r="G619" s="57" t="s">
        <v>15160</v>
      </c>
      <c r="H619" s="56" t="s">
        <v>16279</v>
      </c>
      <c r="I619" s="60">
        <v>7970</v>
      </c>
      <c r="J619" s="57" t="s">
        <v>1285</v>
      </c>
      <c r="K619" s="57" t="s">
        <v>15162</v>
      </c>
      <c r="L619" s="57" t="s">
        <v>15163</v>
      </c>
      <c r="M619" s="61" t="s">
        <v>16304</v>
      </c>
      <c r="N619" s="62" t="s">
        <v>16304</v>
      </c>
      <c r="O619" s="57" t="s">
        <v>15165</v>
      </c>
      <c r="P619" s="57" t="s">
        <v>15166</v>
      </c>
      <c r="Q619" s="57" t="s">
        <v>16279</v>
      </c>
      <c r="R619" s="57" t="s">
        <v>16281</v>
      </c>
      <c r="S619" s="57" t="s">
        <v>15297</v>
      </c>
      <c r="T619" s="58"/>
      <c r="U619" s="57" t="s">
        <v>14184</v>
      </c>
      <c r="V619" s="56" t="s">
        <v>14153</v>
      </c>
      <c r="W619" s="58"/>
      <c r="X619" s="57" t="s">
        <v>16081</v>
      </c>
      <c r="Y619" s="57" t="s">
        <v>15170</v>
      </c>
      <c r="Z619" s="61" t="s">
        <v>16304</v>
      </c>
      <c r="AA619" s="61" t="s">
        <v>16304</v>
      </c>
      <c r="AB619" s="57" t="s">
        <v>15171</v>
      </c>
      <c r="AC619" s="57" t="s">
        <v>15172</v>
      </c>
      <c r="AD619" s="58"/>
      <c r="AE619" s="58"/>
      <c r="AF619" s="57" t="s">
        <v>15173</v>
      </c>
      <c r="AG619" s="58"/>
      <c r="AH619" s="58"/>
      <c r="AI619" s="57" t="s">
        <v>15173</v>
      </c>
      <c r="AJ619" s="58"/>
      <c r="AK619" s="56" t="s">
        <v>1285</v>
      </c>
      <c r="AL619" s="56" t="s">
        <v>17552</v>
      </c>
      <c r="AM619" s="58"/>
      <c r="AN619" s="56" t="s">
        <v>15336</v>
      </c>
      <c r="AO619" s="58"/>
      <c r="AP619" s="63">
        <v>45775.8043518519</v>
      </c>
      <c r="AQ619" s="56" t="s">
        <v>17553</v>
      </c>
      <c r="AR619" s="61" t="s">
        <v>15404</v>
      </c>
      <c r="AS619" s="57" t="s">
        <v>14184</v>
      </c>
      <c r="AT619" s="56" t="s">
        <v>15177</v>
      </c>
      <c r="AU619" s="56" t="s">
        <v>17554</v>
      </c>
      <c r="AV619" s="58"/>
      <c r="AW619" s="64">
        <v>45775.439224537</v>
      </c>
      <c r="AX619" s="56" t="s">
        <v>17552</v>
      </c>
      <c r="AY619" s="56" t="s">
        <v>15179</v>
      </c>
      <c r="AZ619" s="58"/>
      <c r="BA619" s="58"/>
      <c r="BB619" s="58"/>
      <c r="BC619" s="58"/>
      <c r="BD619" s="56" t="s">
        <v>15276</v>
      </c>
      <c r="BE619" s="56" t="s">
        <v>16285</v>
      </c>
      <c r="BF619" s="56" t="s">
        <v>15181</v>
      </c>
      <c r="BG619" s="58"/>
      <c r="BH619" s="58"/>
      <c r="BI619" s="57" t="s">
        <v>2801</v>
      </c>
      <c r="BJ619" s="58"/>
      <c r="BK619" s="58"/>
      <c r="BL619" s="58"/>
      <c r="BM619" s="58"/>
      <c r="BN619" s="67">
        <v>7970</v>
      </c>
      <c r="BO619" s="58"/>
      <c r="BP619" s="56" t="s">
        <v>15182</v>
      </c>
      <c r="BQ619" s="58"/>
      <c r="BR619" s="58"/>
      <c r="BS619" s="58"/>
      <c r="BT619" s="56" t="s">
        <v>1285</v>
      </c>
      <c r="BU619" s="56" t="s">
        <v>17553</v>
      </c>
      <c r="BV619" s="58"/>
      <c r="BW619" s="58"/>
      <c r="BX619" s="67">
        <v>7970</v>
      </c>
      <c r="BY619" s="56" t="s">
        <v>1285</v>
      </c>
      <c r="BZ619" s="58"/>
      <c r="CA619" s="56" t="s">
        <v>15183</v>
      </c>
      <c r="CB619" s="56" t="s">
        <v>15183</v>
      </c>
      <c r="CC619" s="58"/>
      <c r="CD619" s="58"/>
    </row>
    <row r="620" ht="108" spans="1:82">
      <c r="A620" s="56" t="s">
        <v>17555</v>
      </c>
      <c r="B620" s="57" t="s">
        <v>15950</v>
      </c>
      <c r="C620" s="58"/>
      <c r="D620" s="57" t="s">
        <v>17556</v>
      </c>
      <c r="E620" s="57" t="s">
        <v>15158</v>
      </c>
      <c r="F620" s="57" t="s">
        <v>17557</v>
      </c>
      <c r="G620" s="57" t="s">
        <v>15160</v>
      </c>
      <c r="H620" s="56" t="s">
        <v>16279</v>
      </c>
      <c r="I620" s="60">
        <v>15200</v>
      </c>
      <c r="J620" s="57" t="s">
        <v>1285</v>
      </c>
      <c r="K620" s="57" t="s">
        <v>15162</v>
      </c>
      <c r="L620" s="57" t="s">
        <v>15163</v>
      </c>
      <c r="M620" s="61" t="s">
        <v>16304</v>
      </c>
      <c r="N620" s="62" t="s">
        <v>15164</v>
      </c>
      <c r="O620" s="57" t="s">
        <v>15165</v>
      </c>
      <c r="P620" s="57" t="s">
        <v>15166</v>
      </c>
      <c r="Q620" s="57" t="s">
        <v>16279</v>
      </c>
      <c r="R620" s="57" t="s">
        <v>16281</v>
      </c>
      <c r="S620" s="57" t="s">
        <v>15297</v>
      </c>
      <c r="T620" s="58"/>
      <c r="U620" s="57" t="s">
        <v>14184</v>
      </c>
      <c r="V620" s="56" t="s">
        <v>14153</v>
      </c>
      <c r="W620" s="58"/>
      <c r="X620" s="57" t="s">
        <v>16373</v>
      </c>
      <c r="Y620" s="57" t="s">
        <v>15170</v>
      </c>
      <c r="Z620" s="61" t="s">
        <v>16793</v>
      </c>
      <c r="AA620" s="61" t="s">
        <v>16304</v>
      </c>
      <c r="AB620" s="57" t="s">
        <v>15171</v>
      </c>
      <c r="AC620" s="57" t="s">
        <v>15172</v>
      </c>
      <c r="AD620" s="58"/>
      <c r="AE620" s="58"/>
      <c r="AF620" s="57" t="s">
        <v>15173</v>
      </c>
      <c r="AG620" s="58"/>
      <c r="AH620" s="58"/>
      <c r="AI620" s="57" t="s">
        <v>15173</v>
      </c>
      <c r="AJ620" s="58"/>
      <c r="AK620" s="56" t="s">
        <v>1285</v>
      </c>
      <c r="AL620" s="56" t="s">
        <v>17558</v>
      </c>
      <c r="AM620" s="58"/>
      <c r="AN620" s="56" t="s">
        <v>16367</v>
      </c>
      <c r="AO620" s="58"/>
      <c r="AP620" s="63">
        <v>45776.7718402778</v>
      </c>
      <c r="AQ620" s="56" t="s">
        <v>17559</v>
      </c>
      <c r="AR620" s="61" t="s">
        <v>15030</v>
      </c>
      <c r="AS620" s="58"/>
      <c r="AT620" s="56" t="s">
        <v>15957</v>
      </c>
      <c r="AU620" s="56" t="s">
        <v>17560</v>
      </c>
      <c r="AV620" s="56" t="s">
        <v>17556</v>
      </c>
      <c r="AW620" s="64">
        <v>45770.7906944444</v>
      </c>
      <c r="AX620" s="56" t="s">
        <v>17558</v>
      </c>
      <c r="AY620" s="56" t="s">
        <v>15179</v>
      </c>
      <c r="AZ620" s="58"/>
      <c r="BA620" s="58"/>
      <c r="BB620" s="58"/>
      <c r="BC620" s="58"/>
      <c r="BD620" s="56" t="s">
        <v>15959</v>
      </c>
      <c r="BE620" s="58"/>
      <c r="BF620" s="56" t="s">
        <v>15181</v>
      </c>
      <c r="BG620" s="58"/>
      <c r="BH620" s="58"/>
      <c r="BI620" s="57" t="s">
        <v>2801</v>
      </c>
      <c r="BJ620" s="58"/>
      <c r="BK620" s="58"/>
      <c r="BL620" s="58"/>
      <c r="BM620" s="58"/>
      <c r="BN620" s="67">
        <v>15200</v>
      </c>
      <c r="BO620" s="58"/>
      <c r="BP620" s="56" t="s">
        <v>15182</v>
      </c>
      <c r="BQ620" s="58"/>
      <c r="BR620" s="58"/>
      <c r="BS620" s="58"/>
      <c r="BT620" s="56" t="s">
        <v>1285</v>
      </c>
      <c r="BU620" s="56" t="s">
        <v>17559</v>
      </c>
      <c r="BV620" s="58"/>
      <c r="BW620" s="58"/>
      <c r="BX620" s="67">
        <v>15200</v>
      </c>
      <c r="BY620" s="58"/>
      <c r="BZ620" s="56" t="s">
        <v>15160</v>
      </c>
      <c r="CA620" s="58"/>
      <c r="CB620" s="58"/>
      <c r="CC620" s="58"/>
      <c r="CD620" s="58"/>
    </row>
    <row r="621" ht="108" spans="1:82">
      <c r="A621" s="56" t="s">
        <v>17561</v>
      </c>
      <c r="B621" s="57" t="s">
        <v>15156</v>
      </c>
      <c r="C621" s="58"/>
      <c r="D621" s="57" t="s">
        <v>17562</v>
      </c>
      <c r="E621" s="57" t="s">
        <v>15158</v>
      </c>
      <c r="F621" s="57" t="s">
        <v>17563</v>
      </c>
      <c r="G621" s="57" t="s">
        <v>15160</v>
      </c>
      <c r="H621" s="56" t="s">
        <v>15319</v>
      </c>
      <c r="I621" s="60">
        <v>1800</v>
      </c>
      <c r="J621" s="57" t="s">
        <v>1285</v>
      </c>
      <c r="K621" s="57" t="s">
        <v>15162</v>
      </c>
      <c r="L621" s="57" t="s">
        <v>15163</v>
      </c>
      <c r="M621" s="61" t="s">
        <v>15840</v>
      </c>
      <c r="N621" s="58"/>
      <c r="O621" s="57" t="s">
        <v>15165</v>
      </c>
      <c r="P621" s="57" t="s">
        <v>15166</v>
      </c>
      <c r="Q621" s="57" t="s">
        <v>15319</v>
      </c>
      <c r="R621" s="57" t="s">
        <v>15321</v>
      </c>
      <c r="S621" s="57" t="s">
        <v>15322</v>
      </c>
      <c r="T621" s="58"/>
      <c r="U621" s="57" t="s">
        <v>14184</v>
      </c>
      <c r="V621" s="56" t="s">
        <v>14153</v>
      </c>
      <c r="W621" s="58"/>
      <c r="X621" s="57" t="s">
        <v>17338</v>
      </c>
      <c r="Y621" s="57" t="s">
        <v>15443</v>
      </c>
      <c r="Z621" s="61" t="s">
        <v>16254</v>
      </c>
      <c r="AA621" s="61" t="s">
        <v>15840</v>
      </c>
      <c r="AB621" s="57" t="s">
        <v>15171</v>
      </c>
      <c r="AC621" s="57" t="s">
        <v>15172</v>
      </c>
      <c r="AD621" s="58"/>
      <c r="AE621" s="58"/>
      <c r="AF621" s="57" t="s">
        <v>15173</v>
      </c>
      <c r="AG621" s="58"/>
      <c r="AH621" s="58"/>
      <c r="AI621" s="57" t="s">
        <v>15173</v>
      </c>
      <c r="AJ621" s="58"/>
      <c r="AK621" s="56" t="s">
        <v>1285</v>
      </c>
      <c r="AL621" s="56" t="s">
        <v>17564</v>
      </c>
      <c r="AM621" s="58"/>
      <c r="AN621" s="56" t="s">
        <v>16124</v>
      </c>
      <c r="AO621" s="58"/>
      <c r="AP621" s="63">
        <v>45771.7877662037</v>
      </c>
      <c r="AQ621" s="56" t="s">
        <v>17565</v>
      </c>
      <c r="AR621" s="61" t="s">
        <v>15030</v>
      </c>
      <c r="AS621" s="57" t="s">
        <v>14184</v>
      </c>
      <c r="AT621" s="56" t="s">
        <v>15177</v>
      </c>
      <c r="AU621" s="56" t="s">
        <v>17566</v>
      </c>
      <c r="AV621" s="58"/>
      <c r="AW621" s="64">
        <v>45756.3893402778</v>
      </c>
      <c r="AX621" s="56" t="s">
        <v>17564</v>
      </c>
      <c r="AY621" s="56" t="s">
        <v>15179</v>
      </c>
      <c r="AZ621" s="58"/>
      <c r="BA621" s="58"/>
      <c r="BB621" s="58"/>
      <c r="BC621" s="58"/>
      <c r="BD621" s="56" t="s">
        <v>15276</v>
      </c>
      <c r="BE621" s="56" t="s">
        <v>15327</v>
      </c>
      <c r="BF621" s="56" t="s">
        <v>15181</v>
      </c>
      <c r="BG621" s="58"/>
      <c r="BH621" s="58"/>
      <c r="BI621" s="57" t="s">
        <v>2801</v>
      </c>
      <c r="BJ621" s="58"/>
      <c r="BK621" s="58"/>
      <c r="BL621" s="58"/>
      <c r="BM621" s="58"/>
      <c r="BN621" s="67">
        <v>1800</v>
      </c>
      <c r="BO621" s="58"/>
      <c r="BP621" s="56" t="s">
        <v>15182</v>
      </c>
      <c r="BQ621" s="58"/>
      <c r="BR621" s="58"/>
      <c r="BS621" s="58"/>
      <c r="BT621" s="58"/>
      <c r="BU621" s="56" t="s">
        <v>17565</v>
      </c>
      <c r="BV621" s="58"/>
      <c r="BW621" s="58"/>
      <c r="BX621" s="67">
        <v>1800</v>
      </c>
      <c r="BY621" s="56" t="s">
        <v>1285</v>
      </c>
      <c r="BZ621" s="58"/>
      <c r="CA621" s="56" t="s">
        <v>15183</v>
      </c>
      <c r="CB621" s="56" t="s">
        <v>15183</v>
      </c>
      <c r="CC621" s="58"/>
      <c r="CD621" s="58"/>
    </row>
    <row r="622" ht="108" spans="1:82">
      <c r="A622" s="56" t="s">
        <v>17567</v>
      </c>
      <c r="B622" s="57" t="s">
        <v>15156</v>
      </c>
      <c r="C622" s="58"/>
      <c r="D622" s="57" t="s">
        <v>17568</v>
      </c>
      <c r="E622" s="57" t="s">
        <v>15158</v>
      </c>
      <c r="F622" s="57" t="s">
        <v>17569</v>
      </c>
      <c r="G622" s="57" t="s">
        <v>15160</v>
      </c>
      <c r="H622" s="56" t="s">
        <v>17570</v>
      </c>
      <c r="I622" s="60">
        <v>15.94</v>
      </c>
      <c r="J622" s="57" t="s">
        <v>1285</v>
      </c>
      <c r="K622" s="57" t="s">
        <v>15162</v>
      </c>
      <c r="L622" s="57" t="s">
        <v>15163</v>
      </c>
      <c r="M622" s="61" t="s">
        <v>15840</v>
      </c>
      <c r="N622" s="58"/>
      <c r="O622" s="57" t="s">
        <v>15165</v>
      </c>
      <c r="P622" s="57" t="s">
        <v>15166</v>
      </c>
      <c r="Q622" s="57" t="s">
        <v>17570</v>
      </c>
      <c r="R622" s="57" t="s">
        <v>17571</v>
      </c>
      <c r="S622" s="57" t="s">
        <v>17572</v>
      </c>
      <c r="T622" s="58"/>
      <c r="U622" s="57" t="s">
        <v>14184</v>
      </c>
      <c r="V622" s="56" t="s">
        <v>14153</v>
      </c>
      <c r="W622" s="58"/>
      <c r="X622" s="57" t="s">
        <v>17573</v>
      </c>
      <c r="Y622" s="57" t="s">
        <v>15443</v>
      </c>
      <c r="Z622" s="61" t="s">
        <v>16254</v>
      </c>
      <c r="AA622" s="61" t="s">
        <v>15840</v>
      </c>
      <c r="AB622" s="57" t="s">
        <v>15171</v>
      </c>
      <c r="AC622" s="57" t="s">
        <v>15172</v>
      </c>
      <c r="AD622" s="58"/>
      <c r="AE622" s="58"/>
      <c r="AF622" s="57" t="s">
        <v>15173</v>
      </c>
      <c r="AG622" s="58"/>
      <c r="AH622" s="58"/>
      <c r="AI622" s="57" t="s">
        <v>15173</v>
      </c>
      <c r="AJ622" s="58"/>
      <c r="AK622" s="56" t="s">
        <v>1285</v>
      </c>
      <c r="AL622" s="56" t="s">
        <v>17574</v>
      </c>
      <c r="AM622" s="58"/>
      <c r="AN622" s="56" t="s">
        <v>16111</v>
      </c>
      <c r="AO622" s="58"/>
      <c r="AP622" s="63">
        <v>45771.79375</v>
      </c>
      <c r="AQ622" s="56" t="s">
        <v>17575</v>
      </c>
      <c r="AR622" s="61" t="s">
        <v>15030</v>
      </c>
      <c r="AS622" s="57" t="s">
        <v>14184</v>
      </c>
      <c r="AT622" s="56" t="s">
        <v>15177</v>
      </c>
      <c r="AU622" s="56" t="s">
        <v>17576</v>
      </c>
      <c r="AV622" s="58"/>
      <c r="AW622" s="64">
        <v>45750.8015393519</v>
      </c>
      <c r="AX622" s="56" t="s">
        <v>17574</v>
      </c>
      <c r="AY622" s="56" t="s">
        <v>15179</v>
      </c>
      <c r="AZ622" s="58"/>
      <c r="BA622" s="58"/>
      <c r="BB622" s="58"/>
      <c r="BC622" s="58"/>
      <c r="BD622" s="56" t="s">
        <v>15802</v>
      </c>
      <c r="BE622" s="58"/>
      <c r="BF622" s="56" t="s">
        <v>15181</v>
      </c>
      <c r="BG622" s="58"/>
      <c r="BH622" s="58"/>
      <c r="BI622" s="57" t="s">
        <v>2801</v>
      </c>
      <c r="BJ622" s="58"/>
      <c r="BK622" s="58"/>
      <c r="BL622" s="58"/>
      <c r="BM622" s="58"/>
      <c r="BN622" s="67">
        <v>15.94</v>
      </c>
      <c r="BO622" s="58"/>
      <c r="BP622" s="56" t="s">
        <v>15182</v>
      </c>
      <c r="BQ622" s="58"/>
      <c r="BR622" s="58"/>
      <c r="BS622" s="58"/>
      <c r="BT622" s="58"/>
      <c r="BU622" s="56" t="s">
        <v>17575</v>
      </c>
      <c r="BV622" s="58"/>
      <c r="BW622" s="58"/>
      <c r="BX622" s="67">
        <v>15.94</v>
      </c>
      <c r="BY622" s="58"/>
      <c r="BZ622" s="58"/>
      <c r="CA622" s="56" t="s">
        <v>15183</v>
      </c>
      <c r="CB622" s="56" t="s">
        <v>15183</v>
      </c>
      <c r="CC622" s="58"/>
      <c r="CD622" s="58"/>
    </row>
    <row r="623" ht="108" spans="1:82">
      <c r="A623" s="56" t="s">
        <v>17577</v>
      </c>
      <c r="B623" s="57" t="s">
        <v>15156</v>
      </c>
      <c r="C623" s="58"/>
      <c r="D623" s="57" t="s">
        <v>17578</v>
      </c>
      <c r="E623" s="57" t="s">
        <v>15158</v>
      </c>
      <c r="F623" s="57" t="s">
        <v>17579</v>
      </c>
      <c r="G623" s="57" t="s">
        <v>15160</v>
      </c>
      <c r="H623" s="56" t="s">
        <v>15268</v>
      </c>
      <c r="I623" s="60">
        <v>40980</v>
      </c>
      <c r="J623" s="57" t="s">
        <v>1285</v>
      </c>
      <c r="K623" s="57" t="s">
        <v>15162</v>
      </c>
      <c r="L623" s="57" t="s">
        <v>15163</v>
      </c>
      <c r="M623" s="61" t="s">
        <v>15840</v>
      </c>
      <c r="N623" s="58"/>
      <c r="O623" s="57" t="s">
        <v>15165</v>
      </c>
      <c r="P623" s="57" t="s">
        <v>15166</v>
      </c>
      <c r="Q623" s="57" t="s">
        <v>15268</v>
      </c>
      <c r="R623" s="57" t="s">
        <v>15269</v>
      </c>
      <c r="S623" s="57" t="s">
        <v>15270</v>
      </c>
      <c r="T623" s="58"/>
      <c r="U623" s="57" t="s">
        <v>14184</v>
      </c>
      <c r="V623" s="56" t="s">
        <v>14153</v>
      </c>
      <c r="W623" s="58"/>
      <c r="X623" s="57" t="s">
        <v>15298</v>
      </c>
      <c r="Y623" s="57" t="s">
        <v>15170</v>
      </c>
      <c r="Z623" s="61" t="s">
        <v>14605</v>
      </c>
      <c r="AA623" s="61" t="s">
        <v>15840</v>
      </c>
      <c r="AB623" s="57" t="s">
        <v>15171</v>
      </c>
      <c r="AC623" s="57" t="s">
        <v>15172</v>
      </c>
      <c r="AD623" s="58"/>
      <c r="AE623" s="58"/>
      <c r="AF623" s="57" t="s">
        <v>15173</v>
      </c>
      <c r="AG623" s="58"/>
      <c r="AH623" s="58"/>
      <c r="AI623" s="57" t="s">
        <v>15173</v>
      </c>
      <c r="AJ623" s="58"/>
      <c r="AK623" s="56" t="s">
        <v>1285</v>
      </c>
      <c r="AL623" s="56" t="s">
        <v>17580</v>
      </c>
      <c r="AM623" s="58"/>
      <c r="AN623" s="56" t="s">
        <v>15828</v>
      </c>
      <c r="AO623" s="58"/>
      <c r="AP623" s="63">
        <v>45771.9181944444</v>
      </c>
      <c r="AQ623" s="56" t="s">
        <v>17581</v>
      </c>
      <c r="AR623" s="61" t="s">
        <v>15030</v>
      </c>
      <c r="AS623" s="57" t="s">
        <v>14184</v>
      </c>
      <c r="AT623" s="56" t="s">
        <v>15177</v>
      </c>
      <c r="AU623" s="56" t="s">
        <v>17582</v>
      </c>
      <c r="AV623" s="58"/>
      <c r="AW623" s="64">
        <v>45743.3974768519</v>
      </c>
      <c r="AX623" s="56" t="s">
        <v>17580</v>
      </c>
      <c r="AY623" s="56" t="s">
        <v>15179</v>
      </c>
      <c r="AZ623" s="58"/>
      <c r="BA623" s="58"/>
      <c r="BB623" s="58"/>
      <c r="BC623" s="58"/>
      <c r="BD623" s="56" t="s">
        <v>15276</v>
      </c>
      <c r="BE623" s="56" t="s">
        <v>15277</v>
      </c>
      <c r="BF623" s="56" t="s">
        <v>15181</v>
      </c>
      <c r="BG623" s="58"/>
      <c r="BH623" s="58"/>
      <c r="BI623" s="57" t="s">
        <v>2801</v>
      </c>
      <c r="BJ623" s="58"/>
      <c r="BK623" s="58"/>
      <c r="BL623" s="58"/>
      <c r="BM623" s="58"/>
      <c r="BN623" s="67">
        <v>40980</v>
      </c>
      <c r="BO623" s="58"/>
      <c r="BP623" s="56" t="s">
        <v>15182</v>
      </c>
      <c r="BQ623" s="58"/>
      <c r="BR623" s="58"/>
      <c r="BS623" s="58"/>
      <c r="BT623" s="56" t="s">
        <v>1285</v>
      </c>
      <c r="BU623" s="56" t="s">
        <v>17581</v>
      </c>
      <c r="BV623" s="58"/>
      <c r="BW623" s="58"/>
      <c r="BX623" s="67">
        <v>40980</v>
      </c>
      <c r="BY623" s="56" t="s">
        <v>1285</v>
      </c>
      <c r="BZ623" s="58"/>
      <c r="CA623" s="56" t="s">
        <v>15183</v>
      </c>
      <c r="CB623" s="56" t="s">
        <v>15183</v>
      </c>
      <c r="CC623" s="58"/>
      <c r="CD623" s="58"/>
    </row>
    <row r="624" ht="108" spans="1:82">
      <c r="A624" s="56" t="s">
        <v>17583</v>
      </c>
      <c r="B624" s="57" t="s">
        <v>15156</v>
      </c>
      <c r="C624" s="58"/>
      <c r="D624" s="57" t="s">
        <v>17584</v>
      </c>
      <c r="E624" s="57" t="s">
        <v>15158</v>
      </c>
      <c r="F624" s="57" t="s">
        <v>17585</v>
      </c>
      <c r="G624" s="57" t="s">
        <v>15160</v>
      </c>
      <c r="H624" s="56" t="s">
        <v>15268</v>
      </c>
      <c r="I624" s="60">
        <v>40980</v>
      </c>
      <c r="J624" s="57" t="s">
        <v>1285</v>
      </c>
      <c r="K624" s="57" t="s">
        <v>15162</v>
      </c>
      <c r="L624" s="57" t="s">
        <v>15163</v>
      </c>
      <c r="M624" s="61" t="s">
        <v>15840</v>
      </c>
      <c r="N624" s="58"/>
      <c r="O624" s="57" t="s">
        <v>15165</v>
      </c>
      <c r="P624" s="57" t="s">
        <v>15166</v>
      </c>
      <c r="Q624" s="57" t="s">
        <v>15268</v>
      </c>
      <c r="R624" s="57" t="s">
        <v>15269</v>
      </c>
      <c r="S624" s="57" t="s">
        <v>15270</v>
      </c>
      <c r="T624" s="58"/>
      <c r="U624" s="57" t="s">
        <v>14184</v>
      </c>
      <c r="V624" s="56" t="s">
        <v>14153</v>
      </c>
      <c r="W624" s="58"/>
      <c r="X624" s="57" t="s">
        <v>15437</v>
      </c>
      <c r="Y624" s="57" t="s">
        <v>15170</v>
      </c>
      <c r="Z624" s="61" t="s">
        <v>14605</v>
      </c>
      <c r="AA624" s="61" t="s">
        <v>15840</v>
      </c>
      <c r="AB624" s="57" t="s">
        <v>15171</v>
      </c>
      <c r="AC624" s="57" t="s">
        <v>15172</v>
      </c>
      <c r="AD624" s="58"/>
      <c r="AE624" s="58"/>
      <c r="AF624" s="57" t="s">
        <v>15173</v>
      </c>
      <c r="AG624" s="58"/>
      <c r="AH624" s="58"/>
      <c r="AI624" s="57" t="s">
        <v>15173</v>
      </c>
      <c r="AJ624" s="58"/>
      <c r="AK624" s="56" t="s">
        <v>1285</v>
      </c>
      <c r="AL624" s="56" t="s">
        <v>17586</v>
      </c>
      <c r="AM624" s="58"/>
      <c r="AN624" s="56" t="s">
        <v>16785</v>
      </c>
      <c r="AO624" s="58"/>
      <c r="AP624" s="63">
        <v>45771.9164930556</v>
      </c>
      <c r="AQ624" s="56" t="s">
        <v>17587</v>
      </c>
      <c r="AR624" s="61" t="s">
        <v>15030</v>
      </c>
      <c r="AS624" s="57" t="s">
        <v>14184</v>
      </c>
      <c r="AT624" s="56" t="s">
        <v>15177</v>
      </c>
      <c r="AU624" s="56" t="s">
        <v>17588</v>
      </c>
      <c r="AV624" s="58"/>
      <c r="AW624" s="64">
        <v>45743.3960763889</v>
      </c>
      <c r="AX624" s="56" t="s">
        <v>17586</v>
      </c>
      <c r="AY624" s="56" t="s">
        <v>15179</v>
      </c>
      <c r="AZ624" s="58"/>
      <c r="BA624" s="58"/>
      <c r="BB624" s="58"/>
      <c r="BC624" s="58"/>
      <c r="BD624" s="56" t="s">
        <v>15276</v>
      </c>
      <c r="BE624" s="56" t="s">
        <v>15277</v>
      </c>
      <c r="BF624" s="56" t="s">
        <v>15181</v>
      </c>
      <c r="BG624" s="58"/>
      <c r="BH624" s="58"/>
      <c r="BI624" s="57" t="s">
        <v>2801</v>
      </c>
      <c r="BJ624" s="58"/>
      <c r="BK624" s="58"/>
      <c r="BL624" s="58"/>
      <c r="BM624" s="58"/>
      <c r="BN624" s="67">
        <v>40980</v>
      </c>
      <c r="BO624" s="58"/>
      <c r="BP624" s="56" t="s">
        <v>15182</v>
      </c>
      <c r="BQ624" s="58"/>
      <c r="BR624" s="58"/>
      <c r="BS624" s="58"/>
      <c r="BT624" s="56" t="s">
        <v>1285</v>
      </c>
      <c r="BU624" s="56" t="s">
        <v>17587</v>
      </c>
      <c r="BV624" s="58"/>
      <c r="BW624" s="58"/>
      <c r="BX624" s="67">
        <v>40980</v>
      </c>
      <c r="BY624" s="56" t="s">
        <v>1285</v>
      </c>
      <c r="BZ624" s="58"/>
      <c r="CA624" s="56" t="s">
        <v>15183</v>
      </c>
      <c r="CB624" s="56" t="s">
        <v>15183</v>
      </c>
      <c r="CC624" s="58"/>
      <c r="CD624" s="58"/>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B18" sqref="B18:M18"/>
    </sheetView>
  </sheetViews>
  <sheetFormatPr defaultColWidth="9" defaultRowHeight="13.5"/>
  <cols>
    <col min="1" max="1" width="30.7583333333333" style="50" customWidth="1"/>
    <col min="4" max="5" width="10.375" customWidth="1"/>
    <col min="7" max="7" width="10.375" customWidth="1"/>
  </cols>
  <sheetData>
    <row r="1" spans="2:13">
      <c r="B1" s="11" t="s">
        <v>17589</v>
      </c>
      <c r="C1" s="11" t="s">
        <v>17590</v>
      </c>
      <c r="D1" s="11" t="s">
        <v>17591</v>
      </c>
      <c r="E1" s="11" t="s">
        <v>17592</v>
      </c>
      <c r="F1" s="11" t="s">
        <v>17593</v>
      </c>
      <c r="G1" s="11" t="s">
        <v>17594</v>
      </c>
      <c r="H1" s="11" t="s">
        <v>17595</v>
      </c>
      <c r="I1" s="11" t="s">
        <v>17596</v>
      </c>
      <c r="J1" s="11" t="s">
        <v>17597</v>
      </c>
      <c r="K1" s="11" t="s">
        <v>17598</v>
      </c>
      <c r="L1" s="11" t="s">
        <v>17599</v>
      </c>
      <c r="M1" s="11" t="s">
        <v>17600</v>
      </c>
    </row>
    <row r="2" s="48" customFormat="1" spans="1:13">
      <c r="A2" s="51" t="s">
        <v>16311</v>
      </c>
      <c r="B2" s="48">
        <f>SUMIFS(引用修正!$C$2:$C$10000,引用修正!$G$2:$G$10000,$A2,引用修正!$F$2:$F$10000,B$1,引用修正!$H$2:$H$10000,"0",引用修正!$I$2:$I$10000,"0")</f>
        <v>0</v>
      </c>
      <c r="C2" s="48">
        <f>SUMIFS(引用修正!$C$2:$C$10000,引用修正!$G$2:$G$10000,$A2,引用修正!$F$2:$F$10000,C$1,引用修正!$H$2:$H$10000,"0",引用修正!$I$2:$I$10000,"0")</f>
        <v>0</v>
      </c>
      <c r="D2" s="48">
        <f>SUMIFS(引用修正!$C$2:$C$10000,引用修正!$G$2:$G$10000,$A2,引用修正!$F$2:$F$10000,D$1,引用修正!$H$2:$H$10000,"0",引用修正!$I$2:$I$10000,"0")</f>
        <v>0</v>
      </c>
      <c r="E2" s="48">
        <f>SUMIFS(引用修正!$C$2:$C$10000,引用修正!$G$2:$G$10000,$A2,引用修正!$F$2:$F$10000,E$1,引用修正!$H$2:$H$10000,"0",引用修正!$I$2:$I$10000,"0")</f>
        <v>0</v>
      </c>
      <c r="F2" s="48">
        <f>SUMIFS(引用修正!$C$2:$C$10000,引用修正!$G$2:$G$10000,$A2,引用修正!$F$2:$F$10000,F$1,引用修正!$H$2:$H$10000,"0",引用修正!$I$2:$I$10000,"0")</f>
        <v>3000</v>
      </c>
      <c r="G2" s="48">
        <f>SUMIFS(引用修正!$C$2:$C$10000,引用修正!$G$2:$G$10000,$A2,引用修正!$F$2:$F$10000,G$1,引用修正!$H$2:$H$10000,"0",引用修正!$I$2:$I$10000,"0")</f>
        <v>0</v>
      </c>
      <c r="H2" s="48">
        <f>SUMIFS(引用修正!$C$2:$C$10000,引用修正!$G$2:$G$10000,$A2,引用修正!$F$2:$F$10000,H$1,引用修正!$H$2:$H$10000,"0",引用修正!$I$2:$I$10000,"0")</f>
        <v>0</v>
      </c>
      <c r="I2" s="48">
        <f>SUMIFS(引用修正!$C$2:$C$10000,引用修正!$G$2:$G$10000,$A2,引用修正!$F$2:$F$10000,I$1,引用修正!$H$2:$H$10000,"0",引用修正!$I$2:$I$10000,"0")</f>
        <v>0</v>
      </c>
      <c r="J2" s="48">
        <f>SUMIFS(引用修正!$C$2:$C$10000,引用修正!$G$2:$G$10000,$A2,引用修正!$F$2:$F$10000,J$1,引用修正!$H$2:$H$10000,"0",引用修正!$I$2:$I$10000,"0")</f>
        <v>0</v>
      </c>
      <c r="K2" s="48">
        <f>SUMIFS(引用修正!$C$2:$C$10000,引用修正!$G$2:$G$10000,$A2,引用修正!$F$2:$F$10000,K$1,引用修正!$H$2:$H$10000,"0",引用修正!$I$2:$I$10000,"0")</f>
        <v>0</v>
      </c>
      <c r="L2" s="48">
        <f>SUMIFS(引用修正!$C$2:$C$10000,引用修正!$G$2:$G$10000,$A2,引用修正!$F$2:$F$10000,L$1,引用修正!$H$2:$H$10000,"0",引用修正!$I$2:$I$10000,"0")</f>
        <v>0</v>
      </c>
      <c r="M2" s="48">
        <f>SUMIFS(引用修正!$C$2:$C$10000,引用修正!$G$2:$G$10000,$A2,引用修正!$F$2:$F$10000,M$1,引用修正!$H$2:$H$10000,"0",引用修正!$I$2:$I$10000,"0")</f>
        <v>0</v>
      </c>
    </row>
    <row r="3" s="48" customFormat="1" spans="1:13">
      <c r="A3" s="51" t="s">
        <v>17601</v>
      </c>
      <c r="B3" s="48">
        <f>SUMIFS(引用修正!$C$2:$C$10000,引用修正!$G$2:$G$10000,$A3,引用修正!$F$2:$F$10000,B$1,引用修正!$H$2:$H$10000,"0",引用修正!$I$2:$I$10000,"0")</f>
        <v>0</v>
      </c>
      <c r="C3" s="48">
        <f>SUMIFS(引用修正!$C$2:$C$10000,引用修正!$G$2:$G$10000,$A3,引用修正!$F$2:$F$10000,C$1,引用修正!$H$2:$H$10000,"0",引用修正!$I$2:$I$10000,"0")</f>
        <v>0</v>
      </c>
      <c r="D3" s="48">
        <f>SUMIFS(引用修正!$C$2:$C$10000,引用修正!$G$2:$G$10000,$A3,引用修正!$F$2:$F$10000,D$1,引用修正!$H$2:$H$10000,"0",引用修正!$I$2:$I$10000,"0")</f>
        <v>0</v>
      </c>
      <c r="E3" s="48">
        <f>SUMIFS(引用修正!$C$2:$C$10000,引用修正!$G$2:$G$10000,$A3,引用修正!$F$2:$F$10000,E$1,引用修正!$H$2:$H$10000,"0",引用修正!$I$2:$I$10000,"0")</f>
        <v>0</v>
      </c>
      <c r="F3" s="48">
        <f>SUMIFS(引用修正!$C$2:$C$10000,引用修正!$G$2:$G$10000,$A3,引用修正!$F$2:$F$10000,F$1,引用修正!$H$2:$H$10000,"0",引用修正!$I$2:$I$10000,"0")</f>
        <v>0</v>
      </c>
      <c r="G3" s="48">
        <f>SUMIFS(引用修正!$C$2:$C$10000,引用修正!$G$2:$G$10000,$A3,引用修正!$F$2:$F$10000,G$1,引用修正!$H$2:$H$10000,"0",引用修正!$I$2:$I$10000,"0")</f>
        <v>0</v>
      </c>
      <c r="H3" s="48">
        <f>SUMIFS(引用修正!$C$2:$C$10000,引用修正!$G$2:$G$10000,$A3,引用修正!$F$2:$F$10000,H$1,引用修正!$H$2:$H$10000,"0",引用修正!$I$2:$I$10000,"0")</f>
        <v>0</v>
      </c>
      <c r="I3" s="48">
        <f>SUMIFS(引用修正!$C$2:$C$10000,引用修正!$G$2:$G$10000,$A3,引用修正!$F$2:$F$10000,I$1,引用修正!$H$2:$H$10000,"0",引用修正!$I$2:$I$10000,"0")</f>
        <v>0</v>
      </c>
      <c r="J3" s="48">
        <f>SUMIFS(引用修正!$C$2:$C$10000,引用修正!$G$2:$G$10000,$A3,引用修正!$F$2:$F$10000,J$1,引用修正!$H$2:$H$10000,"0",引用修正!$I$2:$I$10000,"0")</f>
        <v>0</v>
      </c>
      <c r="K3" s="48">
        <f>SUMIFS(引用修正!$C$2:$C$10000,引用修正!$G$2:$G$10000,$A3,引用修正!$F$2:$F$10000,K$1,引用修正!$H$2:$H$10000,"0",引用修正!$I$2:$I$10000,"0")</f>
        <v>0</v>
      </c>
      <c r="L3" s="48">
        <f>SUMIFS(引用修正!$C$2:$C$10000,引用修正!$G$2:$G$10000,$A3,引用修正!$F$2:$F$10000,L$1,引用修正!$H$2:$H$10000,"0",引用修正!$I$2:$I$10000,"0")</f>
        <v>0</v>
      </c>
      <c r="M3" s="48">
        <f>SUMIFS(引用修正!$C$2:$C$10000,引用修正!$G$2:$G$10000,$A3,引用修正!$F$2:$F$10000,M$1,引用修正!$H$2:$H$10000,"0",引用修正!$I$2:$I$10000,"0")</f>
        <v>0</v>
      </c>
    </row>
    <row r="4" s="48" customFormat="1" spans="1:13">
      <c r="A4" s="51" t="s">
        <v>17602</v>
      </c>
      <c r="B4" s="48">
        <f>SUMIFS(引用修正!$C$2:$C$10000,引用修正!$G$2:$G$10000,$A4,引用修正!$F$2:$F$10000,B$1,引用修正!$H$2:$H$10000,"0",引用修正!$I$2:$I$10000,"0")</f>
        <v>0</v>
      </c>
      <c r="C4" s="48">
        <f>SUMIFS(引用修正!$C$2:$C$10000,引用修正!$G$2:$G$10000,$A4,引用修正!$F$2:$F$10000,C$1,引用修正!$H$2:$H$10000,"0",引用修正!$I$2:$I$10000,"0")</f>
        <v>0</v>
      </c>
      <c r="D4" s="48">
        <f>SUMIFS(引用修正!$C$2:$C$10000,引用修正!$G$2:$G$10000,$A4,引用修正!$F$2:$F$10000,D$1,引用修正!$H$2:$H$10000,"0",引用修正!$I$2:$I$10000,"0")</f>
        <v>0</v>
      </c>
      <c r="E4" s="48">
        <f>SUMIFS(引用修正!$C$2:$C$10000,引用修正!$G$2:$G$10000,$A4,引用修正!$F$2:$F$10000,E$1,引用修正!$H$2:$H$10000,"0",引用修正!$I$2:$I$10000,"0")</f>
        <v>0</v>
      </c>
      <c r="F4" s="48">
        <f>SUMIFS(引用修正!$C$2:$C$10000,引用修正!$G$2:$G$10000,$A4,引用修正!$F$2:$F$10000,F$1,引用修正!$H$2:$H$10000,"0",引用修正!$I$2:$I$10000,"0")</f>
        <v>0</v>
      </c>
      <c r="G4" s="48">
        <f>SUMIFS(引用修正!$C$2:$C$10000,引用修正!$G$2:$G$10000,$A4,引用修正!$F$2:$F$10000,G$1,引用修正!$H$2:$H$10000,"0",引用修正!$I$2:$I$10000,"0")</f>
        <v>0</v>
      </c>
      <c r="H4" s="48">
        <f>SUMIFS(引用修正!$C$2:$C$10000,引用修正!$G$2:$G$10000,$A4,引用修正!$F$2:$F$10000,H$1,引用修正!$H$2:$H$10000,"0",引用修正!$I$2:$I$10000,"0")</f>
        <v>0</v>
      </c>
      <c r="I4" s="48">
        <f>SUMIFS(引用修正!$C$2:$C$10000,引用修正!$G$2:$G$10000,$A4,引用修正!$F$2:$F$10000,I$1,引用修正!$H$2:$H$10000,"0",引用修正!$I$2:$I$10000,"0")</f>
        <v>0</v>
      </c>
      <c r="J4" s="48">
        <f>SUMIFS(引用修正!$C$2:$C$10000,引用修正!$G$2:$G$10000,$A4,引用修正!$F$2:$F$10000,J$1,引用修正!$H$2:$H$10000,"0",引用修正!$I$2:$I$10000,"0")</f>
        <v>0</v>
      </c>
      <c r="K4" s="48">
        <f>SUMIFS(引用修正!$C$2:$C$10000,引用修正!$G$2:$G$10000,$A4,引用修正!$F$2:$F$10000,K$1,引用修正!$H$2:$H$10000,"0",引用修正!$I$2:$I$10000,"0")</f>
        <v>0</v>
      </c>
      <c r="L4" s="48">
        <f>SUMIFS(引用修正!$C$2:$C$10000,引用修正!$G$2:$G$10000,$A4,引用修正!$F$2:$F$10000,L$1,引用修正!$H$2:$H$10000,"0",引用修正!$I$2:$I$10000,"0")</f>
        <v>0</v>
      </c>
      <c r="M4" s="48">
        <f>SUMIFS(引用修正!$C$2:$C$10000,引用修正!$G$2:$G$10000,$A4,引用修正!$F$2:$F$10000,M$1,引用修正!$H$2:$H$10000,"0",引用修正!$I$2:$I$10000,"0")</f>
        <v>0</v>
      </c>
    </row>
    <row r="5" s="48" customFormat="1" spans="1:13">
      <c r="A5" s="51" t="s">
        <v>17603</v>
      </c>
      <c r="B5" s="48">
        <f>SUMIFS(引用修正!$C$2:$C$10000,引用修正!$G$2:$G$10000,$A5,引用修正!$F$2:$F$10000,B$1,引用修正!$H$2:$H$10000,"0",引用修正!$I$2:$I$10000,"0")</f>
        <v>0</v>
      </c>
      <c r="C5" s="48">
        <f>SUMIFS(引用修正!$C$2:$C$10000,引用修正!$G$2:$G$10000,$A5,引用修正!$F$2:$F$10000,C$1,引用修正!$H$2:$H$10000,"0",引用修正!$I$2:$I$10000,"0")</f>
        <v>0</v>
      </c>
      <c r="D5" s="48">
        <f>SUMIFS(引用修正!$C$2:$C$10000,引用修正!$G$2:$G$10000,$A5,引用修正!$F$2:$F$10000,D$1,引用修正!$H$2:$H$10000,"0",引用修正!$I$2:$I$10000,"0")</f>
        <v>0</v>
      </c>
      <c r="E5" s="48">
        <f>SUMIFS(引用修正!$C$2:$C$10000,引用修正!$G$2:$G$10000,$A5,引用修正!$F$2:$F$10000,E$1,引用修正!$H$2:$H$10000,"0",引用修正!$I$2:$I$10000,"0")</f>
        <v>0</v>
      </c>
      <c r="F5" s="48">
        <f>SUMIFS(引用修正!$C$2:$C$10000,引用修正!$G$2:$G$10000,$A5,引用修正!$F$2:$F$10000,F$1,引用修正!$H$2:$H$10000,"0",引用修正!$I$2:$I$10000,"0")</f>
        <v>0</v>
      </c>
      <c r="G5" s="48">
        <f>SUMIFS(引用修正!$C$2:$C$10000,引用修正!$G$2:$G$10000,$A5,引用修正!$F$2:$F$10000,G$1,引用修正!$H$2:$H$10000,"0",引用修正!$I$2:$I$10000,"0")</f>
        <v>0</v>
      </c>
      <c r="H5" s="48">
        <f>SUMIFS(引用修正!$C$2:$C$10000,引用修正!$G$2:$G$10000,$A5,引用修正!$F$2:$F$10000,H$1,引用修正!$H$2:$H$10000,"0",引用修正!$I$2:$I$10000,"0")</f>
        <v>0</v>
      </c>
      <c r="I5" s="48">
        <f>SUMIFS(引用修正!$C$2:$C$10000,引用修正!$G$2:$G$10000,$A5,引用修正!$F$2:$F$10000,I$1,引用修正!$H$2:$H$10000,"0",引用修正!$I$2:$I$10000,"0")</f>
        <v>0</v>
      </c>
      <c r="J5" s="48">
        <f>SUMIFS(引用修正!$C$2:$C$10000,引用修正!$G$2:$G$10000,$A5,引用修正!$F$2:$F$10000,J$1,引用修正!$H$2:$H$10000,"0",引用修正!$I$2:$I$10000,"0")</f>
        <v>0</v>
      </c>
      <c r="K5" s="48">
        <f>SUMIFS(引用修正!$C$2:$C$10000,引用修正!$G$2:$G$10000,$A5,引用修正!$F$2:$F$10000,K$1,引用修正!$H$2:$H$10000,"0",引用修正!$I$2:$I$10000,"0")</f>
        <v>0</v>
      </c>
      <c r="L5" s="48">
        <f>SUMIFS(引用修正!$C$2:$C$10000,引用修正!$G$2:$G$10000,$A5,引用修正!$F$2:$F$10000,L$1,引用修正!$H$2:$H$10000,"0",引用修正!$I$2:$I$10000,"0")</f>
        <v>0</v>
      </c>
      <c r="M5" s="48">
        <f>SUMIFS(引用修正!$C$2:$C$10000,引用修正!$G$2:$G$10000,$A5,引用修正!$F$2:$F$10000,M$1,引用修正!$H$2:$H$10000,"0",引用修正!$I$2:$I$10000,"0")</f>
        <v>0</v>
      </c>
    </row>
    <row r="6" s="48" customFormat="1" spans="1:13">
      <c r="A6" s="51" t="s">
        <v>17604</v>
      </c>
      <c r="B6" s="48">
        <f>SUMIFS(引用修正!$C$2:$C$10000,引用修正!$G$2:$G$10000,$A6,引用修正!$F$2:$F$10000,B$1,引用修正!$H$2:$H$10000,"0",引用修正!$I$2:$I$10000,"0")</f>
        <v>0</v>
      </c>
      <c r="C6" s="48">
        <f>SUMIFS(引用修正!$C$2:$C$10000,引用修正!$G$2:$G$10000,$A6,引用修正!$F$2:$F$10000,C$1,引用修正!$H$2:$H$10000,"0",引用修正!$I$2:$I$10000,"0")</f>
        <v>0</v>
      </c>
      <c r="D6" s="48">
        <f>SUMIFS(引用修正!$C$2:$C$10000,引用修正!$G$2:$G$10000,$A6,引用修正!$F$2:$F$10000,D$1,引用修正!$H$2:$H$10000,"0",引用修正!$I$2:$I$10000,"0")</f>
        <v>0</v>
      </c>
      <c r="E6" s="48">
        <f>SUMIFS(引用修正!$C$2:$C$10000,引用修正!$G$2:$G$10000,$A6,引用修正!$F$2:$F$10000,E$1,引用修正!$H$2:$H$10000,"0",引用修正!$I$2:$I$10000,"0")</f>
        <v>0</v>
      </c>
      <c r="F6" s="48">
        <f>SUMIFS(引用修正!$C$2:$C$10000,引用修正!$G$2:$G$10000,$A6,引用修正!$F$2:$F$10000,F$1,引用修正!$H$2:$H$10000,"0",引用修正!$I$2:$I$10000,"0")</f>
        <v>0</v>
      </c>
      <c r="G6" s="48">
        <f>SUMIFS(引用修正!$C$2:$C$10000,引用修正!$G$2:$G$10000,$A6,引用修正!$F$2:$F$10000,G$1,引用修正!$H$2:$H$10000,"0",引用修正!$I$2:$I$10000,"0")</f>
        <v>0</v>
      </c>
      <c r="H6" s="48">
        <f>SUMIFS(引用修正!$C$2:$C$10000,引用修正!$G$2:$G$10000,$A6,引用修正!$F$2:$F$10000,H$1,引用修正!$H$2:$H$10000,"0",引用修正!$I$2:$I$10000,"0")</f>
        <v>0</v>
      </c>
      <c r="I6" s="48">
        <f>SUMIFS(引用修正!$C$2:$C$10000,引用修正!$G$2:$G$10000,$A6,引用修正!$F$2:$F$10000,I$1,引用修正!$H$2:$H$10000,"0",引用修正!$I$2:$I$10000,"0")</f>
        <v>0</v>
      </c>
      <c r="J6" s="48">
        <f>SUMIFS(引用修正!$C$2:$C$10000,引用修正!$G$2:$G$10000,$A6,引用修正!$F$2:$F$10000,J$1,引用修正!$H$2:$H$10000,"0",引用修正!$I$2:$I$10000,"0")</f>
        <v>0</v>
      </c>
      <c r="K6" s="48">
        <f>SUMIFS(引用修正!$C$2:$C$10000,引用修正!$G$2:$G$10000,$A6,引用修正!$F$2:$F$10000,K$1,引用修正!$H$2:$H$10000,"0",引用修正!$I$2:$I$10000,"0")</f>
        <v>0</v>
      </c>
      <c r="L6" s="48">
        <f>SUMIFS(引用修正!$C$2:$C$10000,引用修正!$G$2:$G$10000,$A6,引用修正!$F$2:$F$10000,L$1,引用修正!$H$2:$H$10000,"0",引用修正!$I$2:$I$10000,"0")</f>
        <v>0</v>
      </c>
      <c r="M6" s="48">
        <f>SUMIFS(引用修正!$C$2:$C$10000,引用修正!$G$2:$G$10000,$A6,引用修正!$F$2:$F$10000,M$1,引用修正!$H$2:$H$10000,"0",引用修正!$I$2:$I$10000,"0")</f>
        <v>0</v>
      </c>
    </row>
    <row r="7" s="48" customFormat="1" spans="1:13">
      <c r="A7" s="51" t="s">
        <v>17605</v>
      </c>
      <c r="B7" s="48">
        <f>SUMIFS(引用修正!$C$2:$C$10000,引用修正!$G$2:$G$10000,$A7,引用修正!$F$2:$F$10000,B$1,引用修正!$H$2:$H$10000,"0",引用修正!$I$2:$I$10000,"0")</f>
        <v>0</v>
      </c>
      <c r="C7" s="48">
        <f>SUMIFS(引用修正!$C$2:$C$10000,引用修正!$G$2:$G$10000,$A7,引用修正!$F$2:$F$10000,C$1,引用修正!$H$2:$H$10000,"0",引用修正!$I$2:$I$10000,"0")</f>
        <v>0</v>
      </c>
      <c r="D7" s="48">
        <f>SUMIFS(引用修正!$C$2:$C$10000,引用修正!$G$2:$G$10000,$A7,引用修正!$F$2:$F$10000,D$1,引用修正!$H$2:$H$10000,"0",引用修正!$I$2:$I$10000,"0")</f>
        <v>0</v>
      </c>
      <c r="E7" s="48">
        <f>SUMIFS(引用修正!$C$2:$C$10000,引用修正!$G$2:$G$10000,$A7,引用修正!$F$2:$F$10000,E$1,引用修正!$H$2:$H$10000,"0",引用修正!$I$2:$I$10000,"0")</f>
        <v>0</v>
      </c>
      <c r="F7" s="48">
        <f>SUMIFS(引用修正!$C$2:$C$10000,引用修正!$G$2:$G$10000,$A7,引用修正!$F$2:$F$10000,F$1,引用修正!$H$2:$H$10000,"0",引用修正!$I$2:$I$10000,"0")</f>
        <v>0</v>
      </c>
      <c r="G7" s="48">
        <f>SUMIFS(引用修正!$C$2:$C$10000,引用修正!$G$2:$G$10000,$A7,引用修正!$F$2:$F$10000,G$1,引用修正!$H$2:$H$10000,"0",引用修正!$I$2:$I$10000,"0")</f>
        <v>0</v>
      </c>
      <c r="H7" s="48">
        <f>SUMIFS(引用修正!$C$2:$C$10000,引用修正!$G$2:$G$10000,$A7,引用修正!$F$2:$F$10000,H$1,引用修正!$H$2:$H$10000,"0",引用修正!$I$2:$I$10000,"0")</f>
        <v>0</v>
      </c>
      <c r="I7" s="48">
        <f>SUMIFS(引用修正!$C$2:$C$10000,引用修正!$G$2:$G$10000,$A7,引用修正!$F$2:$F$10000,I$1,引用修正!$H$2:$H$10000,"0",引用修正!$I$2:$I$10000,"0")</f>
        <v>0</v>
      </c>
      <c r="J7" s="48">
        <f>SUMIFS(引用修正!$C$2:$C$10000,引用修正!$G$2:$G$10000,$A7,引用修正!$F$2:$F$10000,J$1,引用修正!$H$2:$H$10000,"0",引用修正!$I$2:$I$10000,"0")</f>
        <v>0</v>
      </c>
      <c r="K7" s="48">
        <f>SUMIFS(引用修正!$C$2:$C$10000,引用修正!$G$2:$G$10000,$A7,引用修正!$F$2:$F$10000,K$1,引用修正!$H$2:$H$10000,"0",引用修正!$I$2:$I$10000,"0")</f>
        <v>0</v>
      </c>
      <c r="L7" s="48">
        <f>SUMIFS(引用修正!$C$2:$C$10000,引用修正!$G$2:$G$10000,$A7,引用修正!$F$2:$F$10000,L$1,引用修正!$H$2:$H$10000,"0",引用修正!$I$2:$I$10000,"0")</f>
        <v>0</v>
      </c>
      <c r="M7" s="48">
        <f>SUMIFS(引用修正!$C$2:$C$10000,引用修正!$G$2:$G$10000,$A7,引用修正!$F$2:$F$10000,M$1,引用修正!$H$2:$H$10000,"0",引用修正!$I$2:$I$10000,"0")</f>
        <v>0</v>
      </c>
    </row>
    <row r="8" s="48" customFormat="1" spans="1:13">
      <c r="A8" s="51" t="s">
        <v>15429</v>
      </c>
      <c r="B8" s="48">
        <f>SUMIFS(引用修正!$C$2:$C$10000,引用修正!$G$2:$G$10000,$A8,引用修正!$F$2:$F$10000,B$1,引用修正!$H$2:$H$10000,"0",引用修正!$I$2:$I$10000,"0")</f>
        <v>54672</v>
      </c>
      <c r="C8" s="48">
        <f>SUMIFS(引用修正!$C$2:$C$10000,引用修正!$G$2:$G$10000,$A8,引用修正!$F$2:$F$10000,C$1,引用修正!$H$2:$H$10000,"0",引用修正!$I$2:$I$10000,"0")</f>
        <v>25000</v>
      </c>
      <c r="D8" s="48">
        <f>SUMIFS(引用修正!$C$2:$C$10000,引用修正!$G$2:$G$10000,$A8,引用修正!$F$2:$F$10000,D$1,引用修正!$H$2:$H$10000,"0",引用修正!$I$2:$I$10000,"0")</f>
        <v>25000</v>
      </c>
      <c r="E8" s="48">
        <f>SUMIFS(引用修正!$C$2:$C$10000,引用修正!$G$2:$G$10000,$A8,引用修正!$F$2:$F$10000,E$1,引用修正!$H$2:$H$10000,"0",引用修正!$I$2:$I$10000,"0")</f>
        <v>0</v>
      </c>
      <c r="F8" s="48">
        <f>SUMIFS(引用修正!$C$2:$C$10000,引用修正!$G$2:$G$10000,$A8,引用修正!$F$2:$F$10000,F$1,引用修正!$H$2:$H$10000,"0",引用修正!$I$2:$I$10000,"0")</f>
        <v>0</v>
      </c>
      <c r="G8" s="48">
        <f>SUMIFS(引用修正!$C$2:$C$10000,引用修正!$G$2:$G$10000,$A8,引用修正!$F$2:$F$10000,G$1,引用修正!$H$2:$H$10000,"0",引用修正!$I$2:$I$10000,"0")</f>
        <v>4517</v>
      </c>
      <c r="H8" s="48">
        <f>SUMIFS(引用修正!$C$2:$C$10000,引用修正!$G$2:$G$10000,$A8,引用修正!$F$2:$F$10000,H$1,引用修正!$H$2:$H$10000,"0",引用修正!$I$2:$I$10000,"0")</f>
        <v>0</v>
      </c>
      <c r="I8" s="48">
        <f>SUMIFS(引用修正!$C$2:$C$10000,引用修正!$G$2:$G$10000,$A8,引用修正!$F$2:$F$10000,I$1,引用修正!$H$2:$H$10000,"0",引用修正!$I$2:$I$10000,"0")</f>
        <v>0</v>
      </c>
      <c r="J8" s="48">
        <f>SUMIFS(引用修正!$C$2:$C$10000,引用修正!$G$2:$G$10000,$A8,引用修正!$F$2:$F$10000,J$1,引用修正!$H$2:$H$10000,"0",引用修正!$I$2:$I$10000,"0")</f>
        <v>0</v>
      </c>
      <c r="K8" s="48">
        <f>SUMIFS(引用修正!$C$2:$C$10000,引用修正!$G$2:$G$10000,$A8,引用修正!$F$2:$F$10000,K$1,引用修正!$H$2:$H$10000,"0",引用修正!$I$2:$I$10000,"0")</f>
        <v>0</v>
      </c>
      <c r="L8" s="48">
        <f>SUMIFS(引用修正!$C$2:$C$10000,引用修正!$G$2:$G$10000,$A8,引用修正!$F$2:$F$10000,L$1,引用修正!$H$2:$H$10000,"0",引用修正!$I$2:$I$10000,"0")</f>
        <v>0</v>
      </c>
      <c r="M8" s="48">
        <f>SUMIFS(引用修正!$C$2:$C$10000,引用修正!$G$2:$G$10000,$A8,引用修正!$F$2:$F$10000,M$1,引用修正!$H$2:$H$10000,"0",引用修正!$I$2:$I$10000,"0")</f>
        <v>0</v>
      </c>
    </row>
    <row r="9" s="48" customFormat="1" spans="1:13">
      <c r="A9" s="51" t="s">
        <v>15407</v>
      </c>
      <c r="B9" s="48">
        <f>SUMIFS(引用修正!$C$2:$C$10000,引用修正!$G$2:$G$10000,$A9,引用修正!$F$2:$F$10000,B$1,引用修正!$H$2:$H$10000,"0",引用修正!$I$2:$I$10000,"0")</f>
        <v>0</v>
      </c>
      <c r="C9" s="48">
        <f>SUMIFS(引用修正!$C$2:$C$10000,引用修正!$G$2:$G$10000,$A9,引用修正!$F$2:$F$10000,C$1,引用修正!$H$2:$H$10000,"0",引用修正!$I$2:$I$10000,"0")</f>
        <v>0</v>
      </c>
      <c r="D9" s="48">
        <f>SUMIFS(引用修正!$C$2:$C$10000,引用修正!$G$2:$G$10000,$A9,引用修正!$F$2:$F$10000,D$1,引用修正!$H$2:$H$10000,"0",引用修正!$I$2:$I$10000,"0")</f>
        <v>0</v>
      </c>
      <c r="E9" s="48">
        <f>SUMIFS(引用修正!$C$2:$C$10000,引用修正!$G$2:$G$10000,$A9,引用修正!$F$2:$F$10000,E$1,引用修正!$H$2:$H$10000,"0",引用修正!$I$2:$I$10000,"0")</f>
        <v>0</v>
      </c>
      <c r="F9" s="48">
        <f>SUMIFS(引用修正!$C$2:$C$10000,引用修正!$G$2:$G$10000,$A9,引用修正!$F$2:$F$10000,F$1,引用修正!$H$2:$H$10000,"0",引用修正!$I$2:$I$10000,"0")</f>
        <v>0</v>
      </c>
      <c r="G9" s="48">
        <f>SUMIFS(引用修正!$C$2:$C$10000,引用修正!$G$2:$G$10000,$A9,引用修正!$F$2:$F$10000,G$1,引用修正!$H$2:$H$10000,"0",引用修正!$I$2:$I$10000,"0")</f>
        <v>0</v>
      </c>
      <c r="H9" s="48">
        <f>SUMIFS(引用修正!$C$2:$C$10000,引用修正!$G$2:$G$10000,$A9,引用修正!$F$2:$F$10000,H$1,引用修正!$H$2:$H$10000,"0",引用修正!$I$2:$I$10000,"0")</f>
        <v>0</v>
      </c>
      <c r="I9" s="48">
        <f>SUMIFS(引用修正!$C$2:$C$10000,引用修正!$G$2:$G$10000,$A9,引用修正!$F$2:$F$10000,I$1,引用修正!$H$2:$H$10000,"0",引用修正!$I$2:$I$10000,"0")</f>
        <v>0</v>
      </c>
      <c r="J9" s="48">
        <f>SUMIFS(引用修正!$C$2:$C$10000,引用修正!$G$2:$G$10000,$A9,引用修正!$F$2:$F$10000,J$1,引用修正!$H$2:$H$10000,"0",引用修正!$I$2:$I$10000,"0")</f>
        <v>0</v>
      </c>
      <c r="K9" s="48">
        <f>SUMIFS(引用修正!$C$2:$C$10000,引用修正!$G$2:$G$10000,$A9,引用修正!$F$2:$F$10000,K$1,引用修正!$H$2:$H$10000,"0",引用修正!$I$2:$I$10000,"0")</f>
        <v>0</v>
      </c>
      <c r="L9" s="48">
        <f>SUMIFS(引用修正!$C$2:$C$10000,引用修正!$G$2:$G$10000,$A9,引用修正!$F$2:$F$10000,L$1,引用修正!$H$2:$H$10000,"0",引用修正!$I$2:$I$10000,"0")</f>
        <v>0</v>
      </c>
      <c r="M9" s="48">
        <f>SUMIFS(引用修正!$C$2:$C$10000,引用修正!$G$2:$G$10000,$A9,引用修正!$F$2:$F$10000,M$1,引用修正!$H$2:$H$10000,"0",引用修正!$I$2:$I$10000,"0")</f>
        <v>0</v>
      </c>
    </row>
    <row r="10" s="48" customFormat="1" spans="1:13">
      <c r="A10" s="52" t="s">
        <v>17606</v>
      </c>
      <c r="B10" s="48">
        <f>SUMIFS(引用修正!$C$2:$C$10000,引用修正!$G$2:$G$10000,$A10,引用修正!$F$2:$F$10000,B$1,引用修正!$H$2:$H$10000,"0",引用修正!$I$2:$I$10000,"0")</f>
        <v>0</v>
      </c>
      <c r="C10" s="48">
        <f>SUMIFS(引用修正!$C$2:$C$10000,引用修正!$G$2:$G$10000,$A10,引用修正!$F$2:$F$10000,C$1,引用修正!$H$2:$H$10000,"0",引用修正!$I$2:$I$10000,"0")</f>
        <v>0</v>
      </c>
      <c r="D10" s="48">
        <f>SUMIFS(引用修正!$C$2:$C$10000,引用修正!$G$2:$G$10000,$A10,引用修正!$F$2:$F$10000,D$1,引用修正!$H$2:$H$10000,"0",引用修正!$I$2:$I$10000,"0")</f>
        <v>0</v>
      </c>
      <c r="E10" s="48">
        <f>SUMIFS(引用修正!$C$2:$C$10000,引用修正!$G$2:$G$10000,$A10,引用修正!$F$2:$F$10000,E$1,引用修正!$H$2:$H$10000,"0",引用修正!$I$2:$I$10000,"0")</f>
        <v>0</v>
      </c>
      <c r="F10" s="48">
        <f>SUMIFS(引用修正!$C$2:$C$10000,引用修正!$G$2:$G$10000,$A10,引用修正!$F$2:$F$10000,F$1,引用修正!$H$2:$H$10000,"0",引用修正!$I$2:$I$10000,"0")</f>
        <v>0</v>
      </c>
      <c r="G10" s="48">
        <f>SUMIFS(引用修正!$C$2:$C$10000,引用修正!$G$2:$G$10000,$A10,引用修正!$F$2:$F$10000,G$1,引用修正!$H$2:$H$10000,"0",引用修正!$I$2:$I$10000,"0")</f>
        <v>0</v>
      </c>
      <c r="H10" s="48">
        <f>SUMIFS(引用修正!$C$2:$C$10000,引用修正!$G$2:$G$10000,$A10,引用修正!$F$2:$F$10000,H$1,引用修正!$H$2:$H$10000,"0",引用修正!$I$2:$I$10000,"0")</f>
        <v>0</v>
      </c>
      <c r="I10" s="48">
        <f>SUMIFS(引用修正!$C$2:$C$10000,引用修正!$G$2:$G$10000,$A10,引用修正!$F$2:$F$10000,I$1,引用修正!$H$2:$H$10000,"0",引用修正!$I$2:$I$10000,"0")</f>
        <v>0</v>
      </c>
      <c r="J10" s="48">
        <f>SUMIFS(引用修正!$C$2:$C$10000,引用修正!$G$2:$G$10000,$A10,引用修正!$F$2:$F$10000,J$1,引用修正!$H$2:$H$10000,"0",引用修正!$I$2:$I$10000,"0")</f>
        <v>0</v>
      </c>
      <c r="K10" s="48">
        <f>SUMIFS(引用修正!$C$2:$C$10000,引用修正!$G$2:$G$10000,$A10,引用修正!$F$2:$F$10000,K$1,引用修正!$H$2:$H$10000,"0",引用修正!$I$2:$I$10000,"0")</f>
        <v>0</v>
      </c>
      <c r="L10" s="48">
        <f>SUMIFS(引用修正!$C$2:$C$10000,引用修正!$G$2:$G$10000,$A10,引用修正!$F$2:$F$10000,L$1,引用修正!$H$2:$H$10000,"0",引用修正!$I$2:$I$10000,"0")</f>
        <v>0</v>
      </c>
      <c r="M10" s="48">
        <f>SUMIFS(引用修正!$C$2:$C$10000,引用修正!$G$2:$G$10000,$A10,引用修正!$F$2:$F$10000,M$1,引用修正!$H$2:$H$10000,"0",引用修正!$I$2:$I$10000,"0")</f>
        <v>0</v>
      </c>
    </row>
    <row r="11" s="48" customFormat="1" spans="1:13">
      <c r="A11" s="51" t="s">
        <v>17607</v>
      </c>
      <c r="B11" s="48">
        <f>SUMIFS(引用修正!$C$2:$C$10000,引用修正!$G$2:$G$10000,$A11,引用修正!$F$2:$F$10000,B$1,引用修正!$H$2:$H$10000,"0",引用修正!$I$2:$I$10000,"0")</f>
        <v>0</v>
      </c>
      <c r="C11" s="48">
        <f>SUMIFS(引用修正!$C$2:$C$10000,引用修正!$G$2:$G$10000,$A11,引用修正!$F$2:$F$10000,C$1,引用修正!$H$2:$H$10000,"0",引用修正!$I$2:$I$10000,"0")</f>
        <v>0</v>
      </c>
      <c r="D11" s="48">
        <f>SUMIFS(引用修正!$C$2:$C$10000,引用修正!$G$2:$G$10000,$A11,引用修正!$F$2:$F$10000,D$1,引用修正!$H$2:$H$10000,"0",引用修正!$I$2:$I$10000,"0")</f>
        <v>0</v>
      </c>
      <c r="E11" s="48">
        <f>SUMIFS(引用修正!$C$2:$C$10000,引用修正!$G$2:$G$10000,$A11,引用修正!$F$2:$F$10000,E$1,引用修正!$H$2:$H$10000,"0",引用修正!$I$2:$I$10000,"0")</f>
        <v>0</v>
      </c>
      <c r="F11" s="48">
        <f>SUMIFS(引用修正!$C$2:$C$10000,引用修正!$G$2:$G$10000,$A11,引用修正!$F$2:$F$10000,F$1,引用修正!$H$2:$H$10000,"0",引用修正!$I$2:$I$10000,"0")</f>
        <v>0</v>
      </c>
      <c r="G11" s="48">
        <f>SUMIFS(引用修正!$C$2:$C$10000,引用修正!$G$2:$G$10000,$A11,引用修正!$F$2:$F$10000,G$1,引用修正!$H$2:$H$10000,"0",引用修正!$I$2:$I$10000,"0")</f>
        <v>0</v>
      </c>
      <c r="H11" s="48">
        <f>SUMIFS(引用修正!$C$2:$C$10000,引用修正!$G$2:$G$10000,$A11,引用修正!$F$2:$F$10000,H$1,引用修正!$H$2:$H$10000,"0",引用修正!$I$2:$I$10000,"0")</f>
        <v>0</v>
      </c>
      <c r="I11" s="48">
        <f>SUMIFS(引用修正!$C$2:$C$10000,引用修正!$G$2:$G$10000,$A11,引用修正!$F$2:$F$10000,I$1,引用修正!$H$2:$H$10000,"0",引用修正!$I$2:$I$10000,"0")</f>
        <v>0</v>
      </c>
      <c r="J11" s="48">
        <f>SUMIFS(引用修正!$C$2:$C$10000,引用修正!$G$2:$G$10000,$A11,引用修正!$F$2:$F$10000,J$1,引用修正!$H$2:$H$10000,"0",引用修正!$I$2:$I$10000,"0")</f>
        <v>0</v>
      </c>
      <c r="K11" s="48">
        <f>SUMIFS(引用修正!$C$2:$C$10000,引用修正!$G$2:$G$10000,$A11,引用修正!$F$2:$F$10000,K$1,引用修正!$H$2:$H$10000,"0",引用修正!$I$2:$I$10000,"0")</f>
        <v>0</v>
      </c>
      <c r="L11" s="48">
        <f>SUMIFS(引用修正!$C$2:$C$10000,引用修正!$G$2:$G$10000,$A11,引用修正!$F$2:$F$10000,L$1,引用修正!$H$2:$H$10000,"0",引用修正!$I$2:$I$10000,"0")</f>
        <v>0</v>
      </c>
      <c r="M11" s="48">
        <f>SUMIFS(引用修正!$C$2:$C$10000,引用修正!$G$2:$G$10000,$A11,引用修正!$F$2:$F$10000,M$1,引用修正!$H$2:$H$10000,"0",引用修正!$I$2:$I$10000,"0")</f>
        <v>0</v>
      </c>
    </row>
    <row r="12" s="48" customFormat="1" spans="1:13">
      <c r="A12" s="51" t="s">
        <v>17608</v>
      </c>
      <c r="B12" s="48">
        <f>SUMIFS(引用修正!$C$2:$C$10000,引用修正!$G$2:$G$10000,$A12,引用修正!$F$2:$F$10000,B$1,引用修正!$H$2:$H$10000,"0",引用修正!$I$2:$I$10000,"0")</f>
        <v>0</v>
      </c>
      <c r="C12" s="48">
        <f>SUMIFS(引用修正!$C$2:$C$10000,引用修正!$G$2:$G$10000,$A12,引用修正!$F$2:$F$10000,C$1,引用修正!$H$2:$H$10000,"0",引用修正!$I$2:$I$10000,"0")</f>
        <v>0</v>
      </c>
      <c r="D12" s="48">
        <f>SUMIFS(引用修正!$C$2:$C$10000,引用修正!$G$2:$G$10000,$A12,引用修正!$F$2:$F$10000,D$1,引用修正!$H$2:$H$10000,"0",引用修正!$I$2:$I$10000,"0")</f>
        <v>0</v>
      </c>
      <c r="E12" s="48">
        <f>SUMIFS(引用修正!$C$2:$C$10000,引用修正!$G$2:$G$10000,$A12,引用修正!$F$2:$F$10000,E$1,引用修正!$H$2:$H$10000,"0",引用修正!$I$2:$I$10000,"0")</f>
        <v>0</v>
      </c>
      <c r="F12" s="48">
        <f>SUMIFS(引用修正!$C$2:$C$10000,引用修正!$G$2:$G$10000,$A12,引用修正!$F$2:$F$10000,F$1,引用修正!$H$2:$H$10000,"0",引用修正!$I$2:$I$10000,"0")</f>
        <v>0</v>
      </c>
      <c r="G12" s="48">
        <f>SUMIFS(引用修正!$C$2:$C$10000,引用修正!$G$2:$G$10000,$A12,引用修正!$F$2:$F$10000,G$1,引用修正!$H$2:$H$10000,"0",引用修正!$I$2:$I$10000,"0")</f>
        <v>0</v>
      </c>
      <c r="H12" s="48">
        <f>SUMIFS(引用修正!$C$2:$C$10000,引用修正!$G$2:$G$10000,$A12,引用修正!$F$2:$F$10000,H$1,引用修正!$H$2:$H$10000,"0",引用修正!$I$2:$I$10000,"0")</f>
        <v>0</v>
      </c>
      <c r="I12" s="48">
        <f>SUMIFS(引用修正!$C$2:$C$10000,引用修正!$G$2:$G$10000,$A12,引用修正!$F$2:$F$10000,I$1,引用修正!$H$2:$H$10000,"0",引用修正!$I$2:$I$10000,"0")</f>
        <v>0</v>
      </c>
      <c r="J12" s="48">
        <f>SUMIFS(引用修正!$C$2:$C$10000,引用修正!$G$2:$G$10000,$A12,引用修正!$F$2:$F$10000,J$1,引用修正!$H$2:$H$10000,"0",引用修正!$I$2:$I$10000,"0")</f>
        <v>0</v>
      </c>
      <c r="K12" s="48">
        <f>SUMIFS(引用修正!$C$2:$C$10000,引用修正!$G$2:$G$10000,$A12,引用修正!$F$2:$F$10000,K$1,引用修正!$H$2:$H$10000,"0",引用修正!$I$2:$I$10000,"0")</f>
        <v>0</v>
      </c>
      <c r="L12" s="48">
        <f>SUMIFS(引用修正!$C$2:$C$10000,引用修正!$G$2:$G$10000,$A12,引用修正!$F$2:$F$10000,L$1,引用修正!$H$2:$H$10000,"0",引用修正!$I$2:$I$10000,"0")</f>
        <v>0</v>
      </c>
      <c r="M12" s="48">
        <f>SUMIFS(引用修正!$C$2:$C$10000,引用修正!$G$2:$G$10000,$A12,引用修正!$F$2:$F$10000,M$1,引用修正!$H$2:$H$10000,"0",引用修正!$I$2:$I$10000,"0")</f>
        <v>0</v>
      </c>
    </row>
    <row r="13" s="48" customFormat="1" spans="1:13">
      <c r="A13" s="51" t="s">
        <v>17609</v>
      </c>
      <c r="B13" s="48">
        <f>SUMIFS(引用修正!$C$2:$C$10000,引用修正!$G$2:$G$10000,$A13,引用修正!$F$2:$F$10000,B$1,引用修正!$H$2:$H$10000,"0",引用修正!$I$2:$I$10000,"0")</f>
        <v>0</v>
      </c>
      <c r="C13" s="48">
        <f>SUMIFS(引用修正!$C$2:$C$10000,引用修正!$G$2:$G$10000,$A13,引用修正!$F$2:$F$10000,C$1,引用修正!$H$2:$H$10000,"0",引用修正!$I$2:$I$10000,"0")</f>
        <v>0</v>
      </c>
      <c r="D13" s="48">
        <f>SUMIFS(引用修正!$C$2:$C$10000,引用修正!$G$2:$G$10000,$A13,引用修正!$F$2:$F$10000,D$1,引用修正!$H$2:$H$10000,"0",引用修正!$I$2:$I$10000,"0")</f>
        <v>0</v>
      </c>
      <c r="E13" s="48">
        <f>SUMIFS(引用修正!$C$2:$C$10000,引用修正!$G$2:$G$10000,$A13,引用修正!$F$2:$F$10000,E$1,引用修正!$H$2:$H$10000,"0",引用修正!$I$2:$I$10000,"0")</f>
        <v>0</v>
      </c>
      <c r="F13" s="48">
        <f>SUMIFS(引用修正!$C$2:$C$10000,引用修正!$G$2:$G$10000,$A13,引用修正!$F$2:$F$10000,F$1,引用修正!$H$2:$H$10000,"0",引用修正!$I$2:$I$10000,"0")</f>
        <v>0</v>
      </c>
      <c r="G13" s="48">
        <f>SUMIFS(引用修正!$C$2:$C$10000,引用修正!$G$2:$G$10000,$A13,引用修正!$F$2:$F$10000,G$1,引用修正!$H$2:$H$10000,"0",引用修正!$I$2:$I$10000,"0")</f>
        <v>0</v>
      </c>
      <c r="H13" s="48">
        <f>SUMIFS(引用修正!$C$2:$C$10000,引用修正!$G$2:$G$10000,$A13,引用修正!$F$2:$F$10000,H$1,引用修正!$H$2:$H$10000,"0",引用修正!$I$2:$I$10000,"0")</f>
        <v>0</v>
      </c>
      <c r="I13" s="48">
        <f>SUMIFS(引用修正!$C$2:$C$10000,引用修正!$G$2:$G$10000,$A13,引用修正!$F$2:$F$10000,I$1,引用修正!$H$2:$H$10000,"0",引用修正!$I$2:$I$10000,"0")</f>
        <v>0</v>
      </c>
      <c r="J13" s="48">
        <f>SUMIFS(引用修正!$C$2:$C$10000,引用修正!$G$2:$G$10000,$A13,引用修正!$F$2:$F$10000,J$1,引用修正!$H$2:$H$10000,"0",引用修正!$I$2:$I$10000,"0")</f>
        <v>0</v>
      </c>
      <c r="K13" s="48">
        <f>SUMIFS(引用修正!$C$2:$C$10000,引用修正!$G$2:$G$10000,$A13,引用修正!$F$2:$F$10000,K$1,引用修正!$H$2:$H$10000,"0",引用修正!$I$2:$I$10000,"0")</f>
        <v>0</v>
      </c>
      <c r="L13" s="48">
        <f>SUMIFS(引用修正!$C$2:$C$10000,引用修正!$G$2:$G$10000,$A13,引用修正!$F$2:$F$10000,L$1,引用修正!$H$2:$H$10000,"0",引用修正!$I$2:$I$10000,"0")</f>
        <v>0</v>
      </c>
      <c r="M13" s="48">
        <f>SUMIFS(引用修正!$C$2:$C$10000,引用修正!$G$2:$G$10000,$A13,引用修正!$F$2:$F$10000,M$1,引用修正!$H$2:$H$10000,"0",引用修正!$I$2:$I$10000,"0")</f>
        <v>0</v>
      </c>
    </row>
    <row r="14" s="48" customFormat="1" spans="1:13">
      <c r="A14" s="51" t="s">
        <v>17610</v>
      </c>
      <c r="B14" s="48">
        <f>SUMIFS(引用修正!$C$2:$C$10000,引用修正!$G$2:$G$10000,$A14,引用修正!$F$2:$F$10000,B$1,引用修正!$H$2:$H$10000,"0",引用修正!$I$2:$I$10000,"0")</f>
        <v>0</v>
      </c>
      <c r="C14" s="48">
        <f>SUMIFS(引用修正!$C$2:$C$10000,引用修正!$G$2:$G$10000,$A14,引用修正!$F$2:$F$10000,C$1,引用修正!$H$2:$H$10000,"0",引用修正!$I$2:$I$10000,"0")</f>
        <v>0</v>
      </c>
      <c r="D14" s="48">
        <f>SUMIFS(引用修正!$C$2:$C$10000,引用修正!$G$2:$G$10000,$A14,引用修正!$F$2:$F$10000,D$1,引用修正!$H$2:$H$10000,"0",引用修正!$I$2:$I$10000,"0")</f>
        <v>0</v>
      </c>
      <c r="E14" s="48">
        <f>SUMIFS(引用修正!$C$2:$C$10000,引用修正!$G$2:$G$10000,$A14,引用修正!$F$2:$F$10000,E$1,引用修正!$H$2:$H$10000,"0",引用修正!$I$2:$I$10000,"0")</f>
        <v>0</v>
      </c>
      <c r="F14" s="48">
        <f>SUMIFS(引用修正!$C$2:$C$10000,引用修正!$G$2:$G$10000,$A14,引用修正!$F$2:$F$10000,F$1,引用修正!$H$2:$H$10000,"0",引用修正!$I$2:$I$10000,"0")</f>
        <v>0</v>
      </c>
      <c r="G14" s="48">
        <f>SUMIFS(引用修正!$C$2:$C$10000,引用修正!$G$2:$G$10000,$A14,引用修正!$F$2:$F$10000,G$1,引用修正!$H$2:$H$10000,"0",引用修正!$I$2:$I$10000,"0")</f>
        <v>0</v>
      </c>
      <c r="H14" s="48">
        <f>SUMIFS(引用修正!$C$2:$C$10000,引用修正!$G$2:$G$10000,$A14,引用修正!$F$2:$F$10000,H$1,引用修正!$H$2:$H$10000,"0",引用修正!$I$2:$I$10000,"0")</f>
        <v>0</v>
      </c>
      <c r="I14" s="48">
        <f>SUMIFS(引用修正!$C$2:$C$10000,引用修正!$G$2:$G$10000,$A14,引用修正!$F$2:$F$10000,I$1,引用修正!$H$2:$H$10000,"0",引用修正!$I$2:$I$10000,"0")</f>
        <v>0</v>
      </c>
      <c r="J14" s="48">
        <f>SUMIFS(引用修正!$C$2:$C$10000,引用修正!$G$2:$G$10000,$A14,引用修正!$F$2:$F$10000,J$1,引用修正!$H$2:$H$10000,"0",引用修正!$I$2:$I$10000,"0")</f>
        <v>0</v>
      </c>
      <c r="K14" s="48">
        <f>SUMIFS(引用修正!$C$2:$C$10000,引用修正!$G$2:$G$10000,$A14,引用修正!$F$2:$F$10000,K$1,引用修正!$H$2:$H$10000,"0",引用修正!$I$2:$I$10000,"0")</f>
        <v>0</v>
      </c>
      <c r="L14" s="48">
        <f>SUMIFS(引用修正!$C$2:$C$10000,引用修正!$G$2:$G$10000,$A14,引用修正!$F$2:$F$10000,L$1,引用修正!$H$2:$H$10000,"0",引用修正!$I$2:$I$10000,"0")</f>
        <v>0</v>
      </c>
      <c r="M14" s="48">
        <f>SUMIFS(引用修正!$C$2:$C$10000,引用修正!$G$2:$G$10000,$A14,引用修正!$F$2:$F$10000,M$1,引用修正!$H$2:$H$10000,"0",引用修正!$I$2:$I$10000,"0")</f>
        <v>0</v>
      </c>
    </row>
    <row r="15" s="48" customFormat="1" spans="1:13">
      <c r="A15" s="51" t="s">
        <v>15263</v>
      </c>
      <c r="B15" s="48">
        <f>SUMIFS(引用修正!$C$2:$C$10000,引用修正!$G$2:$G$10000,$A15,引用修正!$F$2:$F$10000,B$1,引用修正!$H$2:$H$10000,"0",引用修正!$I$2:$I$10000,"0")</f>
        <v>0</v>
      </c>
      <c r="C15" s="48">
        <f>SUMIFS(引用修正!$C$2:$C$10000,引用修正!$G$2:$G$10000,$A15,引用修正!$F$2:$F$10000,C$1,引用修正!$H$2:$H$10000,"0",引用修正!$I$2:$I$10000,"0")</f>
        <v>0</v>
      </c>
      <c r="D15" s="48">
        <f>SUMIFS(引用修正!$C$2:$C$10000,引用修正!$G$2:$G$10000,$A15,引用修正!$F$2:$F$10000,D$1,引用修正!$H$2:$H$10000,"0",引用修正!$I$2:$I$10000,"0")</f>
        <v>10030</v>
      </c>
      <c r="E15" s="48">
        <f>SUMIFS(引用修正!$C$2:$C$10000,引用修正!$G$2:$G$10000,$A15,引用修正!$F$2:$F$10000,E$1,引用修正!$H$2:$H$10000,"0",引用修正!$I$2:$I$10000,"0")</f>
        <v>10030</v>
      </c>
      <c r="F15" s="48">
        <f>SUMIFS(引用修正!$C$2:$C$10000,引用修正!$G$2:$G$10000,$A15,引用修正!$F$2:$F$10000,F$1,引用修正!$H$2:$H$10000,"0",引用修正!$I$2:$I$10000,"0")</f>
        <v>0</v>
      </c>
      <c r="G15" s="48">
        <f>SUMIFS(引用修正!$C$2:$C$10000,引用修正!$G$2:$G$10000,$A15,引用修正!$F$2:$F$10000,G$1,引用修正!$H$2:$H$10000,"0",引用修正!$I$2:$I$10000,"0")</f>
        <v>0</v>
      </c>
      <c r="H15" s="48">
        <f>SUMIFS(引用修正!$C$2:$C$10000,引用修正!$G$2:$G$10000,$A15,引用修正!$F$2:$F$10000,H$1,引用修正!$H$2:$H$10000,"0",引用修正!$I$2:$I$10000,"0")</f>
        <v>0</v>
      </c>
      <c r="I15" s="48">
        <f>SUMIFS(引用修正!$C$2:$C$10000,引用修正!$G$2:$G$10000,$A15,引用修正!$F$2:$F$10000,I$1,引用修正!$H$2:$H$10000,"0",引用修正!$I$2:$I$10000,"0")</f>
        <v>0</v>
      </c>
      <c r="J15" s="48">
        <f>SUMIFS(引用修正!$C$2:$C$10000,引用修正!$G$2:$G$10000,$A15,引用修正!$F$2:$F$10000,J$1,引用修正!$H$2:$H$10000,"0",引用修正!$I$2:$I$10000,"0")</f>
        <v>0</v>
      </c>
      <c r="K15" s="48">
        <f>SUMIFS(引用修正!$C$2:$C$10000,引用修正!$G$2:$G$10000,$A15,引用修正!$F$2:$F$10000,K$1,引用修正!$H$2:$H$10000,"0",引用修正!$I$2:$I$10000,"0")</f>
        <v>0</v>
      </c>
      <c r="L15" s="48">
        <f>SUMIFS(引用修正!$C$2:$C$10000,引用修正!$G$2:$G$10000,$A15,引用修正!$F$2:$F$10000,L$1,引用修正!$H$2:$H$10000,"0",引用修正!$I$2:$I$10000,"0")</f>
        <v>0</v>
      </c>
      <c r="M15" s="48">
        <f>SUMIFS(引用修正!$C$2:$C$10000,引用修正!$G$2:$G$10000,$A15,引用修正!$F$2:$F$10000,M$1,引用修正!$H$2:$H$10000,"0",引用修正!$I$2:$I$10000,"0")</f>
        <v>0</v>
      </c>
    </row>
    <row r="16" s="48" customFormat="1" spans="1:13">
      <c r="A16" s="51" t="s">
        <v>15366</v>
      </c>
      <c r="B16" s="48">
        <f>SUMIFS(引用修正!$C$2:$C$10000,引用修正!$G$2:$G$10000,$A16,引用修正!$F$2:$F$10000,B$1,引用修正!$H$2:$H$10000,"0",引用修正!$I$2:$I$10000,"0")</f>
        <v>0</v>
      </c>
      <c r="C16" s="48">
        <f>SUMIFS(引用修正!$C$2:$C$10000,引用修正!$G$2:$G$10000,$A16,引用修正!$F$2:$F$10000,C$1,引用修正!$H$2:$H$10000,"0",引用修正!$I$2:$I$10000,"0")</f>
        <v>0</v>
      </c>
      <c r="D16" s="48">
        <f>SUMIFS(引用修正!$C$2:$C$10000,引用修正!$G$2:$G$10000,$A16,引用修正!$F$2:$F$10000,D$1,引用修正!$H$2:$H$10000,"0",引用修正!$I$2:$I$10000,"0")</f>
        <v>0</v>
      </c>
      <c r="E16" s="48">
        <f>SUMIFS(引用修正!$C$2:$C$10000,引用修正!$G$2:$G$10000,$A16,引用修正!$F$2:$F$10000,E$1,引用修正!$H$2:$H$10000,"0",引用修正!$I$2:$I$10000,"0")</f>
        <v>0</v>
      </c>
      <c r="F16" s="48">
        <f>SUMIFS(引用修正!$C$2:$C$10000,引用修正!$G$2:$G$10000,$A16,引用修正!$F$2:$F$10000,F$1,引用修正!$H$2:$H$10000,"0",引用修正!$I$2:$I$10000,"0")</f>
        <v>0</v>
      </c>
      <c r="G16" s="48">
        <f>SUMIFS(引用修正!$C$2:$C$10000,引用修正!$G$2:$G$10000,$A16,引用修正!$F$2:$F$10000,G$1,引用修正!$H$2:$H$10000,"0",引用修正!$I$2:$I$10000,"0")</f>
        <v>0</v>
      </c>
      <c r="H16" s="48">
        <f>SUMIFS(引用修正!$C$2:$C$10000,引用修正!$G$2:$G$10000,$A16,引用修正!$F$2:$F$10000,H$1,引用修正!$H$2:$H$10000,"0",引用修正!$I$2:$I$10000,"0")</f>
        <v>0</v>
      </c>
      <c r="I16" s="48">
        <f>SUMIFS(引用修正!$C$2:$C$10000,引用修正!$G$2:$G$10000,$A16,引用修正!$F$2:$F$10000,I$1,引用修正!$H$2:$H$10000,"0",引用修正!$I$2:$I$10000,"0")</f>
        <v>0</v>
      </c>
      <c r="J16" s="48">
        <f>SUMIFS(引用修正!$C$2:$C$10000,引用修正!$G$2:$G$10000,$A16,引用修正!$F$2:$F$10000,J$1,引用修正!$H$2:$H$10000,"0",引用修正!$I$2:$I$10000,"0")</f>
        <v>0</v>
      </c>
      <c r="K16" s="48">
        <f>SUMIFS(引用修正!$C$2:$C$10000,引用修正!$G$2:$G$10000,$A16,引用修正!$F$2:$F$10000,K$1,引用修正!$H$2:$H$10000,"0",引用修正!$I$2:$I$10000,"0")</f>
        <v>0</v>
      </c>
      <c r="L16" s="48">
        <f>SUMIFS(引用修正!$C$2:$C$10000,引用修正!$G$2:$G$10000,$A16,引用修正!$F$2:$F$10000,L$1,引用修正!$H$2:$H$10000,"0",引用修正!$I$2:$I$10000,"0")</f>
        <v>0</v>
      </c>
      <c r="M16" s="48">
        <f>SUMIFS(引用修正!$C$2:$C$10000,引用修正!$G$2:$G$10000,$A16,引用修正!$F$2:$F$10000,M$1,引用修正!$H$2:$H$10000,"0",引用修正!$I$2:$I$10000,"0")</f>
        <v>0</v>
      </c>
    </row>
    <row r="17" s="48" customFormat="1" spans="1:13">
      <c r="A17" s="51" t="s">
        <v>17611</v>
      </c>
      <c r="B17" s="48">
        <f>SUMIFS(引用修正!$C$2:$C$10000,引用修正!$G$2:$G$10000,$A17,引用修正!$F$2:$F$10000,B$1,引用修正!$H$2:$H$10000,"0",引用修正!$I$2:$I$10000,"0")</f>
        <v>0</v>
      </c>
      <c r="C17" s="48">
        <f>SUMIFS(引用修正!$C$2:$C$10000,引用修正!$G$2:$G$10000,$A17,引用修正!$F$2:$F$10000,C$1,引用修正!$H$2:$H$10000,"0",引用修正!$I$2:$I$10000,"0")</f>
        <v>0</v>
      </c>
      <c r="D17" s="48">
        <f>SUMIFS(引用修正!$C$2:$C$10000,引用修正!$G$2:$G$10000,$A17,引用修正!$F$2:$F$10000,D$1,引用修正!$H$2:$H$10000,"0",引用修正!$I$2:$I$10000,"0")</f>
        <v>0</v>
      </c>
      <c r="E17" s="48">
        <f>SUMIFS(引用修正!$C$2:$C$10000,引用修正!$G$2:$G$10000,$A17,引用修正!$F$2:$F$10000,E$1,引用修正!$H$2:$H$10000,"0",引用修正!$I$2:$I$10000,"0")</f>
        <v>0</v>
      </c>
      <c r="F17" s="48">
        <f>SUMIFS(引用修正!$C$2:$C$10000,引用修正!$G$2:$G$10000,$A17,引用修正!$F$2:$F$10000,F$1,引用修正!$H$2:$H$10000,"0",引用修正!$I$2:$I$10000,"0")</f>
        <v>0</v>
      </c>
      <c r="G17" s="48">
        <f>SUMIFS(引用修正!$C$2:$C$10000,引用修正!$G$2:$G$10000,$A17,引用修正!$F$2:$F$10000,G$1,引用修正!$H$2:$H$10000,"0",引用修正!$I$2:$I$10000,"0")</f>
        <v>0</v>
      </c>
      <c r="H17" s="48">
        <f>SUMIFS(引用修正!$C$2:$C$10000,引用修正!$G$2:$G$10000,$A17,引用修正!$F$2:$F$10000,H$1,引用修正!$H$2:$H$10000,"0",引用修正!$I$2:$I$10000,"0")</f>
        <v>0</v>
      </c>
      <c r="I17" s="48">
        <f>SUMIFS(引用修正!$C$2:$C$10000,引用修正!$G$2:$G$10000,$A17,引用修正!$F$2:$F$10000,I$1,引用修正!$H$2:$H$10000,"0",引用修正!$I$2:$I$10000,"0")</f>
        <v>0</v>
      </c>
      <c r="J17" s="48">
        <f>SUMIFS(引用修正!$C$2:$C$10000,引用修正!$G$2:$G$10000,$A17,引用修正!$F$2:$F$10000,J$1,引用修正!$H$2:$H$10000,"0",引用修正!$I$2:$I$10000,"0")</f>
        <v>0</v>
      </c>
      <c r="K17" s="48">
        <f>SUMIFS(引用修正!$C$2:$C$10000,引用修正!$G$2:$G$10000,$A17,引用修正!$F$2:$F$10000,K$1,引用修正!$H$2:$H$10000,"0",引用修正!$I$2:$I$10000,"0")</f>
        <v>0</v>
      </c>
      <c r="L17" s="48">
        <f>SUMIFS(引用修正!$C$2:$C$10000,引用修正!$G$2:$G$10000,$A17,引用修正!$F$2:$F$10000,L$1,引用修正!$H$2:$H$10000,"0",引用修正!$I$2:$I$10000,"0")</f>
        <v>0</v>
      </c>
      <c r="M17" s="48">
        <f>SUMIFS(引用修正!$C$2:$C$10000,引用修正!$G$2:$G$10000,$A17,引用修正!$F$2:$F$10000,M$1,引用修正!$H$2:$H$10000,"0",引用修正!$I$2:$I$10000,"0")</f>
        <v>0</v>
      </c>
    </row>
    <row r="18" s="49" customFormat="1" spans="1:13">
      <c r="A18" s="53" t="s">
        <v>17612</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8" customFormat="1" spans="1:13">
      <c r="A19" s="51" t="s">
        <v>17613</v>
      </c>
      <c r="B19" s="48">
        <f>SUMIFS(引用修正!$C$2:$C$10000,引用修正!$G$2:$G$10000,$A19,引用修正!$F$2:$F$10000,B$1,引用修正!$H$2:$H$10000,"0",引用修正!$I$2:$I$10000,"0")</f>
        <v>0</v>
      </c>
      <c r="C19" s="48">
        <f>SUMIFS(引用修正!$C$2:$C$10000,引用修正!$G$2:$G$10000,$A19,引用修正!$F$2:$F$10000,C$1,引用修正!$H$2:$H$10000,"0",引用修正!$I$2:$I$10000,"0")</f>
        <v>0</v>
      </c>
      <c r="D19" s="48">
        <f>SUMIFS(引用修正!$C$2:$C$10000,引用修正!$G$2:$G$10000,$A19,引用修正!$F$2:$F$10000,D$1,引用修正!$H$2:$H$10000,"0",引用修正!$I$2:$I$10000,"0")</f>
        <v>0</v>
      </c>
      <c r="E19" s="48">
        <f>SUMIFS(引用修正!$C$2:$C$10000,引用修正!$G$2:$G$10000,$A19,引用修正!$F$2:$F$10000,E$1,引用修正!$H$2:$H$10000,"0",引用修正!$I$2:$I$10000,"0")</f>
        <v>0</v>
      </c>
      <c r="F19" s="48">
        <f>SUMIFS(引用修正!$C$2:$C$10000,引用修正!$G$2:$G$10000,$A19,引用修正!$F$2:$F$10000,F$1,引用修正!$H$2:$H$10000,"0",引用修正!$I$2:$I$10000,"0")</f>
        <v>0</v>
      </c>
      <c r="G19" s="48">
        <f>SUMIFS(引用修正!$C$2:$C$10000,引用修正!$G$2:$G$10000,$A19,引用修正!$F$2:$F$10000,G$1,引用修正!$H$2:$H$10000,"0",引用修正!$I$2:$I$10000,"0")</f>
        <v>0</v>
      </c>
      <c r="H19" s="48">
        <f>SUMIFS(引用修正!$C$2:$C$10000,引用修正!$G$2:$G$10000,$A19,引用修正!$F$2:$F$10000,H$1,引用修正!$H$2:$H$10000,"0",引用修正!$I$2:$I$10000,"0")</f>
        <v>0</v>
      </c>
      <c r="I19" s="48">
        <f>SUMIFS(引用修正!$C$2:$C$10000,引用修正!$G$2:$G$10000,$A19,引用修正!$F$2:$F$10000,I$1,引用修正!$H$2:$H$10000,"0",引用修正!$I$2:$I$10000,"0")</f>
        <v>0</v>
      </c>
      <c r="J19" s="48">
        <f>SUMIFS(引用修正!$C$2:$C$10000,引用修正!$G$2:$G$10000,$A19,引用修正!$F$2:$F$10000,J$1,引用修正!$H$2:$H$10000,"0",引用修正!$I$2:$I$10000,"0")</f>
        <v>0</v>
      </c>
      <c r="K19" s="48">
        <f>SUMIFS(引用修正!$C$2:$C$10000,引用修正!$G$2:$G$10000,$A19,引用修正!$F$2:$F$10000,K$1,引用修正!$H$2:$H$10000,"0",引用修正!$I$2:$I$10000,"0")</f>
        <v>0</v>
      </c>
      <c r="L19" s="48">
        <f>SUMIFS(引用修正!$C$2:$C$10000,引用修正!$G$2:$G$10000,$A19,引用修正!$F$2:$F$10000,L$1,引用修正!$H$2:$H$10000,"0",引用修正!$I$2:$I$10000,"0")</f>
        <v>0</v>
      </c>
      <c r="M19" s="48">
        <f>SUMIFS(引用修正!$C$2:$C$10000,引用修正!$G$2:$G$10000,$A19,引用修正!$F$2:$F$10000,M$1,引用修正!$H$2:$H$10000,"0",引用修正!$I$2:$I$10000,"0")</f>
        <v>0</v>
      </c>
    </row>
    <row r="20" s="48" customFormat="1" spans="1:13">
      <c r="A20" s="51" t="s">
        <v>17614</v>
      </c>
      <c r="B20" s="48">
        <f>SUMIFS(引用修正!$C$2:$C$10000,引用修正!$G$2:$G$10000,$A20,引用修正!$F$2:$F$10000,B$1,引用修正!$H$2:$H$10000,"0",引用修正!$I$2:$I$10000,"0")</f>
        <v>0</v>
      </c>
      <c r="C20" s="48">
        <f>SUMIFS(引用修正!$C$2:$C$10000,引用修正!$G$2:$G$10000,$A20,引用修正!$F$2:$F$10000,C$1,引用修正!$H$2:$H$10000,"0",引用修正!$I$2:$I$10000,"0")</f>
        <v>0</v>
      </c>
      <c r="D20" s="48">
        <f>SUMIFS(引用修正!$C$2:$C$10000,引用修正!$G$2:$G$10000,$A20,引用修正!$F$2:$F$10000,D$1,引用修正!$H$2:$H$10000,"0",引用修正!$I$2:$I$10000,"0")</f>
        <v>0</v>
      </c>
      <c r="E20" s="48">
        <f>SUMIFS(引用修正!$C$2:$C$10000,引用修正!$G$2:$G$10000,$A20,引用修正!$F$2:$F$10000,E$1,引用修正!$H$2:$H$10000,"0",引用修正!$I$2:$I$10000,"0")</f>
        <v>0</v>
      </c>
      <c r="F20" s="48">
        <f>SUMIFS(引用修正!$C$2:$C$10000,引用修正!$G$2:$G$10000,$A20,引用修正!$F$2:$F$10000,F$1,引用修正!$H$2:$H$10000,"0",引用修正!$I$2:$I$10000,"0")</f>
        <v>0</v>
      </c>
      <c r="G20" s="48">
        <f>SUMIFS(引用修正!$C$2:$C$10000,引用修正!$G$2:$G$10000,$A20,引用修正!$F$2:$F$10000,G$1,引用修正!$H$2:$H$10000,"0",引用修正!$I$2:$I$10000,"0")</f>
        <v>0</v>
      </c>
      <c r="H20" s="48">
        <f>SUMIFS(引用修正!$C$2:$C$10000,引用修正!$G$2:$G$10000,$A20,引用修正!$F$2:$F$10000,H$1,引用修正!$H$2:$H$10000,"0",引用修正!$I$2:$I$10000,"0")</f>
        <v>0</v>
      </c>
      <c r="I20" s="48">
        <f>SUMIFS(引用修正!$C$2:$C$10000,引用修正!$G$2:$G$10000,$A20,引用修正!$F$2:$F$10000,I$1,引用修正!$H$2:$H$10000,"0",引用修正!$I$2:$I$10000,"0")</f>
        <v>0</v>
      </c>
      <c r="J20" s="48">
        <f>SUMIFS(引用修正!$C$2:$C$10000,引用修正!$G$2:$G$10000,$A20,引用修正!$F$2:$F$10000,J$1,引用修正!$H$2:$H$10000,"0",引用修正!$I$2:$I$10000,"0")</f>
        <v>0</v>
      </c>
      <c r="K20" s="48">
        <f>SUMIFS(引用修正!$C$2:$C$10000,引用修正!$G$2:$G$10000,$A20,引用修正!$F$2:$F$10000,K$1,引用修正!$H$2:$H$10000,"0",引用修正!$I$2:$I$10000,"0")</f>
        <v>0</v>
      </c>
      <c r="L20" s="48">
        <f>SUMIFS(引用修正!$C$2:$C$10000,引用修正!$G$2:$G$10000,$A20,引用修正!$F$2:$F$10000,L$1,引用修正!$H$2:$H$10000,"0",引用修正!$I$2:$I$10000,"0")</f>
        <v>0</v>
      </c>
      <c r="M20" s="48">
        <f>SUMIFS(引用修正!$C$2:$C$10000,引用修正!$G$2:$G$10000,$A20,引用修正!$F$2:$F$10000,M$1,引用修正!$H$2:$H$10000,"0",引用修正!$I$2:$I$10000,"0")</f>
        <v>0</v>
      </c>
    </row>
    <row r="21" s="48" customFormat="1" spans="1:13">
      <c r="A21" s="51" t="s">
        <v>17615</v>
      </c>
      <c r="B21" s="48">
        <f>SUMIFS(引用修正!$C$2:$C$10000,引用修正!$G$2:$G$10000,$A21,引用修正!$F$2:$F$10000,B$1,引用修正!$H$2:$H$10000,"0",引用修正!$I$2:$I$10000,"0")</f>
        <v>0</v>
      </c>
      <c r="C21" s="48">
        <f>SUMIFS(引用修正!$C$2:$C$10000,引用修正!$G$2:$G$10000,$A21,引用修正!$F$2:$F$10000,C$1,引用修正!$H$2:$H$10000,"0",引用修正!$I$2:$I$10000,"0")</f>
        <v>0</v>
      </c>
      <c r="D21" s="48">
        <f>SUMIFS(引用修正!$C$2:$C$10000,引用修正!$G$2:$G$10000,$A21,引用修正!$F$2:$F$10000,D$1,引用修正!$H$2:$H$10000,"0",引用修正!$I$2:$I$10000,"0")</f>
        <v>0</v>
      </c>
      <c r="E21" s="48">
        <f>SUMIFS(引用修正!$C$2:$C$10000,引用修正!$G$2:$G$10000,$A21,引用修正!$F$2:$F$10000,E$1,引用修正!$H$2:$H$10000,"0",引用修正!$I$2:$I$10000,"0")</f>
        <v>0</v>
      </c>
      <c r="F21" s="48">
        <f>SUMIFS(引用修正!$C$2:$C$10000,引用修正!$G$2:$G$10000,$A21,引用修正!$F$2:$F$10000,F$1,引用修正!$H$2:$H$10000,"0",引用修正!$I$2:$I$10000,"0")</f>
        <v>0</v>
      </c>
      <c r="G21" s="48">
        <f>SUMIFS(引用修正!$C$2:$C$10000,引用修正!$G$2:$G$10000,$A21,引用修正!$F$2:$F$10000,G$1,引用修正!$H$2:$H$10000,"0",引用修正!$I$2:$I$10000,"0")</f>
        <v>0</v>
      </c>
      <c r="H21" s="48">
        <f>SUMIFS(引用修正!$C$2:$C$10000,引用修正!$G$2:$G$10000,$A21,引用修正!$F$2:$F$10000,H$1,引用修正!$H$2:$H$10000,"0",引用修正!$I$2:$I$10000,"0")</f>
        <v>0</v>
      </c>
      <c r="I21" s="48">
        <f>SUMIFS(引用修正!$C$2:$C$10000,引用修正!$G$2:$G$10000,$A21,引用修正!$F$2:$F$10000,I$1,引用修正!$H$2:$H$10000,"0",引用修正!$I$2:$I$10000,"0")</f>
        <v>0</v>
      </c>
      <c r="J21" s="48">
        <f>SUMIFS(引用修正!$C$2:$C$10000,引用修正!$G$2:$G$10000,$A21,引用修正!$F$2:$F$10000,J$1,引用修正!$H$2:$H$10000,"0",引用修正!$I$2:$I$10000,"0")</f>
        <v>0</v>
      </c>
      <c r="K21" s="48">
        <f>SUMIFS(引用修正!$C$2:$C$10000,引用修正!$G$2:$G$10000,$A21,引用修正!$F$2:$F$10000,K$1,引用修正!$H$2:$H$10000,"0",引用修正!$I$2:$I$10000,"0")</f>
        <v>0</v>
      </c>
      <c r="L21" s="48">
        <f>SUMIFS(引用修正!$C$2:$C$10000,引用修正!$G$2:$G$10000,$A21,引用修正!$F$2:$F$10000,L$1,引用修正!$H$2:$H$10000,"0",引用修正!$I$2:$I$10000,"0")</f>
        <v>0</v>
      </c>
      <c r="M21" s="48">
        <f>SUMIFS(引用修正!$C$2:$C$10000,引用修正!$G$2:$G$10000,$A21,引用修正!$F$2:$F$10000,M$1,引用修正!$H$2:$H$10000,"0",引用修正!$I$2:$I$10000,"0")</f>
        <v>0</v>
      </c>
    </row>
    <row r="22" s="48" customFormat="1" spans="1:13">
      <c r="A22" s="51" t="s">
        <v>17616</v>
      </c>
      <c r="B22" s="48">
        <f>SUMIFS(引用修正!$C$2:$C$10000,引用修正!$G$2:$G$10000,$A22,引用修正!$F$2:$F$10000,B$1,引用修正!$H$2:$H$10000,"0",引用修正!$I$2:$I$10000,"0")</f>
        <v>0</v>
      </c>
      <c r="C22" s="48">
        <f>SUMIFS(引用修正!$C$2:$C$10000,引用修正!$G$2:$G$10000,$A22,引用修正!$F$2:$F$10000,C$1,引用修正!$H$2:$H$10000,"0",引用修正!$I$2:$I$10000,"0")</f>
        <v>0</v>
      </c>
      <c r="D22" s="48">
        <f>SUMIFS(引用修正!$C$2:$C$10000,引用修正!$G$2:$G$10000,$A22,引用修正!$F$2:$F$10000,D$1,引用修正!$H$2:$H$10000,"0",引用修正!$I$2:$I$10000,"0")</f>
        <v>0</v>
      </c>
      <c r="E22" s="48">
        <f>SUMIFS(引用修正!$C$2:$C$10000,引用修正!$G$2:$G$10000,$A22,引用修正!$F$2:$F$10000,E$1,引用修正!$H$2:$H$10000,"0",引用修正!$I$2:$I$10000,"0")</f>
        <v>0</v>
      </c>
      <c r="F22" s="48">
        <f>SUMIFS(引用修正!$C$2:$C$10000,引用修正!$G$2:$G$10000,$A22,引用修正!$F$2:$F$10000,F$1,引用修正!$H$2:$H$10000,"0",引用修正!$I$2:$I$10000,"0")</f>
        <v>0</v>
      </c>
      <c r="G22" s="48">
        <f>SUMIFS(引用修正!$C$2:$C$10000,引用修正!$G$2:$G$10000,$A22,引用修正!$F$2:$F$10000,G$1,引用修正!$H$2:$H$10000,"0",引用修正!$I$2:$I$10000,"0")</f>
        <v>0</v>
      </c>
      <c r="H22" s="48">
        <f>SUMIFS(引用修正!$C$2:$C$10000,引用修正!$G$2:$G$10000,$A22,引用修正!$F$2:$F$10000,H$1,引用修正!$H$2:$H$10000,"0",引用修正!$I$2:$I$10000,"0")</f>
        <v>0</v>
      </c>
      <c r="I22" s="48">
        <f>SUMIFS(引用修正!$C$2:$C$10000,引用修正!$G$2:$G$10000,$A22,引用修正!$F$2:$F$10000,I$1,引用修正!$H$2:$H$10000,"0",引用修正!$I$2:$I$10000,"0")</f>
        <v>0</v>
      </c>
      <c r="J22" s="48">
        <f>SUMIFS(引用修正!$C$2:$C$10000,引用修正!$G$2:$G$10000,$A22,引用修正!$F$2:$F$10000,J$1,引用修正!$H$2:$H$10000,"0",引用修正!$I$2:$I$10000,"0")</f>
        <v>0</v>
      </c>
      <c r="K22" s="48">
        <f>SUMIFS(引用修正!$C$2:$C$10000,引用修正!$G$2:$G$10000,$A22,引用修正!$F$2:$F$10000,K$1,引用修正!$H$2:$H$10000,"0",引用修正!$I$2:$I$10000,"0")</f>
        <v>0</v>
      </c>
      <c r="L22" s="48">
        <f>SUMIFS(引用修正!$C$2:$C$10000,引用修正!$G$2:$G$10000,$A22,引用修正!$F$2:$F$10000,L$1,引用修正!$H$2:$H$10000,"0",引用修正!$I$2:$I$10000,"0")</f>
        <v>0</v>
      </c>
      <c r="M22" s="48">
        <f>SUMIFS(引用修正!$C$2:$C$10000,引用修正!$G$2:$G$10000,$A22,引用修正!$F$2:$F$10000,M$1,引用修正!$H$2:$H$10000,"0",引用修正!$I$2:$I$10000,"0")</f>
        <v>0</v>
      </c>
    </row>
    <row r="23" s="48" customFormat="1" spans="1:13">
      <c r="A23" s="51" t="s">
        <v>17617</v>
      </c>
      <c r="B23" s="48">
        <f>SUMIFS(引用修正!$C$2:$C$10000,引用修正!$G$2:$G$10000,$A23,引用修正!$F$2:$F$10000,B$1,引用修正!$H$2:$H$10000,"0",引用修正!$I$2:$I$10000,"0")</f>
        <v>0</v>
      </c>
      <c r="C23" s="48">
        <f>SUMIFS(引用修正!$C$2:$C$10000,引用修正!$G$2:$G$10000,$A23,引用修正!$F$2:$F$10000,C$1,引用修正!$H$2:$H$10000,"0",引用修正!$I$2:$I$10000,"0")</f>
        <v>0</v>
      </c>
      <c r="D23" s="48">
        <f>SUMIFS(引用修正!$C$2:$C$10000,引用修正!$G$2:$G$10000,$A23,引用修正!$F$2:$F$10000,D$1,引用修正!$H$2:$H$10000,"0",引用修正!$I$2:$I$10000,"0")</f>
        <v>0</v>
      </c>
      <c r="E23" s="48">
        <f>SUMIFS(引用修正!$C$2:$C$10000,引用修正!$G$2:$G$10000,$A23,引用修正!$F$2:$F$10000,E$1,引用修正!$H$2:$H$10000,"0",引用修正!$I$2:$I$10000,"0")</f>
        <v>0</v>
      </c>
      <c r="F23" s="48">
        <f>SUMIFS(引用修正!$C$2:$C$10000,引用修正!$G$2:$G$10000,$A23,引用修正!$F$2:$F$10000,F$1,引用修正!$H$2:$H$10000,"0",引用修正!$I$2:$I$10000,"0")</f>
        <v>0</v>
      </c>
      <c r="G23" s="48">
        <f>SUMIFS(引用修正!$C$2:$C$10000,引用修正!$G$2:$G$10000,$A23,引用修正!$F$2:$F$10000,G$1,引用修正!$H$2:$H$10000,"0",引用修正!$I$2:$I$10000,"0")</f>
        <v>0</v>
      </c>
      <c r="H23" s="48">
        <f>SUMIFS(引用修正!$C$2:$C$10000,引用修正!$G$2:$G$10000,$A23,引用修正!$F$2:$F$10000,H$1,引用修正!$H$2:$H$10000,"0",引用修正!$I$2:$I$10000,"0")</f>
        <v>0</v>
      </c>
      <c r="I23" s="48">
        <f>SUMIFS(引用修正!$C$2:$C$10000,引用修正!$G$2:$G$10000,$A23,引用修正!$F$2:$F$10000,I$1,引用修正!$H$2:$H$10000,"0",引用修正!$I$2:$I$10000,"0")</f>
        <v>0</v>
      </c>
      <c r="J23" s="48">
        <f>SUMIFS(引用修正!$C$2:$C$10000,引用修正!$G$2:$G$10000,$A23,引用修正!$F$2:$F$10000,J$1,引用修正!$H$2:$H$10000,"0",引用修正!$I$2:$I$10000,"0")</f>
        <v>0</v>
      </c>
      <c r="K23" s="48">
        <f>SUMIFS(引用修正!$C$2:$C$10000,引用修正!$G$2:$G$10000,$A23,引用修正!$F$2:$F$10000,K$1,引用修正!$H$2:$H$10000,"0",引用修正!$I$2:$I$10000,"0")</f>
        <v>0</v>
      </c>
      <c r="L23" s="48">
        <f>SUMIFS(引用修正!$C$2:$C$10000,引用修正!$G$2:$G$10000,$A23,引用修正!$F$2:$F$10000,L$1,引用修正!$H$2:$H$10000,"0",引用修正!$I$2:$I$10000,"0")</f>
        <v>0</v>
      </c>
      <c r="M23" s="48">
        <f>SUMIFS(引用修正!$C$2:$C$10000,引用修正!$G$2:$G$10000,$A23,引用修正!$F$2:$F$10000,M$1,引用修正!$H$2:$H$10000,"0",引用修正!$I$2:$I$10000,"0")</f>
        <v>0</v>
      </c>
    </row>
    <row r="24" s="48" customFormat="1" spans="1:13">
      <c r="A24" s="51" t="s">
        <v>17618</v>
      </c>
      <c r="B24" s="48">
        <f>SUMIFS(引用修正!$C$2:$C$10000,引用修正!$G$2:$G$10000,$A24,引用修正!$F$2:$F$10000,B$1,引用修正!$H$2:$H$10000,"0",引用修正!$I$2:$I$10000,"0")</f>
        <v>0</v>
      </c>
      <c r="C24" s="48">
        <f>SUMIFS(引用修正!$C$2:$C$10000,引用修正!$G$2:$G$10000,$A24,引用修正!$F$2:$F$10000,C$1,引用修正!$H$2:$H$10000,"0",引用修正!$I$2:$I$10000,"0")</f>
        <v>0</v>
      </c>
      <c r="D24" s="48">
        <f>SUMIFS(引用修正!$C$2:$C$10000,引用修正!$G$2:$G$10000,$A24,引用修正!$F$2:$F$10000,D$1,引用修正!$H$2:$H$10000,"0",引用修正!$I$2:$I$10000,"0")</f>
        <v>0</v>
      </c>
      <c r="E24" s="48">
        <f>SUMIFS(引用修正!$C$2:$C$10000,引用修正!$G$2:$G$10000,$A24,引用修正!$F$2:$F$10000,E$1,引用修正!$H$2:$H$10000,"0",引用修正!$I$2:$I$10000,"0")</f>
        <v>0</v>
      </c>
      <c r="F24" s="48">
        <f>SUMIFS(引用修正!$C$2:$C$10000,引用修正!$G$2:$G$10000,$A24,引用修正!$F$2:$F$10000,F$1,引用修正!$H$2:$H$10000,"0",引用修正!$I$2:$I$10000,"0")</f>
        <v>0</v>
      </c>
      <c r="G24" s="48">
        <f>SUMIFS(引用修正!$C$2:$C$10000,引用修正!$G$2:$G$10000,$A24,引用修正!$F$2:$F$10000,G$1,引用修正!$H$2:$H$10000,"0",引用修正!$I$2:$I$10000,"0")</f>
        <v>0</v>
      </c>
      <c r="H24" s="48">
        <f>SUMIFS(引用修正!$C$2:$C$10000,引用修正!$G$2:$G$10000,$A24,引用修正!$F$2:$F$10000,H$1,引用修正!$H$2:$H$10000,"0",引用修正!$I$2:$I$10000,"0")</f>
        <v>0</v>
      </c>
      <c r="I24" s="48">
        <f>SUMIFS(引用修正!$C$2:$C$10000,引用修正!$G$2:$G$10000,$A24,引用修正!$F$2:$F$10000,I$1,引用修正!$H$2:$H$10000,"0",引用修正!$I$2:$I$10000,"0")</f>
        <v>0</v>
      </c>
      <c r="J24" s="48">
        <f>SUMIFS(引用修正!$C$2:$C$10000,引用修正!$G$2:$G$10000,$A24,引用修正!$F$2:$F$10000,J$1,引用修正!$H$2:$H$10000,"0",引用修正!$I$2:$I$10000,"0")</f>
        <v>0</v>
      </c>
      <c r="K24" s="48">
        <f>SUMIFS(引用修正!$C$2:$C$10000,引用修正!$G$2:$G$10000,$A24,引用修正!$F$2:$F$10000,K$1,引用修正!$H$2:$H$10000,"0",引用修正!$I$2:$I$10000,"0")</f>
        <v>0</v>
      </c>
      <c r="L24" s="48">
        <f>SUMIFS(引用修正!$C$2:$C$10000,引用修正!$G$2:$G$10000,$A24,引用修正!$F$2:$F$10000,L$1,引用修正!$H$2:$H$10000,"0",引用修正!$I$2:$I$10000,"0")</f>
        <v>0</v>
      </c>
      <c r="M24" s="48">
        <f>SUMIFS(引用修正!$C$2:$C$10000,引用修正!$G$2:$G$10000,$A24,引用修正!$F$2:$F$10000,M$1,引用修正!$H$2:$H$10000,"0",引用修正!$I$2:$I$10000,"0")</f>
        <v>0</v>
      </c>
    </row>
    <row r="25" s="48" customFormat="1" spans="1:13">
      <c r="A25" s="51" t="s">
        <v>17619</v>
      </c>
      <c r="B25" s="48">
        <f>SUMIFS(引用修正!$C$2:$C$10000,引用修正!$G$2:$G$10000,$A25,引用修正!$F$2:$F$10000,B$1,引用修正!$H$2:$H$10000,"0",引用修正!$I$2:$I$10000,"0")</f>
        <v>0</v>
      </c>
      <c r="C25" s="48">
        <f>SUMIFS(引用修正!$C$2:$C$10000,引用修正!$G$2:$G$10000,$A25,引用修正!$F$2:$F$10000,C$1,引用修正!$H$2:$H$10000,"0",引用修正!$I$2:$I$10000,"0")</f>
        <v>0</v>
      </c>
      <c r="D25" s="48">
        <f>SUMIFS(引用修正!$C$2:$C$10000,引用修正!$G$2:$G$10000,$A25,引用修正!$F$2:$F$10000,D$1,引用修正!$H$2:$H$10000,"0",引用修正!$I$2:$I$10000,"0")</f>
        <v>0</v>
      </c>
      <c r="E25" s="48">
        <f>SUMIFS(引用修正!$C$2:$C$10000,引用修正!$G$2:$G$10000,$A25,引用修正!$F$2:$F$10000,E$1,引用修正!$H$2:$H$10000,"0",引用修正!$I$2:$I$10000,"0")</f>
        <v>0</v>
      </c>
      <c r="F25" s="48">
        <f>SUMIFS(引用修正!$C$2:$C$10000,引用修正!$G$2:$G$10000,$A25,引用修正!$F$2:$F$10000,F$1,引用修正!$H$2:$H$10000,"0",引用修正!$I$2:$I$10000,"0")</f>
        <v>0</v>
      </c>
      <c r="G25" s="48">
        <f>SUMIFS(引用修正!$C$2:$C$10000,引用修正!$G$2:$G$10000,$A25,引用修正!$F$2:$F$10000,G$1,引用修正!$H$2:$H$10000,"0",引用修正!$I$2:$I$10000,"0")</f>
        <v>0</v>
      </c>
      <c r="H25" s="48">
        <f>SUMIFS(引用修正!$C$2:$C$10000,引用修正!$G$2:$G$10000,$A25,引用修正!$F$2:$F$10000,H$1,引用修正!$H$2:$H$10000,"0",引用修正!$I$2:$I$10000,"0")</f>
        <v>0</v>
      </c>
      <c r="I25" s="48">
        <f>SUMIFS(引用修正!$C$2:$C$10000,引用修正!$G$2:$G$10000,$A25,引用修正!$F$2:$F$10000,I$1,引用修正!$H$2:$H$10000,"0",引用修正!$I$2:$I$10000,"0")</f>
        <v>0</v>
      </c>
      <c r="J25" s="48">
        <f>SUMIFS(引用修正!$C$2:$C$10000,引用修正!$G$2:$G$10000,$A25,引用修正!$F$2:$F$10000,J$1,引用修正!$H$2:$H$10000,"0",引用修正!$I$2:$I$10000,"0")</f>
        <v>0</v>
      </c>
      <c r="K25" s="48">
        <f>SUMIFS(引用修正!$C$2:$C$10000,引用修正!$G$2:$G$10000,$A25,引用修正!$F$2:$F$10000,K$1,引用修正!$H$2:$H$10000,"0",引用修正!$I$2:$I$10000,"0")</f>
        <v>0</v>
      </c>
      <c r="L25" s="48">
        <f>SUMIFS(引用修正!$C$2:$C$10000,引用修正!$G$2:$G$10000,$A25,引用修正!$F$2:$F$10000,L$1,引用修正!$H$2:$H$10000,"0",引用修正!$I$2:$I$10000,"0")</f>
        <v>0</v>
      </c>
      <c r="M25" s="48">
        <f>SUMIFS(引用修正!$C$2:$C$10000,引用修正!$G$2:$G$10000,$A25,引用修正!$F$2:$F$10000,M$1,引用修正!$H$2:$H$10000,"0",引用修正!$I$2:$I$10000,"0")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17620</v>
      </c>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3230</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3197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3733</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6236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8185</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3367</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11349</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3068</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7533</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7523</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6250</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17622</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5552</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6368</v>
      </c>
      <c r="B16" s="13" t="s">
        <v>2318</v>
      </c>
      <c r="C16" s="14" t="s">
        <v>2319</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3737</v>
      </c>
      <c r="B17" s="13" t="s">
        <v>2318</v>
      </c>
      <c r="C17" s="14" t="s">
        <v>2319</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3288</v>
      </c>
      <c r="B18" s="13" t="s">
        <v>2318</v>
      </c>
      <c r="C18" s="14" t="s">
        <v>2319</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12602</v>
      </c>
      <c r="B19" s="13" t="s">
        <v>2318</v>
      </c>
      <c r="C19" s="14" t="s">
        <v>2319</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3153</v>
      </c>
      <c r="B20" s="13" t="s">
        <v>2318</v>
      </c>
      <c r="C20" s="14" t="s">
        <v>2319</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4724</v>
      </c>
      <c r="B21" s="13" t="s">
        <v>2318</v>
      </c>
      <c r="C21" s="14" t="s">
        <v>2319</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12113</v>
      </c>
      <c r="B22" s="13" t="s">
        <v>2318</v>
      </c>
      <c r="C22" s="14" t="s">
        <v>2319</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7739</v>
      </c>
      <c r="B23" s="13" t="s">
        <v>2318</v>
      </c>
      <c r="C23" s="14" t="s">
        <v>2319</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4177</v>
      </c>
      <c r="B24" s="13" t="s">
        <v>2318</v>
      </c>
      <c r="C24" s="14" t="s">
        <v>2319</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3014</v>
      </c>
      <c r="B25" s="13" t="s">
        <v>2318</v>
      </c>
      <c r="C25" s="14" t="s">
        <v>2319</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2973</v>
      </c>
      <c r="B26" s="13" t="s">
        <v>2318</v>
      </c>
      <c r="C26" s="14" t="s">
        <v>2319</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17623</v>
      </c>
      <c r="B27" s="13" t="s">
        <v>2318</v>
      </c>
      <c r="C27" s="14" t="s">
        <v>2319</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4182</v>
      </c>
      <c r="B28" s="13" t="s">
        <v>2318</v>
      </c>
      <c r="C28" s="14" t="s">
        <v>2319</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17624</v>
      </c>
      <c r="B29" s="16"/>
      <c r="C29" s="16" t="s">
        <v>17625</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8731</v>
      </c>
      <c r="B30" s="16"/>
      <c r="C30" s="16" t="s">
        <v>17625</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17626</v>
      </c>
      <c r="B31" s="16"/>
      <c r="C31" s="16" t="s">
        <v>17625</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4657</v>
      </c>
      <c r="B32" s="16"/>
      <c r="C32" s="16" t="s">
        <v>17625</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7084</v>
      </c>
      <c r="B33" s="16"/>
      <c r="C33" s="16" t="s">
        <v>17625</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17627</v>
      </c>
      <c r="B34" s="16"/>
      <c r="C34" s="16" t="s">
        <v>17625</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17628</v>
      </c>
      <c r="B35" s="16"/>
      <c r="C35" s="16" t="s">
        <v>17625</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17629</v>
      </c>
      <c r="B36" s="16"/>
      <c r="C36" s="16" t="s">
        <v>17625</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17630</v>
      </c>
      <c r="B37" s="16"/>
      <c r="C37" s="16" t="s">
        <v>17625</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17631</v>
      </c>
      <c r="B38" s="16"/>
      <c r="C38" s="16" t="s">
        <v>17625</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17632</v>
      </c>
      <c r="B39" s="16"/>
      <c r="C39" s="16" t="s">
        <v>17625</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3511</v>
      </c>
      <c r="B40" s="16"/>
      <c r="C40" s="16" t="s">
        <v>17625</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7777</v>
      </c>
      <c r="B41" s="16"/>
      <c r="C41" s="16" t="s">
        <v>17625</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17633</v>
      </c>
      <c r="B42" s="16"/>
      <c r="C42" s="16" t="s">
        <v>17625</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17634</v>
      </c>
      <c r="B43" s="16"/>
      <c r="C43" s="16" t="s">
        <v>17625</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17635</v>
      </c>
      <c r="B44" s="16"/>
      <c r="C44" s="16" t="s">
        <v>17625</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3118</v>
      </c>
      <c r="B45" s="16"/>
      <c r="C45" s="16" t="s">
        <v>17625</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2903</v>
      </c>
      <c r="B46" s="16"/>
      <c r="C46" s="16" t="s">
        <v>17625</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3125</v>
      </c>
      <c r="B47" s="16"/>
      <c r="C47" s="16" t="s">
        <v>17625</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4049</v>
      </c>
      <c r="B48" s="16"/>
      <c r="C48" s="16" t="s">
        <v>17625</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4157</v>
      </c>
      <c r="B49" s="16"/>
      <c r="C49" s="16" t="s">
        <v>17625</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17636</v>
      </c>
      <c r="B50" s="16"/>
      <c r="C50" s="16" t="s">
        <v>17625</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12287</v>
      </c>
      <c r="B51" s="16"/>
      <c r="C51" s="16" t="s">
        <v>17625</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17637</v>
      </c>
      <c r="B52" s="16"/>
      <c r="C52" s="16" t="s">
        <v>17625</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5099</v>
      </c>
      <c r="B53" s="16"/>
      <c r="C53" s="16" t="s">
        <v>17625</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6785</v>
      </c>
      <c r="B54" s="16"/>
      <c r="C54" s="16" t="s">
        <v>17625</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17638</v>
      </c>
      <c r="B55" s="16"/>
      <c r="C55" s="16" t="s">
        <v>17625</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4144</v>
      </c>
      <c r="B56" s="16"/>
      <c r="C56" s="16" t="s">
        <v>17625</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17639</v>
      </c>
      <c r="B57" s="16"/>
      <c r="C57" s="16" t="s">
        <v>17625</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4133</v>
      </c>
      <c r="B58" s="16"/>
      <c r="C58" s="16" t="s">
        <v>17625</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17640</v>
      </c>
      <c r="B59" s="16"/>
      <c r="C59" s="16" t="s">
        <v>17625</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17641</v>
      </c>
      <c r="B60" s="16"/>
      <c r="C60" s="16" t="s">
        <v>17625</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17642</v>
      </c>
      <c r="B61" s="16"/>
      <c r="C61" s="16" t="s">
        <v>17625</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17643</v>
      </c>
      <c r="B62" s="16"/>
      <c r="C62" s="16" t="s">
        <v>17625</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11246</v>
      </c>
      <c r="B63" s="16"/>
      <c r="C63" s="16" t="s">
        <v>17625</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17644</v>
      </c>
      <c r="B64" s="16"/>
      <c r="C64" s="16" t="s">
        <v>17625</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17645</v>
      </c>
      <c r="B65" s="16"/>
      <c r="C65" s="16" t="s">
        <v>17625</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4150</v>
      </c>
      <c r="B66" s="16"/>
      <c r="C66" s="16" t="s">
        <v>17625</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3897</v>
      </c>
      <c r="B67" s="16"/>
      <c r="C67" s="16" t="s">
        <v>17625</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17646</v>
      </c>
      <c r="B68" s="16"/>
      <c r="C68" s="16" t="s">
        <v>17625</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4168</v>
      </c>
      <c r="B69" s="16"/>
      <c r="C69" s="16" t="s">
        <v>17625</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3796</v>
      </c>
      <c r="B70" s="16"/>
      <c r="C70" s="16" t="s">
        <v>17625</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4064</v>
      </c>
      <c r="B71" s="16"/>
      <c r="C71" s="16" t="s">
        <v>17625</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17647</v>
      </c>
      <c r="B72" s="16"/>
      <c r="C72" s="16" t="s">
        <v>17625</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17648</v>
      </c>
      <c r="B73" s="16"/>
      <c r="C73" s="16" t="s">
        <v>17625</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17649</v>
      </c>
      <c r="B74" s="16"/>
      <c r="C74" s="16" t="s">
        <v>17625</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6976</v>
      </c>
      <c r="B75" s="16"/>
      <c r="C75" s="16" t="s">
        <v>17625</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17650</v>
      </c>
      <c r="B76" s="16"/>
      <c r="C76" s="16" t="s">
        <v>17625</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17651</v>
      </c>
      <c r="B77" s="16"/>
      <c r="C77" s="16" t="s">
        <v>17625</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17652</v>
      </c>
      <c r="B78" s="16"/>
      <c r="C78" s="16" t="s">
        <v>17625</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17653</v>
      </c>
      <c r="B79" s="16"/>
      <c r="C79" s="16" t="s">
        <v>17625</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17654</v>
      </c>
      <c r="B80" s="16"/>
      <c r="C80" s="16" t="s">
        <v>17625</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2919</v>
      </c>
      <c r="B81" s="16"/>
      <c r="C81" s="16" t="s">
        <v>17625</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7475</v>
      </c>
      <c r="B82" s="16"/>
      <c r="C82" s="16" t="s">
        <v>17625</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17655</v>
      </c>
      <c r="B83" s="16"/>
      <c r="C83" s="16" t="s">
        <v>17625</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17656</v>
      </c>
      <c r="B84" s="16"/>
      <c r="C84" s="16" t="s">
        <v>17625</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17657</v>
      </c>
      <c r="B85" s="16"/>
      <c r="C85" s="16" t="s">
        <v>17625</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4331</v>
      </c>
      <c r="B86" s="16"/>
      <c r="C86" s="16" t="s">
        <v>17625</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17658</v>
      </c>
      <c r="B87" s="16"/>
      <c r="C87" s="16" t="s">
        <v>17625</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3106</v>
      </c>
      <c r="B88" s="16"/>
      <c r="C88" s="16" t="s">
        <v>17625</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17659</v>
      </c>
      <c r="B89" s="16"/>
      <c r="C89" s="16" t="s">
        <v>17625</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17660</v>
      </c>
      <c r="B90" s="16"/>
      <c r="C90" s="16" t="s">
        <v>17625</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5909</v>
      </c>
      <c r="B91" s="42" t="s">
        <v>2128</v>
      </c>
      <c r="C91" s="43" t="s">
        <v>2129</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3617</v>
      </c>
      <c r="B92" s="42" t="s">
        <v>2128</v>
      </c>
      <c r="C92" s="43" t="s">
        <v>2129</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9395</v>
      </c>
      <c r="B93" s="42" t="s">
        <v>2128</v>
      </c>
      <c r="C93" s="43" t="s">
        <v>2129</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4246</v>
      </c>
      <c r="B94" s="42" t="s">
        <v>2128</v>
      </c>
      <c r="C94" s="43" t="s">
        <v>2129</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2997</v>
      </c>
      <c r="B95" s="42" t="s">
        <v>2128</v>
      </c>
      <c r="C95" s="43" t="s">
        <v>2129</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5479</v>
      </c>
      <c r="B96" s="42" t="s">
        <v>2128</v>
      </c>
      <c r="C96" s="43" t="s">
        <v>2129</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3261</v>
      </c>
      <c r="B97" s="42" t="s">
        <v>2128</v>
      </c>
      <c r="C97" s="43" t="s">
        <v>2129</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5490</v>
      </c>
      <c r="B98" s="42" t="s">
        <v>2128</v>
      </c>
      <c r="C98" s="43" t="s">
        <v>2129</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17661</v>
      </c>
      <c r="B99" s="42" t="s">
        <v>2128</v>
      </c>
      <c r="C99" s="43" t="s">
        <v>2129</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7635</v>
      </c>
      <c r="B100" s="42" t="s">
        <v>2128</v>
      </c>
      <c r="C100" s="43" t="s">
        <v>2129</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17662</v>
      </c>
      <c r="B101" s="42" t="s">
        <v>2128</v>
      </c>
      <c r="C101" s="43" t="s">
        <v>2129</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8802</v>
      </c>
      <c r="B102" s="42" t="s">
        <v>2128</v>
      </c>
      <c r="C102" s="43" t="s">
        <v>2129</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17663</v>
      </c>
      <c r="B103" s="42" t="s">
        <v>2128</v>
      </c>
      <c r="C103" s="43" t="s">
        <v>2129</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5111</v>
      </c>
      <c r="B104" s="42" t="s">
        <v>2065</v>
      </c>
      <c r="C104" s="43" t="s">
        <v>2066</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17664</v>
      </c>
      <c r="B105" s="42" t="s">
        <v>2065</v>
      </c>
      <c r="C105" s="43" t="s">
        <v>2066</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17665</v>
      </c>
      <c r="B106" s="42" t="s">
        <v>2065</v>
      </c>
      <c r="C106" s="43" t="s">
        <v>2066</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17666</v>
      </c>
      <c r="B107" s="42" t="s">
        <v>2065</v>
      </c>
      <c r="C107" s="43" t="s">
        <v>2066</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17667</v>
      </c>
      <c r="B108" s="42" t="s">
        <v>2065</v>
      </c>
      <c r="C108" s="43" t="s">
        <v>2066</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17668</v>
      </c>
      <c r="B109" s="42" t="s">
        <v>2065</v>
      </c>
      <c r="C109" s="43" t="s">
        <v>2066</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4013</v>
      </c>
      <c r="B110" s="42" t="s">
        <v>2065</v>
      </c>
      <c r="C110" s="43" t="s">
        <v>2066</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17669</v>
      </c>
      <c r="B111" s="42" t="s">
        <v>2065</v>
      </c>
      <c r="C111" s="43" t="s">
        <v>2066</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17670</v>
      </c>
      <c r="B112" s="42" t="s">
        <v>2088</v>
      </c>
      <c r="C112" s="43" t="s">
        <v>2089</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8808</v>
      </c>
      <c r="B113" s="42" t="s">
        <v>2088</v>
      </c>
      <c r="C113" s="43" t="s">
        <v>2089</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5546</v>
      </c>
      <c r="B114" s="42" t="s">
        <v>2088</v>
      </c>
      <c r="C114" s="43" t="s">
        <v>2089</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17671</v>
      </c>
      <c r="B115" s="42" t="s">
        <v>2088</v>
      </c>
      <c r="C115" s="43" t="s">
        <v>2089</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17672</v>
      </c>
      <c r="B116" s="42" t="s">
        <v>2088</v>
      </c>
      <c r="C116" s="43" t="s">
        <v>2089</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17673</v>
      </c>
      <c r="B117" s="42" t="s">
        <v>2088</v>
      </c>
      <c r="C117" s="43" t="s">
        <v>2089</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17674</v>
      </c>
      <c r="B118" s="42" t="s">
        <v>2088</v>
      </c>
      <c r="C118" s="43" t="s">
        <v>2089</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17675</v>
      </c>
      <c r="B119" s="42" t="s">
        <v>2088</v>
      </c>
      <c r="C119" s="43" t="s">
        <v>2089</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17676</v>
      </c>
      <c r="B120" s="42" t="s">
        <v>2088</v>
      </c>
      <c r="C120" s="43" t="s">
        <v>2089</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17677</v>
      </c>
      <c r="B121" s="42" t="s">
        <v>2088</v>
      </c>
      <c r="C121" s="43" t="s">
        <v>2089</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17678</v>
      </c>
      <c r="B122" s="42" t="s">
        <v>2088</v>
      </c>
      <c r="C122" s="43" t="s">
        <v>2089</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17679</v>
      </c>
      <c r="B123" s="42" t="s">
        <v>2088</v>
      </c>
      <c r="C123" s="43" t="s">
        <v>2089</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7955</v>
      </c>
      <c r="B124" s="42" t="s">
        <v>2088</v>
      </c>
      <c r="C124" s="43" t="s">
        <v>2089</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17680</v>
      </c>
      <c r="B125" s="42" t="s">
        <v>2088</v>
      </c>
      <c r="C125" s="43" t="s">
        <v>2089</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17681</v>
      </c>
      <c r="B126" s="42" t="s">
        <v>2088</v>
      </c>
      <c r="C126" s="43" t="s">
        <v>2089</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17682</v>
      </c>
      <c r="B127" s="42" t="s">
        <v>2088</v>
      </c>
      <c r="C127" s="43" t="s">
        <v>2089</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17683</v>
      </c>
      <c r="B128" s="42" t="s">
        <v>2088</v>
      </c>
      <c r="C128" s="43" t="s">
        <v>2089</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17684</v>
      </c>
      <c r="B129" s="42" t="s">
        <v>2088</v>
      </c>
      <c r="C129" s="43" t="s">
        <v>2089</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6127</v>
      </c>
      <c r="B130" s="42" t="s">
        <v>2088</v>
      </c>
      <c r="C130" s="43" t="s">
        <v>2089</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12567</v>
      </c>
      <c r="B131" s="42" t="s">
        <v>2088</v>
      </c>
      <c r="C131" s="43" t="s">
        <v>2089</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17685</v>
      </c>
      <c r="B132" s="42" t="s">
        <v>2088</v>
      </c>
      <c r="C132" s="43" t="s">
        <v>2089</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17686</v>
      </c>
      <c r="B133" s="42" t="s">
        <v>2088</v>
      </c>
      <c r="C133" s="43" t="s">
        <v>2089</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11561</v>
      </c>
      <c r="B134" s="42" t="s">
        <v>2088</v>
      </c>
      <c r="C134" s="43" t="s">
        <v>2089</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17687</v>
      </c>
      <c r="B135" s="42" t="s">
        <v>2088</v>
      </c>
      <c r="C135" s="43" t="s">
        <v>2089</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17688</v>
      </c>
      <c r="B136" s="42" t="s">
        <v>2088</v>
      </c>
      <c r="C136" s="43" t="s">
        <v>2089</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8216</v>
      </c>
      <c r="B137" s="42" t="s">
        <v>2088</v>
      </c>
      <c r="C137" s="43" t="s">
        <v>2089</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17689</v>
      </c>
      <c r="B138" s="42" t="s">
        <v>2088</v>
      </c>
      <c r="C138" s="43" t="s">
        <v>2089</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17690</v>
      </c>
      <c r="B139" s="42" t="s">
        <v>2088</v>
      </c>
      <c r="C139" s="43" t="s">
        <v>2089</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17691</v>
      </c>
      <c r="B140" s="42" t="s">
        <v>2088</v>
      </c>
      <c r="C140" s="43" t="s">
        <v>2089</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7024</v>
      </c>
      <c r="B141" s="42" t="s">
        <v>2128</v>
      </c>
      <c r="C141" s="43" t="s">
        <v>2129</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17692</v>
      </c>
      <c r="B142" s="42" t="s">
        <v>2128</v>
      </c>
      <c r="C142" s="43" t="s">
        <v>2129</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17693</v>
      </c>
      <c r="B143" s="42" t="s">
        <v>2128</v>
      </c>
      <c r="C143" s="43" t="s">
        <v>2129</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3273</v>
      </c>
      <c r="B144" s="42" t="s">
        <v>2128</v>
      </c>
      <c r="C144" s="43" t="s">
        <v>2129</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6811</v>
      </c>
      <c r="B145" s="42" t="s">
        <v>2128</v>
      </c>
      <c r="C145" s="43" t="s">
        <v>2129</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17694</v>
      </c>
      <c r="B146" s="42" t="s">
        <v>2128</v>
      </c>
      <c r="C146" s="43" t="s">
        <v>2129</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17695</v>
      </c>
      <c r="B147" s="42" t="s">
        <v>2128</v>
      </c>
      <c r="C147" s="43" t="s">
        <v>2129</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9294</v>
      </c>
      <c r="B148" s="42" t="s">
        <v>2128</v>
      </c>
      <c r="C148" s="43" t="s">
        <v>2129</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3575</v>
      </c>
      <c r="B149" s="42" t="s">
        <v>2128</v>
      </c>
      <c r="C149" s="43" t="s">
        <v>2129</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17696</v>
      </c>
      <c r="B150" s="42" t="s">
        <v>2128</v>
      </c>
      <c r="C150" s="43" t="s">
        <v>2129</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17697</v>
      </c>
      <c r="B151" s="42" t="s">
        <v>2128</v>
      </c>
      <c r="C151" s="43" t="s">
        <v>2129</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5796</v>
      </c>
      <c r="B152" s="42" t="s">
        <v>2128</v>
      </c>
      <c r="C152" s="43" t="s">
        <v>2129</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17698</v>
      </c>
      <c r="B153" s="42" t="s">
        <v>2128</v>
      </c>
      <c r="C153" s="43" t="s">
        <v>2129</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17699</v>
      </c>
      <c r="B154" s="42" t="s">
        <v>2128</v>
      </c>
      <c r="C154" s="43" t="s">
        <v>2129</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17700</v>
      </c>
      <c r="B155" s="42" t="s">
        <v>2128</v>
      </c>
      <c r="C155" s="43" t="s">
        <v>2129</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5776</v>
      </c>
      <c r="B156" s="42" t="s">
        <v>2128</v>
      </c>
      <c r="C156" s="43" t="s">
        <v>2129</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12756</v>
      </c>
      <c r="B157" s="42" t="s">
        <v>2128</v>
      </c>
      <c r="C157" s="43" t="s">
        <v>2129</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17701</v>
      </c>
      <c r="B158" s="42" t="s">
        <v>2128</v>
      </c>
      <c r="C158" s="43" t="s">
        <v>2129</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3680</v>
      </c>
      <c r="B159" s="42" t="s">
        <v>2128</v>
      </c>
      <c r="C159" s="43" t="s">
        <v>2129</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3352</v>
      </c>
      <c r="B160" s="42" t="s">
        <v>2128</v>
      </c>
      <c r="C160" s="43" t="s">
        <v>2129</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17702</v>
      </c>
      <c r="B161" s="42" t="s">
        <v>2128</v>
      </c>
      <c r="C161" s="43" t="s">
        <v>2129</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17703</v>
      </c>
      <c r="B162" s="42" t="s">
        <v>2128</v>
      </c>
      <c r="C162" s="43" t="s">
        <v>2129</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3442</v>
      </c>
      <c r="B163" s="42" t="s">
        <v>2128</v>
      </c>
      <c r="C163" s="43" t="s">
        <v>2129</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4407</v>
      </c>
      <c r="B164" s="42" t="s">
        <v>2128</v>
      </c>
      <c r="C164" s="43" t="s">
        <v>2129</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3593</v>
      </c>
      <c r="B165" s="42" t="s">
        <v>2128</v>
      </c>
      <c r="C165" s="43" t="s">
        <v>2129</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5633</v>
      </c>
      <c r="B166" s="42" t="s">
        <v>2128</v>
      </c>
      <c r="C166" s="43" t="s">
        <v>2129</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3484</v>
      </c>
      <c r="B167" s="42" t="s">
        <v>2128</v>
      </c>
      <c r="C167" s="43" t="s">
        <v>2129</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17704</v>
      </c>
      <c r="B168" s="42" t="s">
        <v>2128</v>
      </c>
      <c r="C168" s="43" t="s">
        <v>2129</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4030</v>
      </c>
      <c r="B169" s="42" t="s">
        <v>2128</v>
      </c>
      <c r="C169" s="43" t="s">
        <v>2129</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4886</v>
      </c>
      <c r="B170" s="42" t="s">
        <v>2128</v>
      </c>
      <c r="C170" s="43" t="s">
        <v>2129</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12341</v>
      </c>
      <c r="B171" s="42" t="s">
        <v>2128</v>
      </c>
      <c r="C171" s="43" t="s">
        <v>2129</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17705</v>
      </c>
      <c r="B172" s="42" t="s">
        <v>2128</v>
      </c>
      <c r="C172" s="43" t="s">
        <v>2129</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3054</v>
      </c>
      <c r="B173" s="42" t="s">
        <v>2128</v>
      </c>
      <c r="C173" s="43" t="s">
        <v>2129</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3410</v>
      </c>
      <c r="B174" s="42" t="s">
        <v>2128</v>
      </c>
      <c r="C174" s="43" t="s">
        <v>2129</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3471</v>
      </c>
      <c r="B175" s="42" t="s">
        <v>2128</v>
      </c>
      <c r="C175" s="43" t="s">
        <v>2129</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3414</v>
      </c>
      <c r="B176" s="42" t="s">
        <v>2128</v>
      </c>
      <c r="C176" s="43" t="s">
        <v>2129</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17706</v>
      </c>
      <c r="B177" s="42" t="s">
        <v>2128</v>
      </c>
      <c r="C177" s="43" t="s">
        <v>2129</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17707</v>
      </c>
      <c r="B178" s="42" t="s">
        <v>2128</v>
      </c>
      <c r="C178" s="43" t="s">
        <v>2129</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17708</v>
      </c>
      <c r="B179" s="42" t="s">
        <v>2128</v>
      </c>
      <c r="C179" s="43" t="s">
        <v>2129</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4220</v>
      </c>
      <c r="B180" s="42" t="s">
        <v>2128</v>
      </c>
      <c r="C180" s="43" t="s">
        <v>2129</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12893</v>
      </c>
      <c r="B181" s="42" t="s">
        <v>2128</v>
      </c>
      <c r="C181" s="43" t="s">
        <v>2129</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4752</v>
      </c>
      <c r="B182" s="42" t="s">
        <v>2128</v>
      </c>
      <c r="C182" s="43" t="s">
        <v>2129</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17709</v>
      </c>
      <c r="B183" s="42" t="s">
        <v>2128</v>
      </c>
      <c r="C183" s="43" t="s">
        <v>2129</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8440</v>
      </c>
      <c r="B184" s="42" t="s">
        <v>2128</v>
      </c>
      <c r="C184" s="43" t="s">
        <v>2129</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5744</v>
      </c>
      <c r="B185" s="42" t="s">
        <v>2128</v>
      </c>
      <c r="C185" s="43" t="s">
        <v>2129</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17710</v>
      </c>
      <c r="B186" s="42" t="s">
        <v>2128</v>
      </c>
      <c r="C186" s="43" t="s">
        <v>2129</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3386</v>
      </c>
      <c r="B187" s="42" t="s">
        <v>2128</v>
      </c>
      <c r="C187" s="43" t="s">
        <v>2129</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7714</v>
      </c>
      <c r="B188" s="42" t="s">
        <v>2128</v>
      </c>
      <c r="C188" s="43" t="s">
        <v>2129</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11912</v>
      </c>
      <c r="B189" s="42" t="s">
        <v>2128</v>
      </c>
      <c r="C189" s="43" t="s">
        <v>2129</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17711</v>
      </c>
      <c r="B190" s="42" t="s">
        <v>2128</v>
      </c>
      <c r="C190" s="43" t="s">
        <v>2129</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4747</v>
      </c>
      <c r="B191" s="42" t="s">
        <v>2128</v>
      </c>
      <c r="C191" s="43" t="s">
        <v>2129</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3704</v>
      </c>
      <c r="B192" s="42" t="s">
        <v>2128</v>
      </c>
      <c r="C192" s="43" t="s">
        <v>2129</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17712</v>
      </c>
      <c r="B193" s="42" t="s">
        <v>2128</v>
      </c>
      <c r="C193" s="43" t="s">
        <v>2129</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3363</v>
      </c>
      <c r="B194" s="42" t="s">
        <v>2128</v>
      </c>
      <c r="C194" s="43" t="s">
        <v>2129</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5410</v>
      </c>
      <c r="B195" s="42" t="s">
        <v>2128</v>
      </c>
      <c r="C195" s="43" t="s">
        <v>2129</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17713</v>
      </c>
      <c r="B196" s="42" t="s">
        <v>2128</v>
      </c>
      <c r="C196" s="43" t="s">
        <v>2129</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17714</v>
      </c>
      <c r="B197" s="42" t="s">
        <v>2128</v>
      </c>
      <c r="C197" s="43" t="s">
        <v>2129</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12305</v>
      </c>
      <c r="B198" s="42" t="s">
        <v>2128</v>
      </c>
      <c r="C198" s="43" t="s">
        <v>2129</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17715</v>
      </c>
      <c r="B199" s="42" t="s">
        <v>2128</v>
      </c>
      <c r="C199" s="43" t="s">
        <v>2129</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3446</v>
      </c>
      <c r="B200" s="42" t="s">
        <v>2128</v>
      </c>
      <c r="C200" s="43" t="s">
        <v>2129</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6713</v>
      </c>
      <c r="B201" s="42" t="s">
        <v>2128</v>
      </c>
      <c r="C201" s="43" t="s">
        <v>2129</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17716</v>
      </c>
      <c r="B202" s="42" t="s">
        <v>2128</v>
      </c>
      <c r="C202" s="43" t="s">
        <v>2129</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7630</v>
      </c>
      <c r="B203" s="42" t="s">
        <v>2128</v>
      </c>
      <c r="C203" s="43" t="s">
        <v>2129</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17717</v>
      </c>
      <c r="B204" s="42" t="s">
        <v>2128</v>
      </c>
      <c r="C204" s="43" t="s">
        <v>2129</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12611</v>
      </c>
      <c r="B205" s="42" t="s">
        <v>2128</v>
      </c>
      <c r="C205" s="43" t="s">
        <v>2129</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17718</v>
      </c>
      <c r="B206" s="42" t="s">
        <v>2128</v>
      </c>
      <c r="C206" s="43" t="s">
        <v>2129</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3669</v>
      </c>
      <c r="B207" s="42" t="s">
        <v>2128</v>
      </c>
      <c r="C207" s="43" t="s">
        <v>2129</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5978</v>
      </c>
      <c r="B208" s="42" t="s">
        <v>2128</v>
      </c>
      <c r="C208" s="43" t="s">
        <v>2129</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17719</v>
      </c>
      <c r="B209" s="42" t="s">
        <v>2128</v>
      </c>
      <c r="C209" s="43" t="s">
        <v>2129</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17720</v>
      </c>
      <c r="B210" s="42" t="s">
        <v>2128</v>
      </c>
      <c r="C210" s="43" t="s">
        <v>2129</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8939</v>
      </c>
      <c r="B211" s="42" t="s">
        <v>2128</v>
      </c>
      <c r="C211" s="43" t="s">
        <v>2129</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5758</v>
      </c>
      <c r="B212" s="42" t="s">
        <v>2128</v>
      </c>
      <c r="C212" s="43" t="s">
        <v>2129</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17721</v>
      </c>
      <c r="B213" s="42" t="s">
        <v>2128</v>
      </c>
      <c r="C213" s="43" t="s">
        <v>2129</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17722</v>
      </c>
      <c r="B214" s="42" t="s">
        <v>2128</v>
      </c>
      <c r="C214" s="43" t="s">
        <v>2129</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17723</v>
      </c>
      <c r="B215" s="42" t="s">
        <v>2128</v>
      </c>
      <c r="C215" s="43" t="s">
        <v>2129</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17724</v>
      </c>
      <c r="B216" s="42" t="s">
        <v>2128</v>
      </c>
      <c r="C216" s="43" t="s">
        <v>2129</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17725</v>
      </c>
      <c r="B217" s="42" t="s">
        <v>2128</v>
      </c>
      <c r="C217" s="43" t="s">
        <v>2129</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17726</v>
      </c>
      <c r="B218" s="42" t="s">
        <v>2128</v>
      </c>
      <c r="C218" s="43" t="s">
        <v>2129</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17727</v>
      </c>
      <c r="B219" s="42" t="s">
        <v>2128</v>
      </c>
      <c r="C219" s="43" t="s">
        <v>2129</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17728</v>
      </c>
      <c r="B220" s="42" t="s">
        <v>2128</v>
      </c>
      <c r="C220" s="43" t="s">
        <v>2129</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13295</v>
      </c>
      <c r="B221" s="42" t="s">
        <v>2128</v>
      </c>
      <c r="C221" s="43" t="s">
        <v>2129</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3963</v>
      </c>
      <c r="B222" s="42" t="s">
        <v>2128</v>
      </c>
      <c r="C222" s="43" t="s">
        <v>2129</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17729</v>
      </c>
      <c r="B223" s="42" t="s">
        <v>2128</v>
      </c>
      <c r="C223" s="43" t="s">
        <v>2129</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17730</v>
      </c>
      <c r="B224" s="42" t="s">
        <v>2128</v>
      </c>
      <c r="C224" s="43" t="s">
        <v>2129</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17731</v>
      </c>
      <c r="B225" s="42" t="s">
        <v>2128</v>
      </c>
      <c r="C225" s="43" t="s">
        <v>2129</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4403</v>
      </c>
      <c r="B226" s="42" t="s">
        <v>2128</v>
      </c>
      <c r="C226" s="43" t="s">
        <v>2129</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4437</v>
      </c>
      <c r="B227" s="42" t="s">
        <v>2128</v>
      </c>
      <c r="C227" s="43" t="s">
        <v>2129</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17732</v>
      </c>
      <c r="B228" s="42" t="s">
        <v>2128</v>
      </c>
      <c r="C228" s="43" t="s">
        <v>2129</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4465</v>
      </c>
      <c r="B229" s="42" t="s">
        <v>2128</v>
      </c>
      <c r="C229" s="43" t="s">
        <v>2129</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3269</v>
      </c>
      <c r="B230" s="42" t="s">
        <v>2128</v>
      </c>
      <c r="C230" s="43" t="s">
        <v>2129</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3251</v>
      </c>
      <c r="B231" s="42" t="s">
        <v>2128</v>
      </c>
      <c r="C231" s="43" t="s">
        <v>2129</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5140</v>
      </c>
      <c r="B232" s="42" t="s">
        <v>2128</v>
      </c>
      <c r="C232" s="43" t="s">
        <v>2129</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6056</v>
      </c>
      <c r="B233" s="42" t="s">
        <v>2128</v>
      </c>
      <c r="C233" s="43" t="s">
        <v>2129</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5121</v>
      </c>
      <c r="B234" s="42" t="s">
        <v>2128</v>
      </c>
      <c r="C234" s="43" t="s">
        <v>2129</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17733</v>
      </c>
      <c r="B235" s="42" t="s">
        <v>2128</v>
      </c>
      <c r="C235" s="43" t="s">
        <v>2129</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17734</v>
      </c>
      <c r="B236" s="42" t="s">
        <v>2128</v>
      </c>
      <c r="C236" s="43" t="s">
        <v>2129</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17735</v>
      </c>
      <c r="B237" s="42" t="s">
        <v>2128</v>
      </c>
      <c r="C237" s="43" t="s">
        <v>2129</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17736</v>
      </c>
      <c r="B238" s="42" t="s">
        <v>2128</v>
      </c>
      <c r="C238" s="43" t="s">
        <v>2129</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17737</v>
      </c>
      <c r="B239" s="42" t="s">
        <v>2128</v>
      </c>
      <c r="C239" s="43" t="s">
        <v>2129</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17738</v>
      </c>
      <c r="B240" s="42" t="s">
        <v>2128</v>
      </c>
      <c r="C240" s="43" t="s">
        <v>2129</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3506</v>
      </c>
      <c r="B241" s="42" t="s">
        <v>2128</v>
      </c>
      <c r="C241" s="43" t="s">
        <v>2129</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3390</v>
      </c>
      <c r="B242" s="42" t="s">
        <v>2128</v>
      </c>
      <c r="C242" s="43" t="s">
        <v>2129</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6122</v>
      </c>
      <c r="B243" s="42" t="s">
        <v>2128</v>
      </c>
      <c r="C243" s="43" t="s">
        <v>2129</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17739</v>
      </c>
      <c r="B244" s="42" t="s">
        <v>2128</v>
      </c>
      <c r="C244" s="43" t="s">
        <v>2129</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5610</v>
      </c>
      <c r="B245" s="42" t="s">
        <v>2128</v>
      </c>
      <c r="C245" s="43" t="s">
        <v>2129</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5879</v>
      </c>
      <c r="B246" s="42" t="s">
        <v>2128</v>
      </c>
      <c r="C246" s="43" t="s">
        <v>2129</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10111</v>
      </c>
      <c r="B247" s="42" t="s">
        <v>2128</v>
      </c>
      <c r="C247" s="43" t="s">
        <v>2129</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17740</v>
      </c>
      <c r="B248" s="42" t="s">
        <v>2128</v>
      </c>
      <c r="C248" s="43" t="s">
        <v>2129</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17741</v>
      </c>
      <c r="B249" s="42" t="s">
        <v>2128</v>
      </c>
      <c r="C249" s="43" t="s">
        <v>2129</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3419</v>
      </c>
      <c r="B250" s="42" t="s">
        <v>2128</v>
      </c>
      <c r="C250" s="43" t="s">
        <v>2129</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10394</v>
      </c>
      <c r="B251" s="42" t="s">
        <v>2128</v>
      </c>
      <c r="C251" s="43" t="s">
        <v>2129</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17742</v>
      </c>
      <c r="B252" s="42" t="s">
        <v>2128</v>
      </c>
      <c r="C252" s="43" t="s">
        <v>2129</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17743</v>
      </c>
      <c r="B253" s="42" t="s">
        <v>2128</v>
      </c>
      <c r="C253" s="43" t="s">
        <v>2129</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9520</v>
      </c>
      <c r="B254" s="42" t="s">
        <v>2128</v>
      </c>
      <c r="C254" s="43" t="s">
        <v>2129</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6111</v>
      </c>
      <c r="B255" s="42" t="s">
        <v>2128</v>
      </c>
      <c r="C255" s="43" t="s">
        <v>2129</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6475</v>
      </c>
      <c r="B256" s="42" t="s">
        <v>2128</v>
      </c>
      <c r="C256" s="43" t="s">
        <v>2129</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17744</v>
      </c>
      <c r="B257" s="42" t="s">
        <v>2128</v>
      </c>
      <c r="C257" s="43" t="s">
        <v>2129</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17745</v>
      </c>
      <c r="B258" s="42" t="s">
        <v>2128</v>
      </c>
      <c r="C258" s="43" t="s">
        <v>2129</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17746</v>
      </c>
      <c r="B259" s="42" t="s">
        <v>2128</v>
      </c>
      <c r="C259" s="43" t="s">
        <v>2129</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17747</v>
      </c>
      <c r="B260" s="42" t="s">
        <v>2128</v>
      </c>
      <c r="C260" s="43" t="s">
        <v>2129</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10878</v>
      </c>
      <c r="B261" s="42" t="s">
        <v>2128</v>
      </c>
      <c r="C261" s="43" t="s">
        <v>2129</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2969</v>
      </c>
      <c r="B262" s="42" t="s">
        <v>2128</v>
      </c>
      <c r="C262" s="43" t="s">
        <v>2129</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6465</v>
      </c>
      <c r="B263" s="42" t="s">
        <v>2128</v>
      </c>
      <c r="C263" s="43" t="s">
        <v>2129</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17748</v>
      </c>
      <c r="B264" s="42" t="s">
        <v>2128</v>
      </c>
      <c r="C264" s="43" t="s">
        <v>2129</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17749</v>
      </c>
      <c r="B265" s="42" t="s">
        <v>2128</v>
      </c>
      <c r="C265" s="43" t="s">
        <v>2129</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17750</v>
      </c>
      <c r="B266" s="42" t="s">
        <v>2128</v>
      </c>
      <c r="C266" s="43" t="s">
        <v>2129</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11945</v>
      </c>
      <c r="B267" s="42" t="s">
        <v>2128</v>
      </c>
      <c r="C267" s="43" t="s">
        <v>2129</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5018</v>
      </c>
      <c r="B268" s="42" t="s">
        <v>2128</v>
      </c>
      <c r="C268" s="43" t="s">
        <v>2129</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17751</v>
      </c>
      <c r="B269" s="42" t="s">
        <v>2128</v>
      </c>
      <c r="C269" s="43" t="s">
        <v>2129</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17752</v>
      </c>
      <c r="B270" s="42" t="s">
        <v>2128</v>
      </c>
      <c r="C270" s="43" t="s">
        <v>2129</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17753</v>
      </c>
      <c r="B271" s="42" t="s">
        <v>2128</v>
      </c>
      <c r="C271" s="43" t="s">
        <v>2129</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9480</v>
      </c>
      <c r="B272" s="42" t="s">
        <v>2128</v>
      </c>
      <c r="C272" s="43" t="s">
        <v>2129</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4894</v>
      </c>
      <c r="B273" s="42" t="s">
        <v>2128</v>
      </c>
      <c r="C273" s="43" t="s">
        <v>2129</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17754</v>
      </c>
      <c r="B274" s="42" t="s">
        <v>2128</v>
      </c>
      <c r="C274" s="43" t="s">
        <v>2129</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4451</v>
      </c>
      <c r="B275" s="42" t="s">
        <v>2128</v>
      </c>
      <c r="C275" s="43" t="s">
        <v>2129</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4929</v>
      </c>
      <c r="B276" s="42" t="s">
        <v>2128</v>
      </c>
      <c r="C276" s="43" t="s">
        <v>2129</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17755</v>
      </c>
      <c r="B277" s="42" t="s">
        <v>2128</v>
      </c>
      <c r="C277" s="43" t="s">
        <v>2129</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6470</v>
      </c>
      <c r="B278" s="42" t="s">
        <v>2128</v>
      </c>
      <c r="C278" s="43" t="s">
        <v>2129</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17756</v>
      </c>
      <c r="B279" s="42" t="s">
        <v>2128</v>
      </c>
      <c r="C279" s="43" t="s">
        <v>2129</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17757</v>
      </c>
      <c r="B280" s="42" t="s">
        <v>2128</v>
      </c>
      <c r="C280" s="43" t="s">
        <v>2129</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10126</v>
      </c>
      <c r="B281" s="42" t="s">
        <v>2128</v>
      </c>
      <c r="C281" s="43" t="s">
        <v>2129</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17758</v>
      </c>
      <c r="B282" s="42" t="s">
        <v>2128</v>
      </c>
      <c r="C282" s="43" t="s">
        <v>2129</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17759</v>
      </c>
      <c r="B283" s="42" t="s">
        <v>2128</v>
      </c>
      <c r="C283" s="43" t="s">
        <v>2129</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6459</v>
      </c>
      <c r="B284" s="42" t="s">
        <v>2128</v>
      </c>
      <c r="C284" s="43" t="s">
        <v>2129</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17760</v>
      </c>
      <c r="B285" s="42" t="s">
        <v>2128</v>
      </c>
      <c r="C285" s="43" t="s">
        <v>2129</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17761</v>
      </c>
      <c r="B286" s="42" t="s">
        <v>2128</v>
      </c>
      <c r="C286" s="43" t="s">
        <v>2129</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17762</v>
      </c>
      <c r="B287" s="42" t="s">
        <v>2128</v>
      </c>
      <c r="C287" s="43" t="s">
        <v>2129</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17763</v>
      </c>
      <c r="B288" s="42" t="s">
        <v>2128</v>
      </c>
      <c r="C288" s="43" t="s">
        <v>2129</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12964</v>
      </c>
      <c r="B289" s="42" t="s">
        <v>2128</v>
      </c>
      <c r="C289" s="43" t="s">
        <v>2129</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17764</v>
      </c>
      <c r="B290" s="42" t="s">
        <v>2128</v>
      </c>
      <c r="C290" s="43" t="s">
        <v>2129</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6924</v>
      </c>
      <c r="B291" s="42" t="s">
        <v>2128</v>
      </c>
      <c r="C291" s="43" t="s">
        <v>2129</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9350</v>
      </c>
      <c r="B292" s="42" t="s">
        <v>2128</v>
      </c>
      <c r="C292" s="43" t="s">
        <v>2129</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11180</v>
      </c>
      <c r="B293" s="42" t="s">
        <v>2128</v>
      </c>
      <c r="C293" s="43" t="s">
        <v>2129</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4309</v>
      </c>
      <c r="B294" s="42" t="s">
        <v>2128</v>
      </c>
      <c r="C294" s="43" t="s">
        <v>2129</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17765</v>
      </c>
      <c r="B295" s="42" t="s">
        <v>2128</v>
      </c>
      <c r="C295" s="43" t="s">
        <v>2129</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3641</v>
      </c>
      <c r="B296" s="42" t="s">
        <v>2128</v>
      </c>
      <c r="C296" s="43" t="s">
        <v>2129</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4280</v>
      </c>
      <c r="B297" s="42" t="s">
        <v>2128</v>
      </c>
      <c r="C297" s="43" t="s">
        <v>2129</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4880</v>
      </c>
      <c r="B298" s="42" t="s">
        <v>2128</v>
      </c>
      <c r="C298" s="43" t="s">
        <v>2129</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11209</v>
      </c>
      <c r="B299" s="42" t="s">
        <v>2128</v>
      </c>
      <c r="C299" s="43" t="s">
        <v>2129</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6645</v>
      </c>
      <c r="B300" s="42" t="s">
        <v>2128</v>
      </c>
      <c r="C300" s="43" t="s">
        <v>2129</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4264</v>
      </c>
      <c r="B301" s="42" t="s">
        <v>2128</v>
      </c>
      <c r="C301" s="43" t="s">
        <v>2129</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3633</v>
      </c>
      <c r="B302" s="42" t="s">
        <v>2128</v>
      </c>
      <c r="C302" s="43" t="s">
        <v>2129</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17766</v>
      </c>
      <c r="B303" s="42" t="s">
        <v>2065</v>
      </c>
      <c r="C303" s="43" t="s">
        <v>2066</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7072</v>
      </c>
      <c r="B304" s="42" t="s">
        <v>2065</v>
      </c>
      <c r="C304" s="43" t="s">
        <v>2066</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5406</v>
      </c>
      <c r="B305" s="42" t="s">
        <v>2065</v>
      </c>
      <c r="C305" s="43" t="s">
        <v>2066</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3082</v>
      </c>
      <c r="B306" s="42" t="s">
        <v>2065</v>
      </c>
      <c r="C306" s="43" t="s">
        <v>2066</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9009</v>
      </c>
      <c r="B307" s="42" t="s">
        <v>2065</v>
      </c>
      <c r="C307" s="43" t="s">
        <v>2066</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17767</v>
      </c>
      <c r="B308" s="42" t="s">
        <v>2065</v>
      </c>
      <c r="C308" s="43" t="s">
        <v>2066</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17768</v>
      </c>
      <c r="B309" s="42" t="s">
        <v>2088</v>
      </c>
      <c r="C309" s="43" t="s">
        <v>2089</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12828</v>
      </c>
      <c r="B310" s="42" t="s">
        <v>2088</v>
      </c>
      <c r="C310" s="43" t="s">
        <v>2089</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17769</v>
      </c>
      <c r="B311" s="42" t="s">
        <v>2088</v>
      </c>
      <c r="C311" s="43" t="s">
        <v>2089</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3255</v>
      </c>
      <c r="B312" s="42" t="s">
        <v>2088</v>
      </c>
      <c r="C312" s="43" t="s">
        <v>2089</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17770</v>
      </c>
      <c r="B313" s="42" t="s">
        <v>2088</v>
      </c>
      <c r="C313" s="43" t="s">
        <v>2089</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17771</v>
      </c>
      <c r="B314" s="42" t="s">
        <v>2088</v>
      </c>
      <c r="C314" s="43" t="s">
        <v>2089</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17772</v>
      </c>
      <c r="B315" s="42" t="s">
        <v>2088</v>
      </c>
      <c r="C315" s="43" t="s">
        <v>2089</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9771</v>
      </c>
      <c r="B316" s="42" t="s">
        <v>2088</v>
      </c>
      <c r="C316" s="43" t="s">
        <v>2089</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17773</v>
      </c>
      <c r="B317" s="42" t="s">
        <v>2088</v>
      </c>
      <c r="C317" s="43" t="s">
        <v>2089</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17774</v>
      </c>
      <c r="B318" s="42" t="s">
        <v>2088</v>
      </c>
      <c r="C318" s="43" t="s">
        <v>2089</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3498</v>
      </c>
      <c r="B319" s="42" t="s">
        <v>2088</v>
      </c>
      <c r="C319" s="43" t="s">
        <v>2089</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7881</v>
      </c>
      <c r="B320" s="42" t="s">
        <v>2088</v>
      </c>
      <c r="C320" s="43" t="s">
        <v>2089</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17775</v>
      </c>
      <c r="B321" s="42" t="s">
        <v>2088</v>
      </c>
      <c r="C321" s="43" t="s">
        <v>2089</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7271</v>
      </c>
      <c r="B322" s="42" t="s">
        <v>2088</v>
      </c>
      <c r="C322" s="43" t="s">
        <v>2089</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17776</v>
      </c>
      <c r="B323" s="42" t="s">
        <v>2088</v>
      </c>
      <c r="C323" s="43" t="s">
        <v>2089</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17777</v>
      </c>
      <c r="B324" s="42" t="s">
        <v>2088</v>
      </c>
      <c r="C324" s="43" t="s">
        <v>2089</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3378</v>
      </c>
      <c r="B325" s="42" t="s">
        <v>2088</v>
      </c>
      <c r="C325" s="43" t="s">
        <v>2089</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3333</v>
      </c>
      <c r="B326" s="42" t="s">
        <v>2088</v>
      </c>
      <c r="C326" s="43" t="s">
        <v>2089</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17778</v>
      </c>
      <c r="B327" s="42" t="s">
        <v>2088</v>
      </c>
      <c r="C327" s="43" t="s">
        <v>2089</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3450</v>
      </c>
      <c r="B328" s="42" t="s">
        <v>2088</v>
      </c>
      <c r="C328" s="43" t="s">
        <v>2089</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5312</v>
      </c>
      <c r="B329" s="42" t="s">
        <v>2088</v>
      </c>
      <c r="C329" s="43" t="s">
        <v>2089</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10026</v>
      </c>
      <c r="B330" s="42" t="s">
        <v>2088</v>
      </c>
      <c r="C330" s="43" t="s">
        <v>2089</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6273</v>
      </c>
      <c r="B331" s="42" t="s">
        <v>2088</v>
      </c>
      <c r="C331" s="43" t="s">
        <v>2089</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17779</v>
      </c>
      <c r="B332" s="42" t="s">
        <v>2088</v>
      </c>
      <c r="C332" s="43" t="s">
        <v>2089</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13253</v>
      </c>
      <c r="B333" s="42" t="s">
        <v>2088</v>
      </c>
      <c r="C333" s="43" t="s">
        <v>2089</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17780</v>
      </c>
      <c r="B334" s="42" t="s">
        <v>2088</v>
      </c>
      <c r="C334" s="43" t="s">
        <v>2089</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17781</v>
      </c>
      <c r="B335" s="42" t="s">
        <v>2088</v>
      </c>
      <c r="C335" s="43" t="s">
        <v>2089</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17782</v>
      </c>
      <c r="B336" s="42" t="s">
        <v>2088</v>
      </c>
      <c r="C336" s="43" t="s">
        <v>2089</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17783</v>
      </c>
      <c r="B337" s="42" t="s">
        <v>2088</v>
      </c>
      <c r="C337" s="43" t="s">
        <v>2089</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12262</v>
      </c>
      <c r="B338" s="42" t="s">
        <v>2088</v>
      </c>
      <c r="C338" s="43" t="s">
        <v>2089</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17784</v>
      </c>
      <c r="B339" s="42" t="s">
        <v>2088</v>
      </c>
      <c r="C339" s="43" t="s">
        <v>2089</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17785</v>
      </c>
      <c r="B340" s="42" t="s">
        <v>2088</v>
      </c>
      <c r="C340" s="43" t="s">
        <v>2089</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7279</v>
      </c>
      <c r="B341" s="42" t="s">
        <v>2088</v>
      </c>
      <c r="C341" s="43" t="s">
        <v>2089</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17786</v>
      </c>
      <c r="B342" s="42" t="s">
        <v>2088</v>
      </c>
      <c r="C342" s="43" t="s">
        <v>2089</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17787</v>
      </c>
      <c r="B343" s="42" t="s">
        <v>2088</v>
      </c>
      <c r="C343" s="43" t="s">
        <v>2089</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17788</v>
      </c>
      <c r="B344" s="42" t="s">
        <v>2088</v>
      </c>
      <c r="C344" s="43" t="s">
        <v>2089</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17789</v>
      </c>
      <c r="B345" s="42" t="s">
        <v>2088</v>
      </c>
      <c r="C345" s="43" t="s">
        <v>2089</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9739</v>
      </c>
      <c r="B346" s="42" t="s">
        <v>2088</v>
      </c>
      <c r="C346" s="43" t="s">
        <v>2089</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4487</v>
      </c>
      <c r="B347" s="42" t="s">
        <v>2088</v>
      </c>
      <c r="C347" s="43" t="s">
        <v>2089</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17790</v>
      </c>
      <c r="B348" s="42" t="s">
        <v>2088</v>
      </c>
      <c r="C348" s="43" t="s">
        <v>2089</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12084</v>
      </c>
      <c r="B349" s="42" t="s">
        <v>2088</v>
      </c>
      <c r="C349" s="43" t="s">
        <v>2089</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17791</v>
      </c>
      <c r="B350" s="42" t="s">
        <v>2088</v>
      </c>
      <c r="C350" s="43" t="s">
        <v>2089</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17792</v>
      </c>
      <c r="B351" s="42" t="s">
        <v>2088</v>
      </c>
      <c r="C351" s="43" t="s">
        <v>2089</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17793</v>
      </c>
      <c r="B352" s="42" t="s">
        <v>2088</v>
      </c>
      <c r="C352" s="43" t="s">
        <v>2089</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17794</v>
      </c>
      <c r="B353" s="42" t="s">
        <v>2088</v>
      </c>
      <c r="C353" s="43" t="s">
        <v>2089</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17795</v>
      </c>
      <c r="B354" s="42" t="s">
        <v>2088</v>
      </c>
      <c r="C354" s="43" t="s">
        <v>2089</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17796</v>
      </c>
      <c r="B355" s="42" t="s">
        <v>2088</v>
      </c>
      <c r="C355" s="43" t="s">
        <v>2089</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17797</v>
      </c>
      <c r="B356" s="42" t="s">
        <v>2088</v>
      </c>
      <c r="C356" s="43" t="s">
        <v>2089</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3329</v>
      </c>
      <c r="B357" s="42" t="s">
        <v>2088</v>
      </c>
      <c r="C357" s="43" t="s">
        <v>2089</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4814</v>
      </c>
      <c r="B358" s="42" t="s">
        <v>2088</v>
      </c>
      <c r="C358" s="43" t="s">
        <v>2089</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17798</v>
      </c>
      <c r="B359" s="42" t="s">
        <v>2088</v>
      </c>
      <c r="C359" s="43" t="s">
        <v>2089</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17799</v>
      </c>
      <c r="B360" s="42" t="s">
        <v>2088</v>
      </c>
      <c r="C360" s="43" t="s">
        <v>2089</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11428</v>
      </c>
      <c r="B361" s="42" t="s">
        <v>2088</v>
      </c>
      <c r="C361" s="43" t="s">
        <v>2089</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17800</v>
      </c>
      <c r="B362" s="42" t="s">
        <v>2088</v>
      </c>
      <c r="C362" s="43" t="s">
        <v>2089</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17801</v>
      </c>
      <c r="B363" s="42" t="s">
        <v>2088</v>
      </c>
      <c r="C363" s="43" t="s">
        <v>2089</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3213</v>
      </c>
      <c r="B364" s="42" t="s">
        <v>2088</v>
      </c>
      <c r="C364" s="43" t="s">
        <v>2089</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17802</v>
      </c>
      <c r="B365" s="42" t="s">
        <v>2088</v>
      </c>
      <c r="C365" s="43" t="s">
        <v>2089</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13625</v>
      </c>
      <c r="B366" s="42" t="s">
        <v>2128</v>
      </c>
      <c r="C366" s="43" t="s">
        <v>2129</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10473</v>
      </c>
      <c r="B367" s="42" t="s">
        <v>2128</v>
      </c>
      <c r="C367" s="43" t="s">
        <v>2129</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4340</v>
      </c>
      <c r="B368" s="42" t="s">
        <v>2128</v>
      </c>
      <c r="C368" s="43" t="s">
        <v>2129</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4037</v>
      </c>
      <c r="B369" s="42" t="s">
        <v>2128</v>
      </c>
      <c r="C369" s="43" t="s">
        <v>2129</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3284</v>
      </c>
      <c r="B370" s="42" t="s">
        <v>2128</v>
      </c>
      <c r="C370" s="43" t="s">
        <v>2129</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17803</v>
      </c>
      <c r="B371" s="42" t="s">
        <v>2128</v>
      </c>
      <c r="C371" s="43" t="s">
        <v>2129</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17804</v>
      </c>
      <c r="B372" s="42" t="s">
        <v>2128</v>
      </c>
      <c r="C372" s="43" t="s">
        <v>2129</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9673</v>
      </c>
      <c r="B373" s="42" t="s">
        <v>2128</v>
      </c>
      <c r="C373" s="43" t="s">
        <v>2129</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3959</v>
      </c>
      <c r="B374" s="42" t="s">
        <v>2128</v>
      </c>
      <c r="C374" s="43" t="s">
        <v>2129</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4546</v>
      </c>
      <c r="B375" s="42" t="s">
        <v>2128</v>
      </c>
      <c r="C375" s="43" t="s">
        <v>2129</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17805</v>
      </c>
      <c r="B376" s="42" t="s">
        <v>2128</v>
      </c>
      <c r="C376" s="43" t="s">
        <v>2129</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10151</v>
      </c>
      <c r="B377" s="42" t="s">
        <v>2128</v>
      </c>
      <c r="C377" s="43" t="s">
        <v>2129</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17806</v>
      </c>
      <c r="B378" s="42" t="s">
        <v>2128</v>
      </c>
      <c r="C378" s="43" t="s">
        <v>2129</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17807</v>
      </c>
      <c r="B379" s="42" t="s">
        <v>2128</v>
      </c>
      <c r="C379" s="43" t="s">
        <v>2129</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5073</v>
      </c>
      <c r="B380" s="42" t="s">
        <v>2128</v>
      </c>
      <c r="C380" s="43" t="s">
        <v>2129</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6116</v>
      </c>
      <c r="B381" s="42" t="s">
        <v>2128</v>
      </c>
      <c r="C381" s="43" t="s">
        <v>2129</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17808</v>
      </c>
      <c r="B382" s="42" t="s">
        <v>2128</v>
      </c>
      <c r="C382" s="43" t="s">
        <v>2129</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5766</v>
      </c>
      <c r="B383" s="42" t="s">
        <v>2128</v>
      </c>
      <c r="C383" s="43" t="s">
        <v>2129</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7140</v>
      </c>
      <c r="B384" s="42" t="s">
        <v>2128</v>
      </c>
      <c r="C384" s="43" t="s">
        <v>2129</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17809</v>
      </c>
      <c r="B385" s="42" t="s">
        <v>2128</v>
      </c>
      <c r="C385" s="43" t="s">
        <v>2129</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4739</v>
      </c>
      <c r="B386" s="42" t="s">
        <v>2128</v>
      </c>
      <c r="C386" s="43" t="s">
        <v>2129</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17810</v>
      </c>
      <c r="B387" s="42" t="s">
        <v>2128</v>
      </c>
      <c r="C387" s="43" t="s">
        <v>2129</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7150</v>
      </c>
      <c r="B388" s="42" t="s">
        <v>2128</v>
      </c>
      <c r="C388" s="43" t="s">
        <v>2129</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7696</v>
      </c>
      <c r="B389" s="42" t="s">
        <v>2128</v>
      </c>
      <c r="C389" s="43" t="s">
        <v>2129</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17811</v>
      </c>
      <c r="B390" s="42" t="s">
        <v>2128</v>
      </c>
      <c r="C390" s="43" t="s">
        <v>2129</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17812</v>
      </c>
      <c r="B391" s="42" t="s">
        <v>2128</v>
      </c>
      <c r="C391" s="43" t="s">
        <v>2129</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17813</v>
      </c>
      <c r="B392" s="42" t="s">
        <v>2128</v>
      </c>
      <c r="C392" s="43" t="s">
        <v>2129</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17814</v>
      </c>
      <c r="B393" s="42" t="s">
        <v>2128</v>
      </c>
      <c r="C393" s="43" t="s">
        <v>2129</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17815</v>
      </c>
      <c r="B394" s="42" t="s">
        <v>2128</v>
      </c>
      <c r="C394" s="43" t="s">
        <v>2129</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4772</v>
      </c>
      <c r="B395" s="42" t="s">
        <v>2128</v>
      </c>
      <c r="C395" s="43" t="s">
        <v>2129</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6824</v>
      </c>
      <c r="B396" s="42" t="s">
        <v>2128</v>
      </c>
      <c r="C396" s="43" t="s">
        <v>2129</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6153</v>
      </c>
      <c r="B397" s="42" t="s">
        <v>2128</v>
      </c>
      <c r="C397" s="43" t="s">
        <v>2129</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10493</v>
      </c>
      <c r="B398" s="42" t="s">
        <v>2128</v>
      </c>
      <c r="C398" s="43" t="s">
        <v>2129</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6261</v>
      </c>
      <c r="B399" s="42" t="s">
        <v>2128</v>
      </c>
      <c r="C399" s="43" t="s">
        <v>2129</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5557</v>
      </c>
      <c r="B400" s="42" t="s">
        <v>2128</v>
      </c>
      <c r="C400" s="43" t="s">
        <v>2129</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13185</v>
      </c>
      <c r="B401" s="42" t="s">
        <v>2128</v>
      </c>
      <c r="C401" s="43" t="s">
        <v>2129</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5621</v>
      </c>
      <c r="B402" s="42" t="s">
        <v>2128</v>
      </c>
      <c r="C402" s="43" t="s">
        <v>2129</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17816</v>
      </c>
      <c r="B403" s="42" t="s">
        <v>2128</v>
      </c>
      <c r="C403" s="43" t="s">
        <v>2129</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17817</v>
      </c>
      <c r="B404" s="42" t="s">
        <v>2128</v>
      </c>
      <c r="C404" s="43" t="s">
        <v>2129</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8460</v>
      </c>
      <c r="B405" s="42" t="s">
        <v>2128</v>
      </c>
      <c r="C405" s="43" t="s">
        <v>2129</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6067</v>
      </c>
      <c r="B406" s="42" t="s">
        <v>2128</v>
      </c>
      <c r="C406" s="43" t="s">
        <v>2129</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3637</v>
      </c>
      <c r="B407" s="42" t="s">
        <v>2128</v>
      </c>
      <c r="C407" s="43" t="s">
        <v>2129</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8934</v>
      </c>
      <c r="B408" s="42" t="s">
        <v>2128</v>
      </c>
      <c r="C408" s="43" t="s">
        <v>2129</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17818</v>
      </c>
      <c r="B409" s="42" t="s">
        <v>2128</v>
      </c>
      <c r="C409" s="43" t="s">
        <v>2129</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5155</v>
      </c>
      <c r="B410" s="42" t="s">
        <v>2128</v>
      </c>
      <c r="C410" s="43" t="s">
        <v>2129</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6633</v>
      </c>
      <c r="B411" s="42" t="s">
        <v>2128</v>
      </c>
      <c r="C411" s="43" t="s">
        <v>2129</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7377</v>
      </c>
      <c r="B412" s="42" t="s">
        <v>2128</v>
      </c>
      <c r="C412" s="43" t="s">
        <v>2129</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11302</v>
      </c>
      <c r="B413" s="42" t="s">
        <v>2128</v>
      </c>
      <c r="C413" s="43" t="s">
        <v>2129</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3003</v>
      </c>
      <c r="B414" s="42" t="s">
        <v>2128</v>
      </c>
      <c r="C414" s="43" t="s">
        <v>2129</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11577</v>
      </c>
      <c r="B415" s="42" t="s">
        <v>2128</v>
      </c>
      <c r="C415" s="43" t="s">
        <v>2129</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5382</v>
      </c>
      <c r="B416" s="42" t="s">
        <v>2128</v>
      </c>
      <c r="C416" s="43" t="s">
        <v>2129</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3434</v>
      </c>
      <c r="B417" s="42" t="s">
        <v>2128</v>
      </c>
      <c r="C417" s="43" t="s">
        <v>2129</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6795</v>
      </c>
      <c r="B418" s="42" t="s">
        <v>2128</v>
      </c>
      <c r="C418" s="43" t="s">
        <v>2129</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3382</v>
      </c>
      <c r="B419" s="42" t="s">
        <v>2128</v>
      </c>
      <c r="C419" s="43" t="s">
        <v>2129</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8194</v>
      </c>
      <c r="B420" s="42" t="s">
        <v>2128</v>
      </c>
      <c r="C420" s="43" t="s">
        <v>2129</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3729</v>
      </c>
      <c r="B421" s="42" t="s">
        <v>2128</v>
      </c>
      <c r="C421" s="43" t="s">
        <v>2129</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4433</v>
      </c>
      <c r="B422" s="42" t="s">
        <v>2128</v>
      </c>
      <c r="C422" s="43" t="s">
        <v>2129</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3625</v>
      </c>
      <c r="B423" s="42" t="s">
        <v>2128</v>
      </c>
      <c r="C423" s="43" t="s">
        <v>2129</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2964</v>
      </c>
      <c r="B424" s="42" t="s">
        <v>2128</v>
      </c>
      <c r="C424" s="43" t="s">
        <v>2129</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10039</v>
      </c>
      <c r="B425" s="42" t="s">
        <v>2128</v>
      </c>
      <c r="C425" s="43" t="s">
        <v>2129</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5023</v>
      </c>
      <c r="B426" s="42" t="s">
        <v>2128</v>
      </c>
      <c r="C426" s="43" t="s">
        <v>2129</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5368</v>
      </c>
      <c r="B427" s="42" t="s">
        <v>2128</v>
      </c>
      <c r="C427" s="43" t="s">
        <v>2129</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17819</v>
      </c>
      <c r="B428" s="42" t="s">
        <v>2128</v>
      </c>
      <c r="C428" s="43" t="s">
        <v>2129</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17820</v>
      </c>
      <c r="B429" s="42" t="s">
        <v>2128</v>
      </c>
      <c r="C429" s="43" t="s">
        <v>2129</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7009</v>
      </c>
      <c r="B430" s="42" t="s">
        <v>2128</v>
      </c>
      <c r="C430" s="43" t="s">
        <v>2129</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3579</v>
      </c>
      <c r="B431" s="42" t="s">
        <v>2128</v>
      </c>
      <c r="C431" s="43" t="s">
        <v>2129</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6532</v>
      </c>
      <c r="B432" s="42" t="s">
        <v>2128</v>
      </c>
      <c r="C432" s="43" t="s">
        <v>2129</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3165</v>
      </c>
      <c r="B433" s="42" t="s">
        <v>2128</v>
      </c>
      <c r="C433" s="43" t="s">
        <v>2129</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12625</v>
      </c>
      <c r="B434" s="42" t="s">
        <v>2128</v>
      </c>
      <c r="C434" s="43" t="s">
        <v>2129</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10141</v>
      </c>
      <c r="B435" s="42" t="s">
        <v>2128</v>
      </c>
      <c r="C435" s="43" t="s">
        <v>2129</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7146</v>
      </c>
      <c r="B436" s="42" t="s">
        <v>2128</v>
      </c>
      <c r="C436" s="43" t="s">
        <v>2129</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4251</v>
      </c>
      <c r="B437" s="42" t="s">
        <v>2128</v>
      </c>
      <c r="C437" s="43" t="s">
        <v>2129</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13533</v>
      </c>
      <c r="B438" s="42" t="s">
        <v>2128</v>
      </c>
      <c r="C438" s="43" t="s">
        <v>2129</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17821</v>
      </c>
      <c r="B439" s="42" t="s">
        <v>2128</v>
      </c>
      <c r="C439" s="43" t="s">
        <v>2129</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5066</v>
      </c>
      <c r="B440" s="42" t="s">
        <v>2128</v>
      </c>
      <c r="C440" s="43" t="s">
        <v>2129</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5423</v>
      </c>
      <c r="B441" s="42" t="s">
        <v>2128</v>
      </c>
      <c r="C441" s="43" t="s">
        <v>2129</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5052</v>
      </c>
      <c r="B442" s="42" t="s">
        <v>2128</v>
      </c>
      <c r="C442" s="43" t="s">
        <v>2129</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4296</v>
      </c>
      <c r="B443" s="42" t="s">
        <v>2128</v>
      </c>
      <c r="C443" s="43" t="s">
        <v>2129</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17822</v>
      </c>
      <c r="B444" s="42" t="s">
        <v>2128</v>
      </c>
      <c r="C444" s="43" t="s">
        <v>2129</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3459</v>
      </c>
      <c r="B445" s="42" t="s">
        <v>2128</v>
      </c>
      <c r="C445" s="43" t="s">
        <v>2129</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4840</v>
      </c>
      <c r="B446" s="42" t="s">
        <v>2128</v>
      </c>
      <c r="C446" s="43" t="s">
        <v>2129</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17823</v>
      </c>
      <c r="B447" s="42" t="s">
        <v>2128</v>
      </c>
      <c r="C447" s="43" t="s">
        <v>2129</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9430</v>
      </c>
      <c r="B448" s="42" t="s">
        <v>2128</v>
      </c>
      <c r="C448" s="43" t="s">
        <v>2129</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4898</v>
      </c>
      <c r="B449" s="42" t="s">
        <v>2128</v>
      </c>
      <c r="C449" s="43" t="s">
        <v>2129</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3356</v>
      </c>
      <c r="B450" s="42" t="s">
        <v>2128</v>
      </c>
      <c r="C450" s="43" t="s">
        <v>2129</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17824</v>
      </c>
      <c r="B451" s="42" t="s">
        <v>2128</v>
      </c>
      <c r="C451" s="43" t="s">
        <v>2129</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17825</v>
      </c>
      <c r="B452" s="42" t="s">
        <v>2128</v>
      </c>
      <c r="C452" s="43" t="s">
        <v>2129</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7180</v>
      </c>
      <c r="B453" s="42" t="s">
        <v>2128</v>
      </c>
      <c r="C453" s="43" t="s">
        <v>2129</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3430</v>
      </c>
      <c r="B454" s="42" t="s">
        <v>2128</v>
      </c>
      <c r="C454" s="43" t="s">
        <v>2129</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3969</v>
      </c>
      <c r="B455" s="42" t="s">
        <v>2128</v>
      </c>
      <c r="C455" s="43" t="s">
        <v>2129</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3046</v>
      </c>
      <c r="B456" s="42" t="s">
        <v>2128</v>
      </c>
      <c r="C456" s="43" t="s">
        <v>2129</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17826</v>
      </c>
      <c r="B457" s="42" t="s">
        <v>2128</v>
      </c>
      <c r="C457" s="43" t="s">
        <v>2129</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17827</v>
      </c>
      <c r="B458" s="42" t="s">
        <v>2128</v>
      </c>
      <c r="C458" s="43" t="s">
        <v>2129</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17828</v>
      </c>
      <c r="B459" s="42" t="s">
        <v>2128</v>
      </c>
      <c r="C459" s="43" t="s">
        <v>2129</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17829</v>
      </c>
      <c r="B460" s="42" t="s">
        <v>2128</v>
      </c>
      <c r="C460" s="43" t="s">
        <v>2129</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17830</v>
      </c>
      <c r="B461" s="42" t="s">
        <v>2128</v>
      </c>
      <c r="C461" s="43" t="s">
        <v>2129</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17831</v>
      </c>
      <c r="B462" s="42" t="s">
        <v>2128</v>
      </c>
      <c r="C462" s="43" t="s">
        <v>2129</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3148</v>
      </c>
      <c r="B463" s="42" t="s">
        <v>2128</v>
      </c>
      <c r="C463" s="43" t="s">
        <v>2129</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9589</v>
      </c>
      <c r="B464" s="42" t="s">
        <v>2128</v>
      </c>
      <c r="C464" s="43" t="s">
        <v>2129</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17832</v>
      </c>
      <c r="B465" s="42" t="s">
        <v>2128</v>
      </c>
      <c r="C465" s="43" t="s">
        <v>2129</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3708</v>
      </c>
      <c r="B466" s="42" t="s">
        <v>2128</v>
      </c>
      <c r="C466" s="43" t="s">
        <v>2129</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5320</v>
      </c>
      <c r="B467" s="42" t="s">
        <v>2128</v>
      </c>
      <c r="C467" s="43" t="s">
        <v>2129</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10121</v>
      </c>
      <c r="B468" s="42" t="s">
        <v>2128</v>
      </c>
      <c r="C468" s="43" t="s">
        <v>2129</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17833</v>
      </c>
      <c r="B469" s="42" t="s">
        <v>2128</v>
      </c>
      <c r="C469" s="43" t="s">
        <v>2129</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17834</v>
      </c>
      <c r="B470" s="42" t="s">
        <v>2128</v>
      </c>
      <c r="C470" s="43" t="s">
        <v>2129</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17835</v>
      </c>
      <c r="B471" s="42" t="s">
        <v>2128</v>
      </c>
      <c r="C471" s="43" t="s">
        <v>2129</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17836</v>
      </c>
      <c r="B472" s="42" t="s">
        <v>2128</v>
      </c>
      <c r="C472" s="43" t="s">
        <v>2129</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17837</v>
      </c>
      <c r="B473" s="42" t="s">
        <v>2128</v>
      </c>
      <c r="C473" s="43" t="s">
        <v>2129</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17838</v>
      </c>
      <c r="B474" s="42" t="s">
        <v>2128</v>
      </c>
      <c r="C474" s="43" t="s">
        <v>2129</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6416</v>
      </c>
      <c r="B475" s="42" t="s">
        <v>2128</v>
      </c>
      <c r="C475" s="43" t="s">
        <v>2129</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17839</v>
      </c>
      <c r="B476" s="42" t="s">
        <v>2128</v>
      </c>
      <c r="C476" s="43" t="s">
        <v>2129</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5991</v>
      </c>
      <c r="B477" s="42" t="s">
        <v>2128</v>
      </c>
      <c r="C477" s="43" t="s">
        <v>2129</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5887</v>
      </c>
      <c r="B478" s="42" t="s">
        <v>2128</v>
      </c>
      <c r="C478" s="43" t="s">
        <v>2129</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3394</v>
      </c>
      <c r="B479" s="42" t="s">
        <v>2128</v>
      </c>
      <c r="C479" s="43" t="s">
        <v>2129</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17840</v>
      </c>
      <c r="B480" s="42" t="s">
        <v>2128</v>
      </c>
      <c r="C480" s="43" t="s">
        <v>2129</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17841</v>
      </c>
      <c r="B481" s="42" t="s">
        <v>2088</v>
      </c>
      <c r="C481" s="43" t="s">
        <v>2089</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17842</v>
      </c>
      <c r="B482" s="42" t="s">
        <v>2088</v>
      </c>
      <c r="C482" s="43" t="s">
        <v>2089</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17843</v>
      </c>
      <c r="B483" s="42" t="s">
        <v>2088</v>
      </c>
      <c r="C483" s="43" t="s">
        <v>2089</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13955</v>
      </c>
      <c r="B484" s="42" t="s">
        <v>2088</v>
      </c>
      <c r="C484" s="43" t="s">
        <v>2089</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17844</v>
      </c>
      <c r="B485" s="42" t="s">
        <v>2088</v>
      </c>
      <c r="C485" s="43" t="s">
        <v>2089</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4390</v>
      </c>
      <c r="B486" s="42" t="s">
        <v>2088</v>
      </c>
      <c r="C486" s="43" t="s">
        <v>2089</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17845</v>
      </c>
      <c r="B487" s="42" t="s">
        <v>2088</v>
      </c>
      <c r="C487" s="43" t="s">
        <v>2089</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17846</v>
      </c>
      <c r="B488" s="42" t="s">
        <v>2088</v>
      </c>
      <c r="C488" s="43" t="s">
        <v>2089</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10313</v>
      </c>
      <c r="B489" s="42" t="s">
        <v>2088</v>
      </c>
      <c r="C489" s="43" t="s">
        <v>2089</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17847</v>
      </c>
      <c r="B490" s="42" t="s">
        <v>2088</v>
      </c>
      <c r="C490" s="43" t="s">
        <v>2089</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17848</v>
      </c>
      <c r="B491" s="42" t="s">
        <v>2088</v>
      </c>
      <c r="C491" s="43" t="s">
        <v>2089</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6701</v>
      </c>
      <c r="B492" s="42" t="s">
        <v>2088</v>
      </c>
      <c r="C492" s="43" t="s">
        <v>2089</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17849</v>
      </c>
      <c r="B493" s="42" t="s">
        <v>2088</v>
      </c>
      <c r="C493" s="43" t="s">
        <v>2089</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3406</v>
      </c>
      <c r="B494" s="42" t="s">
        <v>2088</v>
      </c>
      <c r="C494" s="43" t="s">
        <v>2089</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5963</v>
      </c>
      <c r="B495" s="42" t="s">
        <v>2088</v>
      </c>
      <c r="C495" s="43" t="s">
        <v>2089</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4824</v>
      </c>
      <c r="B496" s="42" t="s">
        <v>2088</v>
      </c>
      <c r="C496" s="43" t="s">
        <v>2089</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17850</v>
      </c>
      <c r="B497" s="42" t="s">
        <v>2088</v>
      </c>
      <c r="C497" s="43" t="s">
        <v>2089</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17851</v>
      </c>
      <c r="B498" s="42" t="s">
        <v>2088</v>
      </c>
      <c r="C498" s="43" t="s">
        <v>2089</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8911</v>
      </c>
      <c r="B499" s="42" t="s">
        <v>2128</v>
      </c>
      <c r="C499" s="43" t="s">
        <v>2129</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5362</v>
      </c>
      <c r="B500" s="42" t="s">
        <v>2128</v>
      </c>
      <c r="C500" s="43" t="s">
        <v>2129</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10413</v>
      </c>
      <c r="B501" s="42" t="s">
        <v>2128</v>
      </c>
      <c r="C501" s="43" t="s">
        <v>2129</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6179</v>
      </c>
      <c r="B502" s="42" t="s">
        <v>2128</v>
      </c>
      <c r="C502" s="43" t="s">
        <v>2129</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17852</v>
      </c>
      <c r="B503" s="42" t="s">
        <v>2128</v>
      </c>
      <c r="C503" s="43" t="s">
        <v>2129</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17853</v>
      </c>
      <c r="B504" s="42" t="s">
        <v>2128</v>
      </c>
      <c r="C504" s="43" t="s">
        <v>2129</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17854</v>
      </c>
      <c r="B505" s="42" t="s">
        <v>2128</v>
      </c>
      <c r="C505" s="43" t="s">
        <v>2129</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5355</v>
      </c>
      <c r="B506" s="42" t="s">
        <v>2128</v>
      </c>
      <c r="C506" s="43" t="s">
        <v>2129</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3061</v>
      </c>
      <c r="B507" s="42" t="s">
        <v>2128</v>
      </c>
      <c r="C507" s="43" t="s">
        <v>2129</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17855</v>
      </c>
      <c r="B508" s="42" t="s">
        <v>2128</v>
      </c>
      <c r="C508" s="43" t="s">
        <v>2129</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10066</v>
      </c>
      <c r="B509" s="42" t="s">
        <v>2128</v>
      </c>
      <c r="C509" s="43" t="s">
        <v>2129</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10083</v>
      </c>
      <c r="B510" s="42" t="s">
        <v>2128</v>
      </c>
      <c r="C510" s="43" t="s">
        <v>2129</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17856</v>
      </c>
      <c r="B511" s="42" t="s">
        <v>2128</v>
      </c>
      <c r="C511" s="43" t="s">
        <v>2129</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11896</v>
      </c>
      <c r="B512" s="42" t="s">
        <v>2128</v>
      </c>
      <c r="C512" s="43" t="s">
        <v>2129</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17857</v>
      </c>
      <c r="B513" s="42" t="s">
        <v>2128</v>
      </c>
      <c r="C513" s="43" t="s">
        <v>2129</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3584</v>
      </c>
      <c r="B514" s="42" t="s">
        <v>2128</v>
      </c>
      <c r="C514" s="43" t="s">
        <v>2129</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17858</v>
      </c>
      <c r="B515" s="42" t="s">
        <v>2128</v>
      </c>
      <c r="C515" s="43" t="s">
        <v>2129</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10146</v>
      </c>
      <c r="B516" s="42" t="s">
        <v>2128</v>
      </c>
      <c r="C516" s="43" t="s">
        <v>2129</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17859</v>
      </c>
      <c r="B517" s="42" t="s">
        <v>2128</v>
      </c>
      <c r="C517" s="43" t="s">
        <v>2129</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17860</v>
      </c>
      <c r="B518" s="42" t="s">
        <v>2128</v>
      </c>
      <c r="C518" s="43" t="s">
        <v>2129</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17861</v>
      </c>
      <c r="B519" s="42" t="s">
        <v>2128</v>
      </c>
      <c r="C519" s="43" t="s">
        <v>2129</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3907</v>
      </c>
      <c r="B520" s="42" t="s">
        <v>2128</v>
      </c>
      <c r="C520" s="43" t="s">
        <v>2129</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3086</v>
      </c>
      <c r="B521" s="13" t="s">
        <v>2318</v>
      </c>
      <c r="C521" s="14" t="s">
        <v>2319</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5010</v>
      </c>
      <c r="B522" s="13" t="s">
        <v>2318</v>
      </c>
      <c r="C522" s="14" t="s">
        <v>2319</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17862</v>
      </c>
      <c r="B523" s="13" t="s">
        <v>2318</v>
      </c>
      <c r="C523" s="14" t="s">
        <v>2319</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3753</v>
      </c>
      <c r="B524" s="13" t="s">
        <v>2318</v>
      </c>
      <c r="C524" s="14" t="s">
        <v>2319</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8063</v>
      </c>
      <c r="B525" s="13" t="s">
        <v>2318</v>
      </c>
      <c r="C525" s="14" t="s">
        <v>2319</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3398</v>
      </c>
      <c r="B526" s="13" t="s">
        <v>2318</v>
      </c>
      <c r="C526" s="14" t="s">
        <v>2319</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2956</v>
      </c>
      <c r="B527" s="13" t="s">
        <v>2318</v>
      </c>
      <c r="C527" s="14" t="s">
        <v>2319</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3928</v>
      </c>
      <c r="B528" s="13" t="s">
        <v>2318</v>
      </c>
      <c r="C528" s="14" t="s">
        <v>2319</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3834</v>
      </c>
      <c r="B529" s="13" t="s">
        <v>2318</v>
      </c>
      <c r="C529" s="14" t="s">
        <v>2319</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3538</v>
      </c>
      <c r="B530" s="13" t="s">
        <v>2318</v>
      </c>
      <c r="C530" s="14" t="s">
        <v>2319</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9408</v>
      </c>
      <c r="B531" s="13" t="s">
        <v>2318</v>
      </c>
      <c r="C531" s="14" t="s">
        <v>2319</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17863</v>
      </c>
      <c r="B532" s="42" t="s">
        <v>1719</v>
      </c>
      <c r="C532" s="43" t="s">
        <v>17864</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3201</v>
      </c>
      <c r="B533" s="42" t="s">
        <v>1719</v>
      </c>
      <c r="C533" s="43" t="s">
        <v>17864</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3543</v>
      </c>
      <c r="B534" s="42" t="s">
        <v>1719</v>
      </c>
      <c r="C534" s="43" t="s">
        <v>17864</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2950</v>
      </c>
      <c r="B535" s="42" t="s">
        <v>1719</v>
      </c>
      <c r="C535" s="43" t="s">
        <v>17864</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2977</v>
      </c>
      <c r="B536" s="42" t="s">
        <v>1719</v>
      </c>
      <c r="C536" s="43" t="s">
        <v>17864</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3189</v>
      </c>
      <c r="B537" s="42" t="s">
        <v>1719</v>
      </c>
      <c r="C537" s="43" t="s">
        <v>17864</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5449</v>
      </c>
      <c r="B538" s="42" t="s">
        <v>1719</v>
      </c>
      <c r="C538" s="43" t="s">
        <v>17864</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9388</v>
      </c>
      <c r="B539" s="42" t="s">
        <v>1719</v>
      </c>
      <c r="C539" s="43" t="s">
        <v>17864</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3241</v>
      </c>
      <c r="B540" s="42" t="s">
        <v>1719</v>
      </c>
      <c r="C540" s="43" t="s">
        <v>17864</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17865</v>
      </c>
      <c r="B541" s="42" t="s">
        <v>1719</v>
      </c>
      <c r="C541" s="43" t="s">
        <v>17864</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3862</v>
      </c>
      <c r="B542" s="42" t="s">
        <v>1719</v>
      </c>
      <c r="C542" s="43" t="s">
        <v>17864</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11104</v>
      </c>
      <c r="B543" s="42" t="s">
        <v>1719</v>
      </c>
      <c r="C543" s="43" t="s">
        <v>17864</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17866</v>
      </c>
      <c r="B544" s="42" t="s">
        <v>1719</v>
      </c>
      <c r="C544" s="43" t="s">
        <v>17864</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11999</v>
      </c>
      <c r="B545" s="42" t="s">
        <v>1719</v>
      </c>
      <c r="C545" s="43" t="s">
        <v>17864</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11631</v>
      </c>
      <c r="B546" s="42" t="s">
        <v>1719</v>
      </c>
      <c r="C546" s="43" t="s">
        <v>17864</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17867</v>
      </c>
      <c r="B547" s="42" t="s">
        <v>1859</v>
      </c>
      <c r="C547" s="43" t="s">
        <v>1860</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17868</v>
      </c>
      <c r="B548" s="42" t="s">
        <v>1859</v>
      </c>
      <c r="C548" s="43" t="s">
        <v>1860</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17869</v>
      </c>
      <c r="B549" s="42" t="s">
        <v>1859</v>
      </c>
      <c r="C549" s="43" t="s">
        <v>1860</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17870</v>
      </c>
      <c r="B550" s="42" t="s">
        <v>1859</v>
      </c>
      <c r="C550" s="43" t="s">
        <v>1860</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17871</v>
      </c>
      <c r="B551" s="42" t="s">
        <v>1859</v>
      </c>
      <c r="C551" s="43" t="s">
        <v>1860</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3803</v>
      </c>
      <c r="B552" s="42" t="s">
        <v>1859</v>
      </c>
      <c r="C552" s="43" t="s">
        <v>1860</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17872</v>
      </c>
      <c r="B553" s="42" t="s">
        <v>1859</v>
      </c>
      <c r="C553" s="43" t="s">
        <v>1860</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17873</v>
      </c>
      <c r="B554" s="42" t="s">
        <v>1847</v>
      </c>
      <c r="C554" s="43" t="s">
        <v>1848</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9959</v>
      </c>
      <c r="B555" s="42" t="s">
        <v>1847</v>
      </c>
      <c r="C555" s="43" t="s">
        <v>1848</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17874</v>
      </c>
      <c r="B556" s="42" t="s">
        <v>1847</v>
      </c>
      <c r="C556" s="43" t="s">
        <v>1848</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17875</v>
      </c>
      <c r="B557" s="42" t="s">
        <v>1847</v>
      </c>
      <c r="C557" s="43" t="s">
        <v>1848</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17876</v>
      </c>
      <c r="B558" s="42" t="s">
        <v>1847</v>
      </c>
      <c r="C558" s="43" t="s">
        <v>1848</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17877</v>
      </c>
      <c r="B559" s="42" t="s">
        <v>1847</v>
      </c>
      <c r="C559" s="43" t="s">
        <v>1848</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17878</v>
      </c>
      <c r="B560" s="42" t="s">
        <v>1847</v>
      </c>
      <c r="C560" s="43" t="s">
        <v>1848</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17879</v>
      </c>
      <c r="B561" s="42" t="s">
        <v>1847</v>
      </c>
      <c r="C561" s="43" t="s">
        <v>1848</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17880</v>
      </c>
      <c r="B562" s="42" t="s">
        <v>1847</v>
      </c>
      <c r="C562" s="43" t="s">
        <v>1848</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17881</v>
      </c>
      <c r="B563" s="42" t="s">
        <v>1847</v>
      </c>
      <c r="C563" s="43" t="s">
        <v>1848</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17882</v>
      </c>
      <c r="B564" s="42" t="s">
        <v>1847</v>
      </c>
      <c r="C564" s="43" t="s">
        <v>1848</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17883</v>
      </c>
      <c r="B565" s="42" t="s">
        <v>1847</v>
      </c>
      <c r="C565" s="43" t="s">
        <v>1848</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17884</v>
      </c>
      <c r="B566" s="42" t="s">
        <v>1847</v>
      </c>
      <c r="C566" s="43" t="s">
        <v>1848</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17885</v>
      </c>
      <c r="B567" s="42" t="s">
        <v>1847</v>
      </c>
      <c r="C567" s="43" t="s">
        <v>1848</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17886</v>
      </c>
      <c r="B568" s="42" t="s">
        <v>1847</v>
      </c>
      <c r="C568" s="43" t="s">
        <v>1848</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17887</v>
      </c>
      <c r="B569" s="42" t="s">
        <v>1847</v>
      </c>
      <c r="C569" s="43" t="s">
        <v>1848</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17888</v>
      </c>
      <c r="B570" s="42" t="s">
        <v>1847</v>
      </c>
      <c r="C570" s="43" t="s">
        <v>1848</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17889</v>
      </c>
      <c r="B571" s="42" t="s">
        <v>1847</v>
      </c>
      <c r="C571" s="43" t="s">
        <v>1848</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17890</v>
      </c>
      <c r="B572" s="42" t="s">
        <v>1847</v>
      </c>
      <c r="C572" s="43" t="s">
        <v>1848</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17891</v>
      </c>
      <c r="B573" s="42" t="s">
        <v>1847</v>
      </c>
      <c r="C573" s="43" t="s">
        <v>1848</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17892</v>
      </c>
      <c r="B574" s="42" t="s">
        <v>1847</v>
      </c>
      <c r="C574" s="43" t="s">
        <v>1848</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17893</v>
      </c>
      <c r="B575" s="42" t="s">
        <v>1847</v>
      </c>
      <c r="C575" s="43" t="s">
        <v>1848</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17894</v>
      </c>
      <c r="B576" s="42" t="s">
        <v>1847</v>
      </c>
      <c r="C576" s="43" t="s">
        <v>1848</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17895</v>
      </c>
      <c r="B577" s="42" t="s">
        <v>1847</v>
      </c>
      <c r="C577" s="43" t="s">
        <v>1848</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17896</v>
      </c>
      <c r="B578" s="42" t="s">
        <v>1847</v>
      </c>
      <c r="C578" s="43" t="s">
        <v>1848</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17897</v>
      </c>
      <c r="B579" s="42" t="s">
        <v>1847</v>
      </c>
      <c r="C579" s="43" t="s">
        <v>1848</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17898</v>
      </c>
      <c r="B580" s="42" t="s">
        <v>1847</v>
      </c>
      <c r="C580" s="43" t="s">
        <v>1848</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17899</v>
      </c>
      <c r="B581" s="42" t="s">
        <v>1847</v>
      </c>
      <c r="C581" s="43" t="s">
        <v>1848</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17900</v>
      </c>
      <c r="B582" s="42" t="s">
        <v>1847</v>
      </c>
      <c r="C582" s="43" t="s">
        <v>1848</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17901</v>
      </c>
      <c r="B583" s="42" t="s">
        <v>1847</v>
      </c>
      <c r="C583" s="43" t="s">
        <v>1848</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17902</v>
      </c>
      <c r="B584" s="42" t="s">
        <v>1847</v>
      </c>
      <c r="C584" s="43" t="s">
        <v>1848</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17903</v>
      </c>
      <c r="B585" s="42" t="s">
        <v>1847</v>
      </c>
      <c r="C585" s="43" t="s">
        <v>1848</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17904</v>
      </c>
      <c r="B586" s="42" t="s">
        <v>1847</v>
      </c>
      <c r="C586" s="43" t="s">
        <v>1848</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17905</v>
      </c>
      <c r="B587" s="42" t="s">
        <v>1847</v>
      </c>
      <c r="C587" s="43" t="s">
        <v>1848</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17906</v>
      </c>
      <c r="B588" s="42" t="s">
        <v>1859</v>
      </c>
      <c r="C588" s="43" t="s">
        <v>1860</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17907</v>
      </c>
      <c r="B589" s="42" t="s">
        <v>1859</v>
      </c>
      <c r="C589" s="43" t="s">
        <v>1860</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17908</v>
      </c>
      <c r="B590" s="42" t="s">
        <v>1859</v>
      </c>
      <c r="C590" s="43" t="s">
        <v>1860</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17909</v>
      </c>
      <c r="B591" s="42" t="s">
        <v>1886</v>
      </c>
      <c r="C591" s="43" t="s">
        <v>1887</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17910</v>
      </c>
      <c r="B592" s="42" t="s">
        <v>1886</v>
      </c>
      <c r="C592" s="43" t="s">
        <v>1887</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17911</v>
      </c>
      <c r="B593" s="42" t="s">
        <v>1886</v>
      </c>
      <c r="C593" s="43" t="s">
        <v>1887</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17912</v>
      </c>
      <c r="B594" s="42" t="s">
        <v>1886</v>
      </c>
      <c r="C594" s="43" t="s">
        <v>1887</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17913</v>
      </c>
      <c r="B595" s="42" t="s">
        <v>1886</v>
      </c>
      <c r="C595" s="43" t="s">
        <v>1887</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17914</v>
      </c>
      <c r="B596" s="42" t="s">
        <v>1886</v>
      </c>
      <c r="C596" s="43" t="s">
        <v>1887</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17915</v>
      </c>
      <c r="B597" s="42" t="s">
        <v>1886</v>
      </c>
      <c r="C597" s="43" t="s">
        <v>1887</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17916</v>
      </c>
      <c r="B598" s="42" t="s">
        <v>1886</v>
      </c>
      <c r="C598" s="43" t="s">
        <v>1887</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17917</v>
      </c>
      <c r="B599" s="42" t="s">
        <v>1886</v>
      </c>
      <c r="C599" s="43" t="s">
        <v>1887</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17918</v>
      </c>
      <c r="B600" s="42" t="s">
        <v>1886</v>
      </c>
      <c r="C600" s="43" t="s">
        <v>1887</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9753</v>
      </c>
      <c r="B601" s="42" t="s">
        <v>1886</v>
      </c>
      <c r="C601" s="43" t="s">
        <v>1887</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17919</v>
      </c>
      <c r="B602" s="42" t="s">
        <v>1886</v>
      </c>
      <c r="C602" s="43" t="s">
        <v>1887</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17920</v>
      </c>
      <c r="B603" s="42" t="s">
        <v>1886</v>
      </c>
      <c r="C603" s="43" t="s">
        <v>1887</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17921</v>
      </c>
      <c r="B604" s="42" t="s">
        <v>1886</v>
      </c>
      <c r="C604" s="43" t="s">
        <v>1887</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7326</v>
      </c>
      <c r="B605" s="42" t="s">
        <v>1792</v>
      </c>
      <c r="C605" s="43" t="s">
        <v>1793</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5040</v>
      </c>
      <c r="B606" s="42" t="s">
        <v>1792</v>
      </c>
      <c r="C606" s="43" t="s">
        <v>1793</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3783</v>
      </c>
      <c r="B607" s="42" t="s">
        <v>1792</v>
      </c>
      <c r="C607" s="43" t="s">
        <v>1793</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17922</v>
      </c>
      <c r="B608" s="42" t="s">
        <v>1792</v>
      </c>
      <c r="C608" s="43" t="s">
        <v>1793</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17923</v>
      </c>
      <c r="B609" s="42" t="s">
        <v>1792</v>
      </c>
      <c r="C609" s="43" t="s">
        <v>1793</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6852</v>
      </c>
      <c r="B610" s="42" t="s">
        <v>1792</v>
      </c>
      <c r="C610" s="43" t="s">
        <v>1793</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17924</v>
      </c>
      <c r="B611" s="42" t="s">
        <v>1792</v>
      </c>
      <c r="C611" s="43" t="s">
        <v>1793</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17925</v>
      </c>
      <c r="B612" s="42" t="s">
        <v>1792</v>
      </c>
      <c r="C612" s="43" t="s">
        <v>1793</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12971</v>
      </c>
      <c r="B613" s="42" t="s">
        <v>1792</v>
      </c>
      <c r="C613" s="43" t="s">
        <v>1793</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8036</v>
      </c>
      <c r="B614" s="42" t="s">
        <v>1792</v>
      </c>
      <c r="C614" s="43" t="s">
        <v>1793</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17926</v>
      </c>
      <c r="B615" s="42" t="s">
        <v>1779</v>
      </c>
      <c r="C615" s="43" t="s">
        <v>1780</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8373</v>
      </c>
      <c r="B616" s="42" t="s">
        <v>1779</v>
      </c>
      <c r="C616" s="43" t="s">
        <v>1780</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8345</v>
      </c>
      <c r="B617" s="42" t="s">
        <v>1779</v>
      </c>
      <c r="C617" s="43" t="s">
        <v>1780</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3913</v>
      </c>
      <c r="B618" s="42" t="s">
        <v>1779</v>
      </c>
      <c r="C618" s="43" t="s">
        <v>1780</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17927</v>
      </c>
      <c r="B619" s="42" t="s">
        <v>1779</v>
      </c>
      <c r="C619" s="43" t="s">
        <v>1780</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17928</v>
      </c>
      <c r="B620" s="42" t="s">
        <v>1779</v>
      </c>
      <c r="C620" s="43" t="s">
        <v>1780</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7225</v>
      </c>
      <c r="B621" s="42" t="s">
        <v>1779</v>
      </c>
      <c r="C621" s="43" t="s">
        <v>1780</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17929</v>
      </c>
      <c r="B622" s="42" t="s">
        <v>1779</v>
      </c>
      <c r="C622" s="43" t="s">
        <v>1780</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3566</v>
      </c>
      <c r="B623" s="42" t="s">
        <v>1779</v>
      </c>
      <c r="C623" s="43" t="s">
        <v>1780</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3656</v>
      </c>
      <c r="B624" s="42" t="s">
        <v>1779</v>
      </c>
      <c r="C624" s="43" t="s">
        <v>1780</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17930</v>
      </c>
      <c r="B625" s="42" t="s">
        <v>1779</v>
      </c>
      <c r="C625" s="43" t="s">
        <v>1780</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17931</v>
      </c>
      <c r="B626" s="42" t="s">
        <v>1779</v>
      </c>
      <c r="C626" s="43" t="s">
        <v>1780</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17932</v>
      </c>
      <c r="B627" s="42" t="s">
        <v>1779</v>
      </c>
      <c r="C627" s="43" t="s">
        <v>1780</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2987</v>
      </c>
      <c r="B628" s="42" t="s">
        <v>1779</v>
      </c>
      <c r="C628" s="43" t="s">
        <v>1780</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9817</v>
      </c>
      <c r="B629" s="42" t="s">
        <v>1779</v>
      </c>
      <c r="C629" s="43" t="s">
        <v>1780</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17933</v>
      </c>
      <c r="B630" s="42" t="s">
        <v>1779</v>
      </c>
      <c r="C630" s="43" t="s">
        <v>1780</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5973</v>
      </c>
      <c r="B631" s="42" t="s">
        <v>1779</v>
      </c>
      <c r="C631" s="43" t="s">
        <v>1780</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17934</v>
      </c>
      <c r="B632" s="42" t="s">
        <v>1779</v>
      </c>
      <c r="C632" s="43" t="s">
        <v>1780</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17935</v>
      </c>
      <c r="B633" s="42" t="s">
        <v>1779</v>
      </c>
      <c r="C633" s="43" t="s">
        <v>1780</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4953</v>
      </c>
      <c r="B634" s="42" t="s">
        <v>1779</v>
      </c>
      <c r="C634" s="43" t="s">
        <v>1780</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5510</v>
      </c>
      <c r="B635" s="42" t="s">
        <v>1779</v>
      </c>
      <c r="C635" s="43" t="s">
        <v>1780</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11864</v>
      </c>
      <c r="B636" s="42" t="s">
        <v>1779</v>
      </c>
      <c r="C636" s="43" t="s">
        <v>1780</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5505</v>
      </c>
      <c r="B637" s="42" t="s">
        <v>1779</v>
      </c>
      <c r="C637" s="43" t="s">
        <v>1780</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8838</v>
      </c>
      <c r="B638" s="42" t="s">
        <v>1779</v>
      </c>
      <c r="C638" s="43" t="s">
        <v>1780</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8361</v>
      </c>
      <c r="B639" s="42" t="s">
        <v>1779</v>
      </c>
      <c r="C639" s="43" t="s">
        <v>1780</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8419</v>
      </c>
      <c r="B640" s="42" t="s">
        <v>1779</v>
      </c>
      <c r="C640" s="43" t="s">
        <v>1780</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10116</v>
      </c>
      <c r="B641" s="42" t="s">
        <v>1779</v>
      </c>
      <c r="C641" s="43" t="s">
        <v>1780</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17936</v>
      </c>
      <c r="B642" s="42" t="s">
        <v>1779</v>
      </c>
      <c r="C642" s="43" t="s">
        <v>1780</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3337</v>
      </c>
      <c r="B643" s="42" t="s">
        <v>1779</v>
      </c>
      <c r="C643" s="43" t="s">
        <v>1780</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5574</v>
      </c>
      <c r="B644" s="42" t="s">
        <v>1779</v>
      </c>
      <c r="C644" s="43" t="s">
        <v>1780</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8790</v>
      </c>
      <c r="B645" s="42" t="s">
        <v>1779</v>
      </c>
      <c r="C645" s="43" t="s">
        <v>1780</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10188</v>
      </c>
      <c r="B646" s="42" t="s">
        <v>1779</v>
      </c>
      <c r="C646" s="43" t="s">
        <v>1780</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17937</v>
      </c>
      <c r="B647" s="42" t="s">
        <v>1779</v>
      </c>
      <c r="C647" s="43" t="s">
        <v>1780</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17938</v>
      </c>
      <c r="B648" s="42" t="s">
        <v>1779</v>
      </c>
      <c r="C648" s="43" t="s">
        <v>1780</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17939</v>
      </c>
      <c r="B649" s="42" t="s">
        <v>1779</v>
      </c>
      <c r="C649" s="43" t="s">
        <v>1780</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17940</v>
      </c>
      <c r="B650" s="42" t="s">
        <v>1779</v>
      </c>
      <c r="C650" s="43" t="s">
        <v>1780</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9541</v>
      </c>
      <c r="B651" s="42" t="s">
        <v>1792</v>
      </c>
      <c r="C651" s="43" t="s">
        <v>1793</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17941</v>
      </c>
      <c r="B652" s="42" t="s">
        <v>1792</v>
      </c>
      <c r="C652" s="43" t="s">
        <v>1793</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4080</v>
      </c>
      <c r="B653" s="42" t="s">
        <v>1792</v>
      </c>
      <c r="C653" s="43" t="s">
        <v>1793</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9331</v>
      </c>
      <c r="B654" s="42" t="s">
        <v>1792</v>
      </c>
      <c r="C654" s="43" t="s">
        <v>1793</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9140</v>
      </c>
      <c r="B655" s="42" t="s">
        <v>1792</v>
      </c>
      <c r="C655" s="43" t="s">
        <v>1793</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17942</v>
      </c>
      <c r="B656" s="42" t="s">
        <v>1792</v>
      </c>
      <c r="C656" s="43" t="s">
        <v>1793</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10088</v>
      </c>
      <c r="B657" s="42" t="s">
        <v>1792</v>
      </c>
      <c r="C657" s="43" t="s">
        <v>1793</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17943</v>
      </c>
      <c r="B658" s="42" t="s">
        <v>1792</v>
      </c>
      <c r="C658" s="43" t="s">
        <v>1793</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12183</v>
      </c>
      <c r="B659" s="42" t="s">
        <v>1792</v>
      </c>
      <c r="C659" s="43" t="s">
        <v>1793</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2992</v>
      </c>
      <c r="B660" s="42" t="s">
        <v>1792</v>
      </c>
      <c r="C660" s="43" t="s">
        <v>1793</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17944</v>
      </c>
      <c r="B661" s="42" t="s">
        <v>1792</v>
      </c>
      <c r="C661" s="43" t="s">
        <v>1793</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17945</v>
      </c>
      <c r="B662" s="42" t="s">
        <v>1792</v>
      </c>
      <c r="C662" s="43" t="s">
        <v>1793</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11057</v>
      </c>
      <c r="B663" s="42" t="s">
        <v>1792</v>
      </c>
      <c r="C663" s="43" t="s">
        <v>1793</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4596</v>
      </c>
      <c r="B664" s="42" t="s">
        <v>1792</v>
      </c>
      <c r="C664" s="43" t="s">
        <v>1793</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2982</v>
      </c>
      <c r="B665" s="42" t="s">
        <v>1792</v>
      </c>
      <c r="C665" s="43" t="s">
        <v>1793</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17946</v>
      </c>
      <c r="B666" s="42" t="s">
        <v>1792</v>
      </c>
      <c r="C666" s="43" t="s">
        <v>1793</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17947</v>
      </c>
      <c r="B667" s="42" t="s">
        <v>1792</v>
      </c>
      <c r="C667" s="43" t="s">
        <v>1793</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6613</v>
      </c>
      <c r="B668" s="42" t="s">
        <v>1792</v>
      </c>
      <c r="C668" s="43" t="s">
        <v>1793</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17948</v>
      </c>
      <c r="B669" s="42" t="s">
        <v>1792</v>
      </c>
      <c r="C669" s="43" t="s">
        <v>1793</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4225</v>
      </c>
      <c r="B670" s="42" t="s">
        <v>1792</v>
      </c>
      <c r="C670" s="43" t="s">
        <v>1793</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17949</v>
      </c>
      <c r="B671" s="42" t="s">
        <v>1792</v>
      </c>
      <c r="C671" s="43" t="s">
        <v>1793</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9446</v>
      </c>
      <c r="B672" s="42" t="s">
        <v>1792</v>
      </c>
      <c r="C672" s="43" t="s">
        <v>1793</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17950</v>
      </c>
      <c r="B673" s="42" t="s">
        <v>1792</v>
      </c>
      <c r="C673" s="43" t="s">
        <v>1793</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17951</v>
      </c>
      <c r="B674" s="42" t="s">
        <v>1792</v>
      </c>
      <c r="C674" s="43" t="s">
        <v>1793</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17952</v>
      </c>
      <c r="B675" s="42" t="s">
        <v>1792</v>
      </c>
      <c r="C675" s="43" t="s">
        <v>1793</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17953</v>
      </c>
      <c r="B676" s="42" t="s">
        <v>1792</v>
      </c>
      <c r="C676" s="43" t="s">
        <v>1793</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17954</v>
      </c>
      <c r="B677" s="42" t="s">
        <v>1792</v>
      </c>
      <c r="C677" s="43" t="s">
        <v>1793</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9497</v>
      </c>
      <c r="B678" s="42" t="s">
        <v>1792</v>
      </c>
      <c r="C678" s="43" t="s">
        <v>1793</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17955</v>
      </c>
      <c r="B679" s="42" t="s">
        <v>1792</v>
      </c>
      <c r="C679" s="43" t="s">
        <v>1793</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8534</v>
      </c>
      <c r="B680" s="42" t="s">
        <v>1792</v>
      </c>
      <c r="C680" s="43" t="s">
        <v>1793</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17956</v>
      </c>
      <c r="B681" s="42" t="s">
        <v>1792</v>
      </c>
      <c r="C681" s="43" t="s">
        <v>1793</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12155</v>
      </c>
      <c r="B682" s="42" t="s">
        <v>1792</v>
      </c>
      <c r="C682" s="43" t="s">
        <v>1793</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17957</v>
      </c>
      <c r="B683" s="42" t="s">
        <v>1792</v>
      </c>
      <c r="C683" s="43" t="s">
        <v>1793</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17958</v>
      </c>
      <c r="B684" s="42" t="s">
        <v>1792</v>
      </c>
      <c r="C684" s="43" t="s">
        <v>1793</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11692</v>
      </c>
      <c r="B685" s="42" t="s">
        <v>1792</v>
      </c>
      <c r="C685" s="43" t="s">
        <v>1793</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11370</v>
      </c>
      <c r="B686" s="42" t="s">
        <v>1792</v>
      </c>
      <c r="C686" s="43" t="s">
        <v>1793</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17959</v>
      </c>
      <c r="B687" s="42" t="s">
        <v>1792</v>
      </c>
      <c r="C687" s="43" t="s">
        <v>1793</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17960</v>
      </c>
      <c r="B688" s="42" t="s">
        <v>1792</v>
      </c>
      <c r="C688" s="43" t="s">
        <v>1793</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4911</v>
      </c>
      <c r="B689" s="42" t="s">
        <v>1792</v>
      </c>
      <c r="C689" s="43" t="s">
        <v>1793</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5431</v>
      </c>
      <c r="B690" s="42" t="s">
        <v>1792</v>
      </c>
      <c r="C690" s="43" t="s">
        <v>1793</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17961</v>
      </c>
      <c r="B691" s="42" t="s">
        <v>1792</v>
      </c>
      <c r="C691" s="43" t="s">
        <v>1793</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12561</v>
      </c>
      <c r="B692" s="42" t="s">
        <v>1792</v>
      </c>
      <c r="C692" s="43" t="s">
        <v>1793</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17962</v>
      </c>
      <c r="B693" s="42" t="s">
        <v>1792</v>
      </c>
      <c r="C693" s="43" t="s">
        <v>1793</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17963</v>
      </c>
      <c r="B694" s="42" t="s">
        <v>1792</v>
      </c>
      <c r="C694" s="43" t="s">
        <v>1793</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3652</v>
      </c>
      <c r="B695" s="42" t="s">
        <v>1792</v>
      </c>
      <c r="C695" s="43" t="s">
        <v>1793</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11498</v>
      </c>
      <c r="B696" s="42" t="s">
        <v>1792</v>
      </c>
      <c r="C696" s="43" t="s">
        <v>1793</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6901</v>
      </c>
      <c r="B697" s="42" t="s">
        <v>1792</v>
      </c>
      <c r="C697" s="43" t="s">
        <v>1793</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8767</v>
      </c>
      <c r="B698" s="42" t="s">
        <v>1792</v>
      </c>
      <c r="C698" s="43" t="s">
        <v>1793</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17964</v>
      </c>
      <c r="B699" s="45" t="s">
        <v>1759</v>
      </c>
      <c r="C699" s="46" t="s">
        <v>1760</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17965</v>
      </c>
      <c r="B700" s="45" t="s">
        <v>1759</v>
      </c>
      <c r="C700" s="46" t="s">
        <v>1760</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4939</v>
      </c>
      <c r="B701" s="45" t="s">
        <v>1759</v>
      </c>
      <c r="C701" s="46" t="s">
        <v>1760</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10535</v>
      </c>
      <c r="B702" s="45" t="s">
        <v>1759</v>
      </c>
      <c r="C702" s="46" t="s">
        <v>1760</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17966</v>
      </c>
      <c r="B703" s="45" t="s">
        <v>1759</v>
      </c>
      <c r="C703" s="46" t="s">
        <v>1760</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17967</v>
      </c>
      <c r="B704" s="45" t="s">
        <v>1759</v>
      </c>
      <c r="C704" s="46" t="s">
        <v>1760</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17968</v>
      </c>
      <c r="B705" s="45" t="s">
        <v>1759</v>
      </c>
      <c r="C705" s="46" t="s">
        <v>1760</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17969</v>
      </c>
      <c r="B706" s="45" t="s">
        <v>1759</v>
      </c>
      <c r="C706" s="46" t="s">
        <v>1760</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4096</v>
      </c>
      <c r="B707" s="45" t="s">
        <v>1759</v>
      </c>
      <c r="C707" s="46" t="s">
        <v>1760</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17970</v>
      </c>
      <c r="B708" s="45" t="s">
        <v>1759</v>
      </c>
      <c r="C708" s="46" t="s">
        <v>1760</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3018</v>
      </c>
      <c r="B709" s="45" t="s">
        <v>1759</v>
      </c>
      <c r="C709" s="46" t="s">
        <v>1760</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9901</v>
      </c>
      <c r="B710" s="45" t="s">
        <v>1759</v>
      </c>
      <c r="C710" s="46" t="s">
        <v>1760</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17971</v>
      </c>
      <c r="B711" s="45" t="s">
        <v>1759</v>
      </c>
      <c r="C711" s="46" t="s">
        <v>1760</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17972</v>
      </c>
      <c r="B712" s="45" t="s">
        <v>1759</v>
      </c>
      <c r="C712" s="46" t="s">
        <v>1760</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10932</v>
      </c>
      <c r="B713" s="45" t="s">
        <v>1759</v>
      </c>
      <c r="C713" s="46" t="s">
        <v>1760</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3747</v>
      </c>
      <c r="B714" s="45" t="s">
        <v>1792</v>
      </c>
      <c r="C714" s="46" t="s">
        <v>1793</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3532</v>
      </c>
      <c r="B715" s="45" t="s">
        <v>1792</v>
      </c>
      <c r="C715" s="46" t="s">
        <v>1793</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4076</v>
      </c>
      <c r="B716" s="45" t="s">
        <v>1792</v>
      </c>
      <c r="C716" s="46" t="s">
        <v>1793</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17973</v>
      </c>
      <c r="B717" s="45" t="s">
        <v>1792</v>
      </c>
      <c r="C717" s="46" t="s">
        <v>1793</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4978</v>
      </c>
      <c r="B718" s="45" t="s">
        <v>1792</v>
      </c>
      <c r="C718" s="46" t="s">
        <v>1793</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3548</v>
      </c>
      <c r="B719" s="45" t="s">
        <v>1792</v>
      </c>
      <c r="C719" s="46" t="s">
        <v>1793</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3722</v>
      </c>
      <c r="B720" s="45" t="s">
        <v>1792</v>
      </c>
      <c r="C720" s="46" t="s">
        <v>1793</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17974</v>
      </c>
      <c r="B721" s="45" t="s">
        <v>1792</v>
      </c>
      <c r="C721" s="46" t="s">
        <v>1793</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17975</v>
      </c>
      <c r="B722" s="45" t="s">
        <v>1792</v>
      </c>
      <c r="C722" s="46" t="s">
        <v>1793</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9757</v>
      </c>
      <c r="B723" s="45" t="s">
        <v>1792</v>
      </c>
      <c r="C723" s="46" t="s">
        <v>1793</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4692</v>
      </c>
      <c r="B724" s="45" t="s">
        <v>1792</v>
      </c>
      <c r="C724" s="46" t="s">
        <v>1793</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8876</v>
      </c>
      <c r="B725" s="45" t="s">
        <v>1792</v>
      </c>
      <c r="C725" s="46" t="s">
        <v>1793</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5240</v>
      </c>
      <c r="B726" s="45" t="s">
        <v>1792</v>
      </c>
      <c r="C726" s="46" t="s">
        <v>1793</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17976</v>
      </c>
      <c r="B727" s="45" t="s">
        <v>1792</v>
      </c>
      <c r="C727" s="46" t="s">
        <v>1793</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17977</v>
      </c>
      <c r="B728" s="45" t="s">
        <v>1792</v>
      </c>
      <c r="C728" s="46" t="s">
        <v>1793</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17978</v>
      </c>
      <c r="B729" s="45" t="s">
        <v>1792</v>
      </c>
      <c r="C729" s="46" t="s">
        <v>1793</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17979</v>
      </c>
      <c r="B730" s="45" t="s">
        <v>1792</v>
      </c>
      <c r="C730" s="46" t="s">
        <v>1793</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17980</v>
      </c>
      <c r="B731" s="45" t="s">
        <v>1792</v>
      </c>
      <c r="C731" s="46" t="s">
        <v>1793</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17981</v>
      </c>
      <c r="B732" s="45" t="s">
        <v>1792</v>
      </c>
      <c r="C732" s="46" t="s">
        <v>1793</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17982</v>
      </c>
      <c r="B733" s="45" t="s">
        <v>1792</v>
      </c>
      <c r="C733" s="46" t="s">
        <v>1793</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17983</v>
      </c>
      <c r="B734" s="45" t="s">
        <v>1792</v>
      </c>
      <c r="C734" s="46" t="s">
        <v>1793</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17984</v>
      </c>
      <c r="B735" s="45" t="s">
        <v>1792</v>
      </c>
      <c r="C735" s="46" t="s">
        <v>1793</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17985</v>
      </c>
      <c r="B736" s="45" t="s">
        <v>1792</v>
      </c>
      <c r="C736" s="46" t="s">
        <v>1793</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17986</v>
      </c>
      <c r="B737" s="45" t="s">
        <v>1792</v>
      </c>
      <c r="C737" s="46" t="s">
        <v>1793</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12746</v>
      </c>
      <c r="B738" s="45" t="s">
        <v>1792</v>
      </c>
      <c r="C738" s="46" t="s">
        <v>1793</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5436</v>
      </c>
      <c r="B739" s="45" t="s">
        <v>1792</v>
      </c>
      <c r="C739" s="46" t="s">
        <v>1793</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9890</v>
      </c>
      <c r="B740" s="45" t="s">
        <v>1792</v>
      </c>
      <c r="C740" s="46" t="s">
        <v>1793</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17987</v>
      </c>
      <c r="B741" s="45" t="s">
        <v>1792</v>
      </c>
      <c r="C741" s="46" t="s">
        <v>1793</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17988</v>
      </c>
      <c r="B742" s="45" t="s">
        <v>1792</v>
      </c>
      <c r="C742" s="46" t="s">
        <v>1793</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17989</v>
      </c>
      <c r="B743" s="45" t="s">
        <v>1792</v>
      </c>
      <c r="C743" s="46" t="s">
        <v>1793</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17990</v>
      </c>
      <c r="B744" s="45" t="s">
        <v>1792</v>
      </c>
      <c r="C744" s="46" t="s">
        <v>1793</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4802</v>
      </c>
      <c r="B745" s="45" t="s">
        <v>1792</v>
      </c>
      <c r="C745" s="46" t="s">
        <v>1793</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17991</v>
      </c>
      <c r="B746" s="45" t="s">
        <v>1792</v>
      </c>
      <c r="C746" s="46" t="s">
        <v>1793</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11720</v>
      </c>
      <c r="B747" s="45" t="s">
        <v>1792</v>
      </c>
      <c r="C747" s="46" t="s">
        <v>1793</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7663</v>
      </c>
      <c r="B748" s="45" t="s">
        <v>1792</v>
      </c>
      <c r="C748" s="46" t="s">
        <v>1793</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9615</v>
      </c>
      <c r="B749" s="45" t="s">
        <v>1792</v>
      </c>
      <c r="C749" s="46" t="s">
        <v>1793</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11444</v>
      </c>
      <c r="B750" s="42" t="s">
        <v>1954</v>
      </c>
      <c r="C750" s="43" t="s">
        <v>1955</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3561</v>
      </c>
      <c r="B751" s="42" t="s">
        <v>1954</v>
      </c>
      <c r="C751" s="43" t="s">
        <v>1955</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17992</v>
      </c>
      <c r="B752" s="42" t="s">
        <v>1954</v>
      </c>
      <c r="C752" s="43" t="s">
        <v>1955</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9648</v>
      </c>
      <c r="B753" s="42" t="s">
        <v>1954</v>
      </c>
      <c r="C753" s="43" t="s">
        <v>1955</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3684</v>
      </c>
      <c r="B754" s="42" t="s">
        <v>1954</v>
      </c>
      <c r="C754" s="43" t="s">
        <v>1955</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17993</v>
      </c>
      <c r="B755" s="42" t="s">
        <v>1954</v>
      </c>
      <c r="C755" s="43" t="s">
        <v>1955</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17994</v>
      </c>
      <c r="B756" s="42" t="s">
        <v>1954</v>
      </c>
      <c r="C756" s="43" t="s">
        <v>1955</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5144</v>
      </c>
      <c r="B757" s="42" t="s">
        <v>1954</v>
      </c>
      <c r="C757" s="43" t="s">
        <v>1955</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17995</v>
      </c>
      <c r="B758" s="42" t="s">
        <v>1954</v>
      </c>
      <c r="C758" s="43" t="s">
        <v>1955</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3074</v>
      </c>
      <c r="B759" s="42" t="s">
        <v>1954</v>
      </c>
      <c r="C759" s="43" t="s">
        <v>1955</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17996</v>
      </c>
      <c r="B760" s="42" t="s">
        <v>1954</v>
      </c>
      <c r="C760" s="43" t="s">
        <v>1955</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5687</v>
      </c>
      <c r="B761" s="45" t="s">
        <v>1954</v>
      </c>
      <c r="C761" s="46" t="s">
        <v>1955</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8396</v>
      </c>
      <c r="B762" s="45" t="s">
        <v>1954</v>
      </c>
      <c r="C762" s="46" t="s">
        <v>1955</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17997</v>
      </c>
      <c r="B763" s="45" t="s">
        <v>1954</v>
      </c>
      <c r="C763" s="46" t="s">
        <v>1955</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17998</v>
      </c>
      <c r="B764" s="45" t="s">
        <v>1954</v>
      </c>
      <c r="C764" s="46" t="s">
        <v>1955</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17999</v>
      </c>
      <c r="B765" s="45" t="s">
        <v>1980</v>
      </c>
      <c r="C765" s="46" t="s">
        <v>1981</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18000</v>
      </c>
      <c r="B766" s="45" t="s">
        <v>1980</v>
      </c>
      <c r="C766" s="46" t="s">
        <v>1981</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7313</v>
      </c>
      <c r="B767" s="45" t="s">
        <v>1980</v>
      </c>
      <c r="C767" s="46" t="s">
        <v>1981</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12770</v>
      </c>
      <c r="B768" s="45" t="s">
        <v>1980</v>
      </c>
      <c r="C768" s="46" t="s">
        <v>1981</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10814</v>
      </c>
      <c r="B769" s="45" t="s">
        <v>1980</v>
      </c>
      <c r="C769" s="46" t="s">
        <v>1981</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18001</v>
      </c>
      <c r="B770" s="45" t="s">
        <v>1980</v>
      </c>
      <c r="C770" s="46" t="s">
        <v>1981</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13355</v>
      </c>
      <c r="B771" s="45" t="s">
        <v>1980</v>
      </c>
      <c r="C771" s="46" t="s">
        <v>1981</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3463</v>
      </c>
      <c r="B772" s="45" t="s">
        <v>1980</v>
      </c>
      <c r="C772" s="46" t="s">
        <v>1981</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3371</v>
      </c>
      <c r="B773" s="45" t="s">
        <v>1980</v>
      </c>
      <c r="C773" s="46" t="s">
        <v>1981</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18002</v>
      </c>
      <c r="B774" s="45" t="s">
        <v>1980</v>
      </c>
      <c r="C774" s="46" t="s">
        <v>1981</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6688</v>
      </c>
      <c r="B775" s="45" t="s">
        <v>1980</v>
      </c>
      <c r="C775" s="46" t="s">
        <v>1981</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18003</v>
      </c>
      <c r="B776" s="45" t="s">
        <v>1980</v>
      </c>
      <c r="C776" s="46" t="s">
        <v>1981</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18004</v>
      </c>
      <c r="B777" s="45" t="s">
        <v>1980</v>
      </c>
      <c r="C777" s="46" t="s">
        <v>1981</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18005</v>
      </c>
      <c r="B778" s="45" t="s">
        <v>1980</v>
      </c>
      <c r="C778" s="46" t="s">
        <v>1981</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18006</v>
      </c>
      <c r="B779" s="45" t="s">
        <v>1980</v>
      </c>
      <c r="C779" s="46" t="s">
        <v>1981</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18007</v>
      </c>
      <c r="B780" s="45" t="s">
        <v>1980</v>
      </c>
      <c r="C780" s="46" t="s">
        <v>1981</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11161</v>
      </c>
      <c r="B781" s="45" t="s">
        <v>1980</v>
      </c>
      <c r="C781" s="46" t="s">
        <v>1981</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3325</v>
      </c>
      <c r="B782" s="45" t="s">
        <v>1980</v>
      </c>
      <c r="C782" s="46" t="s">
        <v>1981</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3438</v>
      </c>
      <c r="B783" s="45" t="s">
        <v>1980</v>
      </c>
      <c r="C783" s="46" t="s">
        <v>1981</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18008</v>
      </c>
      <c r="B784" s="45" t="s">
        <v>1980</v>
      </c>
      <c r="C784" s="46" t="s">
        <v>1981</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11153</v>
      </c>
      <c r="B785" s="45" t="s">
        <v>1980</v>
      </c>
      <c r="C785" s="46" t="s">
        <v>1981</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9884</v>
      </c>
      <c r="B786" s="45" t="s">
        <v>1980</v>
      </c>
      <c r="C786" s="46" t="s">
        <v>1981</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9245</v>
      </c>
      <c r="B787" s="45" t="s">
        <v>1980</v>
      </c>
      <c r="C787" s="46" t="s">
        <v>1981</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18009</v>
      </c>
      <c r="B788" s="45" t="s">
        <v>2006</v>
      </c>
      <c r="C788" s="46" t="s">
        <v>2007</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18010</v>
      </c>
      <c r="B789" s="45" t="s">
        <v>2006</v>
      </c>
      <c r="C789" s="46" t="s">
        <v>2007</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18011</v>
      </c>
      <c r="B790" s="45" t="s">
        <v>2006</v>
      </c>
      <c r="C790" s="46" t="s">
        <v>2007</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5282</v>
      </c>
      <c r="B791" s="45" t="s">
        <v>2006</v>
      </c>
      <c r="C791" s="46" t="s">
        <v>2007</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18012</v>
      </c>
      <c r="B792" s="45" t="s">
        <v>2006</v>
      </c>
      <c r="C792" s="46" t="s">
        <v>2007</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18013</v>
      </c>
      <c r="B793" s="45" t="s">
        <v>2006</v>
      </c>
      <c r="C793" s="46" t="s">
        <v>2007</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18014</v>
      </c>
      <c r="B794" s="45" t="s">
        <v>2006</v>
      </c>
      <c r="C794" s="46" t="s">
        <v>2007</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18015</v>
      </c>
      <c r="B795" s="45" t="s">
        <v>2006</v>
      </c>
      <c r="C795" s="46" t="s">
        <v>2007</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5378</v>
      </c>
      <c r="B796" s="45" t="s">
        <v>2006</v>
      </c>
      <c r="C796" s="46" t="s">
        <v>2007</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18016</v>
      </c>
      <c r="B797" s="45" t="s">
        <v>2006</v>
      </c>
      <c r="C797" s="46" t="s">
        <v>2007</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3610</v>
      </c>
      <c r="B798" s="45" t="s">
        <v>2006</v>
      </c>
      <c r="C798" s="46" t="s">
        <v>2007</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18017</v>
      </c>
      <c r="B799" s="45" t="s">
        <v>2006</v>
      </c>
      <c r="C799" s="46" t="s">
        <v>2007</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13454</v>
      </c>
      <c r="B800" s="45" t="s">
        <v>2006</v>
      </c>
      <c r="C800" s="46" t="s">
        <v>2007</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18018</v>
      </c>
      <c r="B801" s="45" t="s">
        <v>2006</v>
      </c>
      <c r="C801" s="46" t="s">
        <v>2007</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6243</v>
      </c>
      <c r="B802" s="45" t="s">
        <v>2006</v>
      </c>
      <c r="C802" s="46" t="s">
        <v>2007</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18019</v>
      </c>
      <c r="B803" s="45" t="s">
        <v>2006</v>
      </c>
      <c r="C803" s="46" t="s">
        <v>2007</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5846</v>
      </c>
      <c r="B804" s="45" t="s">
        <v>2006</v>
      </c>
      <c r="C804" s="46" t="s">
        <v>2007</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7749</v>
      </c>
      <c r="B805" s="45" t="s">
        <v>2006</v>
      </c>
      <c r="C805" s="46" t="s">
        <v>2007</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4765</v>
      </c>
      <c r="B806" s="45" t="s">
        <v>2006</v>
      </c>
      <c r="C806" s="46" t="s">
        <v>2007</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18020</v>
      </c>
      <c r="B807" s="45" t="s">
        <v>2006</v>
      </c>
      <c r="C807" s="46" t="s">
        <v>2007</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13403</v>
      </c>
      <c r="B808" s="45" t="s">
        <v>1929</v>
      </c>
      <c r="C808" s="46" t="s">
        <v>1930</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18021</v>
      </c>
      <c r="B809" s="45" t="s">
        <v>1929</v>
      </c>
      <c r="C809" s="46" t="s">
        <v>1930</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13848</v>
      </c>
      <c r="B810" s="45" t="s">
        <v>1929</v>
      </c>
      <c r="C810" s="46" t="s">
        <v>1930</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18022</v>
      </c>
      <c r="B811" s="45" t="s">
        <v>1929</v>
      </c>
      <c r="C811" s="46" t="s">
        <v>1930</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18023</v>
      </c>
      <c r="B812" s="45" t="s">
        <v>1929</v>
      </c>
      <c r="C812" s="46" t="s">
        <v>1930</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13363</v>
      </c>
      <c r="B813" s="45" t="s">
        <v>1929</v>
      </c>
      <c r="C813" s="46" t="s">
        <v>1930</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18024</v>
      </c>
      <c r="B814" s="45" t="s">
        <v>1929</v>
      </c>
      <c r="C814" s="46" t="s">
        <v>1930</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18025</v>
      </c>
      <c r="B815" s="45" t="s">
        <v>1929</v>
      </c>
      <c r="C815" s="46" t="s">
        <v>1930</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6745</v>
      </c>
      <c r="B816" s="45" t="s">
        <v>1929</v>
      </c>
      <c r="C816" s="46" t="s">
        <v>1930</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4234</v>
      </c>
      <c r="B817" s="45" t="s">
        <v>1929</v>
      </c>
      <c r="C817" s="46" t="s">
        <v>1930</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6763</v>
      </c>
      <c r="B818" s="45" t="s">
        <v>1929</v>
      </c>
      <c r="C818" s="46" t="s">
        <v>1930</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18026</v>
      </c>
      <c r="B819" s="45" t="s">
        <v>1929</v>
      </c>
      <c r="C819" s="46" t="s">
        <v>1930</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13600</v>
      </c>
      <c r="B820" s="45" t="s">
        <v>1929</v>
      </c>
      <c r="C820" s="46" t="s">
        <v>1930</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10791</v>
      </c>
      <c r="B821" s="45" t="s">
        <v>1929</v>
      </c>
      <c r="C821" s="46" t="s">
        <v>1930</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5941</v>
      </c>
      <c r="B822" s="45" t="s">
        <v>1929</v>
      </c>
      <c r="C822" s="46" t="s">
        <v>1930</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18027</v>
      </c>
      <c r="B823" s="45" t="s">
        <v>1929</v>
      </c>
      <c r="C823" s="46" t="s">
        <v>1930</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18028</v>
      </c>
      <c r="B824" s="45" t="s">
        <v>1929</v>
      </c>
      <c r="C824" s="46" t="s">
        <v>1930</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18029</v>
      </c>
      <c r="B825" s="45" t="s">
        <v>1929</v>
      </c>
      <c r="C825" s="46" t="s">
        <v>1930</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18030</v>
      </c>
      <c r="B826" s="45" t="s">
        <v>1929</v>
      </c>
      <c r="C826" s="46" t="s">
        <v>1930</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6375</v>
      </c>
      <c r="B827" s="45" t="s">
        <v>1929</v>
      </c>
      <c r="C827" s="46" t="s">
        <v>1930</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4583</v>
      </c>
      <c r="B828" s="45" t="s">
        <v>1929</v>
      </c>
      <c r="C828" s="46" t="s">
        <v>1930</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18031</v>
      </c>
      <c r="B829" s="45" t="s">
        <v>1929</v>
      </c>
      <c r="C829" s="46" t="s">
        <v>1930</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18032</v>
      </c>
      <c r="B830" s="45" t="s">
        <v>1929</v>
      </c>
      <c r="C830" s="46" t="s">
        <v>1930</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18033</v>
      </c>
      <c r="B831" s="45" t="s">
        <v>1929</v>
      </c>
      <c r="C831" s="46" t="s">
        <v>1930</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18034</v>
      </c>
      <c r="B832" s="45" t="s">
        <v>1929</v>
      </c>
      <c r="C832" s="46" t="s">
        <v>1930</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6023</v>
      </c>
      <c r="B833" s="45" t="s">
        <v>1929</v>
      </c>
      <c r="C833" s="46" t="s">
        <v>1930</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4601</v>
      </c>
      <c r="B834" s="45" t="s">
        <v>1929</v>
      </c>
      <c r="C834" s="46" t="s">
        <v>1930</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5131</v>
      </c>
      <c r="B835" s="45" t="s">
        <v>1929</v>
      </c>
      <c r="C835" s="46" t="s">
        <v>1930</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18035</v>
      </c>
      <c r="B836" s="45" t="s">
        <v>1929</v>
      </c>
      <c r="C836" s="46" t="s">
        <v>1930</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8590</v>
      </c>
      <c r="B837" s="45" t="s">
        <v>1929</v>
      </c>
      <c r="C837" s="46" t="s">
        <v>1930</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9355</v>
      </c>
      <c r="B838" s="45" t="s">
        <v>1929</v>
      </c>
      <c r="C838" s="46" t="s">
        <v>1930</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8298</v>
      </c>
      <c r="B839" s="45" t="s">
        <v>1929</v>
      </c>
      <c r="C839" s="46" t="s">
        <v>1930</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3030</v>
      </c>
      <c r="B840" s="45" t="s">
        <v>1913</v>
      </c>
      <c r="C840" s="46" t="s">
        <v>1914</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18036</v>
      </c>
      <c r="B841" s="45" t="s">
        <v>1913</v>
      </c>
      <c r="C841" s="46" t="s">
        <v>1914</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18037</v>
      </c>
      <c r="B842" s="45" t="s">
        <v>1913</v>
      </c>
      <c r="C842" s="46" t="s">
        <v>1914</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4875</v>
      </c>
      <c r="B843" s="45" t="s">
        <v>1913</v>
      </c>
      <c r="C843" s="46" t="s">
        <v>1914</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18038</v>
      </c>
      <c r="B844" s="45" t="s">
        <v>1913</v>
      </c>
      <c r="C844" s="46" t="s">
        <v>1914</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18039</v>
      </c>
      <c r="B845" s="45" t="s">
        <v>1913</v>
      </c>
      <c r="C845" s="46" t="s">
        <v>1914</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18040</v>
      </c>
      <c r="B846" s="45" t="s">
        <v>1913</v>
      </c>
      <c r="C846" s="46" t="s">
        <v>1914</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18041</v>
      </c>
      <c r="B847" s="45" t="s">
        <v>1913</v>
      </c>
      <c r="C847" s="46" t="s">
        <v>1914</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18042</v>
      </c>
      <c r="B848" s="45" t="s">
        <v>1913</v>
      </c>
      <c r="C848" s="46" t="s">
        <v>1914</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5302</v>
      </c>
      <c r="B849" s="45" t="s">
        <v>1913</v>
      </c>
      <c r="C849" s="46" t="s">
        <v>1914</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6481</v>
      </c>
      <c r="B850" s="45" t="s">
        <v>1913</v>
      </c>
      <c r="C850" s="46" t="s">
        <v>1914</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4425</v>
      </c>
      <c r="B851" s="45" t="s">
        <v>1913</v>
      </c>
      <c r="C851" s="46" t="s">
        <v>1914</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4637</v>
      </c>
      <c r="B852" s="45" t="s">
        <v>1621</v>
      </c>
      <c r="C852" s="46" t="s">
        <v>1622</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18043</v>
      </c>
      <c r="B853" s="45" t="s">
        <v>1621</v>
      </c>
      <c r="C853" s="46" t="s">
        <v>1622</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5293</v>
      </c>
      <c r="B854" s="45" t="s">
        <v>1663</v>
      </c>
      <c r="C854" s="46" t="s">
        <v>1664</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18044</v>
      </c>
      <c r="B855" s="45" t="s">
        <v>1663</v>
      </c>
      <c r="C855" s="46" t="s">
        <v>1664</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4195</v>
      </c>
      <c r="B856" s="45" t="s">
        <v>1663</v>
      </c>
      <c r="C856" s="46" t="s">
        <v>1664</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18045</v>
      </c>
      <c r="B857" s="45" t="s">
        <v>1663</v>
      </c>
      <c r="C857" s="46" t="s">
        <v>1664</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18046</v>
      </c>
      <c r="B858" s="45" t="s">
        <v>1663</v>
      </c>
      <c r="C858" s="46" t="s">
        <v>1664</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8134</v>
      </c>
      <c r="B859" s="45" t="s">
        <v>1663</v>
      </c>
      <c r="C859" s="46" t="s">
        <v>1664</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18047</v>
      </c>
      <c r="B860" s="45" t="s">
        <v>1663</v>
      </c>
      <c r="C860" s="46" t="s">
        <v>1664</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18048</v>
      </c>
      <c r="B861" s="45" t="s">
        <v>1663</v>
      </c>
      <c r="C861" s="46" t="s">
        <v>1664</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3041</v>
      </c>
      <c r="B862" s="45" t="s">
        <v>1663</v>
      </c>
      <c r="C862" s="46" t="s">
        <v>1664</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3169</v>
      </c>
      <c r="B863" s="45" t="s">
        <v>1696</v>
      </c>
      <c r="C863" s="46" t="s">
        <v>1697</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18049</v>
      </c>
      <c r="B864" s="45" t="s">
        <v>1696</v>
      </c>
      <c r="C864" s="46" t="s">
        <v>1697</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18050</v>
      </c>
      <c r="B865" s="45" t="s">
        <v>1696</v>
      </c>
      <c r="C865" s="46" t="s">
        <v>1697</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18051</v>
      </c>
      <c r="B866" s="45" t="s">
        <v>1696</v>
      </c>
      <c r="C866" s="46" t="s">
        <v>1697</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18052</v>
      </c>
      <c r="B867" s="45" t="s">
        <v>1696</v>
      </c>
      <c r="C867" s="46" t="s">
        <v>1697</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18053</v>
      </c>
      <c r="B868" s="45" t="s">
        <v>1696</v>
      </c>
      <c r="C868" s="46" t="s">
        <v>1697</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18054</v>
      </c>
      <c r="B869" s="45" t="s">
        <v>1696</v>
      </c>
      <c r="C869" s="46" t="s">
        <v>1697</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18055</v>
      </c>
      <c r="B870" s="45" t="s">
        <v>1621</v>
      </c>
      <c r="C870" s="46" t="s">
        <v>1622</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18056</v>
      </c>
      <c r="B871" s="45" t="s">
        <v>1621</v>
      </c>
      <c r="C871" s="46" t="s">
        <v>1622</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18057</v>
      </c>
      <c r="B872" s="45" t="s">
        <v>1621</v>
      </c>
      <c r="C872" s="46" t="s">
        <v>1622</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18058</v>
      </c>
      <c r="B873" s="45" t="s">
        <v>1621</v>
      </c>
      <c r="C873" s="46" t="s">
        <v>1622</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3024</v>
      </c>
      <c r="B874" s="45" t="s">
        <v>1696</v>
      </c>
      <c r="C874" s="46" t="s">
        <v>1697</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4848</v>
      </c>
      <c r="B875" s="45" t="s">
        <v>1696</v>
      </c>
      <c r="C875" s="46" t="s">
        <v>1697</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18059</v>
      </c>
      <c r="B876" s="45" t="s">
        <v>1696</v>
      </c>
      <c r="C876" s="46" t="s">
        <v>1697</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3177</v>
      </c>
      <c r="B877" s="45" t="s">
        <v>1696</v>
      </c>
      <c r="C877" s="46" t="s">
        <v>1697</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4866</v>
      </c>
      <c r="B878" s="45" t="s">
        <v>1696</v>
      </c>
      <c r="C878" s="46" t="s">
        <v>1697</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6347</v>
      </c>
      <c r="B879" s="45" t="s">
        <v>1696</v>
      </c>
      <c r="C879" s="46" t="s">
        <v>1697</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6407</v>
      </c>
      <c r="B880" s="45" t="s">
        <v>1696</v>
      </c>
      <c r="C880" s="46" t="s">
        <v>1697</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8630</v>
      </c>
      <c r="B881" s="45" t="s">
        <v>1696</v>
      </c>
      <c r="C881" s="46" t="s">
        <v>1697</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4456</v>
      </c>
      <c r="B882" s="45" t="s">
        <v>1696</v>
      </c>
      <c r="C882" s="46" t="s">
        <v>1697</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10967</v>
      </c>
      <c r="B883" s="45" t="s">
        <v>1696</v>
      </c>
      <c r="C883" s="46" t="s">
        <v>1697</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18060</v>
      </c>
      <c r="B884" s="45" t="s">
        <v>1621</v>
      </c>
      <c r="C884" s="46" t="s">
        <v>1622</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18061</v>
      </c>
      <c r="B885" s="45" t="s">
        <v>1621</v>
      </c>
      <c r="C885" s="46" t="s">
        <v>1622</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18062</v>
      </c>
      <c r="B886" s="45" t="s">
        <v>1621</v>
      </c>
      <c r="C886" s="46" t="s">
        <v>1622</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18063</v>
      </c>
      <c r="B887" s="45" t="s">
        <v>1621</v>
      </c>
      <c r="C887" s="46" t="s">
        <v>1622</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18064</v>
      </c>
      <c r="B888" s="45" t="s">
        <v>1621</v>
      </c>
      <c r="C888" s="46" t="s">
        <v>1622</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18065</v>
      </c>
      <c r="B889" s="45" t="s">
        <v>1621</v>
      </c>
      <c r="C889" s="46" t="s">
        <v>1622</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18066</v>
      </c>
      <c r="B890" s="45" t="s">
        <v>1621</v>
      </c>
      <c r="C890" s="46" t="s">
        <v>1622</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4647</v>
      </c>
      <c r="B891" s="45" t="s">
        <v>1621</v>
      </c>
      <c r="C891" s="46" t="s">
        <v>1622</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18067</v>
      </c>
      <c r="B892" s="45" t="s">
        <v>1621</v>
      </c>
      <c r="C892" s="46" t="s">
        <v>1622</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4617</v>
      </c>
      <c r="B893" s="45" t="s">
        <v>1621</v>
      </c>
      <c r="C893" s="46" t="s">
        <v>1622</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18068</v>
      </c>
      <c r="B894" s="45" t="s">
        <v>1621</v>
      </c>
      <c r="C894" s="46" t="s">
        <v>1622</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18069</v>
      </c>
      <c r="B895" s="45" t="s">
        <v>1621</v>
      </c>
      <c r="C895" s="46" t="s">
        <v>1622</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18070</v>
      </c>
      <c r="B896" s="45" t="s">
        <v>1621</v>
      </c>
      <c r="C896" s="46" t="s">
        <v>1622</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18071</v>
      </c>
      <c r="B897" s="45" t="s">
        <v>1719</v>
      </c>
      <c r="C897" s="46" t="s">
        <v>17864</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18072</v>
      </c>
      <c r="B898" s="45" t="s">
        <v>1719</v>
      </c>
      <c r="C898" s="46" t="s">
        <v>17864</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18073</v>
      </c>
      <c r="B899" s="45" t="s">
        <v>1719</v>
      </c>
      <c r="C899" s="46" t="s">
        <v>17864</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18074</v>
      </c>
      <c r="B900" s="45" t="s">
        <v>1719</v>
      </c>
      <c r="C900" s="46" t="s">
        <v>17864</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3985</v>
      </c>
      <c r="B901" s="45" t="s">
        <v>1719</v>
      </c>
      <c r="C901" s="46" t="s">
        <v>17864</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18075</v>
      </c>
      <c r="B902" s="45" t="s">
        <v>1719</v>
      </c>
      <c r="C902" s="46" t="s">
        <v>17864</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7100</v>
      </c>
      <c r="B903" s="45" t="s">
        <v>1719</v>
      </c>
      <c r="C903" s="46" t="s">
        <v>17864</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18076</v>
      </c>
      <c r="B904" s="45" t="s">
        <v>1719</v>
      </c>
      <c r="C904" s="46" t="s">
        <v>17864</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18077</v>
      </c>
      <c r="B905" s="45" t="s">
        <v>1719</v>
      </c>
      <c r="C905" s="46" t="s">
        <v>17864</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10858</v>
      </c>
      <c r="B906" s="45" t="s">
        <v>1719</v>
      </c>
      <c r="C906" s="46" t="s">
        <v>17864</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18078</v>
      </c>
      <c r="B907" s="45" t="s">
        <v>1719</v>
      </c>
      <c r="C907" s="46" t="s">
        <v>17864</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18079</v>
      </c>
      <c r="B908" s="45" t="s">
        <v>1719</v>
      </c>
      <c r="C908" s="46" t="s">
        <v>17864</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18080</v>
      </c>
      <c r="B909" s="45" t="s">
        <v>1719</v>
      </c>
      <c r="C909" s="46" t="s">
        <v>17864</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18081</v>
      </c>
      <c r="B910" s="45" t="s">
        <v>1719</v>
      </c>
      <c r="C910" s="46" t="s">
        <v>17864</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11626</v>
      </c>
      <c r="B911" s="45" t="s">
        <v>1719</v>
      </c>
      <c r="C911" s="46" t="s">
        <v>17864</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6541</v>
      </c>
      <c r="B912" s="45" t="s">
        <v>1719</v>
      </c>
      <c r="C912" s="46" t="s">
        <v>17864</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3944</v>
      </c>
      <c r="B913" s="45" t="s">
        <v>1719</v>
      </c>
      <c r="C913" s="46" t="s">
        <v>17864</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11611</v>
      </c>
      <c r="B914" s="45" t="s">
        <v>1719</v>
      </c>
      <c r="C914" s="46" t="s">
        <v>17864</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18082</v>
      </c>
      <c r="B915" s="45" t="s">
        <v>1621</v>
      </c>
      <c r="C915" s="46" t="s">
        <v>1622</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5475</v>
      </c>
      <c r="B916" s="45" t="s">
        <v>1621</v>
      </c>
      <c r="C916" s="46" t="s">
        <v>1622</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18083</v>
      </c>
      <c r="B917" s="45" t="s">
        <v>1621</v>
      </c>
      <c r="C917" s="46" t="s">
        <v>1622</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18084</v>
      </c>
      <c r="B918" s="45" t="s">
        <v>1621</v>
      </c>
      <c r="C918" s="46" t="s">
        <v>1622</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18085</v>
      </c>
      <c r="B919" s="45" t="s">
        <v>1621</v>
      </c>
      <c r="C919" s="46" t="s">
        <v>1622</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13925</v>
      </c>
      <c r="B920" s="45" t="s">
        <v>1621</v>
      </c>
      <c r="C920" s="46" t="s">
        <v>1622</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13931</v>
      </c>
      <c r="B921" s="45" t="s">
        <v>1621</v>
      </c>
      <c r="C921" s="46" t="s">
        <v>1622</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18086</v>
      </c>
      <c r="B922" s="45" t="s">
        <v>1621</v>
      </c>
      <c r="C922" s="46" t="s">
        <v>1622</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18087</v>
      </c>
      <c r="B923" s="45" t="s">
        <v>1621</v>
      </c>
      <c r="C923" s="46" t="s">
        <v>1622</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18088</v>
      </c>
      <c r="B924" s="45" t="s">
        <v>1621</v>
      </c>
      <c r="C924" s="46" t="s">
        <v>1622</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18089</v>
      </c>
      <c r="B925" s="45" t="s">
        <v>1621</v>
      </c>
      <c r="C925" s="46" t="s">
        <v>1622</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18090</v>
      </c>
      <c r="B926" s="45" t="s">
        <v>1621</v>
      </c>
      <c r="C926" s="46" t="s">
        <v>1622</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10340</v>
      </c>
      <c r="B927" s="45" t="s">
        <v>1621</v>
      </c>
      <c r="C927" s="46" t="s">
        <v>1622</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11503</v>
      </c>
      <c r="B928" s="45" t="s">
        <v>1621</v>
      </c>
      <c r="C928" s="46" t="s">
        <v>1622</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18091</v>
      </c>
      <c r="B929" s="45" t="s">
        <v>1621</v>
      </c>
      <c r="C929" s="46" t="s">
        <v>1622</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18092</v>
      </c>
      <c r="B930" s="45" t="s">
        <v>1621</v>
      </c>
      <c r="C930" s="46" t="s">
        <v>1622</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18093</v>
      </c>
      <c r="B931" s="45" t="s">
        <v>1621</v>
      </c>
      <c r="C931" s="46" t="s">
        <v>1622</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18094</v>
      </c>
      <c r="B932" s="45" t="s">
        <v>1621</v>
      </c>
      <c r="C932" s="46" t="s">
        <v>1622</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2911</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18095</v>
      </c>
      <c r="C934" s="27" t="s">
        <v>17625</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18096</v>
      </c>
      <c r="B935" s="42" t="s">
        <v>2128</v>
      </c>
      <c r="C935" s="43" t="s">
        <v>2129</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18097</v>
      </c>
      <c r="B936" s="42" t="s">
        <v>2128</v>
      </c>
      <c r="C936" s="43" t="s">
        <v>2129</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18098</v>
      </c>
      <c r="B937" s="42" t="s">
        <v>2128</v>
      </c>
      <c r="C937" s="43" t="s">
        <v>2129</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18099</v>
      </c>
      <c r="B938" s="42" t="s">
        <v>2128</v>
      </c>
      <c r="C938" s="43" t="s">
        <v>2129</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18100</v>
      </c>
      <c r="B939" s="42" t="s">
        <v>2128</v>
      </c>
      <c r="C939" s="43" t="s">
        <v>2129</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18101</v>
      </c>
      <c r="B940" s="42" t="s">
        <v>2128</v>
      </c>
      <c r="C940" s="43" t="s">
        <v>2129</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18102</v>
      </c>
      <c r="B941" s="42" t="s">
        <v>2128</v>
      </c>
      <c r="C941" s="43" t="s">
        <v>2129</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18103</v>
      </c>
      <c r="B942" s="42" t="s">
        <v>2128</v>
      </c>
      <c r="C942" s="43" t="s">
        <v>2129</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18104</v>
      </c>
      <c r="B943" s="42" t="s">
        <v>2128</v>
      </c>
      <c r="C943" s="43" t="s">
        <v>2129</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18105</v>
      </c>
      <c r="B944" s="42" t="s">
        <v>2128</v>
      </c>
      <c r="C944" s="43" t="s">
        <v>2129</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18106</v>
      </c>
      <c r="B945" s="42" t="s">
        <v>2128</v>
      </c>
      <c r="C945" s="43" t="s">
        <v>2129</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18107</v>
      </c>
      <c r="B946" s="42" t="s">
        <v>2128</v>
      </c>
      <c r="C946" s="43" t="s">
        <v>2129</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18108</v>
      </c>
      <c r="B947" s="42" t="s">
        <v>2128</v>
      </c>
      <c r="C947" s="43" t="s">
        <v>2129</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18109</v>
      </c>
      <c r="B948" s="42" t="s">
        <v>2128</v>
      </c>
      <c r="C948" s="43" t="s">
        <v>2129</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18110</v>
      </c>
      <c r="B949" s="42" t="s">
        <v>2128</v>
      </c>
      <c r="C949" s="43" t="s">
        <v>2129</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18111</v>
      </c>
      <c r="B950" s="42" t="s">
        <v>2128</v>
      </c>
      <c r="C950" s="43" t="s">
        <v>2129</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18112</v>
      </c>
      <c r="B951" s="42" t="s">
        <v>2128</v>
      </c>
      <c r="C951" s="43" t="s">
        <v>2129</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18113</v>
      </c>
      <c r="B952" s="42" t="s">
        <v>2128</v>
      </c>
      <c r="C952" s="43" t="s">
        <v>2129</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18114</v>
      </c>
      <c r="B1" s="38" t="s">
        <v>18115</v>
      </c>
      <c r="C1" s="39" t="s">
        <v>18116</v>
      </c>
      <c r="D1" s="39" t="s">
        <v>18117</v>
      </c>
      <c r="E1" s="39" t="s">
        <v>18118</v>
      </c>
      <c r="F1" s="39" t="s">
        <v>18119</v>
      </c>
      <c r="G1" s="38" t="s">
        <v>18120</v>
      </c>
      <c r="H1" s="38" t="s">
        <v>18121</v>
      </c>
      <c r="I1" s="1"/>
      <c r="J1" s="1"/>
      <c r="K1" s="1"/>
      <c r="L1" s="1"/>
      <c r="M1" s="1"/>
    </row>
    <row r="2" spans="1:8">
      <c r="A2" s="30" t="str">
        <f>'2 过程管理表单'!$BE$1</f>
        <v>2025年</v>
      </c>
      <c r="B2" s="38" t="s">
        <v>759</v>
      </c>
      <c r="C2" s="39">
        <f>'2 过程管理表单'!Z4</f>
        <v>347729.815318727</v>
      </c>
      <c r="D2" s="39">
        <f>C2</f>
        <v>347729.815318727</v>
      </c>
      <c r="E2" s="40">
        <f>'2 过程管理表单'!X4</f>
        <v>6144639.50971389</v>
      </c>
      <c r="F2" s="40">
        <f>E2</f>
        <v>6144639.50971389</v>
      </c>
      <c r="G2" s="41">
        <f>表1[[#This Row],[发生费用]]/表1[[#This Row],[预算费用]]</f>
        <v>0.056590759273837</v>
      </c>
      <c r="H2" s="41">
        <f>表1[[#This Row],[累计发生费用]]/表1[[#This Row],[累计预算费用]]</f>
        <v>0.056590759273837</v>
      </c>
    </row>
    <row r="3" spans="1:8">
      <c r="A3" s="30" t="str">
        <f>'2 过程管理表单'!$BE$1</f>
        <v>2025年</v>
      </c>
      <c r="B3" s="38" t="s">
        <v>760</v>
      </c>
      <c r="C3" s="39">
        <f>'2 过程管理表单'!AC4</f>
        <v>501038.883248402</v>
      </c>
      <c r="D3" s="39">
        <f>D2+C3</f>
        <v>848768.698567129</v>
      </c>
      <c r="E3" s="40">
        <f>'2 过程管理表单'!AA4</f>
        <v>2074453.10243234</v>
      </c>
      <c r="F3" s="40">
        <f>F2+E3</f>
        <v>8219092.61214623</v>
      </c>
      <c r="G3" s="41">
        <f>表1[[#This Row],[发生费用]]/表1[[#This Row],[预算费用]]</f>
        <v>0.241528180444727</v>
      </c>
      <c r="H3" s="41">
        <f>表1[[#This Row],[累计发生费用]]/表1[[#This Row],[累计预算费用]]</f>
        <v>0.103267932193976</v>
      </c>
    </row>
    <row r="4" spans="1:8">
      <c r="A4" s="30" t="str">
        <f>'2 过程管理表单'!$BE$1</f>
        <v>2025年</v>
      </c>
      <c r="B4" s="38" t="s">
        <v>761</v>
      </c>
      <c r="C4" s="39">
        <f>'2 过程管理表单'!AF4</f>
        <v>662588.530811814</v>
      </c>
      <c r="D4" s="39">
        <f t="shared" ref="D4:D13" si="0">D3+C4</f>
        <v>1511357.22937894</v>
      </c>
      <c r="E4" s="40">
        <f>'2 过程管理表单'!AD4</f>
        <v>2074453.10243234</v>
      </c>
      <c r="F4" s="40">
        <f t="shared" ref="F4:F13" si="1">F3+E4</f>
        <v>10293545.7145786</v>
      </c>
      <c r="G4" s="41">
        <f>表1[[#This Row],[发生费用]]/表1[[#This Row],[预算费用]]</f>
        <v>0.319403957618957</v>
      </c>
      <c r="H4" s="41">
        <f>表1[[#This Row],[累计发生费用]]/表1[[#This Row],[累计预算费用]]</f>
        <v>0.146825716938181</v>
      </c>
    </row>
    <row r="5" spans="1:8">
      <c r="A5" s="30" t="str">
        <f>'2 过程管理表单'!$BE$1</f>
        <v>2025年</v>
      </c>
      <c r="B5" s="38" t="s">
        <v>762</v>
      </c>
      <c r="C5" s="39">
        <f>'2 过程管理表单'!AI4</f>
        <v>1197461.69680763</v>
      </c>
      <c r="D5" s="39">
        <f t="shared" si="0"/>
        <v>2708818.92618658</v>
      </c>
      <c r="E5" s="40">
        <f>'2 过程管理表单'!AG4</f>
        <v>2074453.10243234</v>
      </c>
      <c r="F5" s="40">
        <f t="shared" si="1"/>
        <v>12367998.8170109</v>
      </c>
      <c r="G5" s="41">
        <f>表1[[#This Row],[发生费用]]/表1[[#This Row],[预算费用]]</f>
        <v>0.577242115236822</v>
      </c>
      <c r="H5" s="41">
        <f>表1[[#This Row],[累计发生费用]]/表1[[#This Row],[累计预算费用]]</f>
        <v>0.219018368797131</v>
      </c>
    </row>
    <row r="6" spans="1:8">
      <c r="A6" s="30" t="str">
        <f>'2 过程管理表单'!$BE$1</f>
        <v>2025年</v>
      </c>
      <c r="B6" s="38" t="s">
        <v>763</v>
      </c>
      <c r="C6" s="39">
        <f>'2 过程管理表单'!AL4</f>
        <v>1251157.75981456</v>
      </c>
      <c r="D6" s="39">
        <f t="shared" si="0"/>
        <v>3959976.68600113</v>
      </c>
      <c r="E6" s="40">
        <f>'2 过程管理表单'!AJ4</f>
        <v>2074453.10243234</v>
      </c>
      <c r="F6" s="40">
        <f t="shared" si="1"/>
        <v>14442451.9194432</v>
      </c>
      <c r="G6" s="41">
        <f>表1[[#This Row],[发生费用]]/表1[[#This Row],[预算费用]]</f>
        <v>0.603126558198663</v>
      </c>
      <c r="H6" s="41">
        <f>表1[[#This Row],[累计发生费用]]/表1[[#This Row],[累计预算费用]]</f>
        <v>0.274190054991286</v>
      </c>
    </row>
    <row r="7" spans="1:8">
      <c r="A7" s="30" t="str">
        <f>'2 过程管理表单'!$BE$1</f>
        <v>2025年</v>
      </c>
      <c r="B7" s="38" t="s">
        <v>764</v>
      </c>
      <c r="C7" s="39">
        <f>'2 过程管理表单'!AO4</f>
        <v>1245050.29358159</v>
      </c>
      <c r="D7" s="39">
        <f t="shared" si="0"/>
        <v>5205026.97958272</v>
      </c>
      <c r="E7" s="40">
        <f>'2 过程管理表单'!AM4</f>
        <v>2074453.10243234</v>
      </c>
      <c r="F7" s="40">
        <f t="shared" si="1"/>
        <v>16516905.0218756</v>
      </c>
      <c r="G7" s="41">
        <f>表1[[#This Row],[发生费用]]/表1[[#This Row],[预算费用]]</f>
        <v>0.60018242500722</v>
      </c>
      <c r="H7" s="41">
        <f>表1[[#This Row],[累计发生费用]]/表1[[#This Row],[累计预算费用]]</f>
        <v>0.315133311760829</v>
      </c>
    </row>
    <row r="8" spans="1:8">
      <c r="A8" s="30" t="str">
        <f>'2 过程管理表单'!$BE$1</f>
        <v>2025年</v>
      </c>
      <c r="B8" s="38" t="s">
        <v>765</v>
      </c>
      <c r="C8" s="39">
        <f>'2 过程管理表单'!AR4</f>
        <v>1234938.62044019</v>
      </c>
      <c r="D8" s="39">
        <f t="shared" si="0"/>
        <v>6439965.60002291</v>
      </c>
      <c r="E8" s="40">
        <f>'2 过程管理表单'!AP4</f>
        <v>2074453.10243234</v>
      </c>
      <c r="F8" s="40">
        <f t="shared" si="1"/>
        <v>18591358.1243079</v>
      </c>
      <c r="G8" s="41">
        <f>表1[[#This Row],[发生费用]]/表1[[#This Row],[预算费用]]</f>
        <v>0.595308044800916</v>
      </c>
      <c r="H8" s="41">
        <f>表1[[#This Row],[累计发生费用]]/表1[[#This Row],[累计预算费用]]</f>
        <v>0.346395650977363</v>
      </c>
    </row>
    <row r="9" spans="1:8">
      <c r="A9" s="30" t="str">
        <f>'2 过程管理表单'!$BE$1</f>
        <v>2025年</v>
      </c>
      <c r="B9" s="38" t="s">
        <v>766</v>
      </c>
      <c r="C9" s="39">
        <f>'2 过程管理表单'!AU4</f>
        <v>1220378.48802717</v>
      </c>
      <c r="D9" s="39">
        <f t="shared" si="0"/>
        <v>7660344.08805008</v>
      </c>
      <c r="E9" s="40">
        <f>'2 过程管理表单'!AS4</f>
        <v>2074453.10243234</v>
      </c>
      <c r="F9" s="40">
        <f t="shared" si="1"/>
        <v>20665811.2267403</v>
      </c>
      <c r="G9" s="41">
        <f>表1[[#This Row],[发生费用]]/表1[[#This Row],[预算费用]]</f>
        <v>0.588289263611816</v>
      </c>
      <c r="H9" s="41">
        <f>表1[[#This Row],[累计发生费用]]/表1[[#This Row],[累计预算费用]]</f>
        <v>0.370677153875192</v>
      </c>
    </row>
    <row r="10" spans="1:8">
      <c r="A10" s="30" t="str">
        <f>'2 过程管理表单'!$BE$1</f>
        <v>2025年</v>
      </c>
      <c r="B10" s="38" t="s">
        <v>767</v>
      </c>
      <c r="C10" s="39">
        <f>'2 过程管理表单'!AX4</f>
        <v>1174809.19283528</v>
      </c>
      <c r="D10" s="39">
        <f t="shared" si="0"/>
        <v>8835153.28088536</v>
      </c>
      <c r="E10" s="40">
        <f>'2 过程管理表单'!AV4</f>
        <v>2074453.10243234</v>
      </c>
      <c r="F10" s="40">
        <f t="shared" si="1"/>
        <v>22740264.3291726</v>
      </c>
      <c r="G10" s="41">
        <f>表1[[#This Row],[发生费用]]/表1[[#This Row],[预算费用]]</f>
        <v>0.566322367788306</v>
      </c>
      <c r="H10" s="41">
        <f>表1[[#This Row],[累计发生费用]]/表1[[#This Row],[累计预算费用]]</f>
        <v>0.388524651824345</v>
      </c>
    </row>
    <row r="11" spans="1:8">
      <c r="A11" s="30" t="str">
        <f>'2 过程管理表单'!$BE$1</f>
        <v>2025年</v>
      </c>
      <c r="B11" s="38" t="s">
        <v>768</v>
      </c>
      <c r="C11" s="39">
        <f>'2 过程管理表单'!BA4</f>
        <v>1183868.8702939</v>
      </c>
      <c r="D11" s="39">
        <f t="shared" si="0"/>
        <v>10019022.1511793</v>
      </c>
      <c r="E11" s="40">
        <f>'2 过程管理表单'!AY4</f>
        <v>2074453.10243234</v>
      </c>
      <c r="F11" s="40">
        <f t="shared" si="1"/>
        <v>24814717.4316049</v>
      </c>
      <c r="G11" s="41">
        <f>表1[[#This Row],[发生费用]]/表1[[#This Row],[预算费用]]</f>
        <v>0.570689628464384</v>
      </c>
      <c r="H11" s="41">
        <f>表1[[#This Row],[累计发生费用]]/表1[[#This Row],[累计预算费用]]</f>
        <v>0.403753223416467</v>
      </c>
    </row>
    <row r="12" spans="1:8">
      <c r="A12" s="30" t="str">
        <f>'2 过程管理表单'!$BE$1</f>
        <v>2025年</v>
      </c>
      <c r="B12" s="38" t="s">
        <v>769</v>
      </c>
      <c r="C12" s="39">
        <f>'2 过程管理表单'!BD4</f>
        <v>1145679.55189732</v>
      </c>
      <c r="D12" s="39">
        <f t="shared" si="0"/>
        <v>11164701.7030766</v>
      </c>
      <c r="E12" s="40">
        <f>'2 过程管理表单'!BB4</f>
        <v>2074453.10243234</v>
      </c>
      <c r="F12" s="40">
        <f t="shared" si="1"/>
        <v>26889170.5340373</v>
      </c>
      <c r="G12" s="41">
        <f>表1[[#This Row],[发生费用]]/表1[[#This Row],[预算费用]]</f>
        <v>0.552280285610693</v>
      </c>
      <c r="H12" s="41">
        <f>表1[[#This Row],[累计发生费用]]/表1[[#This Row],[累计预算费用]]</f>
        <v>0.415211829942612</v>
      </c>
    </row>
    <row r="13" spans="1:8">
      <c r="A13" s="30" t="str">
        <f>'2 过程管理表单'!$BE$1</f>
        <v>2025年</v>
      </c>
      <c r="B13" s="38" t="s">
        <v>770</v>
      </c>
      <c r="C13" s="39">
        <f>'2 过程管理表单'!BG4</f>
        <v>1183026.62371856</v>
      </c>
      <c r="D13" s="39">
        <f t="shared" si="0"/>
        <v>12347728.3267951</v>
      </c>
      <c r="E13" s="40">
        <f>'2 过程管理表单'!BE4</f>
        <v>2074453.10243234</v>
      </c>
      <c r="F13" s="40">
        <f t="shared" si="1"/>
        <v>28963623.6364696</v>
      </c>
      <c r="G13" s="41">
        <f>表1[[#This Row],[发生费用]]/表1[[#This Row],[预算费用]]</f>
        <v>0.570283619490571</v>
      </c>
      <c r="H13" s="41">
        <f>表1[[#This Row],[累计发生费用]]/表1[[#This Row],[累计预算费用]]</f>
        <v>0.42631849114513</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672963.0877847</v>
      </c>
      <c r="D4">
        <f>'2 过程管理表单'!AA5-'2 过程管理表单'!AA8-'2 过程管理表单'!AA27-'2 过程管理表单'!AA46-'2 过程管理表单'!AA71-'2 过程管理表单'!AA96-'2 过程管理表单'!AA115-'2 过程管理表单'!AA140-'2 过程管理表单'!AA159</f>
        <v>512561.91540881</v>
      </c>
      <c r="E4">
        <f>'2 过程管理表单'!AD5-'2 过程管理表单'!AD8-'2 过程管理表单'!AD27-'2 过程管理表单'!AD46-'2 过程管理表单'!AD71-'2 过程管理表单'!AD96-'2 过程管理表单'!AD115-'2 过程管理表单'!AD140-'2 过程管理表单'!AD159</f>
        <v>512561.91540881</v>
      </c>
      <c r="F4">
        <f>'2 过程管理表单'!AG5-'2 过程管理表单'!AG8-'2 过程管理表单'!AG27-'2 过程管理表单'!AG46-'2 过程管理表单'!AG71-'2 过程管理表单'!AG96-'2 过程管理表单'!AG115-'2 过程管理表单'!AG140-'2 过程管理表单'!AG159</f>
        <v>512561.91540881</v>
      </c>
      <c r="G4">
        <f>'2 过程管理表单'!AJ5-'2 过程管理表单'!AJ8-'2 过程管理表单'!AJ27-'2 过程管理表单'!AJ46-'2 过程管理表单'!AJ71-'2 过程管理表单'!AJ96-'2 过程管理表单'!AJ115-'2 过程管理表单'!AJ140-'2 过程管理表单'!AJ159</f>
        <v>512561.91540881</v>
      </c>
      <c r="H4">
        <f>'2 过程管理表单'!AM5-'2 过程管理表单'!AM8-'2 过程管理表单'!AM27-'2 过程管理表单'!AM46-'2 过程管理表单'!AM71-'2 过程管理表单'!AM96-'2 过程管理表单'!AM115-'2 过程管理表单'!AM140-'2 过程管理表单'!AM159</f>
        <v>512561.91540881</v>
      </c>
      <c r="I4">
        <f>'2 过程管理表单'!AP5-'2 过程管理表单'!AP8-'2 过程管理表单'!AP27-'2 过程管理表单'!AP46-'2 过程管理表单'!AP71-'2 过程管理表单'!AP96-'2 过程管理表单'!AP115-'2 过程管理表单'!AP140-'2 过程管理表单'!AP159</f>
        <v>512561.91540881</v>
      </c>
      <c r="J4">
        <f>'2 过程管理表单'!AS5-'2 过程管理表单'!AS8-'2 过程管理表单'!AS27-'2 过程管理表单'!AS46-'2 过程管理表单'!AS71-'2 过程管理表单'!AS96-'2 过程管理表单'!AS115-'2 过程管理表单'!AS140-'2 过程管理表单'!AS159</f>
        <v>512561.91540881</v>
      </c>
      <c r="K4">
        <f>'2 过程管理表单'!AV5-'2 过程管理表单'!AV8-'2 过程管理表单'!AV27-'2 过程管理表单'!AV46-'2 过程管理表单'!AV71-'2 过程管理表单'!AV96-'2 过程管理表单'!AV115-'2 过程管理表单'!AV140-'2 过程管理表单'!AV159</f>
        <v>512561.91540881</v>
      </c>
      <c r="L4">
        <f>'2 过程管理表单'!AY5-'2 过程管理表单'!AY8-'2 过程管理表单'!AY27-'2 过程管理表单'!AY46-'2 过程管理表单'!AY71-'2 过程管理表单'!AY96-'2 过程管理表单'!AY115-'2 过程管理表单'!AY140-'2 过程管理表单'!AY159</f>
        <v>512561.91540881</v>
      </c>
      <c r="M4">
        <f>'2 过程管理表单'!BB5-'2 过程管理表单'!BB8-'2 过程管理表单'!BB27-'2 过程管理表单'!BB46-'2 过程管理表单'!BB71-'2 过程管理表单'!BB96-'2 过程管理表单'!BB115-'2 过程管理表单'!BB140-'2 过程管理表单'!BB159</f>
        <v>512561.91540881</v>
      </c>
      <c r="N4">
        <f>'2 过程管理表单'!BE5-'2 过程管理表单'!BE8-'2 过程管理表单'!BE27-'2 过程管理表单'!BE46-'2 过程管理表单'!BE71-'2 过程管理表单'!BE96-'2 过程管理表单'!BE115-'2 过程管理表单'!BE140-'2 过程管理表单'!BE159</f>
        <v>512561.91540881</v>
      </c>
    </row>
    <row r="5" spans="1:14">
      <c r="A5" s="6" t="s">
        <v>214</v>
      </c>
      <c r="B5" s="12" t="s">
        <v>18127</v>
      </c>
      <c r="C5">
        <f t="shared" si="0"/>
        <v>672963.0877847</v>
      </c>
      <c r="D5">
        <f t="shared" ref="D5:N5" si="2">C5+D4</f>
        <v>1185525.00319351</v>
      </c>
      <c r="E5">
        <f t="shared" si="2"/>
        <v>1698086.91860232</v>
      </c>
      <c r="F5">
        <f t="shared" si="2"/>
        <v>2210648.83401113</v>
      </c>
      <c r="G5">
        <f t="shared" si="2"/>
        <v>2723210.74941994</v>
      </c>
      <c r="H5">
        <f t="shared" si="2"/>
        <v>3235772.66482875</v>
      </c>
      <c r="I5">
        <f t="shared" si="2"/>
        <v>3748334.58023756</v>
      </c>
      <c r="J5">
        <f t="shared" si="2"/>
        <v>4260896.49564637</v>
      </c>
      <c r="K5">
        <f t="shared" si="2"/>
        <v>4773458.41105518</v>
      </c>
      <c r="L5">
        <f t="shared" si="2"/>
        <v>5286020.32646399</v>
      </c>
      <c r="M5">
        <f t="shared" si="2"/>
        <v>5798582.2418728</v>
      </c>
      <c r="N5">
        <f t="shared" si="2"/>
        <v>6311144.15728161</v>
      </c>
    </row>
    <row r="6" hidden="1"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hidden="1" spans="1:14">
      <c r="A8" s="6" t="s">
        <v>9</v>
      </c>
      <c r="B8" s="12" t="s">
        <v>18130</v>
      </c>
      <c r="C8">
        <f>'2 过程管理表单'!X508</f>
        <v>1737236.86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18131</v>
      </c>
      <c r="C9">
        <f t="shared" ref="C9:C13" si="4">C8</f>
        <v>1737236.86</v>
      </c>
      <c r="D9">
        <f t="shared" ref="D9:N9" si="5">C9+D8</f>
        <v>1737236.86</v>
      </c>
      <c r="E9">
        <f t="shared" si="5"/>
        <v>1737236.86</v>
      </c>
      <c r="F9">
        <f t="shared" si="5"/>
        <v>1737236.86</v>
      </c>
      <c r="G9">
        <f t="shared" si="5"/>
        <v>1737236.86</v>
      </c>
      <c r="H9">
        <f t="shared" si="5"/>
        <v>1737236.86</v>
      </c>
      <c r="I9">
        <f t="shared" si="5"/>
        <v>1737236.86</v>
      </c>
      <c r="J9">
        <f t="shared" si="5"/>
        <v>1737236.86</v>
      </c>
      <c r="K9">
        <f t="shared" si="5"/>
        <v>1737236.86</v>
      </c>
      <c r="L9">
        <f t="shared" si="5"/>
        <v>1737236.86</v>
      </c>
      <c r="M9">
        <f t="shared" si="5"/>
        <v>1737236.86</v>
      </c>
      <c r="N9">
        <f t="shared" si="5"/>
        <v>1737236.86</v>
      </c>
    </row>
    <row r="10" hidden="1"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18134</v>
      </c>
      <c r="C12">
        <f>'2 过程管理表单'!X536</f>
        <v>324371.06918239</v>
      </c>
      <c r="D12">
        <f>'2 过程管理表单'!AA536</f>
        <v>55031.4465408805</v>
      </c>
      <c r="E12">
        <f>'2 过程管理表单'!AD536</f>
        <v>55031.4465408805</v>
      </c>
      <c r="F12">
        <f>'2 过程管理表单'!AG536</f>
        <v>55031.4465408805</v>
      </c>
      <c r="G12">
        <f>'2 过程管理表单'!AJ536</f>
        <v>55031.4465408805</v>
      </c>
      <c r="H12">
        <f>'2 过程管理表单'!AM536</f>
        <v>55031.4465408805</v>
      </c>
      <c r="I12">
        <f>'2 过程管理表单'!AP536</f>
        <v>55031.4465408805</v>
      </c>
      <c r="J12">
        <f>'2 过程管理表单'!AS536</f>
        <v>55031.4465408805</v>
      </c>
      <c r="K12">
        <f>'2 过程管理表单'!AV536</f>
        <v>55031.4465408805</v>
      </c>
      <c r="L12">
        <f>'2 过程管理表单'!AY536</f>
        <v>55031.4465408805</v>
      </c>
      <c r="M12">
        <f>'2 过程管理表单'!BB536</f>
        <v>55031.4465408805</v>
      </c>
      <c r="N12">
        <f>'2 过程管理表单'!BE536</f>
        <v>55031.4465408805</v>
      </c>
    </row>
    <row r="13" hidden="1" spans="1:14">
      <c r="A13" s="6" t="s">
        <v>64</v>
      </c>
      <c r="B13" s="12" t="s">
        <v>18135</v>
      </c>
      <c r="C13">
        <f t="shared" si="4"/>
        <v>324371.06918239</v>
      </c>
      <c r="D13">
        <f t="shared" ref="D13:N13" si="7">C13+D12</f>
        <v>379402.51572327</v>
      </c>
      <c r="E13">
        <f t="shared" si="7"/>
        <v>434433.962264151</v>
      </c>
      <c r="F13">
        <f t="shared" si="7"/>
        <v>489465.408805031</v>
      </c>
      <c r="G13">
        <f t="shared" si="7"/>
        <v>544496.855345912</v>
      </c>
      <c r="H13">
        <f t="shared" si="7"/>
        <v>599528.301886792</v>
      </c>
      <c r="I13">
        <f t="shared" si="7"/>
        <v>654559.748427673</v>
      </c>
      <c r="J13">
        <f t="shared" si="7"/>
        <v>709591.194968553</v>
      </c>
      <c r="K13">
        <f t="shared" si="7"/>
        <v>764622.641509434</v>
      </c>
      <c r="L13">
        <f t="shared" si="7"/>
        <v>819654.088050314</v>
      </c>
      <c r="M13">
        <f t="shared" si="7"/>
        <v>874685.534591195</v>
      </c>
      <c r="N13">
        <f t="shared" si="7"/>
        <v>929716.981132075</v>
      </c>
    </row>
    <row r="14" hidden="1"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18139</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18141</v>
      </c>
      <c r="C19">
        <f t="shared" si="8"/>
        <v>54672</v>
      </c>
      <c r="D19">
        <f>表3_37[[#This Row],[1月]]+D18</f>
        <v>86579.89</v>
      </c>
      <c r="E19">
        <f>表3_37[[#This Row],[2月]]+E18</f>
        <v>111736.29</v>
      </c>
      <c r="F19">
        <f>表3_37[[#This Row],[3月]]+F18</f>
        <v>112060.77</v>
      </c>
      <c r="G19">
        <f>表3_37[[#This Row],[4月]]+G18</f>
        <v>115484.77</v>
      </c>
      <c r="H19">
        <f>表3_37[[#This Row],[5月]]+H18</f>
        <v>120357.72</v>
      </c>
      <c r="I19">
        <f>表3_37[[#This Row],[6月]]+I18</f>
        <v>120357.72</v>
      </c>
      <c r="J19">
        <f>表3_37[[#This Row],[7月]]+J18</f>
        <v>120357.72</v>
      </c>
      <c r="K19">
        <f>表3_37[[#This Row],[8月]]+K18</f>
        <v>120357.72</v>
      </c>
      <c r="L19">
        <f>表3_37[[#This Row],[9月]]+L18</f>
        <v>120357.72</v>
      </c>
      <c r="M19">
        <f>表3_37[[#This Row],[10月]]+M18</f>
        <v>120357.72</v>
      </c>
      <c r="N19">
        <f>表3_37[[#This Row],[11月]]+N18</f>
        <v>120357.72</v>
      </c>
    </row>
    <row r="20" hidden="1" spans="1:14">
      <c r="A20" s="6" t="s">
        <v>216</v>
      </c>
      <c r="B20" s="12" t="s">
        <v>18142</v>
      </c>
      <c r="C20">
        <f>'2 过程管理表单'!X603</f>
        <v>12207.915</v>
      </c>
      <c r="D20">
        <f>'2 过程管理表单'!AA603</f>
        <v>12207.915</v>
      </c>
      <c r="E20">
        <f>'2 过程管理表单'!AD603</f>
        <v>12207.915</v>
      </c>
      <c r="F20">
        <f>'2 过程管理表单'!AG603</f>
        <v>12207.915</v>
      </c>
      <c r="G20">
        <f>'2 过程管理表单'!AJ603</f>
        <v>12207.915</v>
      </c>
      <c r="H20">
        <f>'2 过程管理表单'!AM603</f>
        <v>12207.915</v>
      </c>
      <c r="I20">
        <f>'2 过程管理表单'!AP603</f>
        <v>12207.915</v>
      </c>
      <c r="J20">
        <f>'2 过程管理表单'!AS603</f>
        <v>12207.915</v>
      </c>
      <c r="K20">
        <f>'2 过程管理表单'!AV603</f>
        <v>12207.915</v>
      </c>
      <c r="L20">
        <f>'2 过程管理表单'!AY603</f>
        <v>12207.915</v>
      </c>
      <c r="M20">
        <f>'2 过程管理表单'!BB603</f>
        <v>12207.915</v>
      </c>
      <c r="N20">
        <f>'2 过程管理表单'!BE603</f>
        <v>12207.915</v>
      </c>
    </row>
    <row r="21" hidden="1" spans="1:14">
      <c r="A21" s="6" t="s">
        <v>216</v>
      </c>
      <c r="B21" s="12" t="s">
        <v>18143</v>
      </c>
      <c r="C21">
        <f t="shared" ref="C21:C25" si="10">C20</f>
        <v>12207.915</v>
      </c>
      <c r="D21">
        <f>表3_37[[#This Row],[1月]]+D20</f>
        <v>24415.83</v>
      </c>
      <c r="E21">
        <f>表3_37[[#This Row],[2月]]+E20</f>
        <v>36623.745</v>
      </c>
      <c r="F21">
        <f>表3_37[[#This Row],[3月]]+F20</f>
        <v>48831.66</v>
      </c>
      <c r="G21">
        <f>表3_37[[#This Row],[4月]]+G20</f>
        <v>61039.575</v>
      </c>
      <c r="H21">
        <f>表3_37[[#This Row],[5月]]+H20</f>
        <v>73247.49</v>
      </c>
      <c r="I21">
        <f>表3_37[[#This Row],[6月]]+I20</f>
        <v>85455.405</v>
      </c>
      <c r="J21">
        <f>表3_37[[#This Row],[7月]]+J20</f>
        <v>97663.32</v>
      </c>
      <c r="K21">
        <f>表3_37[[#This Row],[8月]]+K20</f>
        <v>109871.235</v>
      </c>
      <c r="L21">
        <f>表3_37[[#This Row],[9月]]+L20</f>
        <v>122079.15</v>
      </c>
      <c r="M21">
        <f>表3_37[[#This Row],[10月]]+M20</f>
        <v>134287.065</v>
      </c>
      <c r="N21">
        <f>表3_37[[#This Row],[11月]]+N20</f>
        <v>146494.98</v>
      </c>
    </row>
    <row r="22" hidden="1"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18145</v>
      </c>
      <c r="C23">
        <f t="shared" si="10"/>
        <v>55848.77</v>
      </c>
      <c r="D23">
        <f>表3_37[[#This Row],[1月]]+D22</f>
        <v>127945.67</v>
      </c>
      <c r="E23">
        <f>表3_37[[#This Row],[2月]]+E22</f>
        <v>136140.72</v>
      </c>
      <c r="F23">
        <f>表3_37[[#This Row],[3月]]+F22</f>
        <v>139512.94</v>
      </c>
      <c r="G23">
        <f>表3_37[[#This Row],[4月]]+G22</f>
        <v>142151.03</v>
      </c>
      <c r="H23">
        <f>表3_37[[#This Row],[5月]]+H22</f>
        <v>147748.45</v>
      </c>
      <c r="I23">
        <f>表3_37[[#This Row],[6月]]+I22</f>
        <v>147748.45</v>
      </c>
      <c r="J23">
        <f>表3_37[[#This Row],[7月]]+J22</f>
        <v>147748.45</v>
      </c>
      <c r="K23">
        <f>表3_37[[#This Row],[8月]]+K22</f>
        <v>147748.45</v>
      </c>
      <c r="L23">
        <f>表3_37[[#This Row],[9月]]+L22</f>
        <v>147748.45</v>
      </c>
      <c r="M23">
        <f>表3_37[[#This Row],[10月]]+M22</f>
        <v>147748.45</v>
      </c>
      <c r="N23">
        <f>表3_37[[#This Row],[11月]]+N22</f>
        <v>147748.45</v>
      </c>
    </row>
    <row r="24" hidden="1" spans="1:14">
      <c r="A24" s="6" t="s">
        <v>217</v>
      </c>
      <c r="B24" s="12" t="s">
        <v>18146</v>
      </c>
      <c r="C24">
        <f>'2 过程管理表单'!X616</f>
        <v>1170301.46226415</v>
      </c>
      <c r="D24">
        <f>'2 过程管理表单'!AA616</f>
        <v>7923.5</v>
      </c>
      <c r="E24">
        <f>'2 过程管理表单'!AD616</f>
        <v>7923.5</v>
      </c>
      <c r="F24">
        <f>'2 过程管理表单'!AG616</f>
        <v>7923.5</v>
      </c>
      <c r="G24">
        <f>'2 过程管理表单'!AJ616</f>
        <v>7923.5</v>
      </c>
      <c r="H24">
        <f>'2 过程管理表单'!AM616</f>
        <v>7923.5</v>
      </c>
      <c r="I24">
        <f>'2 过程管理表单'!AP616</f>
        <v>7923.5</v>
      </c>
      <c r="J24">
        <f>'2 过程管理表单'!AS616</f>
        <v>7923.5</v>
      </c>
      <c r="K24">
        <f>'2 过程管理表单'!AV616</f>
        <v>7923.5</v>
      </c>
      <c r="L24">
        <f>'2 过程管理表单'!AY616</f>
        <v>7923.5</v>
      </c>
      <c r="M24">
        <f>'2 过程管理表单'!BB616</f>
        <v>7923.5</v>
      </c>
      <c r="N24">
        <f>'2 过程管理表单'!BE616</f>
        <v>7923.5</v>
      </c>
    </row>
    <row r="25" hidden="1" spans="1:14">
      <c r="A25" s="6" t="s">
        <v>217</v>
      </c>
      <c r="B25" s="12" t="s">
        <v>18147</v>
      </c>
      <c r="C25">
        <f t="shared" si="10"/>
        <v>1170301.46226415</v>
      </c>
      <c r="D25">
        <f>表3_37[[#This Row],[1月]]+D24</f>
        <v>1178224.96226415</v>
      </c>
      <c r="E25">
        <f>表3_37[[#This Row],[2月]]+E24</f>
        <v>1186148.46226415</v>
      </c>
      <c r="F25">
        <f>表3_37[[#This Row],[3月]]+F24</f>
        <v>1194071.96226415</v>
      </c>
      <c r="G25">
        <f>表3_37[[#This Row],[4月]]+G24</f>
        <v>1201995.46226415</v>
      </c>
      <c r="H25">
        <f>表3_37[[#This Row],[5月]]+H24</f>
        <v>1209918.96226415</v>
      </c>
      <c r="I25">
        <f>表3_37[[#This Row],[6月]]+I24</f>
        <v>1217842.46226415</v>
      </c>
      <c r="J25">
        <f>表3_37[[#This Row],[7月]]+J24</f>
        <v>1225765.96226415</v>
      </c>
      <c r="K25">
        <f>表3_37[[#This Row],[8月]]+K24</f>
        <v>1233689.46226415</v>
      </c>
      <c r="L25">
        <f>表3_37[[#This Row],[9月]]+L24</f>
        <v>1241612.96226415</v>
      </c>
      <c r="M25">
        <f>表3_37[[#This Row],[10月]]+M24</f>
        <v>1249536.46226415</v>
      </c>
      <c r="N25">
        <f>表3_37[[#This Row],[11月]]+N24</f>
        <v>1257459.96226415</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7</v>
      </c>
      <c r="C2" s="6">
        <f>COUNTIF('2 过程管理表单'!AB6:AB507,"&lt;"&amp;0)</f>
        <v>11</v>
      </c>
      <c r="D2" s="6">
        <f>COUNTIF('2 过程管理表单'!AE6:AE507,"&lt;"&amp;0)</f>
        <v>17</v>
      </c>
      <c r="E2" s="6">
        <f>COUNTIF('2 过程管理表单'!AH6:AH507,"&lt;"&amp;0)</f>
        <v>22</v>
      </c>
      <c r="F2" s="6">
        <f>COUNTIF('2 过程管理表单'!AK6:AK507,"&lt;"&amp;0)</f>
        <v>20</v>
      </c>
      <c r="G2" s="6">
        <f>COUNTIF('2 过程管理表单'!AN6:AN507,"&lt;"&amp;0)</f>
        <v>21</v>
      </c>
      <c r="H2" s="6">
        <f>COUNTIF('2 过程管理表单'!AQ6:AQ507,"&lt;"&amp;0)</f>
        <v>21</v>
      </c>
      <c r="I2" s="6">
        <f>COUNTIF('2 过程管理表单'!AT6:AT507,"&lt;"&amp;0)</f>
        <v>21</v>
      </c>
      <c r="J2" s="6">
        <f>COUNTIF('2 过程管理表单'!AW6:AW507,"&lt;"&amp;0)</f>
        <v>21</v>
      </c>
      <c r="K2" s="6">
        <f>COUNTIF('2 过程管理表单'!AW6:AW507,"&lt;"&amp;0)</f>
        <v>21</v>
      </c>
      <c r="L2" s="6">
        <f>COUNTIF('2 过程管理表单'!BC6:BC507,"&lt;"&amp;0)</f>
        <v>20</v>
      </c>
      <c r="M2" s="6">
        <f>COUNTIF('2 过程管理表单'!BF6:BF507,"&lt;"&amp;0)</f>
        <v>20</v>
      </c>
    </row>
    <row r="3" spans="1:13">
      <c r="A3" s="6" t="s">
        <v>9</v>
      </c>
      <c r="B3" s="6">
        <f>COUNTIF('2 过程管理表单'!Y509:Y535,"&lt;0")</f>
        <v>7</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1</v>
      </c>
      <c r="E6" s="6">
        <f>COUNTIF('2 过程管理表单'!AH604:AH615,"&lt;"&amp;0)</f>
        <v>0</v>
      </c>
      <c r="F6" s="6">
        <f>COUNTIF('2 过程管理表单'!AK604:AK615,"&lt;"&amp;0)</f>
        <v>1</v>
      </c>
      <c r="G6" s="6">
        <f>COUNTIF('2 过程管理表单'!AN604:AN615,"&lt;"&amp;0)</f>
        <v>1</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16</v>
      </c>
      <c r="C8" s="6">
        <f t="shared" ref="C8:M8" si="0">SUM(C2:C7)</f>
        <v>25</v>
      </c>
      <c r="D8" s="6">
        <f t="shared" si="0"/>
        <v>31</v>
      </c>
      <c r="E8" s="6">
        <f t="shared" si="0"/>
        <v>32</v>
      </c>
      <c r="F8" s="6">
        <f t="shared" si="0"/>
        <v>30</v>
      </c>
      <c r="G8" s="6">
        <f t="shared" si="0"/>
        <v>37</v>
      </c>
      <c r="H8" s="6">
        <f t="shared" si="0"/>
        <v>21</v>
      </c>
      <c r="I8" s="6">
        <f t="shared" si="0"/>
        <v>21</v>
      </c>
      <c r="J8" s="6">
        <f t="shared" si="0"/>
        <v>21</v>
      </c>
      <c r="K8" s="6">
        <f t="shared" si="0"/>
        <v>21</v>
      </c>
      <c r="L8" s="6">
        <f t="shared" si="0"/>
        <v>20</v>
      </c>
      <c r="M8" s="6">
        <f t="shared" si="0"/>
        <v>20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C2</f>
        <v>73081.2453187266</v>
      </c>
      <c r="D3">
        <f t="shared" ref="D3:N3" si="0">C3+D2</f>
        <v>455234.708567129</v>
      </c>
      <c r="E3">
        <f t="shared" si="0"/>
        <v>1012965.99937894</v>
      </c>
      <c r="F3">
        <f t="shared" si="0"/>
        <v>2185746.19618658</v>
      </c>
      <c r="G3">
        <f t="shared" si="0"/>
        <v>3420739.87600113</v>
      </c>
      <c r="H3">
        <f t="shared" si="0"/>
        <v>4635627.66958272</v>
      </c>
      <c r="I3">
        <f t="shared" si="0"/>
        <v>5870566.29002292</v>
      </c>
      <c r="J3">
        <f t="shared" si="0"/>
        <v>7090944.77805008</v>
      </c>
      <c r="K3">
        <f t="shared" si="0"/>
        <v>8265753.97088536</v>
      </c>
      <c r="L3">
        <f t="shared" si="0"/>
        <v>9449622.84117926</v>
      </c>
      <c r="M3">
        <f t="shared" si="0"/>
        <v>10595302.3930766</v>
      </c>
      <c r="N3">
        <f t="shared" si="0"/>
        <v>11778329.0167951</v>
      </c>
    </row>
    <row r="4" spans="1:14">
      <c r="A4" s="6" t="s">
        <v>214</v>
      </c>
      <c r="B4" s="12" t="s">
        <v>18126</v>
      </c>
      <c r="C4">
        <f>'2 过程管理表单'!X5</f>
        <v>2900522.20326735</v>
      </c>
      <c r="D4">
        <f>'2 过程管理表单'!AA5</f>
        <v>1999290.24089146</v>
      </c>
      <c r="E4">
        <f>'2 过程管理表单'!AD5</f>
        <v>1999290.24089146</v>
      </c>
      <c r="F4">
        <f>'2 过程管理表单'!AG5</f>
        <v>1999290.24089146</v>
      </c>
      <c r="G4">
        <f>'2 过程管理表单'!AJ5</f>
        <v>1999290.24089146</v>
      </c>
      <c r="H4">
        <f>'2 过程管理表单'!AM5</f>
        <v>1999290.24089146</v>
      </c>
      <c r="I4">
        <f>'2 过程管理表单'!AP5</f>
        <v>1999290.24089146</v>
      </c>
      <c r="J4">
        <f>'2 过程管理表单'!AS5</f>
        <v>1999290.24089146</v>
      </c>
      <c r="K4">
        <f>'2 过程管理表单'!AV5</f>
        <v>1999290.24089146</v>
      </c>
      <c r="L4">
        <f>'2 过程管理表单'!AY5</f>
        <v>1999290.24089146</v>
      </c>
      <c r="M4">
        <f>'2 过程管理表单'!BB5</f>
        <v>1999290.24089146</v>
      </c>
      <c r="N4">
        <f>'2 过程管理表单'!BE5</f>
        <v>1999290.24089146</v>
      </c>
    </row>
    <row r="5" spans="1:14">
      <c r="A5" s="6" t="s">
        <v>214</v>
      </c>
      <c r="B5" s="12" t="s">
        <v>18127</v>
      </c>
      <c r="C5">
        <f>C4</f>
        <v>2900522.20326735</v>
      </c>
      <c r="D5">
        <f t="shared" ref="D5:N5" si="1">C5+D4</f>
        <v>4899812.44415881</v>
      </c>
      <c r="E5">
        <f t="shared" si="1"/>
        <v>6899102.68505026</v>
      </c>
      <c r="F5">
        <f t="shared" si="1"/>
        <v>8898392.92594172</v>
      </c>
      <c r="G5">
        <f t="shared" si="1"/>
        <v>10897683.1668332</v>
      </c>
      <c r="H5">
        <f t="shared" si="1"/>
        <v>12896973.4077246</v>
      </c>
      <c r="I5">
        <f t="shared" si="1"/>
        <v>14896263.6486161</v>
      </c>
      <c r="J5">
        <f t="shared" si="1"/>
        <v>16895553.8895076</v>
      </c>
      <c r="K5">
        <f t="shared" si="1"/>
        <v>18894844.130399</v>
      </c>
      <c r="L5">
        <f t="shared" si="1"/>
        <v>20894134.3712905</v>
      </c>
      <c r="M5">
        <f t="shared" si="1"/>
        <v>22893424.6121819</v>
      </c>
      <c r="N5">
        <f t="shared" si="1"/>
        <v>24892714.8530734</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C6</f>
        <v>164127.8</v>
      </c>
      <c r="D7">
        <f t="shared" ref="D7:N7" si="2">C7+D6</f>
        <v>179008.43</v>
      </c>
      <c r="E7">
        <f t="shared" si="2"/>
        <v>250514.22</v>
      </c>
      <c r="F7">
        <f t="shared" si="2"/>
        <v>271499.02</v>
      </c>
      <c r="G7">
        <f t="shared" si="2"/>
        <v>281601.01</v>
      </c>
      <c r="H7">
        <f t="shared" si="2"/>
        <v>301293.14</v>
      </c>
      <c r="I7">
        <f t="shared" si="2"/>
        <v>301293.14</v>
      </c>
      <c r="J7">
        <f t="shared" si="2"/>
        <v>301293.14</v>
      </c>
      <c r="K7">
        <f t="shared" si="2"/>
        <v>301293.14</v>
      </c>
      <c r="L7">
        <f t="shared" si="2"/>
        <v>301293.14</v>
      </c>
      <c r="M7">
        <f t="shared" si="2"/>
        <v>301293.14</v>
      </c>
      <c r="N7">
        <f t="shared" si="2"/>
        <v>301293.14</v>
      </c>
    </row>
    <row r="8" spans="1:14">
      <c r="A8" s="6" t="s">
        <v>9</v>
      </c>
      <c r="B8" s="12" t="s">
        <v>18130</v>
      </c>
      <c r="C8">
        <f>'2 过程管理表单'!X508</f>
        <v>1737236.86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C8</f>
        <v>1737236.86</v>
      </c>
      <c r="D9">
        <f t="shared" ref="D9:N9" si="3">C9+D8</f>
        <v>1737236.86</v>
      </c>
      <c r="E9">
        <f t="shared" si="3"/>
        <v>1737236.86</v>
      </c>
      <c r="F9">
        <f t="shared" si="3"/>
        <v>1737236.86</v>
      </c>
      <c r="G9">
        <f t="shared" si="3"/>
        <v>1737236.86</v>
      </c>
      <c r="H9">
        <f t="shared" si="3"/>
        <v>1737236.86</v>
      </c>
      <c r="I9">
        <f t="shared" si="3"/>
        <v>1737236.86</v>
      </c>
      <c r="J9">
        <f t="shared" si="3"/>
        <v>1737236.86</v>
      </c>
      <c r="K9">
        <f t="shared" si="3"/>
        <v>1737236.86</v>
      </c>
      <c r="L9">
        <f t="shared" si="3"/>
        <v>1737236.86</v>
      </c>
      <c r="M9">
        <f t="shared" si="3"/>
        <v>1737236.86</v>
      </c>
      <c r="N9">
        <f t="shared" si="3"/>
        <v>1737236.86</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18134</v>
      </c>
      <c r="C12">
        <f>'2 过程管理表单'!X536</f>
        <v>324371.06918239</v>
      </c>
      <c r="D12">
        <f>'2 过程管理表单'!AA536</f>
        <v>55031.4465408805</v>
      </c>
      <c r="E12">
        <f>'2 过程管理表单'!AD536</f>
        <v>55031.4465408805</v>
      </c>
      <c r="F12">
        <f>'2 过程管理表单'!AG536</f>
        <v>55031.4465408805</v>
      </c>
      <c r="G12">
        <f>'2 过程管理表单'!AJ536</f>
        <v>55031.4465408805</v>
      </c>
      <c r="H12">
        <f>'2 过程管理表单'!AM536</f>
        <v>55031.4465408805</v>
      </c>
      <c r="I12">
        <f>'2 过程管理表单'!AP536</f>
        <v>55031.4465408805</v>
      </c>
      <c r="J12">
        <f>'2 过程管理表单'!AS536</f>
        <v>55031.4465408805</v>
      </c>
      <c r="K12">
        <f>'2 过程管理表单'!AV536</f>
        <v>55031.4465408805</v>
      </c>
      <c r="L12">
        <f>'2 过程管理表单'!AY536</f>
        <v>55031.4465408805</v>
      </c>
      <c r="M12">
        <f>'2 过程管理表单'!BB536</f>
        <v>55031.4465408805</v>
      </c>
      <c r="N12">
        <f>'2 过程管理表单'!BE536</f>
        <v>55031.4465408805</v>
      </c>
    </row>
    <row r="13" spans="1:14">
      <c r="A13" s="6" t="s">
        <v>64</v>
      </c>
      <c r="B13" s="12" t="s">
        <v>18135</v>
      </c>
      <c r="C13">
        <f>C12</f>
        <v>324371.06918239</v>
      </c>
      <c r="D13">
        <f t="shared" ref="D13:N13" si="5">C13+D12</f>
        <v>379402.51572327</v>
      </c>
      <c r="E13">
        <f t="shared" si="5"/>
        <v>434433.962264151</v>
      </c>
      <c r="F13">
        <f t="shared" si="5"/>
        <v>489465.408805031</v>
      </c>
      <c r="G13">
        <f t="shared" si="5"/>
        <v>544496.855345912</v>
      </c>
      <c r="H13">
        <f t="shared" si="5"/>
        <v>599528.301886792</v>
      </c>
      <c r="I13">
        <f t="shared" si="5"/>
        <v>654559.748427673</v>
      </c>
      <c r="J13">
        <f t="shared" si="5"/>
        <v>709591.194968553</v>
      </c>
      <c r="K13">
        <f t="shared" si="5"/>
        <v>764622.641509434</v>
      </c>
      <c r="L13">
        <f t="shared" si="5"/>
        <v>819654.088050314</v>
      </c>
      <c r="M13">
        <f t="shared" si="5"/>
        <v>874685.534591195</v>
      </c>
      <c r="N13">
        <f t="shared" si="5"/>
        <v>929716.981132075</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C18</f>
        <v>54672</v>
      </c>
      <c r="D19">
        <f>表3_3[[#This Row],[1月]]+D18</f>
        <v>86579.89</v>
      </c>
      <c r="E19">
        <f>表3_3[[#This Row],[2月]]+E18</f>
        <v>111736.29</v>
      </c>
      <c r="F19">
        <f>表3_3[[#This Row],[3月]]+F18</f>
        <v>112060.77</v>
      </c>
      <c r="G19">
        <f>表3_3[[#This Row],[4月]]+G18</f>
        <v>115484.77</v>
      </c>
      <c r="H19">
        <f>表3_3[[#This Row],[5月]]+H18</f>
        <v>120357.72</v>
      </c>
      <c r="I19">
        <f>表3_3[[#This Row],[6月]]+I18</f>
        <v>120357.72</v>
      </c>
      <c r="J19">
        <f>表3_3[[#This Row],[7月]]+J18</f>
        <v>120357.72</v>
      </c>
      <c r="K19">
        <f>表3_3[[#This Row],[8月]]+K18</f>
        <v>120357.72</v>
      </c>
      <c r="L19">
        <f>表3_3[[#This Row],[9月]]+L18</f>
        <v>120357.72</v>
      </c>
      <c r="M19">
        <f>表3_3[[#This Row],[10月]]+M18</f>
        <v>120357.72</v>
      </c>
      <c r="N19">
        <f>表3_3[[#This Row],[11月]]+N18</f>
        <v>120357.72</v>
      </c>
    </row>
    <row r="20" spans="1:14">
      <c r="A20" s="6" t="s">
        <v>216</v>
      </c>
      <c r="B20" s="12" t="s">
        <v>18142</v>
      </c>
      <c r="C20">
        <f>'2 过程管理表单'!X603</f>
        <v>12207.915</v>
      </c>
      <c r="D20">
        <f>'2 过程管理表单'!AA603</f>
        <v>12207.915</v>
      </c>
      <c r="E20">
        <f>'2 过程管理表单'!AD603</f>
        <v>12207.915</v>
      </c>
      <c r="F20">
        <f>'2 过程管理表单'!AG603</f>
        <v>12207.915</v>
      </c>
      <c r="G20">
        <f>'2 过程管理表单'!AJ603</f>
        <v>12207.915</v>
      </c>
      <c r="H20">
        <f>'2 过程管理表单'!AM603</f>
        <v>12207.915</v>
      </c>
      <c r="I20">
        <f>'2 过程管理表单'!AP603</f>
        <v>12207.915</v>
      </c>
      <c r="J20">
        <f>'2 过程管理表单'!AS603</f>
        <v>12207.915</v>
      </c>
      <c r="K20">
        <f>'2 过程管理表单'!AV603</f>
        <v>12207.915</v>
      </c>
      <c r="L20">
        <f>'2 过程管理表单'!AY603</f>
        <v>12207.915</v>
      </c>
      <c r="M20">
        <f>'2 过程管理表单'!BB603</f>
        <v>12207.915</v>
      </c>
      <c r="N20">
        <f>'2 过程管理表单'!BE603</f>
        <v>12207.915</v>
      </c>
    </row>
    <row r="21" spans="1:14">
      <c r="A21" s="6" t="s">
        <v>216</v>
      </c>
      <c r="B21" s="12" t="s">
        <v>18143</v>
      </c>
      <c r="C21">
        <f>C20</f>
        <v>12207.915</v>
      </c>
      <c r="D21">
        <f>表3_3[[#This Row],[1月]]+D20</f>
        <v>24415.83</v>
      </c>
      <c r="E21">
        <f>表3_3[[#This Row],[2月]]+E20</f>
        <v>36623.745</v>
      </c>
      <c r="F21">
        <f>表3_3[[#This Row],[3月]]+F20</f>
        <v>48831.66</v>
      </c>
      <c r="G21">
        <f>表3_3[[#This Row],[4月]]+G20</f>
        <v>61039.575</v>
      </c>
      <c r="H21">
        <f>表3_3[[#This Row],[5月]]+H20</f>
        <v>73247.49</v>
      </c>
      <c r="I21">
        <f>表3_3[[#This Row],[6月]]+I20</f>
        <v>85455.405</v>
      </c>
      <c r="J21">
        <f>表3_3[[#This Row],[7月]]+J20</f>
        <v>97663.32</v>
      </c>
      <c r="K21">
        <f>表3_3[[#This Row],[8月]]+K20</f>
        <v>109871.235</v>
      </c>
      <c r="L21">
        <f>表3_3[[#This Row],[9月]]+L20</f>
        <v>122079.15</v>
      </c>
      <c r="M21">
        <f>表3_3[[#This Row],[10月]]+M20</f>
        <v>134287.065</v>
      </c>
      <c r="N21">
        <f>表3_3[[#This Row],[11月]]+N20</f>
        <v>146494.98</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C22</f>
        <v>55848.77</v>
      </c>
      <c r="D23">
        <f>表3_3[[#This Row],[1月]]+D22</f>
        <v>127945.67</v>
      </c>
      <c r="E23">
        <f>表3_3[[#This Row],[2月]]+E22</f>
        <v>136140.72</v>
      </c>
      <c r="F23">
        <f>表3_3[[#This Row],[3月]]+F22</f>
        <v>139512.94</v>
      </c>
      <c r="G23">
        <f>表3_3[[#This Row],[4月]]+G22</f>
        <v>142151.03</v>
      </c>
      <c r="H23">
        <f>表3_3[[#This Row],[5月]]+H22</f>
        <v>147748.45</v>
      </c>
      <c r="I23">
        <f>表3_3[[#This Row],[6月]]+I22</f>
        <v>147748.45</v>
      </c>
      <c r="J23">
        <f>表3_3[[#This Row],[7月]]+J22</f>
        <v>147748.45</v>
      </c>
      <c r="K23">
        <f>表3_3[[#This Row],[8月]]+K22</f>
        <v>147748.45</v>
      </c>
      <c r="L23">
        <f>表3_3[[#This Row],[9月]]+L22</f>
        <v>147748.45</v>
      </c>
      <c r="M23">
        <f>表3_3[[#This Row],[10月]]+M22</f>
        <v>147748.45</v>
      </c>
      <c r="N23">
        <f>表3_3[[#This Row],[11月]]+N22</f>
        <v>147748.45</v>
      </c>
    </row>
    <row r="24" spans="1:14">
      <c r="A24" s="6" t="s">
        <v>217</v>
      </c>
      <c r="B24" s="12" t="s">
        <v>18146</v>
      </c>
      <c r="C24">
        <f>'2 过程管理表单'!X616</f>
        <v>1170301.46226415</v>
      </c>
      <c r="D24">
        <f>'2 过程管理表单'!AA616</f>
        <v>7923.5</v>
      </c>
      <c r="E24">
        <f>'2 过程管理表单'!AD616</f>
        <v>7923.5</v>
      </c>
      <c r="F24">
        <f>'2 过程管理表单'!AG616</f>
        <v>7923.5</v>
      </c>
      <c r="G24">
        <f>'2 过程管理表单'!AJ616</f>
        <v>7923.5</v>
      </c>
      <c r="H24">
        <f>'2 过程管理表单'!AM616</f>
        <v>7923.5</v>
      </c>
      <c r="I24">
        <f>'2 过程管理表单'!AP616</f>
        <v>7923.5</v>
      </c>
      <c r="J24">
        <f>'2 过程管理表单'!AS616</f>
        <v>7923.5</v>
      </c>
      <c r="K24">
        <f>'2 过程管理表单'!AV616</f>
        <v>7923.5</v>
      </c>
      <c r="L24">
        <f>'2 过程管理表单'!AY616</f>
        <v>7923.5</v>
      </c>
      <c r="M24">
        <f>'2 过程管理表单'!BB616</f>
        <v>7923.5</v>
      </c>
      <c r="N24">
        <f>'2 过程管理表单'!BE616</f>
        <v>7923.5</v>
      </c>
    </row>
    <row r="25" spans="1:14">
      <c r="A25" s="6" t="s">
        <v>217</v>
      </c>
      <c r="B25" s="12" t="s">
        <v>18147</v>
      </c>
      <c r="C25">
        <f>C24</f>
        <v>1170301.46226415</v>
      </c>
      <c r="D25">
        <f>表3_3[[#This Row],[1月]]+D24</f>
        <v>1178224.96226415</v>
      </c>
      <c r="E25">
        <f>表3_3[[#This Row],[2月]]+E24</f>
        <v>1186148.46226415</v>
      </c>
      <c r="F25">
        <f>表3_3[[#This Row],[3月]]+F24</f>
        <v>1194071.96226415</v>
      </c>
      <c r="G25">
        <f>表3_3[[#This Row],[4月]]+G24</f>
        <v>1201995.46226415</v>
      </c>
      <c r="H25">
        <f>表3_3[[#This Row],[5月]]+H24</f>
        <v>1209918.96226415</v>
      </c>
      <c r="I25">
        <f>表3_3[[#This Row],[6月]]+I24</f>
        <v>1217842.46226415</v>
      </c>
      <c r="J25">
        <f>表3_3[[#This Row],[7月]]+J24</f>
        <v>1225765.96226415</v>
      </c>
      <c r="K25">
        <f>表3_3[[#This Row],[8月]]+K24</f>
        <v>1233689.46226415</v>
      </c>
      <c r="L25">
        <f>表3_3[[#This Row],[9月]]+L24</f>
        <v>1241612.96226415</v>
      </c>
      <c r="M25">
        <f>表3_3[[#This Row],[10月]]+M24</f>
        <v>1249536.46226415</v>
      </c>
      <c r="N25">
        <f>表3_3[[#This Row],[11月]]+N24</f>
        <v>1257459.96226415</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C26</f>
        <v>5552.23880597015</v>
      </c>
      <c r="D27">
        <f>表3_3[[#This Row],[1月]]+D26</f>
        <v>10567.1641791045</v>
      </c>
      <c r="E27">
        <f>表3_3[[#This Row],[2月]]+E26</f>
        <v>16119.4029850746</v>
      </c>
      <c r="F27">
        <f>表3_3[[#This Row],[3月]]+F26</f>
        <v>551346.563400389</v>
      </c>
      <c r="G27">
        <f>表3_3[[#This Row],[4月]]+G26</f>
        <v>1098862.39035691</v>
      </c>
      <c r="H27">
        <f>表3_3[[#This Row],[5月]]+H26</f>
        <v>1628716.41644387</v>
      </c>
      <c r="I27">
        <f>表3_3[[#This Row],[6月]]+I26</f>
        <v>2176232.24340039</v>
      </c>
      <c r="J27">
        <f>表3_3[[#This Row],[7月]]+J26</f>
        <v>2723748.07035691</v>
      </c>
      <c r="K27">
        <f>表3_3[[#This Row],[8月]]+K26</f>
        <v>3253602.09644387</v>
      </c>
      <c r="L27">
        <f>表3_3[[#This Row],[9月]]+L26</f>
        <v>3801117.92340039</v>
      </c>
      <c r="M27">
        <f>表3_3[[#This Row],[10月]]+M26</f>
        <v>4330971.94948735</v>
      </c>
      <c r="N27">
        <f>表3_3[[#This Row],[11月]]+N26</f>
        <v>4878487.77644387</v>
      </c>
    </row>
    <row r="28" spans="1:14">
      <c r="A28" s="31" t="s">
        <v>18149</v>
      </c>
      <c r="B28" s="32" t="s">
        <v>18152</v>
      </c>
      <c r="C28">
        <f>'2 过程管理表单'!X6</f>
        <v>2714501.57334429</v>
      </c>
      <c r="D28">
        <f>'2 过程管理表单'!AA6</f>
        <v>1973670.78334429</v>
      </c>
      <c r="E28">
        <f>'2 过程管理表单'!AD6</f>
        <v>1973670.78334429</v>
      </c>
      <c r="F28">
        <f>'2 过程管理表单'!AG6</f>
        <v>1973670.78334429</v>
      </c>
      <c r="G28">
        <f>'2 过程管理表单'!AJ6</f>
        <v>1973670.78334429</v>
      </c>
      <c r="H28">
        <f>'2 过程管理表单'!AM6</f>
        <v>1973670.78334429</v>
      </c>
      <c r="I28">
        <f>'2 过程管理表单'!AP6</f>
        <v>1973670.78334429</v>
      </c>
      <c r="J28">
        <f>'2 过程管理表单'!AS6</f>
        <v>1973670.78334429</v>
      </c>
      <c r="K28">
        <f>'2 过程管理表单'!AV6</f>
        <v>1973670.78334429</v>
      </c>
      <c r="L28">
        <f>'2 过程管理表单'!AY6</f>
        <v>1973670.78334429</v>
      </c>
      <c r="M28">
        <f>'2 过程管理表单'!BB6</f>
        <v>1973670.78334429</v>
      </c>
      <c r="N28">
        <f>'2 过程管理表单'!BE6</f>
        <v>1973670.78334429</v>
      </c>
    </row>
    <row r="29" spans="1:14">
      <c r="A29" s="31" t="s">
        <v>18149</v>
      </c>
      <c r="B29" s="32" t="s">
        <v>18153</v>
      </c>
      <c r="C29">
        <f>C28</f>
        <v>2714501.57334429</v>
      </c>
      <c r="D29">
        <f>表3_3[[#This Row],[1月]]+D28</f>
        <v>4688172.35668857</v>
      </c>
      <c r="E29">
        <f>表3_3[[#This Row],[2月]]+E28</f>
        <v>6661843.14003286</v>
      </c>
      <c r="F29">
        <f>表3_3[[#This Row],[3月]]+F28</f>
        <v>8635513.92337715</v>
      </c>
      <c r="G29">
        <f>表3_3[[#This Row],[4月]]+G28</f>
        <v>10609184.7067214</v>
      </c>
      <c r="H29">
        <f>表3_3[[#This Row],[5月]]+H28</f>
        <v>12582855.4900657</v>
      </c>
      <c r="I29">
        <f>表3_3[[#This Row],[6月]]+I28</f>
        <v>14556526.27341</v>
      </c>
      <c r="J29">
        <f>表3_3[[#This Row],[7月]]+J28</f>
        <v>16530197.0567543</v>
      </c>
      <c r="K29">
        <f>表3_3[[#This Row],[8月]]+K28</f>
        <v>18503867.8400986</v>
      </c>
      <c r="L29">
        <f>表3_3[[#This Row],[9月]]+L28</f>
        <v>20477538.6234429</v>
      </c>
      <c r="M29">
        <f>表3_3[[#This Row],[10月]]+M28</f>
        <v>22451209.4067872</v>
      </c>
      <c r="N29">
        <f>表3_3[[#This Row],[11月]]+N28</f>
        <v>24424880.1901314</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C30</f>
        <v>57588.7846191936</v>
      </c>
      <c r="D31">
        <f>表3_3[[#This Row],[1月]]+D30</f>
        <v>412725.518906302</v>
      </c>
      <c r="E31">
        <f>表3_3[[#This Row],[2月]]+E30</f>
        <v>866683.575110681</v>
      </c>
      <c r="F31">
        <f>表3_3[[#This Row],[3月]]+F30</f>
        <v>1350916.60000842</v>
      </c>
      <c r="G31">
        <f>表3_3[[#This Row],[4月]]+G30</f>
        <v>1886632.63717373</v>
      </c>
      <c r="H31">
        <f>表3_3[[#This Row],[5月]]+H30</f>
        <v>2421608.13141735</v>
      </c>
      <c r="I31">
        <f>表3_3[[#This Row],[6月]]+I30</f>
        <v>2950419.62071514</v>
      </c>
      <c r="J31">
        <f>表3_3[[#This Row],[7月]]+J30</f>
        <v>3467382.75836458</v>
      </c>
      <c r="K31">
        <f>表3_3[[#This Row],[8月]]+K30</f>
        <v>3967669.66576727</v>
      </c>
      <c r="L31">
        <f>表3_3[[#This Row],[9月]]+L30</f>
        <v>4480168.12950367</v>
      </c>
      <c r="M31">
        <f>表3_3[[#This Row],[10月]]+M30</f>
        <v>4976134.38473244</v>
      </c>
      <c r="N31">
        <f>表3_3[[#This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C34</f>
        <v>9940.22189356286</v>
      </c>
      <c r="D35" s="33">
        <f>C35+C34</f>
        <v>19880.4437871257</v>
      </c>
      <c r="E35" s="33">
        <f>D35+E34</f>
        <v>118101.43958859</v>
      </c>
      <c r="F35" s="33">
        <f>E35+F34</f>
        <v>271421.451083168</v>
      </c>
      <c r="G35" s="33">
        <f>F35+G34</f>
        <v>423183.266775891</v>
      </c>
      <c r="H35" s="33">
        <f t="shared" ref="H35:N35" si="7">H34+G35</f>
        <v>573241.540026914</v>
      </c>
      <c r="I35" s="33">
        <f t="shared" si="7"/>
        <v>731852.844212788</v>
      </c>
      <c r="J35" s="33">
        <f t="shared" si="7"/>
        <v>887752.367633992</v>
      </c>
      <c r="K35" s="33">
        <f t="shared" si="7"/>
        <v>1032420.62697963</v>
      </c>
      <c r="L35" s="33">
        <f t="shared" si="7"/>
        <v>1156275.20658061</v>
      </c>
      <c r="M35" s="33">
        <f t="shared" si="7"/>
        <v>1276134.4771622</v>
      </c>
      <c r="N35" s="33">
        <f t="shared" si="7"/>
        <v>1399146.81018784</v>
      </c>
    </row>
    <row r="36" spans="1:14">
      <c r="A36" s="31" t="s">
        <v>18155</v>
      </c>
      <c r="B36" s="32" t="s">
        <v>18152</v>
      </c>
      <c r="C36" s="33">
        <f>'2 过程管理表单'!X177</f>
        <v>186020.629923063</v>
      </c>
      <c r="D36" s="33">
        <f>'2 过程管理表单'!AA177</f>
        <v>25619.4575471698</v>
      </c>
      <c r="E36" s="33">
        <f>'2 过程管理表单'!AD177</f>
        <v>25619.4575471698</v>
      </c>
      <c r="F36" s="33">
        <f>'2 过程管理表单'!AG177</f>
        <v>25619.4575471698</v>
      </c>
      <c r="G36" s="33">
        <f>'2 过程管理表单'!AJ177</f>
        <v>25619.4575471698</v>
      </c>
      <c r="H36" s="33">
        <f>'2 过程管理表单'!AM177</f>
        <v>25619.4575471698</v>
      </c>
      <c r="I36" s="33">
        <f>'2 过程管理表单'!AP177</f>
        <v>25619.4575471698</v>
      </c>
      <c r="J36" s="33">
        <f>'2 过程管理表单'!AS177</f>
        <v>25619.4575471698</v>
      </c>
      <c r="K36" s="33">
        <f>'2 过程管理表单'!AV177</f>
        <v>25619.4575471698</v>
      </c>
      <c r="L36" s="33">
        <f>'2 过程管理表单'!AY177</f>
        <v>25619.4575471698</v>
      </c>
      <c r="M36" s="33">
        <f>'2 过程管理表单'!BB177</f>
        <v>25619.4575471698</v>
      </c>
      <c r="N36" s="33">
        <f>'2 过程管理表单'!BE177</f>
        <v>25619.4575471698</v>
      </c>
    </row>
    <row r="37" spans="1:14">
      <c r="A37" s="31" t="s">
        <v>18155</v>
      </c>
      <c r="B37" s="32" t="s">
        <v>18153</v>
      </c>
      <c r="C37" s="34">
        <f>C36</f>
        <v>186020.629923063</v>
      </c>
      <c r="D37" s="35">
        <f t="shared" ref="D37:N37" si="8">D36+C37</f>
        <v>211640.087470233</v>
      </c>
      <c r="E37" s="34">
        <f t="shared" si="8"/>
        <v>237259.545017403</v>
      </c>
      <c r="F37" s="34">
        <f t="shared" si="8"/>
        <v>262879.002564572</v>
      </c>
      <c r="G37" s="34">
        <f t="shared" si="8"/>
        <v>288498.460111742</v>
      </c>
      <c r="H37" s="34">
        <f t="shared" si="8"/>
        <v>314117.917658912</v>
      </c>
      <c r="I37" s="34">
        <f t="shared" si="8"/>
        <v>339737.375206082</v>
      </c>
      <c r="J37" s="34">
        <f t="shared" si="8"/>
        <v>365356.832753252</v>
      </c>
      <c r="K37" s="34">
        <f t="shared" si="8"/>
        <v>390976.290300421</v>
      </c>
      <c r="L37" s="34">
        <f t="shared" si="8"/>
        <v>416595.747847591</v>
      </c>
      <c r="M37" s="34">
        <f t="shared" si="8"/>
        <v>442215.205394761</v>
      </c>
      <c r="N37" s="35">
        <f t="shared" si="8"/>
        <v>467834.662941931</v>
      </c>
    </row>
    <row r="38" spans="1:14">
      <c r="A38" s="36" t="s">
        <v>18156</v>
      </c>
      <c r="B38" s="12" t="s">
        <v>18157</v>
      </c>
      <c r="C38">
        <f>C5+C9+C13+C17+C21+C25</f>
        <v>6144639.50971389</v>
      </c>
      <c r="D38">
        <f t="shared" ref="D38:N38" si="9">D5+D9+D13+D17+D21+D25</f>
        <v>8219092.61214623</v>
      </c>
      <c r="E38">
        <f t="shared" si="9"/>
        <v>10293545.7145786</v>
      </c>
      <c r="F38">
        <f t="shared" si="9"/>
        <v>12367998.8170109</v>
      </c>
      <c r="G38">
        <f t="shared" si="9"/>
        <v>14442451.9194432</v>
      </c>
      <c r="H38">
        <f t="shared" si="9"/>
        <v>16516905.0218756</v>
      </c>
      <c r="I38">
        <f t="shared" si="9"/>
        <v>18591358.1243079</v>
      </c>
      <c r="J38">
        <f t="shared" si="9"/>
        <v>20665811.2267403</v>
      </c>
      <c r="K38">
        <f t="shared" si="9"/>
        <v>22740264.3291726</v>
      </c>
      <c r="L38">
        <f t="shared" si="9"/>
        <v>24814717.4316049</v>
      </c>
      <c r="M38">
        <f t="shared" si="9"/>
        <v>26889170.5340373</v>
      </c>
      <c r="N38">
        <f t="shared" si="9"/>
        <v>28963623.6364696</v>
      </c>
    </row>
    <row r="39" spans="1:14">
      <c r="A39" s="36" t="s">
        <v>18156</v>
      </c>
      <c r="B39" s="12" t="s">
        <v>18158</v>
      </c>
      <c r="C39">
        <f>C3+C7+C11+C15+C19+C23</f>
        <v>347729.815318727</v>
      </c>
      <c r="D39">
        <f t="shared" ref="D39:N39" si="10">D3+D7+D11+D15+D19+D23</f>
        <v>848768.698567129</v>
      </c>
      <c r="E39">
        <f t="shared" si="10"/>
        <v>1511357.22937894</v>
      </c>
      <c r="F39">
        <f t="shared" si="10"/>
        <v>2708818.92618658</v>
      </c>
      <c r="G39">
        <f t="shared" si="10"/>
        <v>3959976.68600113</v>
      </c>
      <c r="H39">
        <f t="shared" si="10"/>
        <v>5205026.97958272</v>
      </c>
      <c r="I39">
        <f t="shared" si="10"/>
        <v>6439965.60002291</v>
      </c>
      <c r="J39">
        <f t="shared" si="10"/>
        <v>7660344.08805008</v>
      </c>
      <c r="K39">
        <f t="shared" si="10"/>
        <v>8835153.28088536</v>
      </c>
      <c r="L39">
        <f t="shared" si="10"/>
        <v>10019022.1511793</v>
      </c>
      <c r="M39">
        <f t="shared" si="10"/>
        <v>11164701.7030766</v>
      </c>
      <c r="N39">
        <f t="shared" si="10"/>
        <v>12347728.3267951</v>
      </c>
    </row>
    <row r="42" spans="1:14">
      <c r="A42" s="37" t="s">
        <v>214</v>
      </c>
      <c r="B42" t="s">
        <v>18159</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18159</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18159</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18159</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18159</v>
      </c>
      <c r="C46">
        <f>IF(C19&gt;C21,1,0)</f>
        <v>1</v>
      </c>
      <c r="D46">
        <f t="shared" ref="D46:N46" si="15">IF(D19&gt;D21,1,0)</f>
        <v>1</v>
      </c>
      <c r="E46">
        <f t="shared" si="15"/>
        <v>1</v>
      </c>
      <c r="F46">
        <f t="shared" si="15"/>
        <v>1</v>
      </c>
      <c r="G46">
        <f t="shared" si="15"/>
        <v>1</v>
      </c>
      <c r="H46">
        <f t="shared" si="15"/>
        <v>1</v>
      </c>
      <c r="I46">
        <f t="shared" si="15"/>
        <v>1</v>
      </c>
      <c r="J46">
        <f t="shared" si="15"/>
        <v>1</v>
      </c>
      <c r="K46">
        <f t="shared" si="15"/>
        <v>1</v>
      </c>
      <c r="L46">
        <f t="shared" si="15"/>
        <v>0</v>
      </c>
      <c r="M46">
        <f t="shared" si="15"/>
        <v>0</v>
      </c>
      <c r="N46">
        <f t="shared" si="15"/>
        <v>0</v>
      </c>
    </row>
    <row r="47" spans="1:14">
      <c r="A47" s="37" t="s">
        <v>217</v>
      </c>
      <c r="B47" t="s">
        <v>18159</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738</v>
      </c>
      <c r="C48">
        <f>SUM(C42:C47)</f>
        <v>1</v>
      </c>
      <c r="D48">
        <f t="shared" ref="D48:N48" si="17">SUM(D42:D47)</f>
        <v>1</v>
      </c>
      <c r="E48">
        <f t="shared" si="17"/>
        <v>1</v>
      </c>
      <c r="F48">
        <f t="shared" si="17"/>
        <v>1</v>
      </c>
      <c r="G48">
        <f t="shared" si="17"/>
        <v>1</v>
      </c>
      <c r="H48">
        <f t="shared" si="17"/>
        <v>1</v>
      </c>
      <c r="I48">
        <f t="shared" si="17"/>
        <v>1</v>
      </c>
      <c r="J48">
        <f t="shared" si="17"/>
        <v>1</v>
      </c>
      <c r="K48">
        <f t="shared" si="17"/>
        <v>1</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672963.0877847</v>
      </c>
      <c r="D4">
        <f>'2 过程管理表单'!AA5-'2 过程管理表单'!AA8-'2 过程管理表单'!AA27-'2 过程管理表单'!AA46-'2 过程管理表单'!AA71-'2 过程管理表单'!AA96-'2 过程管理表单'!AA115-'2 过程管理表单'!AA140-'2 过程管理表单'!AA159</f>
        <v>512561.91540881</v>
      </c>
      <c r="E4">
        <f>'2 过程管理表单'!AD5-'2 过程管理表单'!AD8-'2 过程管理表单'!AD27-'2 过程管理表单'!AD46-'2 过程管理表单'!AD71-'2 过程管理表单'!AD96-'2 过程管理表单'!AD115-'2 过程管理表单'!AD140-'2 过程管理表单'!AD159</f>
        <v>512561.91540881</v>
      </c>
      <c r="F4">
        <f>'2 过程管理表单'!AG5-'2 过程管理表单'!AG8-'2 过程管理表单'!AG27-'2 过程管理表单'!AG46-'2 过程管理表单'!AG71-'2 过程管理表单'!AG96-'2 过程管理表单'!AG115-'2 过程管理表单'!AG140-'2 过程管理表单'!AG159</f>
        <v>512561.91540881</v>
      </c>
      <c r="G4">
        <f>'2 过程管理表单'!AJ5-'2 过程管理表单'!AJ8-'2 过程管理表单'!AJ27-'2 过程管理表单'!AJ46-'2 过程管理表单'!AJ71-'2 过程管理表单'!AJ96-'2 过程管理表单'!AJ115-'2 过程管理表单'!AJ140-'2 过程管理表单'!AJ159</f>
        <v>512561.91540881</v>
      </c>
      <c r="H4">
        <f>'2 过程管理表单'!AM5-'2 过程管理表单'!AM8-'2 过程管理表单'!AM27-'2 过程管理表单'!AM46-'2 过程管理表单'!AM71-'2 过程管理表单'!AM96-'2 过程管理表单'!AM115-'2 过程管理表单'!AM140-'2 过程管理表单'!AM159</f>
        <v>512561.91540881</v>
      </c>
      <c r="I4">
        <f>'2 过程管理表单'!AP5-'2 过程管理表单'!AP8-'2 过程管理表单'!AP27-'2 过程管理表单'!AP46-'2 过程管理表单'!AP71-'2 过程管理表单'!AP96-'2 过程管理表单'!AP115-'2 过程管理表单'!AP140-'2 过程管理表单'!AP159</f>
        <v>512561.91540881</v>
      </c>
      <c r="J4">
        <f>'2 过程管理表单'!AS5-'2 过程管理表单'!AS8-'2 过程管理表单'!AS27-'2 过程管理表单'!AS46-'2 过程管理表单'!AS71-'2 过程管理表单'!AS96-'2 过程管理表单'!AS115-'2 过程管理表单'!AS140-'2 过程管理表单'!AS159</f>
        <v>512561.91540881</v>
      </c>
      <c r="K4">
        <f>'2 过程管理表单'!AV5-'2 过程管理表单'!AV8-'2 过程管理表单'!AV27-'2 过程管理表单'!AV46-'2 过程管理表单'!AV71-'2 过程管理表单'!AV96-'2 过程管理表单'!AV115-'2 过程管理表单'!AV140-'2 过程管理表单'!AV159</f>
        <v>512561.91540881</v>
      </c>
      <c r="L4">
        <f>'2 过程管理表单'!AY5-'2 过程管理表单'!AY8-'2 过程管理表单'!AY27-'2 过程管理表单'!AY46-'2 过程管理表单'!AY71-'2 过程管理表单'!AY96-'2 过程管理表单'!AY115-'2 过程管理表单'!AY140-'2 过程管理表单'!AY159</f>
        <v>512561.91540881</v>
      </c>
      <c r="M4">
        <f>'2 过程管理表单'!BB5-'2 过程管理表单'!BB8-'2 过程管理表单'!BB27-'2 过程管理表单'!BB46-'2 过程管理表单'!BB71-'2 过程管理表单'!BB96-'2 过程管理表单'!BB115-'2 过程管理表单'!BB140-'2 过程管理表单'!BB159</f>
        <v>512561.91540881</v>
      </c>
      <c r="N4">
        <f>'2 过程管理表单'!BE5-'2 过程管理表单'!BE8-'2 过程管理表单'!BE27-'2 过程管理表单'!BE46-'2 过程管理表单'!BE71-'2 过程管理表单'!BE96-'2 过程管理表单'!BE115-'2 过程管理表单'!BE140-'2 过程管理表单'!BE159</f>
        <v>512561.91540881</v>
      </c>
    </row>
    <row r="5" spans="1:14">
      <c r="A5" s="6" t="s">
        <v>214</v>
      </c>
      <c r="B5" s="12" t="s">
        <v>18127</v>
      </c>
      <c r="C5">
        <f t="shared" si="0"/>
        <v>672963.0877847</v>
      </c>
      <c r="D5">
        <f t="shared" ref="D5:N5" si="2">C5+D4</f>
        <v>1185525.00319351</v>
      </c>
      <c r="E5">
        <f t="shared" si="2"/>
        <v>1698086.91860232</v>
      </c>
      <c r="F5">
        <f t="shared" si="2"/>
        <v>2210648.83401113</v>
      </c>
      <c r="G5">
        <f t="shared" si="2"/>
        <v>2723210.74941994</v>
      </c>
      <c r="H5">
        <f t="shared" si="2"/>
        <v>3235772.66482875</v>
      </c>
      <c r="I5">
        <f t="shared" si="2"/>
        <v>3748334.58023756</v>
      </c>
      <c r="J5">
        <f t="shared" si="2"/>
        <v>4260896.49564637</v>
      </c>
      <c r="K5">
        <f t="shared" si="2"/>
        <v>4773458.41105518</v>
      </c>
      <c r="L5">
        <f t="shared" si="2"/>
        <v>5286020.32646399</v>
      </c>
      <c r="M5">
        <f t="shared" si="2"/>
        <v>5798582.2418728</v>
      </c>
      <c r="N5">
        <f t="shared" si="2"/>
        <v>6311144.15728161</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spans="1:14">
      <c r="A8" s="6" t="s">
        <v>9</v>
      </c>
      <c r="B8" s="12" t="s">
        <v>18130</v>
      </c>
      <c r="C8">
        <f>'2 过程管理表单'!X508</f>
        <v>1737236.86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 t="shared" ref="C9:C13" si="4">C8</f>
        <v>1737236.86</v>
      </c>
      <c r="D9">
        <f t="shared" ref="D9:N9" si="5">C9+D8</f>
        <v>1737236.86</v>
      </c>
      <c r="E9">
        <f t="shared" si="5"/>
        <v>1737236.86</v>
      </c>
      <c r="F9">
        <f t="shared" si="5"/>
        <v>1737236.86</v>
      </c>
      <c r="G9">
        <f t="shared" si="5"/>
        <v>1737236.86</v>
      </c>
      <c r="H9">
        <f t="shared" si="5"/>
        <v>1737236.86</v>
      </c>
      <c r="I9">
        <f t="shared" si="5"/>
        <v>1737236.86</v>
      </c>
      <c r="J9">
        <f t="shared" si="5"/>
        <v>1737236.86</v>
      </c>
      <c r="K9">
        <f t="shared" si="5"/>
        <v>1737236.86</v>
      </c>
      <c r="L9">
        <f t="shared" si="5"/>
        <v>1737236.86</v>
      </c>
      <c r="M9">
        <f t="shared" si="5"/>
        <v>1737236.86</v>
      </c>
      <c r="N9">
        <f t="shared" si="5"/>
        <v>1737236.86</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18134</v>
      </c>
      <c r="C12">
        <f>'2 过程管理表单'!X536</f>
        <v>324371.06918239</v>
      </c>
      <c r="D12">
        <f>'2 过程管理表单'!AA536</f>
        <v>55031.4465408805</v>
      </c>
      <c r="E12">
        <f>'2 过程管理表单'!AD536</f>
        <v>55031.4465408805</v>
      </c>
      <c r="F12">
        <f>'2 过程管理表单'!AG536</f>
        <v>55031.4465408805</v>
      </c>
      <c r="G12">
        <f>'2 过程管理表单'!AJ536</f>
        <v>55031.4465408805</v>
      </c>
      <c r="H12">
        <f>'2 过程管理表单'!AM536</f>
        <v>55031.4465408805</v>
      </c>
      <c r="I12">
        <f>'2 过程管理表单'!AP536</f>
        <v>55031.4465408805</v>
      </c>
      <c r="J12">
        <f>'2 过程管理表单'!AS536</f>
        <v>55031.4465408805</v>
      </c>
      <c r="K12">
        <f>'2 过程管理表单'!AV536</f>
        <v>55031.4465408805</v>
      </c>
      <c r="L12">
        <f>'2 过程管理表单'!AY536</f>
        <v>55031.4465408805</v>
      </c>
      <c r="M12">
        <f>'2 过程管理表单'!BB536</f>
        <v>55031.4465408805</v>
      </c>
      <c r="N12">
        <f>'2 过程管理表单'!BE536</f>
        <v>55031.4465408805</v>
      </c>
    </row>
    <row r="13" spans="1:14">
      <c r="A13" s="6" t="s">
        <v>64</v>
      </c>
      <c r="B13" s="12" t="s">
        <v>18135</v>
      </c>
      <c r="C13">
        <f t="shared" si="4"/>
        <v>324371.06918239</v>
      </c>
      <c r="D13">
        <f t="shared" ref="D13:N13" si="7">C13+D12</f>
        <v>379402.51572327</v>
      </c>
      <c r="E13">
        <f t="shared" si="7"/>
        <v>434433.962264151</v>
      </c>
      <c r="F13">
        <f t="shared" si="7"/>
        <v>489465.408805031</v>
      </c>
      <c r="G13">
        <f t="shared" si="7"/>
        <v>544496.855345912</v>
      </c>
      <c r="H13">
        <f t="shared" si="7"/>
        <v>599528.301886792</v>
      </c>
      <c r="I13">
        <f t="shared" si="7"/>
        <v>654559.748427673</v>
      </c>
      <c r="J13">
        <f t="shared" si="7"/>
        <v>709591.194968553</v>
      </c>
      <c r="K13">
        <f t="shared" si="7"/>
        <v>764622.641509434</v>
      </c>
      <c r="L13">
        <f t="shared" si="7"/>
        <v>819654.088050314</v>
      </c>
      <c r="M13">
        <f t="shared" si="7"/>
        <v>874685.534591195</v>
      </c>
      <c r="N13">
        <f t="shared" si="7"/>
        <v>929716.981132075</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 t="shared" si="8"/>
        <v>54672</v>
      </c>
      <c r="D19">
        <f>表3_36[[#This Row],[1月]]+D18</f>
        <v>86579.89</v>
      </c>
      <c r="E19">
        <f>表3_36[[#This Row],[2月]]+E18</f>
        <v>111736.29</v>
      </c>
      <c r="F19">
        <f>表3_36[[#This Row],[3月]]+F18</f>
        <v>112060.77</v>
      </c>
      <c r="G19">
        <f>表3_36[[#This Row],[4月]]+G18</f>
        <v>115484.77</v>
      </c>
      <c r="H19">
        <f>表3_36[[#This Row],[5月]]+H18</f>
        <v>120357.72</v>
      </c>
      <c r="I19">
        <f>表3_36[[#This Row],[6月]]+I18</f>
        <v>120357.72</v>
      </c>
      <c r="J19">
        <f>表3_36[[#This Row],[7月]]+J18</f>
        <v>120357.72</v>
      </c>
      <c r="K19">
        <f>表3_36[[#This Row],[8月]]+K18</f>
        <v>120357.72</v>
      </c>
      <c r="L19">
        <f>表3_36[[#This Row],[9月]]+L18</f>
        <v>120357.72</v>
      </c>
      <c r="M19">
        <f>表3_36[[#This Row],[10月]]+M18</f>
        <v>120357.72</v>
      </c>
      <c r="N19">
        <f>表3_36[[#This Row],[11月]]+N18</f>
        <v>120357.72</v>
      </c>
    </row>
    <row r="20" spans="1:14">
      <c r="A20" s="6" t="s">
        <v>216</v>
      </c>
      <c r="B20" s="12" t="s">
        <v>18142</v>
      </c>
      <c r="C20">
        <f>'2 过程管理表单'!X603</f>
        <v>12207.915</v>
      </c>
      <c r="D20">
        <f>'2 过程管理表单'!AA603</f>
        <v>12207.915</v>
      </c>
      <c r="E20">
        <f>'2 过程管理表单'!AD603</f>
        <v>12207.915</v>
      </c>
      <c r="F20">
        <f>'2 过程管理表单'!AG603</f>
        <v>12207.915</v>
      </c>
      <c r="G20">
        <f>'2 过程管理表单'!AJ603</f>
        <v>12207.915</v>
      </c>
      <c r="H20">
        <f>'2 过程管理表单'!AM603</f>
        <v>12207.915</v>
      </c>
      <c r="I20">
        <f>'2 过程管理表单'!AP603</f>
        <v>12207.915</v>
      </c>
      <c r="J20">
        <f>'2 过程管理表单'!AS603</f>
        <v>12207.915</v>
      </c>
      <c r="K20">
        <f>'2 过程管理表单'!AV603</f>
        <v>12207.915</v>
      </c>
      <c r="L20">
        <f>'2 过程管理表单'!AY603</f>
        <v>12207.915</v>
      </c>
      <c r="M20">
        <f>'2 过程管理表单'!BB603</f>
        <v>12207.915</v>
      </c>
      <c r="N20">
        <f>'2 过程管理表单'!BE603</f>
        <v>12207.915</v>
      </c>
    </row>
    <row r="21" spans="1:14">
      <c r="A21" s="6" t="s">
        <v>216</v>
      </c>
      <c r="B21" s="12" t="s">
        <v>18143</v>
      </c>
      <c r="C21">
        <f t="shared" ref="C21:C25" si="10">C20</f>
        <v>12207.915</v>
      </c>
      <c r="D21">
        <f>表3_36[[#This Row],[1月]]+D20</f>
        <v>24415.83</v>
      </c>
      <c r="E21">
        <f>表3_36[[#This Row],[2月]]+E20</f>
        <v>36623.745</v>
      </c>
      <c r="F21">
        <f>表3_36[[#This Row],[3月]]+F20</f>
        <v>48831.66</v>
      </c>
      <c r="G21">
        <f>表3_36[[#This Row],[4月]]+G20</f>
        <v>61039.575</v>
      </c>
      <c r="H21">
        <f>表3_36[[#This Row],[5月]]+H20</f>
        <v>73247.49</v>
      </c>
      <c r="I21">
        <f>表3_36[[#This Row],[6月]]+I20</f>
        <v>85455.405</v>
      </c>
      <c r="J21">
        <f>表3_36[[#This Row],[7月]]+J20</f>
        <v>97663.32</v>
      </c>
      <c r="K21">
        <f>表3_36[[#This Row],[8月]]+K20</f>
        <v>109871.235</v>
      </c>
      <c r="L21">
        <f>表3_36[[#This Row],[9月]]+L20</f>
        <v>122079.15</v>
      </c>
      <c r="M21">
        <f>表3_36[[#This Row],[10月]]+M20</f>
        <v>134287.065</v>
      </c>
      <c r="N21">
        <f>表3_36[[#This Row],[11月]]+N20</f>
        <v>146494.98</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 t="shared" si="10"/>
        <v>55848.77</v>
      </c>
      <c r="D23">
        <f>表3_36[[#This Row],[1月]]+D22</f>
        <v>127945.67</v>
      </c>
      <c r="E23">
        <f>表3_36[[#This Row],[2月]]+E22</f>
        <v>136140.72</v>
      </c>
      <c r="F23">
        <f>表3_36[[#This Row],[3月]]+F22</f>
        <v>139512.94</v>
      </c>
      <c r="G23">
        <f>表3_36[[#This Row],[4月]]+G22</f>
        <v>142151.03</v>
      </c>
      <c r="H23">
        <f>表3_36[[#This Row],[5月]]+H22</f>
        <v>147748.45</v>
      </c>
      <c r="I23">
        <f>表3_36[[#This Row],[6月]]+I22</f>
        <v>147748.45</v>
      </c>
      <c r="J23">
        <f>表3_36[[#This Row],[7月]]+J22</f>
        <v>147748.45</v>
      </c>
      <c r="K23">
        <f>表3_36[[#This Row],[8月]]+K22</f>
        <v>147748.45</v>
      </c>
      <c r="L23">
        <f>表3_36[[#This Row],[9月]]+L22</f>
        <v>147748.45</v>
      </c>
      <c r="M23">
        <f>表3_36[[#This Row],[10月]]+M22</f>
        <v>147748.45</v>
      </c>
      <c r="N23">
        <f>表3_36[[#This Row],[11月]]+N22</f>
        <v>147748.45</v>
      </c>
    </row>
    <row r="24" spans="1:14">
      <c r="A24" s="6" t="s">
        <v>217</v>
      </c>
      <c r="B24" s="12" t="s">
        <v>18146</v>
      </c>
      <c r="C24">
        <f>'2 过程管理表单'!X616</f>
        <v>1170301.46226415</v>
      </c>
      <c r="D24">
        <f>'2 过程管理表单'!AA616</f>
        <v>7923.5</v>
      </c>
      <c r="E24">
        <f>'2 过程管理表单'!AD616</f>
        <v>7923.5</v>
      </c>
      <c r="F24">
        <f>'2 过程管理表单'!AG616</f>
        <v>7923.5</v>
      </c>
      <c r="G24">
        <f>'2 过程管理表单'!AJ616</f>
        <v>7923.5</v>
      </c>
      <c r="H24">
        <f>'2 过程管理表单'!AM616</f>
        <v>7923.5</v>
      </c>
      <c r="I24">
        <f>'2 过程管理表单'!AP616</f>
        <v>7923.5</v>
      </c>
      <c r="J24">
        <f>'2 过程管理表单'!AS616</f>
        <v>7923.5</v>
      </c>
      <c r="K24">
        <f>'2 过程管理表单'!AV616</f>
        <v>7923.5</v>
      </c>
      <c r="L24">
        <f>'2 过程管理表单'!AY616</f>
        <v>7923.5</v>
      </c>
      <c r="M24">
        <f>'2 过程管理表单'!BB616</f>
        <v>7923.5</v>
      </c>
      <c r="N24">
        <f>'2 过程管理表单'!BE616</f>
        <v>7923.5</v>
      </c>
    </row>
    <row r="25" spans="1:14">
      <c r="A25" s="6" t="s">
        <v>217</v>
      </c>
      <c r="B25" s="12" t="s">
        <v>18147</v>
      </c>
      <c r="C25">
        <f t="shared" si="10"/>
        <v>1170301.46226415</v>
      </c>
      <c r="D25">
        <f>表3_36[[#This Row],[1月]]+D24</f>
        <v>1178224.96226415</v>
      </c>
      <c r="E25">
        <f>表3_36[[#This Row],[2月]]+E24</f>
        <v>1186148.46226415</v>
      </c>
      <c r="F25">
        <f>表3_36[[#This Row],[3月]]+F24</f>
        <v>1194071.96226415</v>
      </c>
      <c r="G25">
        <f>表3_36[[#This Row],[4月]]+G24</f>
        <v>1201995.46226415</v>
      </c>
      <c r="H25">
        <f>表3_36[[#This Row],[5月]]+H24</f>
        <v>1209918.96226415</v>
      </c>
      <c r="I25">
        <f>表3_36[[#This Row],[6月]]+I24</f>
        <v>1217842.46226415</v>
      </c>
      <c r="J25">
        <f>表3_36[[#This Row],[7月]]+J24</f>
        <v>1225765.96226415</v>
      </c>
      <c r="K25">
        <f>表3_36[[#This Row],[8月]]+K24</f>
        <v>1233689.46226415</v>
      </c>
      <c r="L25">
        <f>表3_36[[#This Row],[9月]]+L24</f>
        <v>1241612.96226415</v>
      </c>
      <c r="M25">
        <f>表3_36[[#This Row],[10月]]+M24</f>
        <v>1249536.46226415</v>
      </c>
      <c r="N25">
        <f>表3_36[[#This Row],[11月]]+N24</f>
        <v>1257459.96226415</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 t="shared" ref="C27:C31" si="11">C26</f>
        <v>5552.23880597015</v>
      </c>
      <c r="D27">
        <f>表3_36[[#This Row],[1月]]+D26</f>
        <v>10567.1641791045</v>
      </c>
      <c r="E27">
        <f>表3_36[[#This Row],[2月]]+E26</f>
        <v>16119.4029850746</v>
      </c>
      <c r="F27">
        <f>表3_36[[#This Row],[3月]]+F26</f>
        <v>551346.563400389</v>
      </c>
      <c r="G27">
        <f>表3_36[[#This Row],[4月]]+G26</f>
        <v>1098862.39035691</v>
      </c>
      <c r="H27">
        <f>表3_36[[#This Row],[5月]]+H26</f>
        <v>1628716.41644387</v>
      </c>
      <c r="I27">
        <f>表3_36[[#This Row],[6月]]+I26</f>
        <v>2176232.24340039</v>
      </c>
      <c r="J27">
        <f>表3_36[[#This Row],[7月]]+J26</f>
        <v>2723748.07035691</v>
      </c>
      <c r="K27">
        <f>表3_36[[#This Row],[8月]]+K26</f>
        <v>3253602.09644387</v>
      </c>
      <c r="L27">
        <f>表3_36[[#This Row],[9月]]+L26</f>
        <v>3801117.92340039</v>
      </c>
      <c r="M27">
        <f>表3_36[[#This Row],[10月]]+M26</f>
        <v>4330971.94948734</v>
      </c>
      <c r="N27">
        <f>表3_36[[#This Row],[11月]]+N26</f>
        <v>4878487.77644387</v>
      </c>
    </row>
    <row r="28" spans="1:14">
      <c r="A28" s="31" t="s">
        <v>18149</v>
      </c>
      <c r="B28" s="32" t="s">
        <v>18152</v>
      </c>
      <c r="C28">
        <f>'2 过程管理表单'!X6</f>
        <v>2714501.57334429</v>
      </c>
      <c r="D28">
        <f>'2 过程管理表单'!AA6</f>
        <v>1973670.78334429</v>
      </c>
      <c r="E28">
        <f>'2 过程管理表单'!AD6</f>
        <v>1973670.78334429</v>
      </c>
      <c r="F28">
        <f>'2 过程管理表单'!AG6</f>
        <v>1973670.78334429</v>
      </c>
      <c r="G28">
        <f>'2 过程管理表单'!AJ6</f>
        <v>1973670.78334429</v>
      </c>
      <c r="H28">
        <f>'2 过程管理表单'!AM6</f>
        <v>1973670.78334429</v>
      </c>
      <c r="I28">
        <f>'2 过程管理表单'!AP6</f>
        <v>1973670.78334429</v>
      </c>
      <c r="J28">
        <f>'2 过程管理表单'!AS6</f>
        <v>1973670.78334429</v>
      </c>
      <c r="K28">
        <f>'2 过程管理表单'!AV6</f>
        <v>1973670.78334429</v>
      </c>
      <c r="L28">
        <f>'2 过程管理表单'!AY6</f>
        <v>1973670.78334429</v>
      </c>
      <c r="M28">
        <f>'2 过程管理表单'!BB6</f>
        <v>1973670.78334429</v>
      </c>
      <c r="N28">
        <f>'2 过程管理表单'!BE6</f>
        <v>1973670.78334429</v>
      </c>
    </row>
    <row r="29" spans="1:14">
      <c r="A29" s="31" t="s">
        <v>18149</v>
      </c>
      <c r="B29" s="32" t="s">
        <v>18153</v>
      </c>
      <c r="C29">
        <f t="shared" si="11"/>
        <v>2714501.57334429</v>
      </c>
      <c r="D29">
        <f>表3_36[[#This Row],[1月]]+D28</f>
        <v>4688172.35668858</v>
      </c>
      <c r="E29">
        <f>表3_36[[#This Row],[2月]]+E28</f>
        <v>6661843.14003287</v>
      </c>
      <c r="F29">
        <f>表3_36[[#This Row],[3月]]+F28</f>
        <v>8635513.92337716</v>
      </c>
      <c r="G29">
        <f>表3_36[[#This Row],[4月]]+G28</f>
        <v>10609184.7067214</v>
      </c>
      <c r="H29">
        <f>表3_36[[#This Row],[5月]]+H28</f>
        <v>12582855.4900657</v>
      </c>
      <c r="I29">
        <f>表3_36[[#This Row],[6月]]+I28</f>
        <v>14556526.27341</v>
      </c>
      <c r="J29">
        <f>表3_36[[#This Row],[7月]]+J28</f>
        <v>16530197.0567543</v>
      </c>
      <c r="K29">
        <f>表3_36[[#This Row],[8月]]+K28</f>
        <v>18503867.8400986</v>
      </c>
      <c r="L29">
        <f>表3_36[[#This Row],[9月]]+L28</f>
        <v>20477538.6234429</v>
      </c>
      <c r="M29">
        <f>表3_36[[#This Row],[10月]]+M28</f>
        <v>22451209.4067872</v>
      </c>
      <c r="N29">
        <f>表3_36[[#This Row],[11月]]+N28</f>
        <v>24424880.1901315</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 t="shared" si="11"/>
        <v>57588.7846191936</v>
      </c>
      <c r="D31">
        <f>表3_36[[#This Row],[1月]]+D30</f>
        <v>412725.518906302</v>
      </c>
      <c r="E31">
        <f>表3_36[[#This Row],[2月]]+E30</f>
        <v>866683.575110681</v>
      </c>
      <c r="F31">
        <f>表3_36[[#This Row],[3月]]+F30</f>
        <v>1350916.60000842</v>
      </c>
      <c r="G31">
        <f>表3_36[[#This Row],[4月]]+G30</f>
        <v>1886632.63717373</v>
      </c>
      <c r="H31">
        <f>表3_36[[#This Row],[5月]]+H30</f>
        <v>2421608.13141735</v>
      </c>
      <c r="I31">
        <f>表3_36[[#This Row],[6月]]+I30</f>
        <v>2950419.62071514</v>
      </c>
      <c r="J31">
        <f>表3_36[[#This Row],[7月]]+J30</f>
        <v>3467382.75836458</v>
      </c>
      <c r="K31">
        <f>表3_36[[#This Row],[8月]]+K30</f>
        <v>3967669.66576727</v>
      </c>
      <c r="L31">
        <f>表3_36[[#This Row],[9月]]+L30</f>
        <v>4480168.12950367</v>
      </c>
      <c r="M31">
        <f>表3_36[[#This Row],[10月]]+M30</f>
        <v>4976134.38473244</v>
      </c>
      <c r="N31">
        <f>表3_36[[#This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 t="shared" si="12"/>
        <v>9940.22189356286</v>
      </c>
      <c r="D35" s="33">
        <f>C35+C34</f>
        <v>19880.4437871257</v>
      </c>
      <c r="E35" s="33">
        <f t="shared" ref="E35:G35" si="13">D35+E34</f>
        <v>118101.43958859</v>
      </c>
      <c r="F35" s="33">
        <f t="shared" si="13"/>
        <v>271421.451083168</v>
      </c>
      <c r="G35" s="33">
        <f t="shared" si="13"/>
        <v>423183.266775891</v>
      </c>
      <c r="H35" s="33">
        <f t="shared" ref="H35:N35" si="14">H34+G35</f>
        <v>573241.540026914</v>
      </c>
      <c r="I35" s="33">
        <f t="shared" si="14"/>
        <v>731852.844212788</v>
      </c>
      <c r="J35" s="33">
        <f t="shared" si="14"/>
        <v>887752.367633992</v>
      </c>
      <c r="K35" s="33">
        <f t="shared" si="14"/>
        <v>1032420.62697963</v>
      </c>
      <c r="L35" s="33">
        <f t="shared" si="14"/>
        <v>1156275.20658061</v>
      </c>
      <c r="M35" s="33">
        <f t="shared" si="14"/>
        <v>1276134.4771622</v>
      </c>
      <c r="N35" s="33">
        <f t="shared" si="14"/>
        <v>1399146.81018784</v>
      </c>
    </row>
    <row r="36" spans="1:14">
      <c r="A36" s="31" t="s">
        <v>18155</v>
      </c>
      <c r="B36" s="32" t="s">
        <v>18152</v>
      </c>
      <c r="C36" s="33">
        <f>'2 过程管理表单'!X177</f>
        <v>186020.629923063</v>
      </c>
      <c r="D36" s="33">
        <f>'2 过程管理表单'!AA177</f>
        <v>25619.4575471698</v>
      </c>
      <c r="E36" s="33">
        <f>'2 过程管理表单'!AD177</f>
        <v>25619.4575471698</v>
      </c>
      <c r="F36" s="33">
        <f>'2 过程管理表单'!AG177</f>
        <v>25619.4575471698</v>
      </c>
      <c r="G36" s="33">
        <f>'2 过程管理表单'!AJ177</f>
        <v>25619.4575471698</v>
      </c>
      <c r="H36" s="33">
        <f>'2 过程管理表单'!AM177</f>
        <v>25619.4575471698</v>
      </c>
      <c r="I36" s="33">
        <f>'2 过程管理表单'!AP177</f>
        <v>25619.4575471698</v>
      </c>
      <c r="J36" s="33">
        <f>'2 过程管理表单'!AS177</f>
        <v>25619.4575471698</v>
      </c>
      <c r="K36" s="33">
        <f>'2 过程管理表单'!AV177</f>
        <v>25619.4575471698</v>
      </c>
      <c r="L36" s="33">
        <f>'2 过程管理表单'!AY177</f>
        <v>25619.4575471698</v>
      </c>
      <c r="M36" s="33">
        <f>'2 过程管理表单'!BB177</f>
        <v>25619.4575471698</v>
      </c>
      <c r="N36" s="33">
        <f>'2 过程管理表单'!BE177</f>
        <v>25619.4575471698</v>
      </c>
    </row>
    <row r="37" spans="1:14">
      <c r="A37" s="31" t="s">
        <v>18155</v>
      </c>
      <c r="B37" s="32" t="s">
        <v>18153</v>
      </c>
      <c r="C37" s="34">
        <f t="shared" si="12"/>
        <v>186020.629923063</v>
      </c>
      <c r="D37" s="35">
        <f t="shared" ref="D37:N37" si="15">D36+C37</f>
        <v>211640.087470233</v>
      </c>
      <c r="E37" s="34">
        <f t="shared" si="15"/>
        <v>237259.545017403</v>
      </c>
      <c r="F37" s="34">
        <f t="shared" si="15"/>
        <v>262879.002564572</v>
      </c>
      <c r="G37" s="34">
        <f t="shared" si="15"/>
        <v>288498.460111742</v>
      </c>
      <c r="H37" s="34">
        <f t="shared" si="15"/>
        <v>314117.917658912</v>
      </c>
      <c r="I37" s="34">
        <f t="shared" si="15"/>
        <v>339737.375206082</v>
      </c>
      <c r="J37" s="34">
        <f t="shared" si="15"/>
        <v>365356.832753252</v>
      </c>
      <c r="K37" s="34">
        <f t="shared" si="15"/>
        <v>390976.290300421</v>
      </c>
      <c r="L37" s="34">
        <f t="shared" si="15"/>
        <v>416595.747847591</v>
      </c>
      <c r="M37" s="34">
        <f t="shared" si="15"/>
        <v>442215.205394761</v>
      </c>
      <c r="N37" s="35">
        <f t="shared" si="15"/>
        <v>467834.662941931</v>
      </c>
    </row>
    <row r="38" spans="1:14">
      <c r="A38" s="36" t="s">
        <v>18156</v>
      </c>
      <c r="B38" s="12" t="s">
        <v>18157</v>
      </c>
      <c r="C38">
        <f t="shared" ref="C38:N38" si="16">C5+C9+C13+C17+C21+C25</f>
        <v>3917080.39423124</v>
      </c>
      <c r="D38">
        <f t="shared" si="16"/>
        <v>4504805.17118093</v>
      </c>
      <c r="E38">
        <f t="shared" si="16"/>
        <v>5092529.94813062</v>
      </c>
      <c r="F38">
        <f t="shared" si="16"/>
        <v>5680254.72508031</v>
      </c>
      <c r="G38">
        <f t="shared" si="16"/>
        <v>6267979.50203</v>
      </c>
      <c r="H38">
        <f t="shared" si="16"/>
        <v>6855704.27897969</v>
      </c>
      <c r="I38">
        <f t="shared" si="16"/>
        <v>7443429.05592938</v>
      </c>
      <c r="J38">
        <f t="shared" si="16"/>
        <v>8031153.83287907</v>
      </c>
      <c r="K38">
        <f t="shared" si="16"/>
        <v>8618878.60982876</v>
      </c>
      <c r="L38">
        <f t="shared" si="16"/>
        <v>9206603.38677846</v>
      </c>
      <c r="M38">
        <f t="shared" si="16"/>
        <v>9794328.16372814</v>
      </c>
      <c r="N38">
        <f t="shared" si="16"/>
        <v>10382052.9406778</v>
      </c>
    </row>
    <row r="39" spans="1:14">
      <c r="A39" s="36" t="s">
        <v>18156</v>
      </c>
      <c r="B39" s="12" t="s">
        <v>18158</v>
      </c>
      <c r="C39">
        <f t="shared" ref="C39:N39" si="17">C3+C7+C11+C15+C19+C23</f>
        <v>347729.815318727</v>
      </c>
      <c r="D39">
        <f t="shared" si="17"/>
        <v>848768.698567129</v>
      </c>
      <c r="E39">
        <f t="shared" si="17"/>
        <v>1511357.22937894</v>
      </c>
      <c r="F39">
        <f t="shared" si="17"/>
        <v>2708818.92618657</v>
      </c>
      <c r="G39">
        <f t="shared" si="17"/>
        <v>3959976.68600113</v>
      </c>
      <c r="H39">
        <f t="shared" si="17"/>
        <v>5205026.97958272</v>
      </c>
      <c r="I39">
        <f t="shared" si="17"/>
        <v>6439965.60002291</v>
      </c>
      <c r="J39">
        <f t="shared" si="17"/>
        <v>7660344.08805008</v>
      </c>
      <c r="K39">
        <f t="shared" si="17"/>
        <v>8835153.28088536</v>
      </c>
      <c r="L39">
        <f t="shared" si="17"/>
        <v>10019022.1511793</v>
      </c>
      <c r="M39">
        <f t="shared" si="17"/>
        <v>11164701.7030766</v>
      </c>
      <c r="N39">
        <f t="shared" si="17"/>
        <v>12347728.3267951</v>
      </c>
    </row>
    <row r="42" spans="1:14">
      <c r="A42" s="37" t="s">
        <v>214</v>
      </c>
      <c r="B42" t="s">
        <v>18159</v>
      </c>
      <c r="C42">
        <f t="shared" ref="C42:N42" si="18">IF(C3&gt;C5,1,0)</f>
        <v>0</v>
      </c>
      <c r="D42">
        <f t="shared" si="18"/>
        <v>0</v>
      </c>
      <c r="E42">
        <f t="shared" si="18"/>
        <v>0</v>
      </c>
      <c r="F42">
        <f t="shared" si="18"/>
        <v>0</v>
      </c>
      <c r="G42">
        <f t="shared" si="18"/>
        <v>1</v>
      </c>
      <c r="H42">
        <f t="shared" si="18"/>
        <v>1</v>
      </c>
      <c r="I42">
        <f t="shared" si="18"/>
        <v>1</v>
      </c>
      <c r="J42">
        <f t="shared" si="18"/>
        <v>1</v>
      </c>
      <c r="K42">
        <f t="shared" si="18"/>
        <v>1</v>
      </c>
      <c r="L42">
        <f t="shared" si="18"/>
        <v>1</v>
      </c>
      <c r="M42">
        <f t="shared" si="18"/>
        <v>1</v>
      </c>
      <c r="N42">
        <f t="shared" si="18"/>
        <v>1</v>
      </c>
    </row>
    <row r="43" spans="1:14">
      <c r="A43" s="37" t="s">
        <v>9</v>
      </c>
      <c r="B43" t="s">
        <v>18159</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37" t="s">
        <v>64</v>
      </c>
      <c r="B44" t="s">
        <v>18159</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18159</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18159</v>
      </c>
      <c r="C46">
        <f t="shared" ref="C46:N46" si="22">IF(C19&gt;C21,1,0)</f>
        <v>1</v>
      </c>
      <c r="D46">
        <f t="shared" si="22"/>
        <v>1</v>
      </c>
      <c r="E46">
        <f t="shared" si="22"/>
        <v>1</v>
      </c>
      <c r="F46">
        <f t="shared" si="22"/>
        <v>1</v>
      </c>
      <c r="G46">
        <f t="shared" si="22"/>
        <v>1</v>
      </c>
      <c r="H46">
        <f t="shared" si="22"/>
        <v>1</v>
      </c>
      <c r="I46">
        <f t="shared" si="22"/>
        <v>1</v>
      </c>
      <c r="J46">
        <f t="shared" si="22"/>
        <v>1</v>
      </c>
      <c r="K46">
        <f t="shared" si="22"/>
        <v>1</v>
      </c>
      <c r="L46">
        <f t="shared" si="22"/>
        <v>0</v>
      </c>
      <c r="M46">
        <f t="shared" si="22"/>
        <v>0</v>
      </c>
      <c r="N46">
        <f t="shared" si="22"/>
        <v>0</v>
      </c>
    </row>
    <row r="47" spans="1:14">
      <c r="A47" s="37" t="s">
        <v>217</v>
      </c>
      <c r="B47" t="s">
        <v>18159</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738</v>
      </c>
      <c r="C48">
        <f t="shared" ref="C48:N48" si="24">SUM(C42:C47)</f>
        <v>1</v>
      </c>
      <c r="D48">
        <f t="shared" si="24"/>
        <v>1</v>
      </c>
      <c r="E48">
        <f t="shared" si="24"/>
        <v>1</v>
      </c>
      <c r="F48">
        <f t="shared" si="24"/>
        <v>1</v>
      </c>
      <c r="G48">
        <f t="shared" si="24"/>
        <v>2</v>
      </c>
      <c r="H48">
        <f t="shared" si="24"/>
        <v>2</v>
      </c>
      <c r="I48">
        <f t="shared" si="24"/>
        <v>2</v>
      </c>
      <c r="J48">
        <f t="shared" si="24"/>
        <v>2</v>
      </c>
      <c r="K48">
        <f t="shared" si="24"/>
        <v>2</v>
      </c>
      <c r="L48">
        <f t="shared" si="24"/>
        <v>1</v>
      </c>
      <c r="M48">
        <f t="shared" si="24"/>
        <v>1</v>
      </c>
      <c r="N48">
        <f t="shared" si="24"/>
        <v>1</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D1" workbookViewId="0">
      <selection activeCell="O5" sqref="O5"/>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17620</v>
      </c>
      <c r="B1" s="10"/>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233.56</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3230</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112.68</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91.95</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3197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605.01</v>
      </c>
      <c r="F4" s="15" cm="1">
        <f t="array" ref="F4">SUM(IF((LEFT('2-1 采购订单物料明细表报表导出'!$K:$K,7)=F$1)*('2-1 采购订单物料明细表报表导出'!$D:$D=$A4),'2-1 采购订单物料明细表报表导出'!$H:$H,0))</f>
        <v>140.7</v>
      </c>
      <c r="G4" s="15" cm="1">
        <f t="array" ref="G4">SUM(IF((LEFT('2-1 采购订单物料明细表报表导出'!$K:$K,7)=G$1)*('2-1 采购订单物料明细表报表导出'!$D:$D=$A4),'2-1 采购订单物料明细表报表导出'!$H:$H,0))</f>
        <v>311.4</v>
      </c>
      <c r="H4" s="15" cm="1">
        <f t="array" ref="H4">SUM(IF((LEFT('2-1 采购订单物料明细表报表导出'!$K:$K,7)=H$1)*('2-1 采购订单物料明细表报表导出'!$D:$D=$A4),'2-1 采购订单物料明细表报表导出'!$H:$H,0))</f>
        <v>98.49</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3733</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15.7</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6236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8185</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3367</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13.08</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11349</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3068</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6190.2</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355.95</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7533</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7523</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6250</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17622</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5552</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6368</v>
      </c>
      <c r="B16" s="13" t="s">
        <v>2318</v>
      </c>
      <c r="C16" s="14" t="s">
        <v>2319</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3737</v>
      </c>
      <c r="B17" s="13" t="s">
        <v>2318</v>
      </c>
      <c r="C17" s="14" t="s">
        <v>2319</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77.35</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3288</v>
      </c>
      <c r="B18" s="13" t="s">
        <v>2318</v>
      </c>
      <c r="C18" s="14" t="s">
        <v>2319</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146.88</v>
      </c>
      <c r="F18" s="15" cm="1">
        <f t="array" ref="F18">SUM(IF((LEFT('2-1 采购订单物料明细表报表导出'!$K:$K,7)=F$1)*('2-1 采购订单物料明细表报表导出'!$D:$D=$A18),'2-1 采购订单物料明细表报表导出'!$H:$H,0))</f>
        <v>240.38</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392.4</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12602</v>
      </c>
      <c r="B19" s="13" t="s">
        <v>2318</v>
      </c>
      <c r="C19" s="14" t="s">
        <v>2319</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3153</v>
      </c>
      <c r="B20" s="13" t="s">
        <v>2318</v>
      </c>
      <c r="C20" s="14" t="s">
        <v>2319</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743.55</v>
      </c>
      <c r="G20" s="15" cm="1">
        <f t="array" ref="G20">SUM(IF((LEFT('2-1 采购订单物料明细表报表导出'!$K:$K,7)=G$1)*('2-1 采购订单物料明细表报表导出'!$D:$D=$A20),'2-1 采购订单物料明细表报表导出'!$H:$H,0))</f>
        <v>513.56</v>
      </c>
      <c r="H20" s="15" cm="1">
        <f t="array" ref="H20">SUM(IF((LEFT('2-1 采购订单物料明细表报表导出'!$K:$K,7)=H$1)*('2-1 采购订单物料明细表报表导出'!$D:$D=$A20),'2-1 采购订单物料明细表报表导出'!$H:$H,0))</f>
        <v>944.58</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4724</v>
      </c>
      <c r="B21" s="13" t="s">
        <v>2318</v>
      </c>
      <c r="C21" s="14" t="s">
        <v>2319</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12113</v>
      </c>
      <c r="B22" s="13" t="s">
        <v>2318</v>
      </c>
      <c r="C22" s="14" t="s">
        <v>2319</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7739</v>
      </c>
      <c r="B23" s="13" t="s">
        <v>2318</v>
      </c>
      <c r="C23" s="14" t="s">
        <v>2319</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4177</v>
      </c>
      <c r="B24" s="13" t="s">
        <v>2318</v>
      </c>
      <c r="C24" s="14" t="s">
        <v>2319</v>
      </c>
      <c r="D24" s="15" cm="1">
        <f t="array" ref="D24">SUM(IF((LEFT('2-1 采购订单物料明细表报表导出'!$K:$K,7)=D$1)*('2-1 采购订单物料明细表报表导出'!$D:$D=$A24),'2-1 采购订单物料明细表报表导出'!$H:$H,0))</f>
        <v>6700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3014</v>
      </c>
      <c r="B25" s="13" t="s">
        <v>2318</v>
      </c>
      <c r="C25" s="14" t="s">
        <v>2319</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952.3</v>
      </c>
      <c r="F25" s="15" cm="1">
        <f t="array" ref="F25">SUM(IF((LEFT('2-1 采购订单物料明细表报表导出'!$K:$K,7)=F$1)*('2-1 采购订单物料明细表报表导出'!$D:$D=$A25),'2-1 采购订单物料明细表报表导出'!$H:$H,0))</f>
        <v>651.23</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80.46</v>
      </c>
      <c r="I25" s="15" cm="1">
        <f t="array" ref="I25">SUM(IF((LEFT('2-1 采购订单物料明细表报表导出'!$K:$K,7)=I$1)*('2-1 采购订单物料明细表报表导出'!$D:$D=$A25),'2-1 采购订单物料明细表报表导出'!$H:$H,0))</f>
        <v>89</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2973</v>
      </c>
      <c r="B26" s="13" t="s">
        <v>2318</v>
      </c>
      <c r="C26" s="14" t="s">
        <v>2319</v>
      </c>
      <c r="D26" s="15" cm="1">
        <f t="array" ref="D26">SUM(IF((LEFT('2-1 采购订单物料明细表报表导出'!$K:$K,7)=D$1)*('2-1 采购订单物料明细表报表导出'!$D:$D=$A26),'2-1 采购订单物料明细表报表导出'!$H:$H,0))</f>
        <v>1540</v>
      </c>
      <c r="E26" s="15" cm="1">
        <f t="array" ref="E26">SUM(IF((LEFT('2-1 采购订单物料明细表报表导出'!$K:$K,7)=E$1)*('2-1 采购订单物料明细表报表导出'!$D:$D=$A26),'2-1 采购订单物料明细表报表导出'!$H:$H,0))</f>
        <v>267.2</v>
      </c>
      <c r="F26" s="15" cm="1">
        <f t="array" ref="F26">SUM(IF((LEFT('2-1 采购订单物料明细表报表导出'!$K:$K,7)=F$1)*('2-1 采购订单物料明细表报表导出'!$D:$D=$A26),'2-1 采购订单物料明细表报表导出'!$H:$H,0))</f>
        <v>2216.95</v>
      </c>
      <c r="G26" s="15" cm="1">
        <f t="array" ref="G26">SUM(IF((LEFT('2-1 采购订单物料明细表报表导出'!$K:$K,7)=G$1)*('2-1 采购订单物料明细表报表导出'!$D:$D=$A26),'2-1 采购订单物料明细表报表导出'!$H:$H,0))</f>
        <v>659.46</v>
      </c>
      <c r="H26" s="15" cm="1">
        <f t="array" ref="H26">SUM(IF((LEFT('2-1 采购订单物料明细表报表导出'!$K:$K,7)=H$1)*('2-1 采购订单物料明细表报表导出'!$D:$D=$A26),'2-1 采购订单物料明细表报表导出'!$H:$H,0))</f>
        <v>1220.65</v>
      </c>
      <c r="I26" s="15" cm="1">
        <f t="array" ref="I26">SUM(IF((LEFT('2-1 采购订单物料明细表报表导出'!$K:$K,7)=I$1)*('2-1 采购订单物料明细表报表导出'!$D:$D=$A26),'2-1 采购订单物料明细表报表导出'!$H:$H,0))</f>
        <v>4179.65</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17623</v>
      </c>
      <c r="B27" s="13" t="s">
        <v>2318</v>
      </c>
      <c r="C27" s="14" t="s">
        <v>2319</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4182</v>
      </c>
      <c r="B28" s="13" t="s">
        <v>2318</v>
      </c>
      <c r="C28" s="14" t="s">
        <v>2319</v>
      </c>
      <c r="D28" s="15" cm="1">
        <f t="array" ref="D28">SUM(IF((LEFT('2-1 采购订单物料明细表报表导出'!$K:$K,7)=D$1)*('2-1 采购订单物料明细表报表导出'!$D:$D=$A28),'2-1 采购订单物料明细表报表导出'!$H:$H,0))</f>
        <v>12364</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17624</v>
      </c>
      <c r="B29" s="16"/>
      <c r="C29" s="16" t="s">
        <v>17625</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8731</v>
      </c>
      <c r="B30" s="16"/>
      <c r="C30" s="16" t="s">
        <v>17625</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17626</v>
      </c>
      <c r="B31" s="16"/>
      <c r="C31" s="16" t="s">
        <v>17625</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4657</v>
      </c>
      <c r="B32" s="16"/>
      <c r="C32" s="16" t="s">
        <v>17625</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7084</v>
      </c>
      <c r="B33" s="16"/>
      <c r="C33" s="16" t="s">
        <v>17625</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17627</v>
      </c>
      <c r="B34" s="16"/>
      <c r="C34" s="16" t="s">
        <v>17625</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17628</v>
      </c>
      <c r="B35" s="16"/>
      <c r="C35" s="16" t="s">
        <v>17625</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17629</v>
      </c>
      <c r="B36" s="16"/>
      <c r="C36" s="16" t="s">
        <v>17625</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17630</v>
      </c>
      <c r="B37" s="16"/>
      <c r="C37" s="16" t="s">
        <v>17625</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17631</v>
      </c>
      <c r="B38" s="16"/>
      <c r="C38" s="16" t="s">
        <v>17625</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17632</v>
      </c>
      <c r="B39" s="16"/>
      <c r="C39" s="16" t="s">
        <v>17625</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3511</v>
      </c>
      <c r="B40" s="16"/>
      <c r="C40" s="16" t="s">
        <v>17625</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9736.4</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18230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7777</v>
      </c>
      <c r="B41" s="16"/>
      <c r="C41" s="16" t="s">
        <v>17625</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17633</v>
      </c>
      <c r="B42" s="16"/>
      <c r="C42" s="16" t="s">
        <v>17625</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17634</v>
      </c>
      <c r="B43" s="16"/>
      <c r="C43" s="16" t="s">
        <v>17625</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17635</v>
      </c>
      <c r="B44" s="16"/>
      <c r="C44" s="16" t="s">
        <v>17625</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3118</v>
      </c>
      <c r="B45" s="16"/>
      <c r="C45" s="16" t="s">
        <v>17625</v>
      </c>
      <c r="D45" s="15" cm="1">
        <f t="array" ref="D45">SUM(IF((LEFT('2-1 采购订单物料明细表报表导出'!$K:$K,7)=D$1)*('2-1 采购订单物料明细表报表导出'!$D:$D=$A45),'2-1 采购订单物料明细表报表导出'!$H:$H,0))</f>
        <v>14000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49400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2903</v>
      </c>
      <c r="B46" s="16"/>
      <c r="C46" s="16" t="s">
        <v>17625</v>
      </c>
      <c r="D46" s="15" cm="1">
        <f t="array" ref="D46">SUM(IF((LEFT('2-1 采购订单物料明细表报表导出'!$K:$K,7)=D$1)*('2-1 采购订单物料明细表报表导出'!$D:$D=$A46),'2-1 采购订单物料明细表报表导出'!$H:$H,0))</f>
        <v>848046.51</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166259.02</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824</v>
      </c>
      <c r="I46" s="15" cm="1">
        <f t="array" ref="I46">SUM(IF((LEFT('2-1 采购订单物料明细表报表导出'!$K:$K,7)=I$1)*('2-1 采购订单物料明细表报表导出'!$D:$D=$A46),'2-1 采购订单物料明细表报表导出'!$H:$H,0))</f>
        <v>26672.5</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3125</v>
      </c>
      <c r="B47" s="16"/>
      <c r="C47" s="16" t="s">
        <v>17625</v>
      </c>
      <c r="D47" s="15" cm="1">
        <f t="array" ref="D47">SUM(IF((LEFT('2-1 采购订单物料明细表报表导出'!$K:$K,7)=D$1)*('2-1 采购订单物料明细表报表导出'!$D:$D=$A47),'2-1 采购订单物料明细表报表导出'!$H:$H,0))</f>
        <v>77079</v>
      </c>
      <c r="E47" s="15" cm="1">
        <f t="array" ref="E47">SUM(IF((LEFT('2-1 采购订单物料明细表报表导出'!$K:$K,7)=E$1)*('2-1 采购订单物料明细表报表导出'!$D:$D=$A47),'2-1 采购订单物料明细表报表导出'!$H:$H,0))</f>
        <v>119800</v>
      </c>
      <c r="F47" s="15" cm="1">
        <f t="array" ref="F47">SUM(IF((LEFT('2-1 采购订单物料明细表报表导出'!$K:$K,7)=F$1)*('2-1 采购订单物料明细表报表导出'!$D:$D=$A47),'2-1 采购订单物料明细表报表导出'!$H:$H,0))</f>
        <v>96818</v>
      </c>
      <c r="G47" s="15" cm="1">
        <f t="array" ref="G47">SUM(IF((LEFT('2-1 采购订单物料明细表报表导出'!$K:$K,7)=G$1)*('2-1 采购订单物料明细表报表导出'!$D:$D=$A47),'2-1 采购订单物料明细表报表导出'!$H:$H,0))</f>
        <v>500000</v>
      </c>
      <c r="H47" s="15" cm="1">
        <f t="array" ref="H47">SUM(IF((LEFT('2-1 采购订单物料明细表报表导出'!$K:$K,7)=H$1)*('2-1 采购订单物料明细表报表导出'!$D:$D=$A47),'2-1 采购订单物料明细表报表导出'!$H:$H,0))</f>
        <v>69199</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4049</v>
      </c>
      <c r="B48" s="16"/>
      <c r="C48" s="16" t="s">
        <v>17625</v>
      </c>
      <c r="D48" s="15" cm="1">
        <f t="array" ref="D48">SUM(IF((LEFT('2-1 采购订单物料明细表报表导出'!$K:$K,7)=D$1)*('2-1 采购订单物料明细表报表导出'!$D:$D=$A48),'2-1 采购订单物料明细表报表导出'!$H:$H,0))</f>
        <v>256000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4157</v>
      </c>
      <c r="B49" s="16"/>
      <c r="C49" s="16" t="s">
        <v>17625</v>
      </c>
      <c r="D49" s="15" cm="1">
        <f t="array" ref="D49">SUM(IF((LEFT('2-1 采购订单物料明细表报表导出'!$K:$K,7)=D$1)*('2-1 采购订单物料明细表报表导出'!$D:$D=$A49),'2-1 采购订单物料明细表报表导出'!$H:$H,0))</f>
        <v>94800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17636</v>
      </c>
      <c r="B50" s="16"/>
      <c r="C50" s="16" t="s">
        <v>17625</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12287</v>
      </c>
      <c r="B51" s="16"/>
      <c r="C51" s="16" t="s">
        <v>17625</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17637</v>
      </c>
      <c r="B52" s="16"/>
      <c r="C52" s="16" t="s">
        <v>17625</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5099</v>
      </c>
      <c r="B53" s="16"/>
      <c r="C53" s="16" t="s">
        <v>17625</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6785</v>
      </c>
      <c r="B54" s="16"/>
      <c r="C54" s="16" t="s">
        <v>17625</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17638</v>
      </c>
      <c r="B55" s="16"/>
      <c r="C55" s="16" t="s">
        <v>17625</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4144</v>
      </c>
      <c r="B56" s="16"/>
      <c r="C56" s="16" t="s">
        <v>17625</v>
      </c>
      <c r="D56" s="15" cm="1">
        <f t="array" ref="D56">SUM(IF((LEFT('2-1 采购订单物料明细表报表导出'!$K:$K,7)=D$1)*('2-1 采购订单物料明细表报表导出'!$D:$D=$A56),'2-1 采购订单物料明细表报表导出'!$H:$H,0))</f>
        <v>4874657.04</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17639</v>
      </c>
      <c r="B57" s="16"/>
      <c r="C57" s="16" t="s">
        <v>17625</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4133</v>
      </c>
      <c r="B58" s="16"/>
      <c r="C58" s="16" t="s">
        <v>17625</v>
      </c>
      <c r="D58" s="15" cm="1">
        <f t="array" ref="D58">SUM(IF((LEFT('2-1 采购订单物料明细表报表导出'!$K:$K,7)=D$1)*('2-1 采购订单物料明细表报表导出'!$D:$D=$A58),'2-1 采购订单物料明细表报表导出'!$H:$H,0))</f>
        <v>91000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17640</v>
      </c>
      <c r="B59" s="16"/>
      <c r="C59" s="16" t="s">
        <v>17625</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17641</v>
      </c>
      <c r="B60" s="16"/>
      <c r="C60" s="16" t="s">
        <v>17625</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17642</v>
      </c>
      <c r="B61" s="16"/>
      <c r="C61" s="16" t="s">
        <v>17625</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17643</v>
      </c>
      <c r="B62" s="16"/>
      <c r="C62" s="16" t="s">
        <v>17625</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11246</v>
      </c>
      <c r="B63" s="16"/>
      <c r="C63" s="16" t="s">
        <v>17625</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17644</v>
      </c>
      <c r="B64" s="16"/>
      <c r="C64" s="16" t="s">
        <v>17625</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17645</v>
      </c>
      <c r="B65" s="16"/>
      <c r="C65" s="16" t="s">
        <v>17625</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4150</v>
      </c>
      <c r="B66" s="16"/>
      <c r="C66" s="16" t="s">
        <v>17625</v>
      </c>
      <c r="D66" s="15" cm="1">
        <f t="array" ref="D66">SUM(IF((LEFT('2-1 采购订单物料明细表报表导出'!$K:$K,7)=D$1)*('2-1 采购订单物料明细表报表导出'!$D:$D=$A66),'2-1 采购订单物料明细表报表导出'!$H:$H,0))</f>
        <v>114000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3897</v>
      </c>
      <c r="B67" s="16"/>
      <c r="C67" s="16" t="s">
        <v>17625</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433400.64</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17646</v>
      </c>
      <c r="B68" s="16"/>
      <c r="C68" s="16" t="s">
        <v>17625</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4168</v>
      </c>
      <c r="B69" s="16"/>
      <c r="C69" s="16" t="s">
        <v>17625</v>
      </c>
      <c r="D69" s="15" cm="1">
        <f t="array" ref="D69">SUM(IF((LEFT('2-1 采购订单物料明细表报表导出'!$K:$K,7)=D$1)*('2-1 采购订单物料明细表报表导出'!$D:$D=$A69),'2-1 采购订单物料明细表报表导出'!$H:$H,0))</f>
        <v>90000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3796</v>
      </c>
      <c r="B70" s="16"/>
      <c r="C70" s="16" t="s">
        <v>17625</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184000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4064</v>
      </c>
      <c r="B71" s="16"/>
      <c r="C71" s="16" t="s">
        <v>17625</v>
      </c>
      <c r="D71" s="15" cm="1">
        <f t="array" ref="D71">SUM(IF((LEFT('2-1 采购订单物料明细表报表导出'!$K:$K,7)=D$1)*('2-1 采购订单物料明细表报表导出'!$D:$D=$A71),'2-1 采购订单物料明细表报表导出'!$H:$H,0))</f>
        <v>49048</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17647</v>
      </c>
      <c r="B72" s="16"/>
      <c r="C72" s="16" t="s">
        <v>17625</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17648</v>
      </c>
      <c r="B73" s="16"/>
      <c r="C73" s="16" t="s">
        <v>17625</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17649</v>
      </c>
      <c r="B74" s="16"/>
      <c r="C74" s="16" t="s">
        <v>17625</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6976</v>
      </c>
      <c r="B75" s="16"/>
      <c r="C75" s="16" t="s">
        <v>17625</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17650</v>
      </c>
      <c r="B76" s="16"/>
      <c r="C76" s="16" t="s">
        <v>17625</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17651</v>
      </c>
      <c r="B77" s="16"/>
      <c r="C77" s="16" t="s">
        <v>17625</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17652</v>
      </c>
      <c r="B78" s="16"/>
      <c r="C78" s="16" t="s">
        <v>17625</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17653</v>
      </c>
      <c r="B79" s="16"/>
      <c r="C79" s="16" t="s">
        <v>17625</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17654</v>
      </c>
      <c r="B80" s="16"/>
      <c r="C80" s="16" t="s">
        <v>17625</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2919</v>
      </c>
      <c r="B81" s="16"/>
      <c r="C81" s="16" t="s">
        <v>17625</v>
      </c>
      <c r="D81" s="15" cm="1">
        <f t="array" ref="D81">SUM(IF((LEFT('2-1 采购订单物料明细表报表导出'!$K:$K,7)=D$1)*('2-1 采购订单物料明细表报表导出'!$D:$D=$A81),'2-1 采购订单物料明细表报表导出'!$H:$H,0))</f>
        <v>198610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4700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7475</v>
      </c>
      <c r="B82" s="16"/>
      <c r="C82" s="16" t="s">
        <v>17625</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17655</v>
      </c>
      <c r="B83" s="16"/>
      <c r="C83" s="16" t="s">
        <v>17625</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17656</v>
      </c>
      <c r="B84" s="16"/>
      <c r="C84" s="16" t="s">
        <v>17625</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17657</v>
      </c>
      <c r="B85" s="16"/>
      <c r="C85" s="16" t="s">
        <v>17625</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4331</v>
      </c>
      <c r="B86" s="16"/>
      <c r="C86" s="16" t="s">
        <v>17625</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17658</v>
      </c>
      <c r="B87" s="16"/>
      <c r="C87" s="16" t="s">
        <v>17625</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3106</v>
      </c>
      <c r="B88" s="16"/>
      <c r="C88" s="16" t="s">
        <v>17625</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2400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17659</v>
      </c>
      <c r="B89" s="16"/>
      <c r="C89" s="16" t="s">
        <v>17625</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17660</v>
      </c>
      <c r="B90" s="16"/>
      <c r="C90" s="16" t="s">
        <v>17625</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5909</v>
      </c>
      <c r="B91" s="18" t="s">
        <v>2128</v>
      </c>
      <c r="C91" s="19" t="s">
        <v>2129</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3617</v>
      </c>
      <c r="B92" s="18" t="s">
        <v>2128</v>
      </c>
      <c r="C92" s="19" t="s">
        <v>2129</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270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9395</v>
      </c>
      <c r="B93" s="18" t="s">
        <v>2128</v>
      </c>
      <c r="C93" s="19" t="s">
        <v>2129</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4246</v>
      </c>
      <c r="B94" s="18" t="s">
        <v>2128</v>
      </c>
      <c r="C94" s="19" t="s">
        <v>2129</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2997</v>
      </c>
      <c r="B95" s="18" t="s">
        <v>2128</v>
      </c>
      <c r="C95" s="19" t="s">
        <v>2129</v>
      </c>
      <c r="D95" s="15" cm="1">
        <f t="array" ref="D95">SUM(IF((LEFT('2-1 采购订单物料明细表报表导出'!$K:$K,7)=D$1)*('2-1 采购订单物料明细表报表导出'!$D:$D=$A95),'2-1 采购订单物料明细表报表导出'!$H:$H,0))</f>
        <v>1680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1260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2520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5479</v>
      </c>
      <c r="B96" s="18" t="s">
        <v>2128</v>
      </c>
      <c r="C96" s="19" t="s">
        <v>2129</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3261</v>
      </c>
      <c r="B97" s="18" t="s">
        <v>2128</v>
      </c>
      <c r="C97" s="19" t="s">
        <v>2129</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1190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5490</v>
      </c>
      <c r="B98" s="18" t="s">
        <v>2128</v>
      </c>
      <c r="C98" s="19" t="s">
        <v>2129</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17661</v>
      </c>
      <c r="B99" s="18" t="s">
        <v>2128</v>
      </c>
      <c r="C99" s="19" t="s">
        <v>2129</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7635</v>
      </c>
      <c r="B100" s="18" t="s">
        <v>2128</v>
      </c>
      <c r="C100" s="19" t="s">
        <v>2129</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17662</v>
      </c>
      <c r="B101" s="18" t="s">
        <v>2128</v>
      </c>
      <c r="C101" s="19" t="s">
        <v>2129</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8802</v>
      </c>
      <c r="B102" s="18" t="s">
        <v>2128</v>
      </c>
      <c r="C102" s="19" t="s">
        <v>2129</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17663</v>
      </c>
      <c r="B103" s="18" t="s">
        <v>2128</v>
      </c>
      <c r="C103" s="19" t="s">
        <v>2129</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5111</v>
      </c>
      <c r="B104" s="18" t="s">
        <v>2065</v>
      </c>
      <c r="C104" s="19" t="s">
        <v>2066</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17664</v>
      </c>
      <c r="B105" s="18" t="s">
        <v>2065</v>
      </c>
      <c r="C105" s="19" t="s">
        <v>2066</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17665</v>
      </c>
      <c r="B106" s="18" t="s">
        <v>2065</v>
      </c>
      <c r="C106" s="19" t="s">
        <v>2066</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17666</v>
      </c>
      <c r="B107" s="18" t="s">
        <v>2065</v>
      </c>
      <c r="C107" s="19" t="s">
        <v>2066</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17667</v>
      </c>
      <c r="B108" s="18" t="s">
        <v>2065</v>
      </c>
      <c r="C108" s="19" t="s">
        <v>2066</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17668</v>
      </c>
      <c r="B109" s="18" t="s">
        <v>2065</v>
      </c>
      <c r="C109" s="19" t="s">
        <v>2066</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4013</v>
      </c>
      <c r="B110" s="18" t="s">
        <v>2065</v>
      </c>
      <c r="C110" s="19" t="s">
        <v>2066</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265.2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17669</v>
      </c>
      <c r="B111" s="18" t="s">
        <v>2065</v>
      </c>
      <c r="C111" s="19" t="s">
        <v>2066</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17670</v>
      </c>
      <c r="B112" s="18" t="s">
        <v>2088</v>
      </c>
      <c r="C112" s="19" t="s">
        <v>2089</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8808</v>
      </c>
      <c r="B113" s="18" t="s">
        <v>2088</v>
      </c>
      <c r="C113" s="19" t="s">
        <v>2089</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5546</v>
      </c>
      <c r="B114" s="18" t="s">
        <v>2088</v>
      </c>
      <c r="C114" s="19" t="s">
        <v>2089</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17671</v>
      </c>
      <c r="B115" s="18" t="s">
        <v>2088</v>
      </c>
      <c r="C115" s="19" t="s">
        <v>2089</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17672</v>
      </c>
      <c r="B116" s="18" t="s">
        <v>2088</v>
      </c>
      <c r="C116" s="19" t="s">
        <v>2089</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17673</v>
      </c>
      <c r="B117" s="18" t="s">
        <v>2088</v>
      </c>
      <c r="C117" s="19" t="s">
        <v>2089</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17674</v>
      </c>
      <c r="B118" s="18" t="s">
        <v>2088</v>
      </c>
      <c r="C118" s="19" t="s">
        <v>2089</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17675</v>
      </c>
      <c r="B119" s="18" t="s">
        <v>2088</v>
      </c>
      <c r="C119" s="19" t="s">
        <v>2089</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17676</v>
      </c>
      <c r="B120" s="18" t="s">
        <v>2088</v>
      </c>
      <c r="C120" s="19" t="s">
        <v>2089</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17677</v>
      </c>
      <c r="B121" s="18" t="s">
        <v>2088</v>
      </c>
      <c r="C121" s="19" t="s">
        <v>2089</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17678</v>
      </c>
      <c r="B122" s="18" t="s">
        <v>2088</v>
      </c>
      <c r="C122" s="19" t="s">
        <v>2089</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17679</v>
      </c>
      <c r="B123" s="18" t="s">
        <v>2088</v>
      </c>
      <c r="C123" s="19" t="s">
        <v>2089</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7955</v>
      </c>
      <c r="B124" s="18" t="s">
        <v>2088</v>
      </c>
      <c r="C124" s="19" t="s">
        <v>2089</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17680</v>
      </c>
      <c r="B125" s="18" t="s">
        <v>2088</v>
      </c>
      <c r="C125" s="19" t="s">
        <v>2089</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17681</v>
      </c>
      <c r="B126" s="18" t="s">
        <v>2088</v>
      </c>
      <c r="C126" s="19" t="s">
        <v>2089</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17682</v>
      </c>
      <c r="B127" s="18" t="s">
        <v>2088</v>
      </c>
      <c r="C127" s="19" t="s">
        <v>2089</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17683</v>
      </c>
      <c r="B128" s="18" t="s">
        <v>2088</v>
      </c>
      <c r="C128" s="19" t="s">
        <v>2089</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17684</v>
      </c>
      <c r="B129" s="18" t="s">
        <v>2088</v>
      </c>
      <c r="C129" s="19" t="s">
        <v>2089</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6127</v>
      </c>
      <c r="B130" s="18" t="s">
        <v>2088</v>
      </c>
      <c r="C130" s="19" t="s">
        <v>2089</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12567</v>
      </c>
      <c r="B131" s="18" t="s">
        <v>2088</v>
      </c>
      <c r="C131" s="19" t="s">
        <v>2089</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17685</v>
      </c>
      <c r="B132" s="18" t="s">
        <v>2088</v>
      </c>
      <c r="C132" s="19" t="s">
        <v>2089</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17686</v>
      </c>
      <c r="B133" s="18" t="s">
        <v>2088</v>
      </c>
      <c r="C133" s="19" t="s">
        <v>2089</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11561</v>
      </c>
      <c r="B134" s="18" t="s">
        <v>2088</v>
      </c>
      <c r="C134" s="19" t="s">
        <v>2089</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17687</v>
      </c>
      <c r="B135" s="18" t="s">
        <v>2088</v>
      </c>
      <c r="C135" s="19" t="s">
        <v>2089</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17688</v>
      </c>
      <c r="B136" s="18" t="s">
        <v>2088</v>
      </c>
      <c r="C136" s="19" t="s">
        <v>2089</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8216</v>
      </c>
      <c r="B137" s="18" t="s">
        <v>2088</v>
      </c>
      <c r="C137" s="19" t="s">
        <v>2089</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17689</v>
      </c>
      <c r="B138" s="18" t="s">
        <v>2088</v>
      </c>
      <c r="C138" s="19" t="s">
        <v>2089</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17690</v>
      </c>
      <c r="B139" s="18" t="s">
        <v>2088</v>
      </c>
      <c r="C139" s="19" t="s">
        <v>2089</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17691</v>
      </c>
      <c r="B140" s="18" t="s">
        <v>2088</v>
      </c>
      <c r="C140" s="19" t="s">
        <v>2089</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7024</v>
      </c>
      <c r="B141" s="18" t="s">
        <v>2128</v>
      </c>
      <c r="C141" s="19" t="s">
        <v>2129</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17692</v>
      </c>
      <c r="B142" s="18" t="s">
        <v>2128</v>
      </c>
      <c r="C142" s="19" t="s">
        <v>2129</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17693</v>
      </c>
      <c r="B143" s="18" t="s">
        <v>2128</v>
      </c>
      <c r="C143" s="19" t="s">
        <v>2129</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3273</v>
      </c>
      <c r="B144" s="18" t="s">
        <v>2128</v>
      </c>
      <c r="C144" s="19" t="s">
        <v>2129</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167.3</v>
      </c>
      <c r="H144" s="15" cm="1">
        <f t="array" ref="H144">SUM(IF((LEFT('2-1 采购订单物料明细表报表导出'!$K:$K,7)=H$1)*('2-1 采购订单物料明细表报表导出'!$D:$D=$A144),'2-1 采购订单物料明细表报表导出'!$H:$H,0))</f>
        <v>97.44</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6811</v>
      </c>
      <c r="B145" s="18" t="s">
        <v>2128</v>
      </c>
      <c r="C145" s="19" t="s">
        <v>2129</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17694</v>
      </c>
      <c r="B146" s="18" t="s">
        <v>2128</v>
      </c>
      <c r="C146" s="19" t="s">
        <v>2129</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17695</v>
      </c>
      <c r="B147" s="18" t="s">
        <v>2128</v>
      </c>
      <c r="C147" s="19" t="s">
        <v>2129</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9294</v>
      </c>
      <c r="B148" s="18" t="s">
        <v>2128</v>
      </c>
      <c r="C148" s="19" t="s">
        <v>2129</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3575</v>
      </c>
      <c r="B149" s="18" t="s">
        <v>2128</v>
      </c>
      <c r="C149" s="19" t="s">
        <v>2129</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2658.8</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17696</v>
      </c>
      <c r="B150" s="18" t="s">
        <v>2128</v>
      </c>
      <c r="C150" s="19" t="s">
        <v>2129</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17697</v>
      </c>
      <c r="B151" s="18" t="s">
        <v>2128</v>
      </c>
      <c r="C151" s="19" t="s">
        <v>2129</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5796</v>
      </c>
      <c r="B152" s="18" t="s">
        <v>2128</v>
      </c>
      <c r="C152" s="19" t="s">
        <v>2129</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17698</v>
      </c>
      <c r="B153" s="18" t="s">
        <v>2128</v>
      </c>
      <c r="C153" s="19" t="s">
        <v>2129</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17699</v>
      </c>
      <c r="B154" s="18" t="s">
        <v>2128</v>
      </c>
      <c r="C154" s="19" t="s">
        <v>2129</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17700</v>
      </c>
      <c r="B155" s="18" t="s">
        <v>2128</v>
      </c>
      <c r="C155" s="19" t="s">
        <v>2129</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5776</v>
      </c>
      <c r="B156" s="18" t="s">
        <v>2128</v>
      </c>
      <c r="C156" s="19" t="s">
        <v>2129</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12756</v>
      </c>
      <c r="B157" s="18" t="s">
        <v>2128</v>
      </c>
      <c r="C157" s="19" t="s">
        <v>2129</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17701</v>
      </c>
      <c r="B158" s="18" t="s">
        <v>2128</v>
      </c>
      <c r="C158" s="19" t="s">
        <v>2129</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3680</v>
      </c>
      <c r="B159" s="18" t="s">
        <v>2128</v>
      </c>
      <c r="C159" s="19" t="s">
        <v>2129</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108</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3352</v>
      </c>
      <c r="B160" s="18" t="s">
        <v>2128</v>
      </c>
      <c r="C160" s="19" t="s">
        <v>2129</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1311.95</v>
      </c>
      <c r="G160" s="15" cm="1">
        <f t="array" ref="G160">SUM(IF((LEFT('2-1 采购订单物料明细表报表导出'!$K:$K,7)=G$1)*('2-1 采购订单物料明细表报表导出'!$D:$D=$A160),'2-1 采购订单物料明细表报表导出'!$H:$H,0))</f>
        <v>703.91</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17702</v>
      </c>
      <c r="B161" s="18" t="s">
        <v>2128</v>
      </c>
      <c r="C161" s="19" t="s">
        <v>2129</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17703</v>
      </c>
      <c r="B162" s="18" t="s">
        <v>2128</v>
      </c>
      <c r="C162" s="19" t="s">
        <v>2129</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3442</v>
      </c>
      <c r="B163" s="18" t="s">
        <v>2128</v>
      </c>
      <c r="C163" s="19" t="s">
        <v>2129</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59.24</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4407</v>
      </c>
      <c r="B164" s="18" t="s">
        <v>2128</v>
      </c>
      <c r="C164" s="19" t="s">
        <v>2129</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3593</v>
      </c>
      <c r="B165" s="18" t="s">
        <v>2128</v>
      </c>
      <c r="C165" s="19" t="s">
        <v>2129</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178.8</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5633</v>
      </c>
      <c r="B166" s="18" t="s">
        <v>2128</v>
      </c>
      <c r="C166" s="19" t="s">
        <v>2129</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3484</v>
      </c>
      <c r="B167" s="18" t="s">
        <v>2128</v>
      </c>
      <c r="C167" s="19" t="s">
        <v>2129</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37.1</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17704</v>
      </c>
      <c r="B168" s="18" t="s">
        <v>2128</v>
      </c>
      <c r="C168" s="19" t="s">
        <v>2129</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4030</v>
      </c>
      <c r="B169" s="18" t="s">
        <v>2128</v>
      </c>
      <c r="C169" s="19" t="s">
        <v>2129</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125.5</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4886</v>
      </c>
      <c r="B170" s="18" t="s">
        <v>2128</v>
      </c>
      <c r="C170" s="19" t="s">
        <v>2129</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12341</v>
      </c>
      <c r="B171" s="18" t="s">
        <v>2128</v>
      </c>
      <c r="C171" s="19" t="s">
        <v>2129</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17705</v>
      </c>
      <c r="B172" s="18" t="s">
        <v>2128</v>
      </c>
      <c r="C172" s="19" t="s">
        <v>2129</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3054</v>
      </c>
      <c r="B173" s="18" t="s">
        <v>2128</v>
      </c>
      <c r="C173" s="19" t="s">
        <v>2129</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772.2</v>
      </c>
      <c r="F173" s="15" cm="1">
        <f t="array" ref="F173">SUM(IF((LEFT('2-1 采购订单物料明细表报表导出'!$K:$K,7)=F$1)*('2-1 采购订单物料明细表报表导出'!$D:$D=$A173),'2-1 采购订单物料明细表报表导出'!$H:$H,0))</f>
        <v>386.1</v>
      </c>
      <c r="G173" s="15" cm="1">
        <f t="array" ref="G173">SUM(IF((LEFT('2-1 采购订单物料明细表报表导出'!$K:$K,7)=G$1)*('2-1 采购订单物料明细表报表导出'!$D:$D=$A173),'2-1 采购订单物料明细表报表导出'!$H:$H,0))</f>
        <v>196.8</v>
      </c>
      <c r="H173" s="15" cm="1">
        <f t="array" ref="H173">SUM(IF((LEFT('2-1 采购订单物料明细表报表导出'!$K:$K,7)=H$1)*('2-1 采购订单物料明细表报表导出'!$D:$D=$A173),'2-1 采购订单物料明细表报表导出'!$H:$H,0))</f>
        <v>201.9</v>
      </c>
      <c r="I173" s="15" cm="1">
        <f t="array" ref="I173">SUM(IF((LEFT('2-1 采购订单物料明细表报表导出'!$K:$K,7)=I$1)*('2-1 采购订单物料明细表报表导出'!$D:$D=$A173),'2-1 采购订单物料明细表报表导出'!$H:$H,0))</f>
        <v>420.6</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3410</v>
      </c>
      <c r="B174" s="18" t="s">
        <v>2128</v>
      </c>
      <c r="C174" s="19" t="s">
        <v>2129</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480.5</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3471</v>
      </c>
      <c r="B175" s="18" t="s">
        <v>2128</v>
      </c>
      <c r="C175" s="19" t="s">
        <v>2129</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16.28</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3414</v>
      </c>
      <c r="B176" s="18" t="s">
        <v>2128</v>
      </c>
      <c r="C176" s="19" t="s">
        <v>2129</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192</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17706</v>
      </c>
      <c r="B177" s="18" t="s">
        <v>2128</v>
      </c>
      <c r="C177" s="19" t="s">
        <v>2129</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17707</v>
      </c>
      <c r="B178" s="18" t="s">
        <v>2128</v>
      </c>
      <c r="C178" s="19" t="s">
        <v>2129</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17708</v>
      </c>
      <c r="B179" s="18" t="s">
        <v>2128</v>
      </c>
      <c r="C179" s="19" t="s">
        <v>2129</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4220</v>
      </c>
      <c r="B180" s="18" t="s">
        <v>2128</v>
      </c>
      <c r="C180" s="19" t="s">
        <v>2129</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12893</v>
      </c>
      <c r="B181" s="18" t="s">
        <v>2128</v>
      </c>
      <c r="C181" s="19" t="s">
        <v>2129</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4752</v>
      </c>
      <c r="B182" s="18" t="s">
        <v>2128</v>
      </c>
      <c r="C182" s="19" t="s">
        <v>2129</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17709</v>
      </c>
      <c r="B183" s="18" t="s">
        <v>2128</v>
      </c>
      <c r="C183" s="19" t="s">
        <v>2129</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8440</v>
      </c>
      <c r="B184" s="18" t="s">
        <v>2128</v>
      </c>
      <c r="C184" s="19" t="s">
        <v>2129</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5744</v>
      </c>
      <c r="B185" s="18" t="s">
        <v>2128</v>
      </c>
      <c r="C185" s="19" t="s">
        <v>2129</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17710</v>
      </c>
      <c r="B186" s="18" t="s">
        <v>2128</v>
      </c>
      <c r="C186" s="19" t="s">
        <v>2129</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3386</v>
      </c>
      <c r="B187" s="18" t="s">
        <v>2128</v>
      </c>
      <c r="C187" s="19" t="s">
        <v>2129</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53.01</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7714</v>
      </c>
      <c r="B188" s="18" t="s">
        <v>2128</v>
      </c>
      <c r="C188" s="19" t="s">
        <v>2129</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11912</v>
      </c>
      <c r="B189" s="18" t="s">
        <v>2128</v>
      </c>
      <c r="C189" s="19" t="s">
        <v>2129</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17711</v>
      </c>
      <c r="B190" s="18" t="s">
        <v>2128</v>
      </c>
      <c r="C190" s="19" t="s">
        <v>2129</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4747</v>
      </c>
      <c r="B191" s="18" t="s">
        <v>2128</v>
      </c>
      <c r="C191" s="19" t="s">
        <v>2129</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3704</v>
      </c>
      <c r="B192" s="18" t="s">
        <v>2128</v>
      </c>
      <c r="C192" s="19" t="s">
        <v>2129</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791.7</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17712</v>
      </c>
      <c r="B193" s="18" t="s">
        <v>2128</v>
      </c>
      <c r="C193" s="19" t="s">
        <v>2129</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3363</v>
      </c>
      <c r="B194" s="18" t="s">
        <v>2128</v>
      </c>
      <c r="C194" s="19" t="s">
        <v>2129</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65.79</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5410</v>
      </c>
      <c r="B195" s="18" t="s">
        <v>2128</v>
      </c>
      <c r="C195" s="19" t="s">
        <v>2129</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17713</v>
      </c>
      <c r="B196" s="18" t="s">
        <v>2128</v>
      </c>
      <c r="C196" s="19" t="s">
        <v>2129</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17714</v>
      </c>
      <c r="B197" s="18" t="s">
        <v>2128</v>
      </c>
      <c r="C197" s="19" t="s">
        <v>2129</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12305</v>
      </c>
      <c r="B198" s="18" t="s">
        <v>2128</v>
      </c>
      <c r="C198" s="19" t="s">
        <v>2129</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17715</v>
      </c>
      <c r="B199" s="18" t="s">
        <v>2128</v>
      </c>
      <c r="C199" s="19" t="s">
        <v>2129</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3446</v>
      </c>
      <c r="B200" s="18" t="s">
        <v>2128</v>
      </c>
      <c r="C200" s="19" t="s">
        <v>2129</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69.96</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6713</v>
      </c>
      <c r="B201" s="18" t="s">
        <v>2128</v>
      </c>
      <c r="C201" s="19" t="s">
        <v>2129</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17716</v>
      </c>
      <c r="B202" s="18" t="s">
        <v>2128</v>
      </c>
      <c r="C202" s="19" t="s">
        <v>2129</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7630</v>
      </c>
      <c r="B203" s="18" t="s">
        <v>2128</v>
      </c>
      <c r="C203" s="19" t="s">
        <v>2129</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17717</v>
      </c>
      <c r="B204" s="18" t="s">
        <v>2128</v>
      </c>
      <c r="C204" s="19" t="s">
        <v>2129</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12611</v>
      </c>
      <c r="B205" s="18" t="s">
        <v>2128</v>
      </c>
      <c r="C205" s="19" t="s">
        <v>2129</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17718</v>
      </c>
      <c r="B206" s="18" t="s">
        <v>2128</v>
      </c>
      <c r="C206" s="19" t="s">
        <v>2129</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3669</v>
      </c>
      <c r="B207" s="18" t="s">
        <v>2128</v>
      </c>
      <c r="C207" s="19" t="s">
        <v>2129</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106.25</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5978</v>
      </c>
      <c r="B208" s="18" t="s">
        <v>2128</v>
      </c>
      <c r="C208" s="19" t="s">
        <v>2129</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17719</v>
      </c>
      <c r="B209" s="18" t="s">
        <v>2128</v>
      </c>
      <c r="C209" s="19" t="s">
        <v>2129</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17720</v>
      </c>
      <c r="B210" s="18" t="s">
        <v>2128</v>
      </c>
      <c r="C210" s="19" t="s">
        <v>2129</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8939</v>
      </c>
      <c r="B211" s="18" t="s">
        <v>2128</v>
      </c>
      <c r="C211" s="19" t="s">
        <v>2129</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5758</v>
      </c>
      <c r="B212" s="18" t="s">
        <v>2128</v>
      </c>
      <c r="C212" s="19" t="s">
        <v>2129</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17721</v>
      </c>
      <c r="B213" s="18" t="s">
        <v>2128</v>
      </c>
      <c r="C213" s="19" t="s">
        <v>2129</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17722</v>
      </c>
      <c r="B214" s="18" t="s">
        <v>2128</v>
      </c>
      <c r="C214" s="19" t="s">
        <v>2129</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17723</v>
      </c>
      <c r="B215" s="18" t="s">
        <v>2128</v>
      </c>
      <c r="C215" s="19" t="s">
        <v>2129</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17724</v>
      </c>
      <c r="B216" s="18" t="s">
        <v>2128</v>
      </c>
      <c r="C216" s="19" t="s">
        <v>2129</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17725</v>
      </c>
      <c r="B217" s="18" t="s">
        <v>2128</v>
      </c>
      <c r="C217" s="19" t="s">
        <v>2129</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17726</v>
      </c>
      <c r="B218" s="18" t="s">
        <v>2128</v>
      </c>
      <c r="C218" s="19" t="s">
        <v>2129</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17727</v>
      </c>
      <c r="B219" s="18" t="s">
        <v>2128</v>
      </c>
      <c r="C219" s="19" t="s">
        <v>2129</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17728</v>
      </c>
      <c r="B220" s="18" t="s">
        <v>2128</v>
      </c>
      <c r="C220" s="19" t="s">
        <v>2129</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13295</v>
      </c>
      <c r="B221" s="18" t="s">
        <v>2128</v>
      </c>
      <c r="C221" s="19" t="s">
        <v>2129</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3963</v>
      </c>
      <c r="B222" s="18" t="s">
        <v>2128</v>
      </c>
      <c r="C222" s="19" t="s">
        <v>2129</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390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17729</v>
      </c>
      <c r="B223" s="18" t="s">
        <v>2128</v>
      </c>
      <c r="C223" s="19" t="s">
        <v>2129</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17730</v>
      </c>
      <c r="B224" s="18" t="s">
        <v>2128</v>
      </c>
      <c r="C224" s="19" t="s">
        <v>2129</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17731</v>
      </c>
      <c r="B225" s="18" t="s">
        <v>2128</v>
      </c>
      <c r="C225" s="19" t="s">
        <v>2129</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4403</v>
      </c>
      <c r="B226" s="18" t="s">
        <v>2128</v>
      </c>
      <c r="C226" s="19" t="s">
        <v>2129</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4437</v>
      </c>
      <c r="B227" s="18" t="s">
        <v>2128</v>
      </c>
      <c r="C227" s="19" t="s">
        <v>2129</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17732</v>
      </c>
      <c r="B228" s="18" t="s">
        <v>2128</v>
      </c>
      <c r="C228" s="19" t="s">
        <v>2129</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4465</v>
      </c>
      <c r="B229" s="18" t="s">
        <v>2128</v>
      </c>
      <c r="C229" s="19" t="s">
        <v>2129</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3269</v>
      </c>
      <c r="B230" s="18" t="s">
        <v>2128</v>
      </c>
      <c r="C230" s="19" t="s">
        <v>2129</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104.04</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3251</v>
      </c>
      <c r="B231" s="18" t="s">
        <v>2128</v>
      </c>
      <c r="C231" s="19" t="s">
        <v>2129</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287.5</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5140</v>
      </c>
      <c r="B232" s="18" t="s">
        <v>2128</v>
      </c>
      <c r="C232" s="19" t="s">
        <v>2129</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6056</v>
      </c>
      <c r="B233" s="18" t="s">
        <v>2128</v>
      </c>
      <c r="C233" s="19" t="s">
        <v>2129</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5121</v>
      </c>
      <c r="B234" s="18" t="s">
        <v>2128</v>
      </c>
      <c r="C234" s="19" t="s">
        <v>2129</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17733</v>
      </c>
      <c r="B235" s="18" t="s">
        <v>2128</v>
      </c>
      <c r="C235" s="19" t="s">
        <v>2129</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17734</v>
      </c>
      <c r="B236" s="18" t="s">
        <v>2128</v>
      </c>
      <c r="C236" s="19" t="s">
        <v>2129</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17735</v>
      </c>
      <c r="B237" s="18" t="s">
        <v>2128</v>
      </c>
      <c r="C237" s="19" t="s">
        <v>2129</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17736</v>
      </c>
      <c r="B238" s="18" t="s">
        <v>2128</v>
      </c>
      <c r="C238" s="19" t="s">
        <v>2129</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17737</v>
      </c>
      <c r="B239" s="18" t="s">
        <v>2128</v>
      </c>
      <c r="C239" s="19" t="s">
        <v>2129</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17738</v>
      </c>
      <c r="B240" s="18" t="s">
        <v>2128</v>
      </c>
      <c r="C240" s="19" t="s">
        <v>2129</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3506</v>
      </c>
      <c r="B241" s="18" t="s">
        <v>2128</v>
      </c>
      <c r="C241" s="19" t="s">
        <v>2129</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57.93</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3390</v>
      </c>
      <c r="B242" s="18" t="s">
        <v>2128</v>
      </c>
      <c r="C242" s="19" t="s">
        <v>2129</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34.8</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6122</v>
      </c>
      <c r="B243" s="18" t="s">
        <v>2128</v>
      </c>
      <c r="C243" s="19" t="s">
        <v>2129</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17739</v>
      </c>
      <c r="B244" s="18" t="s">
        <v>2128</v>
      </c>
      <c r="C244" s="19" t="s">
        <v>2129</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5610</v>
      </c>
      <c r="B245" s="18" t="s">
        <v>2128</v>
      </c>
      <c r="C245" s="19" t="s">
        <v>2129</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5879</v>
      </c>
      <c r="B246" s="18" t="s">
        <v>2128</v>
      </c>
      <c r="C246" s="19" t="s">
        <v>2129</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10111</v>
      </c>
      <c r="B247" s="18" t="s">
        <v>2128</v>
      </c>
      <c r="C247" s="19" t="s">
        <v>2129</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17740</v>
      </c>
      <c r="B248" s="18" t="s">
        <v>2128</v>
      </c>
      <c r="C248" s="19" t="s">
        <v>2129</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17741</v>
      </c>
      <c r="B249" s="18" t="s">
        <v>2128</v>
      </c>
      <c r="C249" s="19" t="s">
        <v>2129</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3419</v>
      </c>
      <c r="B250" s="18" t="s">
        <v>2128</v>
      </c>
      <c r="C250" s="19" t="s">
        <v>2129</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75.33</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10394</v>
      </c>
      <c r="B251" s="18" t="s">
        <v>2128</v>
      </c>
      <c r="C251" s="19" t="s">
        <v>2129</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17742</v>
      </c>
      <c r="B252" s="18" t="s">
        <v>2128</v>
      </c>
      <c r="C252" s="19" t="s">
        <v>2129</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17743</v>
      </c>
      <c r="B253" s="18" t="s">
        <v>2128</v>
      </c>
      <c r="C253" s="19" t="s">
        <v>2129</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9520</v>
      </c>
      <c r="B254" s="18" t="s">
        <v>2128</v>
      </c>
      <c r="C254" s="19" t="s">
        <v>2129</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6111</v>
      </c>
      <c r="B255" s="18" t="s">
        <v>2128</v>
      </c>
      <c r="C255" s="19" t="s">
        <v>2129</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6475</v>
      </c>
      <c r="B256" s="18" t="s">
        <v>2128</v>
      </c>
      <c r="C256" s="19" t="s">
        <v>2129</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17744</v>
      </c>
      <c r="B257" s="18" t="s">
        <v>2128</v>
      </c>
      <c r="C257" s="19" t="s">
        <v>2129</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17745</v>
      </c>
      <c r="B258" s="18" t="s">
        <v>2128</v>
      </c>
      <c r="C258" s="19" t="s">
        <v>2129</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17746</v>
      </c>
      <c r="B259" s="18" t="s">
        <v>2128</v>
      </c>
      <c r="C259" s="19" t="s">
        <v>2129</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17747</v>
      </c>
      <c r="B260" s="18" t="s">
        <v>2128</v>
      </c>
      <c r="C260" s="19" t="s">
        <v>2129</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10878</v>
      </c>
      <c r="B261" s="18" t="s">
        <v>2128</v>
      </c>
      <c r="C261" s="19" t="s">
        <v>2129</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2969</v>
      </c>
      <c r="B262" s="18" t="s">
        <v>2128</v>
      </c>
      <c r="C262" s="19" t="s">
        <v>2129</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384.1</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6465</v>
      </c>
      <c r="B263" s="18" t="s">
        <v>2128</v>
      </c>
      <c r="C263" s="19" t="s">
        <v>2129</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17748</v>
      </c>
      <c r="B264" s="18" t="s">
        <v>2128</v>
      </c>
      <c r="C264" s="19" t="s">
        <v>2129</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17749</v>
      </c>
      <c r="B265" s="18" t="s">
        <v>2128</v>
      </c>
      <c r="C265" s="19" t="s">
        <v>2129</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17750</v>
      </c>
      <c r="B266" s="18" t="s">
        <v>2128</v>
      </c>
      <c r="C266" s="19" t="s">
        <v>2129</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11945</v>
      </c>
      <c r="B267" s="18" t="s">
        <v>2128</v>
      </c>
      <c r="C267" s="19" t="s">
        <v>2129</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5018</v>
      </c>
      <c r="B268" s="18" t="s">
        <v>2128</v>
      </c>
      <c r="C268" s="19" t="s">
        <v>2129</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17751</v>
      </c>
      <c r="B269" s="18" t="s">
        <v>2128</v>
      </c>
      <c r="C269" s="19" t="s">
        <v>2129</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17752</v>
      </c>
      <c r="B270" s="18" t="s">
        <v>2128</v>
      </c>
      <c r="C270" s="19" t="s">
        <v>2129</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17753</v>
      </c>
      <c r="B271" s="18" t="s">
        <v>2128</v>
      </c>
      <c r="C271" s="19" t="s">
        <v>2129</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9480</v>
      </c>
      <c r="B272" s="18" t="s">
        <v>2128</v>
      </c>
      <c r="C272" s="19" t="s">
        <v>2129</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4894</v>
      </c>
      <c r="B273" s="18" t="s">
        <v>2128</v>
      </c>
      <c r="C273" s="19" t="s">
        <v>2129</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17754</v>
      </c>
      <c r="B274" s="18" t="s">
        <v>2128</v>
      </c>
      <c r="C274" s="19" t="s">
        <v>2129</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4451</v>
      </c>
      <c r="B275" s="18" t="s">
        <v>2128</v>
      </c>
      <c r="C275" s="19" t="s">
        <v>2129</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4929</v>
      </c>
      <c r="B276" s="18" t="s">
        <v>2128</v>
      </c>
      <c r="C276" s="19" t="s">
        <v>2129</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17755</v>
      </c>
      <c r="B277" s="18" t="s">
        <v>2128</v>
      </c>
      <c r="C277" s="19" t="s">
        <v>2129</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6470</v>
      </c>
      <c r="B278" s="18" t="s">
        <v>2128</v>
      </c>
      <c r="C278" s="19" t="s">
        <v>2129</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17756</v>
      </c>
      <c r="B279" s="18" t="s">
        <v>2128</v>
      </c>
      <c r="C279" s="19" t="s">
        <v>2129</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17757</v>
      </c>
      <c r="B280" s="18" t="s">
        <v>2128</v>
      </c>
      <c r="C280" s="19" t="s">
        <v>2129</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10126</v>
      </c>
      <c r="B281" s="18" t="s">
        <v>2128</v>
      </c>
      <c r="C281" s="19" t="s">
        <v>2129</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17758</v>
      </c>
      <c r="B282" s="18" t="s">
        <v>2128</v>
      </c>
      <c r="C282" s="19" t="s">
        <v>2129</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17759</v>
      </c>
      <c r="B283" s="18" t="s">
        <v>2128</v>
      </c>
      <c r="C283" s="19" t="s">
        <v>2129</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6459</v>
      </c>
      <c r="B284" s="18" t="s">
        <v>2128</v>
      </c>
      <c r="C284" s="19" t="s">
        <v>2129</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17760</v>
      </c>
      <c r="B285" s="18" t="s">
        <v>2128</v>
      </c>
      <c r="C285" s="19" t="s">
        <v>2129</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17761</v>
      </c>
      <c r="B286" s="18" t="s">
        <v>2128</v>
      </c>
      <c r="C286" s="19" t="s">
        <v>2129</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17762</v>
      </c>
      <c r="B287" s="18" t="s">
        <v>2128</v>
      </c>
      <c r="C287" s="19" t="s">
        <v>2129</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17763</v>
      </c>
      <c r="B288" s="18" t="s">
        <v>2128</v>
      </c>
      <c r="C288" s="19" t="s">
        <v>2129</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12964</v>
      </c>
      <c r="B289" s="18" t="s">
        <v>2128</v>
      </c>
      <c r="C289" s="19" t="s">
        <v>2129</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17764</v>
      </c>
      <c r="B290" s="18" t="s">
        <v>2128</v>
      </c>
      <c r="C290" s="19" t="s">
        <v>2129</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6924</v>
      </c>
      <c r="B291" s="18" t="s">
        <v>2128</v>
      </c>
      <c r="C291" s="19" t="s">
        <v>2129</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9350</v>
      </c>
      <c r="B292" s="18" t="s">
        <v>2128</v>
      </c>
      <c r="C292" s="19" t="s">
        <v>2129</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11180</v>
      </c>
      <c r="B293" s="18" t="s">
        <v>2128</v>
      </c>
      <c r="C293" s="19" t="s">
        <v>2129</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4309</v>
      </c>
      <c r="B294" s="18" t="s">
        <v>2128</v>
      </c>
      <c r="C294" s="19" t="s">
        <v>2129</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17765</v>
      </c>
      <c r="B295" s="18" t="s">
        <v>2128</v>
      </c>
      <c r="C295" s="19" t="s">
        <v>2129</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3641</v>
      </c>
      <c r="B296" s="18" t="s">
        <v>2128</v>
      </c>
      <c r="C296" s="19" t="s">
        <v>2129</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326.25</v>
      </c>
      <c r="F296" s="15" cm="1">
        <f t="array" ref="F296">SUM(IF((LEFT('2-1 采购订单物料明细表报表导出'!$K:$K,7)=F$1)*('2-1 采购订单物料明细表报表导出'!$D:$D=$A296),'2-1 采购订单物料明细表报表导出'!$H:$H,0))</f>
        <v>217.5</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4280</v>
      </c>
      <c r="B297" s="18" t="s">
        <v>2128</v>
      </c>
      <c r="C297" s="19" t="s">
        <v>2129</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4880</v>
      </c>
      <c r="B298" s="18" t="s">
        <v>2128</v>
      </c>
      <c r="C298" s="19" t="s">
        <v>2129</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11209</v>
      </c>
      <c r="B299" s="18" t="s">
        <v>2128</v>
      </c>
      <c r="C299" s="19" t="s">
        <v>2129</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6645</v>
      </c>
      <c r="B300" s="18" t="s">
        <v>2128</v>
      </c>
      <c r="C300" s="19" t="s">
        <v>2129</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4264</v>
      </c>
      <c r="B301" s="18" t="s">
        <v>2128</v>
      </c>
      <c r="C301" s="19" t="s">
        <v>2129</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3633</v>
      </c>
      <c r="B302" s="18" t="s">
        <v>2128</v>
      </c>
      <c r="C302" s="19" t="s">
        <v>2129</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197.1</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17766</v>
      </c>
      <c r="B303" s="18" t="s">
        <v>2065</v>
      </c>
      <c r="C303" s="19" t="s">
        <v>2066</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7072</v>
      </c>
      <c r="B304" s="18" t="s">
        <v>2065</v>
      </c>
      <c r="C304" s="19" t="s">
        <v>2066</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5406</v>
      </c>
      <c r="B305" s="18" t="s">
        <v>2065</v>
      </c>
      <c r="C305" s="19" t="s">
        <v>2066</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3082</v>
      </c>
      <c r="B306" s="18" t="s">
        <v>2065</v>
      </c>
      <c r="C306" s="19" t="s">
        <v>2066</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2875.5</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413.1</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9009</v>
      </c>
      <c r="B307" s="18" t="s">
        <v>2065</v>
      </c>
      <c r="C307" s="19" t="s">
        <v>2066</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17767</v>
      </c>
      <c r="B308" s="18" t="s">
        <v>2065</v>
      </c>
      <c r="C308" s="19" t="s">
        <v>2066</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17768</v>
      </c>
      <c r="B309" s="18" t="s">
        <v>2088</v>
      </c>
      <c r="C309" s="19" t="s">
        <v>2089</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12828</v>
      </c>
      <c r="B310" s="18" t="s">
        <v>2088</v>
      </c>
      <c r="C310" s="19" t="s">
        <v>2089</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17769</v>
      </c>
      <c r="B311" s="18" t="s">
        <v>2088</v>
      </c>
      <c r="C311" s="19" t="s">
        <v>2089</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3255</v>
      </c>
      <c r="B312" s="18" t="s">
        <v>2088</v>
      </c>
      <c r="C312" s="19" t="s">
        <v>2089</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219.05</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154.9</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17770</v>
      </c>
      <c r="B313" s="18" t="s">
        <v>2088</v>
      </c>
      <c r="C313" s="19" t="s">
        <v>2089</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17771</v>
      </c>
      <c r="B314" s="18" t="s">
        <v>2088</v>
      </c>
      <c r="C314" s="19" t="s">
        <v>2089</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17772</v>
      </c>
      <c r="B315" s="18" t="s">
        <v>2088</v>
      </c>
      <c r="C315" s="19" t="s">
        <v>2089</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9771</v>
      </c>
      <c r="B316" s="18" t="s">
        <v>2088</v>
      </c>
      <c r="C316" s="19" t="s">
        <v>2089</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17773</v>
      </c>
      <c r="B317" s="18" t="s">
        <v>2088</v>
      </c>
      <c r="C317" s="19" t="s">
        <v>2089</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17774</v>
      </c>
      <c r="B318" s="18" t="s">
        <v>2088</v>
      </c>
      <c r="C318" s="19" t="s">
        <v>2089</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3498</v>
      </c>
      <c r="B319" s="18" t="s">
        <v>2088</v>
      </c>
      <c r="C319" s="19" t="s">
        <v>2089</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1188</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7881</v>
      </c>
      <c r="B320" s="18" t="s">
        <v>2088</v>
      </c>
      <c r="C320" s="19" t="s">
        <v>2089</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17775</v>
      </c>
      <c r="B321" s="18" t="s">
        <v>2088</v>
      </c>
      <c r="C321" s="19" t="s">
        <v>2089</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7271</v>
      </c>
      <c r="B322" s="18" t="s">
        <v>2088</v>
      </c>
      <c r="C322" s="19" t="s">
        <v>2089</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17776</v>
      </c>
      <c r="B323" s="18" t="s">
        <v>2088</v>
      </c>
      <c r="C323" s="19" t="s">
        <v>2089</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17777</v>
      </c>
      <c r="B324" s="18" t="s">
        <v>2088</v>
      </c>
      <c r="C324" s="19" t="s">
        <v>2089</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3378</v>
      </c>
      <c r="B325" s="18" t="s">
        <v>2088</v>
      </c>
      <c r="C325" s="19" t="s">
        <v>2089</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90.3</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3333</v>
      </c>
      <c r="B326" s="18" t="s">
        <v>2088</v>
      </c>
      <c r="C326" s="19" t="s">
        <v>2089</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147.87</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17778</v>
      </c>
      <c r="B327" s="18" t="s">
        <v>2088</v>
      </c>
      <c r="C327" s="19" t="s">
        <v>2089</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3450</v>
      </c>
      <c r="B328" s="18" t="s">
        <v>2088</v>
      </c>
      <c r="C328" s="19" t="s">
        <v>2089</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76.95</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5312</v>
      </c>
      <c r="B329" s="18" t="s">
        <v>2088</v>
      </c>
      <c r="C329" s="19" t="s">
        <v>2089</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10026</v>
      </c>
      <c r="B330" s="18" t="s">
        <v>2088</v>
      </c>
      <c r="C330" s="19" t="s">
        <v>2089</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6273</v>
      </c>
      <c r="B331" s="18" t="s">
        <v>2088</v>
      </c>
      <c r="C331" s="19" t="s">
        <v>2089</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17779</v>
      </c>
      <c r="B332" s="18" t="s">
        <v>2088</v>
      </c>
      <c r="C332" s="19" t="s">
        <v>2089</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13253</v>
      </c>
      <c r="B333" s="18" t="s">
        <v>2088</v>
      </c>
      <c r="C333" s="19" t="s">
        <v>2089</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17780</v>
      </c>
      <c r="B334" s="18" t="s">
        <v>2088</v>
      </c>
      <c r="C334" s="19" t="s">
        <v>2089</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17781</v>
      </c>
      <c r="B335" s="18" t="s">
        <v>2088</v>
      </c>
      <c r="C335" s="19" t="s">
        <v>2089</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17782</v>
      </c>
      <c r="B336" s="18" t="s">
        <v>2088</v>
      </c>
      <c r="C336" s="19" t="s">
        <v>2089</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17783</v>
      </c>
      <c r="B337" s="18" t="s">
        <v>2088</v>
      </c>
      <c r="C337" s="19" t="s">
        <v>2089</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12262</v>
      </c>
      <c r="B338" s="18" t="s">
        <v>2088</v>
      </c>
      <c r="C338" s="19" t="s">
        <v>2089</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17784</v>
      </c>
      <c r="B339" s="18" t="s">
        <v>2088</v>
      </c>
      <c r="C339" s="19" t="s">
        <v>2089</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17785</v>
      </c>
      <c r="B340" s="18" t="s">
        <v>2088</v>
      </c>
      <c r="C340" s="19" t="s">
        <v>2089</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7279</v>
      </c>
      <c r="B341" s="18" t="s">
        <v>2088</v>
      </c>
      <c r="C341" s="19" t="s">
        <v>2089</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17786</v>
      </c>
      <c r="B342" s="18" t="s">
        <v>2088</v>
      </c>
      <c r="C342" s="19" t="s">
        <v>2089</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17787</v>
      </c>
      <c r="B343" s="18" t="s">
        <v>2088</v>
      </c>
      <c r="C343" s="19" t="s">
        <v>2089</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17788</v>
      </c>
      <c r="B344" s="18" t="s">
        <v>2088</v>
      </c>
      <c r="C344" s="19" t="s">
        <v>2089</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17789</v>
      </c>
      <c r="B345" s="18" t="s">
        <v>2088</v>
      </c>
      <c r="C345" s="19" t="s">
        <v>2089</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9739</v>
      </c>
      <c r="B346" s="18" t="s">
        <v>2088</v>
      </c>
      <c r="C346" s="19" t="s">
        <v>2089</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4487</v>
      </c>
      <c r="B347" s="18" t="s">
        <v>2088</v>
      </c>
      <c r="C347" s="19" t="s">
        <v>2089</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17790</v>
      </c>
      <c r="B348" s="18" t="s">
        <v>2088</v>
      </c>
      <c r="C348" s="19" t="s">
        <v>2089</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12084</v>
      </c>
      <c r="B349" s="18" t="s">
        <v>2088</v>
      </c>
      <c r="C349" s="19" t="s">
        <v>2089</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17791</v>
      </c>
      <c r="B350" s="18" t="s">
        <v>2088</v>
      </c>
      <c r="C350" s="19" t="s">
        <v>2089</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17792</v>
      </c>
      <c r="B351" s="18" t="s">
        <v>2088</v>
      </c>
      <c r="C351" s="19" t="s">
        <v>2089</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17793</v>
      </c>
      <c r="B352" s="18" t="s">
        <v>2088</v>
      </c>
      <c r="C352" s="19" t="s">
        <v>2089</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17794</v>
      </c>
      <c r="B353" s="18" t="s">
        <v>2088</v>
      </c>
      <c r="C353" s="19" t="s">
        <v>2089</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17795</v>
      </c>
      <c r="B354" s="18" t="s">
        <v>2088</v>
      </c>
      <c r="C354" s="19" t="s">
        <v>2089</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17796</v>
      </c>
      <c r="B355" s="18" t="s">
        <v>2088</v>
      </c>
      <c r="C355" s="19" t="s">
        <v>2089</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17797</v>
      </c>
      <c r="B356" s="18" t="s">
        <v>2088</v>
      </c>
      <c r="C356" s="19" t="s">
        <v>2089</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3329</v>
      </c>
      <c r="B357" s="18" t="s">
        <v>2088</v>
      </c>
      <c r="C357" s="19" t="s">
        <v>2089</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100.57</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4814</v>
      </c>
      <c r="B358" s="18" t="s">
        <v>2088</v>
      </c>
      <c r="C358" s="19" t="s">
        <v>2089</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17798</v>
      </c>
      <c r="B359" s="18" t="s">
        <v>2088</v>
      </c>
      <c r="C359" s="19" t="s">
        <v>2089</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17799</v>
      </c>
      <c r="B360" s="18" t="s">
        <v>2088</v>
      </c>
      <c r="C360" s="19" t="s">
        <v>2089</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11428</v>
      </c>
      <c r="B361" s="18" t="s">
        <v>2088</v>
      </c>
      <c r="C361" s="19" t="s">
        <v>2089</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17800</v>
      </c>
      <c r="B362" s="18" t="s">
        <v>2088</v>
      </c>
      <c r="C362" s="19" t="s">
        <v>2089</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17801</v>
      </c>
      <c r="B363" s="18" t="s">
        <v>2088</v>
      </c>
      <c r="C363" s="19" t="s">
        <v>2089</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3213</v>
      </c>
      <c r="B364" s="18" t="s">
        <v>2088</v>
      </c>
      <c r="C364" s="19" t="s">
        <v>2089</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41.23</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17802</v>
      </c>
      <c r="B365" s="18" t="s">
        <v>2088</v>
      </c>
      <c r="C365" s="19" t="s">
        <v>2089</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13625</v>
      </c>
      <c r="B366" s="18" t="s">
        <v>2128</v>
      </c>
      <c r="C366" s="19" t="s">
        <v>2129</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10473</v>
      </c>
      <c r="B367" s="18" t="s">
        <v>2128</v>
      </c>
      <c r="C367" s="19" t="s">
        <v>2129</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4340</v>
      </c>
      <c r="B368" s="18" t="s">
        <v>2128</v>
      </c>
      <c r="C368" s="19" t="s">
        <v>2129</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4037</v>
      </c>
      <c r="B369" s="18" t="s">
        <v>2128</v>
      </c>
      <c r="C369" s="19" t="s">
        <v>2129</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152.58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3284</v>
      </c>
      <c r="B370" s="18" t="s">
        <v>2128</v>
      </c>
      <c r="C370" s="19" t="s">
        <v>2129</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135</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17803</v>
      </c>
      <c r="B371" s="18" t="s">
        <v>2128</v>
      </c>
      <c r="C371" s="19" t="s">
        <v>2129</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17804</v>
      </c>
      <c r="B372" s="18" t="s">
        <v>2128</v>
      </c>
      <c r="C372" s="19" t="s">
        <v>2129</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9673</v>
      </c>
      <c r="B373" s="18" t="s">
        <v>2128</v>
      </c>
      <c r="C373" s="19" t="s">
        <v>2129</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3959</v>
      </c>
      <c r="B374" s="18" t="s">
        <v>2128</v>
      </c>
      <c r="C374" s="19" t="s">
        <v>2129</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1484</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4546</v>
      </c>
      <c r="B375" s="18" t="s">
        <v>2128</v>
      </c>
      <c r="C375" s="19" t="s">
        <v>2129</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17805</v>
      </c>
      <c r="B376" s="18" t="s">
        <v>2128</v>
      </c>
      <c r="C376" s="19" t="s">
        <v>2129</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10151</v>
      </c>
      <c r="B377" s="18" t="s">
        <v>2128</v>
      </c>
      <c r="C377" s="19" t="s">
        <v>2129</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17806</v>
      </c>
      <c r="B378" s="18" t="s">
        <v>2128</v>
      </c>
      <c r="C378" s="19" t="s">
        <v>2129</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17807</v>
      </c>
      <c r="B379" s="18" t="s">
        <v>2128</v>
      </c>
      <c r="C379" s="19" t="s">
        <v>2129</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5073</v>
      </c>
      <c r="B380" s="18" t="s">
        <v>2128</v>
      </c>
      <c r="C380" s="19" t="s">
        <v>2129</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6116</v>
      </c>
      <c r="B381" s="18" t="s">
        <v>2128</v>
      </c>
      <c r="C381" s="19" t="s">
        <v>2129</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17808</v>
      </c>
      <c r="B382" s="18" t="s">
        <v>2128</v>
      </c>
      <c r="C382" s="19" t="s">
        <v>2129</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5766</v>
      </c>
      <c r="B383" s="18" t="s">
        <v>2128</v>
      </c>
      <c r="C383" s="19" t="s">
        <v>2129</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7140</v>
      </c>
      <c r="B384" s="18" t="s">
        <v>2128</v>
      </c>
      <c r="C384" s="19" t="s">
        <v>2129</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17809</v>
      </c>
      <c r="B385" s="18" t="s">
        <v>2128</v>
      </c>
      <c r="C385" s="19" t="s">
        <v>2129</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4739</v>
      </c>
      <c r="B386" s="18" t="s">
        <v>2128</v>
      </c>
      <c r="C386" s="19" t="s">
        <v>2129</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17810</v>
      </c>
      <c r="B387" s="18" t="s">
        <v>2128</v>
      </c>
      <c r="C387" s="19" t="s">
        <v>2129</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7150</v>
      </c>
      <c r="B388" s="18" t="s">
        <v>2128</v>
      </c>
      <c r="C388" s="19" t="s">
        <v>2129</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7696</v>
      </c>
      <c r="B389" s="18" t="s">
        <v>2128</v>
      </c>
      <c r="C389" s="19" t="s">
        <v>2129</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17811</v>
      </c>
      <c r="B390" s="18" t="s">
        <v>2128</v>
      </c>
      <c r="C390" s="19" t="s">
        <v>2129</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17812</v>
      </c>
      <c r="B391" s="18" t="s">
        <v>2128</v>
      </c>
      <c r="C391" s="19" t="s">
        <v>2129</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17813</v>
      </c>
      <c r="B392" s="18" t="s">
        <v>2128</v>
      </c>
      <c r="C392" s="19" t="s">
        <v>2129</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17814</v>
      </c>
      <c r="B393" s="18" t="s">
        <v>2128</v>
      </c>
      <c r="C393" s="19" t="s">
        <v>2129</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17815</v>
      </c>
      <c r="B394" s="18" t="s">
        <v>2128</v>
      </c>
      <c r="C394" s="19" t="s">
        <v>2129</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4772</v>
      </c>
      <c r="B395" s="18" t="s">
        <v>2128</v>
      </c>
      <c r="C395" s="19" t="s">
        <v>2129</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6824</v>
      </c>
      <c r="B396" s="18" t="s">
        <v>2128</v>
      </c>
      <c r="C396" s="19" t="s">
        <v>2129</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6153</v>
      </c>
      <c r="B397" s="18" t="s">
        <v>2128</v>
      </c>
      <c r="C397" s="19" t="s">
        <v>2129</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10493</v>
      </c>
      <c r="B398" s="18" t="s">
        <v>2128</v>
      </c>
      <c r="C398" s="19" t="s">
        <v>2129</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6261</v>
      </c>
      <c r="B399" s="18" t="s">
        <v>2128</v>
      </c>
      <c r="C399" s="19" t="s">
        <v>2129</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5557</v>
      </c>
      <c r="B400" s="18" t="s">
        <v>2128</v>
      </c>
      <c r="C400" s="19" t="s">
        <v>2129</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13185</v>
      </c>
      <c r="B401" s="18" t="s">
        <v>2128</v>
      </c>
      <c r="C401" s="19" t="s">
        <v>2129</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5621</v>
      </c>
      <c r="B402" s="18" t="s">
        <v>2128</v>
      </c>
      <c r="C402" s="19" t="s">
        <v>2129</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17816</v>
      </c>
      <c r="B403" s="18" t="s">
        <v>2128</v>
      </c>
      <c r="C403" s="19" t="s">
        <v>2129</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17817</v>
      </c>
      <c r="B404" s="18" t="s">
        <v>2128</v>
      </c>
      <c r="C404" s="19" t="s">
        <v>2129</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8460</v>
      </c>
      <c r="B405" s="18" t="s">
        <v>2128</v>
      </c>
      <c r="C405" s="19" t="s">
        <v>2129</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6067</v>
      </c>
      <c r="B406" s="18" t="s">
        <v>2128</v>
      </c>
      <c r="C406" s="19" t="s">
        <v>2129</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3637</v>
      </c>
      <c r="B407" s="18" t="s">
        <v>2128</v>
      </c>
      <c r="C407" s="19" t="s">
        <v>2129</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1348.2</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8934</v>
      </c>
      <c r="B408" s="18" t="s">
        <v>2128</v>
      </c>
      <c r="C408" s="19" t="s">
        <v>2129</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17818</v>
      </c>
      <c r="B409" s="18" t="s">
        <v>2128</v>
      </c>
      <c r="C409" s="19" t="s">
        <v>2129</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5155</v>
      </c>
      <c r="B410" s="18" t="s">
        <v>2128</v>
      </c>
      <c r="C410" s="19" t="s">
        <v>2129</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6633</v>
      </c>
      <c r="B411" s="18" t="s">
        <v>2128</v>
      </c>
      <c r="C411" s="19" t="s">
        <v>2129</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7377</v>
      </c>
      <c r="B412" s="18" t="s">
        <v>2128</v>
      </c>
      <c r="C412" s="19" t="s">
        <v>2129</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11302</v>
      </c>
      <c r="B413" s="18" t="s">
        <v>2128</v>
      </c>
      <c r="C413" s="19" t="s">
        <v>2129</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3003</v>
      </c>
      <c r="B414" s="18" t="s">
        <v>2128</v>
      </c>
      <c r="C414" s="19" t="s">
        <v>2129</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426.48</v>
      </c>
      <c r="F414" s="15" cm="1">
        <f t="array" ref="F414">SUM(IF((LEFT('2-1 采购订单物料明细表报表导出'!$K:$K,7)=F$1)*('2-1 采购订单物料明细表报表导出'!$D:$D=$A414),'2-1 采购订单物料明细表报表导出'!$H:$H,0))</f>
        <v>406.44</v>
      </c>
      <c r="G414" s="15" cm="1">
        <f t="array" ref="G414">SUM(IF((LEFT('2-1 采购订单物料明细表报表导出'!$K:$K,7)=G$1)*('2-1 采购订单物料明细表报表导出'!$D:$D=$A414),'2-1 采购订单物料明细表报表导出'!$H:$H,0))</f>
        <v>580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290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11577</v>
      </c>
      <c r="B415" s="18" t="s">
        <v>2128</v>
      </c>
      <c r="C415" s="19" t="s">
        <v>2129</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5382</v>
      </c>
      <c r="B416" s="18" t="s">
        <v>2128</v>
      </c>
      <c r="C416" s="19" t="s">
        <v>2129</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3434</v>
      </c>
      <c r="B417" s="18" t="s">
        <v>2128</v>
      </c>
      <c r="C417" s="19" t="s">
        <v>2129</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270.7</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162.42</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6795</v>
      </c>
      <c r="B418" s="18" t="s">
        <v>2128</v>
      </c>
      <c r="C418" s="19" t="s">
        <v>2129</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3382</v>
      </c>
      <c r="B419" s="18" t="s">
        <v>2128</v>
      </c>
      <c r="C419" s="19" t="s">
        <v>2129</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671.32</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8194</v>
      </c>
      <c r="B420" s="18" t="s">
        <v>2128</v>
      </c>
      <c r="C420" s="19" t="s">
        <v>2129</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3729</v>
      </c>
      <c r="B421" s="18" t="s">
        <v>2128</v>
      </c>
      <c r="C421" s="19" t="s">
        <v>2129</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60</v>
      </c>
      <c r="F421" s="15" cm="1">
        <f t="array" ref="F421">SUM(IF((LEFT('2-1 采购订单物料明细表报表导出'!$K:$K,7)=F$1)*('2-1 采购订单物料明细表报表导出'!$D:$D=$A421),'2-1 采购订单物料明细表报表导出'!$H:$H,0))</f>
        <v>40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4433</v>
      </c>
      <c r="B422" s="18" t="s">
        <v>2128</v>
      </c>
      <c r="C422" s="19" t="s">
        <v>2129</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3625</v>
      </c>
      <c r="B423" s="18" t="s">
        <v>2128</v>
      </c>
      <c r="C423" s="19" t="s">
        <v>2129</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49.1</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2964</v>
      </c>
      <c r="B424" s="18" t="s">
        <v>2128</v>
      </c>
      <c r="C424" s="19" t="s">
        <v>2129</v>
      </c>
      <c r="D424" s="15" cm="1">
        <f t="array" ref="D424">SUM(IF((LEFT('2-1 采购订单物料明细表报表导出'!$K:$K,7)=D$1)*('2-1 采购订单物料明细表报表导出'!$D:$D=$A424),'2-1 采购订单物料明细表报表导出'!$H:$H,0))</f>
        <v>7600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972</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10039</v>
      </c>
      <c r="B425" s="18" t="s">
        <v>2128</v>
      </c>
      <c r="C425" s="19" t="s">
        <v>2129</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5023</v>
      </c>
      <c r="B426" s="18" t="s">
        <v>2128</v>
      </c>
      <c r="C426" s="19" t="s">
        <v>2129</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5368</v>
      </c>
      <c r="B427" s="18" t="s">
        <v>2128</v>
      </c>
      <c r="C427" s="19" t="s">
        <v>2129</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17819</v>
      </c>
      <c r="B428" s="18" t="s">
        <v>2128</v>
      </c>
      <c r="C428" s="19" t="s">
        <v>2129</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17820</v>
      </c>
      <c r="B429" s="18" t="s">
        <v>2128</v>
      </c>
      <c r="C429" s="19" t="s">
        <v>2129</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7009</v>
      </c>
      <c r="B430" s="18" t="s">
        <v>2128</v>
      </c>
      <c r="C430" s="19" t="s">
        <v>2129</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3579</v>
      </c>
      <c r="B431" s="18" t="s">
        <v>2128</v>
      </c>
      <c r="C431" s="19" t="s">
        <v>2129</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467.46</v>
      </c>
      <c r="F431" s="15" cm="1">
        <f t="array" ref="F431">SUM(IF((LEFT('2-1 采购订单物料明细表报表导出'!$K:$K,7)=F$1)*('2-1 采购订单物料明细表报表导出'!$D:$D=$A431),'2-1 采购订单物料明细表报表导出'!$H:$H,0))</f>
        <v>467.46</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6532</v>
      </c>
      <c r="B432" s="18" t="s">
        <v>2128</v>
      </c>
      <c r="C432" s="19" t="s">
        <v>2129</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3165</v>
      </c>
      <c r="B433" s="18" t="s">
        <v>2128</v>
      </c>
      <c r="C433" s="19" t="s">
        <v>2129</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194.4</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12625</v>
      </c>
      <c r="B434" s="18" t="s">
        <v>2128</v>
      </c>
      <c r="C434" s="19" t="s">
        <v>2129</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10141</v>
      </c>
      <c r="B435" s="18" t="s">
        <v>2128</v>
      </c>
      <c r="C435" s="19" t="s">
        <v>2129</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7146</v>
      </c>
      <c r="B436" s="18" t="s">
        <v>2128</v>
      </c>
      <c r="C436" s="19" t="s">
        <v>2129</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4251</v>
      </c>
      <c r="B437" s="18" t="s">
        <v>2128</v>
      </c>
      <c r="C437" s="19" t="s">
        <v>2129</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13533</v>
      </c>
      <c r="B438" s="18" t="s">
        <v>2128</v>
      </c>
      <c r="C438" s="19" t="s">
        <v>2129</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17821</v>
      </c>
      <c r="B439" s="18" t="s">
        <v>2128</v>
      </c>
      <c r="C439" s="19" t="s">
        <v>2129</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5066</v>
      </c>
      <c r="B440" s="18" t="s">
        <v>2128</v>
      </c>
      <c r="C440" s="19" t="s">
        <v>2129</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5423</v>
      </c>
      <c r="B441" s="18" t="s">
        <v>2128</v>
      </c>
      <c r="C441" s="19" t="s">
        <v>2129</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5052</v>
      </c>
      <c r="B442" s="18" t="s">
        <v>2128</v>
      </c>
      <c r="C442" s="19" t="s">
        <v>2129</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4296</v>
      </c>
      <c r="B443" s="18" t="s">
        <v>2128</v>
      </c>
      <c r="C443" s="19" t="s">
        <v>2129</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17822</v>
      </c>
      <c r="B444" s="18" t="s">
        <v>2128</v>
      </c>
      <c r="C444" s="19" t="s">
        <v>2129</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3459</v>
      </c>
      <c r="B445" s="18" t="s">
        <v>2128</v>
      </c>
      <c r="C445" s="19" t="s">
        <v>2129</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351.2</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4840</v>
      </c>
      <c r="B446" s="18" t="s">
        <v>2128</v>
      </c>
      <c r="C446" s="19" t="s">
        <v>2129</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17823</v>
      </c>
      <c r="B447" s="18" t="s">
        <v>2128</v>
      </c>
      <c r="C447" s="19" t="s">
        <v>2129</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9430</v>
      </c>
      <c r="B448" s="18" t="s">
        <v>2128</v>
      </c>
      <c r="C448" s="19" t="s">
        <v>2129</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4898</v>
      </c>
      <c r="B449" s="18" t="s">
        <v>2128</v>
      </c>
      <c r="C449" s="19" t="s">
        <v>2129</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3356</v>
      </c>
      <c r="B450" s="18" t="s">
        <v>2128</v>
      </c>
      <c r="C450" s="19" t="s">
        <v>2129</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148.2</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17824</v>
      </c>
      <c r="B451" s="18" t="s">
        <v>2128</v>
      </c>
      <c r="C451" s="19" t="s">
        <v>2129</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17825</v>
      </c>
      <c r="B452" s="18" t="s">
        <v>2128</v>
      </c>
      <c r="C452" s="19" t="s">
        <v>2129</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7180</v>
      </c>
      <c r="B453" s="18" t="s">
        <v>2128</v>
      </c>
      <c r="C453" s="19" t="s">
        <v>2129</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3430</v>
      </c>
      <c r="B454" s="18" t="s">
        <v>2128</v>
      </c>
      <c r="C454" s="19" t="s">
        <v>2129</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195.54</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3969</v>
      </c>
      <c r="B455" s="18" t="s">
        <v>2128</v>
      </c>
      <c r="C455" s="19" t="s">
        <v>2129</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47.95</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3046</v>
      </c>
      <c r="B456" s="18" t="s">
        <v>2128</v>
      </c>
      <c r="C456" s="19" t="s">
        <v>2129</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442.35</v>
      </c>
      <c r="G456" s="15" cm="1">
        <f t="array" ref="G456">SUM(IF((LEFT('2-1 采购订单物料明细表报表导出'!$K:$K,7)=G$1)*('2-1 采购订单物料明细表报表导出'!$D:$D=$A456),'2-1 采购订单物料明细表报表导出'!$H:$H,0))</f>
        <v>70.2</v>
      </c>
      <c r="H456" s="15" cm="1">
        <f t="array" ref="H456">SUM(IF((LEFT('2-1 采购订单物料明细表报表导出'!$K:$K,7)=H$1)*('2-1 采购订单物料明细表报表导出'!$D:$D=$A456),'2-1 采购订单物料明细表报表导出'!$H:$H,0))</f>
        <v>294.9</v>
      </c>
      <c r="I456" s="15" cm="1">
        <f t="array" ref="I456">SUM(IF((LEFT('2-1 采购订单物料明细表报表导出'!$K:$K,7)=I$1)*('2-1 采购订单物料明细表报表导出'!$D:$D=$A456),'2-1 采购订单物料明细表报表导出'!$H:$H,0))</f>
        <v>123.93</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17826</v>
      </c>
      <c r="B457" s="18" t="s">
        <v>2128</v>
      </c>
      <c r="C457" s="19" t="s">
        <v>2129</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17827</v>
      </c>
      <c r="B458" s="18" t="s">
        <v>2128</v>
      </c>
      <c r="C458" s="19" t="s">
        <v>2129</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17828</v>
      </c>
      <c r="B459" s="18" t="s">
        <v>2128</v>
      </c>
      <c r="C459" s="19" t="s">
        <v>2129</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17829</v>
      </c>
      <c r="B460" s="18" t="s">
        <v>2128</v>
      </c>
      <c r="C460" s="19" t="s">
        <v>2129</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17830</v>
      </c>
      <c r="B461" s="18" t="s">
        <v>2128</v>
      </c>
      <c r="C461" s="19" t="s">
        <v>2129</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17831</v>
      </c>
      <c r="B462" s="18" t="s">
        <v>2128</v>
      </c>
      <c r="C462" s="19" t="s">
        <v>2129</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3148</v>
      </c>
      <c r="B463" s="18" t="s">
        <v>2128</v>
      </c>
      <c r="C463" s="19" t="s">
        <v>2129</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88.2</v>
      </c>
      <c r="H463" s="15" cm="1">
        <f t="array" ref="H463">SUM(IF((LEFT('2-1 采购订单物料明细表报表导出'!$K:$K,7)=H$1)*('2-1 采购订单物料明细表报表导出'!$D:$D=$A463),'2-1 采购订单物料明细表报表导出'!$H:$H,0))</f>
        <v>132.3</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9589</v>
      </c>
      <c r="B464" s="18" t="s">
        <v>2128</v>
      </c>
      <c r="C464" s="19" t="s">
        <v>2129</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17832</v>
      </c>
      <c r="B465" s="18" t="s">
        <v>2128</v>
      </c>
      <c r="C465" s="19" t="s">
        <v>2129</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3708</v>
      </c>
      <c r="B466" s="18" t="s">
        <v>2128</v>
      </c>
      <c r="C466" s="19" t="s">
        <v>2129</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113.3</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5320</v>
      </c>
      <c r="B467" s="18" t="s">
        <v>2128</v>
      </c>
      <c r="C467" s="19" t="s">
        <v>2129</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10121</v>
      </c>
      <c r="B468" s="18" t="s">
        <v>2128</v>
      </c>
      <c r="C468" s="19" t="s">
        <v>2129</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17833</v>
      </c>
      <c r="B469" s="18" t="s">
        <v>2128</v>
      </c>
      <c r="C469" s="19" t="s">
        <v>2129</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17834</v>
      </c>
      <c r="B470" s="18" t="s">
        <v>2128</v>
      </c>
      <c r="C470" s="19" t="s">
        <v>2129</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17835</v>
      </c>
      <c r="B471" s="18" t="s">
        <v>2128</v>
      </c>
      <c r="C471" s="19" t="s">
        <v>2129</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17836</v>
      </c>
      <c r="B472" s="18" t="s">
        <v>2128</v>
      </c>
      <c r="C472" s="19" t="s">
        <v>2129</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17837</v>
      </c>
      <c r="B473" s="18" t="s">
        <v>2128</v>
      </c>
      <c r="C473" s="19" t="s">
        <v>2129</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17838</v>
      </c>
      <c r="B474" s="18" t="s">
        <v>2128</v>
      </c>
      <c r="C474" s="19" t="s">
        <v>2129</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6416</v>
      </c>
      <c r="B475" s="18" t="s">
        <v>2128</v>
      </c>
      <c r="C475" s="19" t="s">
        <v>2129</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17839</v>
      </c>
      <c r="B476" s="18" t="s">
        <v>2128</v>
      </c>
      <c r="C476" s="19" t="s">
        <v>2129</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5991</v>
      </c>
      <c r="B477" s="18" t="s">
        <v>2128</v>
      </c>
      <c r="C477" s="19" t="s">
        <v>2129</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5887</v>
      </c>
      <c r="B478" s="18" t="s">
        <v>2128</v>
      </c>
      <c r="C478" s="19" t="s">
        <v>2129</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3394</v>
      </c>
      <c r="B479" s="18" t="s">
        <v>2128</v>
      </c>
      <c r="C479" s="19" t="s">
        <v>2129</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14.56</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17840</v>
      </c>
      <c r="B480" s="18" t="s">
        <v>2128</v>
      </c>
      <c r="C480" s="19" t="s">
        <v>2129</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17841</v>
      </c>
      <c r="B481" s="18" t="s">
        <v>2088</v>
      </c>
      <c r="C481" s="19" t="s">
        <v>2089</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17842</v>
      </c>
      <c r="B482" s="18" t="s">
        <v>2088</v>
      </c>
      <c r="C482" s="19" t="s">
        <v>2089</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17843</v>
      </c>
      <c r="B483" s="18" t="s">
        <v>2088</v>
      </c>
      <c r="C483" s="19" t="s">
        <v>2089</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13955</v>
      </c>
      <c r="B484" s="18" t="s">
        <v>2088</v>
      </c>
      <c r="C484" s="19" t="s">
        <v>2089</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17844</v>
      </c>
      <c r="B485" s="18" t="s">
        <v>2088</v>
      </c>
      <c r="C485" s="19" t="s">
        <v>2089</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4390</v>
      </c>
      <c r="B486" s="18" t="s">
        <v>2088</v>
      </c>
      <c r="C486" s="19" t="s">
        <v>2089</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17845</v>
      </c>
      <c r="B487" s="18" t="s">
        <v>2088</v>
      </c>
      <c r="C487" s="19" t="s">
        <v>2089</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17846</v>
      </c>
      <c r="B488" s="18" t="s">
        <v>2088</v>
      </c>
      <c r="C488" s="19" t="s">
        <v>2089</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10313</v>
      </c>
      <c r="B489" s="18" t="s">
        <v>2088</v>
      </c>
      <c r="C489" s="19" t="s">
        <v>2089</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17847</v>
      </c>
      <c r="B490" s="18" t="s">
        <v>2088</v>
      </c>
      <c r="C490" s="19" t="s">
        <v>2089</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17848</v>
      </c>
      <c r="B491" s="18" t="s">
        <v>2088</v>
      </c>
      <c r="C491" s="19" t="s">
        <v>2089</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6701</v>
      </c>
      <c r="B492" s="18" t="s">
        <v>2088</v>
      </c>
      <c r="C492" s="19" t="s">
        <v>2089</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17849</v>
      </c>
      <c r="B493" s="18" t="s">
        <v>2088</v>
      </c>
      <c r="C493" s="19" t="s">
        <v>2089</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3406</v>
      </c>
      <c r="B494" s="18" t="s">
        <v>2088</v>
      </c>
      <c r="C494" s="19" t="s">
        <v>2089</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386.1</v>
      </c>
      <c r="F494" s="15" cm="1">
        <f t="array" ref="F494">SUM(IF((LEFT('2-1 采购订单物料明细表报表导出'!$K:$K,7)=F$1)*('2-1 采购订单物料明细表报表导出'!$D:$D=$A494),'2-1 采购订单物料明细表报表导出'!$H:$H,0))</f>
        <v>668.65</v>
      </c>
      <c r="G494" s="15" cm="1">
        <f t="array" ref="G494">SUM(IF((LEFT('2-1 采购订单物料明细表报表导出'!$K:$K,7)=G$1)*('2-1 采购订单物料明细表报表导出'!$D:$D=$A494),'2-1 采购订单物料明细表报表导出'!$H:$H,0))</f>
        <v>128.7</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5963</v>
      </c>
      <c r="B495" s="18" t="s">
        <v>2088</v>
      </c>
      <c r="C495" s="19" t="s">
        <v>2089</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4824</v>
      </c>
      <c r="B496" s="18" t="s">
        <v>2088</v>
      </c>
      <c r="C496" s="19" t="s">
        <v>2089</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17850</v>
      </c>
      <c r="B497" s="18" t="s">
        <v>2088</v>
      </c>
      <c r="C497" s="19" t="s">
        <v>2089</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17851</v>
      </c>
      <c r="B498" s="18" t="s">
        <v>2088</v>
      </c>
      <c r="C498" s="19" t="s">
        <v>2089</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8911</v>
      </c>
      <c r="B499" s="18" t="s">
        <v>2128</v>
      </c>
      <c r="C499" s="19" t="s">
        <v>2129</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5362</v>
      </c>
      <c r="B500" s="18" t="s">
        <v>2128</v>
      </c>
      <c r="C500" s="19" t="s">
        <v>2129</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10413</v>
      </c>
      <c r="B501" s="18" t="s">
        <v>2128</v>
      </c>
      <c r="C501" s="19" t="s">
        <v>2129</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6179</v>
      </c>
      <c r="B502" s="18" t="s">
        <v>2128</v>
      </c>
      <c r="C502" s="19" t="s">
        <v>2129</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17852</v>
      </c>
      <c r="B503" s="18" t="s">
        <v>2128</v>
      </c>
      <c r="C503" s="19" t="s">
        <v>2129</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17853</v>
      </c>
      <c r="B504" s="18" t="s">
        <v>2128</v>
      </c>
      <c r="C504" s="19" t="s">
        <v>2129</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17854</v>
      </c>
      <c r="B505" s="18" t="s">
        <v>2128</v>
      </c>
      <c r="C505" s="19" t="s">
        <v>2129</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5355</v>
      </c>
      <c r="B506" s="18" t="s">
        <v>2128</v>
      </c>
      <c r="C506" s="19" t="s">
        <v>2129</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3061</v>
      </c>
      <c r="B507" s="18" t="s">
        <v>2128</v>
      </c>
      <c r="C507" s="19" t="s">
        <v>2129</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715.23</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715.23</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17855</v>
      </c>
      <c r="B508" s="18" t="s">
        <v>2128</v>
      </c>
      <c r="C508" s="19" t="s">
        <v>2129</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10066</v>
      </c>
      <c r="B509" s="18" t="s">
        <v>2128</v>
      </c>
      <c r="C509" s="19" t="s">
        <v>2129</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10083</v>
      </c>
      <c r="B510" s="18" t="s">
        <v>2128</v>
      </c>
      <c r="C510" s="19" t="s">
        <v>2129</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17856</v>
      </c>
      <c r="B511" s="18" t="s">
        <v>2128</v>
      </c>
      <c r="C511" s="19" t="s">
        <v>2129</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11896</v>
      </c>
      <c r="B512" s="18" t="s">
        <v>2128</v>
      </c>
      <c r="C512" s="19" t="s">
        <v>2129</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17857</v>
      </c>
      <c r="B513" s="18" t="s">
        <v>2128</v>
      </c>
      <c r="C513" s="19" t="s">
        <v>2129</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3584</v>
      </c>
      <c r="B514" s="18" t="s">
        <v>2128</v>
      </c>
      <c r="C514" s="19" t="s">
        <v>2129</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160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17858</v>
      </c>
      <c r="B515" s="18" t="s">
        <v>2128</v>
      </c>
      <c r="C515" s="19" t="s">
        <v>2129</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10146</v>
      </c>
      <c r="B516" s="18" t="s">
        <v>2128</v>
      </c>
      <c r="C516" s="19" t="s">
        <v>2129</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17859</v>
      </c>
      <c r="B517" s="18" t="s">
        <v>2128</v>
      </c>
      <c r="C517" s="19" t="s">
        <v>2129</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17860</v>
      </c>
      <c r="B518" s="18" t="s">
        <v>2128</v>
      </c>
      <c r="C518" s="19" t="s">
        <v>2129</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17861</v>
      </c>
      <c r="B519" s="18" t="s">
        <v>2128</v>
      </c>
      <c r="C519" s="19" t="s">
        <v>2129</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3907</v>
      </c>
      <c r="B520" s="18" t="s">
        <v>2128</v>
      </c>
      <c r="C520" s="19" t="s">
        <v>2129</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330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3086</v>
      </c>
      <c r="B521" s="13" t="s">
        <v>2318</v>
      </c>
      <c r="C521" s="14" t="s">
        <v>2319</v>
      </c>
      <c r="D521" s="15" cm="1">
        <f t="array" ref="D521">SUM(IF((LEFT('2-1 采购订单物料明细表报表导出'!$K:$K,7)=D$1)*('2-1 采购订单物料明细表报表导出'!$D:$D=$A521),'2-1 采购订单物料明细表报表导出'!$H:$H,0))</f>
        <v>12750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1280.5</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5010</v>
      </c>
      <c r="B522" s="13" t="s">
        <v>2318</v>
      </c>
      <c r="C522" s="14" t="s">
        <v>2319</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17862</v>
      </c>
      <c r="B523" s="13" t="s">
        <v>2318</v>
      </c>
      <c r="C523" s="14" t="s">
        <v>2319</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3753</v>
      </c>
      <c r="B524" s="13" t="s">
        <v>2318</v>
      </c>
      <c r="C524" s="14" t="s">
        <v>2319</v>
      </c>
      <c r="D524" s="15" cm="1">
        <f t="array" ref="D524">SUM(IF((LEFT('2-1 采购订单物料明细表报表导出'!$K:$K,7)=D$1)*('2-1 采购订单物料明细表报表导出'!$D:$D=$A524),'2-1 采购订单物料明细表报表导出'!$H:$H,0))</f>
        <v>22494.77</v>
      </c>
      <c r="E524" s="15" cm="1">
        <f t="array" ref="E524">SUM(IF((LEFT('2-1 采购订单物料明细表报表导出'!$K:$K,7)=E$1)*('2-1 采购订单物料明细表报表导出'!$D:$D=$A524),'2-1 采购订单物料明细表报表导出'!$H:$H,0))</f>
        <v>938.52</v>
      </c>
      <c r="F524" s="15" cm="1">
        <f t="array" ref="F524">SUM(IF((LEFT('2-1 采购订单物料明细表报表导出'!$K:$K,7)=F$1)*('2-1 采购订单物料明细表报表导出'!$D:$D=$A524),'2-1 采购订单物料明细表报表导出'!$H:$H,0))</f>
        <v>2893.59</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8063</v>
      </c>
      <c r="B525" s="13" t="s">
        <v>2318</v>
      </c>
      <c r="C525" s="14" t="s">
        <v>2319</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3398</v>
      </c>
      <c r="B526" s="13" t="s">
        <v>2318</v>
      </c>
      <c r="C526" s="14" t="s">
        <v>2319</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3752</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2199.2</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2956</v>
      </c>
      <c r="B527" s="13" t="s">
        <v>2318</v>
      </c>
      <c r="C527" s="14" t="s">
        <v>2319</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48.27</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3928</v>
      </c>
      <c r="B528" s="13" t="s">
        <v>2318</v>
      </c>
      <c r="C528" s="14" t="s">
        <v>2319</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600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3834</v>
      </c>
      <c r="B529" s="13" t="s">
        <v>2318</v>
      </c>
      <c r="C529" s="14" t="s">
        <v>2319</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65440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3538</v>
      </c>
      <c r="B530" s="13" t="s">
        <v>2318</v>
      </c>
      <c r="C530" s="14" t="s">
        <v>2319</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1372</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9408</v>
      </c>
      <c r="B531" s="13" t="s">
        <v>2318</v>
      </c>
      <c r="C531" s="14" t="s">
        <v>2319</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17863</v>
      </c>
      <c r="B532" s="18" t="s">
        <v>1719</v>
      </c>
      <c r="C532" s="19" t="s">
        <v>17864</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3201</v>
      </c>
      <c r="B533" s="18" t="s">
        <v>1719</v>
      </c>
      <c r="C533" s="19" t="s">
        <v>17864</v>
      </c>
      <c r="D533" s="15" cm="1">
        <f t="array" ref="D533">SUM(IF((LEFT('2-1 采购订单物料明细表报表导出'!$K:$K,7)=D$1)*('2-1 采购订单物料明细表报表导出'!$D:$D=$A533),'2-1 采购订单物料明细表报表导出'!$H:$H,0))</f>
        <v>733.8</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1366</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1116.51</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3543</v>
      </c>
      <c r="B534" s="18" t="s">
        <v>1719</v>
      </c>
      <c r="C534" s="19" t="s">
        <v>17864</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28084</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2950</v>
      </c>
      <c r="B535" s="18" t="s">
        <v>1719</v>
      </c>
      <c r="C535" s="19" t="s">
        <v>17864</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12983.1</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4207.9</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2977</v>
      </c>
      <c r="B536" s="18" t="s">
        <v>1719</v>
      </c>
      <c r="C536" s="19" t="s">
        <v>17864</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2146.5</v>
      </c>
      <c r="F536" s="15" cm="1">
        <f t="array" ref="F536">SUM(IF((LEFT('2-1 采购订单物料明细表报表导出'!$K:$K,7)=F$1)*('2-1 采购订单物料明细表报表导出'!$D:$D=$A536),'2-1 采购订单物料明细表报表导出'!$H:$H,0))</f>
        <v>1617.6</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1728</v>
      </c>
      <c r="I536" s="15" cm="1">
        <f t="array" ref="I536">SUM(IF((LEFT('2-1 采购订单物料明细表报表导出'!$K:$K,7)=I$1)*('2-1 采购订单物料明细表报表导出'!$D:$D=$A536),'2-1 采购订单物料明细表报表导出'!$H:$H,0))</f>
        <v>864</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3189</v>
      </c>
      <c r="B537" s="18" t="s">
        <v>1719</v>
      </c>
      <c r="C537" s="19" t="s">
        <v>17864</v>
      </c>
      <c r="D537" s="15" cm="1">
        <f t="array" ref="D537">SUM(IF((LEFT('2-1 采购订单物料明细表报表导出'!$K:$K,7)=D$1)*('2-1 采购订单物料明细表报表导出'!$D:$D=$A537),'2-1 采购订单物料明细表报表导出'!$H:$H,0))</f>
        <v>21399</v>
      </c>
      <c r="E537" s="15" cm="1">
        <f t="array" ref="E537">SUM(IF((LEFT('2-1 采购订单物料明细表报表导出'!$K:$K,7)=E$1)*('2-1 采购订单物料明细表报表导出'!$D:$D=$A537),'2-1 采购订单物料明细表报表导出'!$H:$H,0))</f>
        <v>817.7</v>
      </c>
      <c r="F537" s="15" cm="1">
        <f t="array" ref="F537">SUM(IF((LEFT('2-1 采购订单物料明细表报表导出'!$K:$K,7)=F$1)*('2-1 采购订单物料明细表报表导出'!$D:$D=$A537),'2-1 采购订单物料明细表报表导出'!$H:$H,0))</f>
        <v>14266</v>
      </c>
      <c r="G537" s="15" cm="1">
        <f t="array" ref="G537">SUM(IF((LEFT('2-1 采购订单物料明细表报表导出'!$K:$K,7)=G$1)*('2-1 采购订单物料明细表报表导出'!$D:$D=$A537),'2-1 采购订单物料明细表报表导出'!$H:$H,0))</f>
        <v>699</v>
      </c>
      <c r="H537" s="15" cm="1">
        <f t="array" ref="H537">SUM(IF((LEFT('2-1 采购订单物料明细表报表导出'!$K:$K,7)=H$1)*('2-1 采购订单物料明细表报表导出'!$D:$D=$A537),'2-1 采购订单物料明细表报表导出'!$H:$H,0))</f>
        <v>466</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5449</v>
      </c>
      <c r="B538" s="18" t="s">
        <v>1719</v>
      </c>
      <c r="C538" s="19" t="s">
        <v>17864</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9388</v>
      </c>
      <c r="B539" s="18" t="s">
        <v>1719</v>
      </c>
      <c r="C539" s="19" t="s">
        <v>17864</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3241</v>
      </c>
      <c r="B540" s="18" t="s">
        <v>1719</v>
      </c>
      <c r="C540" s="19" t="s">
        <v>17864</v>
      </c>
      <c r="D540" s="15" cm="1">
        <f t="array" ref="D540">SUM(IF((LEFT('2-1 采购订单物料明细表报表导出'!$K:$K,7)=D$1)*('2-1 采购订单物料明细表报表导出'!$D:$D=$A540),'2-1 采购订单物料明细表报表导出'!$H:$H,0))</f>
        <v>107</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70.32</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71</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17865</v>
      </c>
      <c r="B541" s="18" t="s">
        <v>1719</v>
      </c>
      <c r="C541" s="19" t="s">
        <v>17864</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3862</v>
      </c>
      <c r="B542" s="18" t="s">
        <v>1719</v>
      </c>
      <c r="C542" s="19" t="s">
        <v>17864</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2500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11104</v>
      </c>
      <c r="B543" s="18" t="s">
        <v>1719</v>
      </c>
      <c r="C543" s="19" t="s">
        <v>17864</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17866</v>
      </c>
      <c r="B544" s="18" t="s">
        <v>1719</v>
      </c>
      <c r="C544" s="19" t="s">
        <v>17864</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11999</v>
      </c>
      <c r="B545" s="18" t="s">
        <v>1719</v>
      </c>
      <c r="C545" s="19" t="s">
        <v>17864</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11631</v>
      </c>
      <c r="B546" s="18" t="s">
        <v>1719</v>
      </c>
      <c r="C546" s="19" t="s">
        <v>17864</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17867</v>
      </c>
      <c r="B547" s="18" t="s">
        <v>1859</v>
      </c>
      <c r="C547" s="19" t="s">
        <v>1860</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17868</v>
      </c>
      <c r="B548" s="18" t="s">
        <v>1859</v>
      </c>
      <c r="C548" s="19" t="s">
        <v>1860</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17869</v>
      </c>
      <c r="B549" s="18" t="s">
        <v>1859</v>
      </c>
      <c r="C549" s="19" t="s">
        <v>1860</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17870</v>
      </c>
      <c r="B550" s="18" t="s">
        <v>1859</v>
      </c>
      <c r="C550" s="19" t="s">
        <v>1860</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17871</v>
      </c>
      <c r="B551" s="18" t="s">
        <v>1859</v>
      </c>
      <c r="C551" s="19" t="s">
        <v>1860</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3803</v>
      </c>
      <c r="B552" s="18" t="s">
        <v>1859</v>
      </c>
      <c r="C552" s="19" t="s">
        <v>1860</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6780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17872</v>
      </c>
      <c r="B553" s="18" t="s">
        <v>1859</v>
      </c>
      <c r="C553" s="19" t="s">
        <v>1860</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17873</v>
      </c>
      <c r="B554" s="18" t="s">
        <v>1847</v>
      </c>
      <c r="C554" s="19" t="s">
        <v>1848</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9959</v>
      </c>
      <c r="B555" s="18" t="s">
        <v>1847</v>
      </c>
      <c r="C555" s="19" t="s">
        <v>1848</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17874</v>
      </c>
      <c r="B556" s="18" t="s">
        <v>1847</v>
      </c>
      <c r="C556" s="19" t="s">
        <v>1848</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17875</v>
      </c>
      <c r="B557" s="18" t="s">
        <v>1847</v>
      </c>
      <c r="C557" s="19" t="s">
        <v>1848</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17876</v>
      </c>
      <c r="B558" s="18" t="s">
        <v>1847</v>
      </c>
      <c r="C558" s="19" t="s">
        <v>1848</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17877</v>
      </c>
      <c r="B559" s="18" t="s">
        <v>1847</v>
      </c>
      <c r="C559" s="19" t="s">
        <v>1848</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17878</v>
      </c>
      <c r="B560" s="18" t="s">
        <v>1847</v>
      </c>
      <c r="C560" s="19" t="s">
        <v>1848</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17879</v>
      </c>
      <c r="B561" s="18" t="s">
        <v>1847</v>
      </c>
      <c r="C561" s="19" t="s">
        <v>1848</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17880</v>
      </c>
      <c r="B562" s="18" t="s">
        <v>1847</v>
      </c>
      <c r="C562" s="19" t="s">
        <v>1848</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17881</v>
      </c>
      <c r="B563" s="18" t="s">
        <v>1847</v>
      </c>
      <c r="C563" s="19" t="s">
        <v>1848</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17882</v>
      </c>
      <c r="B564" s="18" t="s">
        <v>1847</v>
      </c>
      <c r="C564" s="19" t="s">
        <v>1848</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17883</v>
      </c>
      <c r="B565" s="18" t="s">
        <v>1847</v>
      </c>
      <c r="C565" s="19" t="s">
        <v>1848</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17884</v>
      </c>
      <c r="B566" s="18" t="s">
        <v>1847</v>
      </c>
      <c r="C566" s="19" t="s">
        <v>1848</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17885</v>
      </c>
      <c r="B567" s="18" t="s">
        <v>1847</v>
      </c>
      <c r="C567" s="19" t="s">
        <v>1848</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17886</v>
      </c>
      <c r="B568" s="18" t="s">
        <v>1847</v>
      </c>
      <c r="C568" s="19" t="s">
        <v>1848</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17887</v>
      </c>
      <c r="B569" s="18" t="s">
        <v>1847</v>
      </c>
      <c r="C569" s="19" t="s">
        <v>1848</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17888</v>
      </c>
      <c r="B570" s="18" t="s">
        <v>1847</v>
      </c>
      <c r="C570" s="19" t="s">
        <v>1848</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17889</v>
      </c>
      <c r="B571" s="18" t="s">
        <v>1847</v>
      </c>
      <c r="C571" s="19" t="s">
        <v>1848</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17890</v>
      </c>
      <c r="B572" s="18" t="s">
        <v>1847</v>
      </c>
      <c r="C572" s="19" t="s">
        <v>1848</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17891</v>
      </c>
      <c r="B573" s="18" t="s">
        <v>1847</v>
      </c>
      <c r="C573" s="19" t="s">
        <v>1848</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17892</v>
      </c>
      <c r="B574" s="18" t="s">
        <v>1847</v>
      </c>
      <c r="C574" s="19" t="s">
        <v>1848</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17893</v>
      </c>
      <c r="B575" s="18" t="s">
        <v>1847</v>
      </c>
      <c r="C575" s="19" t="s">
        <v>1848</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17894</v>
      </c>
      <c r="B576" s="18" t="s">
        <v>1847</v>
      </c>
      <c r="C576" s="19" t="s">
        <v>1848</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17895</v>
      </c>
      <c r="B577" s="18" t="s">
        <v>1847</v>
      </c>
      <c r="C577" s="19" t="s">
        <v>1848</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17896</v>
      </c>
      <c r="B578" s="18" t="s">
        <v>1847</v>
      </c>
      <c r="C578" s="19" t="s">
        <v>1848</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17897</v>
      </c>
      <c r="B579" s="18" t="s">
        <v>1847</v>
      </c>
      <c r="C579" s="19" t="s">
        <v>1848</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17898</v>
      </c>
      <c r="B580" s="18" t="s">
        <v>1847</v>
      </c>
      <c r="C580" s="19" t="s">
        <v>1848</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17899</v>
      </c>
      <c r="B581" s="18" t="s">
        <v>1847</v>
      </c>
      <c r="C581" s="19" t="s">
        <v>1848</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17900</v>
      </c>
      <c r="B582" s="18" t="s">
        <v>1847</v>
      </c>
      <c r="C582" s="19" t="s">
        <v>1848</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17901</v>
      </c>
      <c r="B583" s="18" t="s">
        <v>1847</v>
      </c>
      <c r="C583" s="19" t="s">
        <v>1848</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17902</v>
      </c>
      <c r="B584" s="18" t="s">
        <v>1847</v>
      </c>
      <c r="C584" s="19" t="s">
        <v>1848</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17903</v>
      </c>
      <c r="B585" s="18" t="s">
        <v>1847</v>
      </c>
      <c r="C585" s="19" t="s">
        <v>1848</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17904</v>
      </c>
      <c r="B586" s="18" t="s">
        <v>1847</v>
      </c>
      <c r="C586" s="19" t="s">
        <v>1848</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17905</v>
      </c>
      <c r="B587" s="18" t="s">
        <v>1847</v>
      </c>
      <c r="C587" s="19" t="s">
        <v>1848</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17906</v>
      </c>
      <c r="B588" s="18" t="s">
        <v>1859</v>
      </c>
      <c r="C588" s="19" t="s">
        <v>1860</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17907</v>
      </c>
      <c r="B589" s="18" t="s">
        <v>1859</v>
      </c>
      <c r="C589" s="19" t="s">
        <v>1860</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17908</v>
      </c>
      <c r="B590" s="18" t="s">
        <v>1859</v>
      </c>
      <c r="C590" s="19" t="s">
        <v>1860</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17909</v>
      </c>
      <c r="B591" s="18" t="s">
        <v>1886</v>
      </c>
      <c r="C591" s="19" t="s">
        <v>1887</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17910</v>
      </c>
      <c r="B592" s="18" t="s">
        <v>1886</v>
      </c>
      <c r="C592" s="19" t="s">
        <v>1887</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17911</v>
      </c>
      <c r="B593" s="18" t="s">
        <v>1886</v>
      </c>
      <c r="C593" s="19" t="s">
        <v>1887</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17912</v>
      </c>
      <c r="B594" s="18" t="s">
        <v>1886</v>
      </c>
      <c r="C594" s="19" t="s">
        <v>1887</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17913</v>
      </c>
      <c r="B595" s="18" t="s">
        <v>1886</v>
      </c>
      <c r="C595" s="19" t="s">
        <v>1887</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17914</v>
      </c>
      <c r="B596" s="18" t="s">
        <v>1886</v>
      </c>
      <c r="C596" s="19" t="s">
        <v>1887</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17915</v>
      </c>
      <c r="B597" s="18" t="s">
        <v>1886</v>
      </c>
      <c r="C597" s="19" t="s">
        <v>1887</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17916</v>
      </c>
      <c r="B598" s="18" t="s">
        <v>1886</v>
      </c>
      <c r="C598" s="19" t="s">
        <v>1887</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17917</v>
      </c>
      <c r="B599" s="18" t="s">
        <v>1886</v>
      </c>
      <c r="C599" s="19" t="s">
        <v>1887</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17918</v>
      </c>
      <c r="B600" s="18" t="s">
        <v>1886</v>
      </c>
      <c r="C600" s="19" t="s">
        <v>1887</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9753</v>
      </c>
      <c r="B601" s="18" t="s">
        <v>1886</v>
      </c>
      <c r="C601" s="19" t="s">
        <v>1887</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17919</v>
      </c>
      <c r="B602" s="18" t="s">
        <v>1886</v>
      </c>
      <c r="C602" s="19" t="s">
        <v>1887</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17920</v>
      </c>
      <c r="B603" s="18" t="s">
        <v>1886</v>
      </c>
      <c r="C603" s="19" t="s">
        <v>1887</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17921</v>
      </c>
      <c r="B604" s="18" t="s">
        <v>1886</v>
      </c>
      <c r="C604" s="19" t="s">
        <v>1887</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7326</v>
      </c>
      <c r="B605" s="18" t="s">
        <v>1792</v>
      </c>
      <c r="C605" s="19" t="s">
        <v>1793</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5040</v>
      </c>
      <c r="B606" s="18" t="s">
        <v>1792</v>
      </c>
      <c r="C606" s="19" t="s">
        <v>1793</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3783</v>
      </c>
      <c r="B607" s="18" t="s">
        <v>1792</v>
      </c>
      <c r="C607" s="19" t="s">
        <v>1793</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1500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17922</v>
      </c>
      <c r="B608" s="18" t="s">
        <v>1792</v>
      </c>
      <c r="C608" s="19" t="s">
        <v>1793</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17923</v>
      </c>
      <c r="B609" s="18" t="s">
        <v>1792</v>
      </c>
      <c r="C609" s="19" t="s">
        <v>1793</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6852</v>
      </c>
      <c r="B610" s="18" t="s">
        <v>1792</v>
      </c>
      <c r="C610" s="19" t="s">
        <v>1793</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17924</v>
      </c>
      <c r="B611" s="18" t="s">
        <v>1792</v>
      </c>
      <c r="C611" s="19" t="s">
        <v>1793</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17925</v>
      </c>
      <c r="B612" s="18" t="s">
        <v>1792</v>
      </c>
      <c r="C612" s="19" t="s">
        <v>1793</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12971</v>
      </c>
      <c r="B613" s="18" t="s">
        <v>1792</v>
      </c>
      <c r="C613" s="19" t="s">
        <v>1793</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8036</v>
      </c>
      <c r="B614" s="18" t="s">
        <v>1792</v>
      </c>
      <c r="C614" s="19" t="s">
        <v>1793</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17926</v>
      </c>
      <c r="B615" s="18" t="s">
        <v>1779</v>
      </c>
      <c r="C615" s="19" t="s">
        <v>1780</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8373</v>
      </c>
      <c r="B616" s="18" t="s">
        <v>1779</v>
      </c>
      <c r="C616" s="19" t="s">
        <v>1780</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8345</v>
      </c>
      <c r="B617" s="18" t="s">
        <v>1779</v>
      </c>
      <c r="C617" s="19" t="s">
        <v>1780</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3913</v>
      </c>
      <c r="B618" s="18" t="s">
        <v>1779</v>
      </c>
      <c r="C618" s="19" t="s">
        <v>1780</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2350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17927</v>
      </c>
      <c r="B619" s="18" t="s">
        <v>1779</v>
      </c>
      <c r="C619" s="19" t="s">
        <v>1780</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17928</v>
      </c>
      <c r="B620" s="18" t="s">
        <v>1779</v>
      </c>
      <c r="C620" s="19" t="s">
        <v>1780</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7225</v>
      </c>
      <c r="B621" s="18" t="s">
        <v>1779</v>
      </c>
      <c r="C621" s="19" t="s">
        <v>1780</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17929</v>
      </c>
      <c r="B622" s="18" t="s">
        <v>1779</v>
      </c>
      <c r="C622" s="19" t="s">
        <v>1780</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3566</v>
      </c>
      <c r="B623" s="18" t="s">
        <v>1779</v>
      </c>
      <c r="C623" s="19" t="s">
        <v>1780</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273.9</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3656</v>
      </c>
      <c r="B624" s="18" t="s">
        <v>1779</v>
      </c>
      <c r="C624" s="19" t="s">
        <v>1780</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392</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17930</v>
      </c>
      <c r="B625" s="18" t="s">
        <v>1779</v>
      </c>
      <c r="C625" s="19" t="s">
        <v>1780</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17931</v>
      </c>
      <c r="B626" s="18" t="s">
        <v>1779</v>
      </c>
      <c r="C626" s="19" t="s">
        <v>1780</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17932</v>
      </c>
      <c r="B627" s="18" t="s">
        <v>1779</v>
      </c>
      <c r="C627" s="19" t="s">
        <v>1780</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2987</v>
      </c>
      <c r="B628" s="18" t="s">
        <v>1779</v>
      </c>
      <c r="C628" s="19" t="s">
        <v>1780</v>
      </c>
      <c r="D628" s="15" cm="1">
        <f t="array" ref="D628">SUM(IF((LEFT('2-1 采购订单物料明细表报表导出'!$K:$K,7)=D$1)*('2-1 采购订单物料明细表报表导出'!$D:$D=$A628),'2-1 采购订单物料明细表报表导出'!$H:$H,0))</f>
        <v>316</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237</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237</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9817</v>
      </c>
      <c r="B629" s="18" t="s">
        <v>1779</v>
      </c>
      <c r="C629" s="19" t="s">
        <v>1780</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17933</v>
      </c>
      <c r="B630" s="18" t="s">
        <v>1779</v>
      </c>
      <c r="C630" s="19" t="s">
        <v>1780</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5973</v>
      </c>
      <c r="B631" s="18" t="s">
        <v>1779</v>
      </c>
      <c r="C631" s="19" t="s">
        <v>1780</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17934</v>
      </c>
      <c r="B632" s="18" t="s">
        <v>1779</v>
      </c>
      <c r="C632" s="19" t="s">
        <v>1780</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17935</v>
      </c>
      <c r="B633" s="18" t="s">
        <v>1779</v>
      </c>
      <c r="C633" s="19" t="s">
        <v>1780</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4953</v>
      </c>
      <c r="B634" s="18" t="s">
        <v>1779</v>
      </c>
      <c r="C634" s="19" t="s">
        <v>1780</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5510</v>
      </c>
      <c r="B635" s="18" t="s">
        <v>1779</v>
      </c>
      <c r="C635" s="19" t="s">
        <v>1780</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11864</v>
      </c>
      <c r="B636" s="18" t="s">
        <v>1779</v>
      </c>
      <c r="C636" s="19" t="s">
        <v>1780</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5505</v>
      </c>
      <c r="B637" s="18" t="s">
        <v>1779</v>
      </c>
      <c r="C637" s="19" t="s">
        <v>1780</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8838</v>
      </c>
      <c r="B638" s="18" t="s">
        <v>1779</v>
      </c>
      <c r="C638" s="19" t="s">
        <v>1780</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8361</v>
      </c>
      <c r="B639" s="18" t="s">
        <v>1779</v>
      </c>
      <c r="C639" s="19" t="s">
        <v>1780</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8419</v>
      </c>
      <c r="B640" s="18" t="s">
        <v>1779</v>
      </c>
      <c r="C640" s="19" t="s">
        <v>1780</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10116</v>
      </c>
      <c r="B641" s="18" t="s">
        <v>1779</v>
      </c>
      <c r="C641" s="19" t="s">
        <v>1780</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17936</v>
      </c>
      <c r="B642" s="18" t="s">
        <v>1779</v>
      </c>
      <c r="C642" s="19" t="s">
        <v>1780</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3337</v>
      </c>
      <c r="B643" s="18" t="s">
        <v>1779</v>
      </c>
      <c r="C643" s="19" t="s">
        <v>1780</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410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5574</v>
      </c>
      <c r="B644" s="18" t="s">
        <v>1779</v>
      </c>
      <c r="C644" s="19" t="s">
        <v>1780</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8790</v>
      </c>
      <c r="B645" s="18" t="s">
        <v>1779</v>
      </c>
      <c r="C645" s="19" t="s">
        <v>1780</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10188</v>
      </c>
      <c r="B646" s="18" t="s">
        <v>1779</v>
      </c>
      <c r="C646" s="19" t="s">
        <v>1780</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17937</v>
      </c>
      <c r="B647" s="18" t="s">
        <v>1779</v>
      </c>
      <c r="C647" s="19" t="s">
        <v>1780</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17938</v>
      </c>
      <c r="B648" s="18" t="s">
        <v>1779</v>
      </c>
      <c r="C648" s="19" t="s">
        <v>1780</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17939</v>
      </c>
      <c r="B649" s="18" t="s">
        <v>1779</v>
      </c>
      <c r="C649" s="19" t="s">
        <v>1780</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17940</v>
      </c>
      <c r="B650" s="18" t="s">
        <v>1779</v>
      </c>
      <c r="C650" s="19" t="s">
        <v>1780</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9541</v>
      </c>
      <c r="B651" s="18" t="s">
        <v>1792</v>
      </c>
      <c r="C651" s="19" t="s">
        <v>1793</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17941</v>
      </c>
      <c r="B652" s="18" t="s">
        <v>1792</v>
      </c>
      <c r="C652" s="19" t="s">
        <v>1793</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4080</v>
      </c>
      <c r="B653" s="18" t="s">
        <v>1792</v>
      </c>
      <c r="C653" s="19" t="s">
        <v>1793</v>
      </c>
      <c r="D653" s="15" cm="1">
        <f t="array" ref="D653">SUM(IF((LEFT('2-1 采购订单物料明细表报表导出'!$K:$K,7)=D$1)*('2-1 采购订单物料明细表报表导出'!$D:$D=$A653),'2-1 采购订单物料明细表报表导出'!$H:$H,0))</f>
        <v>2380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9331</v>
      </c>
      <c r="B654" s="18" t="s">
        <v>1792</v>
      </c>
      <c r="C654" s="19" t="s">
        <v>1793</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9140</v>
      </c>
      <c r="B655" s="18" t="s">
        <v>1792</v>
      </c>
      <c r="C655" s="19" t="s">
        <v>1793</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17942</v>
      </c>
      <c r="B656" s="18" t="s">
        <v>1792</v>
      </c>
      <c r="C656" s="19" t="s">
        <v>1793</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10088</v>
      </c>
      <c r="B657" s="18" t="s">
        <v>1792</v>
      </c>
      <c r="C657" s="19" t="s">
        <v>1793</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17943</v>
      </c>
      <c r="B658" s="18" t="s">
        <v>1792</v>
      </c>
      <c r="C658" s="19" t="s">
        <v>1793</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12183</v>
      </c>
      <c r="B659" s="18" t="s">
        <v>1792</v>
      </c>
      <c r="C659" s="19" t="s">
        <v>1793</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2992</v>
      </c>
      <c r="B660" s="18" t="s">
        <v>1792</v>
      </c>
      <c r="C660" s="19" t="s">
        <v>1793</v>
      </c>
      <c r="D660" s="15" cm="1">
        <f t="array" ref="D660">SUM(IF((LEFT('2-1 采购订单物料明细表报表导出'!$K:$K,7)=D$1)*('2-1 采购订单物料明细表报表导出'!$D:$D=$A660),'2-1 采购订单物料明细表报表导出'!$H:$H,0))</f>
        <v>18450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9662.8</v>
      </c>
      <c r="G660" s="15" cm="1">
        <f t="array" ref="G660">SUM(IF((LEFT('2-1 采购订单物料明细表报表导出'!$K:$K,7)=G$1)*('2-1 采购订单物料明细表报表导出'!$D:$D=$A660),'2-1 采购订单物料明细表报表导出'!$H:$H,0))</f>
        <v>9169</v>
      </c>
      <c r="H660" s="15" cm="1">
        <f t="array" ref="H660">SUM(IF((LEFT('2-1 采购订单物料明细表报表导出'!$K:$K,7)=H$1)*('2-1 采购订单物料明细表报表导出'!$D:$D=$A660),'2-1 采购订单物料明细表报表导出'!$H:$H,0))</f>
        <v>6028</v>
      </c>
      <c r="I660" s="15" cm="1">
        <f t="array" ref="I660">SUM(IF((LEFT('2-1 采购订单物料明细表报表导出'!$K:$K,7)=I$1)*('2-1 采购订单物料明细表报表导出'!$D:$D=$A660),'2-1 采购订单物料明细表报表导出'!$H:$H,0))</f>
        <v>6495</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17944</v>
      </c>
      <c r="B661" s="18" t="s">
        <v>1792</v>
      </c>
      <c r="C661" s="19" t="s">
        <v>1793</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17945</v>
      </c>
      <c r="B662" s="18" t="s">
        <v>1792</v>
      </c>
      <c r="C662" s="19" t="s">
        <v>1793</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11057</v>
      </c>
      <c r="B663" s="18" t="s">
        <v>1792</v>
      </c>
      <c r="C663" s="19" t="s">
        <v>1793</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4596</v>
      </c>
      <c r="B664" s="18" t="s">
        <v>1792</v>
      </c>
      <c r="C664" s="19" t="s">
        <v>1793</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2982</v>
      </c>
      <c r="B665" s="18" t="s">
        <v>1792</v>
      </c>
      <c r="C665" s="19" t="s">
        <v>1793</v>
      </c>
      <c r="D665" s="15" cm="1">
        <f t="array" ref="D665">SUM(IF((LEFT('2-1 采购订单物料明细表报表导出'!$K:$K,7)=D$1)*('2-1 采购订单物料明细表报表导出'!$D:$D=$A665),'2-1 采购订单物料明细表报表导出'!$H:$H,0))</f>
        <v>2286.8</v>
      </c>
      <c r="E665" s="15" cm="1">
        <f t="array" ref="E665">SUM(IF((LEFT('2-1 采购订单物料明细表报表导出'!$K:$K,7)=E$1)*('2-1 采购订单物料明细表报表导出'!$D:$D=$A665),'2-1 采购订单物料明细表报表导出'!$H:$H,0))</f>
        <v>69.65</v>
      </c>
      <c r="F665" s="15" cm="1">
        <f t="array" ref="F665">SUM(IF((LEFT('2-1 采购订单物料明细表报表导出'!$K:$K,7)=F$1)*('2-1 采购订单物料明细表报表导出'!$D:$D=$A665),'2-1 采购订单物料明细表报表导出'!$H:$H,0))</f>
        <v>800</v>
      </c>
      <c r="G665" s="15" cm="1">
        <f t="array" ref="G665">SUM(IF((LEFT('2-1 采购订单物料明细表报表导出'!$K:$K,7)=G$1)*('2-1 采购订单物料明细表报表导出'!$D:$D=$A665),'2-1 采购订单物料明细表报表导出'!$H:$H,0))</f>
        <v>624.6</v>
      </c>
      <c r="H665" s="15" cm="1">
        <f t="array" ref="H665">SUM(IF((LEFT('2-1 采购订单物料明细表报表导出'!$K:$K,7)=H$1)*('2-1 采购订单物料明细表报表导出'!$D:$D=$A665),'2-1 采购订单物料明细表报表导出'!$H:$H,0))</f>
        <v>264.6</v>
      </c>
      <c r="I665" s="15" cm="1">
        <f t="array" ref="I665">SUM(IF((LEFT('2-1 采购订单物料明细表报表导出'!$K:$K,7)=I$1)*('2-1 采购订单物料明细表报表导出'!$D:$D=$A665),'2-1 采购订单物料明细表报表导出'!$H:$H,0))</f>
        <v>1258.72</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17946</v>
      </c>
      <c r="B666" s="18" t="s">
        <v>1792</v>
      </c>
      <c r="C666" s="19" t="s">
        <v>1793</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17947</v>
      </c>
      <c r="B667" s="18" t="s">
        <v>1792</v>
      </c>
      <c r="C667" s="19" t="s">
        <v>1793</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6613</v>
      </c>
      <c r="B668" s="18" t="s">
        <v>1792</v>
      </c>
      <c r="C668" s="19" t="s">
        <v>1793</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17948</v>
      </c>
      <c r="B669" s="18" t="s">
        <v>1792</v>
      </c>
      <c r="C669" s="19" t="s">
        <v>1793</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4225</v>
      </c>
      <c r="B670" s="18" t="s">
        <v>1792</v>
      </c>
      <c r="C670" s="19" t="s">
        <v>1793</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17949</v>
      </c>
      <c r="B671" s="18" t="s">
        <v>1792</v>
      </c>
      <c r="C671" s="19" t="s">
        <v>1793</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9446</v>
      </c>
      <c r="B672" s="18" t="s">
        <v>1792</v>
      </c>
      <c r="C672" s="19" t="s">
        <v>1793</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17950</v>
      </c>
      <c r="B673" s="18" t="s">
        <v>1792</v>
      </c>
      <c r="C673" s="19" t="s">
        <v>1793</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17951</v>
      </c>
      <c r="B674" s="18" t="s">
        <v>1792</v>
      </c>
      <c r="C674" s="19" t="s">
        <v>1793</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17952</v>
      </c>
      <c r="B675" s="18" t="s">
        <v>1792</v>
      </c>
      <c r="C675" s="19" t="s">
        <v>1793</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17953</v>
      </c>
      <c r="B676" s="18" t="s">
        <v>1792</v>
      </c>
      <c r="C676" s="19" t="s">
        <v>1793</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17954</v>
      </c>
      <c r="B677" s="18" t="s">
        <v>1792</v>
      </c>
      <c r="C677" s="19" t="s">
        <v>1793</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9497</v>
      </c>
      <c r="B678" s="18" t="s">
        <v>1792</v>
      </c>
      <c r="C678" s="19" t="s">
        <v>1793</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17955</v>
      </c>
      <c r="B679" s="18" t="s">
        <v>1792</v>
      </c>
      <c r="C679" s="19" t="s">
        <v>1793</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8534</v>
      </c>
      <c r="B680" s="18" t="s">
        <v>1792</v>
      </c>
      <c r="C680" s="19" t="s">
        <v>1793</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17956</v>
      </c>
      <c r="B681" s="18" t="s">
        <v>1792</v>
      </c>
      <c r="C681" s="19" t="s">
        <v>1793</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12155</v>
      </c>
      <c r="B682" s="18" t="s">
        <v>1792</v>
      </c>
      <c r="C682" s="19" t="s">
        <v>1793</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17957</v>
      </c>
      <c r="B683" s="18" t="s">
        <v>1792</v>
      </c>
      <c r="C683" s="19" t="s">
        <v>1793</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17958</v>
      </c>
      <c r="B684" s="18" t="s">
        <v>1792</v>
      </c>
      <c r="C684" s="19" t="s">
        <v>1793</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11692</v>
      </c>
      <c r="B685" s="18" t="s">
        <v>1792</v>
      </c>
      <c r="C685" s="19" t="s">
        <v>1793</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11370</v>
      </c>
      <c r="B686" s="18" t="s">
        <v>1792</v>
      </c>
      <c r="C686" s="19" t="s">
        <v>1793</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17959</v>
      </c>
      <c r="B687" s="18" t="s">
        <v>1792</v>
      </c>
      <c r="C687" s="19" t="s">
        <v>1793</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17960</v>
      </c>
      <c r="B688" s="18" t="s">
        <v>1792</v>
      </c>
      <c r="C688" s="19" t="s">
        <v>1793</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4911</v>
      </c>
      <c r="B689" s="18" t="s">
        <v>1792</v>
      </c>
      <c r="C689" s="19" t="s">
        <v>1793</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5431</v>
      </c>
      <c r="B690" s="18" t="s">
        <v>1792</v>
      </c>
      <c r="C690" s="19" t="s">
        <v>1793</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17961</v>
      </c>
      <c r="B691" s="18" t="s">
        <v>1792</v>
      </c>
      <c r="C691" s="19" t="s">
        <v>1793</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12561</v>
      </c>
      <c r="B692" s="18" t="s">
        <v>1792</v>
      </c>
      <c r="C692" s="19" t="s">
        <v>1793</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17962</v>
      </c>
      <c r="B693" s="18" t="s">
        <v>1792</v>
      </c>
      <c r="C693" s="19" t="s">
        <v>1793</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17963</v>
      </c>
      <c r="B694" s="18" t="s">
        <v>1792</v>
      </c>
      <c r="C694" s="19" t="s">
        <v>1793</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3652</v>
      </c>
      <c r="B695" s="18" t="s">
        <v>1792</v>
      </c>
      <c r="C695" s="19" t="s">
        <v>1793</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286</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11498</v>
      </c>
      <c r="B696" s="18" t="s">
        <v>1792</v>
      </c>
      <c r="C696" s="19" t="s">
        <v>1793</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6901</v>
      </c>
      <c r="B697" s="18" t="s">
        <v>1792</v>
      </c>
      <c r="C697" s="19" t="s">
        <v>1793</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8767</v>
      </c>
      <c r="B698" s="18" t="s">
        <v>1792</v>
      </c>
      <c r="C698" s="19" t="s">
        <v>1793</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17964</v>
      </c>
      <c r="B699" s="22" t="s">
        <v>1759</v>
      </c>
      <c r="C699" s="23" t="s">
        <v>1760</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17965</v>
      </c>
      <c r="B700" s="22" t="s">
        <v>1759</v>
      </c>
      <c r="C700" s="23" t="s">
        <v>1760</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4939</v>
      </c>
      <c r="B701" s="22" t="s">
        <v>1759</v>
      </c>
      <c r="C701" s="23" t="s">
        <v>1760</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10535</v>
      </c>
      <c r="B702" s="22" t="s">
        <v>1759</v>
      </c>
      <c r="C702" s="23" t="s">
        <v>1760</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17966</v>
      </c>
      <c r="B703" s="22" t="s">
        <v>1759</v>
      </c>
      <c r="C703" s="23" t="s">
        <v>1760</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17967</v>
      </c>
      <c r="B704" s="22" t="s">
        <v>1759</v>
      </c>
      <c r="C704" s="23" t="s">
        <v>1760</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17968</v>
      </c>
      <c r="B705" s="22" t="s">
        <v>1759</v>
      </c>
      <c r="C705" s="23" t="s">
        <v>1760</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17969</v>
      </c>
      <c r="B706" s="22" t="s">
        <v>1759</v>
      </c>
      <c r="C706" s="23" t="s">
        <v>1760</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4096</v>
      </c>
      <c r="B707" s="22" t="s">
        <v>1759</v>
      </c>
      <c r="C707" s="23" t="s">
        <v>1760</v>
      </c>
      <c r="D707" s="15" cm="1">
        <f t="array" ref="D707">SUM(IF((LEFT('2-1 采购订单物料明细表报表导出'!$K:$K,7)=D$1)*('2-1 采购订单物料明细表报表导出'!$D:$D=$A707),'2-1 采购订单物料明细表报表导出'!$H:$H,0))</f>
        <v>535</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17970</v>
      </c>
      <c r="B708" s="22" t="s">
        <v>1759</v>
      </c>
      <c r="C708" s="23" t="s">
        <v>1760</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3018</v>
      </c>
      <c r="B709" s="22" t="s">
        <v>1759</v>
      </c>
      <c r="C709" s="23" t="s">
        <v>1760</v>
      </c>
      <c r="D709" s="15" cm="1">
        <f t="array" ref="D709">SUM(IF((LEFT('2-1 采购订单物料明细表报表导出'!$K:$K,7)=D$1)*('2-1 采购订单物料明细表报表导出'!$D:$D=$A709),'2-1 采购订单物料明细表报表导出'!$H:$H,0))</f>
        <v>14812</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880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9901</v>
      </c>
      <c r="B710" s="22" t="s">
        <v>1759</v>
      </c>
      <c r="C710" s="23" t="s">
        <v>1760</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17971</v>
      </c>
      <c r="B711" s="22" t="s">
        <v>1759</v>
      </c>
      <c r="C711" s="23" t="s">
        <v>1760</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17972</v>
      </c>
      <c r="B712" s="22" t="s">
        <v>1759</v>
      </c>
      <c r="C712" s="23" t="s">
        <v>1760</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10932</v>
      </c>
      <c r="B713" s="22" t="s">
        <v>1759</v>
      </c>
      <c r="C713" s="23" t="s">
        <v>1760</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3747</v>
      </c>
      <c r="B714" s="22" t="s">
        <v>1792</v>
      </c>
      <c r="C714" s="23" t="s">
        <v>1793</v>
      </c>
      <c r="D714" s="15" cm="1">
        <f t="array" ref="D714">SUM(IF((LEFT('2-1 采购订单物料明细表报表导出'!$K:$K,7)=D$1)*('2-1 采购订单物料明细表报表导出'!$D:$D=$A714),'2-1 采购订单物料明细表报表导出'!$H:$H,0))</f>
        <v>53068</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29187.4</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3532</v>
      </c>
      <c r="B715" s="22" t="s">
        <v>1792</v>
      </c>
      <c r="C715" s="23" t="s">
        <v>1793</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1940.4</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4076</v>
      </c>
      <c r="B716" s="22" t="s">
        <v>1792</v>
      </c>
      <c r="C716" s="23" t="s">
        <v>1793</v>
      </c>
      <c r="D716" s="15" cm="1">
        <f t="array" ref="D716">SUM(IF((LEFT('2-1 采购订单物料明细表报表导出'!$K:$K,7)=D$1)*('2-1 采购订单物料明细表报表导出'!$D:$D=$A716),'2-1 采购订单物料明细表报表导出'!$H:$H,0))</f>
        <v>53100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17973</v>
      </c>
      <c r="B717" s="22" t="s">
        <v>1792</v>
      </c>
      <c r="C717" s="23" t="s">
        <v>1793</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4978</v>
      </c>
      <c r="B718" s="22" t="s">
        <v>1792</v>
      </c>
      <c r="C718" s="23" t="s">
        <v>1793</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3548</v>
      </c>
      <c r="B719" s="22" t="s">
        <v>1792</v>
      </c>
      <c r="C719" s="23" t="s">
        <v>1793</v>
      </c>
      <c r="D719" s="15" cm="1">
        <f t="array" ref="D719">SUM(IF((LEFT('2-1 采购订单物料明细表报表导出'!$K:$K,7)=D$1)*('2-1 采购订单物料明细表报表导出'!$D:$D=$A719),'2-1 采购订单物料明细表报表导出'!$H:$H,0))</f>
        <v>5600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2800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3722</v>
      </c>
      <c r="B720" s="22" t="s">
        <v>1792</v>
      </c>
      <c r="C720" s="23" t="s">
        <v>1793</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845.75</v>
      </c>
      <c r="F720" s="15" cm="1">
        <f t="array" ref="F720">SUM(IF((LEFT('2-1 采购订单物料明细表报表导出'!$K:$K,7)=F$1)*('2-1 采购订单物料明细表报表导出'!$D:$D=$A720),'2-1 采购订单物料明细表报表导出'!$H:$H,0))</f>
        <v>454.5</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17974</v>
      </c>
      <c r="B721" s="22" t="s">
        <v>1792</v>
      </c>
      <c r="C721" s="23" t="s">
        <v>1793</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17975</v>
      </c>
      <c r="B722" s="22" t="s">
        <v>1792</v>
      </c>
      <c r="C722" s="23" t="s">
        <v>1793</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9757</v>
      </c>
      <c r="B723" s="22" t="s">
        <v>1792</v>
      </c>
      <c r="C723" s="23" t="s">
        <v>1793</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4692</v>
      </c>
      <c r="B724" s="22" t="s">
        <v>1792</v>
      </c>
      <c r="C724" s="23" t="s">
        <v>1793</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8876</v>
      </c>
      <c r="B725" s="22" t="s">
        <v>1792</v>
      </c>
      <c r="C725" s="23" t="s">
        <v>1793</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5240</v>
      </c>
      <c r="B726" s="22" t="s">
        <v>1792</v>
      </c>
      <c r="C726" s="23" t="s">
        <v>1793</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17976</v>
      </c>
      <c r="B727" s="22" t="s">
        <v>1792</v>
      </c>
      <c r="C727" s="23" t="s">
        <v>1793</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17977</v>
      </c>
      <c r="B728" s="22" t="s">
        <v>1792</v>
      </c>
      <c r="C728" s="23" t="s">
        <v>1793</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17978</v>
      </c>
      <c r="B729" s="22" t="s">
        <v>1792</v>
      </c>
      <c r="C729" s="23" t="s">
        <v>1793</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17979</v>
      </c>
      <c r="B730" s="22" t="s">
        <v>1792</v>
      </c>
      <c r="C730" s="23" t="s">
        <v>1793</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17980</v>
      </c>
      <c r="B731" s="22" t="s">
        <v>1792</v>
      </c>
      <c r="C731" s="23" t="s">
        <v>1793</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17981</v>
      </c>
      <c r="B732" s="22" t="s">
        <v>1792</v>
      </c>
      <c r="C732" s="23" t="s">
        <v>1793</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17982</v>
      </c>
      <c r="B733" s="22" t="s">
        <v>1792</v>
      </c>
      <c r="C733" s="23" t="s">
        <v>1793</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17983</v>
      </c>
      <c r="B734" s="22" t="s">
        <v>1792</v>
      </c>
      <c r="C734" s="23" t="s">
        <v>1793</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17984</v>
      </c>
      <c r="B735" s="22" t="s">
        <v>1792</v>
      </c>
      <c r="C735" s="23" t="s">
        <v>1793</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17985</v>
      </c>
      <c r="B736" s="22" t="s">
        <v>1792</v>
      </c>
      <c r="C736" s="23" t="s">
        <v>1793</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17986</v>
      </c>
      <c r="B737" s="22" t="s">
        <v>1792</v>
      </c>
      <c r="C737" s="23" t="s">
        <v>1793</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12746</v>
      </c>
      <c r="B738" s="22" t="s">
        <v>1792</v>
      </c>
      <c r="C738" s="23" t="s">
        <v>1793</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5436</v>
      </c>
      <c r="B739" s="22" t="s">
        <v>1792</v>
      </c>
      <c r="C739" s="23" t="s">
        <v>1793</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9890</v>
      </c>
      <c r="B740" s="22" t="s">
        <v>1792</v>
      </c>
      <c r="C740" s="23" t="s">
        <v>1793</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17987</v>
      </c>
      <c r="B741" s="22" t="s">
        <v>1792</v>
      </c>
      <c r="C741" s="23" t="s">
        <v>1793</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17988</v>
      </c>
      <c r="B742" s="22" t="s">
        <v>1792</v>
      </c>
      <c r="C742" s="23" t="s">
        <v>1793</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17989</v>
      </c>
      <c r="B743" s="22" t="s">
        <v>1792</v>
      </c>
      <c r="C743" s="23" t="s">
        <v>1793</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17990</v>
      </c>
      <c r="B744" s="22" t="s">
        <v>1792</v>
      </c>
      <c r="C744" s="23" t="s">
        <v>1793</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4802</v>
      </c>
      <c r="B745" s="22" t="s">
        <v>1792</v>
      </c>
      <c r="C745" s="23" t="s">
        <v>1793</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17991</v>
      </c>
      <c r="B746" s="22" t="s">
        <v>1792</v>
      </c>
      <c r="C746" s="23" t="s">
        <v>1793</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11720</v>
      </c>
      <c r="B747" s="22" t="s">
        <v>1792</v>
      </c>
      <c r="C747" s="23" t="s">
        <v>1793</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7663</v>
      </c>
      <c r="B748" s="22" t="s">
        <v>1792</v>
      </c>
      <c r="C748" s="23" t="s">
        <v>1793</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9615</v>
      </c>
      <c r="B749" s="22" t="s">
        <v>1792</v>
      </c>
      <c r="C749" s="23" t="s">
        <v>1793</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11444</v>
      </c>
      <c r="B750" s="18" t="s">
        <v>1954</v>
      </c>
      <c r="C750" s="19" t="s">
        <v>1955</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3561</v>
      </c>
      <c r="B751" s="18" t="s">
        <v>1954</v>
      </c>
      <c r="C751" s="19" t="s">
        <v>1955</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226.76</v>
      </c>
      <c r="F751" s="15" cm="1">
        <f t="array" ref="F751">SUM(IF((LEFT('2-1 采购订单物料明细表报表导出'!$K:$K,7)=F$1)*('2-1 采购订单物料明细表报表导出'!$D:$D=$A751),'2-1 采购订单物料明细表报表导出'!$H:$H,0))</f>
        <v>226.76</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17992</v>
      </c>
      <c r="B752" s="18" t="s">
        <v>1954</v>
      </c>
      <c r="C752" s="19" t="s">
        <v>1955</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9648</v>
      </c>
      <c r="B753" s="18" t="s">
        <v>1954</v>
      </c>
      <c r="C753" s="19" t="s">
        <v>1955</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3684</v>
      </c>
      <c r="B754" s="18" t="s">
        <v>1954</v>
      </c>
      <c r="C754" s="19" t="s">
        <v>1955</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160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17993</v>
      </c>
      <c r="B755" s="18" t="s">
        <v>1954</v>
      </c>
      <c r="C755" s="19" t="s">
        <v>1955</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17994</v>
      </c>
      <c r="B756" s="18" t="s">
        <v>1954</v>
      </c>
      <c r="C756" s="19" t="s">
        <v>1955</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5144</v>
      </c>
      <c r="B757" s="18" t="s">
        <v>1954</v>
      </c>
      <c r="C757" s="19" t="s">
        <v>1955</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17995</v>
      </c>
      <c r="B758" s="18" t="s">
        <v>1954</v>
      </c>
      <c r="C758" s="19" t="s">
        <v>1955</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3074</v>
      </c>
      <c r="B759" s="18" t="s">
        <v>1954</v>
      </c>
      <c r="C759" s="19" t="s">
        <v>1955</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4450</v>
      </c>
      <c r="F759" s="15" cm="1">
        <f t="array" ref="F759">SUM(IF((LEFT('2-1 采购订单物料明细表报表导出'!$K:$K,7)=F$1)*('2-1 采购订单物料明细表报表导出'!$D:$D=$A759),'2-1 采购订单物料明细表报表导出'!$H:$H,0))</f>
        <v>5976</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1335</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17996</v>
      </c>
      <c r="B760" s="18" t="s">
        <v>1954</v>
      </c>
      <c r="C760" s="19" t="s">
        <v>1955</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5687</v>
      </c>
      <c r="B761" s="22" t="s">
        <v>1954</v>
      </c>
      <c r="C761" s="23" t="s">
        <v>1955</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8396</v>
      </c>
      <c r="B762" s="22" t="s">
        <v>1954</v>
      </c>
      <c r="C762" s="23" t="s">
        <v>1955</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17997</v>
      </c>
      <c r="B763" s="22" t="s">
        <v>1954</v>
      </c>
      <c r="C763" s="23" t="s">
        <v>1955</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17998</v>
      </c>
      <c r="B764" s="22" t="s">
        <v>1954</v>
      </c>
      <c r="C764" s="23" t="s">
        <v>1955</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17999</v>
      </c>
      <c r="B765" s="22" t="s">
        <v>1980</v>
      </c>
      <c r="C765" s="23" t="s">
        <v>1981</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18000</v>
      </c>
      <c r="B766" s="22" t="s">
        <v>1980</v>
      </c>
      <c r="C766" s="23" t="s">
        <v>1981</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7313</v>
      </c>
      <c r="B767" s="22" t="s">
        <v>1980</v>
      </c>
      <c r="C767" s="23" t="s">
        <v>1981</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12770</v>
      </c>
      <c r="B768" s="22" t="s">
        <v>1980</v>
      </c>
      <c r="C768" s="23" t="s">
        <v>1981</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10814</v>
      </c>
      <c r="B769" s="22" t="s">
        <v>1980</v>
      </c>
      <c r="C769" s="23" t="s">
        <v>1981</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18001</v>
      </c>
      <c r="B770" s="22" t="s">
        <v>1980</v>
      </c>
      <c r="C770" s="23" t="s">
        <v>1981</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13355</v>
      </c>
      <c r="B771" s="22" t="s">
        <v>1980</v>
      </c>
      <c r="C771" s="23" t="s">
        <v>1981</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3463</v>
      </c>
      <c r="B772" s="22" t="s">
        <v>1980</v>
      </c>
      <c r="C772" s="23" t="s">
        <v>1981</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242.52</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3371</v>
      </c>
      <c r="B773" s="22" t="s">
        <v>1980</v>
      </c>
      <c r="C773" s="23" t="s">
        <v>1981</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1215</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65</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18002</v>
      </c>
      <c r="B774" s="22" t="s">
        <v>1980</v>
      </c>
      <c r="C774" s="23" t="s">
        <v>1981</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6688</v>
      </c>
      <c r="B775" s="22" t="s">
        <v>1980</v>
      </c>
      <c r="C775" s="23" t="s">
        <v>1981</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18003</v>
      </c>
      <c r="B776" s="22" t="s">
        <v>1980</v>
      </c>
      <c r="C776" s="23" t="s">
        <v>1981</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18004</v>
      </c>
      <c r="B777" s="22" t="s">
        <v>1980</v>
      </c>
      <c r="C777" s="23" t="s">
        <v>1981</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18005</v>
      </c>
      <c r="B778" s="22" t="s">
        <v>1980</v>
      </c>
      <c r="C778" s="23" t="s">
        <v>1981</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18006</v>
      </c>
      <c r="B779" s="22" t="s">
        <v>1980</v>
      </c>
      <c r="C779" s="23" t="s">
        <v>1981</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18007</v>
      </c>
      <c r="B780" s="22" t="s">
        <v>1980</v>
      </c>
      <c r="C780" s="23" t="s">
        <v>1981</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11161</v>
      </c>
      <c r="B781" s="22" t="s">
        <v>1980</v>
      </c>
      <c r="C781" s="23" t="s">
        <v>1981</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3325</v>
      </c>
      <c r="B782" s="22" t="s">
        <v>1980</v>
      </c>
      <c r="C782" s="23" t="s">
        <v>1981</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26.1</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3438</v>
      </c>
      <c r="B783" s="22" t="s">
        <v>1980</v>
      </c>
      <c r="C783" s="23" t="s">
        <v>1981</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88.1</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18008</v>
      </c>
      <c r="B784" s="22" t="s">
        <v>1980</v>
      </c>
      <c r="C784" s="23" t="s">
        <v>1981</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11153</v>
      </c>
      <c r="B785" s="22" t="s">
        <v>1980</v>
      </c>
      <c r="C785" s="23" t="s">
        <v>1981</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9884</v>
      </c>
      <c r="B786" s="22" t="s">
        <v>1980</v>
      </c>
      <c r="C786" s="23" t="s">
        <v>1981</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9245</v>
      </c>
      <c r="B787" s="22" t="s">
        <v>1980</v>
      </c>
      <c r="C787" s="23" t="s">
        <v>1981</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18009</v>
      </c>
      <c r="B788" s="22" t="s">
        <v>2006</v>
      </c>
      <c r="C788" s="23" t="s">
        <v>2007</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18010</v>
      </c>
      <c r="B789" s="22" t="s">
        <v>2006</v>
      </c>
      <c r="C789" s="23" t="s">
        <v>2007</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18011</v>
      </c>
      <c r="B790" s="22" t="s">
        <v>2006</v>
      </c>
      <c r="C790" s="23" t="s">
        <v>2007</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5282</v>
      </c>
      <c r="B791" s="22" t="s">
        <v>2006</v>
      </c>
      <c r="C791" s="23" t="s">
        <v>2007</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18012</v>
      </c>
      <c r="B792" s="22" t="s">
        <v>2006</v>
      </c>
      <c r="C792" s="23" t="s">
        <v>2007</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18013</v>
      </c>
      <c r="B793" s="22" t="s">
        <v>2006</v>
      </c>
      <c r="C793" s="23" t="s">
        <v>2007</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18014</v>
      </c>
      <c r="B794" s="22" t="s">
        <v>2006</v>
      </c>
      <c r="C794" s="23" t="s">
        <v>2007</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18015</v>
      </c>
      <c r="B795" s="22" t="s">
        <v>2006</v>
      </c>
      <c r="C795" s="23" t="s">
        <v>2007</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5378</v>
      </c>
      <c r="B796" s="22" t="s">
        <v>2006</v>
      </c>
      <c r="C796" s="23" t="s">
        <v>2007</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18016</v>
      </c>
      <c r="B797" s="22" t="s">
        <v>2006</v>
      </c>
      <c r="C797" s="23" t="s">
        <v>2007</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3610</v>
      </c>
      <c r="B798" s="22" t="s">
        <v>2006</v>
      </c>
      <c r="C798" s="23" t="s">
        <v>2007</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192.1</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18017</v>
      </c>
      <c r="B799" s="22" t="s">
        <v>2006</v>
      </c>
      <c r="C799" s="23" t="s">
        <v>2007</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13454</v>
      </c>
      <c r="B800" s="22" t="s">
        <v>2006</v>
      </c>
      <c r="C800" s="23" t="s">
        <v>2007</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18018</v>
      </c>
      <c r="B801" s="22" t="s">
        <v>2006</v>
      </c>
      <c r="C801" s="23" t="s">
        <v>2007</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6243</v>
      </c>
      <c r="B802" s="22" t="s">
        <v>2006</v>
      </c>
      <c r="C802" s="23" t="s">
        <v>2007</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18019</v>
      </c>
      <c r="B803" s="22" t="s">
        <v>2006</v>
      </c>
      <c r="C803" s="23" t="s">
        <v>2007</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5846</v>
      </c>
      <c r="B804" s="22" t="s">
        <v>2006</v>
      </c>
      <c r="C804" s="23" t="s">
        <v>2007</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7749</v>
      </c>
      <c r="B805" s="22" t="s">
        <v>2006</v>
      </c>
      <c r="C805" s="23" t="s">
        <v>2007</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4765</v>
      </c>
      <c r="B806" s="22" t="s">
        <v>2006</v>
      </c>
      <c r="C806" s="23" t="s">
        <v>2007</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18020</v>
      </c>
      <c r="B807" s="22" t="s">
        <v>2006</v>
      </c>
      <c r="C807" s="23" t="s">
        <v>2007</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13403</v>
      </c>
      <c r="B808" s="22" t="s">
        <v>1929</v>
      </c>
      <c r="C808" s="23" t="s">
        <v>1930</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18021</v>
      </c>
      <c r="B809" s="22" t="s">
        <v>1929</v>
      </c>
      <c r="C809" s="23" t="s">
        <v>1930</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13848</v>
      </c>
      <c r="B810" s="22" t="s">
        <v>1929</v>
      </c>
      <c r="C810" s="23" t="s">
        <v>1930</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18022</v>
      </c>
      <c r="B811" s="22" t="s">
        <v>1929</v>
      </c>
      <c r="C811" s="23" t="s">
        <v>1930</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18023</v>
      </c>
      <c r="B812" s="22" t="s">
        <v>1929</v>
      </c>
      <c r="C812" s="23" t="s">
        <v>1930</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13363</v>
      </c>
      <c r="B813" s="22" t="s">
        <v>1929</v>
      </c>
      <c r="C813" s="23" t="s">
        <v>1930</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18024</v>
      </c>
      <c r="B814" s="22" t="s">
        <v>1929</v>
      </c>
      <c r="C814" s="23" t="s">
        <v>1930</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18025</v>
      </c>
      <c r="B815" s="22" t="s">
        <v>1929</v>
      </c>
      <c r="C815" s="23" t="s">
        <v>1930</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6745</v>
      </c>
      <c r="B816" s="22" t="s">
        <v>1929</v>
      </c>
      <c r="C816" s="23" t="s">
        <v>1930</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4234</v>
      </c>
      <c r="B817" s="22" t="s">
        <v>1929</v>
      </c>
      <c r="C817" s="23" t="s">
        <v>1930</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6763</v>
      </c>
      <c r="B818" s="22" t="s">
        <v>1929</v>
      </c>
      <c r="C818" s="23" t="s">
        <v>1930</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18026</v>
      </c>
      <c r="B819" s="22" t="s">
        <v>1929</v>
      </c>
      <c r="C819" s="23" t="s">
        <v>1930</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13600</v>
      </c>
      <c r="B820" s="22" t="s">
        <v>1929</v>
      </c>
      <c r="C820" s="23" t="s">
        <v>1930</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10791</v>
      </c>
      <c r="B821" s="22" t="s">
        <v>1929</v>
      </c>
      <c r="C821" s="23" t="s">
        <v>1930</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5941</v>
      </c>
      <c r="B822" s="22" t="s">
        <v>1929</v>
      </c>
      <c r="C822" s="23" t="s">
        <v>1930</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18027</v>
      </c>
      <c r="B823" s="22" t="s">
        <v>1929</v>
      </c>
      <c r="C823" s="23" t="s">
        <v>1930</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18028</v>
      </c>
      <c r="B824" s="22" t="s">
        <v>1929</v>
      </c>
      <c r="C824" s="23" t="s">
        <v>1930</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18029</v>
      </c>
      <c r="B825" s="22" t="s">
        <v>1929</v>
      </c>
      <c r="C825" s="23" t="s">
        <v>1930</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18030</v>
      </c>
      <c r="B826" s="22" t="s">
        <v>1929</v>
      </c>
      <c r="C826" s="23" t="s">
        <v>1930</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6375</v>
      </c>
      <c r="B827" s="22" t="s">
        <v>1929</v>
      </c>
      <c r="C827" s="23" t="s">
        <v>1930</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4583</v>
      </c>
      <c r="B828" s="22" t="s">
        <v>1929</v>
      </c>
      <c r="C828" s="23" t="s">
        <v>1930</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18031</v>
      </c>
      <c r="B829" s="22" t="s">
        <v>1929</v>
      </c>
      <c r="C829" s="23" t="s">
        <v>1930</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18032</v>
      </c>
      <c r="B830" s="22" t="s">
        <v>1929</v>
      </c>
      <c r="C830" s="23" t="s">
        <v>1930</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18033</v>
      </c>
      <c r="B831" s="22" t="s">
        <v>1929</v>
      </c>
      <c r="C831" s="23" t="s">
        <v>1930</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18034</v>
      </c>
      <c r="B832" s="22" t="s">
        <v>1929</v>
      </c>
      <c r="C832" s="23" t="s">
        <v>1930</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6023</v>
      </c>
      <c r="B833" s="22" t="s">
        <v>1929</v>
      </c>
      <c r="C833" s="23" t="s">
        <v>1930</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4601</v>
      </c>
      <c r="B834" s="22" t="s">
        <v>1929</v>
      </c>
      <c r="C834" s="23" t="s">
        <v>1930</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5131</v>
      </c>
      <c r="B835" s="22" t="s">
        <v>1929</v>
      </c>
      <c r="C835" s="23" t="s">
        <v>1930</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18035</v>
      </c>
      <c r="B836" s="22" t="s">
        <v>1929</v>
      </c>
      <c r="C836" s="23" t="s">
        <v>1930</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8590</v>
      </c>
      <c r="B837" s="22" t="s">
        <v>1929</v>
      </c>
      <c r="C837" s="23" t="s">
        <v>1930</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9355</v>
      </c>
      <c r="B838" s="22" t="s">
        <v>1929</v>
      </c>
      <c r="C838" s="23" t="s">
        <v>1930</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8298</v>
      </c>
      <c r="B839" s="22" t="s">
        <v>1929</v>
      </c>
      <c r="C839" s="23" t="s">
        <v>1930</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3030</v>
      </c>
      <c r="B840" s="22" t="s">
        <v>1913</v>
      </c>
      <c r="C840" s="23" t="s">
        <v>1914</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975</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18036</v>
      </c>
      <c r="B841" s="22" t="s">
        <v>1913</v>
      </c>
      <c r="C841" s="23" t="s">
        <v>1914</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18037</v>
      </c>
      <c r="B842" s="22" t="s">
        <v>1913</v>
      </c>
      <c r="C842" s="23" t="s">
        <v>1914</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4875</v>
      </c>
      <c r="B843" s="22" t="s">
        <v>1913</v>
      </c>
      <c r="C843" s="23" t="s">
        <v>1914</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18038</v>
      </c>
      <c r="B844" s="22" t="s">
        <v>1913</v>
      </c>
      <c r="C844" s="23" t="s">
        <v>1914</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18039</v>
      </c>
      <c r="B845" s="22" t="s">
        <v>1913</v>
      </c>
      <c r="C845" s="23" t="s">
        <v>1914</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18040</v>
      </c>
      <c r="B846" s="22" t="s">
        <v>1913</v>
      </c>
      <c r="C846" s="23" t="s">
        <v>1914</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18041</v>
      </c>
      <c r="B847" s="22" t="s">
        <v>1913</v>
      </c>
      <c r="C847" s="23" t="s">
        <v>1914</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18042</v>
      </c>
      <c r="B848" s="22" t="s">
        <v>1913</v>
      </c>
      <c r="C848" s="23" t="s">
        <v>1914</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5302</v>
      </c>
      <c r="B849" s="22" t="s">
        <v>1913</v>
      </c>
      <c r="C849" s="23" t="s">
        <v>1914</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6481</v>
      </c>
      <c r="B850" s="22" t="s">
        <v>1913</v>
      </c>
      <c r="C850" s="23" t="s">
        <v>1914</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4425</v>
      </c>
      <c r="B851" s="22" t="s">
        <v>1913</v>
      </c>
      <c r="C851" s="23" t="s">
        <v>1914</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4637</v>
      </c>
      <c r="B852" s="22" t="s">
        <v>1621</v>
      </c>
      <c r="C852" s="23" t="s">
        <v>1622</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18043</v>
      </c>
      <c r="B853" s="22" t="s">
        <v>1621</v>
      </c>
      <c r="C853" s="23" t="s">
        <v>1622</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5293</v>
      </c>
      <c r="B854" s="22" t="s">
        <v>1663</v>
      </c>
      <c r="C854" s="23" t="s">
        <v>1664</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18044</v>
      </c>
      <c r="B855" s="22" t="s">
        <v>1663</v>
      </c>
      <c r="C855" s="23" t="s">
        <v>1664</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4195</v>
      </c>
      <c r="B856" s="22" t="s">
        <v>1663</v>
      </c>
      <c r="C856" s="23" t="s">
        <v>1664</v>
      </c>
      <c r="D856" s="15" cm="1">
        <f t="array" ref="D856">SUM(IF((LEFT('2-1 采购订单物料明细表报表导出'!$K:$K,7)=D$1)*('2-1 采购订单物料明细表报表导出'!$D:$D=$A856),'2-1 采购订单物料明细表报表导出'!$H:$H,0))</f>
        <v>4300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18045</v>
      </c>
      <c r="B857" s="22" t="s">
        <v>1663</v>
      </c>
      <c r="C857" s="23" t="s">
        <v>1664</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18046</v>
      </c>
      <c r="B858" s="22" t="s">
        <v>1663</v>
      </c>
      <c r="C858" s="23" t="s">
        <v>1664</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8134</v>
      </c>
      <c r="B859" s="22" t="s">
        <v>1663</v>
      </c>
      <c r="C859" s="23" t="s">
        <v>1664</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18047</v>
      </c>
      <c r="B860" s="22" t="s">
        <v>1663</v>
      </c>
      <c r="C860" s="23" t="s">
        <v>1664</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18048</v>
      </c>
      <c r="B861" s="22" t="s">
        <v>1663</v>
      </c>
      <c r="C861" s="23" t="s">
        <v>1664</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3041</v>
      </c>
      <c r="B862" s="22" t="s">
        <v>1663</v>
      </c>
      <c r="C862" s="23" t="s">
        <v>1664</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806.34</v>
      </c>
      <c r="I862" s="15" cm="1">
        <f t="array" ref="I862">SUM(IF((LEFT('2-1 采购订单物料明细表报表导出'!$K:$K,7)=I$1)*('2-1 采购订单物料明细表报表导出'!$D:$D=$A862),'2-1 采购订单物料明细表报表导出'!$H:$H,0))</f>
        <v>158.2</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3169</v>
      </c>
      <c r="B863" s="22" t="s">
        <v>1696</v>
      </c>
      <c r="C863" s="23" t="s">
        <v>1697</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42</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18049</v>
      </c>
      <c r="B864" s="22" t="s">
        <v>1696</v>
      </c>
      <c r="C864" s="23" t="s">
        <v>1697</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18050</v>
      </c>
      <c r="B865" s="22" t="s">
        <v>1696</v>
      </c>
      <c r="C865" s="23" t="s">
        <v>1697</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18051</v>
      </c>
      <c r="B866" s="22" t="s">
        <v>1696</v>
      </c>
      <c r="C866" s="23" t="s">
        <v>1697</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18052</v>
      </c>
      <c r="B867" s="22" t="s">
        <v>1696</v>
      </c>
      <c r="C867" s="23" t="s">
        <v>1697</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18053</v>
      </c>
      <c r="B868" s="22" t="s">
        <v>1696</v>
      </c>
      <c r="C868" s="23" t="s">
        <v>1697</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18054</v>
      </c>
      <c r="B869" s="22" t="s">
        <v>1696</v>
      </c>
      <c r="C869" s="23" t="s">
        <v>1697</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18055</v>
      </c>
      <c r="B870" s="22" t="s">
        <v>1621</v>
      </c>
      <c r="C870" s="23" t="s">
        <v>1622</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18056</v>
      </c>
      <c r="B871" s="22" t="s">
        <v>1621</v>
      </c>
      <c r="C871" s="23" t="s">
        <v>1622</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18057</v>
      </c>
      <c r="B872" s="22" t="s">
        <v>1621</v>
      </c>
      <c r="C872" s="23" t="s">
        <v>1622</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18058</v>
      </c>
      <c r="B873" s="22" t="s">
        <v>1621</v>
      </c>
      <c r="C873" s="23" t="s">
        <v>1622</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3024</v>
      </c>
      <c r="B874" s="22" t="s">
        <v>1696</v>
      </c>
      <c r="C874" s="23" t="s">
        <v>1697</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2514.25</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4848</v>
      </c>
      <c r="B875" s="22" t="s">
        <v>1696</v>
      </c>
      <c r="C875" s="23" t="s">
        <v>1697</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18059</v>
      </c>
      <c r="B876" s="22" t="s">
        <v>1696</v>
      </c>
      <c r="C876" s="23" t="s">
        <v>1697</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3177</v>
      </c>
      <c r="B877" s="22" t="s">
        <v>1696</v>
      </c>
      <c r="C877" s="23" t="s">
        <v>1697</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127.44</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4866</v>
      </c>
      <c r="B878" s="22" t="s">
        <v>1696</v>
      </c>
      <c r="C878" s="23" t="s">
        <v>1697</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6347</v>
      </c>
      <c r="B879" s="22" t="s">
        <v>1696</v>
      </c>
      <c r="C879" s="23" t="s">
        <v>1697</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6407</v>
      </c>
      <c r="B880" s="22" t="s">
        <v>1696</v>
      </c>
      <c r="C880" s="23" t="s">
        <v>1697</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8630</v>
      </c>
      <c r="B881" s="22" t="s">
        <v>1696</v>
      </c>
      <c r="C881" s="23" t="s">
        <v>1697</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4456</v>
      </c>
      <c r="B882" s="22" t="s">
        <v>1696</v>
      </c>
      <c r="C882" s="23" t="s">
        <v>1697</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10967</v>
      </c>
      <c r="B883" s="22" t="s">
        <v>1696</v>
      </c>
      <c r="C883" s="23" t="s">
        <v>1697</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18060</v>
      </c>
      <c r="B884" s="22" t="s">
        <v>1621</v>
      </c>
      <c r="C884" s="23" t="s">
        <v>1622</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18061</v>
      </c>
      <c r="B885" s="22" t="s">
        <v>1621</v>
      </c>
      <c r="C885" s="23" t="s">
        <v>1622</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18062</v>
      </c>
      <c r="B886" s="22" t="s">
        <v>1621</v>
      </c>
      <c r="C886" s="23" t="s">
        <v>1622</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18063</v>
      </c>
      <c r="B887" s="22" t="s">
        <v>1621</v>
      </c>
      <c r="C887" s="23" t="s">
        <v>1622</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18064</v>
      </c>
      <c r="B888" s="22" t="s">
        <v>1621</v>
      </c>
      <c r="C888" s="23" t="s">
        <v>1622</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18065</v>
      </c>
      <c r="B889" s="22" t="s">
        <v>1621</v>
      </c>
      <c r="C889" s="23" t="s">
        <v>1622</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18066</v>
      </c>
      <c r="B890" s="22" t="s">
        <v>1621</v>
      </c>
      <c r="C890" s="23" t="s">
        <v>1622</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4647</v>
      </c>
      <c r="B891" s="22" t="s">
        <v>1621</v>
      </c>
      <c r="C891" s="23" t="s">
        <v>1622</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18067</v>
      </c>
      <c r="B892" s="22" t="s">
        <v>1621</v>
      </c>
      <c r="C892" s="23" t="s">
        <v>1622</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4617</v>
      </c>
      <c r="B893" s="22" t="s">
        <v>1621</v>
      </c>
      <c r="C893" s="23" t="s">
        <v>1622</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18068</v>
      </c>
      <c r="B894" s="22" t="s">
        <v>1621</v>
      </c>
      <c r="C894" s="23" t="s">
        <v>1622</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18069</v>
      </c>
      <c r="B895" s="22" t="s">
        <v>1621</v>
      </c>
      <c r="C895" s="23" t="s">
        <v>1622</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18070</v>
      </c>
      <c r="B896" s="22" t="s">
        <v>1621</v>
      </c>
      <c r="C896" s="23" t="s">
        <v>1622</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18071</v>
      </c>
      <c r="B897" s="22" t="s">
        <v>1719</v>
      </c>
      <c r="C897" s="23" t="s">
        <v>17864</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18072</v>
      </c>
      <c r="B898" s="22" t="s">
        <v>1719</v>
      </c>
      <c r="C898" s="23" t="s">
        <v>17864</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18073</v>
      </c>
      <c r="B899" s="22" t="s">
        <v>1719</v>
      </c>
      <c r="C899" s="23" t="s">
        <v>17864</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18074</v>
      </c>
      <c r="B900" s="22" t="s">
        <v>1719</v>
      </c>
      <c r="C900" s="23" t="s">
        <v>17864</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3985</v>
      </c>
      <c r="B901" s="22" t="s">
        <v>1719</v>
      </c>
      <c r="C901" s="23" t="s">
        <v>17864</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270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18075</v>
      </c>
      <c r="B902" s="22" t="s">
        <v>1719</v>
      </c>
      <c r="C902" s="23" t="s">
        <v>17864</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7100</v>
      </c>
      <c r="B903" s="22" t="s">
        <v>1719</v>
      </c>
      <c r="C903" s="23" t="s">
        <v>17864</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18076</v>
      </c>
      <c r="B904" s="22" t="s">
        <v>1719</v>
      </c>
      <c r="C904" s="23" t="s">
        <v>17864</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18077</v>
      </c>
      <c r="B905" s="22" t="s">
        <v>1719</v>
      </c>
      <c r="C905" s="23" t="s">
        <v>17864</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10858</v>
      </c>
      <c r="B906" s="22" t="s">
        <v>1719</v>
      </c>
      <c r="C906" s="23" t="s">
        <v>17864</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18078</v>
      </c>
      <c r="B907" s="22" t="s">
        <v>1719</v>
      </c>
      <c r="C907" s="23" t="s">
        <v>17864</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18079</v>
      </c>
      <c r="B908" s="22" t="s">
        <v>1719</v>
      </c>
      <c r="C908" s="23" t="s">
        <v>17864</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18080</v>
      </c>
      <c r="B909" s="22" t="s">
        <v>1719</v>
      </c>
      <c r="C909" s="23" t="s">
        <v>17864</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18081</v>
      </c>
      <c r="B910" s="22" t="s">
        <v>1719</v>
      </c>
      <c r="C910" s="23" t="s">
        <v>17864</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11626</v>
      </c>
      <c r="B911" s="22" t="s">
        <v>1719</v>
      </c>
      <c r="C911" s="23" t="s">
        <v>17864</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6541</v>
      </c>
      <c r="B912" s="22" t="s">
        <v>1719</v>
      </c>
      <c r="C912" s="23" t="s">
        <v>17864</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3944</v>
      </c>
      <c r="B913" s="22" t="s">
        <v>1719</v>
      </c>
      <c r="C913" s="23" t="s">
        <v>17864</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439.2</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11611</v>
      </c>
      <c r="B914" s="22" t="s">
        <v>1719</v>
      </c>
      <c r="C914" s="23" t="s">
        <v>17864</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18082</v>
      </c>
      <c r="B915" s="22" t="s">
        <v>1621</v>
      </c>
      <c r="C915" s="23" t="s">
        <v>1622</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5475</v>
      </c>
      <c r="B916" s="22" t="s">
        <v>1621</v>
      </c>
      <c r="C916" s="23" t="s">
        <v>1622</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18083</v>
      </c>
      <c r="B917" s="22" t="s">
        <v>1621</v>
      </c>
      <c r="C917" s="23" t="s">
        <v>1622</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18084</v>
      </c>
      <c r="B918" s="22" t="s">
        <v>1621</v>
      </c>
      <c r="C918" s="23" t="s">
        <v>1622</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18085</v>
      </c>
      <c r="B919" s="22" t="s">
        <v>1621</v>
      </c>
      <c r="C919" s="23" t="s">
        <v>1622</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13925</v>
      </c>
      <c r="B920" s="22" t="s">
        <v>1621</v>
      </c>
      <c r="C920" s="23" t="s">
        <v>1622</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13931</v>
      </c>
      <c r="B921" s="22" t="s">
        <v>1621</v>
      </c>
      <c r="C921" s="23" t="s">
        <v>1622</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18086</v>
      </c>
      <c r="B922" s="22" t="s">
        <v>1621</v>
      </c>
      <c r="C922" s="23" t="s">
        <v>1622</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18087</v>
      </c>
      <c r="B923" s="22" t="s">
        <v>1621</v>
      </c>
      <c r="C923" s="23" t="s">
        <v>1622</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18088</v>
      </c>
      <c r="B924" s="22" t="s">
        <v>1621</v>
      </c>
      <c r="C924" s="23" t="s">
        <v>1622</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18089</v>
      </c>
      <c r="B925" s="22" t="s">
        <v>1621</v>
      </c>
      <c r="C925" s="23" t="s">
        <v>1622</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18090</v>
      </c>
      <c r="B926" s="22" t="s">
        <v>1621</v>
      </c>
      <c r="C926" s="23" t="s">
        <v>1622</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10340</v>
      </c>
      <c r="B927" s="22" t="s">
        <v>1621</v>
      </c>
      <c r="C927" s="23" t="s">
        <v>1622</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11503</v>
      </c>
      <c r="B928" s="22" t="s">
        <v>1621</v>
      </c>
      <c r="C928" s="23" t="s">
        <v>1622</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18091</v>
      </c>
      <c r="B929" s="22" t="s">
        <v>1621</v>
      </c>
      <c r="C929" s="23" t="s">
        <v>1622</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18092</v>
      </c>
      <c r="B930" s="22" t="s">
        <v>1621</v>
      </c>
      <c r="C930" s="23" t="s">
        <v>1622</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18093</v>
      </c>
      <c r="B931" s="22" t="s">
        <v>1621</v>
      </c>
      <c r="C931" s="23" t="s">
        <v>1622</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18094</v>
      </c>
      <c r="B932" s="22" t="s">
        <v>1621</v>
      </c>
      <c r="C932" s="23" t="s">
        <v>1622</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2911</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31120</v>
      </c>
      <c r="F933" s="15" cm="1">
        <f t="array" ref="F933">SUM(IF((LEFT('2-1 采购订单物料明细表报表导出'!$K:$K,7)=F$1)*('2-1 采购订单物料明细表报表导出'!$D:$D=$A933),'2-1 采购订单物料明细表报表导出'!$H:$H,0))</f>
        <v>27426.97</v>
      </c>
      <c r="G933" s="15" cm="1">
        <f t="array" ref="G933">SUM(IF((LEFT('2-1 采购订单物料明细表报表导出'!$K:$K,7)=G$1)*('2-1 采购订单物料明细表报表导出'!$D:$D=$A933),'2-1 采购订单物料明细表报表导出'!$H:$H,0))</f>
        <v>179075.54</v>
      </c>
      <c r="H933" s="15" cm="1">
        <f t="array" ref="H933">SUM(IF((LEFT('2-1 采购订单物料明细表报表导出'!$K:$K,7)=H$1)*('2-1 采购订单物料明细表报表导出'!$D:$D=$A933),'2-1 采购订单物料明细表报表导出'!$H:$H,0))</f>
        <v>92359.73</v>
      </c>
      <c r="I933" s="15" cm="1">
        <f t="array" ref="I933">SUM(IF((LEFT('2-1 采购订单物料明细表报表导出'!$K:$K,7)=I$1)*('2-1 采购订单物料明细表报表导出'!$D:$D=$A933),'2-1 采购订单物料明细表报表导出'!$H:$H,0))</f>
        <v>133381.24</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18095</v>
      </c>
      <c r="B934" s="10"/>
      <c r="C934" s="27" t="s">
        <v>17625</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18096</v>
      </c>
      <c r="B935" s="18" t="s">
        <v>2128</v>
      </c>
      <c r="C935" s="19" t="s">
        <v>2129</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18097</v>
      </c>
      <c r="B936" s="18" t="s">
        <v>2128</v>
      </c>
      <c r="C936" s="19" t="s">
        <v>2129</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18098</v>
      </c>
      <c r="B937" s="18" t="s">
        <v>2128</v>
      </c>
      <c r="C937" s="19" t="s">
        <v>2129</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18099</v>
      </c>
      <c r="B938" s="18" t="s">
        <v>2128</v>
      </c>
      <c r="C938" s="19" t="s">
        <v>2129</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18100</v>
      </c>
      <c r="B939" s="18" t="s">
        <v>2128</v>
      </c>
      <c r="C939" s="19" t="s">
        <v>2129</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18101</v>
      </c>
      <c r="B940" s="18" t="s">
        <v>2128</v>
      </c>
      <c r="C940" s="19" t="s">
        <v>2129</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18102</v>
      </c>
      <c r="B941" s="18" t="s">
        <v>2128</v>
      </c>
      <c r="C941" s="19" t="s">
        <v>2129</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18103</v>
      </c>
      <c r="B942" s="18" t="s">
        <v>2128</v>
      </c>
      <c r="C942" s="19" t="s">
        <v>2129</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18104</v>
      </c>
      <c r="B943" s="18" t="s">
        <v>2128</v>
      </c>
      <c r="C943" s="19" t="s">
        <v>2129</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18105</v>
      </c>
      <c r="B944" s="18" t="s">
        <v>2128</v>
      </c>
      <c r="C944" s="19" t="s">
        <v>2129</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18106</v>
      </c>
      <c r="B945" s="18" t="s">
        <v>2128</v>
      </c>
      <c r="C945" s="19" t="s">
        <v>2129</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18107</v>
      </c>
      <c r="B946" s="18" t="s">
        <v>2128</v>
      </c>
      <c r="C946" s="19" t="s">
        <v>2129</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18108</v>
      </c>
      <c r="B947" s="18" t="s">
        <v>2128</v>
      </c>
      <c r="C947" s="19" t="s">
        <v>2129</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18109</v>
      </c>
      <c r="B948" s="18" t="s">
        <v>2128</v>
      </c>
      <c r="C948" s="19" t="s">
        <v>2129</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18110</v>
      </c>
      <c r="B949" s="18" t="s">
        <v>2128</v>
      </c>
      <c r="C949" s="19" t="s">
        <v>2129</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18111</v>
      </c>
      <c r="B950" s="18" t="s">
        <v>2128</v>
      </c>
      <c r="C950" s="19" t="s">
        <v>2129</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18112</v>
      </c>
      <c r="B951" s="18" t="s">
        <v>2128</v>
      </c>
      <c r="C951" s="19" t="s">
        <v>2129</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18113</v>
      </c>
      <c r="B952" s="18" t="s">
        <v>2128</v>
      </c>
      <c r="C952" s="19" t="s">
        <v>2129</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topLeftCell="A100" workbookViewId="0">
      <selection activeCell="C16" sqref="C16"/>
    </sheetView>
  </sheetViews>
  <sheetFormatPr defaultColWidth="9" defaultRowHeight="13.5"/>
  <cols>
    <col min="1" max="1" width="25.375" customWidth="1"/>
    <col min="2" max="2" width="15" customWidth="1"/>
    <col min="3" max="14" width="12.625"/>
  </cols>
  <sheetData>
    <row r="1" spans="1:14">
      <c r="A1" t="s">
        <v>18160</v>
      </c>
      <c r="C1" t="s">
        <v>759</v>
      </c>
      <c r="D1" t="s">
        <v>760</v>
      </c>
      <c r="E1" t="s">
        <v>761</v>
      </c>
      <c r="F1" t="s">
        <v>762</v>
      </c>
      <c r="G1" t="s">
        <v>763</v>
      </c>
      <c r="H1" t="s">
        <v>764</v>
      </c>
      <c r="I1" t="s">
        <v>765</v>
      </c>
      <c r="J1" t="s">
        <v>766</v>
      </c>
      <c r="K1" t="s">
        <v>767</v>
      </c>
      <c r="L1" t="s">
        <v>768</v>
      </c>
      <c r="M1" t="s">
        <v>769</v>
      </c>
      <c r="N1" t="s">
        <v>770</v>
      </c>
    </row>
    <row r="2" spans="1:14">
      <c r="A2" t="s">
        <v>18161</v>
      </c>
      <c r="B2" t="s">
        <v>18150</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18161</v>
      </c>
      <c r="B3" t="s">
        <v>18151</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18161</v>
      </c>
      <c r="B4" t="s">
        <v>18152</v>
      </c>
      <c r="C4" cm="1">
        <f t="array" ref="C4">INDEX('2 过程管理表单'!$8:$8,24+(COLUMN(A1)-1)*3)</f>
        <v>1188375.96548265</v>
      </c>
      <c r="D4" cm="1">
        <f t="array" ref="D4">INDEX('2 过程管理表单'!$8:$8,24+(COLUMN(B1)-1)*3)</f>
        <v>1188375.96548265</v>
      </c>
      <c r="E4" cm="1">
        <f t="array" ref="E4">INDEX('2 过程管理表单'!$8:$8,24+(COLUMN(C1)-1)*3)</f>
        <v>1188375.96548265</v>
      </c>
      <c r="F4" cm="1">
        <f t="array" ref="F4">INDEX('2 过程管理表单'!$8:$8,24+(COLUMN(D1)-1)*3)</f>
        <v>1188375.96548265</v>
      </c>
      <c r="G4" cm="1">
        <f t="array" ref="G4">INDEX('2 过程管理表单'!$8:$8,24+(COLUMN(E1)-1)*3)</f>
        <v>1188375.96548265</v>
      </c>
      <c r="H4" cm="1">
        <f t="array" ref="H4">INDEX('2 过程管理表单'!$8:$8,24+(COLUMN(F1)-1)*3)</f>
        <v>1188375.96548265</v>
      </c>
      <c r="I4" cm="1">
        <f t="array" ref="I4">INDEX('2 过程管理表单'!$8:$8,24+(COLUMN(G1)-1)*3)</f>
        <v>1188375.96548265</v>
      </c>
      <c r="J4" cm="1">
        <f t="array" ref="J4">INDEX('2 过程管理表单'!$8:$8,24+(COLUMN(H1)-1)*3)</f>
        <v>1188375.96548265</v>
      </c>
      <c r="K4" cm="1">
        <f t="array" ref="K4">INDEX('2 过程管理表单'!$8:$8,24+(COLUMN(I1)-1)*3)</f>
        <v>1188375.96548265</v>
      </c>
      <c r="L4" cm="1">
        <f t="array" ref="L4">INDEX('2 过程管理表单'!$8:$8,24+(COLUMN(J1)-1)*3)</f>
        <v>1188375.96548265</v>
      </c>
      <c r="M4" cm="1">
        <f t="array" ref="M4">INDEX('2 过程管理表单'!$8:$8,24+(COLUMN(K1)-1)*3)</f>
        <v>1188375.96548265</v>
      </c>
      <c r="N4" cm="1">
        <f t="array" ref="N4">INDEX('2 过程管理表单'!$8:$8,24+(COLUMN(L1)-1)*3)</f>
        <v>1188375.96548265</v>
      </c>
    </row>
    <row r="5" spans="1:14">
      <c r="A5" t="s">
        <v>18161</v>
      </c>
      <c r="B5" t="s">
        <v>18153</v>
      </c>
      <c r="C5">
        <f t="shared" si="0"/>
        <v>1188375.96548265</v>
      </c>
      <c r="D5">
        <f t="shared" ref="D5:N5" si="2">C5+D4</f>
        <v>2376751.9309653</v>
      </c>
      <c r="E5">
        <f t="shared" si="2"/>
        <v>3565127.89644795</v>
      </c>
      <c r="F5">
        <f t="shared" si="2"/>
        <v>4753503.8619306</v>
      </c>
      <c r="G5">
        <f t="shared" si="2"/>
        <v>5941879.82741325</v>
      </c>
      <c r="H5">
        <f t="shared" si="2"/>
        <v>7130255.7928959</v>
      </c>
      <c r="I5">
        <f t="shared" si="2"/>
        <v>8318631.75837855</v>
      </c>
      <c r="J5">
        <f t="shared" si="2"/>
        <v>9507007.7238612</v>
      </c>
      <c r="K5">
        <f t="shared" si="2"/>
        <v>10695383.6893439</v>
      </c>
      <c r="L5">
        <f t="shared" si="2"/>
        <v>11883759.6548265</v>
      </c>
      <c r="M5">
        <f t="shared" si="2"/>
        <v>13072135.6203092</v>
      </c>
      <c r="N5">
        <f t="shared" si="2"/>
        <v>14260511.5857918</v>
      </c>
    </row>
    <row r="6" spans="1:14">
      <c r="A6" t="s">
        <v>18162</v>
      </c>
      <c r="B6" t="s">
        <v>18150</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18162</v>
      </c>
      <c r="B7" t="s">
        <v>18151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18162</v>
      </c>
      <c r="B8" t="s">
        <v>18152</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18162</v>
      </c>
      <c r="B9" t="s">
        <v>18153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18163</v>
      </c>
      <c r="B10" t="s">
        <v>18150</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18163</v>
      </c>
      <c r="B11" t="s">
        <v>18151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18163</v>
      </c>
      <c r="B12" t="s">
        <v>18152</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18163</v>
      </c>
      <c r="B13" t="s">
        <v>18153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18164</v>
      </c>
      <c r="B14" t="s">
        <v>18150</v>
      </c>
      <c r="C14">
        <v>0</v>
      </c>
      <c r="D14">
        <v>0</v>
      </c>
      <c r="E14">
        <v>0</v>
      </c>
      <c r="F14">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18164</v>
      </c>
      <c r="B15" t="s">
        <v>18151</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18164</v>
      </c>
      <c r="B16" t="s">
        <v>18152</v>
      </c>
      <c r="C16" cm="1">
        <f t="array" ref="C16">INDEX('2 过程管理表单'!$27:$27,24+(COLUMN(A1)-1)*3)</f>
        <v>568218.79</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18164</v>
      </c>
      <c r="B17" t="s">
        <v>18153</v>
      </c>
      <c r="C17">
        <f t="shared" si="8"/>
        <v>568218.79</v>
      </c>
      <c r="D17">
        <f t="shared" ref="D17:N17" si="10">C17+D16</f>
        <v>568218.79</v>
      </c>
      <c r="E17">
        <f t="shared" si="10"/>
        <v>568218.79</v>
      </c>
      <c r="F17">
        <f t="shared" si="10"/>
        <v>568218.79</v>
      </c>
      <c r="G17">
        <f t="shared" si="10"/>
        <v>568218.79</v>
      </c>
      <c r="H17">
        <f t="shared" si="10"/>
        <v>568218.79</v>
      </c>
      <c r="I17">
        <f t="shared" si="10"/>
        <v>568218.79</v>
      </c>
      <c r="J17">
        <f t="shared" si="10"/>
        <v>568218.79</v>
      </c>
      <c r="K17">
        <f t="shared" si="10"/>
        <v>568218.79</v>
      </c>
      <c r="L17">
        <f t="shared" si="10"/>
        <v>568218.79</v>
      </c>
      <c r="M17">
        <f t="shared" si="10"/>
        <v>568218.79</v>
      </c>
      <c r="N17">
        <f t="shared" si="10"/>
        <v>568218.79</v>
      </c>
    </row>
    <row r="18" spans="1:14">
      <c r="A18" t="s">
        <v>18165</v>
      </c>
      <c r="B18" t="s">
        <v>18150</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18165</v>
      </c>
      <c r="B19" t="s">
        <v>18151</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18165</v>
      </c>
      <c r="B20" t="s">
        <v>18152</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18165</v>
      </c>
      <c r="B21" t="s">
        <v>18153</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18166</v>
      </c>
      <c r="B22" t="s">
        <v>18150</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18166</v>
      </c>
      <c r="B23" t="s">
        <v>18151</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18166</v>
      </c>
      <c r="B24" t="s">
        <v>18152</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18166</v>
      </c>
      <c r="B25" t="s">
        <v>18153</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18167</v>
      </c>
      <c r="B26" t="s">
        <v>18150</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18167</v>
      </c>
      <c r="B27" t="s">
        <v>18151</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18167</v>
      </c>
      <c r="B28" t="s">
        <v>18152</v>
      </c>
      <c r="C28" cm="1">
        <f t="array" ref="C28">INDEX('2 过程管理表单'!$46:$46,24+(COLUMN(A1)-1)*3)</f>
        <v>186226</v>
      </c>
      <c r="D28" cm="1">
        <f t="array" ref="D28">INDEX('2 过程管理表单'!$46:$46,24+(COLUMN(B1)-1)*3)</f>
        <v>77414</v>
      </c>
      <c r="E28" cm="1">
        <f t="array" ref="E28">INDEX('2 过程管理表单'!$46:$46,24+(COLUMN(C1)-1)*3)</f>
        <v>77414</v>
      </c>
      <c r="F28" cm="1">
        <f t="array" ref="F28">INDEX('2 过程管理表单'!$46:$46,24+(COLUMN(D1)-1)*3)</f>
        <v>77414</v>
      </c>
      <c r="G28" cm="1">
        <f t="array" ref="G28">INDEX('2 过程管理表单'!$46:$46,24+(COLUMN(E1)-1)*3)</f>
        <v>77414</v>
      </c>
      <c r="H28" cm="1">
        <f t="array" ref="H28">INDEX('2 过程管理表单'!$46:$46,24+(COLUMN(F1)-1)*3)</f>
        <v>77414</v>
      </c>
      <c r="I28" cm="1">
        <f t="array" ref="I28">INDEX('2 过程管理表单'!$46:$46,24+(COLUMN(G1)-1)*3)</f>
        <v>77414</v>
      </c>
      <c r="J28" cm="1">
        <f t="array" ref="J28">INDEX('2 过程管理表单'!$46:$46,24+(COLUMN(H1)-1)*3)</f>
        <v>77414</v>
      </c>
      <c r="K28" cm="1">
        <f t="array" ref="K28">INDEX('2 过程管理表单'!$46:$46,24+(COLUMN(I1)-1)*3)</f>
        <v>77414</v>
      </c>
      <c r="L28" cm="1">
        <f t="array" ref="L28">INDEX('2 过程管理表单'!$46:$46,24+(COLUMN(J1)-1)*3)</f>
        <v>77414</v>
      </c>
      <c r="M28" cm="1">
        <f t="array" ref="M28">INDEX('2 过程管理表单'!$46:$46,24+(COLUMN(K1)-1)*3)</f>
        <v>77414</v>
      </c>
      <c r="N28" cm="1">
        <f t="array" ref="N28">INDEX('2 过程管理表单'!$46:$46,24+(COLUMN(L1)-1)*3)</f>
        <v>77414</v>
      </c>
    </row>
    <row r="29" spans="1:14">
      <c r="A29" t="s">
        <v>18167</v>
      </c>
      <c r="B29" t="s">
        <v>18153</v>
      </c>
      <c r="C29">
        <f t="shared" si="16"/>
        <v>186226</v>
      </c>
      <c r="D29">
        <f t="shared" ref="D29:N29" si="18">C29+D28</f>
        <v>263640</v>
      </c>
      <c r="E29">
        <f t="shared" si="18"/>
        <v>341054</v>
      </c>
      <c r="F29">
        <f t="shared" si="18"/>
        <v>418468</v>
      </c>
      <c r="G29">
        <f t="shared" si="18"/>
        <v>495882</v>
      </c>
      <c r="H29">
        <f t="shared" si="18"/>
        <v>573296</v>
      </c>
      <c r="I29">
        <f t="shared" si="18"/>
        <v>650710</v>
      </c>
      <c r="J29">
        <f t="shared" si="18"/>
        <v>728124</v>
      </c>
      <c r="K29">
        <f t="shared" si="18"/>
        <v>805538</v>
      </c>
      <c r="L29">
        <f t="shared" si="18"/>
        <v>882952</v>
      </c>
      <c r="M29">
        <f t="shared" si="18"/>
        <v>960366</v>
      </c>
      <c r="N29">
        <f t="shared" si="18"/>
        <v>1037780</v>
      </c>
    </row>
    <row r="30" spans="1:14">
      <c r="A30" t="s">
        <v>18168</v>
      </c>
      <c r="B30" t="s">
        <v>18150</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18168</v>
      </c>
      <c r="B31" t="s">
        <v>18151</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18168</v>
      </c>
      <c r="B32" t="s">
        <v>18152</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18168</v>
      </c>
      <c r="B33" t="s">
        <v>18153</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18169</v>
      </c>
      <c r="B34" t="s">
        <v>18150</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529854.026086956</v>
      </c>
      <c r="G34" cm="1">
        <f t="array" ref="G34">INDEX('2 过程管理表单'!$58:$58,26+(COLUMN(E1)-1)*3)</f>
        <v>547515.826956522</v>
      </c>
      <c r="H34" cm="1">
        <f t="array" ref="H34">INDEX('2 过程管理表单'!$58:$58,26+(COLUMN(F1)-1)*3)</f>
        <v>529854.026086956</v>
      </c>
      <c r="I34" cm="1">
        <f t="array" ref="I34">INDEX('2 过程管理表单'!$58:$58,26+(COLUMN(G1)-1)*3)</f>
        <v>547515.826956522</v>
      </c>
      <c r="J34" cm="1">
        <f t="array" ref="J34">INDEX('2 过程管理表单'!$58:$58,26+(COLUMN(H1)-1)*3)</f>
        <v>547515.826956522</v>
      </c>
      <c r="K34" cm="1">
        <f t="array" ref="K34">INDEX('2 过程管理表单'!$58:$58,26+(COLUMN(I1)-1)*3)</f>
        <v>529854.026086956</v>
      </c>
      <c r="L34" cm="1">
        <f t="array" ref="L34">INDEX('2 过程管理表单'!$58:$58,26+(COLUMN(J1)-1)*3)</f>
        <v>547515.826956522</v>
      </c>
      <c r="M34" cm="1">
        <f t="array" ref="M34">INDEX('2 过程管理表单'!$58:$58,26+(COLUMN(K1)-1)*3)</f>
        <v>529854.026086956</v>
      </c>
      <c r="N34" cm="1">
        <f t="array" ref="N34">INDEX('2 过程管理表单'!$58:$58,26+(COLUMN(L1)-1)*3)</f>
        <v>547515.826956522</v>
      </c>
    </row>
    <row r="35" spans="1:14">
      <c r="A35" t="s">
        <v>18169</v>
      </c>
      <c r="B35" t="s">
        <v>18151</v>
      </c>
      <c r="C35">
        <f t="shared" si="20"/>
        <v>0</v>
      </c>
      <c r="D35">
        <f t="shared" ref="D35:N35" si="22">C35+D34</f>
        <v>0</v>
      </c>
      <c r="E35">
        <f t="shared" si="22"/>
        <v>0</v>
      </c>
      <c r="F35">
        <f t="shared" si="22"/>
        <v>529854.026086956</v>
      </c>
      <c r="G35">
        <f t="shared" si="22"/>
        <v>1077369.85304348</v>
      </c>
      <c r="H35">
        <f t="shared" si="22"/>
        <v>1607223.87913043</v>
      </c>
      <c r="I35">
        <f t="shared" si="22"/>
        <v>2154739.70608696</v>
      </c>
      <c r="J35">
        <f t="shared" si="22"/>
        <v>2702255.53304348</v>
      </c>
      <c r="K35">
        <f t="shared" si="22"/>
        <v>3232109.55913043</v>
      </c>
      <c r="L35">
        <f t="shared" si="22"/>
        <v>3779625.38608696</v>
      </c>
      <c r="M35">
        <f t="shared" si="22"/>
        <v>4309479.41217391</v>
      </c>
      <c r="N35">
        <f t="shared" si="22"/>
        <v>4856995.23913043</v>
      </c>
    </row>
    <row r="36" spans="1:14">
      <c r="A36" t="s">
        <v>18169</v>
      </c>
      <c r="B36" t="s">
        <v>18152</v>
      </c>
      <c r="C36" cm="1">
        <f t="array" ref="C36">INDEX('2 过程管理表单'!$58:$58,24+(COLUMN(A1)-1)*3)</f>
        <v>486942.457861635</v>
      </c>
      <c r="D36" cm="1">
        <f t="array" ref="D36">INDEX('2 过程管理表单'!$58:$58,24+(COLUMN(B1)-1)*3)</f>
        <v>486942.457861635</v>
      </c>
      <c r="E36" cm="1">
        <f t="array" ref="E36">INDEX('2 过程管理表单'!$58:$58,24+(COLUMN(C1)-1)*3)</f>
        <v>486942.457861635</v>
      </c>
      <c r="F36" cm="1">
        <f t="array" ref="F36">INDEX('2 过程管理表单'!$58:$58,24+(COLUMN(D1)-1)*3)</f>
        <v>486942.457861635</v>
      </c>
      <c r="G36" cm="1">
        <f t="array" ref="G36">INDEX('2 过程管理表单'!$58:$58,24+(COLUMN(E1)-1)*3)</f>
        <v>486942.457861635</v>
      </c>
      <c r="H36" cm="1">
        <f t="array" ref="H36">INDEX('2 过程管理表单'!$58:$58,24+(COLUMN(F1)-1)*3)</f>
        <v>486942.457861635</v>
      </c>
      <c r="I36" cm="1">
        <f t="array" ref="I36">INDEX('2 过程管理表单'!$58:$58,24+(COLUMN(G1)-1)*3)</f>
        <v>486942.457861635</v>
      </c>
      <c r="J36" cm="1">
        <f t="array" ref="J36">INDEX('2 过程管理表单'!$58:$58,24+(COLUMN(H1)-1)*3)</f>
        <v>486942.457861635</v>
      </c>
      <c r="K36" cm="1">
        <f t="array" ref="K36">INDEX('2 过程管理表单'!$58:$58,24+(COLUMN(I1)-1)*3)</f>
        <v>486942.457861635</v>
      </c>
      <c r="L36" cm="1">
        <f t="array" ref="L36">INDEX('2 过程管理表单'!$58:$58,24+(COLUMN(J1)-1)*3)</f>
        <v>486942.457861635</v>
      </c>
      <c r="M36" cm="1">
        <f t="array" ref="M36">INDEX('2 过程管理表单'!$58:$58,24+(COLUMN(K1)-1)*3)</f>
        <v>486942.457861635</v>
      </c>
      <c r="N36" cm="1">
        <f t="array" ref="N36">INDEX('2 过程管理表单'!$58:$58,24+(COLUMN(L1)-1)*3)</f>
        <v>486942.457861635</v>
      </c>
    </row>
    <row r="37" spans="1:14">
      <c r="A37" t="s">
        <v>18169</v>
      </c>
      <c r="B37" t="s">
        <v>18153</v>
      </c>
      <c r="C37">
        <f t="shared" si="20"/>
        <v>486942.457861635</v>
      </c>
      <c r="D37">
        <f t="shared" ref="D37:N37" si="23">C37+D36</f>
        <v>973884.91572327</v>
      </c>
      <c r="E37">
        <f t="shared" si="23"/>
        <v>1460827.37358491</v>
      </c>
      <c r="F37">
        <f t="shared" si="23"/>
        <v>1947769.83144654</v>
      </c>
      <c r="G37">
        <f t="shared" si="23"/>
        <v>2434712.28930817</v>
      </c>
      <c r="H37">
        <f t="shared" si="23"/>
        <v>2921654.74716981</v>
      </c>
      <c r="I37">
        <f t="shared" si="23"/>
        <v>3408597.20503144</v>
      </c>
      <c r="J37">
        <f t="shared" si="23"/>
        <v>3895539.66289308</v>
      </c>
      <c r="K37">
        <f t="shared" si="23"/>
        <v>4382482.12075472</v>
      </c>
      <c r="L37">
        <f t="shared" si="23"/>
        <v>4869424.57861635</v>
      </c>
      <c r="M37">
        <f t="shared" si="23"/>
        <v>5356367.03647798</v>
      </c>
      <c r="N37">
        <f t="shared" si="23"/>
        <v>5843309.49433962</v>
      </c>
    </row>
    <row r="38" spans="1:14">
      <c r="A38" t="s">
        <v>18170</v>
      </c>
      <c r="B38" t="s">
        <v>18150</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18170</v>
      </c>
      <c r="B39" t="s">
        <v>18151</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18170</v>
      </c>
      <c r="B40" t="s">
        <v>18152</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18170</v>
      </c>
      <c r="B41" t="s">
        <v>18153</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18171</v>
      </c>
      <c r="B42" t="s">
        <v>18150</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18171</v>
      </c>
      <c r="B43" t="s">
        <v>18151</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18171</v>
      </c>
      <c r="B44" t="s">
        <v>18152</v>
      </c>
      <c r="C44" cm="1">
        <f t="array" ref="C44">INDEX('2 过程管理表单'!$71:$71,24+(COLUMN(A1)-1)*3)</f>
        <v>180961.46</v>
      </c>
      <c r="D44" cm="1">
        <f t="array" ref="D44">INDEX('2 过程管理表单'!$71:$71,24+(COLUMN(B1)-1)*3)</f>
        <v>180961.46</v>
      </c>
      <c r="E44" cm="1">
        <f t="array" ref="E44">INDEX('2 过程管理表单'!$71:$71,24+(COLUMN(C1)-1)*3)</f>
        <v>180961.46</v>
      </c>
      <c r="F44" cm="1">
        <f t="array" ref="F44">INDEX('2 过程管理表单'!$71:$71,24+(COLUMN(D1)-1)*3)</f>
        <v>180961.46</v>
      </c>
      <c r="G44" cm="1">
        <f t="array" ref="G44">INDEX('2 过程管理表单'!$71:$71,24+(COLUMN(E1)-1)*3)</f>
        <v>180961.46</v>
      </c>
      <c r="H44" cm="1">
        <f t="array" ref="H44">INDEX('2 过程管理表单'!$71:$71,24+(COLUMN(F1)-1)*3)</f>
        <v>180961.46</v>
      </c>
      <c r="I44" cm="1">
        <f t="array" ref="I44">INDEX('2 过程管理表单'!$71:$71,24+(COLUMN(G1)-1)*3)</f>
        <v>180961.46</v>
      </c>
      <c r="J44" cm="1">
        <f t="array" ref="J44">INDEX('2 过程管理表单'!$71:$71,24+(COLUMN(H1)-1)*3)</f>
        <v>180961.46</v>
      </c>
      <c r="K44" cm="1">
        <f t="array" ref="K44">INDEX('2 过程管理表单'!$71:$71,24+(COLUMN(I1)-1)*3)</f>
        <v>180961.46</v>
      </c>
      <c r="L44" cm="1">
        <f t="array" ref="L44">INDEX('2 过程管理表单'!$71:$71,24+(COLUMN(J1)-1)*3)</f>
        <v>180961.46</v>
      </c>
      <c r="M44" cm="1">
        <f t="array" ref="M44">INDEX('2 过程管理表单'!$71:$71,24+(COLUMN(K1)-1)*3)</f>
        <v>180961.46</v>
      </c>
      <c r="N44" cm="1">
        <f t="array" ref="N44">INDEX('2 过程管理表单'!$71:$71,24+(COLUMN(L1)-1)*3)</f>
        <v>180961.46</v>
      </c>
    </row>
    <row r="45" spans="1:14">
      <c r="A45" t="s">
        <v>18171</v>
      </c>
      <c r="B45" t="s">
        <v>18153</v>
      </c>
      <c r="C45">
        <f t="shared" ref="C45:C49" si="28">C44</f>
        <v>180961.46</v>
      </c>
      <c r="D45">
        <f t="shared" ref="D45:N45" si="29">C45+D44</f>
        <v>361922.92</v>
      </c>
      <c r="E45">
        <f t="shared" si="29"/>
        <v>542884.38</v>
      </c>
      <c r="F45">
        <f t="shared" si="29"/>
        <v>723845.84</v>
      </c>
      <c r="G45">
        <f t="shared" si="29"/>
        <v>904807.3</v>
      </c>
      <c r="H45">
        <f t="shared" si="29"/>
        <v>1085768.76</v>
      </c>
      <c r="I45">
        <f t="shared" si="29"/>
        <v>1266730.22</v>
      </c>
      <c r="J45">
        <f t="shared" si="29"/>
        <v>1447691.68</v>
      </c>
      <c r="K45">
        <f t="shared" si="29"/>
        <v>1628653.14</v>
      </c>
      <c r="L45">
        <f t="shared" si="29"/>
        <v>1809614.6</v>
      </c>
      <c r="M45">
        <f t="shared" si="29"/>
        <v>1990576.06</v>
      </c>
      <c r="N45">
        <f t="shared" si="29"/>
        <v>2171537.52</v>
      </c>
    </row>
    <row r="46" spans="1:14">
      <c r="A46" t="s">
        <v>18172</v>
      </c>
      <c r="B46" t="s">
        <v>18150</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18172</v>
      </c>
      <c r="B47" t="s">
        <v>18151</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18172</v>
      </c>
      <c r="B48" t="s">
        <v>18152</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18172</v>
      </c>
      <c r="B49" t="s">
        <v>18153</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18173</v>
      </c>
      <c r="B50" t="s">
        <v>18150</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18173</v>
      </c>
      <c r="B51" t="s">
        <v>18151</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18173</v>
      </c>
      <c r="B52" t="s">
        <v>18152</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18173</v>
      </c>
      <c r="B53" t="s">
        <v>18153</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18174</v>
      </c>
      <c r="B54" t="s">
        <v>18150</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18174</v>
      </c>
      <c r="B55" t="s">
        <v>18151</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18174</v>
      </c>
      <c r="B56" t="s">
        <v>18152</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18174</v>
      </c>
      <c r="B57" t="s">
        <v>18153</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18175</v>
      </c>
      <c r="B58" t="s">
        <v>18150</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18175</v>
      </c>
      <c r="B59" t="s">
        <v>18151</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18175</v>
      </c>
      <c r="B60" t="s">
        <v>18152</v>
      </c>
      <c r="C60" cm="1">
        <f t="array" ref="C60">INDEX('2 过程管理表单'!$96:$96,24+(COLUMN(A1)-1)*3)</f>
        <v>39976.9</v>
      </c>
      <c r="D60" cm="1">
        <f t="array" ref="D60">INDEX('2 过程管理表单'!$96:$96,24+(COLUMN(B1)-1)*3)</f>
        <v>39976.9</v>
      </c>
      <c r="E60" cm="1">
        <f t="array" ref="E60">INDEX('2 过程管理表单'!$96:$96,24+(COLUMN(C1)-1)*3)</f>
        <v>39976.9</v>
      </c>
      <c r="F60" cm="1">
        <f t="array" ref="F60">INDEX('2 过程管理表单'!$96:$96,24+(COLUMN(D1)-1)*3)</f>
        <v>39976.9</v>
      </c>
      <c r="G60" cm="1">
        <f t="array" ref="G60">INDEX('2 过程管理表单'!$96:$96,24+(COLUMN(E1)-1)*3)</f>
        <v>39976.9</v>
      </c>
      <c r="H60" cm="1">
        <f t="array" ref="H60">INDEX('2 过程管理表单'!$96:$96,24+(COLUMN(F1)-1)*3)</f>
        <v>39976.9</v>
      </c>
      <c r="I60" cm="1">
        <f t="array" ref="I60">INDEX('2 过程管理表单'!$96:$96,24+(COLUMN(G1)-1)*3)</f>
        <v>39976.9</v>
      </c>
      <c r="J60" cm="1">
        <f t="array" ref="J60">INDEX('2 过程管理表单'!$96:$96,24+(COLUMN(H1)-1)*3)</f>
        <v>39976.9</v>
      </c>
      <c r="K60" cm="1">
        <f t="array" ref="K60">INDEX('2 过程管理表单'!$96:$96,24+(COLUMN(I1)-1)*3)</f>
        <v>39976.9</v>
      </c>
      <c r="L60" cm="1">
        <f t="array" ref="L60">INDEX('2 过程管理表单'!$96:$96,24+(COLUMN(J1)-1)*3)</f>
        <v>39976.9</v>
      </c>
      <c r="M60" cm="1">
        <f t="array" ref="M60">INDEX('2 过程管理表单'!$96:$96,24+(COLUMN(K1)-1)*3)</f>
        <v>39976.9</v>
      </c>
      <c r="N60" cm="1">
        <f t="array" ref="N60">INDEX('2 过程管理表单'!$96:$96,24+(COLUMN(L1)-1)*3)</f>
        <v>39976.9</v>
      </c>
    </row>
    <row r="61" spans="1:14">
      <c r="A61" t="s">
        <v>18175</v>
      </c>
      <c r="B61" t="s">
        <v>18153</v>
      </c>
      <c r="C61">
        <f t="shared" si="36"/>
        <v>39976.9</v>
      </c>
      <c r="D61">
        <f t="shared" ref="D61:N61" si="39">C61+D60</f>
        <v>79953.8</v>
      </c>
      <c r="E61">
        <f t="shared" si="39"/>
        <v>119930.7</v>
      </c>
      <c r="F61">
        <f t="shared" si="39"/>
        <v>159907.6</v>
      </c>
      <c r="G61">
        <f t="shared" si="39"/>
        <v>199884.5</v>
      </c>
      <c r="H61">
        <f t="shared" si="39"/>
        <v>239861.4</v>
      </c>
      <c r="I61">
        <f t="shared" si="39"/>
        <v>279838.3</v>
      </c>
      <c r="J61">
        <f t="shared" si="39"/>
        <v>319815.2</v>
      </c>
      <c r="K61">
        <f t="shared" si="39"/>
        <v>359792.1</v>
      </c>
      <c r="L61">
        <f t="shared" si="39"/>
        <v>399769</v>
      </c>
      <c r="M61">
        <f t="shared" si="39"/>
        <v>439745.9</v>
      </c>
      <c r="N61">
        <f t="shared" si="39"/>
        <v>479722.8</v>
      </c>
    </row>
    <row r="62" spans="1:14">
      <c r="A62" t="s">
        <v>18176</v>
      </c>
      <c r="B62" t="s">
        <v>18150</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18176</v>
      </c>
      <c r="B63" t="s">
        <v>18151</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18176</v>
      </c>
      <c r="B64" t="s">
        <v>18152</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18176</v>
      </c>
      <c r="B65" t="s">
        <v>18153</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18177</v>
      </c>
      <c r="B66" t="s">
        <v>18150</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18177</v>
      </c>
      <c r="B67" t="s">
        <v>18151</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18177</v>
      </c>
      <c r="B68" t="s">
        <v>18152</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18177</v>
      </c>
      <c r="B69" t="s">
        <v>18153</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18178</v>
      </c>
      <c r="B70" t="s">
        <v>18150</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18178</v>
      </c>
      <c r="B71" t="s">
        <v>18151</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18178</v>
      </c>
      <c r="B72" t="s">
        <v>18152</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18178</v>
      </c>
      <c r="B73" t="s">
        <v>18153</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18179</v>
      </c>
      <c r="B74" t="s">
        <v>18150</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18179</v>
      </c>
      <c r="B75" t="s">
        <v>18151</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18179</v>
      </c>
      <c r="B76" t="s">
        <v>18152</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18179</v>
      </c>
      <c r="B77" t="s">
        <v>18153</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18180</v>
      </c>
      <c r="B78" t="s">
        <v>18150</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18180</v>
      </c>
      <c r="B79" t="s">
        <v>18151</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18180</v>
      </c>
      <c r="B80" t="s">
        <v>18152</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18180</v>
      </c>
      <c r="B81" t="s">
        <v>18153</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18181</v>
      </c>
      <c r="B82" t="s">
        <v>18150</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18181</v>
      </c>
      <c r="B83" t="s">
        <v>18151</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18181</v>
      </c>
      <c r="B84" t="s">
        <v>18152</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18181</v>
      </c>
      <c r="B85" t="s">
        <v>18153</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18182</v>
      </c>
      <c r="B86" t="s">
        <v>18150</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18182</v>
      </c>
      <c r="B87" t="s">
        <v>18151</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18182</v>
      </c>
      <c r="B88" t="s">
        <v>18152</v>
      </c>
      <c r="C88" cm="1">
        <f t="array" ref="C88">INDEX('2 过程管理表单'!$140:$140,24+(COLUMN(A1)-1)*3)</f>
        <v>25000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18182</v>
      </c>
      <c r="B89" t="s">
        <v>18153</v>
      </c>
      <c r="C89">
        <f t="shared" si="56"/>
        <v>25000</v>
      </c>
      <c r="D89">
        <f t="shared" ref="D89:N89" si="58">C89+D88</f>
        <v>25000</v>
      </c>
      <c r="E89">
        <f t="shared" si="58"/>
        <v>25000</v>
      </c>
      <c r="F89">
        <f t="shared" si="58"/>
        <v>25000</v>
      </c>
      <c r="G89">
        <f t="shared" si="58"/>
        <v>25000</v>
      </c>
      <c r="H89">
        <f t="shared" si="58"/>
        <v>25000</v>
      </c>
      <c r="I89">
        <f t="shared" si="58"/>
        <v>25000</v>
      </c>
      <c r="J89">
        <f t="shared" si="58"/>
        <v>25000</v>
      </c>
      <c r="K89">
        <f t="shared" si="58"/>
        <v>25000</v>
      </c>
      <c r="L89">
        <f t="shared" si="58"/>
        <v>25000</v>
      </c>
      <c r="M89">
        <f t="shared" si="58"/>
        <v>25000</v>
      </c>
      <c r="N89">
        <f t="shared" si="58"/>
        <v>25000</v>
      </c>
    </row>
    <row r="90" spans="1:14">
      <c r="A90" t="s">
        <v>18183</v>
      </c>
      <c r="B90" t="s">
        <v>18150</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18183</v>
      </c>
      <c r="B91" t="s">
        <v>18151</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18183</v>
      </c>
      <c r="B92" t="s">
        <v>18152</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18183</v>
      </c>
      <c r="B93" t="s">
        <v>18153</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18184</v>
      </c>
      <c r="B94" t="s">
        <v>18150</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18184</v>
      </c>
      <c r="B95" t="s">
        <v>18151</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18184</v>
      </c>
      <c r="B96" t="s">
        <v>18152</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18184</v>
      </c>
      <c r="B97" t="s">
        <v>18153</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18185</v>
      </c>
      <c r="B98" t="s">
        <v>18150</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18185</v>
      </c>
      <c r="B99" t="s">
        <v>18151</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18185</v>
      </c>
      <c r="B100" t="s">
        <v>18152</v>
      </c>
      <c r="C100" cm="1">
        <f t="array" ref="C100">INDEX('2 过程管理表单'!$159:$159,24+(COLUMN(A1)-1)*3)</f>
        <v>38800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18185</v>
      </c>
      <c r="B101" t="s">
        <v>18153</v>
      </c>
      <c r="C101">
        <f t="shared" si="64"/>
        <v>38800</v>
      </c>
      <c r="D101">
        <f t="shared" ref="D101:N101" si="66">C101+D100</f>
        <v>38800</v>
      </c>
      <c r="E101">
        <f t="shared" si="66"/>
        <v>38800</v>
      </c>
      <c r="F101">
        <f t="shared" si="66"/>
        <v>38800</v>
      </c>
      <c r="G101">
        <f t="shared" si="66"/>
        <v>38800</v>
      </c>
      <c r="H101">
        <f t="shared" si="66"/>
        <v>38800</v>
      </c>
      <c r="I101">
        <f t="shared" si="66"/>
        <v>38800</v>
      </c>
      <c r="J101">
        <f t="shared" si="66"/>
        <v>38800</v>
      </c>
      <c r="K101">
        <f t="shared" si="66"/>
        <v>38800</v>
      </c>
      <c r="L101">
        <f t="shared" si="66"/>
        <v>38800</v>
      </c>
      <c r="M101">
        <f t="shared" si="66"/>
        <v>38800</v>
      </c>
      <c r="N101">
        <f t="shared" si="66"/>
        <v>38800</v>
      </c>
    </row>
    <row r="102" spans="1:14">
      <c r="A102" t="s">
        <v>18186</v>
      </c>
      <c r="B102" t="s">
        <v>18150</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18186</v>
      </c>
      <c r="B103" t="s">
        <v>18151</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18186</v>
      </c>
      <c r="B104" t="s">
        <v>18152</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18186</v>
      </c>
      <c r="B105" t="s">
        <v>18153</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18187</v>
      </c>
      <c r="B106" t="s">
        <v>18150</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18187</v>
      </c>
      <c r="B107" t="s">
        <v>18151</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18187</v>
      </c>
      <c r="B108" t="s">
        <v>18152</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18187</v>
      </c>
      <c r="B109" t="s">
        <v>18153</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18188</v>
      </c>
      <c r="B110" t="s">
        <v>18150</v>
      </c>
      <c r="C110">
        <v>0</v>
      </c>
      <c r="D110">
        <v>0</v>
      </c>
      <c r="E110">
        <v>0</v>
      </c>
      <c r="F110">
        <v>0</v>
      </c>
      <c r="G110">
        <v>0</v>
      </c>
      <c r="H110">
        <v>0</v>
      </c>
      <c r="I110">
        <v>0</v>
      </c>
      <c r="J110">
        <v>0</v>
      </c>
      <c r="K110">
        <v>0</v>
      </c>
      <c r="L110">
        <v>0</v>
      </c>
      <c r="M110">
        <v>0</v>
      </c>
      <c r="N110">
        <v>0</v>
      </c>
    </row>
    <row r="111" spans="1:14">
      <c r="A111" t="s">
        <v>18188</v>
      </c>
      <c r="B111" t="s">
        <v>18151</v>
      </c>
      <c r="C111">
        <f t="shared" ref="C111:C115" si="72">C110</f>
        <v>0</v>
      </c>
      <c r="D111">
        <f t="shared" ref="D111:N111" si="73">C111+D110</f>
        <v>0</v>
      </c>
      <c r="E111">
        <f t="shared" si="73"/>
        <v>0</v>
      </c>
      <c r="F111">
        <f t="shared" si="73"/>
        <v>0</v>
      </c>
      <c r="G111">
        <f t="shared" si="73"/>
        <v>0</v>
      </c>
      <c r="H111">
        <f t="shared" si="73"/>
        <v>0</v>
      </c>
      <c r="I111">
        <f t="shared" si="73"/>
        <v>0</v>
      </c>
      <c r="J111">
        <f t="shared" si="73"/>
        <v>0</v>
      </c>
      <c r="K111">
        <f t="shared" si="73"/>
        <v>0</v>
      </c>
      <c r="L111">
        <f t="shared" si="73"/>
        <v>0</v>
      </c>
      <c r="M111">
        <f t="shared" si="73"/>
        <v>0</v>
      </c>
      <c r="N111">
        <f t="shared" si="73"/>
        <v>0</v>
      </c>
    </row>
    <row r="112" spans="1:14">
      <c r="A112" t="s">
        <v>18188</v>
      </c>
      <c r="B112" t="s">
        <v>18152</v>
      </c>
      <c r="C112">
        <f t="shared" ref="C112:N112" si="74">C4+C16+C28+C44+C60+C72+C88+C100</f>
        <v>2227559.11548265</v>
      </c>
      <c r="D112">
        <f t="shared" si="74"/>
        <v>1486728.32548265</v>
      </c>
      <c r="E112">
        <f t="shared" si="74"/>
        <v>1486728.32548265</v>
      </c>
      <c r="F112">
        <f t="shared" si="74"/>
        <v>1486728.32548265</v>
      </c>
      <c r="G112">
        <f t="shared" si="74"/>
        <v>1486728.32548265</v>
      </c>
      <c r="H112">
        <f t="shared" si="74"/>
        <v>1486728.32548265</v>
      </c>
      <c r="I112">
        <f t="shared" si="74"/>
        <v>1486728.32548265</v>
      </c>
      <c r="J112">
        <f t="shared" si="74"/>
        <v>1486728.32548265</v>
      </c>
      <c r="K112">
        <f t="shared" si="74"/>
        <v>1486728.32548265</v>
      </c>
      <c r="L112">
        <f t="shared" si="74"/>
        <v>1486728.32548265</v>
      </c>
      <c r="M112">
        <f t="shared" si="74"/>
        <v>1486728.32548265</v>
      </c>
      <c r="N112">
        <f t="shared" si="74"/>
        <v>1486728.32548265</v>
      </c>
    </row>
    <row r="113" spans="1:14">
      <c r="A113" t="s">
        <v>18188</v>
      </c>
      <c r="B113" t="s">
        <v>18153</v>
      </c>
      <c r="C113">
        <f t="shared" si="72"/>
        <v>2227559.11548265</v>
      </c>
      <c r="D113">
        <f t="shared" ref="D113:N113" si="75">C113+D112</f>
        <v>3714287.4409653</v>
      </c>
      <c r="E113">
        <f t="shared" si="75"/>
        <v>5201015.76644795</v>
      </c>
      <c r="F113">
        <f t="shared" si="75"/>
        <v>6687744.0919306</v>
      </c>
      <c r="G113">
        <f t="shared" si="75"/>
        <v>8174472.41741325</v>
      </c>
      <c r="H113">
        <f t="shared" si="75"/>
        <v>9661200.7428959</v>
      </c>
      <c r="I113">
        <f t="shared" si="75"/>
        <v>11147929.0683785</v>
      </c>
      <c r="J113">
        <f t="shared" si="75"/>
        <v>12634657.3938612</v>
      </c>
      <c r="K113">
        <f t="shared" si="75"/>
        <v>14121385.7193438</v>
      </c>
      <c r="L113">
        <f t="shared" si="75"/>
        <v>15608114.0448265</v>
      </c>
      <c r="M113">
        <f t="shared" si="75"/>
        <v>17094842.3703091</v>
      </c>
      <c r="N113">
        <f t="shared" si="75"/>
        <v>18581570.6957918</v>
      </c>
    </row>
    <row r="114" spans="1:14">
      <c r="A114" t="s">
        <v>18189</v>
      </c>
      <c r="B114" t="s">
        <v>18150</v>
      </c>
      <c r="C114">
        <f t="shared" ref="C114:N114" si="76">C6+C18+C30+C46+C62+C74+C90+C102</f>
        <v>0</v>
      </c>
      <c r="D114">
        <f t="shared" si="76"/>
        <v>0</v>
      </c>
      <c r="E114">
        <f t="shared" si="76"/>
        <v>0</v>
      </c>
      <c r="F114">
        <f t="shared" si="76"/>
        <v>0</v>
      </c>
      <c r="G114">
        <f t="shared" si="76"/>
        <v>0</v>
      </c>
      <c r="H114">
        <f t="shared" si="76"/>
        <v>0</v>
      </c>
      <c r="I114">
        <f t="shared" si="76"/>
        <v>0</v>
      </c>
      <c r="J114">
        <f t="shared" si="76"/>
        <v>0</v>
      </c>
      <c r="K114">
        <f t="shared" si="76"/>
        <v>0</v>
      </c>
      <c r="L114">
        <f t="shared" si="76"/>
        <v>0</v>
      </c>
      <c r="M114">
        <f t="shared" si="76"/>
        <v>0</v>
      </c>
      <c r="N114">
        <f t="shared" si="76"/>
        <v>0</v>
      </c>
    </row>
    <row r="115" spans="1:14">
      <c r="A115" t="s">
        <v>18189</v>
      </c>
      <c r="B115" t="s">
        <v>18151</v>
      </c>
      <c r="C115">
        <f t="shared" si="72"/>
        <v>0</v>
      </c>
      <c r="D115">
        <f t="shared" ref="D115:N115" si="77">C115+D114</f>
        <v>0</v>
      </c>
      <c r="E115">
        <f t="shared" si="77"/>
        <v>0</v>
      </c>
      <c r="F115">
        <f t="shared" si="77"/>
        <v>0</v>
      </c>
      <c r="G115">
        <f t="shared" si="77"/>
        <v>0</v>
      </c>
      <c r="H115">
        <f t="shared" si="77"/>
        <v>0</v>
      </c>
      <c r="I115">
        <f t="shared" si="77"/>
        <v>0</v>
      </c>
      <c r="J115">
        <f t="shared" si="77"/>
        <v>0</v>
      </c>
      <c r="K115">
        <f t="shared" si="77"/>
        <v>0</v>
      </c>
      <c r="L115">
        <f t="shared" si="77"/>
        <v>0</v>
      </c>
      <c r="M115">
        <f t="shared" si="77"/>
        <v>0</v>
      </c>
      <c r="N115">
        <f t="shared" si="77"/>
        <v>0</v>
      </c>
    </row>
    <row r="116" spans="1:14">
      <c r="A116" t="s">
        <v>18189</v>
      </c>
      <c r="B116" t="s">
        <v>18152</v>
      </c>
      <c r="C116">
        <f t="shared" ref="C116:N116" si="78">C8+C20+C32+C48+C64+C76+C92+C104</f>
        <v>0</v>
      </c>
      <c r="D116">
        <f t="shared" si="78"/>
        <v>0</v>
      </c>
      <c r="E116">
        <f t="shared" si="78"/>
        <v>0</v>
      </c>
      <c r="F116">
        <f t="shared" si="78"/>
        <v>0</v>
      </c>
      <c r="G116">
        <f t="shared" si="78"/>
        <v>0</v>
      </c>
      <c r="H116">
        <f t="shared" si="78"/>
        <v>0</v>
      </c>
      <c r="I116">
        <f t="shared" si="78"/>
        <v>0</v>
      </c>
      <c r="J116">
        <f t="shared" si="78"/>
        <v>0</v>
      </c>
      <c r="K116">
        <f t="shared" si="78"/>
        <v>0</v>
      </c>
      <c r="L116">
        <f t="shared" si="78"/>
        <v>0</v>
      </c>
      <c r="M116">
        <f t="shared" si="78"/>
        <v>0</v>
      </c>
      <c r="N116">
        <f t="shared" si="78"/>
        <v>0</v>
      </c>
    </row>
    <row r="117" spans="1:14">
      <c r="A117" t="s">
        <v>18189</v>
      </c>
      <c r="B117" t="s">
        <v>18153</v>
      </c>
      <c r="C117">
        <f t="shared" ref="C117:C121" si="79">C116</f>
        <v>0</v>
      </c>
      <c r="D117">
        <f t="shared" ref="D117:N117" si="80">C117+D116</f>
        <v>0</v>
      </c>
      <c r="E117">
        <f t="shared" si="80"/>
        <v>0</v>
      </c>
      <c r="F117">
        <f t="shared" si="80"/>
        <v>0</v>
      </c>
      <c r="G117">
        <f t="shared" si="80"/>
        <v>0</v>
      </c>
      <c r="H117">
        <f t="shared" si="80"/>
        <v>0</v>
      </c>
      <c r="I117">
        <f t="shared" si="80"/>
        <v>0</v>
      </c>
      <c r="J117">
        <f t="shared" si="80"/>
        <v>0</v>
      </c>
      <c r="K117">
        <f t="shared" si="80"/>
        <v>0</v>
      </c>
      <c r="L117">
        <f t="shared" si="80"/>
        <v>0</v>
      </c>
      <c r="M117">
        <f t="shared" si="80"/>
        <v>0</v>
      </c>
      <c r="N117">
        <f t="shared" si="80"/>
        <v>0</v>
      </c>
    </row>
    <row r="118" spans="1:14">
      <c r="A118" t="s">
        <v>18190</v>
      </c>
      <c r="B118" t="s">
        <v>18150</v>
      </c>
      <c r="C118">
        <f t="shared" ref="C118:N118" si="81">C10+C22+C34+C38+C50+C54+C66+C78+C82+C94+C106</f>
        <v>0</v>
      </c>
      <c r="D118">
        <f t="shared" si="81"/>
        <v>0</v>
      </c>
      <c r="E118">
        <f t="shared" si="81"/>
        <v>0</v>
      </c>
      <c r="F118">
        <f t="shared" si="81"/>
        <v>529854.026086956</v>
      </c>
      <c r="G118">
        <f t="shared" si="81"/>
        <v>547515.826956522</v>
      </c>
      <c r="H118">
        <f t="shared" si="81"/>
        <v>529854.026086956</v>
      </c>
      <c r="I118">
        <f t="shared" si="81"/>
        <v>547515.826956522</v>
      </c>
      <c r="J118">
        <f t="shared" si="81"/>
        <v>547515.826956522</v>
      </c>
      <c r="K118">
        <f t="shared" si="81"/>
        <v>529854.026086956</v>
      </c>
      <c r="L118">
        <f t="shared" si="81"/>
        <v>547515.826956522</v>
      </c>
      <c r="M118">
        <f t="shared" si="81"/>
        <v>529854.026086956</v>
      </c>
      <c r="N118">
        <f t="shared" si="81"/>
        <v>547515.826956522</v>
      </c>
    </row>
    <row r="119" spans="1:14">
      <c r="A119" t="s">
        <v>18190</v>
      </c>
      <c r="B119" t="s">
        <v>18151</v>
      </c>
      <c r="C119">
        <f t="shared" si="79"/>
        <v>0</v>
      </c>
      <c r="D119">
        <f t="shared" ref="D119:N119" si="82">C119+D118</f>
        <v>0</v>
      </c>
      <c r="E119">
        <f t="shared" si="82"/>
        <v>0</v>
      </c>
      <c r="F119">
        <f t="shared" si="82"/>
        <v>529854.026086956</v>
      </c>
      <c r="G119">
        <f t="shared" si="82"/>
        <v>1077369.85304348</v>
      </c>
      <c r="H119">
        <f t="shared" si="82"/>
        <v>1607223.87913043</v>
      </c>
      <c r="I119">
        <f t="shared" si="82"/>
        <v>2154739.70608696</v>
      </c>
      <c r="J119">
        <f t="shared" si="82"/>
        <v>2702255.53304348</v>
      </c>
      <c r="K119">
        <f t="shared" si="82"/>
        <v>3232109.55913043</v>
      </c>
      <c r="L119">
        <f t="shared" si="82"/>
        <v>3779625.38608696</v>
      </c>
      <c r="M119">
        <f t="shared" si="82"/>
        <v>4309479.41217391</v>
      </c>
      <c r="N119">
        <f t="shared" si="82"/>
        <v>4856995.23913043</v>
      </c>
    </row>
    <row r="120" spans="1:14">
      <c r="A120" t="s">
        <v>18190</v>
      </c>
      <c r="B120" t="s">
        <v>18152</v>
      </c>
      <c r="C120">
        <f t="shared" ref="C120:N120" si="83">C12+C24+C36+C40+C52+C56+C80+C84+C68+C96+C108</f>
        <v>486942.457861635</v>
      </c>
      <c r="D120">
        <f t="shared" si="83"/>
        <v>486942.457861635</v>
      </c>
      <c r="E120">
        <f t="shared" si="83"/>
        <v>486942.457861635</v>
      </c>
      <c r="F120">
        <f t="shared" si="83"/>
        <v>486942.457861635</v>
      </c>
      <c r="G120">
        <f t="shared" si="83"/>
        <v>486942.457861635</v>
      </c>
      <c r="H120">
        <f t="shared" si="83"/>
        <v>486942.457861635</v>
      </c>
      <c r="I120">
        <f t="shared" si="83"/>
        <v>486942.457861635</v>
      </c>
      <c r="J120">
        <f t="shared" si="83"/>
        <v>486942.457861635</v>
      </c>
      <c r="K120">
        <f t="shared" si="83"/>
        <v>486942.457861635</v>
      </c>
      <c r="L120">
        <f t="shared" si="83"/>
        <v>486942.457861635</v>
      </c>
      <c r="M120">
        <f t="shared" si="83"/>
        <v>486942.457861635</v>
      </c>
      <c r="N120">
        <f t="shared" si="83"/>
        <v>486942.457861635</v>
      </c>
    </row>
    <row r="121" spans="1:14">
      <c r="A121" t="s">
        <v>18190</v>
      </c>
      <c r="B121" t="s">
        <v>18153</v>
      </c>
      <c r="C121">
        <f t="shared" si="79"/>
        <v>486942.457861635</v>
      </c>
      <c r="D121">
        <f t="shared" ref="D121:N121" si="84">C121+D120</f>
        <v>973884.91572327</v>
      </c>
      <c r="E121">
        <f t="shared" si="84"/>
        <v>1460827.37358491</v>
      </c>
      <c r="F121">
        <f t="shared" si="84"/>
        <v>1947769.83144654</v>
      </c>
      <c r="G121">
        <f t="shared" si="84"/>
        <v>2434712.28930817</v>
      </c>
      <c r="H121">
        <f t="shared" si="84"/>
        <v>2921654.74716981</v>
      </c>
      <c r="I121">
        <f t="shared" si="84"/>
        <v>3408597.20503144</v>
      </c>
      <c r="J121">
        <f t="shared" si="84"/>
        <v>3895539.66289308</v>
      </c>
      <c r="K121">
        <f t="shared" si="84"/>
        <v>4382482.12075472</v>
      </c>
      <c r="L121">
        <f t="shared" si="84"/>
        <v>4869424.57861635</v>
      </c>
      <c r="M121">
        <f t="shared" si="84"/>
        <v>5356367.03647798</v>
      </c>
      <c r="N121">
        <f t="shared" si="84"/>
        <v>5843309.49433962</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7</v>
      </c>
      <c r="C2" s="6">
        <f>COUNTIF('2 过程管理表单'!AB6:AB507,"&lt;"&amp;0)</f>
        <v>11</v>
      </c>
      <c r="D2" s="6">
        <f>COUNTIF('2 过程管理表单'!AE6:AE507,"&lt;"&amp;0)</f>
        <v>17</v>
      </c>
      <c r="E2" s="6">
        <f>COUNTIF('2 过程管理表单'!AH6:AH507,"&lt;"&amp;0)</f>
        <v>22</v>
      </c>
      <c r="F2" s="6">
        <f>COUNTIF('2 过程管理表单'!AK6:AK507,"&lt;"&amp;0)</f>
        <v>20</v>
      </c>
      <c r="G2" s="6">
        <f>COUNTIF('2 过程管理表单'!AN6:AN507,"&lt;"&amp;0)</f>
        <v>21</v>
      </c>
      <c r="H2" s="6">
        <f>COUNTIF('2 过程管理表单'!AQ6:AQ507,"&lt;"&amp;0)</f>
        <v>21</v>
      </c>
      <c r="I2" s="6">
        <f>COUNTIF('2 过程管理表单'!AT6:AT507,"&lt;"&amp;0)</f>
        <v>21</v>
      </c>
      <c r="J2" s="6">
        <f>COUNTIF('2 过程管理表单'!AW6:AW507,"&lt;"&amp;0)</f>
        <v>21</v>
      </c>
      <c r="K2" s="6">
        <f>COUNTIF('2 过程管理表单'!AW6:AW507,"&lt;"&amp;0)</f>
        <v>21</v>
      </c>
      <c r="L2" s="6">
        <f>COUNTIF('2 过程管理表单'!BC6:BC507,"&lt;"&amp;0)</f>
        <v>20</v>
      </c>
      <c r="M2" s="6">
        <f>COUNTIF('2 过程管理表单'!BF6:BF507,"&lt;"&amp;0)</f>
        <v>20</v>
      </c>
    </row>
    <row r="3" spans="1:13">
      <c r="A3" s="6" t="s">
        <v>9</v>
      </c>
      <c r="B3" s="6">
        <f>COUNTIF('2 过程管理表单'!Y509:Y535,"&lt;0")</f>
        <v>7</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1</v>
      </c>
      <c r="E6" s="6">
        <f>COUNTIF('2 过程管理表单'!AH604:AH615,"&lt;"&amp;0)</f>
        <v>0</v>
      </c>
      <c r="F6" s="6">
        <f>COUNTIF('2 过程管理表单'!AK604:AK615,"&lt;"&amp;0)</f>
        <v>1</v>
      </c>
      <c r="G6" s="6">
        <f>COUNTIF('2 过程管理表单'!AN604:AN615,"&lt;"&amp;0)</f>
        <v>1</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16</v>
      </c>
      <c r="C8" s="6">
        <f t="shared" ref="C8:M8" si="0">SUM(C2:C7)</f>
        <v>25</v>
      </c>
      <c r="D8" s="6">
        <f t="shared" si="0"/>
        <v>31</v>
      </c>
      <c r="E8" s="6">
        <f t="shared" si="0"/>
        <v>32</v>
      </c>
      <c r="F8" s="6">
        <f t="shared" si="0"/>
        <v>30</v>
      </c>
      <c r="G8" s="6">
        <f t="shared" si="0"/>
        <v>37</v>
      </c>
      <c r="H8" s="6">
        <f t="shared" si="0"/>
        <v>21</v>
      </c>
      <c r="I8" s="6">
        <f t="shared" si="0"/>
        <v>21</v>
      </c>
      <c r="J8" s="6">
        <f t="shared" si="0"/>
        <v>21</v>
      </c>
      <c r="K8" s="6">
        <f t="shared" si="0"/>
        <v>21</v>
      </c>
      <c r="L8" s="6">
        <f t="shared" si="0"/>
        <v>20</v>
      </c>
      <c r="M8" s="6">
        <f t="shared" si="0"/>
        <v>20</v>
      </c>
    </row>
    <row r="9" spans="1:13">
      <c r="A9" s="7" t="s">
        <v>18191</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1</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1</v>
      </c>
      <c r="C14" s="8">
        <f>COUNTIF('2 过程管理表单'!AB603,"&lt;"&amp;0)</f>
        <v>1</v>
      </c>
      <c r="D14" s="8">
        <f>COUNTIF('2 过程管理表单'!AE603,"&lt;"&amp;0)</f>
        <v>1</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1</v>
      </c>
      <c r="D15" s="8">
        <f>COUNTIF('2 过程管理表单'!AE616,"&lt;"&amp;0)</f>
        <v>1</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18192</v>
      </c>
      <c r="B16" s="8">
        <f t="shared" ref="B16:M16" si="1">SUM(B10:B15)</f>
        <v>1</v>
      </c>
      <c r="C16" s="8">
        <f t="shared" si="1"/>
        <v>3</v>
      </c>
      <c r="D16" s="8">
        <f t="shared" si="1"/>
        <v>3</v>
      </c>
      <c r="E16" s="8">
        <f t="shared" si="1"/>
        <v>1</v>
      </c>
      <c r="F16" s="8">
        <f t="shared" si="1"/>
        <v>1</v>
      </c>
      <c r="G16" s="8">
        <f t="shared" si="1"/>
        <v>1</v>
      </c>
      <c r="H16" s="8">
        <f t="shared" si="1"/>
        <v>0</v>
      </c>
      <c r="I16" s="8">
        <f t="shared" si="1"/>
        <v>0</v>
      </c>
      <c r="J16" s="8">
        <f t="shared" si="1"/>
        <v>0</v>
      </c>
      <c r="K16" s="8">
        <f t="shared" si="1"/>
        <v>0</v>
      </c>
      <c r="L16" s="8">
        <f t="shared" si="1"/>
        <v>0</v>
      </c>
      <c r="M16" s="8">
        <f t="shared" si="1"/>
        <v>0</v>
      </c>
    </row>
    <row r="17" spans="1:13">
      <c r="A17" s="8" t="s">
        <v>18193</v>
      </c>
      <c r="B17" s="8">
        <f>B8</f>
        <v>16</v>
      </c>
      <c r="C17" s="8">
        <f t="shared" ref="C17:M17" si="2">B17+C8</f>
        <v>41</v>
      </c>
      <c r="D17" s="8">
        <f t="shared" si="2"/>
        <v>72</v>
      </c>
      <c r="E17" s="8">
        <f t="shared" si="2"/>
        <v>104</v>
      </c>
      <c r="F17" s="8">
        <f t="shared" si="2"/>
        <v>134</v>
      </c>
      <c r="G17" s="8">
        <f t="shared" si="2"/>
        <v>171</v>
      </c>
      <c r="H17" s="8">
        <f t="shared" si="2"/>
        <v>192</v>
      </c>
      <c r="I17" s="8">
        <f t="shared" si="2"/>
        <v>213</v>
      </c>
      <c r="J17" s="8">
        <f t="shared" si="2"/>
        <v>234</v>
      </c>
      <c r="K17" s="8">
        <f t="shared" si="2"/>
        <v>255</v>
      </c>
      <c r="L17" s="8">
        <f t="shared" si="2"/>
        <v>275</v>
      </c>
      <c r="M17" s="8">
        <f t="shared" si="2"/>
        <v>295</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759</v>
      </c>
      <c r="D1" t="s">
        <v>760</v>
      </c>
      <c r="E1" t="s">
        <v>761</v>
      </c>
      <c r="F1" t="s">
        <v>762</v>
      </c>
      <c r="G1" t="s">
        <v>763</v>
      </c>
      <c r="H1" t="s">
        <v>764</v>
      </c>
      <c r="I1" t="s">
        <v>765</v>
      </c>
      <c r="J1" t="s">
        <v>766</v>
      </c>
      <c r="K1" t="s">
        <v>767</v>
      </c>
      <c r="L1" t="s">
        <v>768</v>
      </c>
      <c r="M1" t="s">
        <v>769</v>
      </c>
      <c r="N1" t="s">
        <v>770</v>
      </c>
    </row>
    <row r="2" spans="1:14">
      <c r="A2" t="s">
        <v>67</v>
      </c>
      <c r="B2" t="s">
        <v>18150</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18152</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18150</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18152</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18150</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18151</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18152</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18150</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18152</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18150</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18152</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18150</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18152</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18150</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18152</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18150</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18152</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18194</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18195</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18196</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18197</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759</v>
      </c>
      <c r="D1" t="s">
        <v>760</v>
      </c>
      <c r="E1" t="s">
        <v>761</v>
      </c>
      <c r="F1" t="s">
        <v>762</v>
      </c>
      <c r="G1" t="s">
        <v>763</v>
      </c>
      <c r="H1" t="s">
        <v>764</v>
      </c>
      <c r="I1" t="s">
        <v>765</v>
      </c>
      <c r="J1" t="s">
        <v>766</v>
      </c>
      <c r="K1" t="s">
        <v>767</v>
      </c>
      <c r="L1" t="s">
        <v>768</v>
      </c>
      <c r="M1" t="s">
        <v>769</v>
      </c>
      <c r="N1" t="s">
        <v>770</v>
      </c>
    </row>
    <row r="2" spans="1:14">
      <c r="A2" t="s">
        <v>108</v>
      </c>
      <c r="B2" t="s">
        <v>18150</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18151</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18152</v>
      </c>
      <c r="C4" s="2">
        <f>INDEX('2 过程管理表单'!$8:$8,24+(COLUMN(A1)-1)*3)</f>
        <v>1188375.96548265</v>
      </c>
      <c r="D4" s="2" cm="1">
        <f t="array" ref="D4">INDEX('2 过程管理表单'!$8:$8,24+(COLUMN(B1)-1)*3)</f>
        <v>1188375.96548265</v>
      </c>
      <c r="E4" s="2" cm="1">
        <f t="array" ref="E4">INDEX('2 过程管理表单'!$8:$8,24+(COLUMN(C1)-1)*3)</f>
        <v>1188375.96548265</v>
      </c>
      <c r="F4" s="2" cm="1">
        <f t="array" ref="F4">INDEX('2 过程管理表单'!$8:$8,24+(COLUMN(D1)-1)*3)</f>
        <v>1188375.96548265</v>
      </c>
      <c r="G4" s="2" cm="1">
        <f t="array" ref="G4">INDEX('2 过程管理表单'!$8:$8,24+(COLUMN(E1)-1)*3)</f>
        <v>1188375.96548265</v>
      </c>
      <c r="H4" s="2" cm="1">
        <f t="array" ref="H4">INDEX('2 过程管理表单'!$8:$8,24+(COLUMN(F1)-1)*3)</f>
        <v>1188375.96548265</v>
      </c>
      <c r="I4" s="2" cm="1">
        <f t="array" ref="I4">INDEX('2 过程管理表单'!$8:$8,24+(COLUMN(G1)-1)*3)</f>
        <v>1188375.96548265</v>
      </c>
      <c r="J4" s="2" cm="1">
        <f t="array" ref="J4">INDEX('2 过程管理表单'!$8:$8,24+(COLUMN(H1)-1)*3)</f>
        <v>1188375.96548265</v>
      </c>
      <c r="K4" s="2" cm="1">
        <f t="array" ref="K4">INDEX('2 过程管理表单'!$8:$8,24+(COLUMN(I1)-1)*3)</f>
        <v>1188375.96548265</v>
      </c>
      <c r="L4" s="2" cm="1">
        <f t="array" ref="L4">INDEX('2 过程管理表单'!$8:$8,24+(COLUMN(J1)-1)*3)</f>
        <v>1188375.96548265</v>
      </c>
      <c r="M4" s="2" cm="1">
        <f t="array" ref="M4">INDEX('2 过程管理表单'!$8:$8,24+(COLUMN(K1)-1)*3)</f>
        <v>1188375.96548265</v>
      </c>
      <c r="N4" s="2" cm="1">
        <f t="array" ref="N4">INDEX('2 过程管理表单'!$8:$8,24+(COLUMN(L1)-1)*3)</f>
        <v>1188375.96548265</v>
      </c>
    </row>
    <row r="5" spans="1:14">
      <c r="A5" t="s">
        <v>108</v>
      </c>
      <c r="B5" t="s">
        <v>18153</v>
      </c>
      <c r="C5" s="2">
        <f>C4</f>
        <v>1188375.96548265</v>
      </c>
      <c r="D5" s="2">
        <f>C5+D4</f>
        <v>2376751.9309653</v>
      </c>
      <c r="E5" s="2">
        <f t="shared" ref="E5:N5" si="1">D5+E4</f>
        <v>3565127.89644795</v>
      </c>
      <c r="F5" s="2">
        <f t="shared" si="1"/>
        <v>4753503.8619306</v>
      </c>
      <c r="G5" s="2">
        <f t="shared" si="1"/>
        <v>5941879.82741325</v>
      </c>
      <c r="H5" s="2">
        <f t="shared" si="1"/>
        <v>7130255.7928959</v>
      </c>
      <c r="I5" s="2">
        <f t="shared" si="1"/>
        <v>8318631.75837855</v>
      </c>
      <c r="J5" s="2">
        <f t="shared" si="1"/>
        <v>9507007.7238612</v>
      </c>
      <c r="K5" s="2">
        <f t="shared" si="1"/>
        <v>10695383.6893439</v>
      </c>
      <c r="L5" s="2">
        <f t="shared" si="1"/>
        <v>11883759.6548265</v>
      </c>
      <c r="M5" s="2">
        <f t="shared" si="1"/>
        <v>13072135.6203092</v>
      </c>
      <c r="N5" s="2">
        <f t="shared" si="1"/>
        <v>14260511.5857918</v>
      </c>
    </row>
    <row r="6" spans="1:14">
      <c r="A6" t="s">
        <v>112</v>
      </c>
      <c r="B6" t="s">
        <v>18150</v>
      </c>
      <c r="C6" s="2" cm="1">
        <f t="array" ref="C6">INDEX('2 过程管理表单'!$27:$27,26+(COLUMN(A1)-1)*3)</f>
        <v>5552.23880597015</v>
      </c>
      <c r="D6" s="2" cm="1">
        <f t="array" ref="D6">INDEX('2 过程管理表单'!$27:$27,26+(COLUMN(B1)-1)*3)</f>
        <v>5014.92537313433</v>
      </c>
      <c r="E6" s="2" cm="1">
        <f t="array" ref="E6">INDEX('2 过程管理表单'!$27:$27,26+(COLUMN(C1)-1)*3)</f>
        <v>5552.23880597015</v>
      </c>
      <c r="F6" s="2" cm="1">
        <f t="array" ref="F6">INDEX('2 过程管理表单'!$27:$27,26+(COLUMN(D1)-1)*3)</f>
        <v>5373.13432835821</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18151</v>
      </c>
      <c r="C7" s="2">
        <f>C6</f>
        <v>5552.23880597015</v>
      </c>
      <c r="D7" s="2">
        <f>C7+D6</f>
        <v>10567.1641791045</v>
      </c>
      <c r="E7" s="2">
        <f t="shared" ref="E7:N7" si="2">D7+E6</f>
        <v>16119.4029850746</v>
      </c>
      <c r="F7" s="2">
        <f t="shared" si="2"/>
        <v>21492.5373134328</v>
      </c>
      <c r="G7" s="2">
        <f t="shared" si="2"/>
        <v>21492.5373134328</v>
      </c>
      <c r="H7" s="2">
        <f t="shared" si="2"/>
        <v>21492.5373134328</v>
      </c>
      <c r="I7" s="2">
        <f t="shared" si="2"/>
        <v>21492.5373134328</v>
      </c>
      <c r="J7" s="2">
        <f t="shared" si="2"/>
        <v>21492.5373134328</v>
      </c>
      <c r="K7" s="2">
        <f t="shared" si="2"/>
        <v>21492.5373134328</v>
      </c>
      <c r="L7" s="2">
        <f t="shared" si="2"/>
        <v>21492.5373134328</v>
      </c>
      <c r="M7" s="2">
        <f t="shared" si="2"/>
        <v>21492.5373134328</v>
      </c>
      <c r="N7" s="2">
        <f t="shared" si="2"/>
        <v>21492.5373134328</v>
      </c>
    </row>
    <row r="8" spans="1:14">
      <c r="A8" t="s">
        <v>112</v>
      </c>
      <c r="B8" t="s">
        <v>18152</v>
      </c>
      <c r="C8" s="2" cm="1">
        <f t="array" ref="C8">INDEX('2 过程管理表单'!$27:$27,24+(COLUMN(A1)-1)*3)</f>
        <v>568218.79</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18153</v>
      </c>
      <c r="C9" s="2">
        <f>C8</f>
        <v>568218.79</v>
      </c>
      <c r="D9" s="2">
        <f>C9+D8</f>
        <v>568218.79</v>
      </c>
      <c r="E9" s="2">
        <f t="shared" ref="E9:N9" si="3">D9+E8</f>
        <v>568218.79</v>
      </c>
      <c r="F9" s="2">
        <f t="shared" si="3"/>
        <v>568218.79</v>
      </c>
      <c r="G9" s="2">
        <f t="shared" si="3"/>
        <v>568218.79</v>
      </c>
      <c r="H9" s="2">
        <f t="shared" si="3"/>
        <v>568218.79</v>
      </c>
      <c r="I9" s="2">
        <f t="shared" si="3"/>
        <v>568218.79</v>
      </c>
      <c r="J9" s="2">
        <f t="shared" si="3"/>
        <v>568218.79</v>
      </c>
      <c r="K9" s="2">
        <f t="shared" si="3"/>
        <v>568218.79</v>
      </c>
      <c r="L9" s="2">
        <f t="shared" si="3"/>
        <v>568218.79</v>
      </c>
      <c r="M9" s="2">
        <f t="shared" si="3"/>
        <v>568218.79</v>
      </c>
      <c r="N9" s="2">
        <f t="shared" si="3"/>
        <v>568218.79</v>
      </c>
    </row>
    <row r="10" spans="1:14">
      <c r="A10" t="s">
        <v>115</v>
      </c>
      <c r="B10" t="s">
        <v>18150</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18151</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18152</v>
      </c>
      <c r="C12" s="2" cm="1">
        <f t="array" ref="C12">INDEX('2 过程管理表单'!$46:$46,24+(COLUMN(A5)-1)*3)</f>
        <v>186226</v>
      </c>
      <c r="D12" s="2" cm="1">
        <f t="array" ref="D12">INDEX('2 过程管理表单'!$46:$46,24+(COLUMN(B5)-1)*3)</f>
        <v>77414</v>
      </c>
      <c r="E12" s="2" cm="1">
        <f t="array" ref="E12">INDEX('2 过程管理表单'!$46:$46,24+(COLUMN(C5)-1)*3)</f>
        <v>77414</v>
      </c>
      <c r="F12" s="2" cm="1">
        <f t="array" ref="F12">INDEX('2 过程管理表单'!$46:$46,24+(COLUMN(D5)-1)*3)</f>
        <v>77414</v>
      </c>
      <c r="G12" s="2" cm="1">
        <f t="array" ref="G12">INDEX('2 过程管理表单'!$46:$46,24+(COLUMN(E5)-1)*3)</f>
        <v>77414</v>
      </c>
      <c r="H12" s="2" cm="1">
        <f t="array" ref="H12">INDEX('2 过程管理表单'!$46:$46,24+(COLUMN(F5)-1)*3)</f>
        <v>77414</v>
      </c>
      <c r="I12" s="2" cm="1">
        <f t="array" ref="I12">INDEX('2 过程管理表单'!$46:$46,24+(COLUMN(G5)-1)*3)</f>
        <v>77414</v>
      </c>
      <c r="J12" s="2" cm="1">
        <f t="array" ref="J12">INDEX('2 过程管理表单'!$46:$46,24+(COLUMN(H5)-1)*3)</f>
        <v>77414</v>
      </c>
      <c r="K12" s="2" cm="1">
        <f t="array" ref="K12">INDEX('2 过程管理表单'!$46:$46,24+(COLUMN(I5)-1)*3)</f>
        <v>77414</v>
      </c>
      <c r="L12" s="2" cm="1">
        <f t="array" ref="L12">INDEX('2 过程管理表单'!$46:$46,24+(COLUMN(J5)-1)*3)</f>
        <v>77414</v>
      </c>
      <c r="M12" s="2" cm="1">
        <f t="array" ref="M12">INDEX('2 过程管理表单'!$46:$46,24+(COLUMN(K5)-1)*3)</f>
        <v>77414</v>
      </c>
      <c r="N12" s="2" cm="1">
        <f t="array" ref="N12">INDEX('2 过程管理表单'!$46:$46,24+(COLUMN(L5)-1)*3)</f>
        <v>77414</v>
      </c>
    </row>
    <row r="13" spans="1:14">
      <c r="A13" t="s">
        <v>115</v>
      </c>
      <c r="B13" t="s">
        <v>18153</v>
      </c>
      <c r="C13" s="2">
        <f>C12</f>
        <v>186226</v>
      </c>
      <c r="D13" s="2">
        <f>C13+D12</f>
        <v>263640</v>
      </c>
      <c r="E13" s="2">
        <f t="shared" ref="E13:N13" si="5">D13+E12</f>
        <v>341054</v>
      </c>
      <c r="F13" s="2">
        <f t="shared" si="5"/>
        <v>418468</v>
      </c>
      <c r="G13" s="2">
        <f t="shared" si="5"/>
        <v>495882</v>
      </c>
      <c r="H13" s="2">
        <f t="shared" si="5"/>
        <v>573296</v>
      </c>
      <c r="I13" s="2">
        <f t="shared" si="5"/>
        <v>650710</v>
      </c>
      <c r="J13" s="2">
        <f t="shared" si="5"/>
        <v>728124</v>
      </c>
      <c r="K13" s="2">
        <f t="shared" si="5"/>
        <v>805538</v>
      </c>
      <c r="L13" s="2">
        <f t="shared" si="5"/>
        <v>882952</v>
      </c>
      <c r="M13" s="2">
        <f t="shared" si="5"/>
        <v>960366</v>
      </c>
      <c r="N13" s="2">
        <f t="shared" si="5"/>
        <v>1037780</v>
      </c>
    </row>
    <row r="14" spans="1:14">
      <c r="A14" t="s">
        <v>118</v>
      </c>
      <c r="B14" t="s">
        <v>18150</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18151</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18152</v>
      </c>
      <c r="C16" s="2" cm="1">
        <f t="array" ref="C16">INDEX('2 过程管理表单'!$71:$71,24+(COLUMN(A9)-1)*3)</f>
        <v>180961.46</v>
      </c>
      <c r="D16" s="2" cm="1">
        <f t="array" ref="D16">INDEX('2 过程管理表单'!$71:$71,24+(COLUMN(B9)-1)*3)</f>
        <v>180961.46</v>
      </c>
      <c r="E16" s="2" cm="1">
        <f t="array" ref="E16">INDEX('2 过程管理表单'!$71:$71,24+(COLUMN(C9)-1)*3)</f>
        <v>180961.46</v>
      </c>
      <c r="F16" s="2" cm="1">
        <f t="array" ref="F16">INDEX('2 过程管理表单'!$71:$71,24+(COLUMN(D9)-1)*3)</f>
        <v>180961.46</v>
      </c>
      <c r="G16" s="2" cm="1">
        <f t="array" ref="G16">INDEX('2 过程管理表单'!$71:$71,24+(COLUMN(E9)-1)*3)</f>
        <v>180961.46</v>
      </c>
      <c r="H16" s="2" cm="1">
        <f t="array" ref="H16">INDEX('2 过程管理表单'!$71:$71,24+(COLUMN(F9)-1)*3)</f>
        <v>180961.46</v>
      </c>
      <c r="I16" s="2" cm="1">
        <f t="array" ref="I16">INDEX('2 过程管理表单'!$71:$71,24+(COLUMN(G9)-1)*3)</f>
        <v>180961.46</v>
      </c>
      <c r="J16" s="2" cm="1">
        <f t="array" ref="J16">INDEX('2 过程管理表单'!$71:$71,24+(COLUMN(H9)-1)*3)</f>
        <v>180961.46</v>
      </c>
      <c r="K16" s="2" cm="1">
        <f t="array" ref="K16">INDEX('2 过程管理表单'!$71:$71,24+(COLUMN(I9)-1)*3)</f>
        <v>180961.46</v>
      </c>
      <c r="L16" s="2" cm="1">
        <f t="array" ref="L16">INDEX('2 过程管理表单'!$71:$71,24+(COLUMN(J9)-1)*3)</f>
        <v>180961.46</v>
      </c>
      <c r="M16" s="2" cm="1">
        <f t="array" ref="M16">INDEX('2 过程管理表单'!$71:$71,24+(COLUMN(K9)-1)*3)</f>
        <v>180961.46</v>
      </c>
      <c r="N16" s="2" cm="1">
        <f t="array" ref="N16">INDEX('2 过程管理表单'!$71:$71,24+(COLUMN(L9)-1)*3)</f>
        <v>180961.46</v>
      </c>
    </row>
    <row r="17" spans="1:14">
      <c r="A17" t="s">
        <v>118</v>
      </c>
      <c r="B17" t="s">
        <v>18153</v>
      </c>
      <c r="C17" s="2">
        <f>C16</f>
        <v>180961.46</v>
      </c>
      <c r="D17" s="2">
        <f>C17+D16</f>
        <v>361922.92</v>
      </c>
      <c r="E17" s="2">
        <f t="shared" ref="E17:N17" si="7">D17+E16</f>
        <v>542884.38</v>
      </c>
      <c r="F17" s="2">
        <f t="shared" si="7"/>
        <v>723845.84</v>
      </c>
      <c r="G17" s="2">
        <f t="shared" si="7"/>
        <v>904807.3</v>
      </c>
      <c r="H17" s="2">
        <f t="shared" si="7"/>
        <v>1085768.76</v>
      </c>
      <c r="I17" s="2">
        <f t="shared" si="7"/>
        <v>1266730.22</v>
      </c>
      <c r="J17" s="2">
        <f t="shared" si="7"/>
        <v>1447691.68</v>
      </c>
      <c r="K17" s="2">
        <f t="shared" si="7"/>
        <v>1628653.14</v>
      </c>
      <c r="L17" s="2">
        <f t="shared" si="7"/>
        <v>1809614.6</v>
      </c>
      <c r="M17" s="2">
        <f t="shared" si="7"/>
        <v>1990576.06</v>
      </c>
      <c r="N17" s="2">
        <f t="shared" si="7"/>
        <v>2171537.52</v>
      </c>
    </row>
    <row r="18" spans="1:14">
      <c r="A18" t="s">
        <v>121</v>
      </c>
      <c r="B18" t="s">
        <v>18150</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18151</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18152</v>
      </c>
      <c r="C20" s="2" cm="1">
        <f t="array" ref="C20">INDEX('2 过程管理表单'!$96:$96,24+(COLUMN(A13)-1)*3)</f>
        <v>39976.9</v>
      </c>
      <c r="D20" s="2" cm="1">
        <f t="array" ref="D20">INDEX('2 过程管理表单'!$96:$96,24+(COLUMN(B13)-1)*3)</f>
        <v>39976.9</v>
      </c>
      <c r="E20" s="2" cm="1">
        <f t="array" ref="E20">INDEX('2 过程管理表单'!$96:$96,24+(COLUMN(C13)-1)*3)</f>
        <v>39976.9</v>
      </c>
      <c r="F20" s="2" cm="1">
        <f t="array" ref="F20">INDEX('2 过程管理表单'!$96:$96,24+(COLUMN(D13)-1)*3)</f>
        <v>39976.9</v>
      </c>
      <c r="G20" s="2" cm="1">
        <f t="array" ref="G20">INDEX('2 过程管理表单'!$96:$96,24+(COLUMN(E13)-1)*3)</f>
        <v>39976.9</v>
      </c>
      <c r="H20" s="2" cm="1">
        <f t="array" ref="H20">INDEX('2 过程管理表单'!$96:$96,24+(COLUMN(F13)-1)*3)</f>
        <v>39976.9</v>
      </c>
      <c r="I20" s="2" cm="1">
        <f t="array" ref="I20">INDEX('2 过程管理表单'!$96:$96,24+(COLUMN(G13)-1)*3)</f>
        <v>39976.9</v>
      </c>
      <c r="J20" s="2" cm="1">
        <f t="array" ref="J20">INDEX('2 过程管理表单'!$96:$96,24+(COLUMN(H13)-1)*3)</f>
        <v>39976.9</v>
      </c>
      <c r="K20" s="2" cm="1">
        <f t="array" ref="K20">INDEX('2 过程管理表单'!$96:$96,24+(COLUMN(I13)-1)*3)</f>
        <v>39976.9</v>
      </c>
      <c r="L20" s="2" cm="1">
        <f t="array" ref="L20">INDEX('2 过程管理表单'!$96:$96,24+(COLUMN(J13)-1)*3)</f>
        <v>39976.9</v>
      </c>
      <c r="M20" s="2" cm="1">
        <f t="array" ref="M20">INDEX('2 过程管理表单'!$96:$96,24+(COLUMN(K13)-1)*3)</f>
        <v>39976.9</v>
      </c>
      <c r="N20" s="2" cm="1">
        <f t="array" ref="N20">INDEX('2 过程管理表单'!$96:$96,24+(COLUMN(L13)-1)*3)</f>
        <v>39976.9</v>
      </c>
    </row>
    <row r="21" spans="1:14">
      <c r="A21" t="s">
        <v>121</v>
      </c>
      <c r="B21" t="s">
        <v>18153</v>
      </c>
      <c r="C21" s="2">
        <f>C20</f>
        <v>39976.9</v>
      </c>
      <c r="D21" s="2">
        <f>C21+D20</f>
        <v>79953.8</v>
      </c>
      <c r="E21" s="2">
        <f t="shared" ref="E21:N21" si="9">D21+E20</f>
        <v>119930.7</v>
      </c>
      <c r="F21" s="2">
        <f t="shared" si="9"/>
        <v>159907.6</v>
      </c>
      <c r="G21" s="2">
        <f t="shared" si="9"/>
        <v>199884.5</v>
      </c>
      <c r="H21" s="2">
        <f t="shared" si="9"/>
        <v>239861.4</v>
      </c>
      <c r="I21" s="2">
        <f t="shared" si="9"/>
        <v>279838.3</v>
      </c>
      <c r="J21" s="2">
        <f t="shared" si="9"/>
        <v>319815.2</v>
      </c>
      <c r="K21" s="2">
        <f t="shared" si="9"/>
        <v>359792.1</v>
      </c>
      <c r="L21" s="2">
        <f t="shared" si="9"/>
        <v>399769</v>
      </c>
      <c r="M21" s="2">
        <f t="shared" si="9"/>
        <v>439745.9</v>
      </c>
      <c r="N21" s="2">
        <f t="shared" si="9"/>
        <v>479722.8</v>
      </c>
    </row>
    <row r="22" spans="1:14">
      <c r="A22" t="s">
        <v>124</v>
      </c>
      <c r="B22" t="s">
        <v>18150</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18151</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18152</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18153</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18150</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18151</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18152</v>
      </c>
      <c r="C28" s="2" cm="1">
        <f t="array" ref="C28">INDEX('2 过程管理表单'!$140:$140,24+(COLUMN(A21)-1)*3)</f>
        <v>25000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18153</v>
      </c>
      <c r="C29" s="2">
        <f>C28</f>
        <v>25000</v>
      </c>
      <c r="D29" s="2">
        <f>C29+D28</f>
        <v>25000</v>
      </c>
      <c r="E29" s="2">
        <f t="shared" ref="E29:N29" si="13">D29+E28</f>
        <v>25000</v>
      </c>
      <c r="F29" s="2">
        <f t="shared" si="13"/>
        <v>25000</v>
      </c>
      <c r="G29" s="2">
        <f t="shared" si="13"/>
        <v>25000</v>
      </c>
      <c r="H29" s="2">
        <f t="shared" si="13"/>
        <v>25000</v>
      </c>
      <c r="I29" s="2">
        <f t="shared" si="13"/>
        <v>25000</v>
      </c>
      <c r="J29" s="2">
        <f t="shared" si="13"/>
        <v>25000</v>
      </c>
      <c r="K29" s="2">
        <f t="shared" si="13"/>
        <v>25000</v>
      </c>
      <c r="L29" s="2">
        <f t="shared" si="13"/>
        <v>25000</v>
      </c>
      <c r="M29" s="2">
        <f t="shared" si="13"/>
        <v>25000</v>
      </c>
      <c r="N29" s="2">
        <f t="shared" si="13"/>
        <v>25000</v>
      </c>
    </row>
    <row r="30" spans="1:14">
      <c r="A30" t="s">
        <v>130</v>
      </c>
      <c r="B30" t="s">
        <v>18150</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18151</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18152</v>
      </c>
      <c r="C32" s="2" cm="1">
        <f t="array" ref="C32">INDEX('2 过程管理表单'!$159:$159,24+(COLUMN(A25)-1)*3)</f>
        <v>38800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18153</v>
      </c>
      <c r="C33" s="2">
        <f>C32</f>
        <v>38800</v>
      </c>
      <c r="D33" s="2">
        <f>C33+D32</f>
        <v>38800</v>
      </c>
      <c r="E33" s="2">
        <f t="shared" ref="E33:N33" si="15">D33+E32</f>
        <v>38800</v>
      </c>
      <c r="F33" s="2">
        <f t="shared" si="15"/>
        <v>38800</v>
      </c>
      <c r="G33" s="2">
        <f t="shared" si="15"/>
        <v>38800</v>
      </c>
      <c r="H33" s="2">
        <f t="shared" si="15"/>
        <v>38800</v>
      </c>
      <c r="I33" s="2">
        <f t="shared" si="15"/>
        <v>38800</v>
      </c>
      <c r="J33" s="2">
        <f t="shared" si="15"/>
        <v>38800</v>
      </c>
      <c r="K33" s="2">
        <f t="shared" si="15"/>
        <v>38800</v>
      </c>
      <c r="L33" s="2">
        <f t="shared" si="15"/>
        <v>38800</v>
      </c>
      <c r="M33" s="2">
        <f t="shared" si="15"/>
        <v>38800</v>
      </c>
      <c r="N33" s="2">
        <f t="shared" si="15"/>
        <v>38800</v>
      </c>
    </row>
    <row r="34" spans="2:14">
      <c r="B34" t="s">
        <v>18194</v>
      </c>
      <c r="C34" s="3">
        <f t="shared" ref="C34:N34" si="16">C6+C10+C14+C18+C22+C26+C30+C2</f>
        <v>5552.23880597015</v>
      </c>
      <c r="D34" s="3">
        <f t="shared" si="16"/>
        <v>5014.92537313433</v>
      </c>
      <c r="E34" s="3">
        <f t="shared" si="16"/>
        <v>5552.23880597015</v>
      </c>
      <c r="F34" s="3">
        <f t="shared" si="16"/>
        <v>5373.13432835821</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18195</v>
      </c>
      <c r="C35" s="2">
        <f>C34</f>
        <v>5552.23880597015</v>
      </c>
      <c r="D35" s="2">
        <f>C35+D34</f>
        <v>10567.1641791045</v>
      </c>
      <c r="E35" s="2">
        <f t="shared" ref="E35:N35" si="17">D35+E34</f>
        <v>16119.4029850746</v>
      </c>
      <c r="F35" s="2">
        <f t="shared" si="17"/>
        <v>21492.5373134328</v>
      </c>
      <c r="G35" s="2">
        <f t="shared" si="17"/>
        <v>21492.5373134328</v>
      </c>
      <c r="H35" s="2">
        <f t="shared" si="17"/>
        <v>21492.5373134328</v>
      </c>
      <c r="I35" s="2">
        <f t="shared" si="17"/>
        <v>21492.5373134328</v>
      </c>
      <c r="J35" s="2">
        <f t="shared" si="17"/>
        <v>21492.5373134328</v>
      </c>
      <c r="K35" s="2">
        <f t="shared" si="17"/>
        <v>21492.5373134328</v>
      </c>
      <c r="L35" s="2">
        <f t="shared" si="17"/>
        <v>21492.5373134328</v>
      </c>
      <c r="M35" s="2">
        <f t="shared" si="17"/>
        <v>21492.5373134328</v>
      </c>
      <c r="N35" s="2">
        <f t="shared" si="17"/>
        <v>21492.5373134328</v>
      </c>
    </row>
    <row r="36" spans="2:14">
      <c r="B36" t="s">
        <v>18196</v>
      </c>
      <c r="C36" s="3">
        <f t="shared" ref="C36:N36" si="18">C4+C8+C12+C16+C20+C24+C28+C32</f>
        <v>2227559.11548265</v>
      </c>
      <c r="D36" s="3">
        <f t="shared" si="18"/>
        <v>1486728.32548265</v>
      </c>
      <c r="E36" s="3">
        <f t="shared" si="18"/>
        <v>1486728.32548265</v>
      </c>
      <c r="F36" s="3">
        <f t="shared" si="18"/>
        <v>1486728.32548265</v>
      </c>
      <c r="G36" s="3">
        <f t="shared" si="18"/>
        <v>1486728.32548265</v>
      </c>
      <c r="H36" s="3">
        <f t="shared" si="18"/>
        <v>1486728.32548265</v>
      </c>
      <c r="I36" s="3">
        <f t="shared" si="18"/>
        <v>1486728.32548265</v>
      </c>
      <c r="J36" s="3">
        <f t="shared" si="18"/>
        <v>1486728.32548265</v>
      </c>
      <c r="K36" s="3">
        <f t="shared" si="18"/>
        <v>1486728.32548265</v>
      </c>
      <c r="L36" s="3">
        <f t="shared" si="18"/>
        <v>1486728.32548265</v>
      </c>
      <c r="M36" s="3">
        <f t="shared" si="18"/>
        <v>1486728.32548265</v>
      </c>
      <c r="N36" s="3">
        <f t="shared" si="18"/>
        <v>1486728.32548265</v>
      </c>
    </row>
    <row r="37" spans="2:14">
      <c r="B37" t="s">
        <v>18197</v>
      </c>
      <c r="C37" s="2">
        <f>C36</f>
        <v>2227559.11548265</v>
      </c>
      <c r="D37" s="2">
        <f>C37+D36</f>
        <v>3714287.4409653</v>
      </c>
      <c r="E37" s="2">
        <f t="shared" ref="E37:N37" si="19">D37+E36</f>
        <v>5201015.76644795</v>
      </c>
      <c r="F37" s="2">
        <f t="shared" si="19"/>
        <v>6687744.0919306</v>
      </c>
      <c r="G37" s="2">
        <f t="shared" si="19"/>
        <v>8174472.41741325</v>
      </c>
      <c r="H37" s="2">
        <f t="shared" si="19"/>
        <v>9661200.7428959</v>
      </c>
      <c r="I37" s="2">
        <f t="shared" si="19"/>
        <v>11147929.0683785</v>
      </c>
      <c r="J37" s="2">
        <f t="shared" si="19"/>
        <v>12634657.3938612</v>
      </c>
      <c r="K37" s="2">
        <f t="shared" si="19"/>
        <v>14121385.7193438</v>
      </c>
      <c r="L37" s="2">
        <f t="shared" si="19"/>
        <v>15608114.0448265</v>
      </c>
      <c r="M37" s="2">
        <f t="shared" si="19"/>
        <v>17094842.3703091</v>
      </c>
      <c r="N37" s="2">
        <f t="shared" si="19"/>
        <v>18581570.6957918</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18198</v>
      </c>
      <c r="C1" t="s">
        <v>759</v>
      </c>
      <c r="D1" t="s">
        <v>760</v>
      </c>
      <c r="E1" t="s">
        <v>761</v>
      </c>
      <c r="F1" t="s">
        <v>762</v>
      </c>
      <c r="G1" t="s">
        <v>763</v>
      </c>
      <c r="H1" t="s">
        <v>764</v>
      </c>
      <c r="I1" t="s">
        <v>765</v>
      </c>
      <c r="J1" t="s">
        <v>766</v>
      </c>
      <c r="K1" t="s">
        <v>767</v>
      </c>
      <c r="L1" t="s">
        <v>768</v>
      </c>
      <c r="M1" t="s">
        <v>769</v>
      </c>
      <c r="N1" t="s">
        <v>770</v>
      </c>
    </row>
    <row r="2" spans="1:14">
      <c r="A2" t="s">
        <v>18</v>
      </c>
      <c r="B2" t="s">
        <v>18150</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18152</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864</v>
      </c>
      <c r="B6" t="s">
        <v>18150</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864</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864</v>
      </c>
      <c r="B8" t="s">
        <v>18152</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864</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18150</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529854.026086956</v>
      </c>
      <c r="G10" cm="1">
        <f t="array" ref="G10">INDEX('2 过程管理表单'!$58:$58,26+(COLUMN(E1)-1)*3)</f>
        <v>547515.826956522</v>
      </c>
      <c r="H10" cm="1">
        <f t="array" ref="H10">INDEX('2 过程管理表单'!$58:$58,26+(COLUMN(F1)-1)*3)</f>
        <v>529854.026086956</v>
      </c>
      <c r="I10" cm="1">
        <f t="array" ref="I10">INDEX('2 过程管理表单'!$58:$58,26+(COLUMN(G1)-1)*3)</f>
        <v>547515.826956522</v>
      </c>
      <c r="J10" cm="1">
        <f t="array" ref="J10">INDEX('2 过程管理表单'!$58:$58,26+(COLUMN(H1)-1)*3)</f>
        <v>547515.826956522</v>
      </c>
      <c r="K10" cm="1">
        <f t="array" ref="K10">INDEX('2 过程管理表单'!$58:$58,26+(COLUMN(I1)-1)*3)</f>
        <v>529854.026086956</v>
      </c>
      <c r="L10" cm="1">
        <f t="array" ref="L10">INDEX('2 过程管理表单'!$58:$58,26+(COLUMN(J1)-1)*3)</f>
        <v>547515.826956522</v>
      </c>
      <c r="M10" cm="1">
        <f t="array" ref="M10">INDEX('2 过程管理表单'!$58:$58,26+(COLUMN(K1)-1)*3)</f>
        <v>529854.026086956</v>
      </c>
      <c r="N10" cm="1">
        <f t="array" ref="N10">INDEX('2 过程管理表单'!$58:$58,26+(COLUMN(L1)-1)*3)</f>
        <v>547515.826956522</v>
      </c>
    </row>
    <row r="11" spans="1:14">
      <c r="A11" t="s">
        <v>14</v>
      </c>
      <c r="B11" t="s">
        <v>18151</v>
      </c>
      <c r="C11">
        <f>C10</f>
        <v>0</v>
      </c>
      <c r="D11">
        <f>C11+D10</f>
        <v>0</v>
      </c>
      <c r="E11">
        <f t="shared" ref="E11:N11" si="4">D11+E10</f>
        <v>0</v>
      </c>
      <c r="F11">
        <f t="shared" si="4"/>
        <v>529854.026086956</v>
      </c>
      <c r="G11">
        <f t="shared" si="4"/>
        <v>1077369.85304348</v>
      </c>
      <c r="H11">
        <f t="shared" si="4"/>
        <v>1607223.87913043</v>
      </c>
      <c r="I11">
        <f t="shared" si="4"/>
        <v>2154739.70608696</v>
      </c>
      <c r="J11">
        <f t="shared" si="4"/>
        <v>2702255.53304348</v>
      </c>
      <c r="K11">
        <f t="shared" si="4"/>
        <v>3232109.55913043</v>
      </c>
      <c r="L11">
        <f t="shared" si="4"/>
        <v>3779625.38608696</v>
      </c>
      <c r="M11">
        <f t="shared" si="4"/>
        <v>4309479.41217391</v>
      </c>
      <c r="N11">
        <f t="shared" si="4"/>
        <v>4856995.23913043</v>
      </c>
    </row>
    <row r="12" spans="1:14">
      <c r="A12" t="s">
        <v>14</v>
      </c>
      <c r="B12" t="s">
        <v>18152</v>
      </c>
      <c r="C12" cm="1">
        <f t="array" ref="C12">INDEX('2 过程管理表单'!$58:$58,24+(COLUMN(A9)-1)*3)</f>
        <v>486942.457861635</v>
      </c>
      <c r="D12" cm="1">
        <f t="array" ref="D12">INDEX('2 过程管理表单'!$58:$58,24+(COLUMN(B9)-1)*3)</f>
        <v>486942.457861635</v>
      </c>
      <c r="E12" cm="1">
        <f t="array" ref="E12">INDEX('2 过程管理表单'!$58:$58,24+(COLUMN(C9)-1)*3)</f>
        <v>486942.457861635</v>
      </c>
      <c r="F12" cm="1">
        <f t="array" ref="F12">INDEX('2 过程管理表单'!$58:$58,24+(COLUMN(D9)-1)*3)</f>
        <v>486942.457861635</v>
      </c>
      <c r="G12" cm="1">
        <f t="array" ref="G12">INDEX('2 过程管理表单'!$58:$58,24+(COLUMN(E9)-1)*3)</f>
        <v>486942.457861635</v>
      </c>
      <c r="H12" cm="1">
        <f t="array" ref="H12">INDEX('2 过程管理表单'!$58:$58,24+(COLUMN(F9)-1)*3)</f>
        <v>486942.457861635</v>
      </c>
      <c r="I12" cm="1">
        <f t="array" ref="I12">INDEX('2 过程管理表单'!$58:$58,24+(COLUMN(G9)-1)*3)</f>
        <v>486942.457861635</v>
      </c>
      <c r="J12" cm="1">
        <f t="array" ref="J12">INDEX('2 过程管理表单'!$58:$58,24+(COLUMN(H9)-1)*3)</f>
        <v>486942.457861635</v>
      </c>
      <c r="K12" cm="1">
        <f t="array" ref="K12">INDEX('2 过程管理表单'!$58:$58,24+(COLUMN(I9)-1)*3)</f>
        <v>486942.457861635</v>
      </c>
      <c r="L12" cm="1">
        <f t="array" ref="L12">INDEX('2 过程管理表单'!$58:$58,24+(COLUMN(J9)-1)*3)</f>
        <v>486942.457861635</v>
      </c>
      <c r="M12" cm="1">
        <f t="array" ref="M12">INDEX('2 过程管理表单'!$58:$58,24+(COLUMN(K9)-1)*3)</f>
        <v>486942.457861635</v>
      </c>
      <c r="N12" cm="1">
        <f t="array" ref="N12">INDEX('2 过程管理表单'!$58:$58,24+(COLUMN(L9)-1)*3)</f>
        <v>486942.457861635</v>
      </c>
    </row>
    <row r="13" spans="1:14">
      <c r="A13" t="s">
        <v>14</v>
      </c>
      <c r="B13" t="s">
        <v>18153</v>
      </c>
      <c r="C13">
        <f>C12</f>
        <v>486942.457861635</v>
      </c>
      <c r="D13">
        <f>C13+D12</f>
        <v>973884.91572327</v>
      </c>
      <c r="E13">
        <f t="shared" ref="E13:N13" si="5">D13+E12</f>
        <v>1460827.37358491</v>
      </c>
      <c r="F13">
        <f t="shared" si="5"/>
        <v>1947769.83144654</v>
      </c>
      <c r="G13">
        <f t="shared" si="5"/>
        <v>2434712.28930817</v>
      </c>
      <c r="H13">
        <f t="shared" si="5"/>
        <v>2921654.74716981</v>
      </c>
      <c r="I13">
        <f t="shared" si="5"/>
        <v>3408597.20503144</v>
      </c>
      <c r="J13">
        <f t="shared" si="5"/>
        <v>3895539.66289308</v>
      </c>
      <c r="K13">
        <f t="shared" si="5"/>
        <v>4382482.12075472</v>
      </c>
      <c r="L13">
        <f t="shared" si="5"/>
        <v>4869424.57861635</v>
      </c>
      <c r="M13">
        <f t="shared" si="5"/>
        <v>5356367.03647798</v>
      </c>
      <c r="N13">
        <f t="shared" si="5"/>
        <v>5843309.49433962</v>
      </c>
    </row>
    <row r="14" spans="1:14">
      <c r="A14" t="s">
        <v>931</v>
      </c>
      <c r="B14" t="s">
        <v>18150</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931</v>
      </c>
      <c r="B16" t="s">
        <v>18152</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1012</v>
      </c>
      <c r="B18" t="s">
        <v>18150</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1012</v>
      </c>
      <c r="B20" t="s">
        <v>18152</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1024</v>
      </c>
      <c r="B22" t="s">
        <v>18150</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1024</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1024</v>
      </c>
      <c r="B24" t="s">
        <v>18152</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1024</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1049</v>
      </c>
      <c r="B26" t="s">
        <v>18150</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1049</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1049</v>
      </c>
      <c r="B28" t="s">
        <v>18152</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1049</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18150</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18152</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18150</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18151</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18152</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1106</v>
      </c>
      <c r="B38" t="s">
        <v>18150</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1106</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1106</v>
      </c>
      <c r="B40" t="s">
        <v>18152</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1106</v>
      </c>
      <c r="B41" t="s">
        <v>18153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1132</v>
      </c>
      <c r="B42" t="s">
        <v>18150</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1132</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1132</v>
      </c>
      <c r="B44" t="s">
        <v>18152</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1132</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18194</v>
      </c>
      <c r="C46">
        <f>C2+C6+C10+C14+C18+C22+C26+C30+C34+C38+C42</f>
        <v>0</v>
      </c>
      <c r="D46">
        <f t="shared" ref="D46:N46" si="22">D2+D6+D10+D14+D18+D22+D26+D30+D34+D38+D42</f>
        <v>0</v>
      </c>
      <c r="E46">
        <f t="shared" si="22"/>
        <v>0</v>
      </c>
      <c r="F46">
        <f t="shared" si="22"/>
        <v>529854.026086956</v>
      </c>
      <c r="G46">
        <f t="shared" si="22"/>
        <v>547515.826956522</v>
      </c>
      <c r="H46">
        <f t="shared" si="22"/>
        <v>529854.026086956</v>
      </c>
      <c r="I46">
        <f t="shared" si="22"/>
        <v>547515.826956522</v>
      </c>
      <c r="J46">
        <f t="shared" si="22"/>
        <v>547515.826956522</v>
      </c>
      <c r="K46">
        <f t="shared" si="22"/>
        <v>529854.026086956</v>
      </c>
      <c r="L46">
        <f t="shared" si="22"/>
        <v>547515.826956522</v>
      </c>
      <c r="M46">
        <f t="shared" si="22"/>
        <v>529854.026086956</v>
      </c>
      <c r="N46">
        <f t="shared" si="22"/>
        <v>547515.826956522</v>
      </c>
    </row>
    <row r="47" spans="2:14">
      <c r="B47" t="s">
        <v>18195</v>
      </c>
      <c r="C47">
        <f>C46</f>
        <v>0</v>
      </c>
      <c r="D47">
        <f>C47+D46</f>
        <v>0</v>
      </c>
      <c r="E47">
        <f t="shared" ref="E47:N47" si="23">D47+E46</f>
        <v>0</v>
      </c>
      <c r="F47">
        <f t="shared" si="23"/>
        <v>529854.026086956</v>
      </c>
      <c r="G47">
        <f t="shared" si="23"/>
        <v>1077369.85304348</v>
      </c>
      <c r="H47">
        <f t="shared" si="23"/>
        <v>1607223.87913043</v>
      </c>
      <c r="I47">
        <f t="shared" si="23"/>
        <v>2154739.70608696</v>
      </c>
      <c r="J47">
        <f t="shared" si="23"/>
        <v>2702255.53304348</v>
      </c>
      <c r="K47">
        <f t="shared" si="23"/>
        <v>3232109.55913043</v>
      </c>
      <c r="L47">
        <f t="shared" si="23"/>
        <v>3779625.38608696</v>
      </c>
      <c r="M47">
        <f t="shared" si="23"/>
        <v>4309479.41217391</v>
      </c>
      <c r="N47">
        <f t="shared" si="23"/>
        <v>4856995.23913043</v>
      </c>
    </row>
    <row r="48" spans="2:14">
      <c r="B48" t="s">
        <v>18196</v>
      </c>
      <c r="C48">
        <f>C4+C8+C12+C16+C20+C24+C28+C32+C36+C40+C44</f>
        <v>486942.457861635</v>
      </c>
      <c r="D48">
        <f t="shared" ref="D48:N48" si="24">D4+D8+D12+D16+D20+D24+D28+D32+D36+D40+D44</f>
        <v>486942.457861635</v>
      </c>
      <c r="E48">
        <f t="shared" si="24"/>
        <v>486942.457861635</v>
      </c>
      <c r="F48">
        <f t="shared" si="24"/>
        <v>486942.457861635</v>
      </c>
      <c r="G48">
        <f t="shared" si="24"/>
        <v>486942.457861635</v>
      </c>
      <c r="H48">
        <f t="shared" si="24"/>
        <v>486942.457861635</v>
      </c>
      <c r="I48">
        <f t="shared" si="24"/>
        <v>486942.457861635</v>
      </c>
      <c r="J48">
        <f t="shared" si="24"/>
        <v>486942.457861635</v>
      </c>
      <c r="K48">
        <f t="shared" si="24"/>
        <v>486942.457861635</v>
      </c>
      <c r="L48">
        <f t="shared" si="24"/>
        <v>486942.457861635</v>
      </c>
      <c r="M48">
        <f t="shared" si="24"/>
        <v>486942.457861635</v>
      </c>
      <c r="N48">
        <f t="shared" si="24"/>
        <v>486942.457861635</v>
      </c>
    </row>
    <row r="49" spans="2:14">
      <c r="B49" t="s">
        <v>18197</v>
      </c>
      <c r="C49">
        <f>C48</f>
        <v>486942.457861635</v>
      </c>
      <c r="D49">
        <f>C49+D48</f>
        <v>973884.91572327</v>
      </c>
      <c r="E49">
        <f t="shared" ref="E49:N49" si="25">D49+E48</f>
        <v>1460827.37358491</v>
      </c>
      <c r="F49">
        <f t="shared" si="25"/>
        <v>1947769.83144654</v>
      </c>
      <c r="G49">
        <f t="shared" si="25"/>
        <v>2434712.28930817</v>
      </c>
      <c r="H49">
        <f t="shared" si="25"/>
        <v>2921654.74716981</v>
      </c>
      <c r="I49">
        <f t="shared" si="25"/>
        <v>3408597.20503144</v>
      </c>
      <c r="J49">
        <f t="shared" si="25"/>
        <v>3895539.66289308</v>
      </c>
      <c r="K49">
        <f t="shared" si="25"/>
        <v>4382482.12075472</v>
      </c>
      <c r="L49">
        <f t="shared" si="25"/>
        <v>4869424.57861635</v>
      </c>
      <c r="M49">
        <f t="shared" si="25"/>
        <v>5356367.03647798</v>
      </c>
      <c r="N49">
        <f t="shared" si="25"/>
        <v>5843309.49433962</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17620</v>
      </c>
      <c r="C1" s="1" t="s">
        <v>18199</v>
      </c>
      <c r="D1" s="1" t="s">
        <v>18200</v>
      </c>
      <c r="E1" s="1" t="s">
        <v>18201</v>
      </c>
      <c r="F1" s="1" t="s">
        <v>18202</v>
      </c>
      <c r="G1" s="1" t="s">
        <v>18203</v>
      </c>
      <c r="H1" s="1" t="s">
        <v>18204</v>
      </c>
      <c r="I1" s="1" t="s">
        <v>18205</v>
      </c>
      <c r="J1" s="1" t="s">
        <v>18206</v>
      </c>
      <c r="K1" s="1" t="s">
        <v>18207</v>
      </c>
      <c r="L1" s="1" t="s">
        <v>18208</v>
      </c>
      <c r="M1" s="1" t="s">
        <v>18209</v>
      </c>
      <c r="N1" s="1" t="s">
        <v>18210</v>
      </c>
    </row>
    <row r="2" spans="1:14">
      <c r="A2" t="s">
        <v>218</v>
      </c>
      <c r="B2" t="s">
        <v>18150</v>
      </c>
      <c r="C2">
        <f>INDEX('2 过程管理表单'!$6:$6,26+(COLUMN(A$1)-1)*3)</f>
        <v>5552.23880597015</v>
      </c>
      <c r="D2">
        <f>INDEX('2 过程管理表单'!$6:$6,26+(COLUMN(B$1)-1)*3)</f>
        <v>5014.92537313433</v>
      </c>
      <c r="E2">
        <f>INDEX('2 过程管理表单'!$6:$6,26+(COLUMN(C$1)-1)*3)</f>
        <v>5552.23880597015</v>
      </c>
      <c r="F2">
        <f>INDEX('2 过程管理表单'!$6:$6,26+(COLUMN(D$1)-1)*3)</f>
        <v>535227.160415314</v>
      </c>
      <c r="G2">
        <f>INDEX('2 过程管理表单'!$6:$6,26+(COLUMN(E$1)-1)*3)</f>
        <v>547515.826956522</v>
      </c>
      <c r="H2">
        <f>INDEX('2 过程管理表单'!$6:$6,26+(COLUMN(F$1)-1)*3)</f>
        <v>529854.026086956</v>
      </c>
      <c r="I2">
        <f>INDEX('2 过程管理表单'!$6:$6,26+(COLUMN(G$1)-1)*3)</f>
        <v>547515.826956522</v>
      </c>
      <c r="J2">
        <f>INDEX('2 过程管理表单'!$6:$6,26+(COLUMN(H$1)-1)*3)</f>
        <v>547515.826956522</v>
      </c>
      <c r="K2">
        <f>INDEX('2 过程管理表单'!$6:$6,26+(COLUMN(I$1)-1)*3)</f>
        <v>529854.026086956</v>
      </c>
      <c r="L2">
        <f>INDEX('2 过程管理表单'!$6:$6,26+(COLUMN(J$1)-1)*3)</f>
        <v>547515.826956522</v>
      </c>
      <c r="M2">
        <f>INDEX('2 过程管理表单'!$6:$6,26+(COLUMN(K$1)-1)*3)</f>
        <v>529854.026086956</v>
      </c>
      <c r="N2">
        <f>INDEX('2 过程管理表单'!$6:$6,26+(COLUMN(L$1)-1)*3)</f>
        <v>547515.826956522</v>
      </c>
    </row>
    <row r="3" spans="1:14">
      <c r="A3" t="s">
        <v>218</v>
      </c>
      <c r="B3" t="s">
        <v>18151</v>
      </c>
      <c r="C3">
        <f>C2</f>
        <v>5552.23880597015</v>
      </c>
      <c r="D3">
        <f>C3+D2</f>
        <v>10567.1641791045</v>
      </c>
      <c r="E3">
        <f t="shared" ref="E3:N3" si="0">D3+E2</f>
        <v>16119.4029850746</v>
      </c>
      <c r="F3">
        <f t="shared" si="0"/>
        <v>551346.563400389</v>
      </c>
      <c r="G3">
        <f t="shared" si="0"/>
        <v>1098862.39035691</v>
      </c>
      <c r="H3">
        <f t="shared" si="0"/>
        <v>1628716.41644387</v>
      </c>
      <c r="I3">
        <f t="shared" si="0"/>
        <v>2176232.24340039</v>
      </c>
      <c r="J3">
        <f t="shared" si="0"/>
        <v>2723748.07035691</v>
      </c>
      <c r="K3">
        <f t="shared" si="0"/>
        <v>3253602.09644387</v>
      </c>
      <c r="L3">
        <f t="shared" si="0"/>
        <v>3801117.92340039</v>
      </c>
      <c r="M3">
        <f t="shared" si="0"/>
        <v>4330971.94948735</v>
      </c>
      <c r="N3">
        <f t="shared" si="0"/>
        <v>4878487.77644387</v>
      </c>
    </row>
    <row r="4" spans="1:14">
      <c r="A4" t="s">
        <v>218</v>
      </c>
      <c r="B4" t="s">
        <v>18152</v>
      </c>
      <c r="C4">
        <f>INDEX('2 过程管理表单'!$6:$6,24+(COLUMN(A$1)-1)*3)</f>
        <v>2714501.57334429</v>
      </c>
      <c r="D4">
        <f>INDEX('2 过程管理表单'!$6:$6,24+(COLUMN(B$1)-1)*3)</f>
        <v>1973670.78334429</v>
      </c>
      <c r="E4">
        <f>INDEX('2 过程管理表单'!$6:$6,24+(COLUMN(C$1)-1)*3)</f>
        <v>1973670.78334429</v>
      </c>
      <c r="F4">
        <f>INDEX('2 过程管理表单'!$6:$6,24+(COLUMN(D$1)-1)*3)</f>
        <v>1973670.78334429</v>
      </c>
      <c r="G4">
        <f>INDEX('2 过程管理表单'!$6:$6,24+(COLUMN(E$1)-1)*3)</f>
        <v>1973670.78334429</v>
      </c>
      <c r="H4">
        <f>INDEX('2 过程管理表单'!$6:$6,24+(COLUMN(F$1)-1)*3)</f>
        <v>1973670.78334429</v>
      </c>
      <c r="I4">
        <f>INDEX('2 过程管理表单'!$6:$6,24+(COLUMN(G$1)-1)*3)</f>
        <v>1973670.78334429</v>
      </c>
      <c r="J4">
        <f>INDEX('2 过程管理表单'!$6:$6,24+(COLUMN(H$1)-1)*3)</f>
        <v>1973670.78334429</v>
      </c>
      <c r="K4">
        <f>INDEX('2 过程管理表单'!$6:$6,24+(COLUMN(I$1)-1)*3)</f>
        <v>1973670.78334429</v>
      </c>
      <c r="L4">
        <f>INDEX('2 过程管理表单'!$6:$6,24+(COLUMN(J$1)-1)*3)</f>
        <v>1973670.78334429</v>
      </c>
      <c r="M4">
        <f>INDEX('2 过程管理表单'!$6:$6,24+(COLUMN(K$1)-1)*3)</f>
        <v>1973670.78334429</v>
      </c>
      <c r="N4">
        <f>INDEX('2 过程管理表单'!$6:$6,24+(COLUMN(L$1)-1)*3)</f>
        <v>1973670.78334429</v>
      </c>
    </row>
    <row r="5" spans="1:14">
      <c r="A5" t="s">
        <v>218</v>
      </c>
      <c r="B5" t="s">
        <v>18153</v>
      </c>
      <c r="C5">
        <f>C4</f>
        <v>2714501.57334429</v>
      </c>
      <c r="D5">
        <f>C5+D4</f>
        <v>4688172.35668858</v>
      </c>
      <c r="E5">
        <f t="shared" ref="E5:N5" si="1">D5+E4</f>
        <v>6661843.14003287</v>
      </c>
      <c r="F5">
        <f t="shared" si="1"/>
        <v>8635513.92337716</v>
      </c>
      <c r="G5">
        <f t="shared" si="1"/>
        <v>10609184.7067214</v>
      </c>
      <c r="H5">
        <f t="shared" si="1"/>
        <v>12582855.4900657</v>
      </c>
      <c r="I5">
        <f t="shared" si="1"/>
        <v>14556526.27341</v>
      </c>
      <c r="J5">
        <f t="shared" si="1"/>
        <v>16530197.0567543</v>
      </c>
      <c r="K5">
        <f t="shared" si="1"/>
        <v>18503867.8400986</v>
      </c>
      <c r="L5">
        <f t="shared" si="1"/>
        <v>20477538.6234429</v>
      </c>
      <c r="M5">
        <f t="shared" si="1"/>
        <v>22451209.4067872</v>
      </c>
      <c r="N5">
        <f t="shared" si="1"/>
        <v>24424880.1901315</v>
      </c>
    </row>
    <row r="6" spans="1:14">
      <c r="A6" t="s">
        <v>220</v>
      </c>
      <c r="B6" t="s">
        <v>18150</v>
      </c>
      <c r="C6">
        <f>INDEX('2 过程管理表单'!$177:$177,26+(COLUMN(A$1)-1)*3)</f>
        <v>9940.22189356286</v>
      </c>
      <c r="D6">
        <f>INDEX('2 过程管理表单'!$177:$177,26+(COLUMN(B$1)-1)*3)</f>
        <v>22001.8035881593</v>
      </c>
      <c r="E6">
        <f>INDEX('2 过程管理表单'!$177:$177,26+(COLUMN(C$1)-1)*3)</f>
        <v>98220.9958014647</v>
      </c>
      <c r="F6">
        <f>INDEX('2 过程管理表单'!$177:$177,26+(COLUMN(D$1)-1)*3)</f>
        <v>153320.011494578</v>
      </c>
      <c r="G6">
        <f>INDEX('2 过程管理表单'!$177:$177,26+(COLUMN(E$1)-1)*3)</f>
        <v>151761.815692723</v>
      </c>
      <c r="H6">
        <f>INDEX('2 过程管理表单'!$177:$177,26+(COLUMN(F$1)-1)*3)</f>
        <v>150058.273251023</v>
      </c>
      <c r="I6">
        <f>INDEX('2 过程管理表单'!$177:$177,26+(COLUMN(G$1)-1)*3)</f>
        <v>158611.304185874</v>
      </c>
      <c r="J6">
        <f>INDEX('2 过程管理表单'!$177:$177,26+(COLUMN(H$1)-1)*3)</f>
        <v>155899.523421204</v>
      </c>
      <c r="K6">
        <f>INDEX('2 过程管理表单'!$177:$177,26+(COLUMN(I$1)-1)*3)</f>
        <v>144668.259345638</v>
      </c>
      <c r="L6">
        <f>INDEX('2 过程管理表单'!$177:$177,26+(COLUMN(J$1)-1)*3)</f>
        <v>123854.579600979</v>
      </c>
      <c r="M6">
        <f>INDEX('2 过程管理表单'!$177:$177,26+(COLUMN(K$1)-1)*3)</f>
        <v>119859.270581593</v>
      </c>
      <c r="N6">
        <f>INDEX('2 过程管理表单'!$177:$177,26+(COLUMN(L$1)-1)*3)</f>
        <v>123012.333025637</v>
      </c>
    </row>
    <row r="7" spans="1:14">
      <c r="A7" t="s">
        <v>220</v>
      </c>
      <c r="B7" t="s">
        <v>18151</v>
      </c>
      <c r="C7">
        <f>C6</f>
        <v>9940.22189356286</v>
      </c>
      <c r="D7">
        <f>C7+D6</f>
        <v>31942.0254817222</v>
      </c>
      <c r="E7">
        <f t="shared" ref="E7:N7" si="2">D7+E6</f>
        <v>130163.021283187</v>
      </c>
      <c r="F7">
        <f t="shared" si="2"/>
        <v>283483.032777765</v>
      </c>
      <c r="G7">
        <f t="shared" si="2"/>
        <v>435244.848470488</v>
      </c>
      <c r="H7">
        <f t="shared" si="2"/>
        <v>585303.12172151</v>
      </c>
      <c r="I7">
        <f t="shared" si="2"/>
        <v>743914.425907384</v>
      </c>
      <c r="J7">
        <f t="shared" si="2"/>
        <v>899813.949328588</v>
      </c>
      <c r="K7">
        <f t="shared" si="2"/>
        <v>1044482.20867423</v>
      </c>
      <c r="L7">
        <f t="shared" si="2"/>
        <v>1168336.78827521</v>
      </c>
      <c r="M7">
        <f t="shared" si="2"/>
        <v>1288196.0588568</v>
      </c>
      <c r="N7">
        <f t="shared" si="2"/>
        <v>1411208.39188244</v>
      </c>
    </row>
    <row r="8" spans="1:14">
      <c r="A8" t="s">
        <v>220</v>
      </c>
      <c r="B8" t="s">
        <v>18152</v>
      </c>
      <c r="C8">
        <f>INDEX('2 过程管理表单'!$177:$177,24+(COLUMN(A$1)-1)*3)</f>
        <v>186020.629923063</v>
      </c>
      <c r="D8">
        <f>INDEX('2 过程管理表单'!$177:$177,24+(COLUMN(B$1)-1)*3)</f>
        <v>25619.4575471698</v>
      </c>
      <c r="E8">
        <f>INDEX('2 过程管理表单'!$177:$177,24+(COLUMN(C$1)-1)*3)</f>
        <v>25619.4575471698</v>
      </c>
      <c r="F8">
        <f>INDEX('2 过程管理表单'!$177:$177,24+(COLUMN(D$1)-1)*3)</f>
        <v>25619.4575471698</v>
      </c>
      <c r="G8">
        <f>INDEX('2 过程管理表单'!$177:$177,24+(COLUMN(E$1)-1)*3)</f>
        <v>25619.4575471698</v>
      </c>
      <c r="H8">
        <f>INDEX('2 过程管理表单'!$177:$177,24+(COLUMN(F$1)-1)*3)</f>
        <v>25619.4575471698</v>
      </c>
      <c r="I8">
        <f>INDEX('2 过程管理表单'!$177:$177,24+(COLUMN(G$1)-1)*3)</f>
        <v>25619.4575471698</v>
      </c>
      <c r="J8">
        <f>INDEX('2 过程管理表单'!$177:$177,24+(COLUMN(H$1)-1)*3)</f>
        <v>25619.4575471698</v>
      </c>
      <c r="K8">
        <f>INDEX('2 过程管理表单'!$177:$177,24+(COLUMN(I$1)-1)*3)</f>
        <v>25619.4575471698</v>
      </c>
      <c r="L8">
        <f>INDEX('2 过程管理表单'!$177:$177,24+(COLUMN(J$1)-1)*3)</f>
        <v>25619.4575471698</v>
      </c>
      <c r="M8">
        <f>INDEX('2 过程管理表单'!$177:$177,24+(COLUMN(K$1)-1)*3)</f>
        <v>25619.4575471698</v>
      </c>
      <c r="N8">
        <f>INDEX('2 过程管理表单'!$177:$177,24+(COLUMN(L$1)-1)*3)</f>
        <v>25619.4575471698</v>
      </c>
    </row>
    <row r="9" spans="1:14">
      <c r="A9" t="s">
        <v>220</v>
      </c>
      <c r="B9" t="s">
        <v>18153</v>
      </c>
      <c r="C9">
        <f>C8</f>
        <v>186020.629923063</v>
      </c>
      <c r="D9">
        <f>C9+D8</f>
        <v>211640.087470233</v>
      </c>
      <c r="E9">
        <f t="shared" ref="E9:N9" si="3">D9+E8</f>
        <v>237259.545017403</v>
      </c>
      <c r="F9">
        <f t="shared" si="3"/>
        <v>262879.002564572</v>
      </c>
      <c r="G9">
        <f t="shared" si="3"/>
        <v>288498.460111742</v>
      </c>
      <c r="H9">
        <f t="shared" si="3"/>
        <v>314117.917658912</v>
      </c>
      <c r="I9">
        <f t="shared" si="3"/>
        <v>339737.375206082</v>
      </c>
      <c r="J9">
        <f t="shared" si="3"/>
        <v>365356.832753252</v>
      </c>
      <c r="K9">
        <f t="shared" si="3"/>
        <v>390976.290300421</v>
      </c>
      <c r="L9">
        <f t="shared" si="3"/>
        <v>416595.747847591</v>
      </c>
      <c r="M9">
        <f t="shared" si="3"/>
        <v>442215.205394761</v>
      </c>
      <c r="N9">
        <f t="shared" si="3"/>
        <v>467834.662941931</v>
      </c>
    </row>
    <row r="10" spans="1:14">
      <c r="A10" t="s">
        <v>222</v>
      </c>
      <c r="B10" t="s">
        <v>18150</v>
      </c>
      <c r="C10">
        <f>INDEX('2 过程管理表单'!$428:$428,26+(COLUMN(A$1)-1)*3)</f>
        <v>57588.7846191936</v>
      </c>
      <c r="D10">
        <f>INDEX('2 过程管理表单'!$428:$428,26+(COLUMN(B$1)-1)*3)</f>
        <v>355136.734287108</v>
      </c>
      <c r="E10">
        <f>INDEX('2 过程管理表单'!$428:$428,26+(COLUMN(C$1)-1)*3)</f>
        <v>453958.056204379</v>
      </c>
      <c r="F10">
        <f>INDEX('2 过程管理表单'!$428:$428,26+(COLUMN(D$1)-1)*3)</f>
        <v>484233.024897741</v>
      </c>
      <c r="G10">
        <f>INDEX('2 过程管理表单'!$428:$428,26+(COLUMN(E$1)-1)*3)</f>
        <v>535716.03716531</v>
      </c>
      <c r="H10">
        <f>INDEX('2 过程管理表单'!$428:$428,26+(COLUMN(F$1)-1)*3)</f>
        <v>534975.494243615</v>
      </c>
      <c r="I10">
        <f>INDEX('2 过程管理表单'!$428:$428,26+(COLUMN(G$1)-1)*3)</f>
        <v>528811.489297795</v>
      </c>
      <c r="J10">
        <f>INDEX('2 过程管理表单'!$428:$428,26+(COLUMN(H$1)-1)*3)</f>
        <v>516963.137649443</v>
      </c>
      <c r="K10">
        <f>INDEX('2 过程管理表单'!$428:$428,26+(COLUMN(I$1)-1)*3)</f>
        <v>500286.907402686</v>
      </c>
      <c r="L10">
        <f>INDEX('2 过程管理表单'!$428:$428,26+(COLUMN(J$1)-1)*3)</f>
        <v>512498.4637364</v>
      </c>
      <c r="M10">
        <f>INDEX('2 过程管理表单'!$428:$428,26+(COLUMN(K$1)-1)*3)</f>
        <v>495966.255228773</v>
      </c>
      <c r="N10">
        <f>INDEX('2 过程管理表单'!$428:$428,26+(COLUMN(L$1)-1)*3)</f>
        <v>512498.4637364</v>
      </c>
    </row>
    <row r="11" spans="1:14">
      <c r="A11" t="s">
        <v>222</v>
      </c>
      <c r="B11" t="s">
        <v>18151</v>
      </c>
      <c r="C11">
        <f>C10</f>
        <v>57588.7846191936</v>
      </c>
      <c r="D11">
        <f>C11+D10</f>
        <v>412725.518906302</v>
      </c>
      <c r="E11">
        <f t="shared" ref="E11:N11" si="4">D11+E10</f>
        <v>866683.575110681</v>
      </c>
      <c r="F11">
        <f t="shared" si="4"/>
        <v>1350916.60000842</v>
      </c>
      <c r="G11">
        <f t="shared" si="4"/>
        <v>1886632.63717373</v>
      </c>
      <c r="H11">
        <f t="shared" si="4"/>
        <v>2421608.13141735</v>
      </c>
      <c r="I11">
        <f t="shared" si="4"/>
        <v>2950419.62071514</v>
      </c>
      <c r="J11">
        <f t="shared" si="4"/>
        <v>3467382.75836458</v>
      </c>
      <c r="K11">
        <f t="shared" si="4"/>
        <v>3967669.66576727</v>
      </c>
      <c r="L11">
        <f t="shared" si="4"/>
        <v>4480168.12950367</v>
      </c>
      <c r="M11">
        <f t="shared" si="4"/>
        <v>4976134.38473244</v>
      </c>
      <c r="N11">
        <f t="shared" si="4"/>
        <v>5488632.84846884</v>
      </c>
    </row>
    <row r="12" spans="1:14">
      <c r="A12" t="s">
        <v>222</v>
      </c>
      <c r="B12" t="s">
        <v>18152</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1619</v>
      </c>
      <c r="B14" t="s">
        <v>18150</v>
      </c>
      <c r="C14">
        <f>INDEX('2 过程管理表单'!$509:$509,26+(COLUMN(A$1)-1)*3)</f>
        <v>4300</v>
      </c>
      <c r="D14">
        <f>INDEX('2 过程管理表单'!$509:$509,26+(COLUMN(B$1)-1)*3)</f>
        <v>0</v>
      </c>
      <c r="E14">
        <f>INDEX('2 过程管理表单'!$509:$509,26+(COLUMN(C$1)-1)*3)</f>
        <v>0</v>
      </c>
      <c r="F14">
        <f>INDEX('2 过程管理表单'!$509:$509,26+(COLUMN(D$1)-1)*3)</f>
        <v>0</v>
      </c>
      <c r="G14">
        <f>INDEX('2 过程管理表单'!$509:$509,26+(COLUMN(E$1)-1)*3)</f>
        <v>975.78</v>
      </c>
      <c r="H14">
        <f>INDEX('2 过程管理表单'!$509:$509,26+(COLUMN(F$1)-1)*3)</f>
        <v>2672.45</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1619</v>
      </c>
      <c r="B15" t="s">
        <v>18151</v>
      </c>
      <c r="C15">
        <f>C14</f>
        <v>4300</v>
      </c>
      <c r="D15">
        <f>C15+D14</f>
        <v>4300</v>
      </c>
      <c r="E15">
        <f t="shared" ref="E15:N15" si="6">D15+E14</f>
        <v>4300</v>
      </c>
      <c r="F15">
        <f t="shared" si="6"/>
        <v>4300</v>
      </c>
      <c r="G15">
        <f t="shared" si="6"/>
        <v>5275.78</v>
      </c>
      <c r="H15">
        <f t="shared" si="6"/>
        <v>7948.23</v>
      </c>
      <c r="I15">
        <f t="shared" si="6"/>
        <v>7948.23</v>
      </c>
      <c r="J15">
        <f t="shared" si="6"/>
        <v>7948.23</v>
      </c>
      <c r="K15">
        <f t="shared" si="6"/>
        <v>7948.23</v>
      </c>
      <c r="L15">
        <f t="shared" si="6"/>
        <v>7948.23</v>
      </c>
      <c r="M15">
        <f t="shared" si="6"/>
        <v>7948.23</v>
      </c>
      <c r="N15">
        <f t="shared" si="6"/>
        <v>7948.23</v>
      </c>
    </row>
    <row r="16" spans="1:14">
      <c r="A16" t="s">
        <v>1619</v>
      </c>
      <c r="B16" t="s">
        <v>18152</v>
      </c>
      <c r="C16">
        <f>INDEX('2 过程管理表单'!$509:$509,24+(COLUMN(A$1)-1)*3)</f>
        <v>1737236.86</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1619</v>
      </c>
      <c r="B17" t="s">
        <v>18153</v>
      </c>
      <c r="C17">
        <f>C16</f>
        <v>1737236.86</v>
      </c>
      <c r="D17">
        <f>C17+D16</f>
        <v>1737236.86</v>
      </c>
      <c r="E17">
        <f t="shared" ref="E17:N17" si="7">D17+E16</f>
        <v>1737236.86</v>
      </c>
      <c r="F17">
        <f t="shared" si="7"/>
        <v>1737236.86</v>
      </c>
      <c r="G17">
        <f t="shared" si="7"/>
        <v>1737236.86</v>
      </c>
      <c r="H17">
        <f t="shared" si="7"/>
        <v>1737236.86</v>
      </c>
      <c r="I17">
        <f t="shared" si="7"/>
        <v>1737236.86</v>
      </c>
      <c r="J17">
        <f t="shared" si="7"/>
        <v>1737236.86</v>
      </c>
      <c r="K17">
        <f t="shared" si="7"/>
        <v>1737236.86</v>
      </c>
      <c r="L17">
        <f t="shared" si="7"/>
        <v>1737236.86</v>
      </c>
      <c r="M17">
        <f t="shared" si="7"/>
        <v>1737236.86</v>
      </c>
      <c r="N17">
        <f t="shared" si="7"/>
        <v>1737236.86</v>
      </c>
    </row>
    <row r="18" spans="1:14">
      <c r="A18" t="s">
        <v>1757</v>
      </c>
      <c r="B18" t="s">
        <v>18150</v>
      </c>
      <c r="C18">
        <f>INDEX('2 过程管理表单'!$516:$516,26+(COLUMN(A$1)-1)*3)</f>
        <v>150547.8</v>
      </c>
      <c r="D18">
        <f>INDEX('2 过程管理表单'!$516:$516,26+(COLUMN(B$1)-1)*3)</f>
        <v>3265.4</v>
      </c>
      <c r="E18">
        <f>INDEX('2 过程管理表单'!$516:$516,26+(COLUMN(C$1)-1)*3)</f>
        <v>47534</v>
      </c>
      <c r="F18">
        <f>INDEX('2 过程管理表单'!$516:$516,26+(COLUMN(D$1)-1)*3)</f>
        <v>10203.6</v>
      </c>
      <c r="G18">
        <f>INDEX('2 过程管理表单'!$516:$516,26+(COLUMN(E$1)-1)*3)</f>
        <v>6292.6</v>
      </c>
      <c r="H18">
        <f>INDEX('2 过程管理表单'!$516:$516,26+(COLUMN(F$1)-1)*3)</f>
        <v>8870.72</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1757</v>
      </c>
      <c r="B19" t="s">
        <v>18151</v>
      </c>
      <c r="C19">
        <f>C18</f>
        <v>150547.8</v>
      </c>
      <c r="D19">
        <f>C19+D18</f>
        <v>153813.2</v>
      </c>
      <c r="E19">
        <f t="shared" ref="E19:N19" si="8">D19+E18</f>
        <v>201347.2</v>
      </c>
      <c r="F19">
        <f t="shared" si="8"/>
        <v>211550.8</v>
      </c>
      <c r="G19">
        <f t="shared" si="8"/>
        <v>217843.4</v>
      </c>
      <c r="H19">
        <f t="shared" si="8"/>
        <v>226714.12</v>
      </c>
      <c r="I19">
        <f t="shared" si="8"/>
        <v>226714.12</v>
      </c>
      <c r="J19">
        <f t="shared" si="8"/>
        <v>226714.12</v>
      </c>
      <c r="K19">
        <f t="shared" si="8"/>
        <v>226714.12</v>
      </c>
      <c r="L19">
        <f t="shared" si="8"/>
        <v>226714.12</v>
      </c>
      <c r="M19">
        <f t="shared" si="8"/>
        <v>226714.12</v>
      </c>
      <c r="N19">
        <f t="shared" si="8"/>
        <v>226714.12</v>
      </c>
    </row>
    <row r="20" spans="1:14">
      <c r="A20" t="s">
        <v>1757</v>
      </c>
      <c r="B20" t="s">
        <v>18152</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1757</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1845</v>
      </c>
      <c r="B22" t="s">
        <v>18150</v>
      </c>
      <c r="C22">
        <f>INDEX('2 过程管理表单'!$520:$520,26+(COLUMN(A$1)-1)*3)</f>
        <v>0</v>
      </c>
      <c r="D22">
        <f>INDEX('2 过程管理表单'!$520:$520,26+(COLUMN(B$1)-1)*3)</f>
        <v>0</v>
      </c>
      <c r="E22">
        <f>INDEX('2 过程管理表单'!$520:$520,26+(COLUMN(C$1)-1)*3)</f>
        <v>6780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1845</v>
      </c>
      <c r="B23" t="s">
        <v>18151</v>
      </c>
      <c r="C23">
        <f>C22</f>
        <v>0</v>
      </c>
      <c r="D23">
        <f>C23+D22</f>
        <v>0</v>
      </c>
      <c r="E23">
        <f t="shared" ref="E23:N23" si="10">D23+E22</f>
        <v>6780</v>
      </c>
      <c r="F23">
        <f t="shared" si="10"/>
        <v>6780</v>
      </c>
      <c r="G23">
        <f t="shared" si="10"/>
        <v>6780</v>
      </c>
      <c r="H23">
        <f t="shared" si="10"/>
        <v>6780</v>
      </c>
      <c r="I23">
        <f t="shared" si="10"/>
        <v>6780</v>
      </c>
      <c r="J23">
        <f t="shared" si="10"/>
        <v>6780</v>
      </c>
      <c r="K23">
        <f t="shared" si="10"/>
        <v>6780</v>
      </c>
      <c r="L23">
        <f t="shared" si="10"/>
        <v>6780</v>
      </c>
      <c r="M23">
        <f t="shared" si="10"/>
        <v>6780</v>
      </c>
      <c r="N23">
        <f t="shared" si="10"/>
        <v>6780</v>
      </c>
    </row>
    <row r="24" spans="1:14">
      <c r="A24" t="s">
        <v>1845</v>
      </c>
      <c r="B24" t="s">
        <v>18152</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1845</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1911</v>
      </c>
      <c r="B26" t="s">
        <v>18150</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975</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1911</v>
      </c>
      <c r="B27" t="s">
        <v>18151</v>
      </c>
      <c r="C27">
        <f>C26</f>
        <v>0</v>
      </c>
      <c r="D27">
        <f>C27+D26</f>
        <v>0</v>
      </c>
      <c r="E27">
        <f t="shared" ref="E27:N27" si="12">D27+E26</f>
        <v>0</v>
      </c>
      <c r="F27">
        <f t="shared" si="12"/>
        <v>0</v>
      </c>
      <c r="G27">
        <f t="shared" si="12"/>
        <v>0</v>
      </c>
      <c r="H27">
        <f t="shared" si="12"/>
        <v>975</v>
      </c>
      <c r="I27">
        <f t="shared" si="12"/>
        <v>975</v>
      </c>
      <c r="J27">
        <f t="shared" si="12"/>
        <v>975</v>
      </c>
      <c r="K27">
        <f t="shared" si="12"/>
        <v>975</v>
      </c>
      <c r="L27">
        <f t="shared" si="12"/>
        <v>975</v>
      </c>
      <c r="M27">
        <f t="shared" si="12"/>
        <v>975</v>
      </c>
      <c r="N27">
        <f t="shared" si="12"/>
        <v>975</v>
      </c>
    </row>
    <row r="28" spans="1:14">
      <c r="A28" t="s">
        <v>1911</v>
      </c>
      <c r="B28" t="s">
        <v>18152</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1911</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1952</v>
      </c>
      <c r="B30" t="s">
        <v>18150</v>
      </c>
      <c r="C30">
        <f>INDEX('2 过程管理表单'!$527:$527,26+(COLUMN(A$1)-1)*3)</f>
        <v>0</v>
      </c>
      <c r="D30">
        <f>INDEX('2 过程管理表单'!$527:$527,26+(COLUMN(B$1)-1)*3)</f>
        <v>5891.76</v>
      </c>
      <c r="E30">
        <f>INDEX('2 过程管理表单'!$527:$527,26+(COLUMN(C$1)-1)*3)</f>
        <v>6554.86</v>
      </c>
      <c r="F30">
        <f>INDEX('2 过程管理表单'!$527:$527,26+(COLUMN(D$1)-1)*3)</f>
        <v>421.72</v>
      </c>
      <c r="G30">
        <f>INDEX('2 过程管理表单'!$527:$527,26+(COLUMN(E$1)-1)*3)</f>
        <v>0</v>
      </c>
      <c r="H30">
        <f>INDEX('2 过程管理表单'!$527:$527,26+(COLUMN(F$1)-1)*3)</f>
        <v>1335</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1952</v>
      </c>
      <c r="B31" t="s">
        <v>18151</v>
      </c>
      <c r="C31">
        <f>C30</f>
        <v>0</v>
      </c>
      <c r="D31">
        <f>C31+D30</f>
        <v>5891.76</v>
      </c>
      <c r="E31">
        <f t="shared" ref="E31:N31" si="14">D31+E30</f>
        <v>12446.62</v>
      </c>
      <c r="F31">
        <f t="shared" si="14"/>
        <v>12868.34</v>
      </c>
      <c r="G31">
        <f t="shared" si="14"/>
        <v>12868.34</v>
      </c>
      <c r="H31">
        <f t="shared" si="14"/>
        <v>14203.34</v>
      </c>
      <c r="I31">
        <f t="shared" si="14"/>
        <v>14203.34</v>
      </c>
      <c r="J31">
        <f t="shared" si="14"/>
        <v>14203.34</v>
      </c>
      <c r="K31">
        <f t="shared" si="14"/>
        <v>14203.34</v>
      </c>
      <c r="L31">
        <f t="shared" si="14"/>
        <v>14203.34</v>
      </c>
      <c r="M31">
        <f t="shared" si="14"/>
        <v>14203.34</v>
      </c>
      <c r="N31">
        <f t="shared" si="14"/>
        <v>14203.34</v>
      </c>
    </row>
    <row r="32" spans="1:14">
      <c r="A32" t="s">
        <v>1952</v>
      </c>
      <c r="B32" t="s">
        <v>18152</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2063</v>
      </c>
      <c r="B34" t="s">
        <v>18150</v>
      </c>
      <c r="C34">
        <f>INDEX('2 过程管理表单'!$531:$531,26+(COLUMN(A$1)-1)*3)</f>
        <v>9280</v>
      </c>
      <c r="D34">
        <f>INDEX('2 过程管理表单'!$531:$531,26+(COLUMN(B$1)-1)*3)</f>
        <v>5723.47</v>
      </c>
      <c r="E34">
        <f>INDEX('2 过程管理表单'!$531:$531,26+(COLUMN(C$1)-1)*3)</f>
        <v>10636.93</v>
      </c>
      <c r="F34">
        <f>INDEX('2 过程管理表单'!$531:$531,26+(COLUMN(D$1)-1)*3)</f>
        <v>10359.48</v>
      </c>
      <c r="G34">
        <f>INDEX('2 过程管理表单'!$531:$531,26+(COLUMN(E$1)-1)*3)</f>
        <v>2833.61</v>
      </c>
      <c r="H34">
        <f>INDEX('2 过程管理表单'!$531:$531,26+(COLUMN(F$1)-1)*3)</f>
        <v>5838.96</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2063</v>
      </c>
      <c r="B35" t="s">
        <v>18151</v>
      </c>
      <c r="C35">
        <f>C34</f>
        <v>9280</v>
      </c>
      <c r="D35">
        <f>C35+D34</f>
        <v>15003.47</v>
      </c>
      <c r="E35">
        <f t="shared" ref="E35:N35" si="16">D35+E34</f>
        <v>25640.4</v>
      </c>
      <c r="F35">
        <f t="shared" si="16"/>
        <v>35999.88</v>
      </c>
      <c r="G35">
        <f t="shared" si="16"/>
        <v>38833.49</v>
      </c>
      <c r="H35">
        <f t="shared" si="16"/>
        <v>44672.45</v>
      </c>
      <c r="I35">
        <f t="shared" si="16"/>
        <v>44672.45</v>
      </c>
      <c r="J35">
        <f t="shared" si="16"/>
        <v>44672.45</v>
      </c>
      <c r="K35">
        <f t="shared" si="16"/>
        <v>44672.45</v>
      </c>
      <c r="L35">
        <f t="shared" si="16"/>
        <v>44672.45</v>
      </c>
      <c r="M35">
        <f t="shared" si="16"/>
        <v>44672.45</v>
      </c>
      <c r="N35">
        <f t="shared" si="16"/>
        <v>44672.45</v>
      </c>
    </row>
    <row r="36" spans="1:14">
      <c r="A36" t="s">
        <v>2063</v>
      </c>
      <c r="B36" t="s">
        <v>18152</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2063</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2154</v>
      </c>
      <c r="B38" t="s">
        <v>18150</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2154</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2154</v>
      </c>
      <c r="B40" t="s">
        <v>18152</v>
      </c>
      <c r="C40">
        <f>INDEX('2 过程管理表单'!$537:$537,24+(COLUMN(A$1)-1)*3)</f>
        <v>269339.622641509</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2154</v>
      </c>
      <c r="B41" t="s">
        <v>18153</v>
      </c>
      <c r="C41">
        <f>C40</f>
        <v>269339.622641509</v>
      </c>
      <c r="D41">
        <f>C41+D40</f>
        <v>269339.622641509</v>
      </c>
      <c r="E41">
        <f t="shared" ref="E41:N41" si="19">D41+E40</f>
        <v>269339.622641509</v>
      </c>
      <c r="F41">
        <f t="shared" si="19"/>
        <v>269339.622641509</v>
      </c>
      <c r="G41">
        <f t="shared" si="19"/>
        <v>269339.622641509</v>
      </c>
      <c r="H41">
        <f t="shared" si="19"/>
        <v>269339.622641509</v>
      </c>
      <c r="I41">
        <f t="shared" si="19"/>
        <v>269339.622641509</v>
      </c>
      <c r="J41">
        <f t="shared" si="19"/>
        <v>269339.622641509</v>
      </c>
      <c r="K41">
        <f t="shared" si="19"/>
        <v>269339.622641509</v>
      </c>
      <c r="L41">
        <f t="shared" si="19"/>
        <v>269339.622641509</v>
      </c>
      <c r="M41">
        <f t="shared" si="19"/>
        <v>269339.622641509</v>
      </c>
      <c r="N41">
        <f t="shared" si="19"/>
        <v>269339.622641509</v>
      </c>
    </row>
    <row r="42" spans="1:14">
      <c r="A42" t="s">
        <v>2190</v>
      </c>
      <c r="B42" t="s">
        <v>18150</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2190</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2190</v>
      </c>
      <c r="B44" t="s">
        <v>18152</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2190</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2198</v>
      </c>
      <c r="B46" t="s">
        <v>18150</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2198</v>
      </c>
      <c r="B47" t="s">
        <v>18151</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2198</v>
      </c>
      <c r="B48" t="s">
        <v>18152</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2198</v>
      </c>
      <c r="B49" t="s">
        <v>18153</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2216</v>
      </c>
      <c r="B50" t="s">
        <v>18150</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2216</v>
      </c>
      <c r="B51" t="s">
        <v>18151</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2216</v>
      </c>
      <c r="B52" t="s">
        <v>18152</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2216</v>
      </c>
      <c r="B53" t="s">
        <v>18153</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2236</v>
      </c>
      <c r="B54" t="s">
        <v>18150</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2236</v>
      </c>
      <c r="B55" t="s">
        <v>18151</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2236</v>
      </c>
      <c r="B56" t="s">
        <v>18152</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2236</v>
      </c>
      <c r="B57" t="s">
        <v>18153</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2242</v>
      </c>
      <c r="B58" t="s">
        <v>18150</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2242</v>
      </c>
      <c r="B59" t="s">
        <v>18151</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2242</v>
      </c>
      <c r="B60" t="s">
        <v>18152</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2242</v>
      </c>
      <c r="B61" t="s">
        <v>18153</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2256</v>
      </c>
      <c r="B62" t="s">
        <v>18150</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2256</v>
      </c>
      <c r="B63" t="s">
        <v>18151</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2256</v>
      </c>
      <c r="B64" t="s">
        <v>18152</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2256</v>
      </c>
      <c r="B65" t="s">
        <v>18153</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2274</v>
      </c>
      <c r="B66" t="s">
        <v>18150</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2274</v>
      </c>
      <c r="B67" t="s">
        <v>18151</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2274</v>
      </c>
      <c r="B68" t="s">
        <v>18152</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2274</v>
      </c>
      <c r="B69" t="s">
        <v>18153</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2280</v>
      </c>
      <c r="B70" t="s">
        <v>18150</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2280</v>
      </c>
      <c r="B71" t="s">
        <v>18151</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2280</v>
      </c>
      <c r="B72" t="s">
        <v>18152</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2280</v>
      </c>
      <c r="B73" t="s">
        <v>18153</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2293</v>
      </c>
      <c r="B74" t="s">
        <v>18150</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2293</v>
      </c>
      <c r="B75" t="s">
        <v>18151</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2293</v>
      </c>
      <c r="B76" t="s">
        <v>18152</v>
      </c>
      <c r="C76">
        <f>INDEX('2 过程管理表单'!$591:$591,24+(COLUMN(A$1)-1)*3)</f>
        <v>55031.4465408805</v>
      </c>
      <c r="D76">
        <f>INDEX('2 过程管理表单'!$591:$591,24+(COLUMN(B$1)-1)*3)</f>
        <v>55031.4465408805</v>
      </c>
      <c r="E76">
        <f>INDEX('2 过程管理表单'!$591:$591,24+(COLUMN(C$1)-1)*3)</f>
        <v>55031.4465408805</v>
      </c>
      <c r="F76">
        <f>INDEX('2 过程管理表单'!$591:$591,24+(COLUMN(D$1)-1)*3)</f>
        <v>55031.4465408805</v>
      </c>
      <c r="G76">
        <f>INDEX('2 过程管理表单'!$591:$591,24+(COLUMN(E$1)-1)*3)</f>
        <v>55031.4465408805</v>
      </c>
      <c r="H76">
        <f>INDEX('2 过程管理表单'!$591:$591,24+(COLUMN(F$1)-1)*3)</f>
        <v>55031.4465408805</v>
      </c>
      <c r="I76">
        <f>INDEX('2 过程管理表单'!$591:$591,24+(COLUMN(G$1)-1)*3)</f>
        <v>55031.4465408805</v>
      </c>
      <c r="J76">
        <f>INDEX('2 过程管理表单'!$591:$591,24+(COLUMN(H$1)-1)*3)</f>
        <v>55031.4465408805</v>
      </c>
      <c r="K76">
        <f>INDEX('2 过程管理表单'!$591:$591,24+(COLUMN(I$1)-1)*3)</f>
        <v>55031.4465408805</v>
      </c>
      <c r="L76">
        <f>INDEX('2 过程管理表单'!$591:$591,24+(COLUMN(J$1)-1)*3)</f>
        <v>55031.4465408805</v>
      </c>
      <c r="M76">
        <f>INDEX('2 过程管理表单'!$591:$591,24+(COLUMN(K$1)-1)*3)</f>
        <v>55031.4465408805</v>
      </c>
      <c r="N76">
        <f>INDEX('2 过程管理表单'!$591:$591,24+(COLUMN(L$1)-1)*3)</f>
        <v>55031.4465408805</v>
      </c>
    </row>
    <row r="77" spans="1:14">
      <c r="A77" t="s">
        <v>2293</v>
      </c>
      <c r="B77" t="s">
        <v>18153</v>
      </c>
      <c r="C77">
        <f>C76</f>
        <v>55031.4465408805</v>
      </c>
      <c r="D77">
        <f>C77+D76</f>
        <v>110062.893081761</v>
      </c>
      <c r="E77">
        <f t="shared" ref="E77:N77" si="37">D77+E76</f>
        <v>165094.339622642</v>
      </c>
      <c r="F77">
        <f t="shared" si="37"/>
        <v>220125.786163522</v>
      </c>
      <c r="G77">
        <f t="shared" si="37"/>
        <v>275157.232704402</v>
      </c>
      <c r="H77">
        <f t="shared" si="37"/>
        <v>330188.679245283</v>
      </c>
      <c r="I77">
        <f t="shared" si="37"/>
        <v>385220.125786163</v>
      </c>
      <c r="J77">
        <f t="shared" si="37"/>
        <v>440251.572327044</v>
      </c>
      <c r="K77">
        <f t="shared" si="37"/>
        <v>495283.018867924</v>
      </c>
      <c r="L77">
        <f t="shared" si="37"/>
        <v>550314.465408805</v>
      </c>
      <c r="M77">
        <f t="shared" si="37"/>
        <v>605345.911949685</v>
      </c>
      <c r="N77">
        <f t="shared" si="37"/>
        <v>660377.358490566</v>
      </c>
    </row>
    <row r="78" spans="1:14">
      <c r="A78" t="s">
        <v>84</v>
      </c>
      <c r="B78" t="s">
        <v>18150</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18151</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18152</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18153</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18150</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18151</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18152</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18153</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18150</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18151</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18152</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18153</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18150</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18151</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18152</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18153</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18150</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18151</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18152</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18153</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18150</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18151</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18152</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18153</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18150</v>
      </c>
      <c r="C102">
        <f>INDEX('2 过程管理表单'!$605:$605,26+(COLUMN(A$1)-1)*3)</f>
        <v>0</v>
      </c>
      <c r="D102">
        <f>INDEX('2 过程管理表单'!$605:$605,26+(COLUMN(B$1)-1)*3)</f>
        <v>6907.89</v>
      </c>
      <c r="E102">
        <f>INDEX('2 过程管理表单'!$605:$605,26+(COLUMN(C$1)-1)*3)</f>
        <v>156.4</v>
      </c>
      <c r="F102">
        <f>INDEX('2 过程管理表单'!$605:$605,26+(COLUMN(D$1)-1)*3)</f>
        <v>324.48</v>
      </c>
      <c r="G102">
        <f>INDEX('2 过程管理表单'!$605:$605,26+(COLUMN(E$1)-1)*3)</f>
        <v>3424</v>
      </c>
      <c r="H102">
        <f>INDEX('2 过程管理表单'!$605:$605,26+(COLUMN(F$1)-1)*3)</f>
        <v>355.95</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18151</v>
      </c>
      <c r="C103">
        <f>C102</f>
        <v>0</v>
      </c>
      <c r="D103">
        <f>C103+D102</f>
        <v>6907.89</v>
      </c>
      <c r="E103">
        <f t="shared" ref="E103:N103" si="50">D103+E102</f>
        <v>7064.29</v>
      </c>
      <c r="F103">
        <f t="shared" si="50"/>
        <v>7388.77</v>
      </c>
      <c r="G103">
        <f t="shared" si="50"/>
        <v>10812.77</v>
      </c>
      <c r="H103">
        <f t="shared" si="50"/>
        <v>11168.72</v>
      </c>
      <c r="I103">
        <f t="shared" si="50"/>
        <v>11168.72</v>
      </c>
      <c r="J103">
        <f t="shared" si="50"/>
        <v>11168.72</v>
      </c>
      <c r="K103">
        <f t="shared" si="50"/>
        <v>11168.72</v>
      </c>
      <c r="L103">
        <f t="shared" si="50"/>
        <v>11168.72</v>
      </c>
      <c r="M103">
        <f t="shared" si="50"/>
        <v>11168.72</v>
      </c>
      <c r="N103">
        <f t="shared" si="50"/>
        <v>11168.72</v>
      </c>
    </row>
    <row r="104" spans="1:14">
      <c r="A104" t="s">
        <v>137</v>
      </c>
      <c r="B104" t="s">
        <v>18152</v>
      </c>
      <c r="C104">
        <f>INDEX('2 过程管理表单'!$605:$605,24+(COLUMN(A$1)-1)*3)</f>
        <v>3407.915</v>
      </c>
      <c r="D104">
        <f>INDEX('2 过程管理表单'!$605:$605,24+(COLUMN(B$1)-1)*3)</f>
        <v>3407.915</v>
      </c>
      <c r="E104">
        <f>INDEX('2 过程管理表单'!$605:$605,24+(COLUMN(C$1)-1)*3)</f>
        <v>3407.915</v>
      </c>
      <c r="F104">
        <f>INDEX('2 过程管理表单'!$605:$605,24+(COLUMN(D$1)-1)*3)</f>
        <v>3407.915</v>
      </c>
      <c r="G104">
        <f>INDEX('2 过程管理表单'!$605:$605,24+(COLUMN(E$1)-1)*3)</f>
        <v>3407.915</v>
      </c>
      <c r="H104">
        <f>INDEX('2 过程管理表单'!$605:$605,24+(COLUMN(F$1)-1)*3)</f>
        <v>3407.915</v>
      </c>
      <c r="I104">
        <f>INDEX('2 过程管理表单'!$605:$605,24+(COLUMN(G$1)-1)*3)</f>
        <v>3407.915</v>
      </c>
      <c r="J104">
        <f>INDEX('2 过程管理表单'!$605:$605,24+(COLUMN(H$1)-1)*3)</f>
        <v>3407.915</v>
      </c>
      <c r="K104">
        <f>INDEX('2 过程管理表单'!$605:$605,24+(COLUMN(I$1)-1)*3)</f>
        <v>3407.915</v>
      </c>
      <c r="L104">
        <f>INDEX('2 过程管理表单'!$605:$605,24+(COLUMN(J$1)-1)*3)</f>
        <v>3407.915</v>
      </c>
      <c r="M104">
        <f>INDEX('2 过程管理表单'!$605:$605,24+(COLUMN(K$1)-1)*3)</f>
        <v>3407.915</v>
      </c>
      <c r="N104">
        <f>INDEX('2 过程管理表单'!$605:$605,24+(COLUMN(L$1)-1)*3)</f>
        <v>3407.915</v>
      </c>
    </row>
    <row r="105" spans="1:14">
      <c r="A105" t="s">
        <v>137</v>
      </c>
      <c r="B105" t="s">
        <v>18153</v>
      </c>
      <c r="C105">
        <f>C104</f>
        <v>3407.915</v>
      </c>
      <c r="D105">
        <f>C105+D104</f>
        <v>6815.83</v>
      </c>
      <c r="E105">
        <f t="shared" ref="E105:N105" si="51">D105+E104</f>
        <v>10223.745</v>
      </c>
      <c r="F105">
        <f t="shared" si="51"/>
        <v>13631.66</v>
      </c>
      <c r="G105">
        <f t="shared" si="51"/>
        <v>17039.575</v>
      </c>
      <c r="H105">
        <f t="shared" si="51"/>
        <v>20447.49</v>
      </c>
      <c r="I105">
        <f t="shared" si="51"/>
        <v>23855.405</v>
      </c>
      <c r="J105">
        <f t="shared" si="51"/>
        <v>27263.32</v>
      </c>
      <c r="K105">
        <f t="shared" si="51"/>
        <v>30671.235</v>
      </c>
      <c r="L105">
        <f t="shared" si="51"/>
        <v>34079.15</v>
      </c>
      <c r="M105">
        <f t="shared" si="51"/>
        <v>37487.065</v>
      </c>
      <c r="N105">
        <f t="shared" si="51"/>
        <v>40894.98</v>
      </c>
    </row>
    <row r="106" spans="1:14">
      <c r="A106" t="s">
        <v>141</v>
      </c>
      <c r="B106" t="s">
        <v>18150</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18151</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18152</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18153</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18150</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18151</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18152</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18153</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18150</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18151</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18152</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18153</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18150</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18151</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18152</v>
      </c>
      <c r="C120">
        <f>INDEX('2 过程管理表单'!$612:$612,24+(COLUMN(A$1)-1)*3)</f>
        <v>2550</v>
      </c>
      <c r="D120">
        <f>INDEX('2 过程管理表单'!$612:$612,24+(COLUMN(B$1)-1)*3)</f>
        <v>2550</v>
      </c>
      <c r="E120">
        <f>INDEX('2 过程管理表单'!$612:$612,24+(COLUMN(C$1)-1)*3)</f>
        <v>2550</v>
      </c>
      <c r="F120">
        <f>INDEX('2 过程管理表单'!$612:$612,24+(COLUMN(D$1)-1)*3)</f>
        <v>2550</v>
      </c>
      <c r="G120">
        <f>INDEX('2 过程管理表单'!$612:$612,24+(COLUMN(E$1)-1)*3)</f>
        <v>2550</v>
      </c>
      <c r="H120">
        <f>INDEX('2 过程管理表单'!$612:$612,24+(COLUMN(F$1)-1)*3)</f>
        <v>2550</v>
      </c>
      <c r="I120">
        <f>INDEX('2 过程管理表单'!$612:$612,24+(COLUMN(G$1)-1)*3)</f>
        <v>2550</v>
      </c>
      <c r="J120">
        <f>INDEX('2 过程管理表单'!$612:$612,24+(COLUMN(H$1)-1)*3)</f>
        <v>2550</v>
      </c>
      <c r="K120">
        <f>INDEX('2 过程管理表单'!$612:$612,24+(COLUMN(I$1)-1)*3)</f>
        <v>2550</v>
      </c>
      <c r="L120">
        <f>INDEX('2 过程管理表单'!$612:$612,24+(COLUMN(J$1)-1)*3)</f>
        <v>2550</v>
      </c>
      <c r="M120">
        <f>INDEX('2 过程管理表单'!$612:$612,24+(COLUMN(K$1)-1)*3)</f>
        <v>2550</v>
      </c>
      <c r="N120">
        <f>INDEX('2 过程管理表单'!$612:$612,24+(COLUMN(L$1)-1)*3)</f>
        <v>2550</v>
      </c>
    </row>
    <row r="121" spans="1:14">
      <c r="A121" t="s">
        <v>147</v>
      </c>
      <c r="B121" t="s">
        <v>18153</v>
      </c>
      <c r="C121">
        <f>C120</f>
        <v>2550</v>
      </c>
      <c r="D121">
        <f>C121+D120</f>
        <v>5100</v>
      </c>
      <c r="E121">
        <f t="shared" ref="E121:N121" si="59">D121+E120</f>
        <v>7650</v>
      </c>
      <c r="F121">
        <f t="shared" si="59"/>
        <v>10200</v>
      </c>
      <c r="G121">
        <f t="shared" si="59"/>
        <v>12750</v>
      </c>
      <c r="H121">
        <f t="shared" si="59"/>
        <v>15300</v>
      </c>
      <c r="I121">
        <f t="shared" si="59"/>
        <v>17850</v>
      </c>
      <c r="J121">
        <f t="shared" si="59"/>
        <v>20400</v>
      </c>
      <c r="K121">
        <f t="shared" si="59"/>
        <v>22950</v>
      </c>
      <c r="L121">
        <f t="shared" si="59"/>
        <v>25500</v>
      </c>
      <c r="M121">
        <f t="shared" si="59"/>
        <v>28050</v>
      </c>
      <c r="N121">
        <f t="shared" si="59"/>
        <v>30600</v>
      </c>
    </row>
    <row r="122" spans="1:14">
      <c r="A122" t="s">
        <v>153</v>
      </c>
      <c r="B122" t="s">
        <v>18150</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18151</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18152</v>
      </c>
      <c r="C124">
        <f>INDEX('2 过程管理表单'!$613:$613,24+(COLUMN(A$1)-1)*3)</f>
        <v>6250</v>
      </c>
      <c r="D124">
        <f>INDEX('2 过程管理表单'!$613:$613,24+(COLUMN(B$1)-1)*3)</f>
        <v>6250</v>
      </c>
      <c r="E124">
        <f>INDEX('2 过程管理表单'!$613:$613,24+(COLUMN(C$1)-1)*3)</f>
        <v>6250</v>
      </c>
      <c r="F124">
        <f>INDEX('2 过程管理表单'!$613:$613,24+(COLUMN(D$1)-1)*3)</f>
        <v>6250</v>
      </c>
      <c r="G124">
        <f>INDEX('2 过程管理表单'!$613:$613,24+(COLUMN(E$1)-1)*3)</f>
        <v>6250</v>
      </c>
      <c r="H124">
        <f>INDEX('2 过程管理表单'!$613:$613,24+(COLUMN(F$1)-1)*3)</f>
        <v>6250</v>
      </c>
      <c r="I124">
        <f>INDEX('2 过程管理表单'!$613:$613,24+(COLUMN(G$1)-1)*3)</f>
        <v>6250</v>
      </c>
      <c r="J124">
        <f>INDEX('2 过程管理表单'!$613:$613,24+(COLUMN(H$1)-1)*3)</f>
        <v>6250</v>
      </c>
      <c r="K124">
        <f>INDEX('2 过程管理表单'!$613:$613,24+(COLUMN(I$1)-1)*3)</f>
        <v>6250</v>
      </c>
      <c r="L124">
        <f>INDEX('2 过程管理表单'!$613:$613,24+(COLUMN(J$1)-1)*3)</f>
        <v>6250</v>
      </c>
      <c r="M124">
        <f>INDEX('2 过程管理表单'!$613:$613,24+(COLUMN(K$1)-1)*3)</f>
        <v>6250</v>
      </c>
      <c r="N124">
        <f>INDEX('2 过程管理表单'!$613:$613,24+(COLUMN(L$1)-1)*3)</f>
        <v>6250</v>
      </c>
    </row>
    <row r="125" spans="1:14">
      <c r="A125" t="s">
        <v>153</v>
      </c>
      <c r="B125" t="s">
        <v>18153</v>
      </c>
      <c r="C125">
        <f>C124</f>
        <v>6250</v>
      </c>
      <c r="D125">
        <f>C125+D124</f>
        <v>12500</v>
      </c>
      <c r="E125">
        <f t="shared" ref="E125:N125" si="61">D125+E124</f>
        <v>18750</v>
      </c>
      <c r="F125">
        <f t="shared" si="61"/>
        <v>25000</v>
      </c>
      <c r="G125">
        <f t="shared" si="61"/>
        <v>31250</v>
      </c>
      <c r="H125">
        <f t="shared" si="61"/>
        <v>37500</v>
      </c>
      <c r="I125">
        <f t="shared" si="61"/>
        <v>43750</v>
      </c>
      <c r="J125">
        <f t="shared" si="61"/>
        <v>50000</v>
      </c>
      <c r="K125">
        <f t="shared" si="61"/>
        <v>56250</v>
      </c>
      <c r="L125">
        <f t="shared" si="61"/>
        <v>62500</v>
      </c>
      <c r="M125">
        <f t="shared" si="61"/>
        <v>68750</v>
      </c>
      <c r="N125">
        <f t="shared" si="61"/>
        <v>75000</v>
      </c>
    </row>
    <row r="126" spans="1:14">
      <c r="A126" t="s">
        <v>157</v>
      </c>
      <c r="B126" t="s">
        <v>18150</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18151</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18152</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18153</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18150</v>
      </c>
      <c r="C130">
        <f>INDEX('2 过程管理表单'!$615:$615,26+(COLUMN(A$1)-1)*3)</f>
        <v>54672</v>
      </c>
      <c r="D130">
        <f>INDEX('2 过程管理表单'!$615:$615,26+(COLUMN(B$1)-1)*3)</f>
        <v>25000</v>
      </c>
      <c r="E130">
        <f>INDEX('2 过程管理表单'!$615:$615,26+(COLUMN(C$1)-1)*3)</f>
        <v>25000</v>
      </c>
      <c r="F130">
        <f>INDEX('2 过程管理表单'!$615:$615,26+(COLUMN(D$1)-1)*3)</f>
        <v>0</v>
      </c>
      <c r="G130">
        <f>INDEX('2 过程管理表单'!$615:$615,26+(COLUMN(E$1)-1)*3)</f>
        <v>0</v>
      </c>
      <c r="H130">
        <f>INDEX('2 过程管理表单'!$615:$615,26+(COLUMN(F$1)-1)*3)</f>
        <v>4517</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18151</v>
      </c>
      <c r="C131">
        <f>C130</f>
        <v>54672</v>
      </c>
      <c r="D131">
        <f>C131+D130</f>
        <v>79672</v>
      </c>
      <c r="E131">
        <f t="shared" ref="E131:N131" si="64">D131+E130</f>
        <v>104672</v>
      </c>
      <c r="F131">
        <f t="shared" si="64"/>
        <v>104672</v>
      </c>
      <c r="G131">
        <f t="shared" si="64"/>
        <v>104672</v>
      </c>
      <c r="H131">
        <f t="shared" si="64"/>
        <v>109189</v>
      </c>
      <c r="I131">
        <f t="shared" si="64"/>
        <v>109189</v>
      </c>
      <c r="J131">
        <f t="shared" si="64"/>
        <v>109189</v>
      </c>
      <c r="K131">
        <f t="shared" si="64"/>
        <v>109189</v>
      </c>
      <c r="L131">
        <f t="shared" si="64"/>
        <v>109189</v>
      </c>
      <c r="M131">
        <f t="shared" si="64"/>
        <v>109189</v>
      </c>
      <c r="N131">
        <f t="shared" si="64"/>
        <v>109189</v>
      </c>
    </row>
    <row r="132" spans="1:14">
      <c r="A132" t="s">
        <v>78</v>
      </c>
      <c r="B132" t="s">
        <v>18152</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18153</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2318</v>
      </c>
      <c r="B134" t="s">
        <v>18150</v>
      </c>
      <c r="C134">
        <f>INDEX('2 过程管理表单'!$617:$617,26+(COLUMN(A$1)-1)*3)</f>
        <v>55848.77</v>
      </c>
      <c r="D134">
        <f>INDEX('2 过程管理表单'!$617:$617,26+(COLUMN(B$1)-1)*3)</f>
        <v>72096.9</v>
      </c>
      <c r="E134">
        <f>INDEX('2 过程管理表单'!$617:$617,26+(COLUMN(C$1)-1)*3)</f>
        <v>8195.05</v>
      </c>
      <c r="F134">
        <f>INDEX('2 过程管理表单'!$617:$617,26+(COLUMN(D$1)-1)*3)</f>
        <v>3372.22</v>
      </c>
      <c r="G134">
        <f>INDEX('2 过程管理表单'!$617:$617,26+(COLUMN(E$1)-1)*3)</f>
        <v>2638.09</v>
      </c>
      <c r="H134">
        <f>INDEX('2 过程管理表单'!$617:$617,26+(COLUMN(F$1)-1)*3)</f>
        <v>5597.42</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2318</v>
      </c>
      <c r="B135" t="s">
        <v>18151</v>
      </c>
      <c r="C135">
        <f>C134</f>
        <v>55848.77</v>
      </c>
      <c r="D135">
        <f>C135+D134</f>
        <v>127945.67</v>
      </c>
      <c r="E135">
        <f t="shared" ref="E135:N135" si="66">D135+E134</f>
        <v>136140.72</v>
      </c>
      <c r="F135">
        <f t="shared" si="66"/>
        <v>139512.94</v>
      </c>
      <c r="G135">
        <f t="shared" si="66"/>
        <v>142151.03</v>
      </c>
      <c r="H135">
        <f t="shared" si="66"/>
        <v>147748.45</v>
      </c>
      <c r="I135">
        <f t="shared" si="66"/>
        <v>147748.45</v>
      </c>
      <c r="J135">
        <f t="shared" si="66"/>
        <v>147748.45</v>
      </c>
      <c r="K135">
        <f t="shared" si="66"/>
        <v>147748.45</v>
      </c>
      <c r="L135">
        <f t="shared" si="66"/>
        <v>147748.45</v>
      </c>
      <c r="M135">
        <f t="shared" si="66"/>
        <v>147748.45</v>
      </c>
      <c r="N135">
        <f t="shared" si="66"/>
        <v>147748.45</v>
      </c>
    </row>
    <row r="136" spans="1:14">
      <c r="A136" t="s">
        <v>2318</v>
      </c>
      <c r="B136" t="s">
        <v>18152</v>
      </c>
      <c r="C136">
        <f>INDEX('2 过程管理表单'!$617:$617,24+(COLUMN(A$1)-1)*3)</f>
        <v>7923.5</v>
      </c>
      <c r="D136">
        <f>INDEX('2 过程管理表单'!$617:$617,24+(COLUMN(B$1)-1)*3)</f>
        <v>7923.5</v>
      </c>
      <c r="E136">
        <f>INDEX('2 过程管理表单'!$617:$617,24+(COLUMN(C$1)-1)*3)</f>
        <v>7923.5</v>
      </c>
      <c r="F136">
        <f>INDEX('2 过程管理表单'!$617:$617,24+(COLUMN(D$1)-1)*3)</f>
        <v>7923.5</v>
      </c>
      <c r="G136">
        <f>INDEX('2 过程管理表单'!$617:$617,24+(COLUMN(E$1)-1)*3)</f>
        <v>7923.5</v>
      </c>
      <c r="H136">
        <f>INDEX('2 过程管理表单'!$617:$617,24+(COLUMN(F$1)-1)*3)</f>
        <v>7923.5</v>
      </c>
      <c r="I136">
        <f>INDEX('2 过程管理表单'!$617:$617,24+(COLUMN(G$1)-1)*3)</f>
        <v>7923.5</v>
      </c>
      <c r="J136">
        <f>INDEX('2 过程管理表单'!$617:$617,24+(COLUMN(H$1)-1)*3)</f>
        <v>7923.5</v>
      </c>
      <c r="K136">
        <f>INDEX('2 过程管理表单'!$617:$617,24+(COLUMN(I$1)-1)*3)</f>
        <v>7923.5</v>
      </c>
      <c r="L136">
        <f>INDEX('2 过程管理表单'!$617:$617,24+(COLUMN(J$1)-1)*3)</f>
        <v>7923.5</v>
      </c>
      <c r="M136">
        <f>INDEX('2 过程管理表单'!$617:$617,24+(COLUMN(K$1)-1)*3)</f>
        <v>7923.5</v>
      </c>
      <c r="N136">
        <f>INDEX('2 过程管理表单'!$617:$617,24+(COLUMN(L$1)-1)*3)</f>
        <v>7923.5</v>
      </c>
    </row>
    <row r="137" spans="1:14">
      <c r="A137" t="s">
        <v>2318</v>
      </c>
      <c r="B137" t="s">
        <v>18153</v>
      </c>
      <c r="C137">
        <f>C136</f>
        <v>7923.5</v>
      </c>
      <c r="D137">
        <f>C137+D136</f>
        <v>15847</v>
      </c>
      <c r="E137">
        <f t="shared" ref="E137:N137" si="67">D137+E136</f>
        <v>23770.5</v>
      </c>
      <c r="F137">
        <f t="shared" si="67"/>
        <v>31694</v>
      </c>
      <c r="G137">
        <f t="shared" si="67"/>
        <v>39617.5</v>
      </c>
      <c r="H137">
        <f t="shared" si="67"/>
        <v>47541</v>
      </c>
      <c r="I137">
        <f t="shared" si="67"/>
        <v>55464.5</v>
      </c>
      <c r="J137">
        <f t="shared" si="67"/>
        <v>63388</v>
      </c>
      <c r="K137">
        <f t="shared" si="67"/>
        <v>71311.5</v>
      </c>
      <c r="L137">
        <f t="shared" si="67"/>
        <v>79235</v>
      </c>
      <c r="M137">
        <f t="shared" si="67"/>
        <v>87158.5</v>
      </c>
      <c r="N137">
        <f t="shared" si="67"/>
        <v>95082</v>
      </c>
    </row>
    <row r="138" spans="1:14">
      <c r="A138" t="s">
        <v>2372</v>
      </c>
      <c r="B138" t="s">
        <v>18150</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2372</v>
      </c>
      <c r="B139" t="s">
        <v>18151</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2372</v>
      </c>
      <c r="B140" t="s">
        <v>18152</v>
      </c>
      <c r="C140">
        <f>INDEX('2 过程管理表单'!$618:$618,24+(COLUMN(A$1)-1)*3)</f>
        <v>60000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2372</v>
      </c>
      <c r="B141" t="s">
        <v>18153</v>
      </c>
      <c r="C141">
        <f>C140</f>
        <v>60000</v>
      </c>
      <c r="D141">
        <f>C141+D140</f>
        <v>60000</v>
      </c>
      <c r="E141">
        <f t="shared" ref="E141:N141" si="69">D141+E140</f>
        <v>60000</v>
      </c>
      <c r="F141">
        <f t="shared" si="69"/>
        <v>60000</v>
      </c>
      <c r="G141">
        <f t="shared" si="69"/>
        <v>60000</v>
      </c>
      <c r="H141">
        <f t="shared" si="69"/>
        <v>60000</v>
      </c>
      <c r="I141">
        <f t="shared" si="69"/>
        <v>60000</v>
      </c>
      <c r="J141">
        <f t="shared" si="69"/>
        <v>60000</v>
      </c>
      <c r="K141">
        <f t="shared" si="69"/>
        <v>60000</v>
      </c>
      <c r="L141">
        <f t="shared" si="69"/>
        <v>60000</v>
      </c>
      <c r="M141">
        <f t="shared" si="69"/>
        <v>60000</v>
      </c>
      <c r="N141">
        <f t="shared" si="69"/>
        <v>60000</v>
      </c>
    </row>
    <row r="142" spans="1:14">
      <c r="A142" t="s">
        <v>2375</v>
      </c>
      <c r="B142" t="s">
        <v>18150</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2375</v>
      </c>
      <c r="B143" t="s">
        <v>18151</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2375</v>
      </c>
      <c r="B144" t="s">
        <v>18152</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2375</v>
      </c>
      <c r="B145" t="s">
        <v>18153</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2378</v>
      </c>
      <c r="B146" t="s">
        <v>18150</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2378</v>
      </c>
      <c r="B147" t="s">
        <v>18151</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2378</v>
      </c>
      <c r="B148" t="s">
        <v>18152</v>
      </c>
      <c r="C148">
        <f>INDEX('2 过程管理表单'!$620:$620,24+(COLUMN(A$1)-1)*3)</f>
        <v>742377.962264151</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2378</v>
      </c>
      <c r="B149" t="s">
        <v>18153</v>
      </c>
      <c r="C149">
        <f>C148</f>
        <v>742377.962264151</v>
      </c>
      <c r="D149">
        <f>C149+D148</f>
        <v>742377.962264151</v>
      </c>
      <c r="E149">
        <f t="shared" ref="E149:N149" si="73">D149+E148</f>
        <v>742377.962264151</v>
      </c>
      <c r="F149">
        <f t="shared" si="73"/>
        <v>742377.962264151</v>
      </c>
      <c r="G149">
        <f t="shared" si="73"/>
        <v>742377.962264151</v>
      </c>
      <c r="H149">
        <f t="shared" si="73"/>
        <v>742377.962264151</v>
      </c>
      <c r="I149">
        <f t="shared" si="73"/>
        <v>742377.962264151</v>
      </c>
      <c r="J149">
        <f t="shared" si="73"/>
        <v>742377.962264151</v>
      </c>
      <c r="K149">
        <f t="shared" si="73"/>
        <v>742377.962264151</v>
      </c>
      <c r="L149">
        <f t="shared" si="73"/>
        <v>742377.962264151</v>
      </c>
      <c r="M149">
        <f t="shared" si="73"/>
        <v>742377.962264151</v>
      </c>
      <c r="N149">
        <f t="shared" si="73"/>
        <v>742377.962264151</v>
      </c>
    </row>
    <row r="150" spans="1:14">
      <c r="A150" t="s">
        <v>2380</v>
      </c>
      <c r="B150" t="s">
        <v>18150</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2380</v>
      </c>
      <c r="B151" t="s">
        <v>18151</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2380</v>
      </c>
      <c r="B152" t="s">
        <v>18152</v>
      </c>
      <c r="C152">
        <f>INDEX('2 过程管理表单'!$621:$621,24+(COLUMN(A$1)-1)*3)</f>
        <v>360000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2380</v>
      </c>
      <c r="B153" t="s">
        <v>18153</v>
      </c>
      <c r="C153">
        <f>C152</f>
        <v>360000</v>
      </c>
      <c r="D153">
        <f>C153+D152</f>
        <v>360000</v>
      </c>
      <c r="E153">
        <f t="shared" ref="E153:N153" si="75">D153+E152</f>
        <v>360000</v>
      </c>
      <c r="F153">
        <f t="shared" si="75"/>
        <v>360000</v>
      </c>
      <c r="G153">
        <f t="shared" si="75"/>
        <v>360000</v>
      </c>
      <c r="H153">
        <f t="shared" si="75"/>
        <v>360000</v>
      </c>
      <c r="I153">
        <f t="shared" si="75"/>
        <v>360000</v>
      </c>
      <c r="J153">
        <f t="shared" si="75"/>
        <v>360000</v>
      </c>
      <c r="K153">
        <f t="shared" si="75"/>
        <v>360000</v>
      </c>
      <c r="L153">
        <f t="shared" si="75"/>
        <v>360000</v>
      </c>
      <c r="M153">
        <f t="shared" si="75"/>
        <v>360000</v>
      </c>
      <c r="N153">
        <f t="shared" si="75"/>
        <v>360000</v>
      </c>
    </row>
    <row r="155" spans="2:14">
      <c r="B155" t="s">
        <v>18211</v>
      </c>
      <c r="C155" t="s">
        <v>759</v>
      </c>
      <c r="D155" t="s">
        <v>760</v>
      </c>
      <c r="E155" t="s">
        <v>761</v>
      </c>
      <c r="F155" t="s">
        <v>762</v>
      </c>
      <c r="G155" t="s">
        <v>763</v>
      </c>
      <c r="H155" t="s">
        <v>764</v>
      </c>
      <c r="I155" t="s">
        <v>765</v>
      </c>
      <c r="J155" t="s">
        <v>766</v>
      </c>
      <c r="K155" t="s">
        <v>767</v>
      </c>
      <c r="L155" t="s">
        <v>768</v>
      </c>
      <c r="M155" t="s">
        <v>769</v>
      </c>
      <c r="N155" t="s">
        <v>770</v>
      </c>
    </row>
    <row r="156" spans="1:14">
      <c r="A156" t="s">
        <v>218</v>
      </c>
      <c r="B156" t="s">
        <v>18212</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18213</v>
      </c>
      <c r="C157">
        <f>IF(C7&gt;C9,1,0)</f>
        <v>0</v>
      </c>
      <c r="D157">
        <f t="shared" ref="D157:N157" si="77">IF(D7&gt;D9,1,0)</f>
        <v>0</v>
      </c>
      <c r="E157">
        <f t="shared" si="77"/>
        <v>0</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18214</v>
      </c>
      <c r="C158">
        <f>IF(C11&gt;C13,1,0)</f>
        <v>1</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1619</v>
      </c>
      <c r="B159" t="s">
        <v>18215</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1757</v>
      </c>
      <c r="B160" t="s">
        <v>18216</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1845</v>
      </c>
      <c r="B161" t="s">
        <v>18217</v>
      </c>
      <c r="C161">
        <f>IF(C23&gt;C25,1,0)</f>
        <v>0</v>
      </c>
      <c r="D161">
        <f t="shared" ref="D161:N161" si="81">IF(D23&gt;D25,1,0)</f>
        <v>0</v>
      </c>
      <c r="E161">
        <f t="shared" si="81"/>
        <v>1</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1911</v>
      </c>
      <c r="B162" t="s">
        <v>18218</v>
      </c>
      <c r="C162">
        <f>IF(C27&gt;C29,1,0)</f>
        <v>0</v>
      </c>
      <c r="D162">
        <f t="shared" ref="D162:N162" si="82">IF(D27&gt;D29,1,0)</f>
        <v>0</v>
      </c>
      <c r="E162">
        <f t="shared" si="82"/>
        <v>0</v>
      </c>
      <c r="F162">
        <f t="shared" si="82"/>
        <v>0</v>
      </c>
      <c r="G162">
        <f t="shared" si="82"/>
        <v>0</v>
      </c>
      <c r="H162">
        <f t="shared" si="82"/>
        <v>1</v>
      </c>
      <c r="I162">
        <f t="shared" si="82"/>
        <v>1</v>
      </c>
      <c r="J162">
        <f t="shared" si="82"/>
        <v>1</v>
      </c>
      <c r="K162">
        <f t="shared" si="82"/>
        <v>1</v>
      </c>
      <c r="L162">
        <f t="shared" si="82"/>
        <v>1</v>
      </c>
      <c r="M162">
        <f t="shared" si="82"/>
        <v>1</v>
      </c>
      <c r="N162">
        <f t="shared" si="82"/>
        <v>1</v>
      </c>
    </row>
    <row r="163" spans="1:14">
      <c r="A163" t="s">
        <v>1952</v>
      </c>
      <c r="B163" t="s">
        <v>18219</v>
      </c>
      <c r="C163">
        <f>IF(C31&gt;C33,1,0)</f>
        <v>0</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2063</v>
      </c>
      <c r="B164" t="s">
        <v>18220</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2154</v>
      </c>
      <c r="B165" t="s">
        <v>18221</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2190</v>
      </c>
      <c r="B166" t="s">
        <v>18222</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2198</v>
      </c>
      <c r="B167" t="s">
        <v>18223</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2216</v>
      </c>
      <c r="B168" t="s">
        <v>18224</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2236</v>
      </c>
      <c r="B169" t="s">
        <v>18225</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2242</v>
      </c>
      <c r="B170" t="s">
        <v>18226</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2256</v>
      </c>
      <c r="B171" t="s">
        <v>18227</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2274</v>
      </c>
      <c r="B172" t="s">
        <v>18228</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2280</v>
      </c>
      <c r="B173" t="s">
        <v>18229</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2293</v>
      </c>
      <c r="B174" t="s">
        <v>18230</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18231</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18232</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18233</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18234</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18235</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18236</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18237</v>
      </c>
      <c r="C181">
        <f>IF(C103&gt;C105,1,0)</f>
        <v>0</v>
      </c>
      <c r="D181">
        <f t="shared" ref="D181:N181" si="101">IF(D103&gt;D105,1,0)</f>
        <v>1</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18238</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18239</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18240</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18241</v>
      </c>
      <c r="C188">
        <f>IF(C131&gt;C133,1,0)</f>
        <v>1</v>
      </c>
      <c r="D188">
        <f t="shared" ref="D188:N188" si="108">IF(D131&gt;D133,1,0)</f>
        <v>1</v>
      </c>
      <c r="E188">
        <f t="shared" si="108"/>
        <v>1</v>
      </c>
      <c r="F188">
        <f t="shared" si="108"/>
        <v>1</v>
      </c>
      <c r="G188">
        <f t="shared" si="108"/>
        <v>1</v>
      </c>
      <c r="H188">
        <f t="shared" si="108"/>
        <v>1</v>
      </c>
      <c r="I188">
        <f t="shared" si="108"/>
        <v>1</v>
      </c>
      <c r="J188">
        <f t="shared" si="108"/>
        <v>1</v>
      </c>
      <c r="K188">
        <f t="shared" si="108"/>
        <v>1</v>
      </c>
      <c r="L188">
        <f t="shared" si="108"/>
        <v>1</v>
      </c>
      <c r="M188">
        <f t="shared" si="108"/>
        <v>1</v>
      </c>
      <c r="N188">
        <f t="shared" si="108"/>
        <v>1</v>
      </c>
    </row>
    <row r="189" spans="1:14">
      <c r="A189" t="s">
        <v>2318</v>
      </c>
      <c r="B189" t="s">
        <v>18242</v>
      </c>
      <c r="C189">
        <f>IF(C135&gt;C137,1,0)</f>
        <v>1</v>
      </c>
      <c r="D189">
        <f t="shared" ref="D189:N189" si="109">IF(D135&gt;D137,1,0)</f>
        <v>1</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2372</v>
      </c>
      <c r="B190" t="s">
        <v>18243</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2375</v>
      </c>
      <c r="B191" t="s">
        <v>18244</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2378</v>
      </c>
      <c r="B192" t="s">
        <v>18245</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2380</v>
      </c>
      <c r="B193" t="s">
        <v>18246</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738</v>
      </c>
      <c r="C194">
        <f>SUM(C156:C193)</f>
        <v>5</v>
      </c>
      <c r="D194">
        <f t="shared" ref="D194:N194" si="114">SUM(D156:D193)</f>
        <v>7</v>
      </c>
      <c r="E194">
        <f t="shared" si="114"/>
        <v>7</v>
      </c>
      <c r="F194">
        <f t="shared" si="114"/>
        <v>8</v>
      </c>
      <c r="G194">
        <f t="shared" si="114"/>
        <v>8</v>
      </c>
      <c r="H194">
        <f t="shared" si="114"/>
        <v>9</v>
      </c>
      <c r="I194">
        <f t="shared" si="114"/>
        <v>9</v>
      </c>
      <c r="J194">
        <f t="shared" si="114"/>
        <v>9</v>
      </c>
      <c r="K194">
        <f t="shared" si="114"/>
        <v>9</v>
      </c>
      <c r="L194">
        <f t="shared" si="114"/>
        <v>9</v>
      </c>
      <c r="M194">
        <f t="shared" si="114"/>
        <v>9</v>
      </c>
      <c r="N194">
        <f t="shared" si="114"/>
        <v>9</v>
      </c>
    </row>
    <row r="195" spans="2:14">
      <c r="B195" t="s">
        <v>18247</v>
      </c>
      <c r="C195">
        <f>C194</f>
        <v>5</v>
      </c>
      <c r="D195">
        <f>C195+D194</f>
        <v>12</v>
      </c>
      <c r="E195">
        <f t="shared" ref="E195:N195" si="115">D195+E194</f>
        <v>19</v>
      </c>
      <c r="F195">
        <f t="shared" si="115"/>
        <v>27</v>
      </c>
      <c r="G195">
        <f t="shared" si="115"/>
        <v>35</v>
      </c>
      <c r="H195">
        <f t="shared" si="115"/>
        <v>44</v>
      </c>
      <c r="I195">
        <f t="shared" si="115"/>
        <v>53</v>
      </c>
      <c r="J195">
        <f t="shared" si="115"/>
        <v>62</v>
      </c>
      <c r="K195">
        <f t="shared" si="115"/>
        <v>71</v>
      </c>
      <c r="L195">
        <f t="shared" si="115"/>
        <v>80</v>
      </c>
      <c r="M195">
        <f t="shared" si="115"/>
        <v>89</v>
      </c>
      <c r="N195">
        <f t="shared" si="115"/>
        <v>98</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2025-08-13T09:41:33Z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92D1D68A4AAE4C3AB8FFEDC1686DD2A4_13</vt:lpwstr>
  </property>
  <property fmtid="{D5CDD505-2E9C-101B-9397-08002B2CF9AE}" pid="3" name="KSOProductBuildVer">
    <vt:lpwstr>2052-12.1.0.22483</vt:lpwstr>
  </property>
  <property fmtid="{D5CDD505-2E9C-101B-9397-08002B2CF9AE}" pid="4" name="KSOReadingLayout">
    <vt:bool>false</vt:bool>
  </property>
</Properties>
</file>